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 Group" sheetId="1" r:id="rId5"/>
    <sheet state="visible" name="Image Link" sheetId="2" r:id="rId6"/>
    <sheet state="visible" name="Sheet8" sheetId="3" r:id="rId7"/>
    <sheet state="visible" name="Fragnance" sheetId="4" r:id="rId8"/>
    <sheet state="visible" name="Sheet9" sheetId="5" r:id="rId9"/>
    <sheet state="visible" name="New Product Item" sheetId="6" r:id="rId10"/>
    <sheet state="visible" name="Tally Pur price" sheetId="7" r:id="rId11"/>
    <sheet state="visible" name="Pricing" sheetId="8" r:id="rId12"/>
    <sheet state="visible" name="Specification link" sheetId="9" r:id="rId13"/>
  </sheets>
  <definedNames>
    <definedName hidden="1" localSheetId="3" name="_xlnm._FilterDatabase">Fragnance!$A$2:$O$3159</definedName>
    <definedName hidden="1" localSheetId="0" name="Z_7135AB89_1EEE_484E_ACBD_DA9AA8963D30_.wvu.FilterData">'Work Group'!$B$1:$S$150</definedName>
    <definedName hidden="1" localSheetId="0" name="Z_B4531981_A4CE_453D_8587_9AA845E79581_.wvu.FilterData">'Work Group'!$E$1:$E$6832</definedName>
    <definedName hidden="1" localSheetId="6" name="Z_B4531981_A4CE_453D_8587_9AA845E79581_.wvu.FilterData">'Tally Pur price'!$A$1:$N$746</definedName>
    <definedName hidden="1" localSheetId="0" name="Z_AC629CD1_325B_4094_BE88_0DF37113B543_.wvu.FilterData">'Work Group'!$B$1:$S$150</definedName>
    <definedName hidden="1" localSheetId="0" name="Z_93E59F9B_08E8_4FA8_9318_CDA599B1E35B_.wvu.FilterData">'Work Group'!$A$633:$S$4251</definedName>
    <definedName hidden="1" localSheetId="6" name="Z_93E59F9B_08E8_4FA8_9318_CDA599B1E35B_.wvu.FilterData">'Tally Pur price'!$A$1:$N$742</definedName>
    <definedName hidden="1" localSheetId="0" name="Z_7273A58A_CA66_448E_8ADF_7F0EC762D857_.wvu.FilterData">'Work Group'!$E$1:$E$6832</definedName>
  </definedNames>
  <calcPr/>
  <customWorkbookViews>
    <customWorkbookView activeSheetId="0" maximized="1" windowHeight="0" windowWidth="0" guid="{AC629CD1-325B-4094-BE88-0DF37113B543}" name="Filter 4"/>
    <customWorkbookView activeSheetId="0" maximized="1" windowHeight="0" windowWidth="0" guid="{7273A58A-CA66-448E-8ADF-7F0EC762D857}" name="Filter 5"/>
    <customWorkbookView activeSheetId="0" maximized="1" windowHeight="0" windowWidth="0" guid="{B4531981-A4CE-453D-8587-9AA845E79581}" name="Filter 2"/>
    <customWorkbookView activeSheetId="0" maximized="1" windowHeight="0" windowWidth="0" guid="{7135AB89-1EEE-484E-ACBD-DA9AA8963D30}" name="Filter 3"/>
    <customWorkbookView activeSheetId="0" maximized="1" windowHeight="0" windowWidth="0" guid="{93E59F9B-08E8-4FA8-9318-CDA599B1E35B}" name="Filter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tc={1b9e68a9-c24d-4409-ab05-831e7fe3559d}</author>
    <author>tc={927b0d0c-5a6a-457d-a0cb-34abe46b1e70}</author>
    <author>tc={a50b5a0e-e168-4c26-afb9-0bf36ee9129a}</author>
    <author>tc={f68b2648-714e-4469-b015-fa34d8d234ed}</author>
  </authors>
  <commentList>
    <comment authorId="0" xr:uid="{1b9e68a9-c24d-4409-ab05-831e7fe3559d}" ref="E29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Animal Tallow based Soap Noodles
</t>
      </text>
    </comment>
    <comment authorId="1" xr:uid="{927b0d0c-5a6a-457d-a0cb-34abe46b1e70}" ref="C29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Ashwin Shah
</t>
      </text>
    </comment>
    <comment authorId="2" xr:uid="{a50b5a0e-e168-4c26-afb9-0bf36ee9129a}" ref="C292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Prashant
</t>
      </text>
    </comment>
    <comment authorId="3" xr:uid="{f68b2648-714e-4469-b015-fa34d8d234ed}" ref="C29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JITESH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tc={066f0222-235e-4061-9e70-25d96ce067ae}</author>
    <author>tc={4ef30671-3aab-481b-a499-9e16157dfba1}</author>
    <author>tc={5b4df5ec-7362-4e73-9de3-8fecf79a69ba}</author>
    <author>tc={f988e294-ebab-4bbe-abca-431730fb43e9}</author>
  </authors>
  <commentList>
    <comment authorId="0" xr:uid="{066f0222-235e-4061-9e70-25d96ce067ae}" ref="I58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 rate Ex kolkata
</t>
      </text>
    </comment>
    <comment authorId="1" xr:uid="{4ef30671-3aab-481b-a499-9e16157dfba1}" ref="I23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Ferric Alum (Solid)
</t>
      </text>
    </comment>
    <comment authorId="2" xr:uid="{5b4df5ec-7362-4e73-9de3-8fecf79a69ba}" ref="I6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 rate
</t>
      </text>
    </comment>
    <comment authorId="3" xr:uid="{f988e294-ebab-4bbe-abca-431730fb43e9}" ref="M3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Purchase rate
</t>
      </text>
    </comment>
  </commentList>
</comments>
</file>

<file path=xl/sharedStrings.xml><?xml version="1.0" encoding="utf-8"?>
<sst xmlns="http://schemas.openxmlformats.org/spreadsheetml/2006/main" count="78066" uniqueCount="34386">
  <si>
    <t xml:space="preserve"> </t>
  </si>
  <si>
    <t>Lead#</t>
  </si>
  <si>
    <t>Company Name</t>
  </si>
  <si>
    <t>Contact Person</t>
  </si>
  <si>
    <t xml:space="preserve">Product Required </t>
  </si>
  <si>
    <t>Quantity in Kgs</t>
  </si>
  <si>
    <t>Email</t>
  </si>
  <si>
    <t xml:space="preserve">Delivery Location </t>
  </si>
  <si>
    <t>Ph. No</t>
  </si>
  <si>
    <t>Usage / Industry</t>
  </si>
  <si>
    <t>P1</t>
  </si>
  <si>
    <t>P2</t>
  </si>
  <si>
    <t>Our Quoted Price</t>
  </si>
  <si>
    <t>Q No.</t>
  </si>
  <si>
    <t>Allotment</t>
  </si>
  <si>
    <t>1St. Follow up Remarks</t>
  </si>
  <si>
    <t>2nd Follow up Rremarks</t>
  </si>
  <si>
    <t>Stage</t>
  </si>
  <si>
    <t>Remarks</t>
  </si>
  <si>
    <t>14.04.2023</t>
  </si>
  <si>
    <t>C2015585</t>
  </si>
  <si>
    <t>Afsar Khan</t>
  </si>
  <si>
    <t>Urea</t>
  </si>
  <si>
    <t>afsarkhan72739@gmail.com</t>
  </si>
  <si>
    <t>Patna</t>
  </si>
  <si>
    <t>Business Purpose</t>
  </si>
  <si>
    <t>Biswajit Da</t>
  </si>
  <si>
    <t>Price High.</t>
  </si>
  <si>
    <t>INFO CALL</t>
  </si>
  <si>
    <t>C2015584</t>
  </si>
  <si>
    <t>Surojit Halder</t>
  </si>
  <si>
    <t>Ferric Alum</t>
  </si>
  <si>
    <t>surojit3011@gmail.com</t>
  </si>
  <si>
    <t>Puriliya</t>
  </si>
  <si>
    <t>Pinaki</t>
  </si>
  <si>
    <t>13.04.2023</t>
  </si>
  <si>
    <t>C2015583</t>
  </si>
  <si>
    <t>Jagdeesh</t>
  </si>
  <si>
    <t>Ethanol</t>
  </si>
  <si>
    <t>Diamond Harbar</t>
  </si>
  <si>
    <t>12.04.2023</t>
  </si>
  <si>
    <t>C2015582</t>
  </si>
  <si>
    <t>Rupel Sharma</t>
  </si>
  <si>
    <t>Bentonite Powder</t>
  </si>
  <si>
    <t>Kolkata</t>
  </si>
  <si>
    <t>C2015581</t>
  </si>
  <si>
    <t>Deinco India Automation</t>
  </si>
  <si>
    <t>Bentonite Clay</t>
  </si>
  <si>
    <t>deincoindia@gmail.com</t>
  </si>
  <si>
    <t>Murshidabad</t>
  </si>
  <si>
    <t>11.04.2023</t>
  </si>
  <si>
    <t>C2015580</t>
  </si>
  <si>
    <t>Rashid Javed</t>
  </si>
  <si>
    <t>Hydrated Lime Powder</t>
  </si>
  <si>
    <t>radianthideinternational@gmail.com</t>
  </si>
  <si>
    <t>Rate High.</t>
  </si>
  <si>
    <t>10.04.2023</t>
  </si>
  <si>
    <t>C2015579</t>
  </si>
  <si>
    <t>Loysis Infratech Pvt Ltd.</t>
  </si>
  <si>
    <t>loysis2018@rediffmail.com</t>
  </si>
  <si>
    <t>Dipanjan Da</t>
  </si>
  <si>
    <t>C2015578</t>
  </si>
  <si>
    <t>Mark Bricks &amp; Blocks</t>
  </si>
  <si>
    <t>Calcium Chloride</t>
  </si>
  <si>
    <t>mjkabiranshu@gmail.com</t>
  </si>
  <si>
    <t>Raichak</t>
  </si>
  <si>
    <t>Not interested,</t>
  </si>
  <si>
    <t>08.04.2023</t>
  </si>
  <si>
    <t>C2015577</t>
  </si>
  <si>
    <t>Anjaneya Steel</t>
  </si>
  <si>
    <t>Fluorspar Lumps</t>
  </si>
  <si>
    <t>anjaneya_steel@rediffmail.com</t>
  </si>
  <si>
    <t>Maheshpur</t>
  </si>
  <si>
    <t>Order Confirmed &amp; Payment Received</t>
  </si>
  <si>
    <t>DISPATCH</t>
  </si>
  <si>
    <t>C2015576</t>
  </si>
  <si>
    <t>Satyam Trading Company</t>
  </si>
  <si>
    <t>Limestone Powder</t>
  </si>
  <si>
    <t>Dhanbad</t>
  </si>
  <si>
    <t>Quoted.</t>
  </si>
  <si>
    <t>07.04.2023</t>
  </si>
  <si>
    <t>C2015575</t>
  </si>
  <si>
    <t>Rout Enterprises</t>
  </si>
  <si>
    <t>Corn Starch</t>
  </si>
  <si>
    <t>rmanoranjan20@gmail.com</t>
  </si>
  <si>
    <t>C2015574</t>
  </si>
  <si>
    <t>Samir Haldar</t>
  </si>
  <si>
    <t>Maize Starch</t>
  </si>
  <si>
    <t>haldars41@yahoo.com</t>
  </si>
  <si>
    <t>06.04.2023</t>
  </si>
  <si>
    <t>C2015573</t>
  </si>
  <si>
    <t>S.C.Sahoo</t>
  </si>
  <si>
    <t>Guar Gum</t>
  </si>
  <si>
    <t>sadhu.ch.sahoo@gmail.com</t>
  </si>
  <si>
    <t>sample send, but order not confirmed.</t>
  </si>
  <si>
    <t>C2015572</t>
  </si>
  <si>
    <t>Debi Laboratory Services</t>
  </si>
  <si>
    <t>Ferrous Sulphate</t>
  </si>
  <si>
    <t>servicesdebi@gmail.com</t>
  </si>
  <si>
    <t>Odisha</t>
  </si>
  <si>
    <t>05.04.2023</t>
  </si>
  <si>
    <t>C2015571</t>
  </si>
  <si>
    <t>Shree Shakti Stores</t>
  </si>
  <si>
    <t>04.04.2023</t>
  </si>
  <si>
    <t>C2015570</t>
  </si>
  <si>
    <t>Udit Narayan</t>
  </si>
  <si>
    <t>Earthing Salt</t>
  </si>
  <si>
    <t>Delhi</t>
  </si>
  <si>
    <t>Vivek Sir</t>
  </si>
  <si>
    <t>C2015569</t>
  </si>
  <si>
    <t>Agarwal Spices</t>
  </si>
  <si>
    <t>binsmahendra1974@gmail.com</t>
  </si>
  <si>
    <t>price do not found.</t>
  </si>
  <si>
    <t>03.04.2023</t>
  </si>
  <si>
    <t>C2015568</t>
  </si>
  <si>
    <t>Pritish Saha</t>
  </si>
  <si>
    <t>Calcium Carbide</t>
  </si>
  <si>
    <t>saha.pritish.89@gmail.com</t>
  </si>
  <si>
    <t>Dhulian</t>
  </si>
  <si>
    <t>C2015567</t>
  </si>
  <si>
    <t>Sumanta Sarkar</t>
  </si>
  <si>
    <t>MTO</t>
  </si>
  <si>
    <t>sumantasarkarplywood@gmail.com</t>
  </si>
  <si>
    <t>rate not mach.</t>
  </si>
  <si>
    <t>C2015566</t>
  </si>
  <si>
    <t>Sunil Baral</t>
  </si>
  <si>
    <t>Sunilbaral1057@gmail.com</t>
  </si>
  <si>
    <t>31.03.2023</t>
  </si>
  <si>
    <t>C2015565</t>
  </si>
  <si>
    <t>R B Enterprises</t>
  </si>
  <si>
    <t>Wood Charcoal</t>
  </si>
  <si>
    <t>Assam</t>
  </si>
  <si>
    <t>Tomorrow Party Will Come.</t>
  </si>
  <si>
    <t>30.03.2023</t>
  </si>
  <si>
    <t>C2015564</t>
  </si>
  <si>
    <t>Laminare Search Center Pvt Ltd</t>
  </si>
  <si>
    <t>tina.bhatta@laminaresearchcenter.com</t>
  </si>
  <si>
    <t>145/-</t>
  </si>
  <si>
    <t>sample send. confirmed after 3 days.</t>
  </si>
  <si>
    <t>C2015563</t>
  </si>
  <si>
    <t>M.P.Mica Enterprises</t>
  </si>
  <si>
    <t>Perlite Ore</t>
  </si>
  <si>
    <t>info@mpmica.com</t>
  </si>
  <si>
    <t>Quoted &amp; Photocopy Sent.</t>
  </si>
  <si>
    <t>29.03.2023</t>
  </si>
  <si>
    <t>C2015562</t>
  </si>
  <si>
    <t>Ayusri Health Products Ltd.</t>
  </si>
  <si>
    <t>Magnesium Sulphate</t>
  </si>
  <si>
    <t>maikap.ayusri@gmail.com</t>
  </si>
  <si>
    <t>PI Sent.</t>
  </si>
  <si>
    <t>C2015561</t>
  </si>
  <si>
    <t>S Sureka</t>
  </si>
  <si>
    <t>Molasses</t>
  </si>
  <si>
    <t>sunils6@rediffmail.com</t>
  </si>
  <si>
    <t>C2015560</t>
  </si>
  <si>
    <t>Mik Enterprises</t>
  </si>
  <si>
    <t>Lime Powder</t>
  </si>
  <si>
    <t>indranil_rroy@yahoo.co.in</t>
  </si>
  <si>
    <t>Howrah</t>
  </si>
  <si>
    <t>28.03.2023</t>
  </si>
  <si>
    <t>C2015559</t>
  </si>
  <si>
    <t>City Chemicals</t>
  </si>
  <si>
    <t>Light Liquid Paraffin</t>
  </si>
  <si>
    <t>ppchemicals00@gmail.com</t>
  </si>
  <si>
    <t>Rate give @95+ Ex Delhi godown.</t>
  </si>
  <si>
    <t>C2015558</t>
  </si>
  <si>
    <t>Rani Colours</t>
  </si>
  <si>
    <t>Glass Powder</t>
  </si>
  <si>
    <t>02tapaspal@gmail.com</t>
  </si>
  <si>
    <t>27.03.2023</t>
  </si>
  <si>
    <t>C2015557</t>
  </si>
  <si>
    <t>Basumati Fertilizers</t>
  </si>
  <si>
    <t>Boron</t>
  </si>
  <si>
    <t>sarojmanna2012@gmail.com</t>
  </si>
  <si>
    <t>Arambagh</t>
  </si>
  <si>
    <t>24.03.2023</t>
  </si>
  <si>
    <t>C2015556</t>
  </si>
  <si>
    <t>Modern Enterprise</t>
  </si>
  <si>
    <t>Silica Sand</t>
  </si>
  <si>
    <t>arifmohammadmolla.in@gmail.com</t>
  </si>
  <si>
    <t>C2015555</t>
  </si>
  <si>
    <t>Dipika Kumari</t>
  </si>
  <si>
    <t>Charcoal &amp; Salt</t>
  </si>
  <si>
    <t>procurement@automeck.in</t>
  </si>
  <si>
    <t>Jharkhand</t>
  </si>
  <si>
    <t>Quotation Sent.</t>
  </si>
  <si>
    <t>23.03.2023</t>
  </si>
  <si>
    <t>C2015554</t>
  </si>
  <si>
    <t>Debasish Mondal</t>
  </si>
  <si>
    <t>Gypsum Powder</t>
  </si>
  <si>
    <t>debasishmahato716@gmail.com</t>
  </si>
  <si>
    <t>Ranaghat</t>
  </si>
  <si>
    <t>21.03.2023</t>
  </si>
  <si>
    <t>C2015553</t>
  </si>
  <si>
    <t>Shayak Bhattacharya</t>
  </si>
  <si>
    <t>shayakbhattacharyya90@gmail.com</t>
  </si>
  <si>
    <t>Burdwan</t>
  </si>
  <si>
    <t>Quoted &amp; Photocopy Send.</t>
  </si>
  <si>
    <t>Rate Problem.</t>
  </si>
  <si>
    <t>06.03.2023</t>
  </si>
  <si>
    <t>C2015552</t>
  </si>
  <si>
    <t>Vannix Chemicals</t>
  </si>
  <si>
    <t>Quartz Powder</t>
  </si>
  <si>
    <t>vannixchemicals@gmail.com</t>
  </si>
  <si>
    <t>Party Want To Visit Our Office.</t>
  </si>
  <si>
    <t>C2015551</t>
  </si>
  <si>
    <t>Rashmi Agarbati Co.</t>
  </si>
  <si>
    <t>Charcoal Powder</t>
  </si>
  <si>
    <t>chakrabartyrasmita@gmail.com</t>
  </si>
  <si>
    <t>Rate Quoted.</t>
  </si>
  <si>
    <t>03.03.2023</t>
  </si>
  <si>
    <t>C2015550</t>
  </si>
  <si>
    <t>Manas Das</t>
  </si>
  <si>
    <t>Charcoal</t>
  </si>
  <si>
    <t>manas.das@holidayinnkolairport.com</t>
  </si>
  <si>
    <t>C2015549</t>
  </si>
  <si>
    <t>Asraf Jamal</t>
  </si>
  <si>
    <t>asrofjamal@gmail.com</t>
  </si>
  <si>
    <t>Hooghly</t>
  </si>
  <si>
    <t>01.03.2023</t>
  </si>
  <si>
    <t>C2015548</t>
  </si>
  <si>
    <t>PLN Construction</t>
  </si>
  <si>
    <t>Copper Slag</t>
  </si>
  <si>
    <t>ahshan076hussain@gmail.com</t>
  </si>
  <si>
    <t>28.02.2023</t>
  </si>
  <si>
    <t>C2015547</t>
  </si>
  <si>
    <t>Prakash Traders</t>
  </si>
  <si>
    <t>CPC</t>
  </si>
  <si>
    <t>souvik.nandi27@gmail.com</t>
  </si>
  <si>
    <t>27.02.2023</t>
  </si>
  <si>
    <t>Ultra Guard Filter</t>
  </si>
  <si>
    <t>Ramakant Yadav</t>
  </si>
  <si>
    <t>Satara, MH</t>
  </si>
  <si>
    <t>Own</t>
  </si>
  <si>
    <t>Haresh</t>
  </si>
  <si>
    <t>Potassium Chloride</t>
  </si>
  <si>
    <t>harigodhani@gmail.com</t>
  </si>
  <si>
    <t>Surat, Gujarat</t>
  </si>
  <si>
    <t>Meet Chhaganbhai Aghera</t>
  </si>
  <si>
    <t>Meet</t>
  </si>
  <si>
    <t>Calcined Petroleum Coke</t>
  </si>
  <si>
    <t>meetaghera3535@gmail.com</t>
  </si>
  <si>
    <t>Chikhli, Gujarat</t>
  </si>
  <si>
    <t>Ayan</t>
  </si>
  <si>
    <t>24.02.2023</t>
  </si>
  <si>
    <t>C2015546</t>
  </si>
  <si>
    <t>Nee Nee Foods</t>
  </si>
  <si>
    <t>tridibsaikia5@gmail.com</t>
  </si>
  <si>
    <t>PAYMENT</t>
  </si>
  <si>
    <t>22.02.2023</t>
  </si>
  <si>
    <t>C2015545</t>
  </si>
  <si>
    <t>Sunbright Industries</t>
  </si>
  <si>
    <t>Ammonium Bifluoride</t>
  </si>
  <si>
    <t>purchase@pgvsunchemicals.com</t>
  </si>
  <si>
    <t>21.02.2023</t>
  </si>
  <si>
    <t>C2015544</t>
  </si>
  <si>
    <t>Ohom Industries Pvt Ltd.</t>
  </si>
  <si>
    <t>China Clay</t>
  </si>
  <si>
    <t>ohom.industries@gmail.com</t>
  </si>
  <si>
    <t>20.02.2023</t>
  </si>
  <si>
    <t>C2015543</t>
  </si>
  <si>
    <t>Krishna Sales Corporation</t>
  </si>
  <si>
    <t>Caustic Soda Lye</t>
  </si>
  <si>
    <t>krishnasalescorporation25@gmail.com</t>
  </si>
  <si>
    <t>17.02.2023</t>
  </si>
  <si>
    <t>C2015542</t>
  </si>
  <si>
    <t>Aparna De</t>
  </si>
  <si>
    <t>Silica Powder</t>
  </si>
  <si>
    <t>Siliguri</t>
  </si>
  <si>
    <t>Order Confirmed.</t>
  </si>
  <si>
    <t>15.02.2023</t>
  </si>
  <si>
    <t>C2015541</t>
  </si>
  <si>
    <t>Ajit Mandal</t>
  </si>
  <si>
    <t>ajitmandal2131@gmail.com</t>
  </si>
  <si>
    <t>14.02.2023</t>
  </si>
  <si>
    <t>C2015540</t>
  </si>
  <si>
    <t>Kamala Aquatic</t>
  </si>
  <si>
    <t>debjitsadhukhan42@gmail.com</t>
  </si>
  <si>
    <t>Barasat</t>
  </si>
  <si>
    <t>13.02.2023</t>
  </si>
  <si>
    <t>C2015539</t>
  </si>
  <si>
    <t>Mukhtar Water Profing</t>
  </si>
  <si>
    <t>sekhmuktar1991@gmail.com</t>
  </si>
  <si>
    <t>Puruliya</t>
  </si>
  <si>
    <t>C2015538</t>
  </si>
  <si>
    <t>S.N Enterprise</t>
  </si>
  <si>
    <t>Bleaching Powder</t>
  </si>
  <si>
    <t>info.snenterprise2022@gmail.com</t>
  </si>
  <si>
    <t>Mursidabad</t>
  </si>
  <si>
    <t>C2015537</t>
  </si>
  <si>
    <t>Abul Kalam</t>
  </si>
  <si>
    <t>Kakdip</t>
  </si>
  <si>
    <t>Order Confirmed &amp; Payment Received.</t>
  </si>
  <si>
    <t>09.02.2023</t>
  </si>
  <si>
    <t>C2015536</t>
  </si>
  <si>
    <t>Pinaki Das</t>
  </si>
  <si>
    <t>Caustic Soda, Hypochlorite</t>
  </si>
  <si>
    <t>pinaki.das@resustainability.com</t>
  </si>
  <si>
    <t>Belgachia</t>
  </si>
  <si>
    <t>All Documents Submitted.</t>
  </si>
  <si>
    <t>07.02.2023</t>
  </si>
  <si>
    <t>C2015535</t>
  </si>
  <si>
    <t>Elmatics Engineers Pvt Ltd.</t>
  </si>
  <si>
    <t xml:space="preserve">Charcoal   </t>
  </si>
  <si>
    <t>yogendarngr@gmail.com</t>
  </si>
  <si>
    <t>06.02.2023</t>
  </si>
  <si>
    <t>C2015534</t>
  </si>
  <si>
    <t>D&amp;D Engineers</t>
  </si>
  <si>
    <t>DAP, Urea</t>
  </si>
  <si>
    <t>dndengineerschd@gmail.com</t>
  </si>
  <si>
    <t>Ranihati</t>
  </si>
  <si>
    <t>Photocopy &amp; Spec Sent.</t>
  </si>
  <si>
    <t>C2015533</t>
  </si>
  <si>
    <t>Shree Krishna Enterprise</t>
  </si>
  <si>
    <t>shreekrishnaenter.95@gmail.com</t>
  </si>
  <si>
    <t>03.02.2023</t>
  </si>
  <si>
    <t>C2015532</t>
  </si>
  <si>
    <t>Deva Industry</t>
  </si>
  <si>
    <t>r.harshenterprises@gmail.com</t>
  </si>
  <si>
    <t>UP</t>
  </si>
  <si>
    <t>C2015531</t>
  </si>
  <si>
    <t>Shiva Das</t>
  </si>
  <si>
    <t>sd2497822@gmail.com</t>
  </si>
  <si>
    <t>02.02.2023</t>
  </si>
  <si>
    <t>C2015530</t>
  </si>
  <si>
    <t>Umiya Plastic</t>
  </si>
  <si>
    <t>Technical Urea</t>
  </si>
  <si>
    <t>gaurangbarevadiya@gmail.com</t>
  </si>
  <si>
    <t>Baroda</t>
  </si>
  <si>
    <t>Quotation &amp; Photocopy Sent.</t>
  </si>
  <si>
    <t>01.02.2023</t>
  </si>
  <si>
    <t>C2015529</t>
  </si>
  <si>
    <t>CMA Enterprises</t>
  </si>
  <si>
    <t>mohuya.cma@gmail.com</t>
  </si>
  <si>
    <t>Not Interested</t>
  </si>
  <si>
    <t>C2015528</t>
  </si>
  <si>
    <t>Saraswati Traders</t>
  </si>
  <si>
    <t>30.01.2023</t>
  </si>
  <si>
    <t>C2015527</t>
  </si>
  <si>
    <t>Sibdas Mukherjee</t>
  </si>
  <si>
    <t>sibdasmukhopadhyay15@gmail.com</t>
  </si>
  <si>
    <t>28.01.2023</t>
  </si>
  <si>
    <t>C2015526</t>
  </si>
  <si>
    <t>Ambica Industries</t>
  </si>
  <si>
    <t>Sodium Chlorite</t>
  </si>
  <si>
    <t>satyambubna@ambahind.com</t>
  </si>
  <si>
    <t>C2015525</t>
  </si>
  <si>
    <t>Sankar Sahoo</t>
  </si>
  <si>
    <t>sahoosankar4@gmail.com</t>
  </si>
  <si>
    <t>Contai</t>
  </si>
  <si>
    <t>27.01.2023</t>
  </si>
  <si>
    <t>C2015524</t>
  </si>
  <si>
    <t>Modern Agro</t>
  </si>
  <si>
    <t>Zinc Chloride</t>
  </si>
  <si>
    <t>ranjitbindhani79@gmail.com</t>
  </si>
  <si>
    <t>C2015523</t>
  </si>
  <si>
    <t>Nayak Enterprise</t>
  </si>
  <si>
    <t>Bentonite Granules</t>
  </si>
  <si>
    <t>somakarnayak321@gmail.com</t>
  </si>
  <si>
    <t>Kolaghat</t>
  </si>
  <si>
    <t>25.01.2023</t>
  </si>
  <si>
    <t>C2015522</t>
  </si>
  <si>
    <t>Aayan</t>
  </si>
  <si>
    <t>aayanrizwan777@gmail.com</t>
  </si>
  <si>
    <t>24.01.2023</t>
  </si>
  <si>
    <t>C2015521</t>
  </si>
  <si>
    <t>Shri Shyam Enterprise</t>
  </si>
  <si>
    <t>shreeshyam.kol@gmail.com</t>
  </si>
  <si>
    <t>Quoted, send material photocopy.</t>
  </si>
  <si>
    <t>C2015520</t>
  </si>
  <si>
    <t>Rajaram Nanjundan</t>
  </si>
  <si>
    <t>rajaram.nanjundan@yahoo.com</t>
  </si>
  <si>
    <t>Thane</t>
  </si>
  <si>
    <t>34/-</t>
  </si>
  <si>
    <t>Quotation material photo and COA sent.</t>
  </si>
  <si>
    <t>23.01.2023</t>
  </si>
  <si>
    <t>C2015519</t>
  </si>
  <si>
    <t>Siri Enterprises</t>
  </si>
  <si>
    <t>dandu.maheshreddy@gmail.com</t>
  </si>
  <si>
    <t>Gudur</t>
  </si>
  <si>
    <t>C2015518</t>
  </si>
  <si>
    <t>K.D Udyog</t>
  </si>
  <si>
    <t>KrishnenduDutta@live.co.uk</t>
  </si>
  <si>
    <t>C2015517</t>
  </si>
  <si>
    <t>SDV Engg Cons Co.</t>
  </si>
  <si>
    <t>C2015516</t>
  </si>
  <si>
    <t>Runaya Refining LLP</t>
  </si>
  <si>
    <t>Fluorspar Powder</t>
  </si>
  <si>
    <t>asana.mitra@runaya.com</t>
  </si>
  <si>
    <t>Quoted &amp; specification send by mail.</t>
  </si>
  <si>
    <t>21.01.2023</t>
  </si>
  <si>
    <t>C2015515</t>
  </si>
  <si>
    <t>Dhruv</t>
  </si>
  <si>
    <t>ajoykejriwal10@gmail.com</t>
  </si>
  <si>
    <t>20.01.2023</t>
  </si>
  <si>
    <t>C2015514</t>
  </si>
  <si>
    <t>Rohit Dange</t>
  </si>
  <si>
    <t>maleyrohit328@gmail.com</t>
  </si>
  <si>
    <t>Madhya Pradesh</t>
  </si>
  <si>
    <t>C2015513</t>
  </si>
  <si>
    <t>Sandip Singh</t>
  </si>
  <si>
    <t>19.01.2023</t>
  </si>
  <si>
    <t>C2015512</t>
  </si>
  <si>
    <t>Niv Tech Solutions Pvt Ltd.</t>
  </si>
  <si>
    <t>service@nivtech.in</t>
  </si>
  <si>
    <t>Quoted</t>
  </si>
  <si>
    <t>18.01.2023</t>
  </si>
  <si>
    <t>C2015511</t>
  </si>
  <si>
    <t>Akash Kumar</t>
  </si>
  <si>
    <t>aakashkumar23432@gmail.com</t>
  </si>
  <si>
    <t>C2015510</t>
  </si>
  <si>
    <t>Desh Raj Pandey</t>
  </si>
  <si>
    <t>Potassium Permanganate</t>
  </si>
  <si>
    <t>deshrajpandey1989@gmail.com</t>
  </si>
  <si>
    <t>Quoted and party visited our office.</t>
  </si>
  <si>
    <t>C2015509</t>
  </si>
  <si>
    <t>MBA Enterprises</t>
  </si>
  <si>
    <t>mdameer120@gmail.com</t>
  </si>
  <si>
    <t>17.01.2023</t>
  </si>
  <si>
    <t>C2015508</t>
  </si>
  <si>
    <t>Bijalpita Roy</t>
  </si>
  <si>
    <t>Unroasted Bentonite Granules</t>
  </si>
  <si>
    <t>Behala</t>
  </si>
  <si>
    <t>Order Confrimed &amp; Payment Received.</t>
  </si>
  <si>
    <t>C2015507</t>
  </si>
  <si>
    <t>SRB Traders</t>
  </si>
  <si>
    <t>srbtraders1@gmail.com</t>
  </si>
  <si>
    <t>16.01.2023</t>
  </si>
  <si>
    <t>C2015506</t>
  </si>
  <si>
    <t>Sri Amulya Udyog</t>
  </si>
  <si>
    <t>rahul.singh827013@gmail.com</t>
  </si>
  <si>
    <t>C2015505</t>
  </si>
  <si>
    <t>Mou &amp; Company</t>
  </si>
  <si>
    <t>baburana207@gmail.com</t>
  </si>
  <si>
    <t>14.01.2023</t>
  </si>
  <si>
    <t>C2015504</t>
  </si>
  <si>
    <t>Srikantk</t>
  </si>
  <si>
    <t>srikantk100@gmail.com</t>
  </si>
  <si>
    <t>Purba Medinipur</t>
  </si>
  <si>
    <t>C2015503</t>
  </si>
  <si>
    <t>Being Pupil</t>
  </si>
  <si>
    <t>nikhil.ca.sharma@gmail.com</t>
  </si>
  <si>
    <t>C2015502</t>
  </si>
  <si>
    <t>J.Sinha</t>
  </si>
  <si>
    <t>Liquid Sodium Silicate</t>
  </si>
  <si>
    <t>omsspl@gmail.com</t>
  </si>
  <si>
    <t>13.01.2023</t>
  </si>
  <si>
    <t>C2015501</t>
  </si>
  <si>
    <t>N.Saha &amp; Co.</t>
  </si>
  <si>
    <t>Malda</t>
  </si>
  <si>
    <t>C2015500</t>
  </si>
  <si>
    <t>Indrajit Singh</t>
  </si>
  <si>
    <t>singhindrajit575@gmail.com</t>
  </si>
  <si>
    <t>Price high.</t>
  </si>
  <si>
    <t>12.01.2023</t>
  </si>
  <si>
    <t>C2015499</t>
  </si>
  <si>
    <t>T.Chatterjee</t>
  </si>
  <si>
    <t>jaya.impo@gmail.com</t>
  </si>
  <si>
    <t>C2015498</t>
  </si>
  <si>
    <t>Surendra Sethi</t>
  </si>
  <si>
    <t>spark66mb@gmail.com</t>
  </si>
  <si>
    <t>Noida</t>
  </si>
  <si>
    <t>11.01.2023</t>
  </si>
  <si>
    <t>C2015497</t>
  </si>
  <si>
    <t>RK Soni</t>
  </si>
  <si>
    <t>Stearic Acid</t>
  </si>
  <si>
    <t>primiji39@gmail.com</t>
  </si>
  <si>
    <t>Uttar Pradesh</t>
  </si>
  <si>
    <t>Quoted and material photo and bag photo send</t>
  </si>
  <si>
    <t>C2015496</t>
  </si>
  <si>
    <t>Shilpi</t>
  </si>
  <si>
    <t>shilpimukherjee74@gmail.com</t>
  </si>
  <si>
    <t>Durgapur</t>
  </si>
  <si>
    <t>C2015495</t>
  </si>
  <si>
    <t>Deepak</t>
  </si>
  <si>
    <t>dk.rajwani@nspcl.co.in</t>
  </si>
  <si>
    <t>Price &amp; material photocopy send.order not confirmed.</t>
  </si>
  <si>
    <t>10.01.2023</t>
  </si>
  <si>
    <t>C2015494</t>
  </si>
  <si>
    <t>Sanjay Ji</t>
  </si>
  <si>
    <t>sanjayshaws1010@gmail.com</t>
  </si>
  <si>
    <t>Howarh</t>
  </si>
  <si>
    <t>Quoted and material photocopy send.</t>
  </si>
  <si>
    <t>Party req.only hard wood.</t>
  </si>
  <si>
    <t>C2015493</t>
  </si>
  <si>
    <t>Tapan Kumar Maity</t>
  </si>
  <si>
    <t>rishitengineering9@gmail.com</t>
  </si>
  <si>
    <t>C2015492</t>
  </si>
  <si>
    <t>Rudra Ratna Enterprises</t>
  </si>
  <si>
    <t>sanjaychoudharykolkata@gmail.com</t>
  </si>
  <si>
    <t>09.01.2023</t>
  </si>
  <si>
    <t>C2015491</t>
  </si>
  <si>
    <t>Ashok Enterprises</t>
  </si>
  <si>
    <t>SLS Powder</t>
  </si>
  <si>
    <t>ashokkpami@gmail.com</t>
  </si>
  <si>
    <t>Bihar</t>
  </si>
  <si>
    <t>C2015490</t>
  </si>
  <si>
    <t>Ganguly Enterprises</t>
  </si>
  <si>
    <t>anand.roy08@gmail.com</t>
  </si>
  <si>
    <t>C2015489</t>
  </si>
  <si>
    <t>Asit Kumar</t>
  </si>
  <si>
    <t>Sodium Sulphate</t>
  </si>
  <si>
    <t>asitdawn1234@gmail.com</t>
  </si>
  <si>
    <t>06.01.2023</t>
  </si>
  <si>
    <t>C2015488</t>
  </si>
  <si>
    <t>P One Agrovet</t>
  </si>
  <si>
    <t>pawanthakare18@gmail.com</t>
  </si>
  <si>
    <t>Maharashtra</t>
  </si>
  <si>
    <t>Quoted, rate high</t>
  </si>
  <si>
    <t>C2015487</t>
  </si>
  <si>
    <t>Blc Pvt Ltd.</t>
  </si>
  <si>
    <t>C2015486</t>
  </si>
  <si>
    <t>Rashi Commodities LLP</t>
  </si>
  <si>
    <t>rnc2011@gmail.com</t>
  </si>
  <si>
    <t>Ranigunj</t>
  </si>
  <si>
    <t>C2015484</t>
  </si>
  <si>
    <t>Vikram Ji</t>
  </si>
  <si>
    <t>Carboriser</t>
  </si>
  <si>
    <t>apwvikram@gmail.com</t>
  </si>
  <si>
    <t>Gujarat</t>
  </si>
  <si>
    <t>05.01.2023</t>
  </si>
  <si>
    <t>C2015483</t>
  </si>
  <si>
    <t>Prakash Industry</t>
  </si>
  <si>
    <t>Dolomite Powder</t>
  </si>
  <si>
    <t>harihardas09@gmail.com</t>
  </si>
  <si>
    <t>04.01.2023</t>
  </si>
  <si>
    <t>C2015482</t>
  </si>
  <si>
    <t>Rohit Chowdhary</t>
  </si>
  <si>
    <t>rohitchowdharycool@gmail.com</t>
  </si>
  <si>
    <t>C2015481</t>
  </si>
  <si>
    <t>Malite Pvt Ltd.</t>
  </si>
  <si>
    <t>Feldspar, Sodium Meta Silicate, Phosphoric Acid</t>
  </si>
  <si>
    <t>C2015480</t>
  </si>
  <si>
    <t>Mahakal</t>
  </si>
  <si>
    <t>rameshwarmaind11@gmail.com</t>
  </si>
  <si>
    <t>From tomorrow and today I had called 3 times separately, same reply will call you</t>
  </si>
  <si>
    <t>02.01.2023</t>
  </si>
  <si>
    <t>C2015479</t>
  </si>
  <si>
    <t>Hindusthan Garments</t>
  </si>
  <si>
    <t>Sodium Hypochlorite</t>
  </si>
  <si>
    <t>pahilajani_dilip@hotmail.com</t>
  </si>
  <si>
    <t>C2015478</t>
  </si>
  <si>
    <t>Soumya</t>
  </si>
  <si>
    <t>roysoumya71@gmail.com</t>
  </si>
  <si>
    <t>Not interested.</t>
  </si>
  <si>
    <t>31.12.2022</t>
  </si>
  <si>
    <t>C2015477</t>
  </si>
  <si>
    <t>AP Enterprise</t>
  </si>
  <si>
    <t>alok90400@gmail.com</t>
  </si>
  <si>
    <t>C2015476</t>
  </si>
  <si>
    <t>Highway Mirchi Hotel Pvt Ltd.</t>
  </si>
  <si>
    <t>CLOSED</t>
  </si>
  <si>
    <t>C2015475</t>
  </si>
  <si>
    <t>Khusi Hotel Kitchen</t>
  </si>
  <si>
    <t>harikrishanjha@gmail.com</t>
  </si>
  <si>
    <t>Ranchi</t>
  </si>
  <si>
    <t>30.12.2022</t>
  </si>
  <si>
    <t>C2015474</t>
  </si>
  <si>
    <t>Aara Commercial Pvt Ltd</t>
  </si>
  <si>
    <t>aaracommercial@gmail.com</t>
  </si>
  <si>
    <t>29.12.2022</t>
  </si>
  <si>
    <t>C2015473</t>
  </si>
  <si>
    <t>ShankaR HembraM</t>
  </si>
  <si>
    <t>shankarhembram1991@gmail.com</t>
  </si>
  <si>
    <t>Biswajit</t>
  </si>
  <si>
    <t>Quoted &amp; material photocopt.</t>
  </si>
  <si>
    <t>C2015472</t>
  </si>
  <si>
    <t>Abdul Abid</t>
  </si>
  <si>
    <t>Ammonium Chloride</t>
  </si>
  <si>
    <t>abid.khan130@gmail.com</t>
  </si>
  <si>
    <t>C2015471</t>
  </si>
  <si>
    <t>Bhargawa Enterprises</t>
  </si>
  <si>
    <t xml:space="preserve">Caustic Soda    </t>
  </si>
  <si>
    <t>bhargawa_entp@rediffmail.com</t>
  </si>
  <si>
    <t>C2015470</t>
  </si>
  <si>
    <t>Tarini Engineering Services</t>
  </si>
  <si>
    <t>Alum Fitkari</t>
  </si>
  <si>
    <t>Paradip</t>
  </si>
  <si>
    <t>28.12.2022</t>
  </si>
  <si>
    <t>C2015469</t>
  </si>
  <si>
    <t>Maa Tarini Agencies</t>
  </si>
  <si>
    <t>maatariniagencies033@gmail.com</t>
  </si>
  <si>
    <t>27.12.2022</t>
  </si>
  <si>
    <t>C2015468</t>
  </si>
  <si>
    <t>Aman Trading</t>
  </si>
  <si>
    <t>aniketshaw2581@gmail.com</t>
  </si>
  <si>
    <t>Kakinara</t>
  </si>
  <si>
    <t>C2015467</t>
  </si>
  <si>
    <t>Kartik Mishra</t>
  </si>
  <si>
    <t>zaighamadv0@gmail.com</t>
  </si>
  <si>
    <t>Medinipur</t>
  </si>
  <si>
    <t>C2015466</t>
  </si>
  <si>
    <t>S R Lifecare</t>
  </si>
  <si>
    <t>Maltodextrin Powder</t>
  </si>
  <si>
    <t>srlifecare49@gmail.com</t>
  </si>
  <si>
    <t>Halisahar</t>
  </si>
  <si>
    <t>26.12.2022</t>
  </si>
  <si>
    <t>C2015465</t>
  </si>
  <si>
    <t>Marisym Biologicals Private Limited</t>
  </si>
  <si>
    <t>Zinc Phosphate</t>
  </si>
  <si>
    <t>purchase@marisymbio.com</t>
  </si>
  <si>
    <t>Coimbatore</t>
  </si>
  <si>
    <t>280/-</t>
  </si>
  <si>
    <t>Rate send</t>
  </si>
  <si>
    <t>C2015464</t>
  </si>
  <si>
    <t>Morison Paints</t>
  </si>
  <si>
    <t>Calcium Carbonate Precipitated</t>
  </si>
  <si>
    <t>neel.soumya24@gmail.com</t>
  </si>
  <si>
    <t>Sodepur</t>
  </si>
  <si>
    <t>Quotation &amp; Spec Sent.</t>
  </si>
  <si>
    <t>C2015463</t>
  </si>
  <si>
    <t>Gopal Singh</t>
  </si>
  <si>
    <t>jagirdar39gs@gmail.com</t>
  </si>
  <si>
    <t>23.12.2022</t>
  </si>
  <si>
    <t>C2015462</t>
  </si>
  <si>
    <t>Pawar Traders</t>
  </si>
  <si>
    <t>bhushanpawar5055@gmail.com</t>
  </si>
  <si>
    <t>Nashik</t>
  </si>
  <si>
    <t>Phone No temporarily out of service</t>
  </si>
  <si>
    <t>C2015461</t>
  </si>
  <si>
    <t>Agni Power Electronics Pvt Ltd</t>
  </si>
  <si>
    <t>soumendu@agnipower.com</t>
  </si>
  <si>
    <t>22.12.2022</t>
  </si>
  <si>
    <t>C2015460</t>
  </si>
  <si>
    <t>Usha Enterprises</t>
  </si>
  <si>
    <t>Sodium Bicarbonate</t>
  </si>
  <si>
    <t>salauddinsheikh@rediffmail.com</t>
  </si>
  <si>
    <t>C2015459</t>
  </si>
  <si>
    <t>AM Khudgarj</t>
  </si>
  <si>
    <t>anindyabhattacharyya1993@gmail.com</t>
  </si>
  <si>
    <t>C2015458</t>
  </si>
  <si>
    <t>Rajiv Agarwal</t>
  </si>
  <si>
    <t>balajeeindustrial14@gmail.com</t>
  </si>
  <si>
    <t>Quoted &amp; Bag Photocopy Sent.</t>
  </si>
  <si>
    <t>FOLLOW UP</t>
  </si>
  <si>
    <t>21.12.2022</t>
  </si>
  <si>
    <t>C2015457</t>
  </si>
  <si>
    <t>K.G.N Construction</t>
  </si>
  <si>
    <t>Asansol</t>
  </si>
  <si>
    <t>C2015456</t>
  </si>
  <si>
    <t>Quality Gases Pvt Ltd.</t>
  </si>
  <si>
    <t>himangshu.bhusan@gmail.com</t>
  </si>
  <si>
    <t>C2015455</t>
  </si>
  <si>
    <t>Faljul Saik</t>
  </si>
  <si>
    <t>C2015454</t>
  </si>
  <si>
    <t>Shubham Panday</t>
  </si>
  <si>
    <t>C2015453</t>
  </si>
  <si>
    <t>Neha Enterprise</t>
  </si>
  <si>
    <t>Sodium Meta Bi Sulphite</t>
  </si>
  <si>
    <t>vickzodiac@gmail.com</t>
  </si>
  <si>
    <t>C2015452</t>
  </si>
  <si>
    <t>SSD Plasto Pvt Ltd.</t>
  </si>
  <si>
    <t>Polyvinyl Chloride</t>
  </si>
  <si>
    <t>ssdplastopvt2022@gmail.com</t>
  </si>
  <si>
    <t>Quotation Sent</t>
  </si>
  <si>
    <t>C2015451</t>
  </si>
  <si>
    <t>Manna Electronics</t>
  </si>
  <si>
    <t>tukaibagnan@gmail.com</t>
  </si>
  <si>
    <t>19.12.2022</t>
  </si>
  <si>
    <t>C2015450</t>
  </si>
  <si>
    <t>Bijan Biju Das</t>
  </si>
  <si>
    <t>bijanbijudas@yahoo.in</t>
  </si>
  <si>
    <t>Quotation Sent &amp; Party Will Inform .</t>
  </si>
  <si>
    <t>17.12.2022</t>
  </si>
  <si>
    <t>C2015449</t>
  </si>
  <si>
    <t>Chandan Polyplast</t>
  </si>
  <si>
    <t>amitdubey744952@gmail.com</t>
  </si>
  <si>
    <t>16.12.2022</t>
  </si>
  <si>
    <t>C2015448</t>
  </si>
  <si>
    <t>Muskan Enterprise</t>
  </si>
  <si>
    <t>Technical Grade Urea.</t>
  </si>
  <si>
    <t>aliulazimsk200596@gmail.com</t>
  </si>
  <si>
    <t>Farakka</t>
  </si>
  <si>
    <t>@62/-</t>
  </si>
  <si>
    <t>Party required sample.</t>
  </si>
  <si>
    <t>Party visited our office for sample collect.</t>
  </si>
  <si>
    <t>C2015447</t>
  </si>
  <si>
    <t>Gold Farm Pvt Ltd.</t>
  </si>
  <si>
    <t>Call Him Next Week.</t>
  </si>
  <si>
    <t>C2015446</t>
  </si>
  <si>
    <t>SS &amp; Heal Enterprises</t>
  </si>
  <si>
    <t>chandangain12@gmail.com</t>
  </si>
  <si>
    <t>Quoted &amp; Spec Sent.</t>
  </si>
  <si>
    <t>C2015445</t>
  </si>
  <si>
    <t>Pradip Kr. Saha</t>
  </si>
  <si>
    <t>Bentonite powder</t>
  </si>
  <si>
    <t>pradipsaha693@gmail.com</t>
  </si>
  <si>
    <t>Price high so that party not interested.</t>
  </si>
  <si>
    <t>C2015444</t>
  </si>
  <si>
    <t>Biswajit Dhara</t>
  </si>
  <si>
    <t>EDTA</t>
  </si>
  <si>
    <t>manishadhada@gmail.com</t>
  </si>
  <si>
    <t>15.12.2022</t>
  </si>
  <si>
    <t>C2015443</t>
  </si>
  <si>
    <t>Charaka INSTITUDE</t>
  </si>
  <si>
    <t>Amit roy</t>
  </si>
  <si>
    <t>Lime Stone Lump</t>
  </si>
  <si>
    <t>iamitroy13@gmail.com</t>
  </si>
  <si>
    <t>Belghoria</t>
  </si>
  <si>
    <t>info call</t>
  </si>
  <si>
    <t>14.12.2022</t>
  </si>
  <si>
    <t>C2015441</t>
  </si>
  <si>
    <t>Abhishek Jain</t>
  </si>
  <si>
    <t>jainendra_jj@yahoo.co.in</t>
  </si>
  <si>
    <t>C2015440</t>
  </si>
  <si>
    <t>Earthyy Bags</t>
  </si>
  <si>
    <t>netmail.rahul@gmail.com</t>
  </si>
  <si>
    <t>Quoted And Photocopy Sent.</t>
  </si>
  <si>
    <t>C2015439</t>
  </si>
  <si>
    <t>B.C Pvt Ltd.</t>
  </si>
  <si>
    <t>rupeshpattanayak@gmail.com</t>
  </si>
  <si>
    <t>C2015438</t>
  </si>
  <si>
    <t>Manas Ranjan</t>
  </si>
  <si>
    <t>Alum, Bleaching</t>
  </si>
  <si>
    <t>manassoren8@gmail.com</t>
  </si>
  <si>
    <t>13.12.2022</t>
  </si>
  <si>
    <t>C2015437</t>
  </si>
  <si>
    <t>Subhankar</t>
  </si>
  <si>
    <t>Quartz Sand</t>
  </si>
  <si>
    <t>kolkata.office20@gmail.com</t>
  </si>
  <si>
    <t>C2015436</t>
  </si>
  <si>
    <t>Kakaci</t>
  </si>
  <si>
    <t>Fertilizer Grade Requirement.</t>
  </si>
  <si>
    <t>LOST</t>
  </si>
  <si>
    <t>C2015435</t>
  </si>
  <si>
    <t>Diptiman Chaudhary</t>
  </si>
  <si>
    <t>diptiman_rc@rediffmail.com</t>
  </si>
  <si>
    <t>Call Not Received.</t>
  </si>
  <si>
    <t>12.12.2022</t>
  </si>
  <si>
    <t>C2015434</t>
  </si>
  <si>
    <t>Lajawab Family Restaurant</t>
  </si>
  <si>
    <t>sumit.rvci@gmail.com</t>
  </si>
  <si>
    <t>9334370482/ 7004174898</t>
  </si>
  <si>
    <t>C2015433</t>
  </si>
  <si>
    <t>SBL Pvt Ltd.</t>
  </si>
  <si>
    <t>Sikkim</t>
  </si>
  <si>
    <t>10.12.2022</t>
  </si>
  <si>
    <t>C2015432</t>
  </si>
  <si>
    <t>South Star Ceramics</t>
  </si>
  <si>
    <t>Magnesite Powder</t>
  </si>
  <si>
    <t>30,00</t>
  </si>
  <si>
    <t>yvnreddy.yvn@gmail.com</t>
  </si>
  <si>
    <t>Andhra Pradesh</t>
  </si>
  <si>
    <t>Sample needed first, arranging sample of Raw Magnasite</t>
  </si>
  <si>
    <t>C2015431</t>
  </si>
  <si>
    <t>Madhulika Inn</t>
  </si>
  <si>
    <t>m_chourasia@madhulikaonline.com</t>
  </si>
  <si>
    <t>09.12.2022</t>
  </si>
  <si>
    <t>C2015430</t>
  </si>
  <si>
    <t>R K Construction</t>
  </si>
  <si>
    <t>rkconstructionak@gmail.com</t>
  </si>
  <si>
    <t>C2015429</t>
  </si>
  <si>
    <t>Sanjoy Sharma</t>
  </si>
  <si>
    <t>Bed Material</t>
  </si>
  <si>
    <t>purchase@yummyfoods.co.in</t>
  </si>
  <si>
    <t>Material Spec And Photo Sent.</t>
  </si>
  <si>
    <t>C2015428</t>
  </si>
  <si>
    <t>Durga Trading</t>
  </si>
  <si>
    <t>msanjoy392@gmail.com</t>
  </si>
  <si>
    <t>Quoted And Photocopy Sent</t>
  </si>
  <si>
    <t>08.12.2022</t>
  </si>
  <si>
    <t>C2015427</t>
  </si>
  <si>
    <t>Zest Enterprises</t>
  </si>
  <si>
    <t>zestenterprises1983@gmail.com</t>
  </si>
  <si>
    <t>Reply not comes from the buyer</t>
  </si>
  <si>
    <t>07.12.2022</t>
  </si>
  <si>
    <t>C2015426</t>
  </si>
  <si>
    <t>Patel Charcoal</t>
  </si>
  <si>
    <t>pateldanish266@gmail.com</t>
  </si>
  <si>
    <t>C2015425</t>
  </si>
  <si>
    <t>Mahender Raj</t>
  </si>
  <si>
    <t>mahenderrikhraj@gmail.com</t>
  </si>
  <si>
    <t>Spec And Rate Quoted,</t>
  </si>
  <si>
    <t>06.12.2022</t>
  </si>
  <si>
    <t>C2015424</t>
  </si>
  <si>
    <t>Khush Md Ansari</t>
  </si>
  <si>
    <t>kgnconstruction.travels@gmail.com</t>
  </si>
  <si>
    <t>Not Interested.</t>
  </si>
  <si>
    <t>C2015423</t>
  </si>
  <si>
    <t>Sunil Chemical</t>
  </si>
  <si>
    <t>Sodium Thiosufate</t>
  </si>
  <si>
    <t>05.12.2022</t>
  </si>
  <si>
    <t>C2015422</t>
  </si>
  <si>
    <t>Saj Baba Traders</t>
  </si>
  <si>
    <t>C2015421</t>
  </si>
  <si>
    <t>Rajesh Kabra</t>
  </si>
  <si>
    <t>Graphite Powder</t>
  </si>
  <si>
    <t>rajeshkabra91@gmail.com</t>
  </si>
  <si>
    <t>03.12.2022</t>
  </si>
  <si>
    <t>C2015420</t>
  </si>
  <si>
    <t>Vivek Enterprises</t>
  </si>
  <si>
    <t>pankajkumarjalan12141@gmail.com</t>
  </si>
  <si>
    <t>C2015419</t>
  </si>
  <si>
    <t>Biplab Chakraborty</t>
  </si>
  <si>
    <t>Industrial Salt</t>
  </si>
  <si>
    <t>biplab81.chakraborty@rediffmail.com</t>
  </si>
  <si>
    <t>C2015418</t>
  </si>
  <si>
    <t>Alzeba Traders</t>
  </si>
  <si>
    <t>Titanium Dioxide</t>
  </si>
  <si>
    <t>shafquat.nasim@gmail.com</t>
  </si>
  <si>
    <t>02.12.2022</t>
  </si>
  <si>
    <t>C2015417</t>
  </si>
  <si>
    <t>Madhu Sudan Joshi</t>
  </si>
  <si>
    <t>C2015416</t>
  </si>
  <si>
    <t>Kataria Vegetable Service</t>
  </si>
  <si>
    <t>sumitkataria214@gmail.com</t>
  </si>
  <si>
    <t>C2015415</t>
  </si>
  <si>
    <t>Hi-Tech Minerals &amp; Chemicals</t>
  </si>
  <si>
    <t>Ferric Alum powder</t>
  </si>
  <si>
    <t>imaqbool801@gmail.com</t>
  </si>
  <si>
    <t>Biswajit Da.</t>
  </si>
  <si>
    <t>Quoted, Specification send.</t>
  </si>
  <si>
    <t>C2015414</t>
  </si>
  <si>
    <t>Jay Shankar Ray</t>
  </si>
  <si>
    <t>rayshankar123@gmail.com</t>
  </si>
  <si>
    <t>01.12.2022</t>
  </si>
  <si>
    <t>C2015413</t>
  </si>
  <si>
    <t>Rohit Ferro Tech Ltd.</t>
  </si>
  <si>
    <t>r.p.agarwal@skpgroup.in</t>
  </si>
  <si>
    <t>C2015412</t>
  </si>
  <si>
    <t>Bala Exim</t>
  </si>
  <si>
    <t>balaexim5@gmail.com</t>
  </si>
  <si>
    <t>Nadia</t>
  </si>
  <si>
    <t>C2015411</t>
  </si>
  <si>
    <t>T S Medinova</t>
  </si>
  <si>
    <t>bhabanishankar1984@gmail.com</t>
  </si>
  <si>
    <t>30.11.2022</t>
  </si>
  <si>
    <t>C2015410</t>
  </si>
  <si>
    <t>Sarkar Enterprises</t>
  </si>
  <si>
    <t>Maize Stach</t>
  </si>
  <si>
    <t>C2015409</t>
  </si>
  <si>
    <t>Nitish Ranjan Biswas</t>
  </si>
  <si>
    <t>Di Calcium Phosphate</t>
  </si>
  <si>
    <t>nbbeverage@gmail.com</t>
  </si>
  <si>
    <t>29.11.2022</t>
  </si>
  <si>
    <t>C2015408</t>
  </si>
  <si>
    <t>Prabir Das</t>
  </si>
  <si>
    <t>prabir.param@gmail.com</t>
  </si>
  <si>
    <t>28.11.2022</t>
  </si>
  <si>
    <t>C2015407</t>
  </si>
  <si>
    <t>Akash Mondal</t>
  </si>
  <si>
    <t>Salt</t>
  </si>
  <si>
    <t>akashmondal1990a@gmail.com</t>
  </si>
  <si>
    <t>South 24 Pgs</t>
  </si>
  <si>
    <t>not interested.</t>
  </si>
  <si>
    <t>C2015406</t>
  </si>
  <si>
    <t>Sanjha Chullah Restaurant</t>
  </si>
  <si>
    <t>C2015405</t>
  </si>
  <si>
    <t>Zaheer Motors</t>
  </si>
  <si>
    <t>C2015404</t>
  </si>
  <si>
    <t>Saswati</t>
  </si>
  <si>
    <t>Silicon Dioxide</t>
  </si>
  <si>
    <t>smajumdar1980@gmail.com</t>
  </si>
  <si>
    <t>26.11.2022</t>
  </si>
  <si>
    <t>C2015403</t>
  </si>
  <si>
    <t>Sumonta Mondal</t>
  </si>
  <si>
    <t>sumonta143@gmail.com</t>
  </si>
  <si>
    <t>C2015402</t>
  </si>
  <si>
    <t>D.Dey</t>
  </si>
  <si>
    <t>C2015401</t>
  </si>
  <si>
    <t>Gopal</t>
  </si>
  <si>
    <t>C2015400</t>
  </si>
  <si>
    <t>Metropoliton Industries</t>
  </si>
  <si>
    <t>Charcoal, Salt</t>
  </si>
  <si>
    <t>neelotpalmechanical@gmail.com</t>
  </si>
  <si>
    <t>25.11.2022</t>
  </si>
  <si>
    <t>C2015399</t>
  </si>
  <si>
    <t>Advance Infrastructure Pvt Ltd.</t>
  </si>
  <si>
    <t>Bentonite, Gypsum , Sodium Sulphate Powder</t>
  </si>
  <si>
    <t>Nayagarh</t>
  </si>
  <si>
    <t>C2015398</t>
  </si>
  <si>
    <t>Piyush Nagelia</t>
  </si>
  <si>
    <t>Zircon Flour</t>
  </si>
  <si>
    <t>shanti_cement@rediffmail.com</t>
  </si>
  <si>
    <t>C2015397</t>
  </si>
  <si>
    <t>Hare Krishna Behera</t>
  </si>
  <si>
    <t>No requirement.</t>
  </si>
  <si>
    <t>C2015396</t>
  </si>
  <si>
    <t>Baidya Enterprise</t>
  </si>
  <si>
    <t>noorislambaidya@gmail.com</t>
  </si>
  <si>
    <t>24.11.2022</t>
  </si>
  <si>
    <t>C2015395</t>
  </si>
  <si>
    <t>Kaushik</t>
  </si>
  <si>
    <t>sudipchakraborty158@gmail.com</t>
  </si>
  <si>
    <t>C2015394</t>
  </si>
  <si>
    <t>Everest Industries Ltd.</t>
  </si>
  <si>
    <t>anayak@everestind.com</t>
  </si>
  <si>
    <t>C2015393</t>
  </si>
  <si>
    <t>Pranav Kr Giri</t>
  </si>
  <si>
    <t>pranabgiri@starcement.co.in</t>
  </si>
  <si>
    <t>18/-</t>
  </si>
  <si>
    <t>23.11.2022</t>
  </si>
  <si>
    <t>C2015392</t>
  </si>
  <si>
    <t>Industrial Sales &amp; Service Co.</t>
  </si>
  <si>
    <t>Magnesium Chloride</t>
  </si>
  <si>
    <t>issc_bbsr@rediffmail.com</t>
  </si>
  <si>
    <t>Photocopy Sent.</t>
  </si>
  <si>
    <t>22.11.2022</t>
  </si>
  <si>
    <t>C2015391</t>
  </si>
  <si>
    <t>Santosh Shaw</t>
  </si>
  <si>
    <t>s.shaw933@gmail.com</t>
  </si>
  <si>
    <t>Rate High, Party Target Price FOR 6/-</t>
  </si>
  <si>
    <t>21.11.2022</t>
  </si>
  <si>
    <t>C2015390</t>
  </si>
  <si>
    <t>Sona Food</t>
  </si>
  <si>
    <t>sonaafood21@outlook.com</t>
  </si>
  <si>
    <t>Mumbai</t>
  </si>
  <si>
    <t>Party needs in 25 kgs bag, which we are not getting</t>
  </si>
  <si>
    <t>C2015389</t>
  </si>
  <si>
    <t>Ramkrishna Kumar</t>
  </si>
  <si>
    <t>ramakrishnapvtltd4@gmail.com</t>
  </si>
  <si>
    <t>19.11.2022</t>
  </si>
  <si>
    <t>C2015388</t>
  </si>
  <si>
    <t>S.D.M Agencies Pvt Ltd.</t>
  </si>
  <si>
    <t>Calcium Chloride Fused</t>
  </si>
  <si>
    <t>manishsethia123@gmail.com</t>
  </si>
  <si>
    <t>Party Requirement Lumps.</t>
  </si>
  <si>
    <t>C2015387</t>
  </si>
  <si>
    <t>Drytec Industries</t>
  </si>
  <si>
    <t>Calcium Chloride Prills</t>
  </si>
  <si>
    <t>paramjeetsinghonline@gmail.com</t>
  </si>
  <si>
    <t>Rate High</t>
  </si>
  <si>
    <t>C2015386</t>
  </si>
  <si>
    <t>Capricans Aqua Pvt Ltd.</t>
  </si>
  <si>
    <t>capricans@gmail.com</t>
  </si>
  <si>
    <t>Party Target Price 6/-.</t>
  </si>
  <si>
    <t>C2015385</t>
  </si>
  <si>
    <t>Purna Chander K</t>
  </si>
  <si>
    <t>Tributyl Amine</t>
  </si>
  <si>
    <t>exports@prasannabiomolecules.com</t>
  </si>
  <si>
    <t>Hyderabad</t>
  </si>
  <si>
    <t>Party gets rate of 225/-, our lowest rate is 260/-</t>
  </si>
  <si>
    <t>18.11.2022</t>
  </si>
  <si>
    <t>C2015384</t>
  </si>
  <si>
    <t>Surendra Nath Swain</t>
  </si>
  <si>
    <t>swain.sachitra83@gmail.com</t>
  </si>
  <si>
    <t>Paradeep</t>
  </si>
  <si>
    <t>Party Target Price 7.10/- FOR.</t>
  </si>
  <si>
    <t>C2015383</t>
  </si>
  <si>
    <t>S.K.Singh</t>
  </si>
  <si>
    <t>skrishana878@gmail.com</t>
  </si>
  <si>
    <t>C2015382</t>
  </si>
  <si>
    <t>Shahina Paints &amp; Graphic</t>
  </si>
  <si>
    <t xml:space="preserve">Nitrobenzene   </t>
  </si>
  <si>
    <t>shahidparvez96@gmail.com</t>
  </si>
  <si>
    <t>C2015381</t>
  </si>
  <si>
    <t>Abhishek Kumar</t>
  </si>
  <si>
    <t>abhishek.kumar.callf@gmail.com</t>
  </si>
  <si>
    <t>17.11.2022</t>
  </si>
  <si>
    <t>C2015380</t>
  </si>
  <si>
    <t>Symbiosis Biotech</t>
  </si>
  <si>
    <t>Propionic Acid</t>
  </si>
  <si>
    <t>deepakpoddar8480@gmail.com</t>
  </si>
  <si>
    <t>Food Grade needed</t>
  </si>
  <si>
    <t>16.11.2022</t>
  </si>
  <si>
    <t>C2015379</t>
  </si>
  <si>
    <t>Maa Trader</t>
  </si>
  <si>
    <t>Quoted And Photocopy Send.</t>
  </si>
  <si>
    <t>C2015378</t>
  </si>
  <si>
    <t>Asian Energy Services Ltd</t>
  </si>
  <si>
    <t>Alum Powder</t>
  </si>
  <si>
    <t>amansharmaa2021@gmail.com</t>
  </si>
  <si>
    <t>C2015377</t>
  </si>
  <si>
    <t>M.Mohan Raja</t>
  </si>
  <si>
    <t>mohanrajmnm@gmail.com</t>
  </si>
  <si>
    <t>Madurai</t>
  </si>
  <si>
    <t>15.11.2022</t>
  </si>
  <si>
    <t>C2015376</t>
  </si>
  <si>
    <t>Rajeev Agarwal</t>
  </si>
  <si>
    <t>C2015375</t>
  </si>
  <si>
    <t>Maya Biotech</t>
  </si>
  <si>
    <t>Di Methyl Ether</t>
  </si>
  <si>
    <t>mayabiotech@gmail.com</t>
  </si>
  <si>
    <t>Pharma Grade material needed</t>
  </si>
  <si>
    <t>C2015374</t>
  </si>
  <si>
    <t>Sundar Enterprises</t>
  </si>
  <si>
    <t>sundarenterprises99@gmail.com</t>
  </si>
  <si>
    <t>Jamshedpur</t>
  </si>
  <si>
    <t>C2015373</t>
  </si>
  <si>
    <t>K S Enterprises</t>
  </si>
  <si>
    <t>pabitra.bck@gmail.com</t>
  </si>
  <si>
    <t>Midnapore</t>
  </si>
  <si>
    <t>C2015372</t>
  </si>
  <si>
    <t>Earth Seasanable</t>
  </si>
  <si>
    <t>katariyagaurav57@gmail.com</t>
  </si>
  <si>
    <t>Kharagpur</t>
  </si>
  <si>
    <t>14.11.2022</t>
  </si>
  <si>
    <t>C2015371</t>
  </si>
  <si>
    <t xml:space="preserve">Ansar Trading </t>
  </si>
  <si>
    <t>aahilzee1979@gmail.com</t>
  </si>
  <si>
    <t>C2015370</t>
  </si>
  <si>
    <t>Aros Enterprises</t>
  </si>
  <si>
    <t>9/- / 12/-</t>
  </si>
  <si>
    <t>Party requires Sample.</t>
  </si>
  <si>
    <t>C2015369</t>
  </si>
  <si>
    <t>SK Hasibur</t>
  </si>
  <si>
    <t>Quoted And Product List Sent.</t>
  </si>
  <si>
    <t>12.11.2022</t>
  </si>
  <si>
    <t>C2015368</t>
  </si>
  <si>
    <t>Puneet Agarwal</t>
  </si>
  <si>
    <t>Carbon Black</t>
  </si>
  <si>
    <t>puneet.agwl@yahoo.com</t>
  </si>
  <si>
    <t>Quoted And Spec Sent.</t>
  </si>
  <si>
    <t>C2015367</t>
  </si>
  <si>
    <t>Ravindra Prajapati</t>
  </si>
  <si>
    <t>palkishan611@gmail.com</t>
  </si>
  <si>
    <t>Uttarakhand</t>
  </si>
  <si>
    <t>Incoming call are not available on this no</t>
  </si>
  <si>
    <t>11.11.2022</t>
  </si>
  <si>
    <t>C2015366</t>
  </si>
  <si>
    <t>RS Enterprises</t>
  </si>
  <si>
    <t>Quoted And material photo copy Sent.</t>
  </si>
  <si>
    <t>C2015365</t>
  </si>
  <si>
    <t>S.D Enterprise</t>
  </si>
  <si>
    <t>sdenterprise.india@gmail.com</t>
  </si>
  <si>
    <t>09.11.2022</t>
  </si>
  <si>
    <t>C2015364</t>
  </si>
  <si>
    <t>Aradhya Traders</t>
  </si>
  <si>
    <t>Calcined Alumina Powder</t>
  </si>
  <si>
    <t>aaraadhyatraders@gmail.com</t>
  </si>
  <si>
    <t>Not reachable, (Call thrice)</t>
  </si>
  <si>
    <t>C2015363</t>
  </si>
  <si>
    <t>Shree Ram Raut</t>
  </si>
  <si>
    <t>Soda Ash Light</t>
  </si>
  <si>
    <t>mail4shreeram@gmail.com</t>
  </si>
  <si>
    <t>Material req at Patna, said Pinaki to communicate</t>
  </si>
  <si>
    <t>08.11.2022</t>
  </si>
  <si>
    <t>C2015362</t>
  </si>
  <si>
    <t>Manish</t>
  </si>
  <si>
    <t>Chennai</t>
  </si>
  <si>
    <t>vivek Sir</t>
  </si>
  <si>
    <t>They are the seller (DCM Shriram)</t>
  </si>
  <si>
    <t>C2015361</t>
  </si>
  <si>
    <t>Abhjit Exports &amp; Import</t>
  </si>
  <si>
    <t>kkrranaycs183@gmail.com</t>
  </si>
  <si>
    <t>Quotation Send.</t>
  </si>
  <si>
    <t>07.11.2022</t>
  </si>
  <si>
    <t>C2015360</t>
  </si>
  <si>
    <t>Sami Engineering</t>
  </si>
  <si>
    <t>samienggworks@hotmail.com</t>
  </si>
  <si>
    <t>C2015359</t>
  </si>
  <si>
    <t>Caviar Co.</t>
  </si>
  <si>
    <t>Sample Require.</t>
  </si>
  <si>
    <t>C2015358</t>
  </si>
  <si>
    <t>Rohit Kasera</t>
  </si>
  <si>
    <t>shribalaji.exports@yahoo.com</t>
  </si>
  <si>
    <t>05.11.2022</t>
  </si>
  <si>
    <t>C2015357</t>
  </si>
  <si>
    <t>Bapi</t>
  </si>
  <si>
    <t>bapigouda339@gmail.com</t>
  </si>
  <si>
    <t>C2015356</t>
  </si>
  <si>
    <t>Samadhan Patil</t>
  </si>
  <si>
    <t>samadhan5771@gmail.com</t>
  </si>
  <si>
    <t>Jalgaon</t>
  </si>
  <si>
    <t>Need material in powder form</t>
  </si>
  <si>
    <t>C2015355</t>
  </si>
  <si>
    <t>Bappa Laskar</t>
  </si>
  <si>
    <t>alaskarseeds@gmail.com</t>
  </si>
  <si>
    <t>Rate And Material Photocopy Send.</t>
  </si>
  <si>
    <t>C2015354</t>
  </si>
  <si>
    <t xml:space="preserve">Asim   </t>
  </si>
  <si>
    <t>asimsayyed3377@gmail.com</t>
  </si>
  <si>
    <t>Not req now, only rate checking</t>
  </si>
  <si>
    <t>C2015353</t>
  </si>
  <si>
    <t>Sabina Enterprises</t>
  </si>
  <si>
    <t>ptma.chemical@gmail.com</t>
  </si>
  <si>
    <t>04.11.2022</t>
  </si>
  <si>
    <t>C2015352</t>
  </si>
  <si>
    <t>Bisambhar Kumar Singh</t>
  </si>
  <si>
    <t>princegovind0199@gmail.com</t>
  </si>
  <si>
    <t>Quotation And Photocopy Sent</t>
  </si>
  <si>
    <t>C2015351</t>
  </si>
  <si>
    <t>Om Agarwal</t>
  </si>
  <si>
    <t>Zinc Stearate</t>
  </si>
  <si>
    <t>hd_agarwalla@yahoo.co.in</t>
  </si>
  <si>
    <t>C2015350</t>
  </si>
  <si>
    <t>Surykanta Pradhan</t>
  </si>
  <si>
    <t>pkpbuildcon@gmail.com</t>
  </si>
  <si>
    <t>C2015349</t>
  </si>
  <si>
    <t>The Bharat Battery Mfg.Co P Ltd</t>
  </si>
  <si>
    <t>Barium Sulphate</t>
  </si>
  <si>
    <t>sumitsaha75@yahoo.in</t>
  </si>
  <si>
    <t>kolkata</t>
  </si>
  <si>
    <t>87775 31602</t>
  </si>
  <si>
    <t>Quotation and Specification send,next required sample.</t>
  </si>
  <si>
    <t>Send the sample by courier.</t>
  </si>
  <si>
    <t>03.11.2022</t>
  </si>
  <si>
    <t>C2015348</t>
  </si>
  <si>
    <t>Garware Paints Limited</t>
  </si>
  <si>
    <t>ankurgarware@gmail.com</t>
  </si>
  <si>
    <t>Kanpur</t>
  </si>
  <si>
    <t>Need locally from Kanpur</t>
  </si>
  <si>
    <t>02.11.2022</t>
  </si>
  <si>
    <t>C2015347</t>
  </si>
  <si>
    <t>S.K Ghosh</t>
  </si>
  <si>
    <t>pccoloursoft@gmail.com</t>
  </si>
  <si>
    <t>Quotation And Photocopy Send.</t>
  </si>
  <si>
    <t>C2015346</t>
  </si>
  <si>
    <t>Biotis</t>
  </si>
  <si>
    <t>sivakumarrajug7@gmail.com</t>
  </si>
  <si>
    <t>Telegana</t>
  </si>
  <si>
    <t>01.11.2022</t>
  </si>
  <si>
    <t>C2015345</t>
  </si>
  <si>
    <t>Pavan Mahajan</t>
  </si>
  <si>
    <t>C2015344</t>
  </si>
  <si>
    <t>Sankar Sekhar Jana</t>
  </si>
  <si>
    <t>ray.81sujay@gmail.com</t>
  </si>
  <si>
    <t>Paschim Medinipur</t>
  </si>
  <si>
    <t>31.10.2022</t>
  </si>
  <si>
    <t>C2015343</t>
  </si>
  <si>
    <t>Metal &amp; Chemical supply</t>
  </si>
  <si>
    <t>msmetalchemical786@gmail.com</t>
  </si>
  <si>
    <t xml:space="preserve">Biswajit </t>
  </si>
  <si>
    <t>Quoted, send bag photocopy two type.</t>
  </si>
  <si>
    <t>C2015342</t>
  </si>
  <si>
    <t>Abhisek International</t>
  </si>
  <si>
    <t>abhisekinternational1@gmail.com</t>
  </si>
  <si>
    <t>29.10.2022</t>
  </si>
  <si>
    <t>C2015341</t>
  </si>
  <si>
    <t>Jyoti Das</t>
  </si>
  <si>
    <t>C2015340</t>
  </si>
  <si>
    <t>Chandneshwar Fertilizer</t>
  </si>
  <si>
    <t>Nitrobenzene, Bentonite Granules</t>
  </si>
  <si>
    <t>bmripl.nanigopal@gmail.com</t>
  </si>
  <si>
    <t>Digha</t>
  </si>
  <si>
    <t>C2015339</t>
  </si>
  <si>
    <t>B N Traders</t>
  </si>
  <si>
    <t>bntraders226@gmail.com</t>
  </si>
  <si>
    <t>28.10.2022</t>
  </si>
  <si>
    <t>C2015338</t>
  </si>
  <si>
    <t>PRAMOD PATNAIK</t>
  </si>
  <si>
    <t>Caustic Soda lye</t>
  </si>
  <si>
    <t>sankhipt@gmail.com</t>
  </si>
  <si>
    <t>C2015337</t>
  </si>
  <si>
    <t>Arjun</t>
  </si>
  <si>
    <t>arifshaikhtarzan1292@gmail.com</t>
  </si>
  <si>
    <t>C2015336</t>
  </si>
  <si>
    <t>Narmada Agencies</t>
  </si>
  <si>
    <t>26.10.2022</t>
  </si>
  <si>
    <t>C2015335</t>
  </si>
  <si>
    <t>Sanjeev Kumar</t>
  </si>
  <si>
    <t>Craboriser</t>
  </si>
  <si>
    <t>sk240280@gmail.com</t>
  </si>
  <si>
    <t>Raigarh</t>
  </si>
  <si>
    <t>C2015334</t>
  </si>
  <si>
    <t>Purniya Enterprises</t>
  </si>
  <si>
    <t>amitbarman903@gmail.com</t>
  </si>
  <si>
    <t>C2015333</t>
  </si>
  <si>
    <t>Moon Light</t>
  </si>
  <si>
    <t>faridhussain9931235255@gmail.com</t>
  </si>
  <si>
    <t>C2015332</t>
  </si>
  <si>
    <t>Asim Sil</t>
  </si>
  <si>
    <t>C2015331</t>
  </si>
  <si>
    <t>Sahoo Enterprises</t>
  </si>
  <si>
    <t>Quoted And PI Sent.</t>
  </si>
  <si>
    <t>Order Confirmed And Payment Received.</t>
  </si>
  <si>
    <t>22.10.2022</t>
  </si>
  <si>
    <t>C2015330</t>
  </si>
  <si>
    <t>NSN Trading</t>
  </si>
  <si>
    <t>nsntrading2021@gmail.com</t>
  </si>
  <si>
    <t>Sheelanagar</t>
  </si>
  <si>
    <t>C2015329</t>
  </si>
  <si>
    <t>Risaf International Pvt Ltd.</t>
  </si>
  <si>
    <t>nizam_babloo@yahoo.com</t>
  </si>
  <si>
    <t>Quotation &amp; Specification Sent.</t>
  </si>
  <si>
    <t>21.10.2022</t>
  </si>
  <si>
    <t>C2015328</t>
  </si>
  <si>
    <t>Subhendu Bhowmick</t>
  </si>
  <si>
    <t>anand.vet10@gmail.com</t>
  </si>
  <si>
    <t>requirement only 1 bag.</t>
  </si>
  <si>
    <t>C2015327</t>
  </si>
  <si>
    <t>Sarvasiddhi Agrotech(P) Ltd.</t>
  </si>
  <si>
    <t>Tripura</t>
  </si>
  <si>
    <t>C2015326</t>
  </si>
  <si>
    <t>Shiv Shakti Techno</t>
  </si>
  <si>
    <t>Sodium Ligno Sulphonate</t>
  </si>
  <si>
    <t>@82/-</t>
  </si>
  <si>
    <t>C2015325</t>
  </si>
  <si>
    <t>Alok Telecom</t>
  </si>
  <si>
    <t>kumar.nitesh155@hotmail.com</t>
  </si>
  <si>
    <t>C2015324</t>
  </si>
  <si>
    <t>Pradipto Biswas</t>
  </si>
  <si>
    <t>Zeolite Granules</t>
  </si>
  <si>
    <t>biswas.pradipto@gmail.com</t>
  </si>
  <si>
    <t>20.10.2022</t>
  </si>
  <si>
    <t>C2015323</t>
  </si>
  <si>
    <t>Enviro Research</t>
  </si>
  <si>
    <t>sikdarmanask@yahoo.com</t>
  </si>
  <si>
    <t>C2015322</t>
  </si>
  <si>
    <t>Bijesh Singh</t>
  </si>
  <si>
    <t>singh.brijesh.brijesh@gmail.com</t>
  </si>
  <si>
    <t>C2015321</t>
  </si>
  <si>
    <t>Santosh Das</t>
  </si>
  <si>
    <t>Limestone Lump</t>
  </si>
  <si>
    <t>das387558@gmail.com</t>
  </si>
  <si>
    <t>C2015320</t>
  </si>
  <si>
    <t>Modak Sweets</t>
  </si>
  <si>
    <t>pabanmodak1967@gmail.com</t>
  </si>
  <si>
    <t>19.10.2022</t>
  </si>
  <si>
    <t>C2015319</t>
  </si>
  <si>
    <t>Sofikul Molla</t>
  </si>
  <si>
    <t>mollasofikul682@gmail.com</t>
  </si>
  <si>
    <t>C2015318</t>
  </si>
  <si>
    <t>APZ Water Purifier</t>
  </si>
  <si>
    <t xml:space="preserve">Sodium Aluminate   </t>
  </si>
  <si>
    <t>omprakashatzsss@gmail.com</t>
  </si>
  <si>
    <t>C2015317</t>
  </si>
  <si>
    <t>SZ Enterprise</t>
  </si>
  <si>
    <t>rcm.alam@yahoo.com</t>
  </si>
  <si>
    <t>Alipurduar</t>
  </si>
  <si>
    <t>Quoted And Video Sent.</t>
  </si>
  <si>
    <t>C2015316</t>
  </si>
  <si>
    <t>R K Enterprise</t>
  </si>
  <si>
    <t>Low Quantity Requirement.</t>
  </si>
  <si>
    <t>18.10.2022</t>
  </si>
  <si>
    <t>C2015315</t>
  </si>
  <si>
    <t>Waker Akib Molla</t>
  </si>
  <si>
    <t>Turpentine Oil</t>
  </si>
  <si>
    <t>ronimolla374@gmail.com</t>
  </si>
  <si>
    <t>C2015314</t>
  </si>
  <si>
    <t>Dip Roy</t>
  </si>
  <si>
    <t>disharicard@gmail.com</t>
  </si>
  <si>
    <t>Nimta</t>
  </si>
  <si>
    <t>17.10.2022</t>
  </si>
  <si>
    <t>C2015313</t>
  </si>
  <si>
    <t>Infoway</t>
  </si>
  <si>
    <t>infoway.krishnagar@gmail.com</t>
  </si>
  <si>
    <t>Krishnanagar</t>
  </si>
  <si>
    <t>C2015312</t>
  </si>
  <si>
    <t xml:space="preserve">Melbrow </t>
  </si>
  <si>
    <t>Dolomite Chips</t>
  </si>
  <si>
    <t>melbrow.purchase@gmail.com</t>
  </si>
  <si>
    <t>Baruipur</t>
  </si>
  <si>
    <t>15.10.2022</t>
  </si>
  <si>
    <t>C2015311</t>
  </si>
  <si>
    <t>Pankaj Agrawal</t>
  </si>
  <si>
    <t>pankajagrawal575@gmail.com</t>
  </si>
  <si>
    <t>MP</t>
  </si>
  <si>
    <t>C2015310</t>
  </si>
  <si>
    <t>Balaji Associate</t>
  </si>
  <si>
    <t>Party requirement china brand.</t>
  </si>
  <si>
    <t>C2015309</t>
  </si>
  <si>
    <t>Vikram</t>
  </si>
  <si>
    <t>vikramkr076@gmail.com</t>
  </si>
  <si>
    <t>14.10.2022</t>
  </si>
  <si>
    <t>C2015308</t>
  </si>
  <si>
    <t>Health Plus India</t>
  </si>
  <si>
    <t>Hydrazine Hydrate</t>
  </si>
  <si>
    <t>pallabroy70@gmail.com</t>
  </si>
  <si>
    <t>C2015307</t>
  </si>
  <si>
    <t>Partyusha Dhanuka</t>
  </si>
  <si>
    <t>Kcl,Boric Acid</t>
  </si>
  <si>
    <t>dhanukapratyush@gmail.com</t>
  </si>
  <si>
    <t>C2015306</t>
  </si>
  <si>
    <t>Jitendar Singh</t>
  </si>
  <si>
    <t>Aliporeduar</t>
  </si>
  <si>
    <t>13.10.2022</t>
  </si>
  <si>
    <t>C2015305</t>
  </si>
  <si>
    <t>Sri Venkata Ganapathi Enterprises</t>
  </si>
  <si>
    <t>kollimsbi@gmail.com</t>
  </si>
  <si>
    <t>AP</t>
  </si>
  <si>
    <t>C2015304</t>
  </si>
  <si>
    <t>Shivam Biotech</t>
  </si>
  <si>
    <t>naveen7585@gmail.com</t>
  </si>
  <si>
    <t>Call Not Received (2)</t>
  </si>
  <si>
    <t>12.10.2022</t>
  </si>
  <si>
    <t>C2015303</t>
  </si>
  <si>
    <t>Naveen Trading</t>
  </si>
  <si>
    <t>officialnavitam1307@gmail.com</t>
  </si>
  <si>
    <t>C2015302</t>
  </si>
  <si>
    <t>Matri Hardware</t>
  </si>
  <si>
    <t>matrihardware786@gmail.com</t>
  </si>
  <si>
    <t>11.10.2022</t>
  </si>
  <si>
    <t>C2015301</t>
  </si>
  <si>
    <t>Sushant</t>
  </si>
  <si>
    <t>sushantapanigrahi.jsg@gmail.com</t>
  </si>
  <si>
    <t>not available.</t>
  </si>
  <si>
    <t>10.10.2022</t>
  </si>
  <si>
    <t>C2015300</t>
  </si>
  <si>
    <t>Hotel Samrat</t>
  </si>
  <si>
    <t>Earthing Charcoal</t>
  </si>
  <si>
    <t>amitkumarsarkar.bhb@gmail.com</t>
  </si>
  <si>
    <t>Baharampur</t>
  </si>
  <si>
    <t>C2015299</t>
  </si>
  <si>
    <t>Rakesh Kulkarni</t>
  </si>
  <si>
    <t>Olivine Sand</t>
  </si>
  <si>
    <t>miswacorporation@gmail.com</t>
  </si>
  <si>
    <t>Sources coming from Salem</t>
  </si>
  <si>
    <t>C2015298</t>
  </si>
  <si>
    <t>Shakti Industrial Agency</t>
  </si>
  <si>
    <t>er.anup.anand@gmail.com</t>
  </si>
  <si>
    <t>C2015297</t>
  </si>
  <si>
    <t>Shyam Industries</t>
  </si>
  <si>
    <t>shyamindustries1620@gmail.com</t>
  </si>
  <si>
    <t>Today Party Will Come To Visit  Our Material.</t>
  </si>
  <si>
    <t>C2015296</t>
  </si>
  <si>
    <t>Suprabhat Ghosh</t>
  </si>
  <si>
    <t>suprabhatghosh.127@gmail.com</t>
  </si>
  <si>
    <t>material Photo And Rate Quoted.</t>
  </si>
  <si>
    <t>08.10.2022</t>
  </si>
  <si>
    <t>C2015295</t>
  </si>
  <si>
    <t>beherab240@gmail.com</t>
  </si>
  <si>
    <t>07.10.2022</t>
  </si>
  <si>
    <t>C2015294</t>
  </si>
  <si>
    <t>Sri Thameen Mines &amp; Minerals</t>
  </si>
  <si>
    <t>harivasanthram5@gmail.com</t>
  </si>
  <si>
    <t>Quotation And Sample Sent.</t>
  </si>
  <si>
    <t>C2015293</t>
  </si>
  <si>
    <t>Kishor Jalan</t>
  </si>
  <si>
    <t>Crystal Alum</t>
  </si>
  <si>
    <t>ntraders64@gmail.com</t>
  </si>
  <si>
    <t>Party already purchase in local area.</t>
  </si>
  <si>
    <t>C2015292</t>
  </si>
  <si>
    <t>M R Chemicals</t>
  </si>
  <si>
    <t>rinkunenwani9674@gmail.com</t>
  </si>
  <si>
    <t>Ahmedabad</t>
  </si>
  <si>
    <t>Busines Purpose</t>
  </si>
  <si>
    <t>Needed Indo-fill, and we have, Grasim and UPL</t>
  </si>
  <si>
    <t>C2015291</t>
  </si>
  <si>
    <t>Maa Enterprises</t>
  </si>
  <si>
    <t>Ferric Chloride</t>
  </si>
  <si>
    <t>tarinibiochem@gmail.com</t>
  </si>
  <si>
    <t>C2015290</t>
  </si>
  <si>
    <t>Ujjal Cattle Feed</t>
  </si>
  <si>
    <t>anuraggupta050698@gmail.com</t>
  </si>
  <si>
    <t>06.10.2022</t>
  </si>
  <si>
    <t>C2015289</t>
  </si>
  <si>
    <t>Sai Baba Construction</t>
  </si>
  <si>
    <t>samitsawant1986@gmail.com</t>
  </si>
  <si>
    <t>Needed for Hotel Industry</t>
  </si>
  <si>
    <t>C2015288</t>
  </si>
  <si>
    <t xml:space="preserve">Asif   </t>
  </si>
  <si>
    <t>asifadhdare256@gmail.com</t>
  </si>
  <si>
    <t xml:space="preserve">Busy, he will call </t>
  </si>
  <si>
    <t>C2015287</t>
  </si>
  <si>
    <t>Rambabu Sharma</t>
  </si>
  <si>
    <t>sharmarambabueko123@gmail.com</t>
  </si>
  <si>
    <t>Guwahati</t>
  </si>
  <si>
    <t>C2015286</t>
  </si>
  <si>
    <t>Avik Javed</t>
  </si>
  <si>
    <t>rokykhan07@gmail.com</t>
  </si>
  <si>
    <t>not confirmed.</t>
  </si>
  <si>
    <t>C2015285</t>
  </si>
  <si>
    <t>Rakesh Singh</t>
  </si>
  <si>
    <t>rakesh1998@gmail.com</t>
  </si>
  <si>
    <t>01.08.2022</t>
  </si>
  <si>
    <t>C2015284</t>
  </si>
  <si>
    <t>Manoj Roy</t>
  </si>
  <si>
    <t>manojroy308@yahoo.com</t>
  </si>
  <si>
    <t>Jaygaon,kolkata</t>
  </si>
  <si>
    <t>C2015283</t>
  </si>
  <si>
    <t>Universal Sales Corpn</t>
  </si>
  <si>
    <t>Crystal Salt</t>
  </si>
  <si>
    <t>usc.rakesh@gmail.com</t>
  </si>
  <si>
    <t>9007210788/ 9830166639</t>
  </si>
  <si>
    <t>30.09.2022</t>
  </si>
  <si>
    <t>C2015282</t>
  </si>
  <si>
    <t>NPEC Consultancy Pvt Ltd.</t>
  </si>
  <si>
    <t>thomasdsouza3833@gmail.com</t>
  </si>
  <si>
    <t>Quoted And Specification Sent.</t>
  </si>
  <si>
    <t>28.09.2022</t>
  </si>
  <si>
    <t>C2015281</t>
  </si>
  <si>
    <t>Kera Tech Ind.Lining</t>
  </si>
  <si>
    <t>Sodium Silico Fluoride</t>
  </si>
  <si>
    <t>Hazaribagh</t>
  </si>
  <si>
    <t>27.09.2022</t>
  </si>
  <si>
    <t>C2015280</t>
  </si>
  <si>
    <t>Sri Harins Rare Earth</t>
  </si>
  <si>
    <t>C2015279</t>
  </si>
  <si>
    <t>Kalam Khan</t>
  </si>
  <si>
    <t>kalaam@sterlingelectro.com</t>
  </si>
  <si>
    <t>C2015278</t>
  </si>
  <si>
    <t>SRM Enterprise</t>
  </si>
  <si>
    <t>Sodium Silicate Liquid</t>
  </si>
  <si>
    <t>srm.enterprise2019@gmail.com</t>
  </si>
  <si>
    <t>Khardaha</t>
  </si>
  <si>
    <t>Requirement After Puja.</t>
  </si>
  <si>
    <t>26.09.2022</t>
  </si>
  <si>
    <t>C2015277</t>
  </si>
  <si>
    <t>Adinath Global Corporation.</t>
  </si>
  <si>
    <t>aumexports9@gmail.com</t>
  </si>
  <si>
    <t>C2015276</t>
  </si>
  <si>
    <t>Subhro</t>
  </si>
  <si>
    <t>subhras622s@gmail.com</t>
  </si>
  <si>
    <t>Party Will Inform.</t>
  </si>
  <si>
    <t>24.09.2022</t>
  </si>
  <si>
    <t>C2015275</t>
  </si>
  <si>
    <t>Bismillah Hatchery &amp; Trading</t>
  </si>
  <si>
    <t>@32/-</t>
  </si>
  <si>
    <t>C2015274</t>
  </si>
  <si>
    <t>S S Industrial Solutions</t>
  </si>
  <si>
    <t xml:space="preserve">Alum  </t>
  </si>
  <si>
    <t>ssisjkr@gmail.com</t>
  </si>
  <si>
    <t>23.09.2022</t>
  </si>
  <si>
    <t>C2015273</t>
  </si>
  <si>
    <t>Keeves India Pvt Ltd.</t>
  </si>
  <si>
    <t>Phosphoric Acid</t>
  </si>
  <si>
    <t>suchikeeves40@gmail.com</t>
  </si>
  <si>
    <t>C2015272</t>
  </si>
  <si>
    <t>Sangita Fine Arts</t>
  </si>
  <si>
    <t>party target price@5.5/- per kg.</t>
  </si>
  <si>
    <t>C2015271</t>
  </si>
  <si>
    <t>Saravanan.s</t>
  </si>
  <si>
    <t>srn@thriveni.com</t>
  </si>
  <si>
    <t>22.09.2022</t>
  </si>
  <si>
    <t>C2015270</t>
  </si>
  <si>
    <t>Aparesh Sarkar</t>
  </si>
  <si>
    <t>aparesh09@yahoo.in</t>
  </si>
  <si>
    <t>Agartala</t>
  </si>
  <si>
    <t>21.09.2022</t>
  </si>
  <si>
    <t>C2015269</t>
  </si>
  <si>
    <t>Masa Global</t>
  </si>
  <si>
    <t>Calcined Magnesite Powder</t>
  </si>
  <si>
    <t>mithun.priya2010@gmail.com</t>
  </si>
  <si>
    <t>Haldia</t>
  </si>
  <si>
    <t>Rate Quoted And COA Send.</t>
  </si>
  <si>
    <t>C2015268</t>
  </si>
  <si>
    <t>Sk Shahabuddin</t>
  </si>
  <si>
    <t>sahab.657@gmail.com</t>
  </si>
  <si>
    <t>Rate Quoted</t>
  </si>
  <si>
    <t>20.09.2022</t>
  </si>
  <si>
    <t>C2015267</t>
  </si>
  <si>
    <t>Thakkar Coal Depot</t>
  </si>
  <si>
    <t>thakkarcoalmerchant@gmail.com</t>
  </si>
  <si>
    <t>C2015266</t>
  </si>
  <si>
    <t>Surya Electro Multi Services Pvt Ltd.</t>
  </si>
  <si>
    <t>asishmandal143@gmail.com</t>
  </si>
  <si>
    <t>C2015265</t>
  </si>
  <si>
    <t>Mobin &amp; Sons</t>
  </si>
  <si>
    <t>ubuntu.ahmed@gmail.com</t>
  </si>
  <si>
    <t>C2015264</t>
  </si>
  <si>
    <t>Devraj Exim Ltd.</t>
  </si>
  <si>
    <t>devildvrj@gmail.com</t>
  </si>
  <si>
    <t>material do not match</t>
  </si>
  <si>
    <t>C2015263</t>
  </si>
  <si>
    <t>Wist Water Solutions Pvt Ltd.</t>
  </si>
  <si>
    <t>Payment Received.</t>
  </si>
  <si>
    <t>19.09.2022</t>
  </si>
  <si>
    <t>C2015262</t>
  </si>
  <si>
    <t>Bachchan Brothers</t>
  </si>
  <si>
    <t>info@unloadbox.com</t>
  </si>
  <si>
    <t>Sugarcane Molasses not needed, Beet Molasses needed</t>
  </si>
  <si>
    <t>C2015261</t>
  </si>
  <si>
    <t>Kamal Singh Sengar</t>
  </si>
  <si>
    <t>purchase@enriserau.com</t>
  </si>
  <si>
    <t>Indore</t>
  </si>
  <si>
    <t>Charcoal req for Hotel</t>
  </si>
  <si>
    <t>C2015260</t>
  </si>
  <si>
    <t>Sureflo Techcon Pvt Ltd.</t>
  </si>
  <si>
    <t>rashmin@sureflo.in</t>
  </si>
  <si>
    <t>16.09.2022</t>
  </si>
  <si>
    <t>C2015259</t>
  </si>
  <si>
    <t>Rubsyn Global Pvt Ltd</t>
  </si>
  <si>
    <t>amitchowdhury1@hotmail.com</t>
  </si>
  <si>
    <t>COA And Rate Quoted.</t>
  </si>
  <si>
    <t>C2015258</t>
  </si>
  <si>
    <t>Interglobe Business Concern</t>
  </si>
  <si>
    <t>interglobe.business@gmail.com</t>
  </si>
  <si>
    <t>15.09.2022</t>
  </si>
  <si>
    <t>C2015257</t>
  </si>
  <si>
    <t>Mahadev Traders</t>
  </si>
  <si>
    <t>Rajasthan</t>
  </si>
  <si>
    <t>Already purchased</t>
  </si>
  <si>
    <t>C2015256</t>
  </si>
  <si>
    <t>Shreenath Chemical</t>
  </si>
  <si>
    <t>Zinc Oxide Powder</t>
  </si>
  <si>
    <t>riddhi.shreenathchemical@gmail.com</t>
  </si>
  <si>
    <t>Trader, don't know the use of the material</t>
  </si>
  <si>
    <t>14.09.2022</t>
  </si>
  <si>
    <t>C2015255</t>
  </si>
  <si>
    <t>Pranav Kambe Enterprises</t>
  </si>
  <si>
    <t>pranavkambe@hotmail.com</t>
  </si>
  <si>
    <t>Getting @14/- per kg</t>
  </si>
  <si>
    <t>C2015254</t>
  </si>
  <si>
    <t>Gaurav</t>
  </si>
  <si>
    <t>tuluenterprises@yahoo.co.in</t>
  </si>
  <si>
    <t>C2015253</t>
  </si>
  <si>
    <t>Porvi</t>
  </si>
  <si>
    <t>shanrokeychem@rediffmail.com</t>
  </si>
  <si>
    <t>92/-, Ex-Bhiwandi</t>
  </si>
  <si>
    <t>mail send</t>
  </si>
  <si>
    <t>13.09.2022</t>
  </si>
  <si>
    <t>C2015252</t>
  </si>
  <si>
    <t>Pooja Enterprises</t>
  </si>
  <si>
    <t>anirbantupun1983@gmail.com</t>
  </si>
  <si>
    <t>C2015251</t>
  </si>
  <si>
    <t>Saikat Das</t>
  </si>
  <si>
    <t>saikatonline2k19@gmail.com</t>
  </si>
  <si>
    <t>12.09.2022</t>
  </si>
  <si>
    <t>C2015250</t>
  </si>
  <si>
    <t>Pinehill Adventist Academy</t>
  </si>
  <si>
    <t>8chpetrucci@gmail.com</t>
  </si>
  <si>
    <t>Mizoram</t>
  </si>
  <si>
    <t>10.09.2022</t>
  </si>
  <si>
    <t>C2015249</t>
  </si>
  <si>
    <t>ABN Enterprise</t>
  </si>
  <si>
    <t>avirup.013.in@gmail.com</t>
  </si>
  <si>
    <t>Quotation send, photocopy sent</t>
  </si>
  <si>
    <t>Party not confirmed.</t>
  </si>
  <si>
    <t>C2015248</t>
  </si>
  <si>
    <t>Bright Agrotech</t>
  </si>
  <si>
    <t>nishir2barman@gmail.com</t>
  </si>
  <si>
    <t>Jaipaiguri</t>
  </si>
  <si>
    <t>C2015247</t>
  </si>
  <si>
    <t xml:space="preserve">Advanced Sport Technologies </t>
  </si>
  <si>
    <t>purchase@ast-sports.com</t>
  </si>
  <si>
    <t>09.09.2022</t>
  </si>
  <si>
    <t>C2015246</t>
  </si>
  <si>
    <t>S.Das Suppliers</t>
  </si>
  <si>
    <t>Gravel</t>
  </si>
  <si>
    <t>sayandas474@gmail.com</t>
  </si>
  <si>
    <t>7595929182/ 9830194842</t>
  </si>
  <si>
    <t>Not Interested.Call Not Received (2)</t>
  </si>
  <si>
    <t>08.09.2022</t>
  </si>
  <si>
    <t>C2015245</t>
  </si>
  <si>
    <t>Eva Enterprise</t>
  </si>
  <si>
    <t>evaenterprise29@gmail.com</t>
  </si>
  <si>
    <t>9734609189/ 9126384175</t>
  </si>
  <si>
    <t>C2015244</t>
  </si>
  <si>
    <t>Rani Industries</t>
  </si>
  <si>
    <t>Zeolite Powder</t>
  </si>
  <si>
    <t>kazinazbul833@gmail.com</t>
  </si>
  <si>
    <t>@19/-</t>
  </si>
  <si>
    <t>Rate send.</t>
  </si>
  <si>
    <t>C2015243</t>
  </si>
  <si>
    <t>Agnesalpha Exim Pvt Ltd.</t>
  </si>
  <si>
    <t>operations@agnesalpha.com</t>
  </si>
  <si>
    <t>07.09.2022</t>
  </si>
  <si>
    <t>C2015242</t>
  </si>
  <si>
    <t>Biplab Mondal</t>
  </si>
  <si>
    <t>bmkaliachak@gmail.com</t>
  </si>
  <si>
    <t>target price@14/-</t>
  </si>
  <si>
    <t>06.09.022</t>
  </si>
  <si>
    <t>C2015241</t>
  </si>
  <si>
    <t>Raj Enterprises</t>
  </si>
  <si>
    <t>svk.jash@gmail.com</t>
  </si>
  <si>
    <t>@24/-</t>
  </si>
  <si>
    <t>Not confirmed.</t>
  </si>
  <si>
    <t>05.09.2022</t>
  </si>
  <si>
    <t>C2015240</t>
  </si>
  <si>
    <t>Raj Kishore</t>
  </si>
  <si>
    <t>C2015239</t>
  </si>
  <si>
    <t>Abhijeet Pal</t>
  </si>
  <si>
    <t>@14/-</t>
  </si>
  <si>
    <t>Price high</t>
  </si>
  <si>
    <t>C2015238</t>
  </si>
  <si>
    <t>Yamas Hotel</t>
  </si>
  <si>
    <t>bhagatsinghdhn.1@gmail.com</t>
  </si>
  <si>
    <t>C2015237</t>
  </si>
  <si>
    <t>Abhijit</t>
  </si>
  <si>
    <t>Sodium Meta Silicate</t>
  </si>
  <si>
    <t>abhijit@kellerindia.com</t>
  </si>
  <si>
    <t>Quoted Rs. 25/-, Vivek ji says that he will talk to him</t>
  </si>
  <si>
    <t>03.09.2022</t>
  </si>
  <si>
    <t>C2015236</t>
  </si>
  <si>
    <t>Bidyut Debnath</t>
  </si>
  <si>
    <t>debnath.bidyut66@gmail.com</t>
  </si>
  <si>
    <t>@16/-</t>
  </si>
  <si>
    <t>C2015235</t>
  </si>
  <si>
    <t>Agro Guard Lab</t>
  </si>
  <si>
    <t>info@agro-chemicals.com</t>
  </si>
  <si>
    <t>Habra</t>
  </si>
  <si>
    <t xml:space="preserve">Quoted  </t>
  </si>
  <si>
    <t>C2015234</t>
  </si>
  <si>
    <t>Deepal Communication</t>
  </si>
  <si>
    <t>Magnesium Oxide</t>
  </si>
  <si>
    <t>deepakagarwal607@gmail.com</t>
  </si>
  <si>
    <t>Very High Rate @32/-</t>
  </si>
  <si>
    <t>02.09.2022</t>
  </si>
  <si>
    <t>C2015233</t>
  </si>
  <si>
    <t>Vijay Sales Agencies</t>
  </si>
  <si>
    <t>shrikantlahoti@live.com</t>
  </si>
  <si>
    <t>FOR rate needed</t>
  </si>
  <si>
    <t>C2015232</t>
  </si>
  <si>
    <t>Puja Enterprise</t>
  </si>
  <si>
    <t>loverahulpuja22@gmail.com</t>
  </si>
  <si>
    <t>01.09.2022</t>
  </si>
  <si>
    <t>C2015231</t>
  </si>
  <si>
    <t>Subhas</t>
  </si>
  <si>
    <t>Ammonium Alum</t>
  </si>
  <si>
    <t>govindexp2013@gmail.com</t>
  </si>
  <si>
    <t>Call Not Received(2).</t>
  </si>
  <si>
    <t>31.08.2022</t>
  </si>
  <si>
    <t>C2015230</t>
  </si>
  <si>
    <t>Maha Laxmi Trading</t>
  </si>
  <si>
    <t>C2015229</t>
  </si>
  <si>
    <t>Rajeev Sinha</t>
  </si>
  <si>
    <t>rajeevsinhajsr@gmail.com</t>
  </si>
  <si>
    <t>30.08.2022</t>
  </si>
  <si>
    <t>C2015228</t>
  </si>
  <si>
    <t>Bimal Vatika</t>
  </si>
  <si>
    <t>gbram21@gmail.com</t>
  </si>
  <si>
    <t>C2015227</t>
  </si>
  <si>
    <t>Chandan Singh</t>
  </si>
  <si>
    <t>Local purchase.</t>
  </si>
  <si>
    <t>29.08.2022</t>
  </si>
  <si>
    <t>C2015226</t>
  </si>
  <si>
    <t>Puhup Agritech India Pvt Ltd</t>
  </si>
  <si>
    <t>vijayrajak0786@gmail.com</t>
  </si>
  <si>
    <t>Rate was high</t>
  </si>
  <si>
    <t>C2015225</t>
  </si>
  <si>
    <t>Nayan Das</t>
  </si>
  <si>
    <t>Jalpaiguri</t>
  </si>
  <si>
    <t>C2015224</t>
  </si>
  <si>
    <t>Pristine Exports</t>
  </si>
  <si>
    <t>kishorbansode777@gmail.com</t>
  </si>
  <si>
    <t>No out of reach</t>
  </si>
  <si>
    <t>C2015223</t>
  </si>
  <si>
    <t>Shankar Bhagwan</t>
  </si>
  <si>
    <t>call disconnecting</t>
  </si>
  <si>
    <t>26.08.2022</t>
  </si>
  <si>
    <t>C2015222</t>
  </si>
  <si>
    <t>Amit Paul</t>
  </si>
  <si>
    <t>paul.akp12@gmail.com</t>
  </si>
  <si>
    <t>@5/-</t>
  </si>
  <si>
    <t>Party Target Price 2.80/-Kg(s)</t>
  </si>
  <si>
    <t>C2015221</t>
  </si>
  <si>
    <t>Mobaraque Hossain</t>
  </si>
  <si>
    <t>mobaraque.chem@gmail.com</t>
  </si>
  <si>
    <t>Ph. call not received.</t>
  </si>
  <si>
    <t>C2015220</t>
  </si>
  <si>
    <t>Sakmpark Water Infotech Pvt Ltd.</t>
  </si>
  <si>
    <t>aradhaenterprise.service@gmail.com</t>
  </si>
  <si>
    <t>@5.50/-</t>
  </si>
  <si>
    <t>C2015219</t>
  </si>
  <si>
    <t>Mondol Charcoal Timbe</t>
  </si>
  <si>
    <t>Quoted &amp; sample photocopy send.</t>
  </si>
  <si>
    <t>C2015218</t>
  </si>
  <si>
    <t>Maa Tara Oil Shop</t>
  </si>
  <si>
    <t>Ammonium Bi Carbonate</t>
  </si>
  <si>
    <t>amitsenrocking@gmail.com</t>
  </si>
  <si>
    <t>Tantipara</t>
  </si>
  <si>
    <t>Material not available.</t>
  </si>
  <si>
    <t>25.08.2022</t>
  </si>
  <si>
    <t>C2015217</t>
  </si>
  <si>
    <t>Nrusinghnath Enterprises</t>
  </si>
  <si>
    <t>@70/-</t>
  </si>
  <si>
    <t>C2015216</t>
  </si>
  <si>
    <t>Apurva Ghosh</t>
  </si>
  <si>
    <t>ambition.technical@gmail.com</t>
  </si>
  <si>
    <t>Bankura</t>
  </si>
  <si>
    <t>6.20/-</t>
  </si>
  <si>
    <t>Quoted, photocopy send,then sample send.</t>
  </si>
  <si>
    <t>C2015215</t>
  </si>
  <si>
    <t>H H Suppliers</t>
  </si>
  <si>
    <t>syedh0448@gmail.com</t>
  </si>
  <si>
    <t>C2015214</t>
  </si>
  <si>
    <t>BR Deva</t>
  </si>
  <si>
    <t>deepakmetalind@rediffmail.com</t>
  </si>
  <si>
    <t>24.08.2022</t>
  </si>
  <si>
    <t>C2015213</t>
  </si>
  <si>
    <t>Asif Chiplunkar</t>
  </si>
  <si>
    <t>asif.chiplunkar@oycindia.com</t>
  </si>
  <si>
    <t>@48/- quoted, Ex-Bhiwandi, he needs manufacturer only</t>
  </si>
  <si>
    <t>24.05.2022</t>
  </si>
  <si>
    <t>C2015212</t>
  </si>
  <si>
    <t>Nikit</t>
  </si>
  <si>
    <t>niketsaraf@sudarshangroup.net</t>
  </si>
  <si>
    <t>Daman</t>
  </si>
  <si>
    <t>Phone always busy</t>
  </si>
  <si>
    <t>C2015211</t>
  </si>
  <si>
    <t>A.N.Market Solution</t>
  </si>
  <si>
    <t>anmspl@gmail.com</t>
  </si>
  <si>
    <t>Bengaluru</t>
  </si>
  <si>
    <t>Sample to be send</t>
  </si>
  <si>
    <t>C2015210</t>
  </si>
  <si>
    <t>SM Enterprise</t>
  </si>
  <si>
    <t>dipankarghosh988306@gmail.com</t>
  </si>
  <si>
    <t>Wrong Inquiry.</t>
  </si>
  <si>
    <t>C2015209</t>
  </si>
  <si>
    <t>Nortaks JK Exim Pvt Ltd.</t>
  </si>
  <si>
    <t>amit0303kol@gmail.com</t>
  </si>
  <si>
    <t>@13/-</t>
  </si>
  <si>
    <t>C2015208</t>
  </si>
  <si>
    <t>Mafikul Islam</t>
  </si>
  <si>
    <t>Sodium Alginate</t>
  </si>
  <si>
    <t>mafikul.sio@gmail.com</t>
  </si>
  <si>
    <t>Ph. call not received,three time.</t>
  </si>
  <si>
    <t>23.08.2022</t>
  </si>
  <si>
    <t>C2015207</t>
  </si>
  <si>
    <t>Punia Construction Co</t>
  </si>
  <si>
    <t>Jharsguda</t>
  </si>
  <si>
    <t>@6/-</t>
  </si>
  <si>
    <t>C2015206</t>
  </si>
  <si>
    <t>Polygon Chemicals Pvt Ltd.</t>
  </si>
  <si>
    <t>TEA</t>
  </si>
  <si>
    <t>kd.dinesh@polygonchemicals.com</t>
  </si>
  <si>
    <t>Particular a brand needed, which we don't have</t>
  </si>
  <si>
    <t>C2015205</t>
  </si>
  <si>
    <t>Choudhury Enterprises</t>
  </si>
  <si>
    <t>diehard.rohit5@gmail.com</t>
  </si>
  <si>
    <t>Bardhaman</t>
  </si>
  <si>
    <t>Quoted and send sample photo copy.</t>
  </si>
  <si>
    <t>C2015204</t>
  </si>
  <si>
    <t>Vishal</t>
  </si>
  <si>
    <t>kamlap93gbn@gmail.com</t>
  </si>
  <si>
    <t>Lucknow</t>
  </si>
  <si>
    <t>Rate Quoted And Photocopy Send.</t>
  </si>
  <si>
    <t>22.08.2022</t>
  </si>
  <si>
    <t>C2015203</t>
  </si>
  <si>
    <t>Pintu</t>
  </si>
  <si>
    <t>30/-</t>
  </si>
  <si>
    <t>party order not confirmed.</t>
  </si>
  <si>
    <t>C2015202</t>
  </si>
  <si>
    <t>Royal Flyash Bricks</t>
  </si>
  <si>
    <t>munawaralam444@gmail.com</t>
  </si>
  <si>
    <t>@8/-</t>
  </si>
  <si>
    <t>Rate Quoted And Photocopy Sent</t>
  </si>
  <si>
    <t>C2015201</t>
  </si>
  <si>
    <t>The Clay Kitchen</t>
  </si>
  <si>
    <t>Karanshahri@gmail.com</t>
  </si>
  <si>
    <t>20.08.2022</t>
  </si>
  <si>
    <t>C2015200</t>
  </si>
  <si>
    <t>Benchmark Water India Pvt Ltd</t>
  </si>
  <si>
    <t>clsappls@gmail.com</t>
  </si>
  <si>
    <t>C2015199</t>
  </si>
  <si>
    <t>Om Enterprises</t>
  </si>
  <si>
    <t>Graphite Granules</t>
  </si>
  <si>
    <t>tarun.dokania@yahoo.com</t>
  </si>
  <si>
    <t>C2015198</t>
  </si>
  <si>
    <t>Amanan Enterprises</t>
  </si>
  <si>
    <t>amananenterprises@gmail.com</t>
  </si>
  <si>
    <t>Sample approved, rate given</t>
  </si>
  <si>
    <t>C2015197</t>
  </si>
  <si>
    <t>Oxford Paints &amp; Chemicals</t>
  </si>
  <si>
    <t>info@oxfordpaints.com</t>
  </si>
  <si>
    <t>19.08.2022</t>
  </si>
  <si>
    <t>C2015196</t>
  </si>
  <si>
    <t>Rahul Sheikh</t>
  </si>
  <si>
    <t>C2015195</t>
  </si>
  <si>
    <t>Chandan Kumar</t>
  </si>
  <si>
    <t>chandanks488@gmail.com</t>
  </si>
  <si>
    <t>18.08.2022</t>
  </si>
  <si>
    <t>C2015194</t>
  </si>
  <si>
    <t>Mountain Enterprises</t>
  </si>
  <si>
    <t>mahanta20032018@gmail.com</t>
  </si>
  <si>
    <t>price high.</t>
  </si>
  <si>
    <t>C2015193</t>
  </si>
  <si>
    <t>Soumitra Sarkar</t>
  </si>
  <si>
    <t>Activated Charcoal</t>
  </si>
  <si>
    <t>Charcoal powder require, Price send.</t>
  </si>
  <si>
    <t>Sample send dt.25/08/2022</t>
  </si>
  <si>
    <t>17.08.2022</t>
  </si>
  <si>
    <t>C2015192</t>
  </si>
  <si>
    <t>Fraz</t>
  </si>
  <si>
    <t>f.ash881@gmail.com</t>
  </si>
  <si>
    <t>Purchase local market.</t>
  </si>
  <si>
    <t>C2015191</t>
  </si>
  <si>
    <t>SRS Chemical</t>
  </si>
  <si>
    <t>Sodium Silicate Powder</t>
  </si>
  <si>
    <t>rjr6394@gmail.com</t>
  </si>
  <si>
    <t>No Requirement Now.</t>
  </si>
  <si>
    <t>16.08.2022</t>
  </si>
  <si>
    <t>C2015190</t>
  </si>
  <si>
    <t>Deha International Pvt Ltd.</t>
  </si>
  <si>
    <t>koyelpks@gmail.com</t>
  </si>
  <si>
    <t>C2015189</t>
  </si>
  <si>
    <t>Prabhat Foundry Works</t>
  </si>
  <si>
    <t>Maize Starch,Sodium Silicate Liquid</t>
  </si>
  <si>
    <t>Bihar-852124</t>
  </si>
  <si>
    <t>@41/-</t>
  </si>
  <si>
    <t>C2015188</t>
  </si>
  <si>
    <t>Akshya Kumar Senapati</t>
  </si>
  <si>
    <t>C2015187</t>
  </si>
  <si>
    <t>RR Enterprises</t>
  </si>
  <si>
    <t>shaikhtaufique1998@gmail.com</t>
  </si>
  <si>
    <t>@23/-</t>
  </si>
  <si>
    <t>Material Photocopy Sent And Quoted.</t>
  </si>
  <si>
    <t>13.08.2022</t>
  </si>
  <si>
    <t>C2015186</t>
  </si>
  <si>
    <t>Odisha Super Fresh</t>
  </si>
  <si>
    <t>Sodium Bi Sulphite</t>
  </si>
  <si>
    <t>sudhansusekharbehera655@gmail.com</t>
  </si>
  <si>
    <t>material not available.</t>
  </si>
  <si>
    <t>C2015185</t>
  </si>
  <si>
    <t>Hari Mittal</t>
  </si>
  <si>
    <t>manishmetal@hotmail.com</t>
  </si>
  <si>
    <t>Quoted And Material Photocopy Sent</t>
  </si>
  <si>
    <t>C2015184</t>
  </si>
  <si>
    <t>Fish Scale Powder</t>
  </si>
  <si>
    <t>chattopadhyayjayanta1@gmail.com</t>
  </si>
  <si>
    <t>11.08.2022</t>
  </si>
  <si>
    <t>C2015183</t>
  </si>
  <si>
    <t>Oster Chemical Pvt Ltd.</t>
  </si>
  <si>
    <t>White Silica Gel</t>
  </si>
  <si>
    <t>osterchem@gmail.com</t>
  </si>
  <si>
    <t>Quotation send.</t>
  </si>
  <si>
    <t>C2015182</t>
  </si>
  <si>
    <t>Om</t>
  </si>
  <si>
    <t>om.rai2018@gmail.com</t>
  </si>
  <si>
    <t>Party Want To Purchase From Local Area.</t>
  </si>
  <si>
    <t>10.08.2022</t>
  </si>
  <si>
    <t>C2015181</t>
  </si>
  <si>
    <t>Colour Fish Culture</t>
  </si>
  <si>
    <t>C2015180</t>
  </si>
  <si>
    <t>Sapat</t>
  </si>
  <si>
    <t>ahmadsft07@gmail.com</t>
  </si>
  <si>
    <t>Locally supplier needed</t>
  </si>
  <si>
    <t>C2015179</t>
  </si>
  <si>
    <t>Sanjay Show</t>
  </si>
  <si>
    <t>Guar Gum powder</t>
  </si>
  <si>
    <t>09.08.2022</t>
  </si>
  <si>
    <t>C2015178</t>
  </si>
  <si>
    <t>Pramod</t>
  </si>
  <si>
    <t>C2015177</t>
  </si>
  <si>
    <t>Bipin Jaiswal</t>
  </si>
  <si>
    <t>Specification Sent.</t>
  </si>
  <si>
    <t>C2015176</t>
  </si>
  <si>
    <t>Patra Consturction</t>
  </si>
  <si>
    <t>dkpatra7@gmail.com</t>
  </si>
  <si>
    <t>Factory shutdown.</t>
  </si>
  <si>
    <t>08.08.2022</t>
  </si>
  <si>
    <t>C2015175</t>
  </si>
  <si>
    <t>Bajarnath Sau</t>
  </si>
  <si>
    <t>Quicklime Powder</t>
  </si>
  <si>
    <t>sibusahu4@gmail.com</t>
  </si>
  <si>
    <t>Party requirement -Lime powder @3.50/-</t>
  </si>
  <si>
    <t>C2015174</t>
  </si>
  <si>
    <t>Rajeev Ranjan</t>
  </si>
  <si>
    <t>rajeevmadanpur@gmail.com</t>
  </si>
  <si>
    <t>06.08.2022</t>
  </si>
  <si>
    <t>C2015173</t>
  </si>
  <si>
    <t>Abhradeep Guin</t>
  </si>
  <si>
    <t>guin_abhra@yahoo.com</t>
  </si>
  <si>
    <t>Quoted And Material Photocopy Sent.</t>
  </si>
  <si>
    <t>Party Requirement Next Month</t>
  </si>
  <si>
    <t>C2015172</t>
  </si>
  <si>
    <t>Somnath</t>
  </si>
  <si>
    <t>Khatra</t>
  </si>
  <si>
    <t>Party already purchase @4.60/-per kg.</t>
  </si>
  <si>
    <t>C2015171</t>
  </si>
  <si>
    <t>SS Enterprises</t>
  </si>
  <si>
    <t>bappaguha4@gmail.com</t>
  </si>
  <si>
    <t>39.50/-</t>
  </si>
  <si>
    <t>C2015170</t>
  </si>
  <si>
    <t>Sandip</t>
  </si>
  <si>
    <t>Glycerine</t>
  </si>
  <si>
    <t>05.08.2022</t>
  </si>
  <si>
    <t>C2015169</t>
  </si>
  <si>
    <t xml:space="preserve">AK  </t>
  </si>
  <si>
    <t>anuppkk8340@gmail.com</t>
  </si>
  <si>
    <t>material needed at Jharkhand @ 3-4/- per kg</t>
  </si>
  <si>
    <t>C2015168</t>
  </si>
  <si>
    <t>Excel Trading Co.</t>
  </si>
  <si>
    <t>exceltradingco@outlook.com</t>
  </si>
  <si>
    <t>RCF brand needed only</t>
  </si>
  <si>
    <t>04.08.2022</t>
  </si>
  <si>
    <t>C2015167</t>
  </si>
  <si>
    <t>RKD Infrastructure Pvt Ltd.</t>
  </si>
  <si>
    <t>rkdpurchase007@gmail.com</t>
  </si>
  <si>
    <t>C2015166</t>
  </si>
  <si>
    <t>Nandu Kumar</t>
  </si>
  <si>
    <t>nandushaw4@gmail.com</t>
  </si>
  <si>
    <t>Call Him Later</t>
  </si>
  <si>
    <t>03.08.2022</t>
  </si>
  <si>
    <t>C2015165</t>
  </si>
  <si>
    <t>Jay Paras Traders</t>
  </si>
  <si>
    <t>ankitjain0456@gmail.com</t>
  </si>
  <si>
    <t>Rate match,but Local freight charges donot match</t>
  </si>
  <si>
    <t>C2015164</t>
  </si>
  <si>
    <t>Jitendar</t>
  </si>
  <si>
    <t>jitendar9508644094@gmail.com</t>
  </si>
  <si>
    <t>02.08.2022</t>
  </si>
  <si>
    <t>C2015163</t>
  </si>
  <si>
    <t>Anuja Enterprises</t>
  </si>
  <si>
    <t>srajjadhav20@gmail.com</t>
  </si>
  <si>
    <t>Need Paint Grade</t>
  </si>
  <si>
    <t>C2015162</t>
  </si>
  <si>
    <t>Stark Ridge Papers Pvt Ltd.</t>
  </si>
  <si>
    <t>ashwinee.hati@starkridgepaper.com</t>
  </si>
  <si>
    <t>@34/-</t>
  </si>
  <si>
    <t>Quoted but order not confirmed.</t>
  </si>
  <si>
    <t>C2015161</t>
  </si>
  <si>
    <t>Nazreen</t>
  </si>
  <si>
    <t>Quoted and photocopy send.</t>
  </si>
  <si>
    <t>C2015160</t>
  </si>
  <si>
    <t>Radha Krishna Enterprise</t>
  </si>
  <si>
    <t>sudevnayban5343@gmail.com</t>
  </si>
  <si>
    <t>7908401605/ 8101263125</t>
  </si>
  <si>
    <t>C2015159</t>
  </si>
  <si>
    <t>A.Majumdar</t>
  </si>
  <si>
    <t>ajoy55@hotmail.com</t>
  </si>
  <si>
    <t>@136/-</t>
  </si>
  <si>
    <t>C2015158</t>
  </si>
  <si>
    <t>Ashis Kar</t>
  </si>
  <si>
    <t>ashis.kar@quantinox.com</t>
  </si>
  <si>
    <t>Quotation ,Specification And Photocopy Sent.</t>
  </si>
  <si>
    <t>30.07.2022</t>
  </si>
  <si>
    <t>C2015157</t>
  </si>
  <si>
    <t>Cascade Blue</t>
  </si>
  <si>
    <t>Sodium Bi Carbonate</t>
  </si>
  <si>
    <t>cascadebluewater1@gmail.com</t>
  </si>
  <si>
    <t>7003226260/ 9051476497</t>
  </si>
  <si>
    <t>C2015156</t>
  </si>
  <si>
    <t>S S Enterprise</t>
  </si>
  <si>
    <t>singhsurya173@gmail.com</t>
  </si>
  <si>
    <t>Quoted And Photo,Specification Send</t>
  </si>
  <si>
    <t>C2015155</t>
  </si>
  <si>
    <t xml:space="preserve">Chandan     </t>
  </si>
  <si>
    <t>Party not interested.</t>
  </si>
  <si>
    <t>C2015154</t>
  </si>
  <si>
    <t>Ahana Enterprises</t>
  </si>
  <si>
    <t>Caustic Soda</t>
  </si>
  <si>
    <t>ahanaenterprise01219@gmail.com</t>
  </si>
  <si>
    <t>C2015153</t>
  </si>
  <si>
    <t>D.A Enterprise</t>
  </si>
  <si>
    <t>pijushmondal275@gmail.com</t>
  </si>
  <si>
    <t>29.07.2022</t>
  </si>
  <si>
    <t>C2015152</t>
  </si>
  <si>
    <t>Classic Tile</t>
  </si>
  <si>
    <t>Soapstone Powder</t>
  </si>
  <si>
    <t>bajajgroup71@gmail.com</t>
  </si>
  <si>
    <t xml:space="preserve">Quoted, </t>
  </si>
  <si>
    <t>C2015151</t>
  </si>
  <si>
    <t>Shlok Enterprises</t>
  </si>
  <si>
    <t>vermarajiv1965@gmail.com</t>
  </si>
  <si>
    <t>C2015150</t>
  </si>
  <si>
    <t>Shree Krishna Paints</t>
  </si>
  <si>
    <t>sagarahuja478@gmail.co</t>
  </si>
  <si>
    <t>Kolhapur</t>
  </si>
  <si>
    <t>C2015149</t>
  </si>
  <si>
    <t>Gayatri Enterprises</t>
  </si>
  <si>
    <t>gayatri.enterprises@ymail.com</t>
  </si>
  <si>
    <t>Biswajit jana</t>
  </si>
  <si>
    <t>28.07.2022</t>
  </si>
  <si>
    <t>C2015148</t>
  </si>
  <si>
    <t xml:space="preserve">Amit       </t>
  </si>
  <si>
    <t>anitprasad4567@gmail.com</t>
  </si>
  <si>
    <t>C2015147</t>
  </si>
  <si>
    <t>Ankur Khurana</t>
  </si>
  <si>
    <t>Tri Sodium Phosphate</t>
  </si>
  <si>
    <t>anjalibarik99@gmail.com</t>
  </si>
  <si>
    <t>Quotation Sent And Material Photocopy Sent</t>
  </si>
  <si>
    <t>C2015146</t>
  </si>
  <si>
    <t>Vinod</t>
  </si>
  <si>
    <t>vinodakcb@gmail.com</t>
  </si>
  <si>
    <t>27.07.2022</t>
  </si>
  <si>
    <t>C2015145</t>
  </si>
  <si>
    <t>Avinash</t>
  </si>
  <si>
    <t>C2015144</t>
  </si>
  <si>
    <t>JVS Pharma Co.</t>
  </si>
  <si>
    <t>jvspharma@yahoo.co.in</t>
  </si>
  <si>
    <t>43/-</t>
  </si>
  <si>
    <t xml:space="preserve">Quotation send </t>
  </si>
  <si>
    <t>He is getting @36/-</t>
  </si>
  <si>
    <t>C2015143</t>
  </si>
  <si>
    <t>Avijit Das</t>
  </si>
  <si>
    <t>avijetd@gmail.com</t>
  </si>
  <si>
    <t>C2015142</t>
  </si>
  <si>
    <t>cdas5757@gmail.com</t>
  </si>
  <si>
    <t>7029255475/ 9475890308</t>
  </si>
  <si>
    <t>26.07.2022</t>
  </si>
  <si>
    <t>C2015141</t>
  </si>
  <si>
    <t>Khan Electric Shop</t>
  </si>
  <si>
    <t>C2015140</t>
  </si>
  <si>
    <t>Md.Suleman Khan</t>
  </si>
  <si>
    <t>khan0001536@gmail.com</t>
  </si>
  <si>
    <t>25.07.2022</t>
  </si>
  <si>
    <t>C2015139</t>
  </si>
  <si>
    <t>A.D.International</t>
  </si>
  <si>
    <t xml:space="preserve">Ferric Alum   </t>
  </si>
  <si>
    <t>avijitdutta894@gmail.com</t>
  </si>
  <si>
    <t>@20/-</t>
  </si>
  <si>
    <t>Quoted And Photocopy Send</t>
  </si>
  <si>
    <t>C2015138</t>
  </si>
  <si>
    <t>Life Long Exotics</t>
  </si>
  <si>
    <t>krcgeo@gmail.com</t>
  </si>
  <si>
    <t>@55/-</t>
  </si>
  <si>
    <t>Quoted And Product List Send.</t>
  </si>
  <si>
    <t>C2015137</t>
  </si>
  <si>
    <t>Baba Traders</t>
  </si>
  <si>
    <t>altafkhan1202@gmail.com</t>
  </si>
  <si>
    <t>Quotation Send</t>
  </si>
  <si>
    <t>C2015136</t>
  </si>
  <si>
    <t>Basant Associates</t>
  </si>
  <si>
    <t>hardeepwadhawan1896@gmail.com</t>
  </si>
  <si>
    <t>Rate Quoted And Photocopy Sent.</t>
  </si>
  <si>
    <t>C2015135</t>
  </si>
  <si>
    <t>Vikrant</t>
  </si>
  <si>
    <t>Silica Gel Blue</t>
  </si>
  <si>
    <t>vikrant.dvc@gmail.com</t>
  </si>
  <si>
    <t>Party very busy(Two time received but.)</t>
  </si>
  <si>
    <t>C2015134</t>
  </si>
  <si>
    <t>Ghotal Enterprise</t>
  </si>
  <si>
    <t>C2015133</t>
  </si>
  <si>
    <t>Alok</t>
  </si>
  <si>
    <t>aj.advtg@gmail.com</t>
  </si>
  <si>
    <t>23.07.2022</t>
  </si>
  <si>
    <t>C2015132</t>
  </si>
  <si>
    <t>Naman</t>
  </si>
  <si>
    <t>namanjain@elkospens.com</t>
  </si>
  <si>
    <t>C2015131</t>
  </si>
  <si>
    <t>Mukesh</t>
  </si>
  <si>
    <t>mk4173323@gmail.com</t>
  </si>
  <si>
    <t>Rate and photocopy send.</t>
  </si>
  <si>
    <t>C2015130</t>
  </si>
  <si>
    <t>A Mitra</t>
  </si>
  <si>
    <t>C2015129</t>
  </si>
  <si>
    <t>Mayank Imperial</t>
  </si>
  <si>
    <t>jamshedalam2631@gmail.com</t>
  </si>
  <si>
    <t>Party target price with gst.20/-</t>
  </si>
  <si>
    <t>C2015128</t>
  </si>
  <si>
    <t>Royal Sales &amp; Services</t>
  </si>
  <si>
    <t>royalsalesservices@gmail.com</t>
  </si>
  <si>
    <t>22.07.2022</t>
  </si>
  <si>
    <t>C2015127</t>
  </si>
  <si>
    <t>Shreeram Chemical Industries</t>
  </si>
  <si>
    <t>Sodium Gluconate</t>
  </si>
  <si>
    <t>sriramci@yahoo.co.in</t>
  </si>
  <si>
    <t>C2015126</t>
  </si>
  <si>
    <t>Trexim Corporation</t>
  </si>
  <si>
    <t>trexim.corporation@gmail.com</t>
  </si>
  <si>
    <t>C2015125</t>
  </si>
  <si>
    <t>Pcura Consulting Pvt Ltd</t>
  </si>
  <si>
    <t>Orthophosphoric Acid</t>
  </si>
  <si>
    <t>karan.waghmare@pcura.com</t>
  </si>
  <si>
    <t>C2015124</t>
  </si>
  <si>
    <t xml:space="preserve">Satyajit     </t>
  </si>
  <si>
    <t>mesatyajit.dey0406@gmail.com</t>
  </si>
  <si>
    <t>C2015123</t>
  </si>
  <si>
    <t>Nitesh</t>
  </si>
  <si>
    <t>niteeshclinton123456@gmail.com</t>
  </si>
  <si>
    <t>ringing</t>
  </si>
  <si>
    <t>C2015122</t>
  </si>
  <si>
    <t>Jai Jitendra Enterprises</t>
  </si>
  <si>
    <t>dineshch@live.com</t>
  </si>
  <si>
    <t>Udaipur</t>
  </si>
  <si>
    <t>C2015121</t>
  </si>
  <si>
    <t>Ashish</t>
  </si>
  <si>
    <t>ashis.2016.ghosh98@gmail.com</t>
  </si>
  <si>
    <t>require food grade, Quoted.</t>
  </si>
  <si>
    <t>21.07.2022</t>
  </si>
  <si>
    <t>C2015120</t>
  </si>
  <si>
    <t>N T Enterprise</t>
  </si>
  <si>
    <t>ntenterprisespr@gmail.com</t>
  </si>
  <si>
    <t>Party Requirement 100 Kg(s)</t>
  </si>
  <si>
    <t>C2015119</t>
  </si>
  <si>
    <t>Jagannath Shaw</t>
  </si>
  <si>
    <t>jagarnathshaw1989@gmail.com</t>
  </si>
  <si>
    <t>Price high, target price@65-70/-</t>
  </si>
  <si>
    <t>C2015118</t>
  </si>
  <si>
    <t>Rajib Paul</t>
  </si>
  <si>
    <t>rajib2610paul@gmail.com</t>
  </si>
  <si>
    <t>C2015117</t>
  </si>
  <si>
    <t>Ravi Shaw</t>
  </si>
  <si>
    <t>rajaryanshaw08@gmail.com</t>
  </si>
  <si>
    <t>C2015116</t>
  </si>
  <si>
    <t>Sekh Poultry Farm</t>
  </si>
  <si>
    <t>anduljabbarsekh@gmail.com</t>
  </si>
  <si>
    <t>Require for Poultry food,(low price)</t>
  </si>
  <si>
    <t>C2015115</t>
  </si>
  <si>
    <t>Parshant Kumar</t>
  </si>
  <si>
    <t>Sodium Base Bentonite Powder</t>
  </si>
  <si>
    <t>pkumarbehera022@gmail.com</t>
  </si>
  <si>
    <t>require after 15 days.</t>
  </si>
  <si>
    <t>No require.</t>
  </si>
  <si>
    <t>20.07.2022</t>
  </si>
  <si>
    <t>C2015114</t>
  </si>
  <si>
    <t>RS Enterprise</t>
  </si>
  <si>
    <t>agarwalsanjaykumar76@gmail.com</t>
  </si>
  <si>
    <t>C2015113</t>
  </si>
  <si>
    <t>J.I Hardware</t>
  </si>
  <si>
    <t>masawmajh@gmail.com</t>
  </si>
  <si>
    <t>C2015112</t>
  </si>
  <si>
    <t>R.K Chemical Industries &amp; Co.</t>
  </si>
  <si>
    <t>rkchem12@gmail.com</t>
  </si>
  <si>
    <t>9933165624/ 8001617560</t>
  </si>
  <si>
    <t>C2015111</t>
  </si>
  <si>
    <t>Naisha Industries</t>
  </si>
  <si>
    <t>rockymaheshwari@rediffmail.com</t>
  </si>
  <si>
    <t>Raipur</t>
  </si>
  <si>
    <t>Two day four time called but not received.</t>
  </si>
  <si>
    <t>C2015110</t>
  </si>
  <si>
    <t>Bettle Shop</t>
  </si>
  <si>
    <t>minahajquadri786@gmail.com</t>
  </si>
  <si>
    <t>C2015109</t>
  </si>
  <si>
    <t>Sanjay Goyal</t>
  </si>
  <si>
    <t>goyalsanjay4374@gmail.com</t>
  </si>
  <si>
    <t>19.07.2022</t>
  </si>
  <si>
    <t>C2015108</t>
  </si>
  <si>
    <t>Deys Chemical Company</t>
  </si>
  <si>
    <t>Mono Ammonium Phosphate</t>
  </si>
  <si>
    <t>shyamal.dey.co13@gmail.com</t>
  </si>
  <si>
    <t>9331093407/ 9831777212</t>
  </si>
  <si>
    <t>@52/-</t>
  </si>
  <si>
    <t>P130</t>
  </si>
  <si>
    <t>Suchitra Packaging And Co.</t>
  </si>
  <si>
    <t>sanusaha421@gmail.com</t>
  </si>
  <si>
    <t>@39.50/-</t>
  </si>
  <si>
    <t>C2015107</t>
  </si>
  <si>
    <t>Bombay Agro Corporation</t>
  </si>
  <si>
    <t>bombayagro74@gmail.com</t>
  </si>
  <si>
    <t>C2015106</t>
  </si>
  <si>
    <t>Pankaj Patel</t>
  </si>
  <si>
    <t>v1exports@yahoo.co.in</t>
  </si>
  <si>
    <t>already purchased</t>
  </si>
  <si>
    <t>C2015105</t>
  </si>
  <si>
    <t>Missionaries Of Charity (N K Center)</t>
  </si>
  <si>
    <t>PI Sent And Payment Received.</t>
  </si>
  <si>
    <t>18.07.2022</t>
  </si>
  <si>
    <t>C2015104</t>
  </si>
  <si>
    <t>Aditya Enterprises</t>
  </si>
  <si>
    <t>adityaenterprises0378@gmail.com</t>
  </si>
  <si>
    <t>Party require only 80% material.</t>
  </si>
  <si>
    <t>C2015103</t>
  </si>
  <si>
    <t>Gobind Shaw</t>
  </si>
  <si>
    <t>pgvsunchemicals@gmail.com</t>
  </si>
  <si>
    <t>C2015102</t>
  </si>
  <si>
    <t>Zahir Motors</t>
  </si>
  <si>
    <t>zahir.a71@gmail.com</t>
  </si>
  <si>
    <t>C2015101</t>
  </si>
  <si>
    <t>Krishi Shakti Fertilizer</t>
  </si>
  <si>
    <t>susovanmaity200@gmail.com</t>
  </si>
  <si>
    <t>16.07.2022</t>
  </si>
  <si>
    <t>C2015100</t>
  </si>
  <si>
    <t>Printing Press</t>
  </si>
  <si>
    <t>itechenterprises5@gmail.com</t>
  </si>
  <si>
    <t>C2015099</t>
  </si>
  <si>
    <t>Prime Surgicals</t>
  </si>
  <si>
    <t>cotwas@gmail.com</t>
  </si>
  <si>
    <t>C2015098</t>
  </si>
  <si>
    <t>Industro Industrial Corporation</t>
  </si>
  <si>
    <t>Blue Silica Jel (500gm./1kg)</t>
  </si>
  <si>
    <t>@170/-</t>
  </si>
  <si>
    <t>C2015097</t>
  </si>
  <si>
    <t>Sanjay</t>
  </si>
  <si>
    <t>sanjay.besra@allied-outfitters.com</t>
  </si>
  <si>
    <t>Dumka</t>
  </si>
  <si>
    <t>C2015096</t>
  </si>
  <si>
    <t>Md.Mobin &amp; Sons</t>
  </si>
  <si>
    <t>9046830332/ 9474378772</t>
  </si>
  <si>
    <t>C2015095</t>
  </si>
  <si>
    <t>Anand Bansi</t>
  </si>
  <si>
    <t>C2015094</t>
  </si>
  <si>
    <t>Jayashree Sengupta</t>
  </si>
  <si>
    <t>jaish.sengupta@iitkgp.ac.in</t>
  </si>
  <si>
    <t>C2015093</t>
  </si>
  <si>
    <t>Assam Brew</t>
  </si>
  <si>
    <t>ali.ribul786@gmail.com</t>
  </si>
  <si>
    <t>9678846435/ 7002330130</t>
  </si>
  <si>
    <t>15.07.2022</t>
  </si>
  <si>
    <t>C2015092</t>
  </si>
  <si>
    <t>Maisam Enterprises</t>
  </si>
  <si>
    <t>murtaza11092@gmail.com</t>
  </si>
  <si>
    <t>No Requirement.</t>
  </si>
  <si>
    <t>C2015091</t>
  </si>
  <si>
    <t>RS Closures &amp; Printers</t>
  </si>
  <si>
    <t>rsclosures@gmail.com</t>
  </si>
  <si>
    <t>9830028484/ 9880620271</t>
  </si>
  <si>
    <t>C2015090</t>
  </si>
  <si>
    <t>Rajan Fine Chemicals</t>
  </si>
  <si>
    <t>himanpat@yahoo.com</t>
  </si>
  <si>
    <t>Q@40+ ex Bhiwandi</t>
  </si>
  <si>
    <t>sample send on 15.07.2022</t>
  </si>
  <si>
    <t>C2015089</t>
  </si>
  <si>
    <t>P.T.Associates</t>
  </si>
  <si>
    <t>bapidalui9@gmail.com</t>
  </si>
  <si>
    <t>C2015088</t>
  </si>
  <si>
    <t>Sona Chemicals</t>
  </si>
  <si>
    <t>Boric Acid</t>
  </si>
  <si>
    <t>soumyabanerjee63@gmail.com</t>
  </si>
  <si>
    <t>Already send the Quotation.</t>
  </si>
  <si>
    <t>C2015087</t>
  </si>
  <si>
    <t>Das Enterprises</t>
  </si>
  <si>
    <t>@86/-</t>
  </si>
  <si>
    <t>Philips carbon</t>
  </si>
  <si>
    <t>Party require - Philips carbon.</t>
  </si>
  <si>
    <t>14.07.2022</t>
  </si>
  <si>
    <t>C2015086</t>
  </si>
  <si>
    <t>Ankit Keshari</t>
  </si>
  <si>
    <t>furnitureworld.deoghar@gmail.com</t>
  </si>
  <si>
    <t>C2015085</t>
  </si>
  <si>
    <t>Aayur Life Science</t>
  </si>
  <si>
    <t>aayurlifesciences@gmail.com</t>
  </si>
  <si>
    <t>@Rs. 30+, Ex-Bhiwandi</t>
  </si>
  <si>
    <t>asking for best rate</t>
  </si>
  <si>
    <t>C2015084</t>
  </si>
  <si>
    <t>Musa Karim</t>
  </si>
  <si>
    <t>bablusardar@gmail.com</t>
  </si>
  <si>
    <t>next week followup.</t>
  </si>
  <si>
    <t>P129</t>
  </si>
  <si>
    <t>Milan &amp; Co.</t>
  </si>
  <si>
    <t>C2015083</t>
  </si>
  <si>
    <t>Jaideep Parekh</t>
  </si>
  <si>
    <t>parasdyeskolkata@gmail.com</t>
  </si>
  <si>
    <t>C2015082</t>
  </si>
  <si>
    <t>Lalon Biswas</t>
  </si>
  <si>
    <t>lalonbiswas83@gmail.com</t>
  </si>
  <si>
    <t>@9/-</t>
  </si>
  <si>
    <t>C2015081</t>
  </si>
  <si>
    <t>Md Nasib</t>
  </si>
  <si>
    <t>mdnasib8981@gmail.com</t>
  </si>
  <si>
    <t>C2015080</t>
  </si>
  <si>
    <t>Suman Pradhan</t>
  </si>
  <si>
    <t>C2015079</t>
  </si>
  <si>
    <t>Vikash</t>
  </si>
  <si>
    <t>vikash9007219665@gmail.com</t>
  </si>
  <si>
    <t>C2015078</t>
  </si>
  <si>
    <t>Adhikary Enterprise</t>
  </si>
  <si>
    <t>adhikaryenterprise666@gmail.com</t>
  </si>
  <si>
    <t>13.07.2022</t>
  </si>
  <si>
    <t>P128</t>
  </si>
  <si>
    <t>Mahesh Kumar Agarwal</t>
  </si>
  <si>
    <t>grwlmahesh@yahoo.co.in</t>
  </si>
  <si>
    <t>Sambalpur</t>
  </si>
  <si>
    <t>@68/-</t>
  </si>
  <si>
    <t>Quotation Sent And Photocopy Sent.</t>
  </si>
  <si>
    <t>C2015077</t>
  </si>
  <si>
    <t>Kamlesh Kumar Singh</t>
  </si>
  <si>
    <t>kksingh.in@gmail.com</t>
  </si>
  <si>
    <t>C2015076</t>
  </si>
  <si>
    <t>Shreeji Pharma</t>
  </si>
  <si>
    <t>jignesh.jaka@gmail.com</t>
  </si>
  <si>
    <t>C2015075</t>
  </si>
  <si>
    <t>Bishnu Seth</t>
  </si>
  <si>
    <t>jayhobishnu@gmail.com</t>
  </si>
  <si>
    <t>Party Requirement Fertilizer Grade.</t>
  </si>
  <si>
    <t>12.07.2022</t>
  </si>
  <si>
    <t>P127</t>
  </si>
  <si>
    <t>Partha Goswami</t>
  </si>
  <si>
    <t>Polyelectrolyte</t>
  </si>
  <si>
    <t>goswamipartha@lntecc.com</t>
  </si>
  <si>
    <t>C2015074</t>
  </si>
  <si>
    <t>Atul</t>
  </si>
  <si>
    <t>atulbrajeshchandra@gmail.com</t>
  </si>
  <si>
    <t>C2015073</t>
  </si>
  <si>
    <t>Littan</t>
  </si>
  <si>
    <t>Dhupguri</t>
  </si>
  <si>
    <t>C2015072</t>
  </si>
  <si>
    <t>Devraj Singh Sidiyas</t>
  </si>
  <si>
    <t>Haripur</t>
  </si>
  <si>
    <t>11.07.2022</t>
  </si>
  <si>
    <t>C2015071</t>
  </si>
  <si>
    <t>Shyam Sundar Kumar</t>
  </si>
  <si>
    <t>shyamsundarkumarjnb@gmail.com</t>
  </si>
  <si>
    <t>C2015070</t>
  </si>
  <si>
    <t>PD Associates</t>
  </si>
  <si>
    <t>pd.dekaassociates@gmail.com</t>
  </si>
  <si>
    <t>C2015069</t>
  </si>
  <si>
    <t>A.S Bag &amp; Belts</t>
  </si>
  <si>
    <t>abdulshubhanmbt@gmail.com</t>
  </si>
  <si>
    <t>C2015068</t>
  </si>
  <si>
    <t xml:space="preserve">Rajesh   </t>
  </si>
  <si>
    <t>rajeshshaw123@gmail.com</t>
  </si>
  <si>
    <t>C2015067</t>
  </si>
  <si>
    <t>Aman Rai</t>
  </si>
  <si>
    <t>rockingamanrai9652@gmail.com</t>
  </si>
  <si>
    <t>C2015066</t>
  </si>
  <si>
    <t>Bharat Industrial Corporation</t>
  </si>
  <si>
    <t>C2015065</t>
  </si>
  <si>
    <t>Papan Singh</t>
  </si>
  <si>
    <t>sandippal40@gmail.com</t>
  </si>
  <si>
    <t>@26/-</t>
  </si>
  <si>
    <t>C2015064</t>
  </si>
  <si>
    <t>Kakuli Dey</t>
  </si>
  <si>
    <t>kakulidey98@gmail.com</t>
  </si>
  <si>
    <t>Katwa</t>
  </si>
  <si>
    <t>C2015063</t>
  </si>
  <si>
    <t>Ghosh Traders</t>
  </si>
  <si>
    <t>mondaltumpa691@gmail.com</t>
  </si>
  <si>
    <t>8926691691/ 9732691691</t>
  </si>
  <si>
    <t>@132/-</t>
  </si>
  <si>
    <t xml:space="preserve">   </t>
  </si>
  <si>
    <t>09.07.2022</t>
  </si>
  <si>
    <t>C2015062</t>
  </si>
  <si>
    <t>Giriraj Industries</t>
  </si>
  <si>
    <t>Mica Powder</t>
  </si>
  <si>
    <t>sanjaynathani1212@gmail.com</t>
  </si>
  <si>
    <t>Q @55+</t>
  </si>
  <si>
    <t>Need white mica , 20 -40 mesh size at Nagpur.</t>
  </si>
  <si>
    <t>C2015061</t>
  </si>
  <si>
    <t>Jai Laxmi Enterprises</t>
  </si>
  <si>
    <t>jailaxmi.entrp@gmail.com</t>
  </si>
  <si>
    <t>C2015060</t>
  </si>
  <si>
    <t>Kalandi Steels &amp; Engineering Works</t>
  </si>
  <si>
    <t>kalindisteels@yahoo.in</t>
  </si>
  <si>
    <t>C2015059</t>
  </si>
  <si>
    <t>Priyanka Enterprises</t>
  </si>
  <si>
    <t>singhgrish786@gmail.com</t>
  </si>
  <si>
    <t>C2015058</t>
  </si>
  <si>
    <t>H.Muaki</t>
  </si>
  <si>
    <t>08.07.2022</t>
  </si>
  <si>
    <t>C2015057</t>
  </si>
  <si>
    <t>Chaizup Beverages LLP</t>
  </si>
  <si>
    <t>Carboxy Methyl Cellulose</t>
  </si>
  <si>
    <t>chaizupsocial@gmail.com</t>
  </si>
  <si>
    <t>Quoted And Sample Provided</t>
  </si>
  <si>
    <t>C2015056</t>
  </si>
  <si>
    <t>Rafik</t>
  </si>
  <si>
    <t>Phone Switch Off</t>
  </si>
  <si>
    <t>C2015055</t>
  </si>
  <si>
    <t>Bijay Khaitan</t>
  </si>
  <si>
    <t>khaitanbijay@gmail.com</t>
  </si>
  <si>
    <t>C2015054</t>
  </si>
  <si>
    <t>Rg Corporation</t>
  </si>
  <si>
    <t>rgcorporation@yahoo.com</t>
  </si>
  <si>
    <t>07.07.2022</t>
  </si>
  <si>
    <t>C2015053</t>
  </si>
  <si>
    <t>AB Elasto Kolkata Pvt Ltd</t>
  </si>
  <si>
    <t>C2015052</t>
  </si>
  <si>
    <t>Mahesh Kumar Agrawal</t>
  </si>
  <si>
    <t>C2015051</t>
  </si>
  <si>
    <t>R.S.Printfab Pvt Ltd.</t>
  </si>
  <si>
    <t>somenathbduratuf@gmail.com</t>
  </si>
  <si>
    <t>@40/-</t>
  </si>
  <si>
    <t>C2015050</t>
  </si>
  <si>
    <t>Surajit Dutta</t>
  </si>
  <si>
    <t>C2015049</t>
  </si>
  <si>
    <t>N Jogesh Dora</t>
  </si>
  <si>
    <t>C2015048</t>
  </si>
  <si>
    <t>Fortune</t>
  </si>
  <si>
    <t>fortunef651@gmail.com</t>
  </si>
  <si>
    <t>C2015047</t>
  </si>
  <si>
    <t>SM Agro</t>
  </si>
  <si>
    <t>Call Not Received(2)</t>
  </si>
  <si>
    <t>C2015046</t>
  </si>
  <si>
    <t>R.P.Metaliks Pvt Ltd.</t>
  </si>
  <si>
    <t>Gypsum Lumps</t>
  </si>
  <si>
    <t>rishibhutan@gmail.com</t>
  </si>
  <si>
    <t>C2015045</t>
  </si>
  <si>
    <t>Amrit Kumar</t>
  </si>
  <si>
    <t>gks226622@gmail.com</t>
  </si>
  <si>
    <t>@23.50/-</t>
  </si>
  <si>
    <t>C2015044</t>
  </si>
  <si>
    <t>Sudip Mondal</t>
  </si>
  <si>
    <t>sudipkli777@gmail.com</t>
  </si>
  <si>
    <t>06.07.2022</t>
  </si>
  <si>
    <t>C2015043</t>
  </si>
  <si>
    <t>Sankar Jana</t>
  </si>
  <si>
    <t>janashankar206@gmail.com</t>
  </si>
  <si>
    <t>C2015042</t>
  </si>
  <si>
    <t>Ch.Veeraiah</t>
  </si>
  <si>
    <t>bharatabrasives05@gmail.com</t>
  </si>
  <si>
    <t>C2015041</t>
  </si>
  <si>
    <t>A S Chemicals</t>
  </si>
  <si>
    <t>Soda Ash Dense</t>
  </si>
  <si>
    <t>manjurshah65@gmail.com</t>
  </si>
  <si>
    <t>05.07.2022</t>
  </si>
  <si>
    <t>C2015040</t>
  </si>
  <si>
    <t>Md.Tahir Ali</t>
  </si>
  <si>
    <t>mdtahirali09@gmail.com</t>
  </si>
  <si>
    <t>@27/-</t>
  </si>
  <si>
    <t>C2015039</t>
  </si>
  <si>
    <t>Chotu Kumar Yadav</t>
  </si>
  <si>
    <t>chhotu111197@gmail.com</t>
  </si>
  <si>
    <t>C2015038</t>
  </si>
  <si>
    <t>Giriraj Trading Co.</t>
  </si>
  <si>
    <t>maulikdyechem@gmail.com</t>
  </si>
  <si>
    <t>C2015037</t>
  </si>
  <si>
    <t>Ramit Bhakat</t>
  </si>
  <si>
    <t>rumitbhakst@gmail.com</t>
  </si>
  <si>
    <t>C2015036</t>
  </si>
  <si>
    <t>Surendra</t>
  </si>
  <si>
    <t>ksurendrarao9@gmail.com</t>
  </si>
  <si>
    <t>Berhampur</t>
  </si>
  <si>
    <t>@17/-</t>
  </si>
  <si>
    <t>C2015035</t>
  </si>
  <si>
    <t>Namita Sharma</t>
  </si>
  <si>
    <t>namiakriti24@gmail.com</t>
  </si>
  <si>
    <t>Party Require Fertilizer Purpose</t>
  </si>
  <si>
    <t>04.07.2022</t>
  </si>
  <si>
    <t>C2015034</t>
  </si>
  <si>
    <t xml:space="preserve">Rishit Engineering </t>
  </si>
  <si>
    <t>@56/-</t>
  </si>
  <si>
    <t>C2015033</t>
  </si>
  <si>
    <t>India Carbon Ltd</t>
  </si>
  <si>
    <t>purchasegroup.sujit@gmail.com</t>
  </si>
  <si>
    <t>@21/-</t>
  </si>
  <si>
    <t>C2015032</t>
  </si>
  <si>
    <t>GMSIG Group Of Company</t>
  </si>
  <si>
    <t>Nitrobenzene (20%)</t>
  </si>
  <si>
    <t>dipu25123@gmail.com</t>
  </si>
  <si>
    <t>@174/-</t>
  </si>
  <si>
    <t>C2015031</t>
  </si>
  <si>
    <t>Mrunmay Kumar Das</t>
  </si>
  <si>
    <t>mrunmay.1984@gmail.com</t>
  </si>
  <si>
    <t>C2015030</t>
  </si>
  <si>
    <t>Rahil Chablani</t>
  </si>
  <si>
    <t>rahilchablani25@gmail.com</t>
  </si>
  <si>
    <t>C2015029</t>
  </si>
  <si>
    <t>Sagar Arena Food Products</t>
  </si>
  <si>
    <t>pariaranajit14@gmail.com</t>
  </si>
  <si>
    <t>9830822609/ 9051706485</t>
  </si>
  <si>
    <t>C2015028</t>
  </si>
  <si>
    <t>Mahabub Agro Agency</t>
  </si>
  <si>
    <t>sakuwathussain@gmail.com</t>
  </si>
  <si>
    <t>Photocopy Send And Quoted.</t>
  </si>
  <si>
    <t>02.07.2022</t>
  </si>
  <si>
    <t>C2015027</t>
  </si>
  <si>
    <t>Roshan Kumar</t>
  </si>
  <si>
    <t>C2015026</t>
  </si>
  <si>
    <t>Advance Nutratech</t>
  </si>
  <si>
    <t>advancenutratech@gmail.com</t>
  </si>
  <si>
    <t>C2015025</t>
  </si>
  <si>
    <t>G.K Tulsyan &amp; Co.</t>
  </si>
  <si>
    <t>mail.senapati@yahoo.co.in</t>
  </si>
  <si>
    <t>C2015024</t>
  </si>
  <si>
    <t>Hindusthan Colour Co.</t>
  </si>
  <si>
    <t>hindcolor@yahoo.com</t>
  </si>
  <si>
    <t>Rate High,Party Target Price 31/-</t>
  </si>
  <si>
    <t>C2015023</t>
  </si>
  <si>
    <t>Shanti</t>
  </si>
  <si>
    <t>Sodium Silicate</t>
  </si>
  <si>
    <t>Bolpur</t>
  </si>
  <si>
    <t>C2015022</t>
  </si>
  <si>
    <t>Dhammas Enterprises</t>
  </si>
  <si>
    <t>Citric Acid Monohydrate</t>
  </si>
  <si>
    <t>alisubhan79@gmail.com</t>
  </si>
  <si>
    <t>Send bag photo copy and price.</t>
  </si>
  <si>
    <t>C2015021</t>
  </si>
  <si>
    <t>Jay Market Creators Pvt Ltd.</t>
  </si>
  <si>
    <t>tillingblades@gmail.com</t>
  </si>
  <si>
    <t>7044538731/ 9007008367</t>
  </si>
  <si>
    <t>01.07.2022</t>
  </si>
  <si>
    <t>C2015020</t>
  </si>
  <si>
    <t>Abhi</t>
  </si>
  <si>
    <t>animeshsa98@gmail.com</t>
  </si>
  <si>
    <t>Party attend to tender for required price.</t>
  </si>
  <si>
    <t>C2015019</t>
  </si>
  <si>
    <t>Jayanta Roy</t>
  </si>
  <si>
    <t>roy92311jayanta@gmail.com</t>
  </si>
  <si>
    <t>C2015018</t>
  </si>
  <si>
    <t>Raju Das</t>
  </si>
  <si>
    <t>P126</t>
  </si>
  <si>
    <t>Concrete Additives &amp; Chemicals Pvt Ltd.</t>
  </si>
  <si>
    <t>Caustic Soda Lye 48%</t>
  </si>
  <si>
    <t>kolkata.commercial@cac-admixtures.com</t>
  </si>
  <si>
    <t>C2015017</t>
  </si>
  <si>
    <t>Pradhans Iconic</t>
  </si>
  <si>
    <t>Tamarind Seed Powder</t>
  </si>
  <si>
    <t>pradhansiconic@gmail.com</t>
  </si>
  <si>
    <t>@ 42/-</t>
  </si>
  <si>
    <t>Party Visited Our Office &amp; Sample Provided.</t>
  </si>
  <si>
    <t>30.06.2022</t>
  </si>
  <si>
    <t>C2015016</t>
  </si>
  <si>
    <t>A.P.S Corporation</t>
  </si>
  <si>
    <t>kabcera@hotmail.com</t>
  </si>
  <si>
    <t>C2015015</t>
  </si>
  <si>
    <t>Basir</t>
  </si>
  <si>
    <t>Party requirement after 15days.</t>
  </si>
  <si>
    <t>C2015014</t>
  </si>
  <si>
    <t>Bharat Abrasives</t>
  </si>
  <si>
    <t>C2015013</t>
  </si>
  <si>
    <t>Abdullah Enterprise</t>
  </si>
  <si>
    <t>29.06.2022</t>
  </si>
  <si>
    <t>C2015012</t>
  </si>
  <si>
    <t>Ajay Dubey</t>
  </si>
  <si>
    <t>way2ajaydubey@gmail.com</t>
  </si>
  <si>
    <t>C2015011</t>
  </si>
  <si>
    <t>S.N. Enterprise</t>
  </si>
  <si>
    <t>Feldspar Powder,Calcite powder</t>
  </si>
  <si>
    <t>1000/1000</t>
  </si>
  <si>
    <t>debasish.ghosal18@gmail.com</t>
  </si>
  <si>
    <t>Both@7/-</t>
  </si>
  <si>
    <t>Payment received.</t>
  </si>
  <si>
    <t>C2015010</t>
  </si>
  <si>
    <t>Padamavati Industries</t>
  </si>
  <si>
    <t>uttamk855@gmail.com</t>
  </si>
  <si>
    <t>C2015009</t>
  </si>
  <si>
    <t>C2015008</t>
  </si>
  <si>
    <t>Utopia Ventures</t>
  </si>
  <si>
    <t>surajitsonu888@gmail.com</t>
  </si>
  <si>
    <t>C2015007</t>
  </si>
  <si>
    <t>Rocky Enterprise</t>
  </si>
  <si>
    <t>skrocky225@gmail.com</t>
  </si>
  <si>
    <t>C2015006</t>
  </si>
  <si>
    <t>Aarogya Niketan Clinic</t>
  </si>
  <si>
    <t>biswasnarayan706@gmail.com</t>
  </si>
  <si>
    <t>Party required only fertilizer grade.</t>
  </si>
  <si>
    <t>C2015005</t>
  </si>
  <si>
    <t>Ohaiva Agro Pvt Ltd.</t>
  </si>
  <si>
    <t>Nitrobenzene Emulsifier</t>
  </si>
  <si>
    <t>vossopcorporate@gmail.com</t>
  </si>
  <si>
    <t>28.06.2022</t>
  </si>
  <si>
    <t>C2015004</t>
  </si>
  <si>
    <t>Shree Export Import</t>
  </si>
  <si>
    <t>Dextrose Monohydrate</t>
  </si>
  <si>
    <t>ihaveincime@gmail.com</t>
  </si>
  <si>
    <t>Kalyani</t>
  </si>
  <si>
    <t>Want To Purchase From Manufacturer.</t>
  </si>
  <si>
    <t>C2015003</t>
  </si>
  <si>
    <t>Siddhi Vinayak Beverages</t>
  </si>
  <si>
    <t>Citric Acid</t>
  </si>
  <si>
    <t>nsai.guwahati@gmail.com</t>
  </si>
  <si>
    <t>9706006578/ 9101283077</t>
  </si>
  <si>
    <t>@197/-</t>
  </si>
  <si>
    <t>Bag photo copy send,</t>
  </si>
  <si>
    <t>C2015002</t>
  </si>
  <si>
    <t>Mahato's Pvt Ltd.</t>
  </si>
  <si>
    <t>somenath.mahato83@gmail.com</t>
  </si>
  <si>
    <t>27.06.2022</t>
  </si>
  <si>
    <t>C2015001</t>
  </si>
  <si>
    <t>Vaswani Trading</t>
  </si>
  <si>
    <t>Reuire at Delhi. coa &amp; picture send on whats up</t>
  </si>
  <si>
    <t>C2015000</t>
  </si>
  <si>
    <t>Aditya Metal Industries</t>
  </si>
  <si>
    <t>ravi8895@gmail.com</t>
  </si>
  <si>
    <t>7003045733/ 9748727073</t>
  </si>
  <si>
    <t>Need Sample For Approval</t>
  </si>
  <si>
    <t>C2014999</t>
  </si>
  <si>
    <t>Tarama Enterprise</t>
  </si>
  <si>
    <t>Quick Lime</t>
  </si>
  <si>
    <t>santra.subhra3@gmail.com</t>
  </si>
  <si>
    <t>Tarakeswar</t>
  </si>
  <si>
    <t>@15/-</t>
  </si>
  <si>
    <t>C2014998</t>
  </si>
  <si>
    <t>Scottish Chemical Industries</t>
  </si>
  <si>
    <t>info@scottishchemical.com</t>
  </si>
  <si>
    <t>C2014997</t>
  </si>
  <si>
    <t>Shri Krishna Shilpi Udyog</t>
  </si>
  <si>
    <t>sanjoymukherjee1990@gmail.com</t>
  </si>
  <si>
    <t>C2014996</t>
  </si>
  <si>
    <t>Nayan Kukreja</t>
  </si>
  <si>
    <t>nayankukreja1997@gmail.com</t>
  </si>
  <si>
    <t>C2014995</t>
  </si>
  <si>
    <t>Adarsh Verma</t>
  </si>
  <si>
    <t>av8236110@gmail.com</t>
  </si>
  <si>
    <t>Party First requirement sample.</t>
  </si>
  <si>
    <t>C2014994</t>
  </si>
  <si>
    <t>Viswas International</t>
  </si>
  <si>
    <t>biswasinternational137@gmail.com</t>
  </si>
  <si>
    <t>25.06.2022</t>
  </si>
  <si>
    <t>C2014993</t>
  </si>
  <si>
    <t>Kataria Products</t>
  </si>
  <si>
    <t>katariaproducts20@gmail.com</t>
  </si>
  <si>
    <t>Quoted @22+</t>
  </si>
  <si>
    <t>C2014992</t>
  </si>
  <si>
    <t>Ananya Enterprise</t>
  </si>
  <si>
    <t>ananyaenterprise13@gmail.com</t>
  </si>
  <si>
    <t>C2014991</t>
  </si>
  <si>
    <t>Multi Serve Rolls Ltd.</t>
  </si>
  <si>
    <t>sandeeppoddar73@yahoo.co.in</t>
  </si>
  <si>
    <t>9831825134/ 9831892105</t>
  </si>
  <si>
    <t>@248/-</t>
  </si>
  <si>
    <t>Quotation send .</t>
  </si>
  <si>
    <t>C2014990</t>
  </si>
  <si>
    <t>Harshit Singh Tomar</t>
  </si>
  <si>
    <t>ph. call not received.</t>
  </si>
  <si>
    <t>C2014989</t>
  </si>
  <si>
    <t>Sustika Agency</t>
  </si>
  <si>
    <t>rohitworld32@gmail.com</t>
  </si>
  <si>
    <t>C2014988</t>
  </si>
  <si>
    <t>Kallol Kumar Dutta</t>
  </si>
  <si>
    <t xml:space="preserve">Quoted    </t>
  </si>
  <si>
    <t>C2014987</t>
  </si>
  <si>
    <t>Akash</t>
  </si>
  <si>
    <t>Copper Sulphate</t>
  </si>
  <si>
    <t>jainakash2021@gmail.com</t>
  </si>
  <si>
    <t>@238/-</t>
  </si>
  <si>
    <t>24.06.2022</t>
  </si>
  <si>
    <t>C2014986</t>
  </si>
  <si>
    <t>Mac Civi Engineering Corporation</t>
  </si>
  <si>
    <t>C2014985</t>
  </si>
  <si>
    <t>Naba Ghosh</t>
  </si>
  <si>
    <t>Hydrazine Hydrate 80%</t>
  </si>
  <si>
    <t>marketinginterncoolbergcare@gmail.com</t>
  </si>
  <si>
    <t>@670/-</t>
  </si>
  <si>
    <t>C2014984</t>
  </si>
  <si>
    <t>Neha Construction</t>
  </si>
  <si>
    <t>darshan.cshah@gmail.com</t>
  </si>
  <si>
    <t>C2014983</t>
  </si>
  <si>
    <t>Hindustan Produce Company</t>
  </si>
  <si>
    <t>hindproco@gmail.com</t>
  </si>
  <si>
    <t>C2014982</t>
  </si>
  <si>
    <t>UB Exin Pvt Ltd.</t>
  </si>
  <si>
    <t>mrinalpal9456@gmail.com</t>
  </si>
  <si>
    <t>C2014981</t>
  </si>
  <si>
    <t>Md Tamanna Khan</t>
  </si>
  <si>
    <t>C2014980</t>
  </si>
  <si>
    <t>RJ Chemicals</t>
  </si>
  <si>
    <t>Sodium Aluminate Powder</t>
  </si>
  <si>
    <t>rjchemtech@gmail.com</t>
  </si>
  <si>
    <t>Barrackpore - 743166</t>
  </si>
  <si>
    <t>9331038616/ 6289588234</t>
  </si>
  <si>
    <t>C2014979</t>
  </si>
  <si>
    <t>Asit Kumar Dawn</t>
  </si>
  <si>
    <t>Pyrophyllite Powder</t>
  </si>
  <si>
    <t>@6.5/-</t>
  </si>
  <si>
    <t>Party require pure white.</t>
  </si>
  <si>
    <t>23.06.2022</t>
  </si>
  <si>
    <t>C2014978</t>
  </si>
  <si>
    <t>Sandsoll</t>
  </si>
  <si>
    <t>C2014977</t>
  </si>
  <si>
    <t>C2014976</t>
  </si>
  <si>
    <t>Indian Builder</t>
  </si>
  <si>
    <t>Pracipated Barium Sulphate</t>
  </si>
  <si>
    <t>axis_sahu@yahoo.co.in</t>
  </si>
  <si>
    <t>@92/-</t>
  </si>
  <si>
    <t>C2014975</t>
  </si>
  <si>
    <t>wajid188ali@gmail.com</t>
  </si>
  <si>
    <t>Pandua</t>
  </si>
  <si>
    <t>C2014974</t>
  </si>
  <si>
    <t>Sujay Paul</t>
  </si>
  <si>
    <t>spaul2669@gmail.com</t>
  </si>
  <si>
    <t>Biranagar</t>
  </si>
  <si>
    <t>@11.50/-</t>
  </si>
  <si>
    <t>party collect the sample our office.</t>
  </si>
  <si>
    <t>C2014973</t>
  </si>
  <si>
    <t>Century Chemical</t>
  </si>
  <si>
    <t>century.chem@yahoo.com</t>
  </si>
  <si>
    <t>C2014972</t>
  </si>
  <si>
    <t>Gopesh Spices</t>
  </si>
  <si>
    <t>gopeshspices@gmail.com</t>
  </si>
  <si>
    <t>6290009635/ 9831758033</t>
  </si>
  <si>
    <t>C2014971</t>
  </si>
  <si>
    <t>Manaranjan Rout</t>
  </si>
  <si>
    <t>@37.80/-</t>
  </si>
  <si>
    <t>Ph. call not received..</t>
  </si>
  <si>
    <t>22.06.2022</t>
  </si>
  <si>
    <t>C2014970</t>
  </si>
  <si>
    <t>Rohan</t>
  </si>
  <si>
    <t>rohanprasad030@gmail.com</t>
  </si>
  <si>
    <t>Bhubaneswar</t>
  </si>
  <si>
    <t>Party already local purchase.</t>
  </si>
  <si>
    <t>C2014969</t>
  </si>
  <si>
    <t>S.J.Enterprise</t>
  </si>
  <si>
    <t>jsh.patil86@yahoo.com</t>
  </si>
  <si>
    <t>C2014968</t>
  </si>
  <si>
    <t>Jaasmeen Stiching Work</t>
  </si>
  <si>
    <t>mdalamansari92855@gmail.com</t>
  </si>
  <si>
    <t>C2014967</t>
  </si>
  <si>
    <t>Mridula</t>
  </si>
  <si>
    <t>Soda Ash</t>
  </si>
  <si>
    <t>C2014966</t>
  </si>
  <si>
    <t>Siddhai Industries</t>
  </si>
  <si>
    <t>Calcium Carbonate Powder</t>
  </si>
  <si>
    <t>siddhai.pvcindustries@gmail.com</t>
  </si>
  <si>
    <t>Ratnagiri - 415605</t>
  </si>
  <si>
    <t>C2014965</t>
  </si>
  <si>
    <t>Hind Khalifa Trading Co.</t>
  </si>
  <si>
    <t>trcskhan@gmail.com</t>
  </si>
  <si>
    <t>@28/-</t>
  </si>
  <si>
    <t>Party order not confirmed.</t>
  </si>
  <si>
    <t>C2014964</t>
  </si>
  <si>
    <t>Amit Garments</t>
  </si>
  <si>
    <t>amitdutta99540@gmail.com</t>
  </si>
  <si>
    <t>P125</t>
  </si>
  <si>
    <t>Subham Oils &amp; Resins Pvt Ltd.</t>
  </si>
  <si>
    <t>Technical Grade Urea</t>
  </si>
  <si>
    <t>info@subhamolis.com</t>
  </si>
  <si>
    <t>C2014963</t>
  </si>
  <si>
    <t>Naitik Trading</t>
  </si>
  <si>
    <t>hiteshchandrakar1@gmail.com</t>
  </si>
  <si>
    <t>Chhattisgarh</t>
  </si>
  <si>
    <t>Party requirement Mumbai &amp; Gujrat location</t>
  </si>
  <si>
    <t>C2014962</t>
  </si>
  <si>
    <t>Loriya Ceramic</t>
  </si>
  <si>
    <t>Magnesite Lumps</t>
  </si>
  <si>
    <t>loriyasceramic0751@gmail.com</t>
  </si>
  <si>
    <t>Morbi</t>
  </si>
  <si>
    <t>21.06.2022</t>
  </si>
  <si>
    <t>C2014961</t>
  </si>
  <si>
    <t>SK Gupta Industries</t>
  </si>
  <si>
    <t>hgujralplus@gmail.com</t>
  </si>
  <si>
    <t>C2014960</t>
  </si>
  <si>
    <t>Avijeet Kar</t>
  </si>
  <si>
    <t>avijeetkar3@gmail.com</t>
  </si>
  <si>
    <t>Party ph. call not received.</t>
  </si>
  <si>
    <t>C2014959</t>
  </si>
  <si>
    <t>Mighty Steel Links</t>
  </si>
  <si>
    <t>Zircon Sand</t>
  </si>
  <si>
    <t>mightysteellinks@gmail.com</t>
  </si>
  <si>
    <t>Tamil Nadu</t>
  </si>
  <si>
    <t>C2014958</t>
  </si>
  <si>
    <t>Pintu Roy</t>
  </si>
  <si>
    <t>roypuspendu09@gmail.com</t>
  </si>
  <si>
    <t>C2014957</t>
  </si>
  <si>
    <t>JJ Fish</t>
  </si>
  <si>
    <t xml:space="preserve">Zeolite   </t>
  </si>
  <si>
    <t>sattya021@gmail.com</t>
  </si>
  <si>
    <t>20.06.2022</t>
  </si>
  <si>
    <t>C2014956</t>
  </si>
  <si>
    <t>Nimbark Engineering Pvt Ltd.</t>
  </si>
  <si>
    <t>nimbark.enterprises@gmail.com</t>
  </si>
  <si>
    <t>Order Confrimed And Payment Received.</t>
  </si>
  <si>
    <t>C2014955</t>
  </si>
  <si>
    <t>Magmacast India</t>
  </si>
  <si>
    <t>@110/-</t>
  </si>
  <si>
    <t xml:space="preserve">Quoted      </t>
  </si>
  <si>
    <t>C2014954</t>
  </si>
  <si>
    <t>Vijay Spheroidals Pvt Ltd.</t>
  </si>
  <si>
    <t>vijayspheroidals@gmail.com</t>
  </si>
  <si>
    <t>Karnataka</t>
  </si>
  <si>
    <t>C2014953</t>
  </si>
  <si>
    <t>Asha Agarwal</t>
  </si>
  <si>
    <t>Oxalic Acid</t>
  </si>
  <si>
    <t>C2014952</t>
  </si>
  <si>
    <t>Radha Devi Chemical</t>
  </si>
  <si>
    <t>Ethyl  Alcohol</t>
  </si>
  <si>
    <t>tersuldeterjent@gmail.com</t>
  </si>
  <si>
    <t>C2014951</t>
  </si>
  <si>
    <t>Swapan Nandi</t>
  </si>
  <si>
    <t>C2014950</t>
  </si>
  <si>
    <t>Shyam Sundar Singh</t>
  </si>
  <si>
    <t>shyamsundarsingh14@gmail.com</t>
  </si>
  <si>
    <t>9433330854/ 7890566407</t>
  </si>
  <si>
    <t>18.06.2022</t>
  </si>
  <si>
    <t>C2014949</t>
  </si>
  <si>
    <t>Shabuddin Ansari</t>
  </si>
  <si>
    <t>C2014948</t>
  </si>
  <si>
    <t>Ganapati Exports</t>
  </si>
  <si>
    <t>exportsganapati@gmail.com</t>
  </si>
  <si>
    <t>C2014947</t>
  </si>
  <si>
    <t>Deepchand Jaiswal</t>
  </si>
  <si>
    <t>pankajshrm490@gmail.com</t>
  </si>
  <si>
    <t>C2014946</t>
  </si>
  <si>
    <t>Vandana Kumari</t>
  </si>
  <si>
    <t>sushilalp951@gmail.com</t>
  </si>
  <si>
    <t>C2014945</t>
  </si>
  <si>
    <t>Dwarikadhish Enterprise</t>
  </si>
  <si>
    <t>Calcined Petrolium Coke</t>
  </si>
  <si>
    <t>shailendrk1217@gmail.com</t>
  </si>
  <si>
    <t>C2014944</t>
  </si>
  <si>
    <t>@58/-</t>
  </si>
  <si>
    <t>rate send.</t>
  </si>
  <si>
    <t>Party requirement month of july.</t>
  </si>
  <si>
    <t>C2014943</t>
  </si>
  <si>
    <t>Abm Gold</t>
  </si>
  <si>
    <t>aminurmolla@gmail.com</t>
  </si>
  <si>
    <t>17.06.2022</t>
  </si>
  <si>
    <t>C2014942</t>
  </si>
  <si>
    <t>Shiva Enterprises</t>
  </si>
  <si>
    <t>somilkotadia2730@gmail.com</t>
  </si>
  <si>
    <t>ph.call not received.</t>
  </si>
  <si>
    <t>C2014941</t>
  </si>
  <si>
    <t>Nassem</t>
  </si>
  <si>
    <t>C2014940</t>
  </si>
  <si>
    <t>Prem Kumar Shaw</t>
  </si>
  <si>
    <t>Party require food grade Salt.</t>
  </si>
  <si>
    <t>C2014939</t>
  </si>
  <si>
    <t>Digpal Singh</t>
  </si>
  <si>
    <t>ph. not received.</t>
  </si>
  <si>
    <t>C2014938</t>
  </si>
  <si>
    <t>mills@naihatijute.com</t>
  </si>
  <si>
    <t>Naihati</t>
  </si>
  <si>
    <t>16.06.2022</t>
  </si>
  <si>
    <t>C2014937</t>
  </si>
  <si>
    <t>Mansa Manufacturing</t>
  </si>
  <si>
    <t>C2014936</t>
  </si>
  <si>
    <t>Piyush Chemicals</t>
  </si>
  <si>
    <t>pich6302@gmail.com</t>
  </si>
  <si>
    <t>C2014935</t>
  </si>
  <si>
    <t>Shree Sensation</t>
  </si>
  <si>
    <t>puja.daga02@gmail.com</t>
  </si>
  <si>
    <t>four time called , bt.not received</t>
  </si>
  <si>
    <t>C2014934</t>
  </si>
  <si>
    <t>Suraj Singh</t>
  </si>
  <si>
    <t>Gravels</t>
  </si>
  <si>
    <t>Quoted,send photocopy.</t>
  </si>
  <si>
    <t>C2014933</t>
  </si>
  <si>
    <t>Rajesh Industries</t>
  </si>
  <si>
    <t>aaryaagrofood77@gmail.com</t>
  </si>
  <si>
    <t>C2014932</t>
  </si>
  <si>
    <t>Abdur Rasid Khan Industries Pvt Ltd.</t>
  </si>
  <si>
    <t>surajkhankck02@gmail.com</t>
  </si>
  <si>
    <t>Chandpur - 732201</t>
  </si>
  <si>
    <t>C2014931</t>
  </si>
  <si>
    <t>Vijayalaxmi Trade Company.</t>
  </si>
  <si>
    <t>vijaylaxmitradingchemical@gmail.com</t>
  </si>
  <si>
    <t>15.06.2022</t>
  </si>
  <si>
    <t>C2014930</t>
  </si>
  <si>
    <t>A S Joshi &amp; Co.</t>
  </si>
  <si>
    <t>ashvinjoshi123@gmail.com</t>
  </si>
  <si>
    <t>C2014929</t>
  </si>
  <si>
    <t>Ganpati Construction</t>
  </si>
  <si>
    <t>shashikapoor80@gmail.com</t>
  </si>
  <si>
    <t>C2014928</t>
  </si>
  <si>
    <t>Swayam Swachatta Initiative Ltd.</t>
  </si>
  <si>
    <t>ankur.parashari@ssil.in.net</t>
  </si>
  <si>
    <t>C2014927</t>
  </si>
  <si>
    <t>Ragi Mercantile Pvt Ltd.</t>
  </si>
  <si>
    <t>ragimpl@yahoo.com</t>
  </si>
  <si>
    <t>C2014926</t>
  </si>
  <si>
    <t>Hiten</t>
  </si>
  <si>
    <t>hitenkothari04@gmail.com</t>
  </si>
  <si>
    <t>C2014925</t>
  </si>
  <si>
    <t>HNR Enterprise</t>
  </si>
  <si>
    <t>haiuldi@gmail.com</t>
  </si>
  <si>
    <t>two time calling not received.</t>
  </si>
  <si>
    <t>C2014924</t>
  </si>
  <si>
    <t>Nan Agro Science</t>
  </si>
  <si>
    <t>smzhps@gmail.com</t>
  </si>
  <si>
    <t>14.06.2022</t>
  </si>
  <si>
    <t>C2014923</t>
  </si>
  <si>
    <t>Parimal Mandal</t>
  </si>
  <si>
    <t>parimalmandal_2009@rediffmail.com</t>
  </si>
  <si>
    <t>@7.50/-</t>
  </si>
  <si>
    <t>party comeing visitrd our office.</t>
  </si>
  <si>
    <t>C2014922</t>
  </si>
  <si>
    <t>Vac International</t>
  </si>
  <si>
    <t>ganguly8421@gmail.com</t>
  </si>
  <si>
    <t>Jel form require.</t>
  </si>
  <si>
    <t>P124</t>
  </si>
  <si>
    <t>H.S.Associates</t>
  </si>
  <si>
    <t>hsassociates15@gmail.com</t>
  </si>
  <si>
    <t>Photocopy Send.</t>
  </si>
  <si>
    <t>C2014921</t>
  </si>
  <si>
    <t>Vaishnavi Impex</t>
  </si>
  <si>
    <t>sachin@vaishnaviimpex.co.in</t>
  </si>
  <si>
    <t>C2014920</t>
  </si>
  <si>
    <t>Chowdhury Associates</t>
  </si>
  <si>
    <t>provatdas@bhel.in</t>
  </si>
  <si>
    <t>C2014919</t>
  </si>
  <si>
    <t>A1 Star Enterprises</t>
  </si>
  <si>
    <t>ajaj984786@gmail.com</t>
  </si>
  <si>
    <t>13.06.2022</t>
  </si>
  <si>
    <t>C2014918</t>
  </si>
  <si>
    <t>Rate, specification and photo given, but he needs 98.8%</t>
  </si>
  <si>
    <t>P123</t>
  </si>
  <si>
    <t>Parasnath Irons &amp; Steels</t>
  </si>
  <si>
    <t>skisunited@gmail.com</t>
  </si>
  <si>
    <t>C2014917</t>
  </si>
  <si>
    <t>Mahesh</t>
  </si>
  <si>
    <t>Calcium Hydroxide</t>
  </si>
  <si>
    <t>mahesh.sharmaji@yahoo.co.in</t>
  </si>
  <si>
    <t>Chuna pouch needed, rate enquiry only</t>
  </si>
  <si>
    <t>C2014916</t>
  </si>
  <si>
    <t>Prasanta Bera</t>
  </si>
  <si>
    <t>prasantabera.p16@gmail.com</t>
  </si>
  <si>
    <t>C2014915</t>
  </si>
  <si>
    <t>SL Inks &amp; Coating Pvt Ltd.</t>
  </si>
  <si>
    <t>Paraffin Wax</t>
  </si>
  <si>
    <t>slinks.kolkata@gmail.com</t>
  </si>
  <si>
    <t>9051955565/ 98366662134</t>
  </si>
  <si>
    <t>C2014914</t>
  </si>
  <si>
    <t>Dev Kumar</t>
  </si>
  <si>
    <t>devkaranroy@gmail.com</t>
  </si>
  <si>
    <t>65/-</t>
  </si>
  <si>
    <t>C2014913</t>
  </si>
  <si>
    <t>Tarasankar Bhattacharya</t>
  </si>
  <si>
    <t>tarasankar@gypmart.com</t>
  </si>
  <si>
    <t>C2014912</t>
  </si>
  <si>
    <t>Moidul</t>
  </si>
  <si>
    <t>moidul773@gmail.com</t>
  </si>
  <si>
    <t>C2014911</t>
  </si>
  <si>
    <t>Prime Products Co.</t>
  </si>
  <si>
    <t>snpachisia0699@gmail.com</t>
  </si>
  <si>
    <t>Party requirement Visakhapatnam.</t>
  </si>
  <si>
    <t>P122</t>
  </si>
  <si>
    <t>Venoi Fisheries</t>
  </si>
  <si>
    <t>mitra.samrat0001@gmail.com</t>
  </si>
  <si>
    <t>11.06.2022</t>
  </si>
  <si>
    <t>C2014910</t>
  </si>
  <si>
    <t>Patil</t>
  </si>
  <si>
    <t>gaauurraavv1000@gmail.com</t>
  </si>
  <si>
    <t>C2014909</t>
  </si>
  <si>
    <t>P121</t>
  </si>
  <si>
    <t>Joy Jagannath Cotton Mill</t>
  </si>
  <si>
    <t>China Clay, Magnesium Chloride</t>
  </si>
  <si>
    <t>sahasumanta001@gmail.com</t>
  </si>
  <si>
    <t>PI Send And Payment Received.</t>
  </si>
  <si>
    <t>10.06.2022</t>
  </si>
  <si>
    <t>C2014908</t>
  </si>
  <si>
    <t>Vishal Chemical Industries</t>
  </si>
  <si>
    <t>vci@vishalchem.com</t>
  </si>
  <si>
    <t>C2014907</t>
  </si>
  <si>
    <t>Rohit Service Pvt Ltd.</t>
  </si>
  <si>
    <t>DTPA Powder</t>
  </si>
  <si>
    <t>admin@acuro.in</t>
  </si>
  <si>
    <t>Material not available ourside.</t>
  </si>
  <si>
    <t>C2014906</t>
  </si>
  <si>
    <t>Ma Tara Industries &amp; Co.</t>
  </si>
  <si>
    <t>mataraindustriesjsr@gmail.com</t>
  </si>
  <si>
    <t>Party Target Price 3.50/- Kg(s).Rate High.</t>
  </si>
  <si>
    <t>C2014905</t>
  </si>
  <si>
    <t>Saif Ali</t>
  </si>
  <si>
    <t>sktoyel@gmail.com</t>
  </si>
  <si>
    <t>09.06.2022</t>
  </si>
  <si>
    <t>C2014904</t>
  </si>
  <si>
    <t>Glycerine( Food Grade)</t>
  </si>
  <si>
    <t>@146/-</t>
  </si>
  <si>
    <t>Indonasia impoted.</t>
  </si>
  <si>
    <t>C2014903</t>
  </si>
  <si>
    <t>Shri Balaji Exports</t>
  </si>
  <si>
    <t>@6500/-pmt.</t>
  </si>
  <si>
    <t>Party export to Bangladesh.require-250mt.</t>
  </si>
  <si>
    <t>C2014902</t>
  </si>
  <si>
    <t>Sk Saha Alam</t>
  </si>
  <si>
    <t>skalam428@gmail.com</t>
  </si>
  <si>
    <t>C2014901</t>
  </si>
  <si>
    <t>Suresh</t>
  </si>
  <si>
    <t>vishalbanwal62@gmail.com</t>
  </si>
  <si>
    <t>Haryana</t>
  </si>
  <si>
    <t>08.06.2022</t>
  </si>
  <si>
    <t>C2014900</t>
  </si>
  <si>
    <t xml:space="preserve">Samir      </t>
  </si>
  <si>
    <t>samir.ghosh@adityabirla.com</t>
  </si>
  <si>
    <t>material require after two month.</t>
  </si>
  <si>
    <t>C2014899</t>
  </si>
  <si>
    <t>Kamal Agency</t>
  </si>
  <si>
    <t>gautampaul080@gmail.com</t>
  </si>
  <si>
    <t>Ph. switch off.</t>
  </si>
  <si>
    <t>C2014898</t>
  </si>
  <si>
    <t>Shiv Traders Contractor &amp; Supplier</t>
  </si>
  <si>
    <t>shivtraders7788@gmail.com</t>
  </si>
  <si>
    <t>C2014897</t>
  </si>
  <si>
    <t>Sarvesh Refractory Pvt Ltd.</t>
  </si>
  <si>
    <t>CMC</t>
  </si>
  <si>
    <t>purchase@sarvesh.com</t>
  </si>
  <si>
    <t>192/-</t>
  </si>
  <si>
    <t>C2014896</t>
  </si>
  <si>
    <t>07.06.2022</t>
  </si>
  <si>
    <t>C2014895</t>
  </si>
  <si>
    <t>Bharat Chaudhary</t>
  </si>
  <si>
    <t>bharat@singhania-group.com</t>
  </si>
  <si>
    <t>C2014894</t>
  </si>
  <si>
    <t>KGN Plaster</t>
  </si>
  <si>
    <t>C2014893</t>
  </si>
  <si>
    <t>Lisen Aqua Biotic Pvt Ltd.</t>
  </si>
  <si>
    <t>price send,but not confirmed.</t>
  </si>
  <si>
    <t>Party purchase@17/-pkg.</t>
  </si>
  <si>
    <t>P120</t>
  </si>
  <si>
    <t>Green Power</t>
  </si>
  <si>
    <t>greenpowerrgh@gmail.com</t>
  </si>
  <si>
    <t>Quoted And Bag Photocopy Sent.</t>
  </si>
  <si>
    <t>C2014892</t>
  </si>
  <si>
    <t>Star Enterprise</t>
  </si>
  <si>
    <t>Sodium Acetate</t>
  </si>
  <si>
    <t>knishat01@gmail.com</t>
  </si>
  <si>
    <t>C2014891</t>
  </si>
  <si>
    <t>Bimal Agarwal</t>
  </si>
  <si>
    <t>C2014890</t>
  </si>
  <si>
    <t>M A Chemical</t>
  </si>
  <si>
    <t>Party not interested.(Price high)</t>
  </si>
  <si>
    <t>C2014889</t>
  </si>
  <si>
    <t>Niladri Garment Shop</t>
  </si>
  <si>
    <t>gourakrushna7873@gmail.com</t>
  </si>
  <si>
    <t>06.06.2022</t>
  </si>
  <si>
    <t>C2014888</t>
  </si>
  <si>
    <t>Jagannath Hardware &amp; Paints</t>
  </si>
  <si>
    <t>dorapavitrakumar@gmail.com</t>
  </si>
  <si>
    <t>C2014887</t>
  </si>
  <si>
    <t>Dynasoure Concrete Pvt Ltd.</t>
  </si>
  <si>
    <t>projects@dynasoure.com</t>
  </si>
  <si>
    <t>C2014886</t>
  </si>
  <si>
    <t>Green Star</t>
  </si>
  <si>
    <t>tausifis1989@gmail.com</t>
  </si>
  <si>
    <t>C2014885</t>
  </si>
  <si>
    <t>Alok Das</t>
  </si>
  <si>
    <t>alok.das401@gmail.com</t>
  </si>
  <si>
    <t>C2014884</t>
  </si>
  <si>
    <t>Bajaj Electrical</t>
  </si>
  <si>
    <t>krish1972.2013@gmail.com</t>
  </si>
  <si>
    <t>04.06.2022</t>
  </si>
  <si>
    <t>P119</t>
  </si>
  <si>
    <t>Maa Enterprise</t>
  </si>
  <si>
    <t>mahendra51361@gmail.com</t>
  </si>
  <si>
    <t>19/-</t>
  </si>
  <si>
    <t>P118</t>
  </si>
  <si>
    <t>AK Exim</t>
  </si>
  <si>
    <t>arshadkhan.aki@gmail.com</t>
  </si>
  <si>
    <t>6.50/-</t>
  </si>
  <si>
    <t>PI Send.</t>
  </si>
  <si>
    <t>03.06.2022</t>
  </si>
  <si>
    <t>C2014883</t>
  </si>
  <si>
    <t>Gupta Agarbatti</t>
  </si>
  <si>
    <t>devendrajamtarawala123@gmail.com</t>
  </si>
  <si>
    <t>Party requirement tablet form.</t>
  </si>
  <si>
    <t>C2014882</t>
  </si>
  <si>
    <t>Abdul Majit Mandal</t>
  </si>
  <si>
    <t>abdulmajidmondal1@gmail.com</t>
  </si>
  <si>
    <t>Call Not Connected</t>
  </si>
  <si>
    <t>02.06.2022</t>
  </si>
  <si>
    <t>C2014881</t>
  </si>
  <si>
    <t>Jugal Progressive Enterprises</t>
  </si>
  <si>
    <t>juproent1@gmail.com</t>
  </si>
  <si>
    <t>P117</t>
  </si>
  <si>
    <t>Kartik Adhikary</t>
  </si>
  <si>
    <t>kartikadhikary78@gmail.com</t>
  </si>
  <si>
    <t>230/-</t>
  </si>
  <si>
    <t>C2014880</t>
  </si>
  <si>
    <t xml:space="preserve">Amit   </t>
  </si>
  <si>
    <t>Earthing Charcaol</t>
  </si>
  <si>
    <t>amit28995@gmail.com</t>
  </si>
  <si>
    <t>20/-</t>
  </si>
  <si>
    <t>Material Collected From Godown.</t>
  </si>
  <si>
    <t>01.06.2022</t>
  </si>
  <si>
    <t>C2014879</t>
  </si>
  <si>
    <t>Md Jamil</t>
  </si>
  <si>
    <t>mdrezauddin176@gmail.com</t>
  </si>
  <si>
    <t>23/-</t>
  </si>
  <si>
    <t>Quoted And Monday Party Will Come To Visit.</t>
  </si>
  <si>
    <t>C2014878</t>
  </si>
  <si>
    <t>Call Not Received</t>
  </si>
  <si>
    <t>C2014877</t>
  </si>
  <si>
    <t>M S Enterprises</t>
  </si>
  <si>
    <t>shahbazmoin11980@gmail.com</t>
  </si>
  <si>
    <t>C2014876</t>
  </si>
  <si>
    <t>Tara Chem India</t>
  </si>
  <si>
    <t>tarachem13@gmail.com</t>
  </si>
  <si>
    <t>Price send, party not confirmed.</t>
  </si>
  <si>
    <t>31.05.2022</t>
  </si>
  <si>
    <t>C2014875</t>
  </si>
  <si>
    <t>Sonu Web Solution</t>
  </si>
  <si>
    <t>tapas.pradhan@pnb.co.in</t>
  </si>
  <si>
    <t>25/-</t>
  </si>
  <si>
    <t>party target price@21/-</t>
  </si>
  <si>
    <t>30.05.2022</t>
  </si>
  <si>
    <t>C2014874</t>
  </si>
  <si>
    <t>Satyajit Barik</t>
  </si>
  <si>
    <t>satyajitbariksnk@gmail.com</t>
  </si>
  <si>
    <t>C2014873</t>
  </si>
  <si>
    <t>Md Shamim Ansari</t>
  </si>
  <si>
    <t>mdshamimansari.kk@gmail.com</t>
  </si>
  <si>
    <t>C2014872</t>
  </si>
  <si>
    <t>Jaya Chemtex</t>
  </si>
  <si>
    <t>Sodium Silicate,AOS</t>
  </si>
  <si>
    <t>pratimadas334@gmail.com</t>
  </si>
  <si>
    <t>28.05.2022</t>
  </si>
  <si>
    <t>C2014871</t>
  </si>
  <si>
    <t>Rgm International(India) Pvt Ltd.</t>
  </si>
  <si>
    <t>a.reza@rgmig.com</t>
  </si>
  <si>
    <t>@72/-</t>
  </si>
  <si>
    <t>Party purchase in local market.</t>
  </si>
  <si>
    <t>P116</t>
  </si>
  <si>
    <t>AK Industries</t>
  </si>
  <si>
    <t>C2014870</t>
  </si>
  <si>
    <t>Milan Industries</t>
  </si>
  <si>
    <t>susanta.maity47@gmail.com</t>
  </si>
  <si>
    <t>27.05.2022</t>
  </si>
  <si>
    <t>C2014869</t>
  </si>
  <si>
    <t>D K Industries(Nitesh Enterprise)</t>
  </si>
  <si>
    <t>dkanoudia1993@gmail.com</t>
  </si>
  <si>
    <t>P115</t>
  </si>
  <si>
    <t>Awesome Empowerment Association</t>
  </si>
  <si>
    <t>director@aimetr.com</t>
  </si>
  <si>
    <t>P114</t>
  </si>
  <si>
    <t>Nova Chemicals</t>
  </si>
  <si>
    <t>sathe@novachemicals.in</t>
  </si>
  <si>
    <t>33/-</t>
  </si>
  <si>
    <t>C2014868</t>
  </si>
  <si>
    <t>Suman Traders</t>
  </si>
  <si>
    <t>sumansk829@gmail.com</t>
  </si>
  <si>
    <t>Murarai</t>
  </si>
  <si>
    <t>26.05.2022</t>
  </si>
  <si>
    <t>C2014867</t>
  </si>
  <si>
    <t xml:space="preserve">DB Engineering </t>
  </si>
  <si>
    <t>dbengineering28@gmail.com</t>
  </si>
  <si>
    <t>@51/-</t>
  </si>
  <si>
    <t>C2014866</t>
  </si>
  <si>
    <t>D H Enterprise</t>
  </si>
  <si>
    <t>C2014865</t>
  </si>
  <si>
    <t>M M Property</t>
  </si>
  <si>
    <t>rahul_civ7@yahoo.com</t>
  </si>
  <si>
    <t>7.50/-</t>
  </si>
  <si>
    <t>Quoted And Specification Send.</t>
  </si>
  <si>
    <t>25.05.2022</t>
  </si>
  <si>
    <t>P113</t>
  </si>
  <si>
    <t>Uddhayami Bharat</t>
  </si>
  <si>
    <t>Xanthan Gum</t>
  </si>
  <si>
    <t>pkleelan2018@gmail.com</t>
  </si>
  <si>
    <t>Hajipur</t>
  </si>
  <si>
    <t>385/-</t>
  </si>
  <si>
    <t>C2014864</t>
  </si>
  <si>
    <t>Charvati Enterprises</t>
  </si>
  <si>
    <t>C2014863</t>
  </si>
  <si>
    <t>Chandan Sarraf</t>
  </si>
  <si>
    <t>acetylenegas.dgp@gmail.com</t>
  </si>
  <si>
    <t>C2014862</t>
  </si>
  <si>
    <t>Shree Balaji Enterprises</t>
  </si>
  <si>
    <t>Precipitated Barium Sulphate</t>
  </si>
  <si>
    <t>shivamsharma102@outlook.com</t>
  </si>
  <si>
    <t>P112</t>
  </si>
  <si>
    <t>Saurav Enterprises</t>
  </si>
  <si>
    <t>rbrocks0001@gmail.com</t>
  </si>
  <si>
    <t>C2014861</t>
  </si>
  <si>
    <t>Abhra Trading</t>
  </si>
  <si>
    <t>C2014860</t>
  </si>
  <si>
    <t>Oroosa Optical</t>
  </si>
  <si>
    <t>incredible_guy4u@hotmail.com</t>
  </si>
  <si>
    <t>send rate and spefication.</t>
  </si>
  <si>
    <t>C2014859</t>
  </si>
  <si>
    <t>Pankaj Ojha</t>
  </si>
  <si>
    <t>Chlorine Tablet</t>
  </si>
  <si>
    <t>karunamayee.ihpl@gmail.com</t>
  </si>
  <si>
    <t>C2014858</t>
  </si>
  <si>
    <t>B R D H Scientific Suppliers</t>
  </si>
  <si>
    <t>mrpunekar2014@rediffmail.com</t>
  </si>
  <si>
    <t>Nagpur</t>
  </si>
  <si>
    <t>23.05.2022</t>
  </si>
  <si>
    <t>C2014857</t>
  </si>
  <si>
    <t>Kavi Quick International</t>
  </si>
  <si>
    <t>vprachemie2gmail.com</t>
  </si>
  <si>
    <t>C2014856</t>
  </si>
  <si>
    <t>Krishi Suraksha</t>
  </si>
  <si>
    <t>Msbiotechgroup@gmail.com</t>
  </si>
  <si>
    <t>42/-</t>
  </si>
  <si>
    <t>C2014855</t>
  </si>
  <si>
    <t>Advance Chemical Company</t>
  </si>
  <si>
    <t>advakem@yahoo.co.in</t>
  </si>
  <si>
    <t>Kolkata - 700001</t>
  </si>
  <si>
    <t>9830222857/ 9831893458</t>
  </si>
  <si>
    <t>chemphor</t>
  </si>
  <si>
    <t>C2014854</t>
  </si>
  <si>
    <t>Bharti Hardware</t>
  </si>
  <si>
    <t>9932702014/ 7602368118</t>
  </si>
  <si>
    <t>P111</t>
  </si>
  <si>
    <t>A.B.D Engineering</t>
  </si>
  <si>
    <t>abd.engg08@gmail.com</t>
  </si>
  <si>
    <t>Titagarh</t>
  </si>
  <si>
    <t>5/-</t>
  </si>
  <si>
    <t>C2014853</t>
  </si>
  <si>
    <t>Asutosh Aikat</t>
  </si>
  <si>
    <t>asutosh.rkl@gmail.com</t>
  </si>
  <si>
    <t>Rourkela - 769042</t>
  </si>
  <si>
    <t>21.05.2022</t>
  </si>
  <si>
    <t>C2014852</t>
  </si>
  <si>
    <t>Sourav Fancy Item</t>
  </si>
  <si>
    <t>sosouravis@gmail.com</t>
  </si>
  <si>
    <t>no requirement.</t>
  </si>
  <si>
    <t>C2014851</t>
  </si>
  <si>
    <t>S.K.International</t>
  </si>
  <si>
    <t>kunalthakur888@yahoo.in</t>
  </si>
  <si>
    <t>Biswajjit Da</t>
  </si>
  <si>
    <t>party target price@13/-</t>
  </si>
  <si>
    <t>P110</t>
  </si>
  <si>
    <t>Properous World Chemicals</t>
  </si>
  <si>
    <t>ashokkr@pwchemical.in</t>
  </si>
  <si>
    <t>C2014850</t>
  </si>
  <si>
    <t>Samir Chatterjee</t>
  </si>
  <si>
    <t xml:space="preserve">Gypsum Powder     </t>
  </si>
  <si>
    <t>scsamir1969@gmail.com</t>
  </si>
  <si>
    <t>Chandannagar</t>
  </si>
  <si>
    <t>20.05.2022</t>
  </si>
  <si>
    <t>C2014849</t>
  </si>
  <si>
    <t>Sajal Ghosh</t>
  </si>
  <si>
    <t>gkantisajal@gmail.com</t>
  </si>
  <si>
    <t>C2014848</t>
  </si>
  <si>
    <t>Benchmark Water India Pvt Ltd.</t>
  </si>
  <si>
    <t>P109</t>
  </si>
  <si>
    <t>Arush Udyog</t>
  </si>
  <si>
    <t>arushudyog@gmail.com</t>
  </si>
  <si>
    <t>9339033980/ 7439464924</t>
  </si>
  <si>
    <t>113/-</t>
  </si>
  <si>
    <t>Payment Received</t>
  </si>
  <si>
    <t>P108</t>
  </si>
  <si>
    <t>Sampad Rakshit</t>
  </si>
  <si>
    <t>C2014847</t>
  </si>
  <si>
    <t>Haldia Steel Private Limited</t>
  </si>
  <si>
    <t>Rate Quoted And Bag Photocopy Send.</t>
  </si>
  <si>
    <t>C2014846</t>
  </si>
  <si>
    <t>Best Wire Craft</t>
  </si>
  <si>
    <t>biswasanimesg1883@gmail.com</t>
  </si>
  <si>
    <t>19.05.2022</t>
  </si>
  <si>
    <t>C2014845</t>
  </si>
  <si>
    <t>P K Bahety</t>
  </si>
  <si>
    <t>Black Carbon</t>
  </si>
  <si>
    <t>pbahety@tajcement.com</t>
  </si>
  <si>
    <t>Party target price @26/-</t>
  </si>
  <si>
    <r>
      <rPr>
        <rFont val="Roboto, Noto"/>
        <color rgb="FF1155CC"/>
        <u/>
      </rPr>
      <t>C2014</t>
    </r>
    <r>
      <rPr>
        <rFont val="Roboto, Noto"/>
        <color rgb="FF000000"/>
        <u/>
      </rPr>
      <t>844</t>
    </r>
  </si>
  <si>
    <t>C I Lab Shibpore Pvt Ltd</t>
  </si>
  <si>
    <t>p.bharech@gmail.com</t>
  </si>
  <si>
    <t>C2014843</t>
  </si>
  <si>
    <t>Yuvraj Construction</t>
  </si>
  <si>
    <t>yuvrajconstructions27@gmail.com</t>
  </si>
  <si>
    <t>C2014842</t>
  </si>
  <si>
    <t>Maa Mayur Shah Udyog</t>
  </si>
  <si>
    <t>goutamdutt72@gmail.com</t>
  </si>
  <si>
    <t>18.05.2022</t>
  </si>
  <si>
    <t>C2014841</t>
  </si>
  <si>
    <t>Krishna Organic</t>
  </si>
  <si>
    <t>Baleshwar</t>
  </si>
  <si>
    <t>@48/-</t>
  </si>
  <si>
    <t>C2014840</t>
  </si>
  <si>
    <t>Mahabur</t>
  </si>
  <si>
    <t>Acid Slurry</t>
  </si>
  <si>
    <t>salmakhatut@gmail.com</t>
  </si>
  <si>
    <t>North 24 Parganas</t>
  </si>
  <si>
    <t>C2014839</t>
  </si>
  <si>
    <t>Asish</t>
  </si>
  <si>
    <t>palasish247@gmail.com</t>
  </si>
  <si>
    <t>@5.5/-</t>
  </si>
  <si>
    <t>C2014838</t>
  </si>
  <si>
    <t>Mohan</t>
  </si>
  <si>
    <t>dm.mohankashyap@gmail.com</t>
  </si>
  <si>
    <t>C2014837</t>
  </si>
  <si>
    <t>Maa Jagdamba Coal Dipo</t>
  </si>
  <si>
    <t>Rate And Photocopy Send.</t>
  </si>
  <si>
    <t>17.05.2022</t>
  </si>
  <si>
    <t>C2014836</t>
  </si>
  <si>
    <t>Indo Ispat</t>
  </si>
  <si>
    <t>jyoti.punita@gmail.com</t>
  </si>
  <si>
    <t>Party Require Fertilizer Grade.</t>
  </si>
  <si>
    <t>C2014835</t>
  </si>
  <si>
    <t>Shekhar Shrestha</t>
  </si>
  <si>
    <t>shrestha.shekhar@rocketmail.com</t>
  </si>
  <si>
    <t>Photocopy &amp; price send.</t>
  </si>
  <si>
    <t>16.05.2022</t>
  </si>
  <si>
    <t>C2014834</t>
  </si>
  <si>
    <t>Tarang Press</t>
  </si>
  <si>
    <t>hirishi19@gmail.com</t>
  </si>
  <si>
    <t>C2014833</t>
  </si>
  <si>
    <t>Mangal CONSTRUCTION</t>
  </si>
  <si>
    <t>Alum</t>
  </si>
  <si>
    <t>C2014832</t>
  </si>
  <si>
    <t>245/-</t>
  </si>
  <si>
    <t>C2014831</t>
  </si>
  <si>
    <t>Shreejee Enterprise</t>
  </si>
  <si>
    <t>sridharlohia@yahoo.com</t>
  </si>
  <si>
    <t>9830931351/ 7429031351</t>
  </si>
  <si>
    <t>14.05.2022</t>
  </si>
  <si>
    <t>P107</t>
  </si>
  <si>
    <t>Jagdamba Indu Limited</t>
  </si>
  <si>
    <t>jil.steels@gmail.com</t>
  </si>
  <si>
    <t>Assansol</t>
  </si>
  <si>
    <t>Biswajit da</t>
  </si>
  <si>
    <t>Photo, rate,send</t>
  </si>
  <si>
    <t>C2014830</t>
  </si>
  <si>
    <t>Sch Health Care Pvt Ltd.</t>
  </si>
  <si>
    <t>Ethylene Glycols</t>
  </si>
  <si>
    <t>schhealthcarepvtltd@gmail.com</t>
  </si>
  <si>
    <t>C2014829</t>
  </si>
  <si>
    <t>Ashok Sharma</t>
  </si>
  <si>
    <t>C2014828</t>
  </si>
  <si>
    <t>Jano Pya Traders</t>
  </si>
  <si>
    <t>manjarurrahaman@gmail.com</t>
  </si>
  <si>
    <t>South 24 Parganas</t>
  </si>
  <si>
    <t>P106</t>
  </si>
  <si>
    <t>Baijnath Hardware Store</t>
  </si>
  <si>
    <t>9641550457/ 8240032911</t>
  </si>
  <si>
    <t>Order Confrimed  And Payment Received.</t>
  </si>
  <si>
    <t>12.05.2022</t>
  </si>
  <si>
    <t>C2014827</t>
  </si>
  <si>
    <t>Galaxy</t>
  </si>
  <si>
    <t>parthadasbon@gmail.com</t>
  </si>
  <si>
    <t>C2014826</t>
  </si>
  <si>
    <t>Babay Ghosh</t>
  </si>
  <si>
    <t>C2014825</t>
  </si>
  <si>
    <t>DP Enterprise</t>
  </si>
  <si>
    <t>dpenterprise.1979@gmail.com</t>
  </si>
  <si>
    <t>11.05.2022</t>
  </si>
  <si>
    <t>C2014824</t>
  </si>
  <si>
    <t>Usha Shelters</t>
  </si>
  <si>
    <t>ushashelters2010@gmail.com</t>
  </si>
  <si>
    <t>C2014823</t>
  </si>
  <si>
    <t>Ratna Sagar</t>
  </si>
  <si>
    <t>saunak.chakraborty.1988@gmail.com</t>
  </si>
  <si>
    <t>Bag Photocopy Send. Rate Quoted.</t>
  </si>
  <si>
    <t>10.05.2022</t>
  </si>
  <si>
    <t>C2014822</t>
  </si>
  <si>
    <t>Rsm Project &amp; Engineers Pvt Ltd.</t>
  </si>
  <si>
    <t>rsmprojects@engineerspvtltd.com</t>
  </si>
  <si>
    <t>C2014821</t>
  </si>
  <si>
    <t>R.K.Trading Co.</t>
  </si>
  <si>
    <t>harshnolkha035@gmail.com</t>
  </si>
  <si>
    <t>09.05.2022</t>
  </si>
  <si>
    <t>C2014820</t>
  </si>
  <si>
    <t>Koushik Halder</t>
  </si>
  <si>
    <t>koushik20halder@gmail.com</t>
  </si>
  <si>
    <t>Jadupur</t>
  </si>
  <si>
    <t>C2014819</t>
  </si>
  <si>
    <t>Sumit Das</t>
  </si>
  <si>
    <t>sumitdas.4377@gmail.com</t>
  </si>
  <si>
    <t>Price too much high.</t>
  </si>
  <si>
    <t>C2014818</t>
  </si>
  <si>
    <t>Mizanur Alam</t>
  </si>
  <si>
    <t>khatunrehena08@gmail.com</t>
  </si>
  <si>
    <t>Raiganj</t>
  </si>
  <si>
    <t>C2014817</t>
  </si>
  <si>
    <t>avirajtourtravels@gmail.com</t>
  </si>
  <si>
    <t>C2014816</t>
  </si>
  <si>
    <t>Sri Udhyog</t>
  </si>
  <si>
    <t>Potassium Silicate</t>
  </si>
  <si>
    <t>kaustavghosh387@gmail.com</t>
  </si>
  <si>
    <t>C2014815</t>
  </si>
  <si>
    <t>Supriya Kumar</t>
  </si>
  <si>
    <t>Shiny Ball</t>
  </si>
  <si>
    <t>@39/-</t>
  </si>
  <si>
    <t>two time calling, ph. not rec.</t>
  </si>
  <si>
    <t>P105</t>
  </si>
  <si>
    <t>Kcc Buildcon Pvt Ltd</t>
  </si>
  <si>
    <t>Santipur</t>
  </si>
  <si>
    <t>07.05.2022</t>
  </si>
  <si>
    <t>C2014814</t>
  </si>
  <si>
    <t>Kothari Processors Pvt Ltd.</t>
  </si>
  <si>
    <t>kothariaccounts@gmail.com</t>
  </si>
  <si>
    <t>Bag Photocopy And Specification Send.</t>
  </si>
  <si>
    <t>C2014812</t>
  </si>
  <si>
    <t>Md Ansar</t>
  </si>
  <si>
    <t>mdansar99110@gmail.com</t>
  </si>
  <si>
    <t>three ime calling, ph. no received.</t>
  </si>
  <si>
    <t>06.05.2022</t>
  </si>
  <si>
    <t>C2014811</t>
  </si>
  <si>
    <t>Gayatri Store</t>
  </si>
  <si>
    <t>gayatristores123@gmail.com</t>
  </si>
  <si>
    <t>C2014810</t>
  </si>
  <si>
    <t>Rajesh Enterprise</t>
  </si>
  <si>
    <t>Ph.call not received.</t>
  </si>
  <si>
    <t>C2014809</t>
  </si>
  <si>
    <t>agro Guard Lab</t>
  </si>
  <si>
    <t>info@agro-chemicals.com/deepak.biswas16@gmail.com</t>
  </si>
  <si>
    <t>10.25/-</t>
  </si>
  <si>
    <t>05.05.2022</t>
  </si>
  <si>
    <t>C2014808</t>
  </si>
  <si>
    <t>Sangham Trading Co.</t>
  </si>
  <si>
    <t>kauserimam679@gmail.com</t>
  </si>
  <si>
    <t>C2014807</t>
  </si>
  <si>
    <t>Rojibulla Molla</t>
  </si>
  <si>
    <t xml:space="preserve">Soda Ash  </t>
  </si>
  <si>
    <t>mollojahir56@gmail.com</t>
  </si>
  <si>
    <t>Taki</t>
  </si>
  <si>
    <t>C2014806</t>
  </si>
  <si>
    <t>MH Commotrade</t>
  </si>
  <si>
    <t>mhcommotrade@gmail.com</t>
  </si>
  <si>
    <t>Bongaon</t>
  </si>
  <si>
    <t>24/-</t>
  </si>
  <si>
    <t>P104</t>
  </si>
  <si>
    <t>Odisha General Electric</t>
  </si>
  <si>
    <t>ogeneralelectric@gmail.com</t>
  </si>
  <si>
    <t>Advance Payment Received.</t>
  </si>
  <si>
    <t>C2014805</t>
  </si>
  <si>
    <t>Bahrat Electronics</t>
  </si>
  <si>
    <t>sampah2h@gmail.com</t>
  </si>
  <si>
    <t xml:space="preserve">Asansole </t>
  </si>
  <si>
    <t>C2014804</t>
  </si>
  <si>
    <t>Punjabi Junction</t>
  </si>
  <si>
    <t>sharma.subodh07101992@gmail.com</t>
  </si>
  <si>
    <t>C2014803</t>
  </si>
  <si>
    <t>Diamond Cellcober India</t>
  </si>
  <si>
    <t>04.05.2022</t>
  </si>
  <si>
    <t>C2014802</t>
  </si>
  <si>
    <t>Shree Om Traders</t>
  </si>
  <si>
    <t>kkgoenka74@gmail.com</t>
  </si>
  <si>
    <t>03.05.2022</t>
  </si>
  <si>
    <t>C2014801</t>
  </si>
  <si>
    <t>JDS Enterprise</t>
  </si>
  <si>
    <t>gopal.sharma_kepl@yahoo.com</t>
  </si>
  <si>
    <t>C2014800</t>
  </si>
  <si>
    <t>Vimal Chemicals</t>
  </si>
  <si>
    <t>vimalmegamart27159@gmail.com</t>
  </si>
  <si>
    <t>9934530906/ 9263308184</t>
  </si>
  <si>
    <t>C2014799</t>
  </si>
  <si>
    <t>Lakhikanta Mete</t>
  </si>
  <si>
    <t>rijudalapati@gmail.com</t>
  </si>
  <si>
    <t>C2014798</t>
  </si>
  <si>
    <t>Banner &amp; Company</t>
  </si>
  <si>
    <t>banner_anr@yahoo.co.in</t>
  </si>
  <si>
    <t>powder requirement.</t>
  </si>
  <si>
    <t>30.04.2022</t>
  </si>
  <si>
    <t>C2014797</t>
  </si>
  <si>
    <t>Subhasis Hajra</t>
  </si>
  <si>
    <t>Non Ferric Alum</t>
  </si>
  <si>
    <t>realience.1982@gmail.com</t>
  </si>
  <si>
    <t>rate &amp; photocopy send.</t>
  </si>
  <si>
    <t>C2014796</t>
  </si>
  <si>
    <t>Rakesh Babuta</t>
  </si>
  <si>
    <t>babutarakesh08@rediffmail.com</t>
  </si>
  <si>
    <t>29.04.2022</t>
  </si>
  <si>
    <t>C2014795</t>
  </si>
  <si>
    <t>Natural Safe Crop Science</t>
  </si>
  <si>
    <t>naturesafecropscience@gmail.com</t>
  </si>
  <si>
    <t>C2014794</t>
  </si>
  <si>
    <t>Gless Mobile</t>
  </si>
  <si>
    <t>P103</t>
  </si>
  <si>
    <t>Naskar Enterprise</t>
  </si>
  <si>
    <t>naskarenterprise84@gmail.com</t>
  </si>
  <si>
    <t>16.40/-</t>
  </si>
  <si>
    <t>Advance Received.</t>
  </si>
  <si>
    <t>C2014793</t>
  </si>
  <si>
    <t>Super Safedi</t>
  </si>
  <si>
    <t>anowaralam6857@gmail.com</t>
  </si>
  <si>
    <t>C2014792</t>
  </si>
  <si>
    <t>Indian Oil Co Ltd.</t>
  </si>
  <si>
    <t>bikrom.iitg@gmail.com</t>
  </si>
  <si>
    <t>@142/-</t>
  </si>
  <si>
    <t>C2014791</t>
  </si>
  <si>
    <t>Rakesh</t>
  </si>
  <si>
    <t>rakesh_dew910@yahoo.com</t>
  </si>
  <si>
    <t>9015048749/ 6392061436</t>
  </si>
  <si>
    <t>16/-</t>
  </si>
  <si>
    <t>C2014790</t>
  </si>
  <si>
    <t>Jay Sitamata Enterprise</t>
  </si>
  <si>
    <t>shyamalpaul670@gmail.com</t>
  </si>
  <si>
    <t>28.04.2022</t>
  </si>
  <si>
    <t>C2014789</t>
  </si>
  <si>
    <t>Prosenjit Mukherjee</t>
  </si>
  <si>
    <t>elitezoneraju@gmail.com</t>
  </si>
  <si>
    <t>C2014788</t>
  </si>
  <si>
    <t>Ruj Enterprise</t>
  </si>
  <si>
    <t>anupkhan18@gmail.com</t>
  </si>
  <si>
    <t>7908199824/ 8101512896</t>
  </si>
  <si>
    <t>27.04.2022</t>
  </si>
  <si>
    <t>C2014787</t>
  </si>
  <si>
    <t>Dhar Traders</t>
  </si>
  <si>
    <t>ranadhar52@gmail.com</t>
  </si>
  <si>
    <t>C2014786</t>
  </si>
  <si>
    <t>Ghanshyam Malpani</t>
  </si>
  <si>
    <t>ghanshyammalpani6@gmail.com</t>
  </si>
  <si>
    <t>Quoted And Specification ,Bag Photocopy Send</t>
  </si>
  <si>
    <t>C2014785</t>
  </si>
  <si>
    <t>Urjadhaani Enterprises</t>
  </si>
  <si>
    <t>Zinc Sulphate</t>
  </si>
  <si>
    <t>urjadhaani.egroup@gmail.com</t>
  </si>
  <si>
    <t>C2014784</t>
  </si>
  <si>
    <t>Rausheena Udyog Ltd Engineering Division</t>
  </si>
  <si>
    <t>pc@rausheenagroup.com</t>
  </si>
  <si>
    <t xml:space="preserve">Guwahati  </t>
  </si>
  <si>
    <t>7605079454/ 9153726243</t>
  </si>
  <si>
    <t>26.04.2022</t>
  </si>
  <si>
    <t>C2014783</t>
  </si>
  <si>
    <t>Manoj Kumar</t>
  </si>
  <si>
    <t>xmanojx@yahoo.com</t>
  </si>
  <si>
    <t>C2014782</t>
  </si>
  <si>
    <t>Priyojit Dey</t>
  </si>
  <si>
    <t>priyojitdey3@gmail.com</t>
  </si>
  <si>
    <t>25.04.2022</t>
  </si>
  <si>
    <t>C2014781</t>
  </si>
  <si>
    <t>Tanishq</t>
  </si>
  <si>
    <t>tanishqmittal0713@gmail.com</t>
  </si>
  <si>
    <t>Firozabad - 283203</t>
  </si>
  <si>
    <t>C2014780</t>
  </si>
  <si>
    <t>Tara Trading Company</t>
  </si>
  <si>
    <t>Quick Lime Lumps</t>
  </si>
  <si>
    <t>rajiv.singh121@gmail.com</t>
  </si>
  <si>
    <t>Asansol - 713359</t>
  </si>
  <si>
    <t>23.04.2022</t>
  </si>
  <si>
    <t>C2014779</t>
  </si>
  <si>
    <t>Jit Construction</t>
  </si>
  <si>
    <t>Drilling Grade Bentonite</t>
  </si>
  <si>
    <t>Kestopur,24 Parganas - 700101.</t>
  </si>
  <si>
    <t>rate quoted.</t>
  </si>
  <si>
    <t>Rashmi Metaliks</t>
  </si>
  <si>
    <t>Calcium Dolomite Powder</t>
  </si>
  <si>
    <t>prosenjit.chakraborty@yahoo.co.in</t>
  </si>
  <si>
    <t>C2014778</t>
  </si>
  <si>
    <t>Sanjay Badhei</t>
  </si>
  <si>
    <t>C2014777</t>
  </si>
  <si>
    <t>C2014776</t>
  </si>
  <si>
    <t>B.Roy Construction</t>
  </si>
  <si>
    <t>broy90@gmail.com</t>
  </si>
  <si>
    <t>9614245845/ 8942805465</t>
  </si>
  <si>
    <t>P102</t>
  </si>
  <si>
    <t>Trenchless Engineering Service Pvt Ltd.</t>
  </si>
  <si>
    <t>pe@trenchless.in</t>
  </si>
  <si>
    <t>22.04.2022</t>
  </si>
  <si>
    <t>C2014775</t>
  </si>
  <si>
    <t>Goals &amp; co.Pvt Ltd.</t>
  </si>
  <si>
    <t>Sodium  Silicate liquid</t>
  </si>
  <si>
    <t>kumar6soumen985100@gmail.com</t>
  </si>
  <si>
    <t>C2014774</t>
  </si>
  <si>
    <t>Shiv Chem Innovation</t>
  </si>
  <si>
    <t>Ferric Alum Slabs.</t>
  </si>
  <si>
    <t>shivchem@hotmail.com</t>
  </si>
  <si>
    <t>9/-</t>
  </si>
  <si>
    <t>C2014773</t>
  </si>
  <si>
    <t>Home Build</t>
  </si>
  <si>
    <t>Raw Salt</t>
  </si>
  <si>
    <t>malaya123avit@gmail.com</t>
  </si>
  <si>
    <t>quotation send.</t>
  </si>
  <si>
    <t>20.04.2022</t>
  </si>
  <si>
    <t>C2014771</t>
  </si>
  <si>
    <t>Tanmoy Bhakta</t>
  </si>
  <si>
    <t>tanmay.bhakta88@gmail.com</t>
  </si>
  <si>
    <t>Already purchase@19/- per kg.</t>
  </si>
  <si>
    <t>C2014770</t>
  </si>
  <si>
    <t>Deepak Kumar Singh</t>
  </si>
  <si>
    <t xml:space="preserve">Bentonite Powder   </t>
  </si>
  <si>
    <t>deepakkumarsinghm@gmail.com</t>
  </si>
  <si>
    <t>C2014769</t>
  </si>
  <si>
    <t>Sanjay Koner</t>
  </si>
  <si>
    <t>konersanjoysvist1984@gmail.com</t>
  </si>
  <si>
    <t>19.04.2022</t>
  </si>
  <si>
    <t>C2014768</t>
  </si>
  <si>
    <t>Now Purchase</t>
  </si>
  <si>
    <t>rayhan@nowpurchase.com</t>
  </si>
  <si>
    <t>C2014767</t>
  </si>
  <si>
    <t>Golcha Enterprise Pvt Ltd.</t>
  </si>
  <si>
    <t>golchhagroup@gmail.com</t>
  </si>
  <si>
    <t>@12/-</t>
  </si>
  <si>
    <t>C2014766</t>
  </si>
  <si>
    <t>Awaish &amp; co.Pvt Ltd.</t>
  </si>
  <si>
    <t>jerrybrown509@gmail.com</t>
  </si>
  <si>
    <t>send material photocopy and price.</t>
  </si>
  <si>
    <t>C2014765</t>
  </si>
  <si>
    <t>Green Ventora</t>
  </si>
  <si>
    <t>23/-Kg(s)</t>
  </si>
  <si>
    <t>C2014764</t>
  </si>
  <si>
    <t>MB Trade Expert</t>
  </si>
  <si>
    <t>mbtradeexpert@gmail.com</t>
  </si>
  <si>
    <t>Rate quoted And Photocopy send.</t>
  </si>
  <si>
    <t>18.04.2022</t>
  </si>
  <si>
    <t>C2014763</t>
  </si>
  <si>
    <t>Maa Kali Industry</t>
  </si>
  <si>
    <t xml:space="preserve">Borax Decahydrate </t>
  </si>
  <si>
    <t>sunrise_exports2002@yahoo.co.in</t>
  </si>
  <si>
    <t>Specification And Bag Photocopy Send.</t>
  </si>
  <si>
    <t>16.04.2022</t>
  </si>
  <si>
    <t>C2014762</t>
  </si>
  <si>
    <t>Vikas C Surve</t>
  </si>
  <si>
    <t>Calcined Alumina</t>
  </si>
  <si>
    <t>svikas7@yahoo.com</t>
  </si>
  <si>
    <t>P101</t>
  </si>
  <si>
    <t>Sadhukhan Paints And Chem</t>
  </si>
  <si>
    <t>Calcium Stearate</t>
  </si>
  <si>
    <t>sadhukhanpaints@gmail.com</t>
  </si>
  <si>
    <t>95/-</t>
  </si>
  <si>
    <t>Order Confirmed and Payment Received.</t>
  </si>
  <si>
    <t>11.04.2022</t>
  </si>
  <si>
    <t>C2014761</t>
  </si>
  <si>
    <t>Das Enterprise</t>
  </si>
  <si>
    <t>rajesh.das4098@gmail.com</t>
  </si>
  <si>
    <t>05.04.2022</t>
  </si>
  <si>
    <t>C2014760</t>
  </si>
  <si>
    <t>Patnaik Steels &amp; Alloys Ltd.</t>
  </si>
  <si>
    <t>Sodium  Silicate liquide</t>
  </si>
  <si>
    <t>purchase@patnaiksteel.com</t>
  </si>
  <si>
    <t>@31/-</t>
  </si>
  <si>
    <t>Officilly order not confirmed.</t>
  </si>
  <si>
    <t>P100</t>
  </si>
  <si>
    <t>Assam Industrial Centre</t>
  </si>
  <si>
    <t>ghyaic@gmail.com</t>
  </si>
  <si>
    <t>Guwahati-781001</t>
  </si>
  <si>
    <t>320/-</t>
  </si>
  <si>
    <t>02.04.2022</t>
  </si>
  <si>
    <t>P099</t>
  </si>
  <si>
    <t>Asco India Technologies LLP</t>
  </si>
  <si>
    <t>Gypsum Powder, Bentonite Powder, Sodium Sulphate</t>
  </si>
  <si>
    <t>ashok@ascoindia.in</t>
  </si>
  <si>
    <t>P098</t>
  </si>
  <si>
    <t>Shiladitya Ray (intkem)</t>
  </si>
  <si>
    <t>Ethanol.</t>
  </si>
  <si>
    <t>400 ltr.</t>
  </si>
  <si>
    <t>shiladityaray2019@gmail.com</t>
  </si>
  <si>
    <t>@85/-</t>
  </si>
  <si>
    <t>P.I. send but payment not received.</t>
  </si>
  <si>
    <t>P097</t>
  </si>
  <si>
    <t>Green War Farmer Producer Co.Ltd.</t>
  </si>
  <si>
    <t>Bentonite Powder, Calcium Carbonate, Zeolite Powder</t>
  </si>
  <si>
    <t>sibnathkotak@gmail.com</t>
  </si>
  <si>
    <t>FY 2022-2023</t>
  </si>
  <si>
    <t>31.03.2022</t>
  </si>
  <si>
    <t>C2014759</t>
  </si>
  <si>
    <t>Monish Chemicals</t>
  </si>
  <si>
    <t>DMF</t>
  </si>
  <si>
    <t>monishchemicals@yahoo.com</t>
  </si>
  <si>
    <t>Mumbai - 400 067</t>
  </si>
  <si>
    <t>C2014758</t>
  </si>
  <si>
    <t>Maa Manasa Timber Works</t>
  </si>
  <si>
    <t>sahilrajsharma1@gmail.com</t>
  </si>
  <si>
    <t>Kalna</t>
  </si>
  <si>
    <t xml:space="preserve">biswajit </t>
  </si>
  <si>
    <t>Specification Send And Quoted.</t>
  </si>
  <si>
    <t>30.03.2022</t>
  </si>
  <si>
    <t>P096</t>
  </si>
  <si>
    <t>Sun Bond Industry</t>
  </si>
  <si>
    <t>Quartz Sand, Quartz Powder</t>
  </si>
  <si>
    <t>sunbondindustry@gmail.com</t>
  </si>
  <si>
    <t>7/-Kg(s)</t>
  </si>
  <si>
    <t>Order Confirmed and Payment Done.</t>
  </si>
  <si>
    <t>29.03.2022</t>
  </si>
  <si>
    <t>C2014757</t>
  </si>
  <si>
    <t>S.F.S Trading</t>
  </si>
  <si>
    <t>hushab72@gmail.com</t>
  </si>
  <si>
    <t>C2014756</t>
  </si>
  <si>
    <t>Saral Chem</t>
  </si>
  <si>
    <t>Ammonium Sulphate</t>
  </si>
  <si>
    <t>info@saralchem.com</t>
  </si>
  <si>
    <t>C2014755</t>
  </si>
  <si>
    <t>Nature &amp; Copila Food Corner</t>
  </si>
  <si>
    <t>manasnature@rediffmail.com</t>
  </si>
  <si>
    <t>Bag Photocopy Send And Rate Quoted</t>
  </si>
  <si>
    <t>C2014754</t>
  </si>
  <si>
    <t>SVS Medicare Pvt Ltd.</t>
  </si>
  <si>
    <t xml:space="preserve">Sodium Citrate    </t>
  </si>
  <si>
    <t>info@svsmedicare.com</t>
  </si>
  <si>
    <t>9052477677/ 9014868454</t>
  </si>
  <si>
    <t>C2014753</t>
  </si>
  <si>
    <t>M.R.Fine Chem</t>
  </si>
  <si>
    <t>mrfinechemi@gmail.com</t>
  </si>
  <si>
    <t>28.03.2022</t>
  </si>
  <si>
    <t>Joy</t>
  </si>
  <si>
    <t>Manganese Dioxide</t>
  </si>
  <si>
    <t>Party manufactore of MNO2</t>
  </si>
  <si>
    <t>26.03.2022</t>
  </si>
  <si>
    <t>C2014751</t>
  </si>
  <si>
    <t>Janta Glass House</t>
  </si>
  <si>
    <t>premiumglasshouse123@gmail.com</t>
  </si>
  <si>
    <t>Export Purpose</t>
  </si>
  <si>
    <t>C2014750</t>
  </si>
  <si>
    <t>Subhas Pramanick</t>
  </si>
  <si>
    <t>Sample photo and price send.</t>
  </si>
  <si>
    <t>party target price@5/- per kg.</t>
  </si>
  <si>
    <t>25.03.2022</t>
  </si>
  <si>
    <t>C2014749</t>
  </si>
  <si>
    <t>Md. Kalim</t>
  </si>
  <si>
    <t>kalim423@gmail.com</t>
  </si>
  <si>
    <t>Quoted And Material Photocopy Send.</t>
  </si>
  <si>
    <t>C2014748</t>
  </si>
  <si>
    <t>Hind Rasayan</t>
  </si>
  <si>
    <t>hindrasayan@hotmail.com</t>
  </si>
  <si>
    <t xml:space="preserve">Mumbai    </t>
  </si>
  <si>
    <t>24.03.2022</t>
  </si>
  <si>
    <t>C2014747</t>
  </si>
  <si>
    <t>Shreeji Exim Corporation</t>
  </si>
  <si>
    <t>shreejieximcorp@gmail.com</t>
  </si>
  <si>
    <t>Ankleshwar</t>
  </si>
  <si>
    <t>9825028775/ 9879552476</t>
  </si>
  <si>
    <t>C2014746</t>
  </si>
  <si>
    <t>S K Enterprise</t>
  </si>
  <si>
    <t>biranchi.cfa@gmail.com</t>
  </si>
  <si>
    <t>23.03.2022</t>
  </si>
  <si>
    <t>C2014745</t>
  </si>
  <si>
    <t>United Chemical Company</t>
  </si>
  <si>
    <t>sudipmajee76@gmail.com</t>
  </si>
  <si>
    <t>@37/-</t>
  </si>
  <si>
    <t>C2014744</t>
  </si>
  <si>
    <t>United Paints &amp; Hardwares</t>
  </si>
  <si>
    <t xml:space="preserve">Non Ferric Alum   </t>
  </si>
  <si>
    <t>padamjain.2011@rediffmail.com</t>
  </si>
  <si>
    <t>C2014743</t>
  </si>
  <si>
    <t>Swastic Enterprise</t>
  </si>
  <si>
    <t>Chlorine Dioxide Tablet</t>
  </si>
  <si>
    <t>basu.sudipta@rediffmail.com</t>
  </si>
  <si>
    <t>C2014742</t>
  </si>
  <si>
    <t>Ambika Enterprise</t>
  </si>
  <si>
    <t>Humic Acid</t>
  </si>
  <si>
    <t>Kanha05@yahoo.com</t>
  </si>
  <si>
    <t>Bengaluru - 560091</t>
  </si>
  <si>
    <t>C2014741</t>
  </si>
  <si>
    <t>Universal Products</t>
  </si>
  <si>
    <t>Caustic Soda Flakes,Soda Ash,Sodium Sulphate</t>
  </si>
  <si>
    <t>universalproductssyb@gmail.com</t>
  </si>
  <si>
    <t>Vapi - 396195</t>
  </si>
  <si>
    <t>22.03.2022</t>
  </si>
  <si>
    <t>C2014740</t>
  </si>
  <si>
    <t>Metrit Chemicals Pvt Ltd.</t>
  </si>
  <si>
    <t>arpitado@gmail.com</t>
  </si>
  <si>
    <t>Mumbai - 400059</t>
  </si>
  <si>
    <t>9900031599/ 9022180666</t>
  </si>
  <si>
    <t>C2014739</t>
  </si>
  <si>
    <t>Anuj Chemicals</t>
  </si>
  <si>
    <t>anujchemicals4@gmail.com</t>
  </si>
  <si>
    <t>C2014738</t>
  </si>
  <si>
    <t>Manot Fashion Pvt Ltd</t>
  </si>
  <si>
    <t>Acetic Acid</t>
  </si>
  <si>
    <t>ashokmanot@gmail.com</t>
  </si>
  <si>
    <t>21.03.2022</t>
  </si>
  <si>
    <t>C2014737</t>
  </si>
  <si>
    <t>Aurangabad Auto Engineering Pvt Ltd.</t>
  </si>
  <si>
    <t>ac.aaeplp@sangkaj.com</t>
  </si>
  <si>
    <t>C2014736</t>
  </si>
  <si>
    <t>Kamal Mondal</t>
  </si>
  <si>
    <t>bapon.km@gmail.com</t>
  </si>
  <si>
    <t>@19.50/-</t>
  </si>
  <si>
    <t>Party terget  price @18/-</t>
  </si>
  <si>
    <t>C2014735</t>
  </si>
  <si>
    <t>Choudhary &amp; Choudhary Groups</t>
  </si>
  <si>
    <t>@6.50/-</t>
  </si>
  <si>
    <t>@8.50/-</t>
  </si>
  <si>
    <t>require food grade salt.</t>
  </si>
  <si>
    <t>C2014734</t>
  </si>
  <si>
    <t>Jayant Sharma</t>
  </si>
  <si>
    <t>Sodium Nitrate</t>
  </si>
  <si>
    <t>sjayant735@gmail.com</t>
  </si>
  <si>
    <t>C2014733</t>
  </si>
  <si>
    <t>Pacesetter Rubber Rollers</t>
  </si>
  <si>
    <t>Precipitated Calcium Carbonate</t>
  </si>
  <si>
    <t>nageshtendolkar@yahoo.com</t>
  </si>
  <si>
    <t>9004658148/ 9892731927</t>
  </si>
  <si>
    <t>C2014732</t>
  </si>
  <si>
    <t>Rajan Das</t>
  </si>
  <si>
    <t xml:space="preserve"> PVA powder</t>
  </si>
  <si>
    <t>dhiraj_das@rediffmail.com</t>
  </si>
  <si>
    <t>Party require PVA - 25Bag.</t>
  </si>
  <si>
    <t>C2014731</t>
  </si>
  <si>
    <t>Soham</t>
  </si>
  <si>
    <t>17.03.2022</t>
  </si>
  <si>
    <t>C2014730</t>
  </si>
  <si>
    <t>Mehta Commercial Co.</t>
  </si>
  <si>
    <t>Light Magnesium Carbonate</t>
  </si>
  <si>
    <t>mehtacomm@hotmail.com</t>
  </si>
  <si>
    <t>C2014729</t>
  </si>
  <si>
    <t>Mahavir Expochem Limited</t>
  </si>
  <si>
    <t>info@mahavirexpochem.com</t>
  </si>
  <si>
    <t>C2014728</t>
  </si>
  <si>
    <t>Shree Parshwanath Traders</t>
  </si>
  <si>
    <t>mehulshah2422@yahoo.com</t>
  </si>
  <si>
    <t>C2014727</t>
  </si>
  <si>
    <t>Parwez Ahmad</t>
  </si>
  <si>
    <t>parwezahmad45@gmail.com</t>
  </si>
  <si>
    <t>C2014726</t>
  </si>
  <si>
    <t>Singh Kumar</t>
  </si>
  <si>
    <t>Edible Salt</t>
  </si>
  <si>
    <t>16.03.2022</t>
  </si>
  <si>
    <t>C2014725</t>
  </si>
  <si>
    <t>Paresh Impex</t>
  </si>
  <si>
    <t>Zinc Sulphide</t>
  </si>
  <si>
    <t>paresh_botadra@yahoo.com</t>
  </si>
  <si>
    <t>Mumbai-400075</t>
  </si>
  <si>
    <t>C2014724</t>
  </si>
  <si>
    <t>Salman Khan</t>
  </si>
  <si>
    <t>javedkhan201989@gmail.com</t>
  </si>
  <si>
    <t>C2014723</t>
  </si>
  <si>
    <t>Modern Dye Chem</t>
  </si>
  <si>
    <t xml:space="preserve">Soda Ash   </t>
  </si>
  <si>
    <t>moderndyechem@gmail.com</t>
  </si>
  <si>
    <t>Ahmedabad-380 022</t>
  </si>
  <si>
    <t>C2014722</t>
  </si>
  <si>
    <t>Sree Ashta Lakshmi International</t>
  </si>
  <si>
    <t>BKC 50% &amp; 80%</t>
  </si>
  <si>
    <t>chemicalsales2007@rediffmail.com</t>
  </si>
  <si>
    <t>Mumbai - 400 024</t>
  </si>
  <si>
    <t>15.03.2022</t>
  </si>
  <si>
    <t>C2014721</t>
  </si>
  <si>
    <t>B D Roy</t>
  </si>
  <si>
    <t>STPP</t>
  </si>
  <si>
    <t>bdr.mittersystem@gmail.com</t>
  </si>
  <si>
    <t>126/-</t>
  </si>
  <si>
    <t>Quotation send. Specification ....</t>
  </si>
  <si>
    <t>C2014720</t>
  </si>
  <si>
    <t>Gaurav Solanke</t>
  </si>
  <si>
    <t>gaj_sol@rediffmail.com</t>
  </si>
  <si>
    <t>Khandwa</t>
  </si>
  <si>
    <t>C2014719</t>
  </si>
  <si>
    <t>N.R.Chemicals Corporation</t>
  </si>
  <si>
    <t>Formaldehyde Solution</t>
  </si>
  <si>
    <t>info.nrchemicals@gmail.com</t>
  </si>
  <si>
    <t>M.P</t>
  </si>
  <si>
    <t>business Purpose</t>
  </si>
  <si>
    <t>C2014718</t>
  </si>
  <si>
    <t>Medlab Research Pvt Ltd.</t>
  </si>
  <si>
    <t>hemantndesai@yahoo.com</t>
  </si>
  <si>
    <t>P095</t>
  </si>
  <si>
    <t>S.S.B.Chemical Industries</t>
  </si>
  <si>
    <t>ssbchem2014@gmail.com</t>
  </si>
  <si>
    <t>Order Confirmed And Payment Done.</t>
  </si>
  <si>
    <t>14.03.2022</t>
  </si>
  <si>
    <t>C2014717</t>
  </si>
  <si>
    <t>Neel Chemicals</t>
  </si>
  <si>
    <t>Sodium Chloride</t>
  </si>
  <si>
    <t>neelchemicals@yahoo.co.in</t>
  </si>
  <si>
    <t>C2014716</t>
  </si>
  <si>
    <t>Electrosung</t>
  </si>
  <si>
    <t>raisherysi@gmail.com</t>
  </si>
  <si>
    <t>C2014715</t>
  </si>
  <si>
    <t>Tred Supply India</t>
  </si>
  <si>
    <t>Non Ferric Alum Powder</t>
  </si>
  <si>
    <t>darkron53@gmail.com</t>
  </si>
  <si>
    <t>Phone switch off.</t>
  </si>
  <si>
    <t>C2014714</t>
  </si>
  <si>
    <t>Rakhi Agencies</t>
  </si>
  <si>
    <t>Xanthan Gum Powder</t>
  </si>
  <si>
    <t>sales@rakhiagencies.com</t>
  </si>
  <si>
    <t>C2014713</t>
  </si>
  <si>
    <t>Shivam Sen</t>
  </si>
  <si>
    <t>marriageclub.in@gmail.com</t>
  </si>
  <si>
    <t>C2014712</t>
  </si>
  <si>
    <t>Om Prakash Shaw</t>
  </si>
  <si>
    <t>Calcite Powder</t>
  </si>
  <si>
    <t>mprkshshaw@gmail.com</t>
  </si>
  <si>
    <t>C2014711</t>
  </si>
  <si>
    <t>NKB Extrusion Pvt Ltd.</t>
  </si>
  <si>
    <t>tarak_singh_chetla@yahoo.com</t>
  </si>
  <si>
    <t>@139/-(today price)</t>
  </si>
  <si>
    <t>C2014710</t>
  </si>
  <si>
    <t>Supreme Denting Painting</t>
  </si>
  <si>
    <t>iftekarmpathan77@gmail.com</t>
  </si>
  <si>
    <t>C2014709</t>
  </si>
  <si>
    <t>Pintu Mondal</t>
  </si>
  <si>
    <t>pintumandal0099@gmail.com</t>
  </si>
  <si>
    <t>Photocopy Send And Rate Quoted.</t>
  </si>
  <si>
    <t>12.03.2022</t>
  </si>
  <si>
    <t>C2014708</t>
  </si>
  <si>
    <t>S.D.A.Product</t>
  </si>
  <si>
    <t>Calcium Chloride Powder</t>
  </si>
  <si>
    <t>info@sdaproducts.com</t>
  </si>
  <si>
    <t>9930160151/ 9820048309</t>
  </si>
  <si>
    <t>C2014707</t>
  </si>
  <si>
    <t>Raj</t>
  </si>
  <si>
    <t>raj4ur@hotmail.com</t>
  </si>
  <si>
    <t>11.03.2022</t>
  </si>
  <si>
    <t>P094</t>
  </si>
  <si>
    <t>Patil Rail Infrastructure Pvt Ltd.</t>
  </si>
  <si>
    <t>Yellow Dextrin Powder</t>
  </si>
  <si>
    <t>srinivas@patilgroup.com</t>
  </si>
  <si>
    <t>Rate Quoted, Specification Send.</t>
  </si>
  <si>
    <t>C2014706</t>
  </si>
  <si>
    <t>Maruti Steel Abrasives</t>
  </si>
  <si>
    <t>marutisteelabrasives@gmail.com</t>
  </si>
  <si>
    <t>7972058650/ 7550102551</t>
  </si>
  <si>
    <t>P093</t>
  </si>
  <si>
    <t>Loknath Enterprises</t>
  </si>
  <si>
    <t>Lithopon Powder</t>
  </si>
  <si>
    <t>114/-</t>
  </si>
  <si>
    <t>Advance Payment Received</t>
  </si>
  <si>
    <t>10.02.2022</t>
  </si>
  <si>
    <t>C2014705</t>
  </si>
  <si>
    <t>Kundan Kumar</t>
  </si>
  <si>
    <t>kundan.ks8051@gmail.com</t>
  </si>
  <si>
    <t>10.03.2022</t>
  </si>
  <si>
    <t>C2014704</t>
  </si>
  <si>
    <t>sureshboriwal143@gmail.com</t>
  </si>
  <si>
    <t>C2014703</t>
  </si>
  <si>
    <t>Indo Russian Aviation Limited</t>
  </si>
  <si>
    <t>Sodium Chlorate</t>
  </si>
  <si>
    <t>aksinghhalkor7661@gmail.com</t>
  </si>
  <si>
    <t>09.03.2022</t>
  </si>
  <si>
    <t>C2014702</t>
  </si>
  <si>
    <t>Md Hamid</t>
  </si>
  <si>
    <t>Park Circus</t>
  </si>
  <si>
    <t>C2014701</t>
  </si>
  <si>
    <t>R K Enterprises</t>
  </si>
  <si>
    <t>khaitan.dilip@gmail.com</t>
  </si>
  <si>
    <t>C2014700</t>
  </si>
  <si>
    <t>Maru Chem Industries</t>
  </si>
  <si>
    <t>vapimaruchem@yahoo.co.in</t>
  </si>
  <si>
    <t>C2014699</t>
  </si>
  <si>
    <t>Balasore Alloy Limited</t>
  </si>
  <si>
    <t>ravi.sharma@balasorealloys.com</t>
  </si>
  <si>
    <t>130/-</t>
  </si>
  <si>
    <t>08.03.2022</t>
  </si>
  <si>
    <t>C2014698</t>
  </si>
  <si>
    <t>Screen Light</t>
  </si>
  <si>
    <t>Light Paraffin</t>
  </si>
  <si>
    <t>jahirulhok740@gmail.com</t>
  </si>
  <si>
    <t>@75/-</t>
  </si>
  <si>
    <t>C2014697</t>
  </si>
  <si>
    <t>Anant</t>
  </si>
  <si>
    <t>puiyakadhum@hotmail.com</t>
  </si>
  <si>
    <t>C2014696</t>
  </si>
  <si>
    <t>Sterling Power Corporation Ltd.</t>
  </si>
  <si>
    <t>sterlingepc@gmail.com</t>
  </si>
  <si>
    <t>C2014695</t>
  </si>
  <si>
    <t>Indoa Mines Limited</t>
  </si>
  <si>
    <t>IPA</t>
  </si>
  <si>
    <t>sameermhaskar@indoaminesltd.com</t>
  </si>
  <si>
    <t>C2014694</t>
  </si>
  <si>
    <t>Hitech</t>
  </si>
  <si>
    <t>ganeshpawar144@gmail.com</t>
  </si>
  <si>
    <t>07.03.2022</t>
  </si>
  <si>
    <t>C2014693</t>
  </si>
  <si>
    <t>AK Superime Agro</t>
  </si>
  <si>
    <t>aksupremeagro21@gmail.com</t>
  </si>
  <si>
    <t>C2014692</t>
  </si>
  <si>
    <t>Abdul Aziz Momin</t>
  </si>
  <si>
    <t>mominabdulaziz9@gmail.com</t>
  </si>
  <si>
    <t>Bhiwandi</t>
  </si>
  <si>
    <t>C2014691</t>
  </si>
  <si>
    <t>Shanu Infotech</t>
  </si>
  <si>
    <t>sanutamluk2015@gmail.com</t>
  </si>
  <si>
    <t>C2014690</t>
  </si>
  <si>
    <t>Kwality Chemical Industries Pvt Ltd.</t>
  </si>
  <si>
    <t>Copper Sulphate 24%</t>
  </si>
  <si>
    <t>sushilbirla@kwalitychemical.com</t>
  </si>
  <si>
    <t>Navi Mumbai</t>
  </si>
  <si>
    <t>09321128080/09320551552</t>
  </si>
  <si>
    <t>C2014689</t>
  </si>
  <si>
    <t>PP Limited</t>
  </si>
  <si>
    <t>Sodium Sulpfite</t>
  </si>
  <si>
    <t>agarwalumang001@gmail.com</t>
  </si>
  <si>
    <t>require sodium sulphite yellow flex.</t>
  </si>
  <si>
    <t>C2014688</t>
  </si>
  <si>
    <t>Roshni Enterprise</t>
  </si>
  <si>
    <t>Aluminium Sulphate Lump</t>
  </si>
  <si>
    <t>ziyaulmustafa0786@gmail.com</t>
  </si>
  <si>
    <t>C2014687</t>
  </si>
  <si>
    <t>Praveen Enterprise</t>
  </si>
  <si>
    <t>praveen06k@gmail.com</t>
  </si>
  <si>
    <t>C2014686</t>
  </si>
  <si>
    <t>Jaya</t>
  </si>
  <si>
    <t>jayalatchu@yahoo.co.in</t>
  </si>
  <si>
    <t>Pune</t>
  </si>
  <si>
    <t>C2014685</t>
  </si>
  <si>
    <t>Bikramjit Sha</t>
  </si>
  <si>
    <t>Magnesium Oxide Powder</t>
  </si>
  <si>
    <t>bikramjitsha123@gmail.com</t>
  </si>
  <si>
    <t>05.03.2022</t>
  </si>
  <si>
    <t>P092</t>
  </si>
  <si>
    <t>Hotel Royal Harbour</t>
  </si>
  <si>
    <t>hotelroyalharbour08@gmail.com</t>
  </si>
  <si>
    <r>
      <rPr>
        <rFont val="Roboto, Noto"/>
        <color rgb="FF000000"/>
        <u/>
      </rPr>
      <t>C</t>
    </r>
    <r>
      <rPr>
        <rFont val="Roboto, Noto"/>
        <color rgb="FF1155CC"/>
        <u/>
      </rPr>
      <t>2014684</t>
    </r>
  </si>
  <si>
    <t>Bhola Pharmacuticals</t>
  </si>
  <si>
    <t>bholapharmaceuticals@gmail.com</t>
  </si>
  <si>
    <t>C2014683</t>
  </si>
  <si>
    <t>Bibhuti Bhusan Enterprise</t>
  </si>
  <si>
    <t>bbe170511@gmail.com</t>
  </si>
  <si>
    <t>8017315323/ 9088096008</t>
  </si>
  <si>
    <t>Quoted And Bag Photocopy Send.</t>
  </si>
  <si>
    <t>C2014682</t>
  </si>
  <si>
    <t>Ozona Ferro INC</t>
  </si>
  <si>
    <t>manajit.pal@gmail.com</t>
  </si>
  <si>
    <t>Order Confirmed ,Payment Received.</t>
  </si>
  <si>
    <t>C2014681</t>
  </si>
  <si>
    <t>Srikanta Jena</t>
  </si>
  <si>
    <t>jsrikanta058@gmail.com</t>
  </si>
  <si>
    <t>C2014680</t>
  </si>
  <si>
    <t>Super Links</t>
  </si>
  <si>
    <t>prateek.prabhu@gmail.com</t>
  </si>
  <si>
    <t>C2014679</t>
  </si>
  <si>
    <t>Nirman Tradecom</t>
  </si>
  <si>
    <t>nirmantradecom@gmail.com</t>
  </si>
  <si>
    <t>C2014678</t>
  </si>
  <si>
    <t>Shanti Trading Company</t>
  </si>
  <si>
    <t>sandipresponse7@gmail.com</t>
  </si>
  <si>
    <t>Rate Quoted And Material Photocopy Send</t>
  </si>
  <si>
    <t>04.03.2022</t>
  </si>
  <si>
    <t>C2014677</t>
  </si>
  <si>
    <t>Subrat Dash</t>
  </si>
  <si>
    <t xml:space="preserve">Copper Sulphate </t>
  </si>
  <si>
    <t>GLOBALSALES@AALPHAINC.IN</t>
  </si>
  <si>
    <t>C2014676</t>
  </si>
  <si>
    <t>Shri Shyam Industries</t>
  </si>
  <si>
    <t>chetankharkia1234@gmail.com</t>
  </si>
  <si>
    <t xml:space="preserve">party target FOR price@4/- </t>
  </si>
  <si>
    <t>4.03.2022</t>
  </si>
  <si>
    <t>P091</t>
  </si>
  <si>
    <t>Fluorine chemicals pvt Ltd</t>
  </si>
  <si>
    <t>Sodium Silicofluoride</t>
  </si>
  <si>
    <t>nationalfluorine@yahoo.com</t>
  </si>
  <si>
    <t>vapi, Gujarat-396195</t>
  </si>
  <si>
    <t>82383 54135</t>
  </si>
  <si>
    <t>46/-</t>
  </si>
  <si>
    <t>C2014675</t>
  </si>
  <si>
    <t>R.K Jena &amp; Associates</t>
  </si>
  <si>
    <t>rkjenaandassociates@gmail.com</t>
  </si>
  <si>
    <t>03.03.2022</t>
  </si>
  <si>
    <t>C2014674</t>
  </si>
  <si>
    <t>Rakesh Kumar</t>
  </si>
  <si>
    <t>Caustic Soda Flakes</t>
  </si>
  <si>
    <t>C2014673</t>
  </si>
  <si>
    <t>Roesil Corporation</t>
  </si>
  <si>
    <t>Silimanite Powder</t>
  </si>
  <si>
    <t>roesil_corp@yahoo.co.in</t>
  </si>
  <si>
    <t>Mumbai - 400019</t>
  </si>
  <si>
    <t>C2014672</t>
  </si>
  <si>
    <t>Dhanraj Industries</t>
  </si>
  <si>
    <t>Chrome Oxide Green</t>
  </si>
  <si>
    <t>pkbajaj@gmail.com</t>
  </si>
  <si>
    <t>316/-</t>
  </si>
  <si>
    <t>C2014671</t>
  </si>
  <si>
    <t>Mehta Group Of Companies</t>
  </si>
  <si>
    <t>Sodium Citrate, Lactose</t>
  </si>
  <si>
    <t>ketan@mgoc.in</t>
  </si>
  <si>
    <t>Ahmedabad-380 052</t>
  </si>
  <si>
    <t>9924089949/ 9409016639</t>
  </si>
  <si>
    <t>C2014670</t>
  </si>
  <si>
    <t>Unique Refractory</t>
  </si>
  <si>
    <t>Boiler Sand</t>
  </si>
  <si>
    <t>Mumbai - 400101</t>
  </si>
  <si>
    <t>C2014669</t>
  </si>
  <si>
    <t>Green Jeeva LLP</t>
  </si>
  <si>
    <t>Phosphoric Acid 75%</t>
  </si>
  <si>
    <t>sales58@greenjeeva.com</t>
  </si>
  <si>
    <t>140/-</t>
  </si>
  <si>
    <t>02.03.2022</t>
  </si>
  <si>
    <t>C2014668</t>
  </si>
  <si>
    <t>Alcove Realty</t>
  </si>
  <si>
    <t>monarijit@gmail.com</t>
  </si>
  <si>
    <t>C2014667</t>
  </si>
  <si>
    <t>Siddeshwari Industries</t>
  </si>
  <si>
    <t>EDTA Acid</t>
  </si>
  <si>
    <t>siddeshwari47@rediffmail.com</t>
  </si>
  <si>
    <t>C2014666</t>
  </si>
  <si>
    <t>C2014665</t>
  </si>
  <si>
    <t>Hindustan Fertilizer Corporation</t>
  </si>
  <si>
    <t>siddharth.vaidtoi@gmail.com</t>
  </si>
  <si>
    <t>01.03.2022</t>
  </si>
  <si>
    <t>C2014664</t>
  </si>
  <si>
    <t>Sunfield Agro India Pvt Ltd.</t>
  </si>
  <si>
    <t>orionindustries10@gmail.com</t>
  </si>
  <si>
    <t>C2014663</t>
  </si>
  <si>
    <t>Subham</t>
  </si>
  <si>
    <t>White Gypsum Powder</t>
  </si>
  <si>
    <t>shawsubham1996@gmail.com</t>
  </si>
  <si>
    <t>C2014662</t>
  </si>
  <si>
    <t>Dhanjay Lal</t>
  </si>
  <si>
    <t>C2014661</t>
  </si>
  <si>
    <t>Aslam Khan</t>
  </si>
  <si>
    <t>aslamk5691@gmail.com</t>
  </si>
  <si>
    <t>C2014660</t>
  </si>
  <si>
    <t>S.D.A Product</t>
  </si>
  <si>
    <t>Ascorbic Acid</t>
  </si>
  <si>
    <t>Mumbai-400091</t>
  </si>
  <si>
    <t>C2014659</t>
  </si>
  <si>
    <t>Aagam Chemicals</t>
  </si>
  <si>
    <t>bipinaagam@gmail.com</t>
  </si>
  <si>
    <t>Vapi- 396195</t>
  </si>
  <si>
    <t>C2014658</t>
  </si>
  <si>
    <t>Bikash</t>
  </si>
  <si>
    <t>bmodi994@gmail.com</t>
  </si>
  <si>
    <t>68/-</t>
  </si>
  <si>
    <t>28.02.2022</t>
  </si>
  <si>
    <t>GMedia Enterprise</t>
  </si>
  <si>
    <t>Kolkata-700028</t>
  </si>
  <si>
    <t>14/-</t>
  </si>
  <si>
    <t>C2014657</t>
  </si>
  <si>
    <t>saha chemicals</t>
  </si>
  <si>
    <t>subhasishsaha072@gmail.com</t>
  </si>
  <si>
    <t>Leather Complex</t>
  </si>
  <si>
    <t>Already send sample bag photo copy and specification.</t>
  </si>
  <si>
    <t>C2014656</t>
  </si>
  <si>
    <t>Ravi Agarwal</t>
  </si>
  <si>
    <t>Potassium Permanganate, Copper Sulphate</t>
  </si>
  <si>
    <t xml:space="preserve"> raviagarwal87@gmail.com</t>
  </si>
  <si>
    <t>Kolkata - 712222</t>
  </si>
  <si>
    <t>C2014655</t>
  </si>
  <si>
    <t>Kamran Kadri</t>
  </si>
  <si>
    <t xml:space="preserve"> kamrankadri123@gmail.com</t>
  </si>
  <si>
    <t>C2014654</t>
  </si>
  <si>
    <t>Mariya Enterprise</t>
  </si>
  <si>
    <t>Sodium Sillicate Liquid</t>
  </si>
  <si>
    <t xml:space="preserve"> ashrafquraishi15@gmail.com</t>
  </si>
  <si>
    <t>West Bengal, 700009</t>
  </si>
  <si>
    <t>@22/-</t>
  </si>
  <si>
    <t>C2014653</t>
  </si>
  <si>
    <t>Anirudh Sarkar</t>
  </si>
  <si>
    <t>sarkaraniruddha85@gmail.com</t>
  </si>
  <si>
    <t>Kolkata - 700032</t>
  </si>
  <si>
    <t>Reselling Purpose</t>
  </si>
  <si>
    <t>C2014652</t>
  </si>
  <si>
    <t>M/S Mahaveer Agency</t>
  </si>
  <si>
    <t>chandrachudadas@gmail.com</t>
  </si>
  <si>
    <t>Baleshwar - 756036, Odisha</t>
  </si>
  <si>
    <t>not interested, price high.</t>
  </si>
  <si>
    <t>C2014651</t>
  </si>
  <si>
    <t>Shailesh</t>
  </si>
  <si>
    <t>shailessingh1972@gmail.com</t>
  </si>
  <si>
    <t>26.02.2022</t>
  </si>
  <si>
    <t>C2014650</t>
  </si>
  <si>
    <t>Chandramani</t>
  </si>
  <si>
    <t>Calcined Pet Coke</t>
  </si>
  <si>
    <t>jhamanas574@gmail.com</t>
  </si>
  <si>
    <t>C2014649</t>
  </si>
  <si>
    <t>Sk Safikul Haque</t>
  </si>
  <si>
    <t>Pine Oil</t>
  </si>
  <si>
    <t xml:space="preserve"> sksafikulhaque441@gmail.com</t>
  </si>
  <si>
    <t>P090</t>
  </si>
  <si>
    <t>Three Star Aqua Technology</t>
  </si>
  <si>
    <t>Acid Thickener</t>
  </si>
  <si>
    <t>Kolkata-700150</t>
  </si>
  <si>
    <t>315/-</t>
  </si>
  <si>
    <t>Order Confirmed , Payment Received.</t>
  </si>
  <si>
    <t>C2014648</t>
  </si>
  <si>
    <t>Asha Enterprise</t>
  </si>
  <si>
    <t>ashaenterprise0278@gmail.com</t>
  </si>
  <si>
    <t>Dumdum,North 24 Parganas</t>
  </si>
  <si>
    <t>8617286537, 9883316143</t>
  </si>
  <si>
    <t>C2014647</t>
  </si>
  <si>
    <t>Tabindah Iram</t>
  </si>
  <si>
    <t xml:space="preserve"> tabindahiram@gmail.com</t>
  </si>
  <si>
    <t>C2014646</t>
  </si>
  <si>
    <t>Rk Milk And Milk Product</t>
  </si>
  <si>
    <t xml:space="preserve"> shivshankarkumar9055@gmail.com</t>
  </si>
  <si>
    <t>Begusarai - 851111, Bihar</t>
  </si>
  <si>
    <t>25.02.2022</t>
  </si>
  <si>
    <t>C2014645</t>
  </si>
  <si>
    <t>Nurul Amin</t>
  </si>
  <si>
    <t>Agriculture Gypsum</t>
  </si>
  <si>
    <t>namin3727@gmail.com</t>
  </si>
  <si>
    <t>C2014644</t>
  </si>
  <si>
    <t>Digvijay Lonkar</t>
  </si>
  <si>
    <t xml:space="preserve"> lonker7420@gmail.com</t>
  </si>
  <si>
    <t>Baramati, Maharashtra</t>
  </si>
  <si>
    <t>24.02.2022</t>
  </si>
  <si>
    <t>C2014643</t>
  </si>
  <si>
    <t>Dinahar Shetty</t>
  </si>
  <si>
    <t xml:space="preserve"> mangalaabiotech@rediffmail.com</t>
  </si>
  <si>
    <t>Nashik - 422001</t>
  </si>
  <si>
    <t>C2014642</t>
  </si>
  <si>
    <t>Unique Enterprise</t>
  </si>
  <si>
    <t xml:space="preserve"> uniqueenterprise772@gmail.com</t>
  </si>
  <si>
    <t>Kolkata - 700028</t>
  </si>
  <si>
    <t>7003031855, 9231691573</t>
  </si>
  <si>
    <t>C2014641</t>
  </si>
  <si>
    <t>C2014640</t>
  </si>
  <si>
    <t>Chandresh Hapani</t>
  </si>
  <si>
    <t>Molecular Sieves</t>
  </si>
  <si>
    <t xml:space="preserve"> animed6@yahoo.co.in</t>
  </si>
  <si>
    <t>9830175616, 9062169759</t>
  </si>
  <si>
    <t>C2014639</t>
  </si>
  <si>
    <t>Ramakrishna Industries</t>
  </si>
  <si>
    <t xml:space="preserve"> rk.alokghosh@gmail.com</t>
  </si>
  <si>
    <t xml:space="preserve"> Barrackpore - 700123</t>
  </si>
  <si>
    <t>C2014638</t>
  </si>
  <si>
    <t>Deal Hub</t>
  </si>
  <si>
    <t xml:space="preserve"> sonalwaghela123@gmail.com</t>
  </si>
  <si>
    <t>C2014637</t>
  </si>
  <si>
    <t>T A Interior Works</t>
  </si>
  <si>
    <t>noomanshah20@gmail.com</t>
  </si>
  <si>
    <t>Kolkata - 700013</t>
  </si>
  <si>
    <t>C2014636</t>
  </si>
  <si>
    <t>Phone Switched Off</t>
  </si>
  <si>
    <t>23.02.2022</t>
  </si>
  <si>
    <t>C2014383</t>
  </si>
  <si>
    <t>Ispat Damoder Limited</t>
  </si>
  <si>
    <t>Fluorspar Lump</t>
  </si>
  <si>
    <t>barai.bibhuti@gmail.com</t>
  </si>
  <si>
    <t>North 24 Parganas - 743252</t>
  </si>
  <si>
    <t>Call Not Received.(3)</t>
  </si>
  <si>
    <t>C2014382</t>
  </si>
  <si>
    <t>Debasish Chakraborty</t>
  </si>
  <si>
    <t xml:space="preserve"> debasishfca@gmail.com</t>
  </si>
  <si>
    <t>Agartalla</t>
  </si>
  <si>
    <t>7.50/-,5.50/-</t>
  </si>
  <si>
    <t>C2014381</t>
  </si>
  <si>
    <t>Guddu Ji</t>
  </si>
  <si>
    <t>Liquid Glucose</t>
  </si>
  <si>
    <t xml:space="preserve"> nainakr20@gmail.com</t>
  </si>
  <si>
    <t>Bokaro Steel City</t>
  </si>
  <si>
    <t>47/-</t>
  </si>
  <si>
    <t>C2014380</t>
  </si>
  <si>
    <t>SWAPAN KUMAR BARUI</t>
  </si>
  <si>
    <t xml:space="preserve"> swapanbarui9@gmail.com</t>
  </si>
  <si>
    <t>C2014379</t>
  </si>
  <si>
    <t>M K Ceiling System</t>
  </si>
  <si>
    <t>Plaster of Paris</t>
  </si>
  <si>
    <t xml:space="preserve"> mkceilingsystem57@gmail.com</t>
  </si>
  <si>
    <t>Mumbai - 400043</t>
  </si>
  <si>
    <t>8928829341, 8268564974</t>
  </si>
  <si>
    <t>C2014378</t>
  </si>
  <si>
    <t>Ruchi Chemical</t>
  </si>
  <si>
    <t xml:space="preserve"> ruchichemical@yahoo.com</t>
  </si>
  <si>
    <t>Mumbai - 401104</t>
  </si>
  <si>
    <t>C2014377</t>
  </si>
  <si>
    <t>Solvent</t>
  </si>
  <si>
    <t xml:space="preserve"> info@oxfordpaints.com</t>
  </si>
  <si>
    <t>Bhubaneswar - 751007</t>
  </si>
  <si>
    <t>C2014376</t>
  </si>
  <si>
    <t>Subhadeep Roy</t>
  </si>
  <si>
    <t xml:space="preserve"> roysubha777@gmail.com</t>
  </si>
  <si>
    <t>Sample Collected Fro</t>
  </si>
  <si>
    <t>C2014375</t>
  </si>
  <si>
    <t>Deepak Engineering Works</t>
  </si>
  <si>
    <t>Asbestos Powder</t>
  </si>
  <si>
    <t>drdeepak9090@gmail.com</t>
  </si>
  <si>
    <t xml:space="preserve"> Vapi - 396195, Gujarat</t>
  </si>
  <si>
    <t>C2014374</t>
  </si>
  <si>
    <t>Anjan Mukherjee</t>
  </si>
  <si>
    <t xml:space="preserve"> akmukherjee@ymail.com</t>
  </si>
  <si>
    <t>Serampore - 712201</t>
  </si>
  <si>
    <t>9830724601, 6290429136</t>
  </si>
  <si>
    <t>C2014373</t>
  </si>
  <si>
    <t>SSB International</t>
  </si>
  <si>
    <t xml:space="preserve"> arnabchakrabort2015@gmail.com</t>
  </si>
  <si>
    <t>22.02.2022</t>
  </si>
  <si>
    <t>P089</t>
  </si>
  <si>
    <t>Sekh Mahasin Enterprise</t>
  </si>
  <si>
    <t>Howrah-711322</t>
  </si>
  <si>
    <t>Order Confirmed And Payment Received</t>
  </si>
  <si>
    <t>C2014372</t>
  </si>
  <si>
    <t>Manohar Singh</t>
  </si>
  <si>
    <t>ms2986490@gmail.com</t>
  </si>
  <si>
    <t>Delhi - 110085</t>
  </si>
  <si>
    <t>C2014371</t>
  </si>
  <si>
    <t>Triveni Engg Industries Limited</t>
  </si>
  <si>
    <t xml:space="preserve"> deepchawla@hotmail.com</t>
  </si>
  <si>
    <t>Rampur, Uttar Pradesh</t>
  </si>
  <si>
    <t>C2014370</t>
  </si>
  <si>
    <t>Siddharth Mehra</t>
  </si>
  <si>
    <t>C2014369</t>
  </si>
  <si>
    <t>Shri Renuka Marine Services</t>
  </si>
  <si>
    <t xml:space="preserve"> njagde777@gmail.com</t>
  </si>
  <si>
    <t>C2014368</t>
  </si>
  <si>
    <t>M/s West Bengal Waste Management Ltd</t>
  </si>
  <si>
    <t>pasanta.sen@ramky.com</t>
  </si>
  <si>
    <t>Bankura - 722153</t>
  </si>
  <si>
    <t>C2014367</t>
  </si>
  <si>
    <t>Ranjan Kumar Sahu</t>
  </si>
  <si>
    <t>kumar.anuj298@gmail.com</t>
  </si>
  <si>
    <t>Metiabruj- Kolkata</t>
  </si>
  <si>
    <t>C2014366</t>
  </si>
  <si>
    <t>Jisan Asgar</t>
  </si>
  <si>
    <t>C2014635</t>
  </si>
  <si>
    <t>Parth Patel</t>
  </si>
  <si>
    <t xml:space="preserve"> parthpatel9735@gmail.com</t>
  </si>
  <si>
    <t>Gujrat</t>
  </si>
  <si>
    <t>C2014634</t>
  </si>
  <si>
    <t>Anup Dey</t>
  </si>
  <si>
    <t>anupdey.choose.you@gmail.com</t>
  </si>
  <si>
    <t>C2014633</t>
  </si>
  <si>
    <t>M/s Man Mohan Mineral Industries Pvt. Ltd</t>
  </si>
  <si>
    <t>Hydrogen Peroxide</t>
  </si>
  <si>
    <t xml:space="preserve"> mmiplindia@gmail.com</t>
  </si>
  <si>
    <t>Jamshedpur - 831002</t>
  </si>
  <si>
    <t>C2014632</t>
  </si>
  <si>
    <t>I Leap International</t>
  </si>
  <si>
    <t xml:space="preserve"> rajatvavhal1435@gmail.com</t>
  </si>
  <si>
    <t>Shrigonda - 413701</t>
  </si>
  <si>
    <t>C2014631</t>
  </si>
  <si>
    <t>M/s Om Aluminium Glazing</t>
  </si>
  <si>
    <t>Benzalkonium Chloride 80</t>
  </si>
  <si>
    <t xml:space="preserve"> singh_sandeep99@yahoo.co.in</t>
  </si>
  <si>
    <t>Kolkata - 700011</t>
  </si>
  <si>
    <t>9831666222, 9163571111</t>
  </si>
  <si>
    <t>wrong enquery.</t>
  </si>
  <si>
    <t>C2014630</t>
  </si>
  <si>
    <t>Kamal</t>
  </si>
  <si>
    <t>C2014629</t>
  </si>
  <si>
    <t>Gopal Agrawal</t>
  </si>
  <si>
    <t>21.02.2022</t>
  </si>
  <si>
    <t>C2014628</t>
  </si>
  <si>
    <t>Janaki Food</t>
  </si>
  <si>
    <t>Wood charcoal</t>
  </si>
  <si>
    <t>dkdkdksms@gmail.com</t>
  </si>
  <si>
    <t>C2014627</t>
  </si>
  <si>
    <t>SK Trader</t>
  </si>
  <si>
    <t>riponsk553@gmail.com</t>
  </si>
  <si>
    <t>C2014626</t>
  </si>
  <si>
    <t>SSV</t>
  </si>
  <si>
    <t>smisafety.solutions@gmail.com</t>
  </si>
  <si>
    <t>C2014625</t>
  </si>
  <si>
    <t>Kale Inspection Services</t>
  </si>
  <si>
    <t>bmkale@gmail.com</t>
  </si>
  <si>
    <t>C2014624</t>
  </si>
  <si>
    <t>World Wide Enterprise</t>
  </si>
  <si>
    <t>Bentonite</t>
  </si>
  <si>
    <t>ramyamutsuddi@yahoo.co.in</t>
  </si>
  <si>
    <t>C2014623</t>
  </si>
  <si>
    <t>rajtiwari7001@gmail.com</t>
  </si>
  <si>
    <t>Nagpur-440032</t>
  </si>
  <si>
    <t>19.02.2022</t>
  </si>
  <si>
    <t>C2014622</t>
  </si>
  <si>
    <t>V Mehta</t>
  </si>
  <si>
    <t>CMC - Gum Powder</t>
  </si>
  <si>
    <t>vijaymehta68@gmail.com</t>
  </si>
  <si>
    <t>172/-Kg(s)</t>
  </si>
  <si>
    <t>C2014621</t>
  </si>
  <si>
    <t>Caliche Pvt Ltd</t>
  </si>
  <si>
    <t xml:space="preserve"> adarsh@macleai.com</t>
  </si>
  <si>
    <t>21/-</t>
  </si>
  <si>
    <t>C2014620</t>
  </si>
  <si>
    <t>Vishal Raj</t>
  </si>
  <si>
    <t xml:space="preserve"> rajbishal029@gmail.com</t>
  </si>
  <si>
    <t>C2014619</t>
  </si>
  <si>
    <t>Basista</t>
  </si>
  <si>
    <t>Shotcrete Admixture</t>
  </si>
  <si>
    <t xml:space="preserve"> bipin_bhattarai58@yahoo.com</t>
  </si>
  <si>
    <t>C2014618</t>
  </si>
  <si>
    <t>Rajdip Mondal</t>
  </si>
  <si>
    <t>Sodium Benzoate</t>
  </si>
  <si>
    <t>mondalrajdip303@gmail.com</t>
  </si>
  <si>
    <t>Barasat - 743251</t>
  </si>
  <si>
    <t>232/-</t>
  </si>
  <si>
    <t>granesh brand.</t>
  </si>
  <si>
    <t>Party target price@207/-</t>
  </si>
  <si>
    <t>C2014617</t>
  </si>
  <si>
    <t>Bharat Chemical</t>
  </si>
  <si>
    <t>Begusarai, Bihar</t>
  </si>
  <si>
    <t>C2014616</t>
  </si>
  <si>
    <t>Utkal Arts</t>
  </si>
  <si>
    <t>Marble Powder</t>
  </si>
  <si>
    <t>utkalart@rediffmail.com</t>
  </si>
  <si>
    <t>Mumbai - 400097</t>
  </si>
  <si>
    <t>9869417308, 9867577805</t>
  </si>
  <si>
    <t>C2014615</t>
  </si>
  <si>
    <t>RA Enterprise</t>
  </si>
  <si>
    <t>Manganes Dioxide Powder</t>
  </si>
  <si>
    <t xml:space="preserve"> raenterprise181@gmail.com</t>
  </si>
  <si>
    <t>Kolkata - 700125</t>
  </si>
  <si>
    <t>9051825548, 9163399702</t>
  </si>
  <si>
    <t>40/-</t>
  </si>
  <si>
    <t>C2014614</t>
  </si>
  <si>
    <t>Wilson Joseph Swamy</t>
  </si>
  <si>
    <t xml:space="preserve"> mminfra26@gmail.com</t>
  </si>
  <si>
    <t>18.02.2022</t>
  </si>
  <si>
    <t>C2014613</t>
  </si>
  <si>
    <t>Jaydip Singh</t>
  </si>
  <si>
    <t>Concrete Admixture</t>
  </si>
  <si>
    <t>rathorejaiveer0190@gmail.com</t>
  </si>
  <si>
    <t>Muzaffarnagar- UP</t>
  </si>
  <si>
    <t>C2014612</t>
  </si>
  <si>
    <t>M/S Prosperous World Chemical</t>
  </si>
  <si>
    <t xml:space="preserve"> ashokkr@pwchemical.in</t>
  </si>
  <si>
    <t>Bokaro Steel City - 827004</t>
  </si>
  <si>
    <t>C2014611</t>
  </si>
  <si>
    <t>Akash Karmakar</t>
  </si>
  <si>
    <t>Soap Stone Powder</t>
  </si>
  <si>
    <t xml:space="preserve"> priyajitkarmakar000@outlook.com</t>
  </si>
  <si>
    <t>C2014610</t>
  </si>
  <si>
    <t>Arko paul</t>
  </si>
  <si>
    <t xml:space="preserve"> arkopaul.1902@gmail.com</t>
  </si>
  <si>
    <t>Alipur Duar</t>
  </si>
  <si>
    <t>C2014609</t>
  </si>
  <si>
    <t>Goutam</t>
  </si>
  <si>
    <t xml:space="preserve"> goutam.k.raut@gmail.com</t>
  </si>
  <si>
    <t>C2014608</t>
  </si>
  <si>
    <t>Iftekar Pathan</t>
  </si>
  <si>
    <t xml:space="preserve"> iftekarmpathan77@gmail.com</t>
  </si>
  <si>
    <t>Shri Rampur, Maharashtra</t>
  </si>
  <si>
    <t>C2014607</t>
  </si>
  <si>
    <t>Mainan RAY</t>
  </si>
  <si>
    <t xml:space="preserve"> mainakray.net@gmail.com</t>
  </si>
  <si>
    <t>Kolkata - 721101</t>
  </si>
  <si>
    <t>9933114305, 9988440726</t>
  </si>
  <si>
    <t>17.02.2022</t>
  </si>
  <si>
    <t>C2014606</t>
  </si>
  <si>
    <t>M/s Jagdish Enterprises</t>
  </si>
  <si>
    <t xml:space="preserve"> jagdishenterprises2011@gmail.com</t>
  </si>
  <si>
    <t>Bokaro Steel City - 827013</t>
  </si>
  <si>
    <t>C2014605</t>
  </si>
  <si>
    <t>Priyanshu Gupta</t>
  </si>
  <si>
    <t>bimalgupta.bg78@gmail.com</t>
  </si>
  <si>
    <t>C2014604</t>
  </si>
  <si>
    <t>Rahul</t>
  </si>
  <si>
    <t>C2014603</t>
  </si>
  <si>
    <t>Chandrikant Tirpathi</t>
  </si>
  <si>
    <t>Perlite Ore Slag 30</t>
  </si>
  <si>
    <t>Amethi, Uttar Pradesh</t>
  </si>
  <si>
    <t>Send Quotation and specification.</t>
  </si>
  <si>
    <t>P088</t>
  </si>
  <si>
    <t>Innocule Materials &amp; Additives Pvt Ltd.</t>
  </si>
  <si>
    <t>accounts@innocule.co.in</t>
  </si>
  <si>
    <t>Odisha-752057</t>
  </si>
  <si>
    <t>55/-Kg(s)</t>
  </si>
  <si>
    <t>C2014602</t>
  </si>
  <si>
    <t>Nashiruddin</t>
  </si>
  <si>
    <t>Customer will let know after 2 days</t>
  </si>
  <si>
    <t>C2014601</t>
  </si>
  <si>
    <t>Amit Dattatray Bodhale</t>
  </si>
  <si>
    <t>Ferric Aluminium Sulphate</t>
  </si>
  <si>
    <t xml:space="preserve"> adb.4299@gmail.com</t>
  </si>
  <si>
    <t>Pune - 411028, Maharashtra</t>
  </si>
  <si>
    <t>9850204999, 9552544899</t>
  </si>
  <si>
    <t>C2014600</t>
  </si>
  <si>
    <t>Euro Bonding Solutions</t>
  </si>
  <si>
    <t xml:space="preserve"> Anti Settling Agent.</t>
  </si>
  <si>
    <t>eurobonding@gmail.com</t>
  </si>
  <si>
    <t>Indore - 452001</t>
  </si>
  <si>
    <t>C2014599</t>
  </si>
  <si>
    <t>JK Lakshmi cement</t>
  </si>
  <si>
    <t>Guwahati, Assam</t>
  </si>
  <si>
    <t>C2014598</t>
  </si>
  <si>
    <t>Gautam Bedi</t>
  </si>
  <si>
    <t>Calcium Peroxide Granules</t>
  </si>
  <si>
    <t xml:space="preserve"> gautambedi@gmail.com</t>
  </si>
  <si>
    <t>Available in powder form only. Quote @205+</t>
  </si>
  <si>
    <t>C2014597</t>
  </si>
  <si>
    <t>Abdur Rahman</t>
  </si>
  <si>
    <t xml:space="preserve"> arahman1071981@gmail.com</t>
  </si>
  <si>
    <t>C2014596</t>
  </si>
  <si>
    <t>Dhanraj</t>
  </si>
  <si>
    <t xml:space="preserve">dhanrajjoshi1009@gmail.com
</t>
  </si>
  <si>
    <t>wrong number.</t>
  </si>
  <si>
    <t>C2014595</t>
  </si>
  <si>
    <t>Eastern India Brown Multi Private Limited</t>
  </si>
  <si>
    <t xml:space="preserve"> easternindia2007@gmail.com</t>
  </si>
  <si>
    <t>C2014594</t>
  </si>
  <si>
    <t>Avijit</t>
  </si>
  <si>
    <t xml:space="preserve"> avijitbhunianjkhs@gmail.com</t>
  </si>
  <si>
    <t>Contai - 721401</t>
  </si>
  <si>
    <t>C2014593</t>
  </si>
  <si>
    <t xml:space="preserve"> shailessingh1972@gmail.com</t>
  </si>
  <si>
    <t>C2014592</t>
  </si>
  <si>
    <t>Breatania Phracitule</t>
  </si>
  <si>
    <t xml:space="preserve"> anwarmemon009@gmail.com</t>
  </si>
  <si>
    <t>Mumbai - 400102</t>
  </si>
  <si>
    <t>C2014591</t>
  </si>
  <si>
    <t>Pankaj Sonthalia</t>
  </si>
  <si>
    <t>Qurtz Powder</t>
  </si>
  <si>
    <t>7/-kG(S)</t>
  </si>
  <si>
    <t>Sample Provided.</t>
  </si>
  <si>
    <t>16.02.2022</t>
  </si>
  <si>
    <t>C2014590</t>
  </si>
  <si>
    <t>Manoranjan</t>
  </si>
  <si>
    <t>C2014589</t>
  </si>
  <si>
    <t>Entice</t>
  </si>
  <si>
    <t>Sodium Ligno Sulfonate</t>
  </si>
  <si>
    <t>vinaypoddar@ymail.com</t>
  </si>
  <si>
    <t>@46/-</t>
  </si>
  <si>
    <t>C2014588</t>
  </si>
  <si>
    <t>Maharaja Holdings</t>
  </si>
  <si>
    <t>shaunak.banerjee@gmail.com</t>
  </si>
  <si>
    <t>C2014587</t>
  </si>
  <si>
    <t>Presidency Rubber Mill Pvt Ltd.</t>
  </si>
  <si>
    <t>prmrubber@gmail.com</t>
  </si>
  <si>
    <t>5/-Kg(s)</t>
  </si>
  <si>
    <t>Material Photocopy Send.</t>
  </si>
  <si>
    <t>15.02.2022</t>
  </si>
  <si>
    <t>C2014586</t>
  </si>
  <si>
    <t>RSE Enterprises</t>
  </si>
  <si>
    <t>C2014585</t>
  </si>
  <si>
    <t>Tiswan Kumar</t>
  </si>
  <si>
    <t>C2014584</t>
  </si>
  <si>
    <t>Vishwajit Deshmukh</t>
  </si>
  <si>
    <t>vishwajitmd777@gmail.com</t>
  </si>
  <si>
    <t>Pune - 411060</t>
  </si>
  <si>
    <t>Full truck rate given 9+</t>
  </si>
  <si>
    <t>C2014583</t>
  </si>
  <si>
    <t>Raj Minerals</t>
  </si>
  <si>
    <t xml:space="preserve"> Zinc Oxide</t>
  </si>
  <si>
    <t xml:space="preserve"> mineral.raj@gmail.com</t>
  </si>
  <si>
    <t>Mumbai - 400075</t>
  </si>
  <si>
    <t>need sample first. Quoted 150+</t>
  </si>
  <si>
    <t>C2014582</t>
  </si>
  <si>
    <t>Biswajit Ghosh</t>
  </si>
  <si>
    <t xml:space="preserve"> biswajitghosh7b@gmail.com</t>
  </si>
  <si>
    <t>C2014581</t>
  </si>
  <si>
    <t>Bentonite Powder 50 Kg pck</t>
  </si>
  <si>
    <t>ashokmahapatra72@gmail.com</t>
  </si>
  <si>
    <t>Cuttack - 753014</t>
  </si>
  <si>
    <t>Party Target Price 3.50/-Kg(s)</t>
  </si>
  <si>
    <t>C2014580</t>
  </si>
  <si>
    <t>S S Power Tech Service</t>
  </si>
  <si>
    <t xml:space="preserve"> safiulmolla428@gmail.com</t>
  </si>
  <si>
    <t>Mayapur - 743318</t>
  </si>
  <si>
    <t>Party Target Price 5.50/-Kg(s)</t>
  </si>
  <si>
    <t>14.02.2022</t>
  </si>
  <si>
    <t>C2014579</t>
  </si>
  <si>
    <t>Umesh Borole</t>
  </si>
  <si>
    <t>borole.latantexchem@gmail.com</t>
  </si>
  <si>
    <t>Dombivli - 421201</t>
  </si>
  <si>
    <t>C2014578</t>
  </si>
  <si>
    <t>C2014577</t>
  </si>
  <si>
    <t>National Trading Co</t>
  </si>
  <si>
    <t xml:space="preserve"> Nationaltradingco85@gmail.com</t>
  </si>
  <si>
    <t>Konnagar - 712235</t>
  </si>
  <si>
    <t xml:space="preserve">24/- </t>
  </si>
  <si>
    <t>C2014576</t>
  </si>
  <si>
    <t>Allied Chemical Industries</t>
  </si>
  <si>
    <t>Manganese Dioxide 70%</t>
  </si>
  <si>
    <t xml:space="preserve"> jsrdir@gmail.com</t>
  </si>
  <si>
    <t>Jamshedpur - 832109</t>
  </si>
  <si>
    <t>C2014575</t>
  </si>
  <si>
    <t>Shyam SEL &amp; Power Ltd</t>
  </si>
  <si>
    <t>pranav_mi@hotmail.com</t>
  </si>
  <si>
    <t>12.02.2022</t>
  </si>
  <si>
    <t>C2014574</t>
  </si>
  <si>
    <t>Exotherm Fluxes &amp; Chemicals</t>
  </si>
  <si>
    <t>sctiwari68@gmail.com</t>
  </si>
  <si>
    <t>Jaipur - 302016, Rajasthan</t>
  </si>
  <si>
    <t>C2014573</t>
  </si>
  <si>
    <t>Swachh Ecotech</t>
  </si>
  <si>
    <t xml:space="preserve"> moon_nav@yahoo.co.in</t>
  </si>
  <si>
    <t>C2014572</t>
  </si>
  <si>
    <t>Paras Dyes &amp; Chemicals</t>
  </si>
  <si>
    <t>Monoammonium Phosphate</t>
  </si>
  <si>
    <t xml:space="preserve"> parasdyeskolkata@gmail.com</t>
  </si>
  <si>
    <t>C2014571</t>
  </si>
  <si>
    <t>3 Dots Enterprises</t>
  </si>
  <si>
    <t>online3dots@gmail.com</t>
  </si>
  <si>
    <t>C2014570</t>
  </si>
  <si>
    <t>pragati go khadya bhander</t>
  </si>
  <si>
    <t xml:space="preserve"> pappu.dey11.pd@gmail.com</t>
  </si>
  <si>
    <t>Midnapore - 721136</t>
  </si>
  <si>
    <t>C2014569</t>
  </si>
  <si>
    <t>Ranjan Kr Akela</t>
  </si>
  <si>
    <t>Hajipur- Bihar</t>
  </si>
  <si>
    <t>C2014568</t>
  </si>
  <si>
    <t>Amit</t>
  </si>
  <si>
    <t xml:space="preserve"> gaurav.mahajan0202@gmail.com</t>
  </si>
  <si>
    <t>Baramulla - 193101</t>
  </si>
  <si>
    <t>C2014567</t>
  </si>
  <si>
    <t>S. V. Enterprises</t>
  </si>
  <si>
    <t>sventerprises3@gmail.com</t>
  </si>
  <si>
    <t>Mumbai - 400009</t>
  </si>
  <si>
    <t>9322701159, +7021160292</t>
  </si>
  <si>
    <t>C2014566</t>
  </si>
  <si>
    <t>Ashtik Biotech Private Limited</t>
  </si>
  <si>
    <t xml:space="preserve"> ashtikbiotech@gmail.com</t>
  </si>
  <si>
    <t>Egra - 700092</t>
  </si>
  <si>
    <t>7384968429, 9732600672</t>
  </si>
  <si>
    <t>material not available..</t>
  </si>
  <si>
    <t>11.02.2022</t>
  </si>
  <si>
    <t>C2014565</t>
  </si>
  <si>
    <t>Nimex Trading Corporation</t>
  </si>
  <si>
    <t xml:space="preserve"> parvez@nimex.co.in</t>
  </si>
  <si>
    <t>Mumbai - 400003</t>
  </si>
  <si>
    <t>C2014564</t>
  </si>
  <si>
    <t>Guybro Chemical</t>
  </si>
  <si>
    <t xml:space="preserve"> purchase@guybro.in</t>
  </si>
  <si>
    <t>Mumbai - 400053</t>
  </si>
  <si>
    <t>C2014563</t>
  </si>
  <si>
    <t>Heavens Charcoal</t>
  </si>
  <si>
    <t xml:space="preserve"> shareefmpd@gmail.com</t>
  </si>
  <si>
    <t>Malappuram - 676541</t>
  </si>
  <si>
    <t>C2014562</t>
  </si>
  <si>
    <t>Sudipta</t>
  </si>
  <si>
    <t>sudiptaadak13@gmail.com</t>
  </si>
  <si>
    <t>C2014561</t>
  </si>
  <si>
    <t>Simplex Trades and Industries</t>
  </si>
  <si>
    <t xml:space="preserve"> jain_manish77@hotmail.com</t>
  </si>
  <si>
    <t>Kolkata - 700072</t>
  </si>
  <si>
    <t>C2014560</t>
  </si>
  <si>
    <t xml:space="preserve"> himanpat@yahoo.com</t>
  </si>
  <si>
    <t>Mumbai - 400092</t>
  </si>
  <si>
    <t>9372468484, 9969730122</t>
  </si>
  <si>
    <t>C2014559</t>
  </si>
  <si>
    <t>Sourav Kumar Saha</t>
  </si>
  <si>
    <t>Calcium Carbonate KLC</t>
  </si>
  <si>
    <t>C2014558</t>
  </si>
  <si>
    <t>FAIRDEAL TRADING CO</t>
  </si>
  <si>
    <t>Potato Starch</t>
  </si>
  <si>
    <t>fairdealtradingco@rediffmail.com</t>
  </si>
  <si>
    <t>C2014557</t>
  </si>
  <si>
    <t>Dev Ashish</t>
  </si>
  <si>
    <t>C2014556</t>
  </si>
  <si>
    <t>MK Enterprises</t>
  </si>
  <si>
    <t>Manganese Dioxide Powder</t>
  </si>
  <si>
    <t>subhankarbiswas.sb1@gmail.com</t>
  </si>
  <si>
    <t>C2014555</t>
  </si>
  <si>
    <t>Maity Enterprise</t>
  </si>
  <si>
    <t>arindammaity1341981@gmail.com</t>
  </si>
  <si>
    <t xml:space="preserve"> Contai - 721442</t>
  </si>
  <si>
    <t>Party target price @4/-pkg.at Contai</t>
  </si>
  <si>
    <t>09.02.2022</t>
  </si>
  <si>
    <t>C2014554</t>
  </si>
  <si>
    <t>Shristi Enterprise</t>
  </si>
  <si>
    <t xml:space="preserve"> goutam_iisc_2006@yahoo.com</t>
  </si>
  <si>
    <t>C2014553</t>
  </si>
  <si>
    <t>Declibac Technologies Pvt Ltd</t>
  </si>
  <si>
    <t>Citiric Acid Monohydrous</t>
  </si>
  <si>
    <t xml:space="preserve"> indraneel@declibac.com</t>
  </si>
  <si>
    <t>Kolkata - 700029</t>
  </si>
  <si>
    <t>@176/-</t>
  </si>
  <si>
    <t>send the bag photocopy.</t>
  </si>
  <si>
    <t>C2014552</t>
  </si>
  <si>
    <t>Choudhury Enterprise</t>
  </si>
  <si>
    <t>Limestone Lumps</t>
  </si>
  <si>
    <t xml:space="preserve"> choudhuryenterprise.export@gmail.com</t>
  </si>
  <si>
    <t>Barasat - 700129</t>
  </si>
  <si>
    <t>C2014551</t>
  </si>
  <si>
    <t>Bablu Kr Ghosh</t>
  </si>
  <si>
    <t>Quicklime Stone</t>
  </si>
  <si>
    <t xml:space="preserve"> avijanghosh27@gmail.com</t>
  </si>
  <si>
    <t>Silchar</t>
  </si>
  <si>
    <t>C2014550</t>
  </si>
  <si>
    <t>Nawab E Kabab</t>
  </si>
  <si>
    <t xml:space="preserve"> maity.pappu@gmail.com</t>
  </si>
  <si>
    <t>Saturday Party Will Come.</t>
  </si>
  <si>
    <t>C2014549</t>
  </si>
  <si>
    <t>Jai Hanuman Enterprises</t>
  </si>
  <si>
    <t>Polyvinyl Alcohol</t>
  </si>
  <si>
    <t xml:space="preserve"> shashikumar9865@gmail.com</t>
  </si>
  <si>
    <t>Patna - 800007</t>
  </si>
  <si>
    <t>C2014548</t>
  </si>
  <si>
    <t>Sri Ashaka Chemicals</t>
  </si>
  <si>
    <t>asrini@shreeashakathem.com</t>
  </si>
  <si>
    <t>08.02.2022</t>
  </si>
  <si>
    <t>C2014547</t>
  </si>
  <si>
    <t>Hotel Sambhavna</t>
  </si>
  <si>
    <t xml:space="preserve"> sahrahul609@gmail.com</t>
  </si>
  <si>
    <t>32/-Kg(s)</t>
  </si>
  <si>
    <t>Phone Switched Off (2)</t>
  </si>
  <si>
    <t>P087</t>
  </si>
  <si>
    <t>Bloom Food Additives Pvt Ltd.</t>
  </si>
  <si>
    <t>Kolkata-700155</t>
  </si>
  <si>
    <t>10.50/-Kg(s)</t>
  </si>
  <si>
    <t>C2014546</t>
  </si>
  <si>
    <t>Aradhana Enterprise</t>
  </si>
  <si>
    <t xml:space="preserve"> riman4usaheli@gmail.com</t>
  </si>
  <si>
    <t>Kolkata - 700051</t>
  </si>
  <si>
    <t>C2014545</t>
  </si>
  <si>
    <t>Shanti Udhyog</t>
  </si>
  <si>
    <t xml:space="preserve"> Calcium Carbonate Powder</t>
  </si>
  <si>
    <t xml:space="preserve"> iconicamit@gmail.com</t>
  </si>
  <si>
    <t>Kolkata - 700063</t>
  </si>
  <si>
    <t>C2014544</t>
  </si>
  <si>
    <t>Avise Business Solutions Private Limited</t>
  </si>
  <si>
    <t xml:space="preserve"> vikasha500@gmail.com</t>
  </si>
  <si>
    <t>Kolkata - 700091</t>
  </si>
  <si>
    <t>C2014543</t>
  </si>
  <si>
    <t>Dashama Exports</t>
  </si>
  <si>
    <t xml:space="preserve"> dashamaexports@gmail.com</t>
  </si>
  <si>
    <t>C2014542</t>
  </si>
  <si>
    <t>Ajay Industrial Corporation</t>
  </si>
  <si>
    <t>Alumminium Sulphate</t>
  </si>
  <si>
    <t xml:space="preserve"> purchase2ajayindustrial@gmail.com</t>
  </si>
  <si>
    <t>C2014541</t>
  </si>
  <si>
    <t>Nayak Feed Center</t>
  </si>
  <si>
    <t>sukdevnayak95@gmail.com</t>
  </si>
  <si>
    <t>C2014540</t>
  </si>
  <si>
    <t>Shaurya Samanta</t>
  </si>
  <si>
    <t xml:space="preserve"> shauryasamanta@outlook.com</t>
  </si>
  <si>
    <t>Party reply shortly.</t>
  </si>
  <si>
    <t>07.02.2022</t>
  </si>
  <si>
    <t>C2014539</t>
  </si>
  <si>
    <t>Jaswinder Singh</t>
  </si>
  <si>
    <t>Calcium Carbide Stone</t>
  </si>
  <si>
    <t>jaswinder.singh25254@gmail.com</t>
  </si>
  <si>
    <t>C2014538</t>
  </si>
  <si>
    <t>Radhe Enterprises</t>
  </si>
  <si>
    <t>radheenterprise7500@gmail.com</t>
  </si>
  <si>
    <t>C2014537</t>
  </si>
  <si>
    <t>Tellabs Chemicals</t>
  </si>
  <si>
    <t>STPP, DMF, EDTA, Phosphoric Acid</t>
  </si>
  <si>
    <t>manumohan@telgroup.com</t>
  </si>
  <si>
    <t>C2014536</t>
  </si>
  <si>
    <t>Glaucus Agro Chem Pvt Ltd.</t>
  </si>
  <si>
    <t>sarifb4u@gmail.com</t>
  </si>
  <si>
    <t>Party purchase from Rajasthan</t>
  </si>
  <si>
    <t>C2014535</t>
  </si>
  <si>
    <t>Green Magic Industries</t>
  </si>
  <si>
    <t>priyansumalik67@gmail.com</t>
  </si>
  <si>
    <t>Party Will Inform Later.</t>
  </si>
  <si>
    <t>C2014534</t>
  </si>
  <si>
    <t>Heram Cattle Feed</t>
  </si>
  <si>
    <t>C2014533</t>
  </si>
  <si>
    <t>Swastik Associate</t>
  </si>
  <si>
    <t>Formic Acid</t>
  </si>
  <si>
    <t xml:space="preserve"> sudeepnandy71@gmail.com</t>
  </si>
  <si>
    <t>North 24 Parganas - 700129</t>
  </si>
  <si>
    <t>C2014532</t>
  </si>
  <si>
    <t>Akash Agrawal</t>
  </si>
  <si>
    <t>akash.236688@gmail.com</t>
  </si>
  <si>
    <t>Gondia - 441601</t>
  </si>
  <si>
    <t>C2014531</t>
  </si>
  <si>
    <t>Surendra Chemicals &amp; Industries</t>
  </si>
  <si>
    <t>surchems@gmail.com</t>
  </si>
  <si>
    <t>@313/-</t>
  </si>
  <si>
    <t>price high, party not interested.</t>
  </si>
  <si>
    <t>C2014530</t>
  </si>
  <si>
    <t>Sabir Alli</t>
  </si>
  <si>
    <t>allisabir786@gmail.com</t>
  </si>
  <si>
    <t>C2014529</t>
  </si>
  <si>
    <t>Rapha L Poly Clinic</t>
  </si>
  <si>
    <t>Darjeling</t>
  </si>
  <si>
    <t>C2014528</t>
  </si>
  <si>
    <t>Shibani Salt Enterprise</t>
  </si>
  <si>
    <t>Sodium Sillicate Powder</t>
  </si>
  <si>
    <t>ssen.pradip@gmail.com</t>
  </si>
  <si>
    <t>Naihati - 743166</t>
  </si>
  <si>
    <t>C2014527</t>
  </si>
  <si>
    <t>Shambar Sengupta</t>
  </si>
  <si>
    <t>Carbon Black N-330</t>
  </si>
  <si>
    <t>senguptashambar@gmail.com</t>
  </si>
  <si>
    <t>Barasat - 743248</t>
  </si>
  <si>
    <t>C2014526</t>
  </si>
  <si>
    <t>D S Food Product</t>
  </si>
  <si>
    <t xml:space="preserve"> santosh198714@gmail.com</t>
  </si>
  <si>
    <t>Hooghly - 712222</t>
  </si>
  <si>
    <t>Party Require Only Lion Brand.</t>
  </si>
  <si>
    <t>C2014525</t>
  </si>
  <si>
    <t>rk1778025348@gmail.com</t>
  </si>
  <si>
    <t>04.02.2022</t>
  </si>
  <si>
    <t>C2014524</t>
  </si>
  <si>
    <t>Balaji Gases</t>
  </si>
  <si>
    <t>dalmianaresh@gmail.com</t>
  </si>
  <si>
    <t>Begusarai - 851101</t>
  </si>
  <si>
    <t>9431251110/ 9199204128</t>
  </si>
  <si>
    <t xml:space="preserve">@170/- </t>
  </si>
  <si>
    <t>Price high..</t>
  </si>
  <si>
    <t>C2014523</t>
  </si>
  <si>
    <t>Abdul Shahil Ahmed</t>
  </si>
  <si>
    <t xml:space="preserve"> abdulshahilahmed@gmail.com</t>
  </si>
  <si>
    <t>@168/-</t>
  </si>
  <si>
    <t>C2014522</t>
  </si>
  <si>
    <t>AVM Sales Corporation</t>
  </si>
  <si>
    <t xml:space="preserve"> avmslsharma@gmail.com</t>
  </si>
  <si>
    <t>Kolkata - 700053</t>
  </si>
  <si>
    <t>C2014521</t>
  </si>
  <si>
    <t>GYPMART INDIA PVT LTD</t>
  </si>
  <si>
    <t>Kolkata - 700017</t>
  </si>
  <si>
    <t>C2014520</t>
  </si>
  <si>
    <t>Ananda Paul</t>
  </si>
  <si>
    <t xml:space="preserve"> anandapaul0015@gmail.com</t>
  </si>
  <si>
    <t>Chakdaha</t>
  </si>
  <si>
    <t>Customer told to call on 12th Feb</t>
  </si>
  <si>
    <t>C2014519</t>
  </si>
  <si>
    <t>Indrajit</t>
  </si>
  <si>
    <t xml:space="preserve"> singhindrajit575@gmail.com</t>
  </si>
  <si>
    <t>Howrah - 711101</t>
  </si>
  <si>
    <t>Target Price 4.50/-Kg(s)</t>
  </si>
  <si>
    <t>C2014518</t>
  </si>
  <si>
    <t>Amit Kumar Sanpui</t>
  </si>
  <si>
    <t>Floor Cleaner Oil</t>
  </si>
  <si>
    <t>300 Ltr</t>
  </si>
  <si>
    <t>Ranjit Paul</t>
  </si>
  <si>
    <t xml:space="preserve"> ranjitpaul70001@gmail.com</t>
  </si>
  <si>
    <t>Raiganj - 733143</t>
  </si>
  <si>
    <t>Phone Switched Off.</t>
  </si>
  <si>
    <t>C2014517</t>
  </si>
  <si>
    <t>Kitabul Sk</t>
  </si>
  <si>
    <t xml:space="preserve"> kitabulsk85@gmail.com</t>
  </si>
  <si>
    <t>03.02.2022</t>
  </si>
  <si>
    <t>C2014516</t>
  </si>
  <si>
    <t>SA Enterprises &amp; Sons</t>
  </si>
  <si>
    <t>sohailakhtar081@gmail.com</t>
  </si>
  <si>
    <t xml:space="preserve">Biswajit    </t>
  </si>
  <si>
    <t>C2014515</t>
  </si>
  <si>
    <t>Bengal Agro Industries</t>
  </si>
  <si>
    <t>bengalagroservices@gmail.com</t>
  </si>
  <si>
    <t>Kolkata - 713130</t>
  </si>
  <si>
    <t>9932528262, 9153700700</t>
  </si>
  <si>
    <t>C2014514</t>
  </si>
  <si>
    <t>Anukum Engineering Private Limited</t>
  </si>
  <si>
    <t xml:space="preserve"> helpva589@gmail.com</t>
  </si>
  <si>
    <t>Parrty Target Price 1.60/-Kg(s)</t>
  </si>
  <si>
    <t>02.02.2022</t>
  </si>
  <si>
    <t>P086</t>
  </si>
  <si>
    <t>Maneesh Enterprise</t>
  </si>
  <si>
    <t>btainani@gmail.com</t>
  </si>
  <si>
    <t>5.50/-</t>
  </si>
  <si>
    <t>C2014513</t>
  </si>
  <si>
    <t>Honesty Chemicals</t>
  </si>
  <si>
    <t>Sodium Metasillicate</t>
  </si>
  <si>
    <t xml:space="preserve"> cchandan.953@gmail.com</t>
  </si>
  <si>
    <t>Kolkata - 700054</t>
  </si>
  <si>
    <t>C2014512</t>
  </si>
  <si>
    <t>Gaurab</t>
  </si>
  <si>
    <t>binay.kumar@tajhotels.com</t>
  </si>
  <si>
    <t>C2014511</t>
  </si>
  <si>
    <t>Chemie Alliance India Private Limited</t>
  </si>
  <si>
    <t>arvind.agarwal@chemiealliance.com</t>
  </si>
  <si>
    <t>Mumbai - 400069</t>
  </si>
  <si>
    <t>01.02.2022</t>
  </si>
  <si>
    <t>C2014510</t>
  </si>
  <si>
    <t>Manav Biochem Impex Private Limited</t>
  </si>
  <si>
    <t xml:space="preserve"> Sodium Aluminate</t>
  </si>
  <si>
    <t xml:space="preserve"> info@manavchem.com</t>
  </si>
  <si>
    <t>Mumbai - 400080</t>
  </si>
  <si>
    <t>P085</t>
  </si>
  <si>
    <t>Jse Infotech Pvt Ltd.</t>
  </si>
  <si>
    <t>bgcl.bnr@gmail.com</t>
  </si>
  <si>
    <t>5.30/-Kg(s)</t>
  </si>
  <si>
    <t>C2014509</t>
  </si>
  <si>
    <t>SUMIT</t>
  </si>
  <si>
    <t xml:space="preserve"> ghoshsumit639@gmail.com</t>
  </si>
  <si>
    <t>Ph. Switch off.</t>
  </si>
  <si>
    <t>C2014508</t>
  </si>
  <si>
    <t>Rohit</t>
  </si>
  <si>
    <t>rohitrk.rkr9@gmail.com</t>
  </si>
  <si>
    <t>Gaya- Bihar</t>
  </si>
  <si>
    <t>Party target price @4000/- per ton.</t>
  </si>
  <si>
    <t>C2014507</t>
  </si>
  <si>
    <t>Ganesh Traders</t>
  </si>
  <si>
    <t>LLP</t>
  </si>
  <si>
    <t>shawmanish12345@gmail.com</t>
  </si>
  <si>
    <t>Dumdum</t>
  </si>
  <si>
    <t>31.01.2022</t>
  </si>
  <si>
    <t>C2014506</t>
  </si>
  <si>
    <t>MARIYAGOLD FASHION JEWELLERY</t>
  </si>
  <si>
    <t>Nitric Acid, Sulphuric Acid, HCL</t>
  </si>
  <si>
    <t>2000+1000+2000</t>
  </si>
  <si>
    <t xml:space="preserve"> mariyagold2000@gmail.com</t>
  </si>
  <si>
    <t>P084</t>
  </si>
  <si>
    <t>Kppminfra Industrial &amp; Engineering Pvt Ltd</t>
  </si>
  <si>
    <t>kpiiepl.office@gmail.com</t>
  </si>
  <si>
    <t>7.50/-Kg(s)</t>
  </si>
  <si>
    <t>C2014505</t>
  </si>
  <si>
    <t>Durga Bhandar</t>
  </si>
  <si>
    <t>bhadrakushal1@gmail.com</t>
  </si>
  <si>
    <t>Not required.</t>
  </si>
  <si>
    <t>C2014504</t>
  </si>
  <si>
    <t>Ajay Kumar</t>
  </si>
  <si>
    <t>C2014503</t>
  </si>
  <si>
    <t>Hindustan Agro Chemicals</t>
  </si>
  <si>
    <t xml:space="preserve"> hindustanagroinput@gmail.com</t>
  </si>
  <si>
    <t xml:space="preserve"> Kolkata - 743272</t>
  </si>
  <si>
    <t>Rate quote send.</t>
  </si>
  <si>
    <t>C2014502</t>
  </si>
  <si>
    <t>Sukanta Chowdhury</t>
  </si>
  <si>
    <t xml:space="preserve"> balcoindia@gmail.com</t>
  </si>
  <si>
    <t>@12.50/-</t>
  </si>
  <si>
    <t>Party target price@5/-</t>
  </si>
  <si>
    <t>C2014501</t>
  </si>
  <si>
    <t>C2014500</t>
  </si>
  <si>
    <t>Satish Kirana Store</t>
  </si>
  <si>
    <t>Ferric Alum Fitkari</t>
  </si>
  <si>
    <t xml:space="preserve"> randhirkumarbba@gmail.com</t>
  </si>
  <si>
    <t>Vaishali, Bihar</t>
  </si>
  <si>
    <t>C2014499</t>
  </si>
  <si>
    <t>Suresh Kukreja</t>
  </si>
  <si>
    <t>29.01.2022</t>
  </si>
  <si>
    <t>C2014498</t>
  </si>
  <si>
    <t>Sonu Enterprise</t>
  </si>
  <si>
    <t xml:space="preserve"> arup_atri@yahoo.co.in</t>
  </si>
  <si>
    <t>C2014497</t>
  </si>
  <si>
    <t>S. M. J. Eximt Limited</t>
  </si>
  <si>
    <t>arunbhutoria@gmail.com</t>
  </si>
  <si>
    <t>C2014496</t>
  </si>
  <si>
    <t>Afcons Infrastructure Limited</t>
  </si>
  <si>
    <t>c.p.pandey@afcons.com</t>
  </si>
  <si>
    <t>Khopoli, Maharashtra</t>
  </si>
  <si>
    <t>P083</t>
  </si>
  <si>
    <t>ISSR Enterprise Pvt Ltd.</t>
  </si>
  <si>
    <t>Quaternary Ammonium Based Biocides 50%</t>
  </si>
  <si>
    <t>Kolkata-700074</t>
  </si>
  <si>
    <t>Rust Removing Purpose</t>
  </si>
  <si>
    <t>250/-Ltr(s)</t>
  </si>
  <si>
    <t>C2014495</t>
  </si>
  <si>
    <t>Sudama Enterprises</t>
  </si>
  <si>
    <t>manojkumargupta3644@gmail.com</t>
  </si>
  <si>
    <t>C2014494</t>
  </si>
  <si>
    <t>Ranjit</t>
  </si>
  <si>
    <t>Khidirpur</t>
  </si>
  <si>
    <t>C2014493</t>
  </si>
  <si>
    <t>Rashmi metalliks</t>
  </si>
  <si>
    <t>basudeb80@gmail.com</t>
  </si>
  <si>
    <t>@124/-</t>
  </si>
  <si>
    <t>28.01.2022</t>
  </si>
  <si>
    <t>C2014492</t>
  </si>
  <si>
    <t>3M INDIA LTD</t>
  </si>
  <si>
    <t>Lime Stone Lumps</t>
  </si>
  <si>
    <t>samagato@gmail.com</t>
  </si>
  <si>
    <t>C2014491</t>
  </si>
  <si>
    <t>Teya Enterprises</t>
  </si>
  <si>
    <t>White Phenyl</t>
  </si>
  <si>
    <t xml:space="preserve"> teyapaul55@gmail.com</t>
  </si>
  <si>
    <t>Rubi- Kolkata</t>
  </si>
  <si>
    <t>C2014490</t>
  </si>
  <si>
    <t>M.K.Trading Company</t>
  </si>
  <si>
    <t>maheshlohiya0809@gmail.com</t>
  </si>
  <si>
    <t>27.01.2022</t>
  </si>
  <si>
    <t>C2014489</t>
  </si>
  <si>
    <t>Sonal Agarwal</t>
  </si>
  <si>
    <t xml:space="preserve"> sonalagarwal@4339@gmail.com</t>
  </si>
  <si>
    <t>C2014488</t>
  </si>
  <si>
    <t>Greenland Agro Industries</t>
  </si>
  <si>
    <t xml:space="preserve"> deepankar19872012@gmail.com</t>
  </si>
  <si>
    <t>Party Target Price 4.20/-Kg(s)</t>
  </si>
  <si>
    <t>C2014487</t>
  </si>
  <si>
    <t>Jyotsna Enterprise</t>
  </si>
  <si>
    <t xml:space="preserve"> dhrupradip@gmail.com</t>
  </si>
  <si>
    <t>Kolkata - 700061</t>
  </si>
  <si>
    <t>@35/-</t>
  </si>
  <si>
    <t>Already Quoted.</t>
  </si>
  <si>
    <t>C2014486</t>
  </si>
  <si>
    <t>GTZ (INDIA) PRIVATE LIMITED</t>
  </si>
  <si>
    <t>mukherjee.p.debasis@gtzworld.com</t>
  </si>
  <si>
    <t>Party rec. @65/- per kg.</t>
  </si>
  <si>
    <t>C2014485</t>
  </si>
  <si>
    <t>Angana Roy</t>
  </si>
  <si>
    <t>angana.pro@brainwareuniversity.ac.in</t>
  </si>
  <si>
    <t>C2014484</t>
  </si>
  <si>
    <t>Aryan Chemicals</t>
  </si>
  <si>
    <t>ayub26048@gmail.com</t>
  </si>
  <si>
    <t>C2014483</t>
  </si>
  <si>
    <t>2MM HYGIENE PRODUCT PVT LTD</t>
  </si>
  <si>
    <t>manishsrivastav024@gmail.com</t>
  </si>
  <si>
    <t>48/-Kg(s)</t>
  </si>
  <si>
    <t>C2014482</t>
  </si>
  <si>
    <t xml:space="preserve"> shawmanish12345@gmail.com</t>
  </si>
  <si>
    <t>73/-Ltr(s)</t>
  </si>
  <si>
    <t>C2014481</t>
  </si>
  <si>
    <t>HPL Limited Industry</t>
  </si>
  <si>
    <t xml:space="preserve"> eminfra123@gmail.com</t>
  </si>
  <si>
    <t>C2014480</t>
  </si>
  <si>
    <t>paras03@rediffmail.com</t>
  </si>
  <si>
    <t>Burdhman</t>
  </si>
  <si>
    <t>C2014479</t>
  </si>
  <si>
    <t>sai enterprice</t>
  </si>
  <si>
    <t>smplrc@gmail.com</t>
  </si>
  <si>
    <t>Raniganj- West Bengal</t>
  </si>
  <si>
    <t>19/-Kg(s)</t>
  </si>
  <si>
    <t>C2014478</t>
  </si>
  <si>
    <t>ABDUL TRADERS</t>
  </si>
  <si>
    <t xml:space="preserve"> arubquraishi@gmail.com</t>
  </si>
  <si>
    <t>25.01.2022</t>
  </si>
  <si>
    <t>C2014477</t>
  </si>
  <si>
    <t>Sambhu Charan Barman</t>
  </si>
  <si>
    <t xml:space="preserve"> aclpbajkul@gmail.com</t>
  </si>
  <si>
    <t>Tamluk</t>
  </si>
  <si>
    <t>Switched Off.</t>
  </si>
  <si>
    <t>C20144476</t>
  </si>
  <si>
    <t>Mahadev Enterprises</t>
  </si>
  <si>
    <t xml:space="preserve"> saheab@gmail.com</t>
  </si>
  <si>
    <t>C2014475</t>
  </si>
  <si>
    <t>Prosenjit</t>
  </si>
  <si>
    <t>Maltodextrine</t>
  </si>
  <si>
    <t xml:space="preserve"> cprosenjit00@gmail.com</t>
  </si>
  <si>
    <t>Call Him Later.</t>
  </si>
  <si>
    <t>C2014474</t>
  </si>
  <si>
    <t>Usha Udyog</t>
  </si>
  <si>
    <t>Poly Aluminium Chloride</t>
  </si>
  <si>
    <t xml:space="preserve"> srikantk100@gmail.com</t>
  </si>
  <si>
    <t>C2014473</t>
  </si>
  <si>
    <t>Praveen Restaurant</t>
  </si>
  <si>
    <t xml:space="preserve"> mukeshyadav797075@gmail.com</t>
  </si>
  <si>
    <t>24.01.2022</t>
  </si>
  <si>
    <t>C2014472</t>
  </si>
  <si>
    <t>Praveen Malhan</t>
  </si>
  <si>
    <t>aumagencyslg@gmail.com</t>
  </si>
  <si>
    <t>Siliguri - 734425</t>
  </si>
  <si>
    <t>C2014471</t>
  </si>
  <si>
    <t>SR Enterprises</t>
  </si>
  <si>
    <t>sumit.cft@gmail.com</t>
  </si>
  <si>
    <t>Patna - 800018</t>
  </si>
  <si>
    <t>P082</t>
  </si>
  <si>
    <t>S M Fluid Engineering Pvt Ltd.</t>
  </si>
  <si>
    <t>TSP</t>
  </si>
  <si>
    <t>purchase@smfluidengineering.in</t>
  </si>
  <si>
    <t>Kolkata-712247</t>
  </si>
  <si>
    <t>38/-Kg(s)</t>
  </si>
  <si>
    <t>P.I Send And Order Confirmed.</t>
  </si>
  <si>
    <t>C2014470</t>
  </si>
  <si>
    <t>Jai Amby Coaling</t>
  </si>
  <si>
    <t xml:space="preserve"> chhotu111197@gmail.com</t>
  </si>
  <si>
    <t>Patna - 800020</t>
  </si>
  <si>
    <t>C2014469</t>
  </si>
  <si>
    <t>Hydro Carbons And Chemicals</t>
  </si>
  <si>
    <t xml:space="preserve"> dipankarbanerjee1967@gmail.com</t>
  </si>
  <si>
    <t>22.01.2022</t>
  </si>
  <si>
    <t>C2014468</t>
  </si>
  <si>
    <t>Dolphin Engineering Works</t>
  </si>
  <si>
    <t>Barium Carbonate</t>
  </si>
  <si>
    <t xml:space="preserve"> abhishek048@gmail.com</t>
  </si>
  <si>
    <t>Chirkunda - 828203, Jharkhand</t>
  </si>
  <si>
    <t>C2014467</t>
  </si>
  <si>
    <t>Laxmi Mata Distributors</t>
  </si>
  <si>
    <t xml:space="preserve"> laxmimata.distributors@gmail.com</t>
  </si>
  <si>
    <t>C2014466</t>
  </si>
  <si>
    <t>M S Manufacturer</t>
  </si>
  <si>
    <t>Calcium Carbonate</t>
  </si>
  <si>
    <t>rajudhali77@gmail.com</t>
  </si>
  <si>
    <t>21.01.2022</t>
  </si>
  <si>
    <t>C2014465</t>
  </si>
  <si>
    <t>Roy enterprise</t>
  </si>
  <si>
    <t>roysubhadeep47@gmail.com</t>
  </si>
  <si>
    <t>C2014464</t>
  </si>
  <si>
    <t>Pre Well Color Tech Trishucem</t>
  </si>
  <si>
    <t>Sodium Bi Carbonate, Soda Ash</t>
  </si>
  <si>
    <t>1000+1000</t>
  </si>
  <si>
    <t xml:space="preserve"> sanyasinayak@gmail.com</t>
  </si>
  <si>
    <t>Berhampur - 760006</t>
  </si>
  <si>
    <t>@53/-  @47/-</t>
  </si>
  <si>
    <t>send price, &amp; product list.</t>
  </si>
  <si>
    <t>C2014463</t>
  </si>
  <si>
    <t>Mazdun</t>
  </si>
  <si>
    <t>C2014462</t>
  </si>
  <si>
    <t>Adhunik Enterprises</t>
  </si>
  <si>
    <t xml:space="preserve"> associated1980@yahoo.com</t>
  </si>
  <si>
    <t>Old party, send quotation.</t>
  </si>
  <si>
    <t>20.01.2022</t>
  </si>
  <si>
    <t>C2014461</t>
  </si>
  <si>
    <t>Painia Carbite Private Ltd.</t>
  </si>
  <si>
    <t xml:space="preserve"> Perlite Ore</t>
  </si>
  <si>
    <t>pranoy.dt10@gmail.com</t>
  </si>
  <si>
    <t>C2014460</t>
  </si>
  <si>
    <t>Maruti Nandan Enterprises</t>
  </si>
  <si>
    <t>Sodium Hypochorite</t>
  </si>
  <si>
    <t>msicons2018@gmail.com</t>
  </si>
  <si>
    <t>@18/-</t>
  </si>
  <si>
    <t>Not interested.(require IOCL approved.)</t>
  </si>
  <si>
    <t>C2014459</t>
  </si>
  <si>
    <t>M/S. D &amp; P SERVICES</t>
  </si>
  <si>
    <t xml:space="preserve"> drupesandpomes@gmail.com</t>
  </si>
  <si>
    <t>Kolkata - 700034</t>
  </si>
  <si>
    <t>9874642648/8777712821</t>
  </si>
  <si>
    <t>Require -60-300 mesh for E-poxy paint.</t>
  </si>
  <si>
    <t>19.01.2022</t>
  </si>
  <si>
    <t>C2014458</t>
  </si>
  <si>
    <t>Ghosh Supply Corporation</t>
  </si>
  <si>
    <t xml:space="preserve"> kousik28031960@gmail.com</t>
  </si>
  <si>
    <t>Kolkata - 743144</t>
  </si>
  <si>
    <t>@56/-(Bangladesh)</t>
  </si>
  <si>
    <t>C2014457</t>
  </si>
  <si>
    <t>Vishwash Innovations</t>
  </si>
  <si>
    <t>Wood Charcoal, Bentonite</t>
  </si>
  <si>
    <t>sales@biswasinnovations.in</t>
  </si>
  <si>
    <t>Bentonite powder - 1 kg. require.</t>
  </si>
  <si>
    <t>C2014456</t>
  </si>
  <si>
    <t>Charles Tennant &amp; Company</t>
  </si>
  <si>
    <t>Hydro Flouric Acid (49%)</t>
  </si>
  <si>
    <t xml:space="preserve"> thirunagarisuresh@gmail.com</t>
  </si>
  <si>
    <t>Visakhapatnam</t>
  </si>
  <si>
    <t>C2014455</t>
  </si>
  <si>
    <t>Rajeev Verma</t>
  </si>
  <si>
    <t>Sodium Bi carbonate</t>
  </si>
  <si>
    <t>deepikaverma144@gmail.com</t>
  </si>
  <si>
    <t>C2014454</t>
  </si>
  <si>
    <t>Pradip Kr. Bhadury</t>
  </si>
  <si>
    <t>SoapStone Powder</t>
  </si>
  <si>
    <t xml:space="preserve"> pkmb.1952@gmail.com</t>
  </si>
  <si>
    <t>Sainthia, West Bengal</t>
  </si>
  <si>
    <t>18.01.2022</t>
  </si>
  <si>
    <t>C2014453</t>
  </si>
  <si>
    <t>Nitesh Kumar Yadav</t>
  </si>
  <si>
    <t>niteshkumaryadav264@gmail.com</t>
  </si>
  <si>
    <t>C2014452</t>
  </si>
  <si>
    <t>Bajaj Industries Private Limited</t>
  </si>
  <si>
    <t>Sodium Silico Flouride</t>
  </si>
  <si>
    <t>skb@bajajindia.net</t>
  </si>
  <si>
    <t>North 24 Parganas - 700006</t>
  </si>
  <si>
    <t>@96/-</t>
  </si>
  <si>
    <t>C2014451</t>
  </si>
  <si>
    <t>17.01.2022</t>
  </si>
  <si>
    <t>P081</t>
  </si>
  <si>
    <t>Ma Kalyaneswari Refractories</t>
  </si>
  <si>
    <t>Manganese Dioxide Powder,Red Oxide Powder</t>
  </si>
  <si>
    <t>Each 500 kg</t>
  </si>
  <si>
    <t>sparshlosalka@gmail.com</t>
  </si>
  <si>
    <t>Paschim Bardhaman</t>
  </si>
  <si>
    <t>61/-,20/-Kg(s)</t>
  </si>
  <si>
    <t>Order Confirmed Payment Received.</t>
  </si>
  <si>
    <t>P080</t>
  </si>
  <si>
    <t>Bestluck Chemicals And Traders</t>
  </si>
  <si>
    <t>bestluckchems@gmail.com</t>
  </si>
  <si>
    <t>Surendranagar-363020</t>
  </si>
  <si>
    <t>12/-Kg(s)</t>
  </si>
  <si>
    <t>C2014450</t>
  </si>
  <si>
    <t>Bengal Drugs And Pharmaceutical</t>
  </si>
  <si>
    <t>Sodium Bi Carbonate (Food)</t>
  </si>
  <si>
    <t xml:space="preserve"> arindamdas061075@gmail.com</t>
  </si>
  <si>
    <t>50/-Kg(s)</t>
  </si>
  <si>
    <t>Rate Quoted But Not Interested.</t>
  </si>
  <si>
    <t>C2014449</t>
  </si>
  <si>
    <t>Govind Exports International</t>
  </si>
  <si>
    <t>C2014448</t>
  </si>
  <si>
    <t>S Mukherjee</t>
  </si>
  <si>
    <t>smukherjee.bju@gmail.com</t>
  </si>
  <si>
    <t>C2014447</t>
  </si>
  <si>
    <t>Yd Paper Craft Private Limited</t>
  </si>
  <si>
    <t>ydpapercraftpvtltd@gmail.com</t>
  </si>
  <si>
    <t>C2014446</t>
  </si>
  <si>
    <t>Aslam Mohammad</t>
  </si>
  <si>
    <t>Araria, Bihar</t>
  </si>
  <si>
    <t>C2014445</t>
  </si>
  <si>
    <t>Sanjeev rocky</t>
  </si>
  <si>
    <t>C2014444</t>
  </si>
  <si>
    <t>Manesh Kumar</t>
  </si>
  <si>
    <t>gulabchandraroy9831@gmail.com</t>
  </si>
  <si>
    <t>C2014443</t>
  </si>
  <si>
    <t>Dignity Geomatics Technology Private Limited</t>
  </si>
  <si>
    <t xml:space="preserve"> ybhuyan@gmail.com</t>
  </si>
  <si>
    <t>Baleshwar - 756023</t>
  </si>
  <si>
    <t>15.01.2022</t>
  </si>
  <si>
    <t>C2014442</t>
  </si>
  <si>
    <t>Jawaid Rahman</t>
  </si>
  <si>
    <t>mdjabaidurrahamanrahaman2653@gmail.com</t>
  </si>
  <si>
    <t>C2014441</t>
  </si>
  <si>
    <t>Anant Chemical Agency</t>
  </si>
  <si>
    <t xml:space="preserve"> riku333990@gmail.com</t>
  </si>
  <si>
    <t>C2014440</t>
  </si>
  <si>
    <t>OLEOCHEM LTD</t>
  </si>
  <si>
    <t>Rice Bran Wax</t>
  </si>
  <si>
    <t>sales@nirmalaenterprises.com</t>
  </si>
  <si>
    <t>C2014439</t>
  </si>
  <si>
    <t>Aptech Corporation</t>
  </si>
  <si>
    <t>salim_sk56@yahoo.com</t>
  </si>
  <si>
    <t>Uses for earthing.</t>
  </si>
  <si>
    <t>14.01.2022</t>
  </si>
  <si>
    <t>C2014438</t>
  </si>
  <si>
    <t>Dipak Kumar Naha</t>
  </si>
  <si>
    <t>Fluorspar Briquettes</t>
  </si>
  <si>
    <t>dipaknaha1950@yahoo.co.in</t>
  </si>
  <si>
    <t>Uttarpara Kotrung</t>
  </si>
  <si>
    <t>@28/- &amp; @72/-</t>
  </si>
  <si>
    <t>13.01.2022</t>
  </si>
  <si>
    <t>C2014437</t>
  </si>
  <si>
    <t>Mahabub agro agency</t>
  </si>
  <si>
    <t xml:space="preserve"> sakuwathussain@gmail.com</t>
  </si>
  <si>
    <t>@10.50/-</t>
  </si>
  <si>
    <t>require small pac size(5kg/10kg.)</t>
  </si>
  <si>
    <t>C2014436</t>
  </si>
  <si>
    <t>Tirupati Adhesive &amp; Chemicals</t>
  </si>
  <si>
    <t xml:space="preserve"> tirupatiadhesivenchemicals@gmail.com</t>
  </si>
  <si>
    <t>Cuttack- Odisha</t>
  </si>
  <si>
    <t>Target price@5.20/- per kg.</t>
  </si>
  <si>
    <t>C2014435</t>
  </si>
  <si>
    <t>Nikhil</t>
  </si>
  <si>
    <t>nikhiljha9sep@gmail.com</t>
  </si>
  <si>
    <t>C2014434</t>
  </si>
  <si>
    <t>Krishna Mineral Industries</t>
  </si>
  <si>
    <t>sarveshkedia2000@gmail.com</t>
  </si>
  <si>
    <t>Kolkata - 700002</t>
  </si>
  <si>
    <t>@10/-</t>
  </si>
  <si>
    <t>Rate and sample photocopy send.</t>
  </si>
  <si>
    <t>C2014433</t>
  </si>
  <si>
    <t>We Works Chem</t>
  </si>
  <si>
    <t>Light Calcined Magnesite Powder</t>
  </si>
  <si>
    <t>mohdmudassir200@gmail.com</t>
  </si>
  <si>
    <t>Kolkata - 700039</t>
  </si>
  <si>
    <t>C2014432</t>
  </si>
  <si>
    <t>Alok Sinha</t>
  </si>
  <si>
    <t>Sodium Sillicate</t>
  </si>
  <si>
    <t xml:space="preserve"> alokmechheaven@gmail.com</t>
  </si>
  <si>
    <t>12.01.2022</t>
  </si>
  <si>
    <t>C2014431</t>
  </si>
  <si>
    <t>Mousumi Das</t>
  </si>
  <si>
    <t xml:space="preserve"> dmousumi2205@gmail.com</t>
  </si>
  <si>
    <t>C2014430</t>
  </si>
  <si>
    <t>Modern Agro Engineering</t>
  </si>
  <si>
    <t xml:space="preserve">Zinc Chloride   </t>
  </si>
  <si>
    <t xml:space="preserve"> ranjitbindhani79@gmail.com</t>
  </si>
  <si>
    <t>Balasore, Odisha</t>
  </si>
  <si>
    <t>Party reseller, order not confirmed.</t>
  </si>
  <si>
    <t>C2014429</t>
  </si>
  <si>
    <t>Roy agrovets pvt.ltd</t>
  </si>
  <si>
    <t xml:space="preserve"> premendrahalder4@gmail.com</t>
  </si>
  <si>
    <t>Baduria, West Bengal</t>
  </si>
  <si>
    <t>C2014428</t>
  </si>
  <si>
    <t>Sudip Kr. Bhattacherjee</t>
  </si>
  <si>
    <t xml:space="preserve"> sudipbhattacherjee22@gmail.com</t>
  </si>
  <si>
    <t>11.01.2022</t>
  </si>
  <si>
    <t>C2014427</t>
  </si>
  <si>
    <t>Rashmi SALES</t>
  </si>
  <si>
    <t xml:space="preserve"> panda76rasmi@gmail.com</t>
  </si>
  <si>
    <t>Jajpur - 755025, Odisha</t>
  </si>
  <si>
    <t>9937956761, 9776988485</t>
  </si>
  <si>
    <t>10.01.2022</t>
  </si>
  <si>
    <t>C2014426</t>
  </si>
  <si>
    <t>Shirshendu Gayen</t>
  </si>
  <si>
    <t xml:space="preserve"> shirshendu491@gmail.com</t>
  </si>
  <si>
    <t>C2014425</t>
  </si>
  <si>
    <t>Manan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</si>
  <si>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</si>
  <si>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C2014424</t>
  </si>
  <si>
    <t>Sairam Pvt Ltd</t>
  </si>
  <si>
    <t>amreshu8867@gmail.com</t>
  </si>
  <si>
    <t>Balasore</t>
  </si>
  <si>
    <t>8/-Kg(s)</t>
  </si>
  <si>
    <t>Party Target Price 1.75/-Kg(s)</t>
  </si>
  <si>
    <t>C2014423</t>
  </si>
  <si>
    <t>Vishal Mittle</t>
  </si>
  <si>
    <t>Ammonia Powder (Food)</t>
  </si>
  <si>
    <t xml:space="preserve"> vishalstone143@gmail.com</t>
  </si>
  <si>
    <t>C2014422</t>
  </si>
  <si>
    <t>Raju Dhali</t>
  </si>
  <si>
    <t xml:space="preserve"> rajudhali77@gmail.com</t>
  </si>
  <si>
    <t>C2014421</t>
  </si>
  <si>
    <t>C2014420</t>
  </si>
  <si>
    <t>Debasis das</t>
  </si>
  <si>
    <t>Calcium Oxide</t>
  </si>
  <si>
    <t>das.mtpl@gmail.com</t>
  </si>
  <si>
    <t>08.01.2022</t>
  </si>
  <si>
    <t>C2014419</t>
  </si>
  <si>
    <t xml:space="preserve"> amitbarman903@gmail.com</t>
  </si>
  <si>
    <t>Require only Babule wood charcoal.</t>
  </si>
  <si>
    <t>08.02.2021</t>
  </si>
  <si>
    <t>C2014418</t>
  </si>
  <si>
    <t>Arup</t>
  </si>
  <si>
    <t>Silica Sand (12/24)</t>
  </si>
  <si>
    <t xml:space="preserve"> ncparupdigpati@gmail.com</t>
  </si>
  <si>
    <t>Party purchase from manufactore.</t>
  </si>
  <si>
    <t>C2014417</t>
  </si>
  <si>
    <t>Om narayan traders</t>
  </si>
  <si>
    <t>Muzaffarpur- Bihar</t>
  </si>
  <si>
    <t>C2014416</t>
  </si>
  <si>
    <t>M/s Suvendu Sekhar Sahoo</t>
  </si>
  <si>
    <t xml:space="preserve"> sahoosuvendusekhar@gmail.com</t>
  </si>
  <si>
    <t>Jagatsinghapur - 754141, Odisha</t>
  </si>
  <si>
    <t>06.01.2022</t>
  </si>
  <si>
    <t>C2014415</t>
  </si>
  <si>
    <t>Ajay Yadav</t>
  </si>
  <si>
    <t xml:space="preserve"> yajay070@gmail.com</t>
  </si>
  <si>
    <t>Siwan- Bihar</t>
  </si>
  <si>
    <t>C2014414</t>
  </si>
  <si>
    <t>B Thermoclast Aqua Company</t>
  </si>
  <si>
    <t>prasantabiswas@gmail.com</t>
  </si>
  <si>
    <t>C2014413</t>
  </si>
  <si>
    <t xml:space="preserve"> jitconstruction@hotmail.com</t>
  </si>
  <si>
    <t>24 Parganas - 700101</t>
  </si>
  <si>
    <t>Party target price@3.5/- per kg.</t>
  </si>
  <si>
    <t>C2014412</t>
  </si>
  <si>
    <t>CHANDAN</t>
  </si>
  <si>
    <t>05.01.2022</t>
  </si>
  <si>
    <t>C2014411</t>
  </si>
  <si>
    <t>SRN Detergent Enterprise</t>
  </si>
  <si>
    <t>samsulmcs95@gmail.com</t>
  </si>
  <si>
    <t>Khardah</t>
  </si>
  <si>
    <t>04.01.2022</t>
  </si>
  <si>
    <t>C2014410</t>
  </si>
  <si>
    <t>S.M.Trade Inernational</t>
  </si>
  <si>
    <t>Sodium Cumene Sulfonate</t>
  </si>
  <si>
    <t xml:space="preserve"> udoybagchi@gmail.com</t>
  </si>
  <si>
    <t>Domjur</t>
  </si>
  <si>
    <t>@93/-</t>
  </si>
  <si>
    <t>Quotation send,but order not confirmed.</t>
  </si>
  <si>
    <t>C2014409</t>
  </si>
  <si>
    <t>Deshna</t>
  </si>
  <si>
    <t>Aluminium Sulphate Anhydrous</t>
  </si>
  <si>
    <t xml:space="preserve"> deshna.baid2002@gmail.com</t>
  </si>
  <si>
    <t>C2014408</t>
  </si>
  <si>
    <t xml:space="preserve"> riakizzen@gmail.com</t>
  </si>
  <si>
    <t>Material Photo copy send,reply shortly.</t>
  </si>
  <si>
    <t>C2014407</t>
  </si>
  <si>
    <t>Nilima Das</t>
  </si>
  <si>
    <t xml:space="preserve"> nilimaz643@gmail.com</t>
  </si>
  <si>
    <t>BIswajit</t>
  </si>
  <si>
    <t>require Iren impoted..</t>
  </si>
  <si>
    <t>03.01.2022</t>
  </si>
  <si>
    <t>C2014406</t>
  </si>
  <si>
    <t xml:space="preserve">Bikram Sikdar </t>
  </si>
  <si>
    <t xml:space="preserve"> bikramsikdar542@gmail.com</t>
  </si>
  <si>
    <t>sample require.</t>
  </si>
  <si>
    <t>C2014405</t>
  </si>
  <si>
    <t>Organic Agro Farms</t>
  </si>
  <si>
    <t xml:space="preserve"> gdas2253@gmail.com</t>
  </si>
  <si>
    <t>@9.50/-</t>
  </si>
  <si>
    <t>01.01.2022</t>
  </si>
  <si>
    <t>C2014404</t>
  </si>
  <si>
    <t>Sitapur Aquatic</t>
  </si>
  <si>
    <t>Zeolite Granuels</t>
  </si>
  <si>
    <t>milankishorepradhan@gmaigmail.com</t>
  </si>
  <si>
    <t>Order not not confirmed.</t>
  </si>
  <si>
    <t>31.12.2021</t>
  </si>
  <si>
    <t>C2014403</t>
  </si>
  <si>
    <t>Suvajit</t>
  </si>
  <si>
    <t>arijitdas1655@gmail.com</t>
  </si>
  <si>
    <t>C2014402</t>
  </si>
  <si>
    <t>D R Enterprise</t>
  </si>
  <si>
    <t>dpkgupta75@gmail.com</t>
  </si>
  <si>
    <t>Party confirmed next week.</t>
  </si>
  <si>
    <t>C2014401</t>
  </si>
  <si>
    <t>Priyank Dharod</t>
  </si>
  <si>
    <t xml:space="preserve"> priyankdharod555@gmail.com</t>
  </si>
  <si>
    <t>Kutch - 370425</t>
  </si>
  <si>
    <t>C2014400</t>
  </si>
  <si>
    <t xml:space="preserve"> msanjoy392@gmail.com</t>
  </si>
  <si>
    <t>Hoogly</t>
  </si>
  <si>
    <t>30.12.2021</t>
  </si>
  <si>
    <t>C2014399</t>
  </si>
  <si>
    <t>Balaji Traders</t>
  </si>
  <si>
    <t>balaji.sunilgupta2009@gmail.com</t>
  </si>
  <si>
    <t>713303, Asansol</t>
  </si>
  <si>
    <t>C2014398</t>
  </si>
  <si>
    <t>FARHAN</t>
  </si>
  <si>
    <t xml:space="preserve"> farhan007089@gmail.com</t>
  </si>
  <si>
    <t>C2014397</t>
  </si>
  <si>
    <t>arup_atri@yahoo.co.in</t>
  </si>
  <si>
    <t>Party require local brand.</t>
  </si>
  <si>
    <t>C2014396</t>
  </si>
  <si>
    <t>Jangloos Chandak Creation Pvt. Ltd</t>
  </si>
  <si>
    <t>Ball Clay</t>
  </si>
  <si>
    <t xml:space="preserve"> narendrachandak@gmail.com</t>
  </si>
  <si>
    <t>29.12.2021</t>
  </si>
  <si>
    <t>C2014395</t>
  </si>
  <si>
    <t>Somnath Sinhamahaptra</t>
  </si>
  <si>
    <t>sinhampatra@gmail.com</t>
  </si>
  <si>
    <t>C2014394</t>
  </si>
  <si>
    <t>Lovely Enterprises</t>
  </si>
  <si>
    <t>Detergent Raw Material</t>
  </si>
  <si>
    <t xml:space="preserve"> nandibiswajit340@gmail.com</t>
  </si>
  <si>
    <t>28.12.2021</t>
  </si>
  <si>
    <t>C2014393</t>
  </si>
  <si>
    <t>Subho Das</t>
  </si>
  <si>
    <t xml:space="preserve"> subho9565@gmail.com</t>
  </si>
  <si>
    <t>require 100kg.@28/-</t>
  </si>
  <si>
    <t>C2014392</t>
  </si>
  <si>
    <t>Sujit Kumar Shaw</t>
  </si>
  <si>
    <t xml:space="preserve"> sujitkumarshaw207@gmail.com</t>
  </si>
  <si>
    <t>@38/-</t>
  </si>
  <si>
    <t>Biswaji</t>
  </si>
  <si>
    <t>Target price @35/- per kg.</t>
  </si>
  <si>
    <t>C2014391</t>
  </si>
  <si>
    <t>A.v. Traders</t>
  </si>
  <si>
    <t>Carboxymethyl Cellulose</t>
  </si>
  <si>
    <t xml:space="preserve"> jtaviation.animesh@gmail.com</t>
  </si>
  <si>
    <t>C2014390</t>
  </si>
  <si>
    <t>Eagle Enterprises</t>
  </si>
  <si>
    <t xml:space="preserve">Perlite Ore   </t>
  </si>
  <si>
    <t xml:space="preserve"> mahenderrikhraj@gmail.com</t>
  </si>
  <si>
    <t>Sakchi, Jamshedpur</t>
  </si>
  <si>
    <t>9431301084, 9334391584</t>
  </si>
  <si>
    <t>@20.50/-</t>
  </si>
  <si>
    <t>27.12.2021</t>
  </si>
  <si>
    <t>C2014389</t>
  </si>
  <si>
    <t>Mohammed Akram Hossain</t>
  </si>
  <si>
    <t>Glycerin (imported)</t>
  </si>
  <si>
    <t>bichitraenterprise786@gmail.com</t>
  </si>
  <si>
    <t>Baharampur - 742135</t>
  </si>
  <si>
    <t>Require Orient comp. material</t>
  </si>
  <si>
    <t>C2014388</t>
  </si>
  <si>
    <t>Apurba Mallik</t>
  </si>
  <si>
    <t>Sodium Aluminate</t>
  </si>
  <si>
    <t xml:space="preserve"> mallik.apurba@gmail.com</t>
  </si>
  <si>
    <t>C2014387</t>
  </si>
  <si>
    <t>Subrata mondal</t>
  </si>
  <si>
    <t xml:space="preserve"> subratamondal43111@gmail.com</t>
  </si>
  <si>
    <t>Party sample collect our godawan.</t>
  </si>
  <si>
    <t>C2014386</t>
  </si>
  <si>
    <t>Trilok Sharma</t>
  </si>
  <si>
    <t>Graphite Granuels</t>
  </si>
  <si>
    <t>triloksharma1624@gmail.com</t>
  </si>
  <si>
    <t>He is trader needs specification first</t>
  </si>
  <si>
    <t>24.12.2021</t>
  </si>
  <si>
    <t>C2014385</t>
  </si>
  <si>
    <t>Nafish</t>
  </si>
  <si>
    <t>C2014384</t>
  </si>
  <si>
    <t>Lactic Acid</t>
  </si>
  <si>
    <t>deshna.baid2002@gmail.com</t>
  </si>
  <si>
    <t>23.12.2021</t>
  </si>
  <si>
    <t>Siva Koteswararao</t>
  </si>
  <si>
    <t>Hydrated Lime</t>
  </si>
  <si>
    <t xml:space="preserve"> purchasewbwml@ramky.com</t>
  </si>
  <si>
    <t>Debasish Mukherjee</t>
  </si>
  <si>
    <t>debasishmukherjee7575@gmail.com</t>
  </si>
  <si>
    <t>M Tece Interprise</t>
  </si>
  <si>
    <t>manabendramaity123@gmail.com</t>
  </si>
  <si>
    <t>SR Industrial Solutions</t>
  </si>
  <si>
    <t>srindustrialjsr@gmail.com</t>
  </si>
  <si>
    <t xml:space="preserve">Ferric cristal alum require. </t>
  </si>
  <si>
    <t>22.12.2021</t>
  </si>
  <si>
    <t>P079</t>
  </si>
  <si>
    <t>Dipak Chowdhury</t>
  </si>
  <si>
    <t>Kolkata-700148</t>
  </si>
  <si>
    <t>Mohammad Taj</t>
  </si>
  <si>
    <t xml:space="preserve"> mdtaj0707@gmail.com</t>
  </si>
  <si>
    <t>Sayantan Chowdhury</t>
  </si>
  <si>
    <t>sayantanc9@gmail.com</t>
  </si>
  <si>
    <t>Same Customer  PO79.</t>
  </si>
  <si>
    <t>Ever Bright Chemical</t>
  </si>
  <si>
    <t>Flux 475 Calcium Fluoride</t>
  </si>
  <si>
    <t xml:space="preserve"> tc008besu@gmail.com</t>
  </si>
  <si>
    <t>calling After one hour.</t>
  </si>
  <si>
    <t>21.12.2021</t>
  </si>
  <si>
    <t>Real Enterprise Interior Decoration</t>
  </si>
  <si>
    <t xml:space="preserve"> dandapatswapan75@gmail.com</t>
  </si>
  <si>
    <t>Amta- Howrah</t>
  </si>
  <si>
    <t>He is Trader.</t>
  </si>
  <si>
    <t>He want To Sale</t>
  </si>
  <si>
    <t>20.12.2021</t>
  </si>
  <si>
    <t>Ramiya Milk Powder Industries</t>
  </si>
  <si>
    <t>Soap Noodles</t>
  </si>
  <si>
    <t>rameshkumar9955015@gmail.com</t>
  </si>
  <si>
    <t>Samastipur- Bihar</t>
  </si>
  <si>
    <t>Kashinath Acharya</t>
  </si>
  <si>
    <t xml:space="preserve"> acharyakashinath@gmail.com</t>
  </si>
  <si>
    <t>Kooch Bihar</t>
  </si>
  <si>
    <t>Party target price @8/- per kg.</t>
  </si>
  <si>
    <t>Arun Supply Agency</t>
  </si>
  <si>
    <t xml:space="preserve"> goelarun987@gmail.com</t>
  </si>
  <si>
    <t>Manish Electricals</t>
  </si>
  <si>
    <t xml:space="preserve"> manishelectricals21@gmail.com</t>
  </si>
  <si>
    <t>Chhatisgarh</t>
  </si>
  <si>
    <t>Call Not Connected.</t>
  </si>
  <si>
    <t>S.sarkar Sarkar</t>
  </si>
  <si>
    <t xml:space="preserve"> sarkar.snehasis6@gmail.com</t>
  </si>
  <si>
    <t>SWAPAN BISWAS</t>
  </si>
  <si>
    <t>Dicalcium Phosphate</t>
  </si>
  <si>
    <t xml:space="preserve"> swapan.biswas.hhi@gmail.com</t>
  </si>
  <si>
    <t>M Dhara &amp; Brothers</t>
  </si>
  <si>
    <t>mdb_sada@yahoo.co.in</t>
  </si>
  <si>
    <t>PROSEN JIT MITRA</t>
  </si>
  <si>
    <t xml:space="preserve"> prosenjitmitra5@gmail.com</t>
  </si>
  <si>
    <t>Sahidul Alom</t>
  </si>
  <si>
    <t xml:space="preserve"> sahidulalom09@gmail.com</t>
  </si>
  <si>
    <t>om udyog</t>
  </si>
  <si>
    <t xml:space="preserve"> rajujana169@gmail.com</t>
  </si>
  <si>
    <t>18.12.2021</t>
  </si>
  <si>
    <t>C2014365</t>
  </si>
  <si>
    <t xml:space="preserve"> agarwaldeepak619@gmail.com</t>
  </si>
  <si>
    <t>Chas</t>
  </si>
  <si>
    <t>17.12.2021</t>
  </si>
  <si>
    <t>C2014364</t>
  </si>
  <si>
    <t xml:space="preserve">  Enterprise Private Limited</t>
  </si>
  <si>
    <t>hossain.najir1992@gmail.com</t>
  </si>
  <si>
    <t>Labhpur - 731201</t>
  </si>
  <si>
    <t>@128/-</t>
  </si>
  <si>
    <t>C2014363</t>
  </si>
  <si>
    <t>goelarun987@gmail.com</t>
  </si>
  <si>
    <t>Material not available our side.</t>
  </si>
  <si>
    <t>P078</t>
  </si>
  <si>
    <t>Engronirmal Chemicals Pvt Ltd.</t>
  </si>
  <si>
    <t>Budge Budge</t>
  </si>
  <si>
    <t>PI Send and Payment Received.</t>
  </si>
  <si>
    <t>C2014362</t>
  </si>
  <si>
    <t>Abr Marble</t>
  </si>
  <si>
    <t>Hydrated Lime Lumps</t>
  </si>
  <si>
    <t>amitava1111@gmail.com</t>
  </si>
  <si>
    <t>P077</t>
  </si>
  <si>
    <t>Kalptaru Enterprise</t>
  </si>
  <si>
    <t>Andaman-744101</t>
  </si>
  <si>
    <t>16.12.2021</t>
  </si>
  <si>
    <t>C2014361</t>
  </si>
  <si>
    <t>Kunti Organics</t>
  </si>
  <si>
    <t>kuntiorganics@gmail.com</t>
  </si>
  <si>
    <t>Jamshedpur - 831001</t>
  </si>
  <si>
    <t>P076</t>
  </si>
  <si>
    <t>Gourav Colour Industries</t>
  </si>
  <si>
    <t>debdutta1975@gmail.com</t>
  </si>
  <si>
    <t>8.50/-Kg(s)</t>
  </si>
  <si>
    <t>15.12.2021</t>
  </si>
  <si>
    <t>P075</t>
  </si>
  <si>
    <t>Next Level Project Private Limited</t>
  </si>
  <si>
    <t>pe@nextleveltrenchless.com</t>
  </si>
  <si>
    <t>Cooch Bihar</t>
  </si>
  <si>
    <t>5.50/-Kg(s)</t>
  </si>
  <si>
    <t>C2014360</t>
  </si>
  <si>
    <t>Md Taimur Alam</t>
  </si>
  <si>
    <t>khanpurmadrasah98703@gmail.com</t>
  </si>
  <si>
    <t>14.12.2021</t>
  </si>
  <si>
    <t>C2014359</t>
  </si>
  <si>
    <t>Shubham Logistic</t>
  </si>
  <si>
    <t>subham.logistic1819@gmail.com</t>
  </si>
  <si>
    <t>Durgapur - 713213</t>
  </si>
  <si>
    <t>P074</t>
  </si>
  <si>
    <t>Triumphant Industries</t>
  </si>
  <si>
    <t xml:space="preserve">Limestone Powder  </t>
  </si>
  <si>
    <t>triumphantindustries@gmail.com</t>
  </si>
  <si>
    <t>Kolkata-700128</t>
  </si>
  <si>
    <t>8017886711/ 9874558863</t>
  </si>
  <si>
    <t>C2014358</t>
  </si>
  <si>
    <t>Maa Jagadhatri Sea Foods</t>
  </si>
  <si>
    <t xml:space="preserve"> subham.bardhan95@gmail.com</t>
  </si>
  <si>
    <t>C2014357</t>
  </si>
  <si>
    <t>Aanbi Enterprises</t>
  </si>
  <si>
    <t>13.12.2021</t>
  </si>
  <si>
    <t>C2014356</t>
  </si>
  <si>
    <t>Indian Carbon Ltd</t>
  </si>
  <si>
    <t xml:space="preserve"> bivash.group@gmail.com</t>
  </si>
  <si>
    <t>C2014355</t>
  </si>
  <si>
    <t>anik plaster</t>
  </si>
  <si>
    <t>anikplaster13@gmail.com</t>
  </si>
  <si>
    <t>C2014354</t>
  </si>
  <si>
    <t>Shahid</t>
  </si>
  <si>
    <t xml:space="preserve"> sahidmondal1987@gmail.com</t>
  </si>
  <si>
    <t>39/-Kg(s)</t>
  </si>
  <si>
    <t>P073</t>
  </si>
  <si>
    <t>Mukherjee Enterprise</t>
  </si>
  <si>
    <t>Calcium Chloride Powder,Zinc Stearate</t>
  </si>
  <si>
    <t>PI Send And Advance Payment Received.</t>
  </si>
  <si>
    <t>C2014353</t>
  </si>
  <si>
    <t>Mp Traders</t>
  </si>
  <si>
    <t>Party require - 3mt.reply shortly.</t>
  </si>
  <si>
    <t>C2014352</t>
  </si>
  <si>
    <t>Raj Entreprises</t>
  </si>
  <si>
    <t>Birbhum</t>
  </si>
  <si>
    <t>Pura white require.</t>
  </si>
  <si>
    <t>C2014351</t>
  </si>
  <si>
    <t>Vijay Kumar</t>
  </si>
  <si>
    <t xml:space="preserve"> vhembram38@gmail.com</t>
  </si>
  <si>
    <t>C2014350</t>
  </si>
  <si>
    <t>GENERAL LEATHER GOODS</t>
  </si>
  <si>
    <t>Magnesium Oxide, Sodium Sulphide</t>
  </si>
  <si>
    <t xml:space="preserve"> mdammad73@gmail.com</t>
  </si>
  <si>
    <t>11.12.2021</t>
  </si>
  <si>
    <t>C2014349</t>
  </si>
  <si>
    <t>Sadidul Alam</t>
  </si>
  <si>
    <t xml:space="preserve"> sadidulalam8@gmail.com</t>
  </si>
  <si>
    <t>C2014348</t>
  </si>
  <si>
    <t>Harendra Kumar Shaw</t>
  </si>
  <si>
    <t xml:space="preserve"> harendrakumarshaw@gmail.com</t>
  </si>
  <si>
    <t>C2014347</t>
  </si>
  <si>
    <t>Chillax Events And Promotions</t>
  </si>
  <si>
    <t xml:space="preserve"> shubhachillax@gmail.com</t>
  </si>
  <si>
    <t>C2014346</t>
  </si>
  <si>
    <t>Harish Industries</t>
  </si>
  <si>
    <t xml:space="preserve"> arrowindia@gmail.com</t>
  </si>
  <si>
    <t>Q @45+ .as per discussion</t>
  </si>
  <si>
    <t>10.12.2021</t>
  </si>
  <si>
    <t>C2014345</t>
  </si>
  <si>
    <t>Vishesh Enterprise</t>
  </si>
  <si>
    <t xml:space="preserve"> anupam00786@gmail.com</t>
  </si>
  <si>
    <t>P072</t>
  </si>
  <si>
    <t>Sona Enterprise</t>
  </si>
  <si>
    <t>Aluminium Silicate</t>
  </si>
  <si>
    <t>Kolkata-700004</t>
  </si>
  <si>
    <t>C2014344</t>
  </si>
  <si>
    <t>Jagannath Group</t>
  </si>
  <si>
    <t xml:space="preserve"> jagannathnm25@gmail.com</t>
  </si>
  <si>
    <t>Balangir - 767001</t>
  </si>
  <si>
    <t>C2014343</t>
  </si>
  <si>
    <t>Gayatri Enterprise</t>
  </si>
  <si>
    <t xml:space="preserve"> gayatriwax@gmail.com</t>
  </si>
  <si>
    <t>Mumbai - 400086</t>
  </si>
  <si>
    <t>Rate given @45+</t>
  </si>
  <si>
    <t>C2014342</t>
  </si>
  <si>
    <t>AS Enterprises</t>
  </si>
  <si>
    <t>motiurabd@gmail.com</t>
  </si>
  <si>
    <t>09.12.2021</t>
  </si>
  <si>
    <t>C2014341</t>
  </si>
  <si>
    <t>Manjeet Singh</t>
  </si>
  <si>
    <t>ashoksingh122252@gmail.com</t>
  </si>
  <si>
    <t>No Response.</t>
  </si>
  <si>
    <t>C2014340</t>
  </si>
  <si>
    <t>Asianol Biotech Private Limited</t>
  </si>
  <si>
    <t>nayoks@asianol.com</t>
  </si>
  <si>
    <t>C2014339</t>
  </si>
  <si>
    <t>FEYNMAN TECHNOLOGY SERVICES</t>
  </si>
  <si>
    <t>Yellow Dextrine</t>
  </si>
  <si>
    <t>samareshry@gmail.com</t>
  </si>
  <si>
    <t>08.12.2021</t>
  </si>
  <si>
    <t>C2014338</t>
  </si>
  <si>
    <t>Noha Gypsum</t>
  </si>
  <si>
    <t>C2014337</t>
  </si>
  <si>
    <t>Sahil</t>
  </si>
  <si>
    <t>Bihar, Danapur</t>
  </si>
  <si>
    <t>C2014336</t>
  </si>
  <si>
    <t>PS Traders</t>
  </si>
  <si>
    <t>sujitchakraborty4321@gmail.com</t>
  </si>
  <si>
    <t>272K</t>
  </si>
  <si>
    <t>Alraedy Visited Our Office And Sample Collected.</t>
  </si>
  <si>
    <t>07.12.2021</t>
  </si>
  <si>
    <t>C2014335</t>
  </si>
  <si>
    <t>R K Traders</t>
  </si>
  <si>
    <t>White Alumina Powder</t>
  </si>
  <si>
    <t>rahuldeidanka@gmail.com</t>
  </si>
  <si>
    <t>C2014334</t>
  </si>
  <si>
    <t>Sangram</t>
  </si>
  <si>
    <t xml:space="preserve"> sangramkaran@hotmail.com</t>
  </si>
  <si>
    <t>Party Target Price 5/-Kg(s)</t>
  </si>
  <si>
    <t>06.12.2021</t>
  </si>
  <si>
    <t>C2014333</t>
  </si>
  <si>
    <t>Brearm</t>
  </si>
  <si>
    <t>nb44216@gmail.com</t>
  </si>
  <si>
    <t>Guwahati,</t>
  </si>
  <si>
    <t>C2014332</t>
  </si>
  <si>
    <t>Anisha Decorations</t>
  </si>
  <si>
    <t>Chandkuri-721467</t>
  </si>
  <si>
    <t>Order Confirmed.Payment Done.</t>
  </si>
  <si>
    <t>C2014331</t>
  </si>
  <si>
    <t>Jiarul</t>
  </si>
  <si>
    <t>ziarulhq321@gmail.com</t>
  </si>
  <si>
    <t>16/-Kg(s)</t>
  </si>
  <si>
    <t>C2014330</t>
  </si>
  <si>
    <t>Jangloos Chandak Pvt Ltd.</t>
  </si>
  <si>
    <t>narendrachandak@gmail.com</t>
  </si>
  <si>
    <t>9831794818/ 6296459747</t>
  </si>
  <si>
    <t>6.80/-kgs.</t>
  </si>
  <si>
    <t>Party target price @2800/- per ton.</t>
  </si>
  <si>
    <t>C2014329</t>
  </si>
  <si>
    <t>MD ASLAM</t>
  </si>
  <si>
    <t>require impoted (irene)-8.50/- per kg.</t>
  </si>
  <si>
    <t>C2014328</t>
  </si>
  <si>
    <t>Amrul Enterprises</t>
  </si>
  <si>
    <t>jignadyechem@gmail.com</t>
  </si>
  <si>
    <t>Mumbai-400 080</t>
  </si>
  <si>
    <t>9324701561/ 9820064764</t>
  </si>
  <si>
    <t>04.12.2021</t>
  </si>
  <si>
    <t>C2014327</t>
  </si>
  <si>
    <t>Shaine Traders</t>
  </si>
  <si>
    <t>Ethylene Absorber</t>
  </si>
  <si>
    <t>50000 P</t>
  </si>
  <si>
    <t xml:space="preserve"> zameersk2007@gmail.com</t>
  </si>
  <si>
    <t>Thane - 400601</t>
  </si>
  <si>
    <t>03.12.2021</t>
  </si>
  <si>
    <t>C2014326</t>
  </si>
  <si>
    <t>Patanjali Kisan Seva Kendra</t>
  </si>
  <si>
    <t xml:space="preserve"> dhananjaychourasia1992@gmail.com</t>
  </si>
  <si>
    <t>Jaleswar</t>
  </si>
  <si>
    <t>C2014325</t>
  </si>
  <si>
    <t>Prabir Sarkar</t>
  </si>
  <si>
    <t>sarkarenterprise@live.com</t>
  </si>
  <si>
    <t>C2014324</t>
  </si>
  <si>
    <t>Mrs ND Panseria</t>
  </si>
  <si>
    <t xml:space="preserve"> jignesh0341@gmail.com</t>
  </si>
  <si>
    <t>02.12.2021</t>
  </si>
  <si>
    <t>C2014323</t>
  </si>
  <si>
    <t>Star Trade</t>
  </si>
  <si>
    <t>startrade21@gmail.com</t>
  </si>
  <si>
    <t>Kolkata - 700007</t>
  </si>
  <si>
    <t>C2014322</t>
  </si>
  <si>
    <t>Ms Dilip Kumar</t>
  </si>
  <si>
    <t xml:space="preserve"> purchase.ghcpl@gmail.com/  purchase@godawariharsh.com</t>
  </si>
  <si>
    <t>5.50/-,7/-Kg(s)</t>
  </si>
  <si>
    <t>268K</t>
  </si>
  <si>
    <t>C2014321</t>
  </si>
  <si>
    <t>Bharat Rubber</t>
  </si>
  <si>
    <t>srinibaschatterjee@gmail.com</t>
  </si>
  <si>
    <t>01.12.2021</t>
  </si>
  <si>
    <t>C2014320</t>
  </si>
  <si>
    <t>Ashim Saha</t>
  </si>
  <si>
    <t>ashim.saha@gmail.com</t>
  </si>
  <si>
    <t>C2014319</t>
  </si>
  <si>
    <t>Md Aquil Nasim</t>
  </si>
  <si>
    <t>Tuitanium Di Oxide</t>
  </si>
  <si>
    <t xml:space="preserve"> mdaquilnasim@gmail.com</t>
  </si>
  <si>
    <t>C2014318</t>
  </si>
  <si>
    <t>Yash Fibro Products</t>
  </si>
  <si>
    <t xml:space="preserve"> yashfibro02@gmail.com</t>
  </si>
  <si>
    <t>44/-Kg(s)</t>
  </si>
  <si>
    <t>Rate High..Party Target Price 27.50/-Kg(s)</t>
  </si>
  <si>
    <t>30.11.2021</t>
  </si>
  <si>
    <t>C2014317</t>
  </si>
  <si>
    <t>Sudheep Das</t>
  </si>
  <si>
    <t xml:space="preserve"> krishibharti@rediffmail.com</t>
  </si>
  <si>
    <t>P.I. send.</t>
  </si>
  <si>
    <t>Invoice create.&amp; payment received.</t>
  </si>
  <si>
    <t>29.11.2021</t>
  </si>
  <si>
    <t>C2014316</t>
  </si>
  <si>
    <t>@126/-</t>
  </si>
  <si>
    <t>first time uses, require sample.</t>
  </si>
  <si>
    <t>C2014315</t>
  </si>
  <si>
    <t xml:space="preserve"> somnathjmt99@gmail.com</t>
  </si>
  <si>
    <t>C2014314</t>
  </si>
  <si>
    <t>jarvis industries</t>
  </si>
  <si>
    <t xml:space="preserve"> jarvisindustries007@gmail.com</t>
  </si>
  <si>
    <t>Rate High,Party Target Price 18/-Kg(s)</t>
  </si>
  <si>
    <t>C2014313</t>
  </si>
  <si>
    <t>Henry</t>
  </si>
  <si>
    <t xml:space="preserve"> zomushrooms06@gmail.com</t>
  </si>
  <si>
    <t xml:space="preserve"> Mizoram</t>
  </si>
  <si>
    <t>require - only 300kg.</t>
  </si>
  <si>
    <t>C2014312</t>
  </si>
  <si>
    <t>Gopal Bhandar</t>
  </si>
  <si>
    <t>rkr504768@gmail.com</t>
  </si>
  <si>
    <t>C2014311</t>
  </si>
  <si>
    <t>SM Enterprises</t>
  </si>
  <si>
    <t>sekhhafijul6738@gmail.com</t>
  </si>
  <si>
    <t>Party collect the sample from our office.</t>
  </si>
  <si>
    <t>C2014310</t>
  </si>
  <si>
    <t>Nabadwip</t>
  </si>
  <si>
    <t>C2014309</t>
  </si>
  <si>
    <t>Rakibul Islam</t>
  </si>
  <si>
    <t xml:space="preserve"> islamrakiibul0@gmail.com</t>
  </si>
  <si>
    <t>C2014308</t>
  </si>
  <si>
    <t>MD Samim Akhtar</t>
  </si>
  <si>
    <t xml:space="preserve"> ss15854@gmail.com</t>
  </si>
  <si>
    <t>Malda - 732207</t>
  </si>
  <si>
    <t xml:space="preserve">not interested </t>
  </si>
  <si>
    <t>27.11.2021</t>
  </si>
  <si>
    <t>C2014307</t>
  </si>
  <si>
    <t>Priyatosh Biswas</t>
  </si>
  <si>
    <t>HCl, Nitric Acid, Sulphuric Acid</t>
  </si>
  <si>
    <t>1000+1500+1500</t>
  </si>
  <si>
    <t>C2014306</t>
  </si>
  <si>
    <t>Bangal Traders(Sushanta paul)</t>
  </si>
  <si>
    <t xml:space="preserve"> susanta.paul100@gmail.com</t>
  </si>
  <si>
    <t>No Requirement Now.Not Aware About Product.</t>
  </si>
  <si>
    <t>C2014305</t>
  </si>
  <si>
    <t>M/s Gouri Traders</t>
  </si>
  <si>
    <t xml:space="preserve"> gouritraders.balasore@gmail.com</t>
  </si>
  <si>
    <t>Benapool</t>
  </si>
  <si>
    <t>require for wallputty.</t>
  </si>
  <si>
    <t>26.11.2021</t>
  </si>
  <si>
    <t>C2014304</t>
  </si>
  <si>
    <t>Joy Electricals</t>
  </si>
  <si>
    <t>Zeolite</t>
  </si>
  <si>
    <t>ersusnath@gmail.com</t>
  </si>
  <si>
    <t>C2014303</t>
  </si>
  <si>
    <t>Maha Kali &amp; Co.</t>
  </si>
  <si>
    <t xml:space="preserve"> Lime Lump</t>
  </si>
  <si>
    <t>shankar_shw@rediffmail.com</t>
  </si>
  <si>
    <t>P071</t>
  </si>
  <si>
    <t>Vplay Woodsquare</t>
  </si>
  <si>
    <t>C2014302</t>
  </si>
  <si>
    <t>Manot Colour Chem</t>
  </si>
  <si>
    <t>Titanium Dioxide Rutile</t>
  </si>
  <si>
    <t>motimanot@gmail.com</t>
  </si>
  <si>
    <t>Repeated cont. party not  responce.</t>
  </si>
  <si>
    <t>C2014301</t>
  </si>
  <si>
    <t>West Bengal Chemicals Industries Ltd.</t>
  </si>
  <si>
    <t>Malic Acid</t>
  </si>
  <si>
    <t>purchase@wbcil.com</t>
  </si>
  <si>
    <t>@328/-</t>
  </si>
  <si>
    <t>Quotation received - @250/- per kg.</t>
  </si>
  <si>
    <t>C2014300</t>
  </si>
  <si>
    <t>Krishna Chemicals</t>
  </si>
  <si>
    <t>Light Soda Ash</t>
  </si>
  <si>
    <t>krishangchemicals@gmail.com</t>
  </si>
  <si>
    <t>Vadodara-22</t>
  </si>
  <si>
    <t>25.11.2021</t>
  </si>
  <si>
    <t>P070</t>
  </si>
  <si>
    <t>Zexcorp Services Pvt Ltd.</t>
  </si>
  <si>
    <t>Non Ferric Alum,Molasses</t>
  </si>
  <si>
    <t>accounts@zexcorp.com</t>
  </si>
  <si>
    <t>Kolkata-700065</t>
  </si>
  <si>
    <t>C2014299</t>
  </si>
  <si>
    <t>Rifat Agrosent Opc Pvt Ltd.</t>
  </si>
  <si>
    <t>Mineral Turpentine Oil</t>
  </si>
  <si>
    <t>saddamhussain115555@gmail.com</t>
  </si>
  <si>
    <t>Islampur</t>
  </si>
  <si>
    <t xml:space="preserve"> require solvent mixture uses to Diesel oil.</t>
  </si>
  <si>
    <t>C2014298</t>
  </si>
  <si>
    <t>Vivan Industries</t>
  </si>
  <si>
    <t>sales@vivanindustries.in</t>
  </si>
  <si>
    <t>Ankleshwar - 393 002</t>
  </si>
  <si>
    <t>8155066066/ 9824158241</t>
  </si>
  <si>
    <t>24.11.2021</t>
  </si>
  <si>
    <t>C2014297</t>
  </si>
  <si>
    <t>Techno Chem Traders</t>
  </si>
  <si>
    <t>Sodium Metasilicate</t>
  </si>
  <si>
    <t>technochemtraders@ymail.com</t>
  </si>
  <si>
    <t xml:space="preserve">@28/- </t>
  </si>
  <si>
    <t>C2014296</t>
  </si>
  <si>
    <t>Sunil Kumar Singh</t>
  </si>
  <si>
    <t>Sodium Chloride Powder</t>
  </si>
  <si>
    <t>info@maxion.in</t>
  </si>
  <si>
    <t>C2014295</t>
  </si>
  <si>
    <t>Krishna Feed Centre</t>
  </si>
  <si>
    <t>karganes9@gmail.com</t>
  </si>
  <si>
    <t>Midnapore - 712403</t>
  </si>
  <si>
    <t>C2014294</t>
  </si>
  <si>
    <t>Brilliant Seagull Pvt Ltd.</t>
  </si>
  <si>
    <t>Alcohol Ethoxylates</t>
  </si>
  <si>
    <t>kashinath2811989@gmail.com</t>
  </si>
  <si>
    <t>Kudal - 416516</t>
  </si>
  <si>
    <t>C2014293</t>
  </si>
  <si>
    <t>A.C.Shah &amp; Co.</t>
  </si>
  <si>
    <t>shahvarun126@gmail .com</t>
  </si>
  <si>
    <t>Surat - 395006</t>
  </si>
  <si>
    <t>23.11.2021</t>
  </si>
  <si>
    <t>C2014292</t>
  </si>
  <si>
    <t>Harsh Chem</t>
  </si>
  <si>
    <t>Ammonium Carbonate</t>
  </si>
  <si>
    <t>harshchem@hotmail.com</t>
  </si>
  <si>
    <t>Vadodara</t>
  </si>
  <si>
    <t>&gt;Shortage of ammonium carbonate</t>
  </si>
  <si>
    <t>22.11.2021</t>
  </si>
  <si>
    <t>C2014291</t>
  </si>
  <si>
    <t>Vapi-396195</t>
  </si>
  <si>
    <t>9824788545/ 9426155952</t>
  </si>
  <si>
    <t>He is Trader</t>
  </si>
  <si>
    <t>C2014290</t>
  </si>
  <si>
    <t>Swattik Patra</t>
  </si>
  <si>
    <t>Quick Lime Powder</t>
  </si>
  <si>
    <t>swattikpatra1998@gmail.com</t>
  </si>
  <si>
    <t>Midnapore - 721155</t>
  </si>
  <si>
    <t>C2014289</t>
  </si>
  <si>
    <t>Fatma Intercraft</t>
  </si>
  <si>
    <t>Local purchase</t>
  </si>
  <si>
    <t>C2014288</t>
  </si>
  <si>
    <t>Ma Kali Swachh Bhandar</t>
  </si>
  <si>
    <t>duttasubha438@gmail.com</t>
  </si>
  <si>
    <t>Party sample require, use to sindur.</t>
  </si>
  <si>
    <t>20.11.2021</t>
  </si>
  <si>
    <t>C2014287</t>
  </si>
  <si>
    <t>avmslsharma@gmail.com</t>
  </si>
  <si>
    <t>C2014286</t>
  </si>
  <si>
    <t>Dikshit &amp; Co.</t>
  </si>
  <si>
    <t>White Lime Powder</t>
  </si>
  <si>
    <t>dikshitandco@gmail.com</t>
  </si>
  <si>
    <t>Ranchi - 834001</t>
  </si>
  <si>
    <t>7004588876/ 8102342266</t>
  </si>
  <si>
    <t>Purchase to direct manufactore.</t>
  </si>
  <si>
    <t>C2014285</t>
  </si>
  <si>
    <t>Pritam</t>
  </si>
  <si>
    <t>pritamkhalko15@gmail.com</t>
  </si>
  <si>
    <t>52/-Kg(s)</t>
  </si>
  <si>
    <t>target price@42/- per kg.</t>
  </si>
  <si>
    <t>C2014284</t>
  </si>
  <si>
    <t>Deep Enterprise</t>
  </si>
  <si>
    <t>debajit73@gmail.com</t>
  </si>
  <si>
    <t>Siliguri - 735135</t>
  </si>
  <si>
    <t>Dolomite@5.50/-</t>
  </si>
  <si>
    <t>C2014283</t>
  </si>
  <si>
    <t>Progressive Enterprise</t>
  </si>
  <si>
    <t>kdmdsaif@gmail.com</t>
  </si>
  <si>
    <t>Midnapore-721101</t>
  </si>
  <si>
    <t>size not available</t>
  </si>
  <si>
    <t>C2014282</t>
  </si>
  <si>
    <t>Debopriyo</t>
  </si>
  <si>
    <t>debopriyo@me.com</t>
  </si>
  <si>
    <t>FOR 24/-Kg(s)</t>
  </si>
  <si>
    <t>C2014281</t>
  </si>
  <si>
    <t>Ranvijay Kumar Yadav</t>
  </si>
  <si>
    <t>ranvijayyadav44@gmail.com</t>
  </si>
  <si>
    <t>C2014280</t>
  </si>
  <si>
    <t>Regnant Pharmas</t>
  </si>
  <si>
    <t>Propylene Glycol,IPA</t>
  </si>
  <si>
    <t>vinodp@regnantpharmas.com</t>
  </si>
  <si>
    <t>Hyderabad-500090</t>
  </si>
  <si>
    <t>19.11.2021</t>
  </si>
  <si>
    <t>P069</t>
  </si>
  <si>
    <t>Wood Charcoal (4-5 Inchs)</t>
  </si>
  <si>
    <t>theclaykitchen.sbp@gmail.com</t>
  </si>
  <si>
    <t>Sambalpur-768004</t>
  </si>
  <si>
    <t>Material Photocopy Send.Quoted.</t>
  </si>
  <si>
    <t>18.11.2021</t>
  </si>
  <si>
    <t>C2014279</t>
  </si>
  <si>
    <t>Supertechnicians Water Purifier Private Limited</t>
  </si>
  <si>
    <t>Calcium Carbide 50-80 mm</t>
  </si>
  <si>
    <t>info.supertechnicians@gmail.com</t>
  </si>
  <si>
    <t>C2014278</t>
  </si>
  <si>
    <t>Lotus Ameneties</t>
  </si>
  <si>
    <t>chaterjee.abhijit@gmail.com</t>
  </si>
  <si>
    <t>Call Him Tomorrow..</t>
  </si>
  <si>
    <t>C2014277</t>
  </si>
  <si>
    <t>Nikhat Private</t>
  </si>
  <si>
    <t>Hooghly - 712125</t>
  </si>
  <si>
    <t>C2014276</t>
  </si>
  <si>
    <t>Kandoi And Company</t>
  </si>
  <si>
    <t>kandoivkk@gmail.com</t>
  </si>
  <si>
    <t xml:space="preserve"> Kolkata - 700027</t>
  </si>
  <si>
    <t>C2014275</t>
  </si>
  <si>
    <t>Bilruva</t>
  </si>
  <si>
    <t>altamasmiraj@gmail.com</t>
  </si>
  <si>
    <t>Uttar Dnajpur</t>
  </si>
  <si>
    <t>@54/- pkg, Price high replied.</t>
  </si>
  <si>
    <t>17.11.2021</t>
  </si>
  <si>
    <t>C2014274</t>
  </si>
  <si>
    <t>Siddheswari Engineering</t>
  </si>
  <si>
    <t>s.engineers00@gmail.com</t>
  </si>
  <si>
    <t>C2014273</t>
  </si>
  <si>
    <t>Md</t>
  </si>
  <si>
    <t>Multani Mitti</t>
  </si>
  <si>
    <t>rawnakparvez099@gmail.com</t>
  </si>
  <si>
    <t>Beliaghata</t>
  </si>
  <si>
    <t>C2014272</t>
  </si>
  <si>
    <t>gd global</t>
  </si>
  <si>
    <t>Bees Wax</t>
  </si>
  <si>
    <t xml:space="preserve"> mallpratul2019@gmail.com</t>
  </si>
  <si>
    <t>C2014271</t>
  </si>
  <si>
    <t>Mbm Enterprise</t>
  </si>
  <si>
    <t xml:space="preserve"> chittaranjansarkar.78@gmail.com</t>
  </si>
  <si>
    <t>Kharagpur - 721145</t>
  </si>
  <si>
    <t>16.11.2021</t>
  </si>
  <si>
    <t>C2014270</t>
  </si>
  <si>
    <t>Rohan Parade</t>
  </si>
  <si>
    <t>1540 Pc</t>
  </si>
  <si>
    <t>paraderohan@gmail.com</t>
  </si>
  <si>
    <t>C2014269</t>
  </si>
  <si>
    <t>Omkar Patil</t>
  </si>
  <si>
    <t>Green Sand</t>
  </si>
  <si>
    <t>omkar.patil@acclimited.com</t>
  </si>
  <si>
    <t>Thane - 400705</t>
  </si>
  <si>
    <t>C2014268</t>
  </si>
  <si>
    <t>Jatin Mishra</t>
  </si>
  <si>
    <t>jatinmishra82.jm@gmail.com</t>
  </si>
  <si>
    <t>C2014267</t>
  </si>
  <si>
    <t>Kumar Trading Company</t>
  </si>
  <si>
    <t xml:space="preserve"> mk156269@gmail.com</t>
  </si>
  <si>
    <t>Ranchi - 835217</t>
  </si>
  <si>
    <t>C2014266</t>
  </si>
  <si>
    <t>Prasad Engineering Enterprise</t>
  </si>
  <si>
    <t>prasadengineeringenterprise@gmail.com</t>
  </si>
  <si>
    <t>8617676752/ 9126962825</t>
  </si>
  <si>
    <t>Quoted. But Rate High.</t>
  </si>
  <si>
    <t>C2014265</t>
  </si>
  <si>
    <t>PK</t>
  </si>
  <si>
    <t>preasnta_das20@yahoo.co.in</t>
  </si>
  <si>
    <t>C2014264</t>
  </si>
  <si>
    <t>Wow Cafe</t>
  </si>
  <si>
    <t>piklupatra3333@gmail.com</t>
  </si>
  <si>
    <t>Party Want To Purchase Material In Credit.</t>
  </si>
  <si>
    <t>C2014263</t>
  </si>
  <si>
    <t>Sisir Seth</t>
  </si>
  <si>
    <t xml:space="preserve"> sisirseth@gmail.com</t>
  </si>
  <si>
    <t>C2014262</t>
  </si>
  <si>
    <t>Abdur Rahim</t>
  </si>
  <si>
    <t xml:space="preserve"> www.a.r.stors786@gmail.com</t>
  </si>
  <si>
    <t>Party oder not confirmed.- 25/11.</t>
  </si>
  <si>
    <t>15.11.2021</t>
  </si>
  <si>
    <t>C2014261</t>
  </si>
  <si>
    <t>Anima Traders</t>
  </si>
  <si>
    <t xml:space="preserve"> debnath7183@gmail.com</t>
  </si>
  <si>
    <t>C2014260</t>
  </si>
  <si>
    <t>Vivekanand Basu</t>
  </si>
  <si>
    <t>sseworkskth@gmail.com</t>
  </si>
  <si>
    <t>Quotation and specification send.</t>
  </si>
  <si>
    <t>C2014259</t>
  </si>
  <si>
    <t>Jeevan Enterprises</t>
  </si>
  <si>
    <t>China Clay, Dolomite Powder</t>
  </si>
  <si>
    <t>25000+3000</t>
  </si>
  <si>
    <t xml:space="preserve"> unehaldia2018@gmail.com</t>
  </si>
  <si>
    <t>C2014258</t>
  </si>
  <si>
    <t>East India Chemical Company</t>
  </si>
  <si>
    <t>eastindiasanat4@gmail.com</t>
  </si>
  <si>
    <t>C2014257</t>
  </si>
  <si>
    <t>Rennie Chemical</t>
  </si>
  <si>
    <t>visramvmpl@gmail.com</t>
  </si>
  <si>
    <t>Purchasing @195+ .Also require acetic acid  rate given @115+</t>
  </si>
  <si>
    <t>C2014256</t>
  </si>
  <si>
    <t>Electropulse Pvt.Ltd</t>
  </si>
  <si>
    <t xml:space="preserve"> prithhdas@gmail.com</t>
  </si>
  <si>
    <t>three time calling , party ph. call not received.</t>
  </si>
  <si>
    <t>C2014255</t>
  </si>
  <si>
    <t>Rakesh gupta</t>
  </si>
  <si>
    <t xml:space="preserve"> rakeshguptaxi@gmail.com</t>
  </si>
  <si>
    <t>Low quality require,@10 - 12/- per kg.</t>
  </si>
  <si>
    <t>C2014254</t>
  </si>
  <si>
    <t>Reshab Choudhuri</t>
  </si>
  <si>
    <t>reshabchoudhuri@gmail.com</t>
  </si>
  <si>
    <t>Siliguri - 736182</t>
  </si>
  <si>
    <t>Quoted.Not Interested Because Party Requirement Urgent Basis</t>
  </si>
  <si>
    <t>C2014253</t>
  </si>
  <si>
    <t>C2014252</t>
  </si>
  <si>
    <t>SS Civil And Electrical Solution</t>
  </si>
  <si>
    <t>1000 Pcs</t>
  </si>
  <si>
    <t xml:space="preserve"> sscivilandelectricalsolution@gmail.com</t>
  </si>
  <si>
    <t>13.11.2021</t>
  </si>
  <si>
    <t>C2014251</t>
  </si>
  <si>
    <t>Zenik Monolithic</t>
  </si>
  <si>
    <t>Chromite Sand</t>
  </si>
  <si>
    <t xml:space="preserve"> mitraanupam05@gmail.com</t>
  </si>
  <si>
    <t>C2014250</t>
  </si>
  <si>
    <t>Suman Enterprises</t>
  </si>
  <si>
    <t xml:space="preserve">tarun.chandra.khanna@gmail.com
</t>
  </si>
  <si>
    <t>C2014249</t>
  </si>
  <si>
    <t>Akanksha</t>
  </si>
  <si>
    <t>C2014248</t>
  </si>
  <si>
    <t>Tridev Enterprise</t>
  </si>
  <si>
    <t>DHM Top</t>
  </si>
  <si>
    <t xml:space="preserve"> trideventerprise93@gmail.com</t>
  </si>
  <si>
    <t>C2014247</t>
  </si>
  <si>
    <t>Arvind Kumar</t>
  </si>
  <si>
    <t>arvindbccl01@gmail.com</t>
  </si>
  <si>
    <t>C2014246</t>
  </si>
  <si>
    <t xml:space="preserve"> Birendra Paints</t>
  </si>
  <si>
    <t>birendrapaints@gmail.com</t>
  </si>
  <si>
    <t>Kolkata - 700110</t>
  </si>
  <si>
    <t>12.11.2021</t>
  </si>
  <si>
    <t>C2014245</t>
  </si>
  <si>
    <t>Sharma Distributors</t>
  </si>
  <si>
    <t xml:space="preserve"> deepaksharmathekick@gmail.com</t>
  </si>
  <si>
    <t>Party Required 50ml Packing.Rate High.</t>
  </si>
  <si>
    <t>C2014244</t>
  </si>
  <si>
    <t>Dipty Hardware</t>
  </si>
  <si>
    <t xml:space="preserve"> dhirajkarmakar3@gmail.com</t>
  </si>
  <si>
    <t>Dubrajpur - 731123</t>
  </si>
  <si>
    <t>C2014243</t>
  </si>
  <si>
    <t>Swastika Online Shop</t>
  </si>
  <si>
    <t>senapatikartick7@gmail.com</t>
  </si>
  <si>
    <t>Midnapore - 721137</t>
  </si>
  <si>
    <t>C2014242</t>
  </si>
  <si>
    <t>Hotel Navanna</t>
  </si>
  <si>
    <t xml:space="preserve"> royswapnadip1990@gmail.com</t>
  </si>
  <si>
    <t>Nagpur - 440023</t>
  </si>
  <si>
    <t>C2014241</t>
  </si>
  <si>
    <t>Sayan False Ceiling Enterprises</t>
  </si>
  <si>
    <t>tapaskanthi2017@gmail.com</t>
  </si>
  <si>
    <t>Rate High. Target Price 8.50/-</t>
  </si>
  <si>
    <t>C2014240</t>
  </si>
  <si>
    <t>Usha Store</t>
  </si>
  <si>
    <t xml:space="preserve"> 300sahilkumar300@gmail.com</t>
  </si>
  <si>
    <t>C2014239</t>
  </si>
  <si>
    <t>Abs Enterprise</t>
  </si>
  <si>
    <t>info.absenterprise@gmail.com</t>
  </si>
  <si>
    <t>C2014238</t>
  </si>
  <si>
    <t>Rahul Enterprise</t>
  </si>
  <si>
    <t>unur17@gmail.com</t>
  </si>
  <si>
    <t>Ramkrishnapur South 24 Parganas</t>
  </si>
  <si>
    <t>11.11.2021</t>
  </si>
  <si>
    <t>C2014237</t>
  </si>
  <si>
    <t>Ranjit Kumar sahu</t>
  </si>
  <si>
    <t xml:space="preserve"> sibusahu4@gmail.com</t>
  </si>
  <si>
    <t>C2014236</t>
  </si>
  <si>
    <t>Parimal Ghosh</t>
  </si>
  <si>
    <t>parimalraj2000@gmail.com</t>
  </si>
  <si>
    <t>Already Contact With Biswajit Da.</t>
  </si>
  <si>
    <t>C2014235</t>
  </si>
  <si>
    <t>Sunderban Restaurant And Hotel</t>
  </si>
  <si>
    <t xml:space="preserve"> tarikulislamraaz9@gmail.com</t>
  </si>
  <si>
    <t>Balihati</t>
  </si>
  <si>
    <t>C2014234</t>
  </si>
  <si>
    <t>Raj Kumar Rajan</t>
  </si>
  <si>
    <t xml:space="preserve"> rajan.rajkumar420@gmail.com</t>
  </si>
  <si>
    <t>C2014233</t>
  </si>
  <si>
    <t>M Ali Shah</t>
  </si>
  <si>
    <t>alimeherban7860@gmail.com</t>
  </si>
  <si>
    <t>9348334306/ 9437745687</t>
  </si>
  <si>
    <t>Rate Quoted.Material Photocopy Send.</t>
  </si>
  <si>
    <t>C2014232</t>
  </si>
  <si>
    <t>Alpana Enterprise</t>
  </si>
  <si>
    <t xml:space="preserve"> prasantabera.p16@gmail.com</t>
  </si>
  <si>
    <t>Kolkata - 721152</t>
  </si>
  <si>
    <t>C2014231</t>
  </si>
  <si>
    <t>Badal soap product</t>
  </si>
  <si>
    <t xml:space="preserve"> bhunianirupam@gmail.com</t>
  </si>
  <si>
    <t>Kharagpur - 721443</t>
  </si>
  <si>
    <t>Party Target Price 12/-Ltr(s)</t>
  </si>
  <si>
    <t>C2014230</t>
  </si>
  <si>
    <t>OP AGARWAL</t>
  </si>
  <si>
    <t xml:space="preserve"> ferrometl.resources@gmail.com</t>
  </si>
  <si>
    <t>Material Not Available.</t>
  </si>
  <si>
    <t>C2014229</t>
  </si>
  <si>
    <t>G S Enterprises</t>
  </si>
  <si>
    <t>Textile Synthetic Thickener</t>
  </si>
  <si>
    <t xml:space="preserve"> kayceechemicals1@gmail.com</t>
  </si>
  <si>
    <t>C2014228</t>
  </si>
  <si>
    <t>Sreemaa Chemicals</t>
  </si>
  <si>
    <t xml:space="preserve"> samarjitdey76@gmail.com</t>
  </si>
  <si>
    <t xml:space="preserve"> Kolkata - 700010</t>
  </si>
  <si>
    <t>C2014227</t>
  </si>
  <si>
    <t>Ganesh Products Pvt Ltd</t>
  </si>
  <si>
    <t>jaymimani92@gmail.com</t>
  </si>
  <si>
    <t>C2014226</t>
  </si>
  <si>
    <t>Himadri Chemical</t>
  </si>
  <si>
    <t xml:space="preserve"> abhijitchakraborty@himadri.com</t>
  </si>
  <si>
    <t>27/-Ltr</t>
  </si>
  <si>
    <t>247K</t>
  </si>
  <si>
    <t>C2014225</t>
  </si>
  <si>
    <t xml:space="preserve"> HafizShaikh673@gmail.com</t>
  </si>
  <si>
    <t>Murshidabad - 742163</t>
  </si>
  <si>
    <t>10.11.2021</t>
  </si>
  <si>
    <t>C2014224</t>
  </si>
  <si>
    <t>Quote Rs 39+. He is trader.</t>
  </si>
  <si>
    <t>C2014223</t>
  </si>
  <si>
    <t>Raghvi Chemicals</t>
  </si>
  <si>
    <t>raghvichemicals@gmail.com</t>
  </si>
  <si>
    <t>Saharanpur - 247001</t>
  </si>
  <si>
    <t>He needs locally.</t>
  </si>
  <si>
    <t>C2014222</t>
  </si>
  <si>
    <t>S M Chem Associates</t>
  </si>
  <si>
    <t>sastry@smchemassociates.com</t>
  </si>
  <si>
    <t>Hyderabad - 500 028</t>
  </si>
  <si>
    <t>9440231860/ 9866184661</t>
  </si>
  <si>
    <t>they hv purchsed locally @200+ saudi, chemenol</t>
  </si>
  <si>
    <t>C2014221</t>
  </si>
  <si>
    <t>Echem Corp</t>
  </si>
  <si>
    <t>Salphamic Acid</t>
  </si>
  <si>
    <t>echemcorp@gmail.com</t>
  </si>
  <si>
    <t>9830031351/ 7278031351</t>
  </si>
  <si>
    <t>C2014220</t>
  </si>
  <si>
    <t>Sodium Sulphide Yellow Flakes</t>
  </si>
  <si>
    <t>09.11.2021</t>
  </si>
  <si>
    <t>C2014219</t>
  </si>
  <si>
    <t>S Ravikisan</t>
  </si>
  <si>
    <t>C2014218</t>
  </si>
  <si>
    <t>Hooghly - 712233</t>
  </si>
  <si>
    <t>08.11.2021</t>
  </si>
  <si>
    <t>C2014217</t>
  </si>
  <si>
    <t>Loriyas Ceramic</t>
  </si>
  <si>
    <t>Morbi - 363641</t>
  </si>
  <si>
    <t>C2014216</t>
  </si>
  <si>
    <t>Ravikant Kumar</t>
  </si>
  <si>
    <t>Calcium Sulphate</t>
  </si>
  <si>
    <t xml:space="preserve"> ravi827543@gmail.com</t>
  </si>
  <si>
    <t>Giridih - 815316</t>
  </si>
  <si>
    <t>06.11.2021</t>
  </si>
  <si>
    <t>C2014215</t>
  </si>
  <si>
    <t>Aashray Investors Private Limited</t>
  </si>
  <si>
    <t xml:space="preserve"> dparthapratim17@gmail.com</t>
  </si>
  <si>
    <t>05.11.2021</t>
  </si>
  <si>
    <t>C2014214</t>
  </si>
  <si>
    <t>C2014213</t>
  </si>
  <si>
    <t>Afsar Ali</t>
  </si>
  <si>
    <t>AOS Powder</t>
  </si>
  <si>
    <t>aliasian@yahoo.com</t>
  </si>
  <si>
    <t>C2014212</t>
  </si>
  <si>
    <t>Kharagpur - 721126</t>
  </si>
  <si>
    <t>123/-</t>
  </si>
  <si>
    <t>C2014211</t>
  </si>
  <si>
    <t>ekta enterprises</t>
  </si>
  <si>
    <t>SLS Godrej</t>
  </si>
  <si>
    <t>hridesh.gupta77@gmail.com</t>
  </si>
  <si>
    <t>C2014210</t>
  </si>
  <si>
    <t>Sujit Kumar Mohanta</t>
  </si>
  <si>
    <t>mohantasujitkumar98@gmail.com</t>
  </si>
  <si>
    <t>03.11.2021</t>
  </si>
  <si>
    <t>C2014209</t>
  </si>
  <si>
    <t>Sunbond Industry</t>
  </si>
  <si>
    <t xml:space="preserve"> corosys1974@gmail.com</t>
  </si>
  <si>
    <t>C2014208</t>
  </si>
  <si>
    <t>Jagdish Tools and Repairing Services</t>
  </si>
  <si>
    <t xml:space="preserve"> yogeshkolle14@gmail.com</t>
  </si>
  <si>
    <t>Latur</t>
  </si>
  <si>
    <t>C2014207</t>
  </si>
  <si>
    <t>maa durga traders</t>
  </si>
  <si>
    <t>Sodium Dichromate, Chromic Acid</t>
  </si>
  <si>
    <t>250+250</t>
  </si>
  <si>
    <t xml:space="preserve"> psahu524@gmail.com</t>
  </si>
  <si>
    <t>C2014206</t>
  </si>
  <si>
    <t>Alpha Chemika</t>
  </si>
  <si>
    <t>Chlorine tablet (200 gm.)</t>
  </si>
  <si>
    <t xml:space="preserve"> exports@alphachemika.co.in</t>
  </si>
  <si>
    <t>Quote Rs 390+ Ex Bhiwandi</t>
  </si>
  <si>
    <t>02.11.2021</t>
  </si>
  <si>
    <t>C2014205</t>
  </si>
  <si>
    <t>CN Metal</t>
  </si>
  <si>
    <t>party not interested.</t>
  </si>
  <si>
    <t>C2014204</t>
  </si>
  <si>
    <t>Lowden</t>
  </si>
  <si>
    <t xml:space="preserve"> cglowden@gmail.com</t>
  </si>
  <si>
    <t>C2014203</t>
  </si>
  <si>
    <t>Aqua Enterprise</t>
  </si>
  <si>
    <t>Calcium Peroxide</t>
  </si>
  <si>
    <t xml:space="preserve"> pkhalder.dec12@gmail.com</t>
  </si>
  <si>
    <t>North 24 Parganas - 743426</t>
  </si>
  <si>
    <t>01.11.2021</t>
  </si>
  <si>
    <t>C2014202</t>
  </si>
  <si>
    <t>KK Associates</t>
  </si>
  <si>
    <t>masudhassan.sumi@gmail.com</t>
  </si>
  <si>
    <t>C2014201</t>
  </si>
  <si>
    <t>A.s Technica Sales &amp; Services</t>
  </si>
  <si>
    <t>Soda Feldspar</t>
  </si>
  <si>
    <t xml:space="preserve"> astechnica@gmail.com</t>
  </si>
  <si>
    <t>Kolkata - 721201</t>
  </si>
  <si>
    <t>9733741353, 8017732053</t>
  </si>
  <si>
    <t>C2014200</t>
  </si>
  <si>
    <t>Airan Enterprises</t>
  </si>
  <si>
    <t>Silica Gel</t>
  </si>
  <si>
    <t>airan.ent@gmail.com</t>
  </si>
  <si>
    <t>Ph. call not rcv.</t>
  </si>
  <si>
    <t>C2014199</t>
  </si>
  <si>
    <t>Mohammad Zahur</t>
  </si>
  <si>
    <t>shaikhzahur82@gmail.com</t>
  </si>
  <si>
    <t>Sholapur- Maharashtra</t>
  </si>
  <si>
    <t>C2014198</t>
  </si>
  <si>
    <t>Mjunction Services</t>
  </si>
  <si>
    <t xml:space="preserve"> aninits@gmail.com</t>
  </si>
  <si>
    <t>C2014197</t>
  </si>
  <si>
    <t>Rohit Enterprises</t>
  </si>
  <si>
    <t>rohittulsyan07@gmail.com</t>
  </si>
  <si>
    <t>C2014196</t>
  </si>
  <si>
    <t>Mata Traders</t>
  </si>
  <si>
    <t xml:space="preserve"> susantamahata160@gmail.com</t>
  </si>
  <si>
    <t xml:space="preserve"> Jhargram</t>
  </si>
  <si>
    <t>7908594617/ 9647284629</t>
  </si>
  <si>
    <t>Party Want To Purchase Without GST</t>
  </si>
  <si>
    <t>C2014195</t>
  </si>
  <si>
    <t>Sagun Kisku</t>
  </si>
  <si>
    <t>sagunkisku2012@gmail.com</t>
  </si>
  <si>
    <t>C2014194</t>
  </si>
  <si>
    <t>Maa Ujwala Engineering</t>
  </si>
  <si>
    <t xml:space="preserve"> nantusardar265@gmail.com</t>
  </si>
  <si>
    <t>C2014193</t>
  </si>
  <si>
    <t>Marine International</t>
  </si>
  <si>
    <t xml:space="preserve"> marinesaltind@gmail.com</t>
  </si>
  <si>
    <t>Kolkata - 700098</t>
  </si>
  <si>
    <t>6/-</t>
  </si>
  <si>
    <t>C2014192</t>
  </si>
  <si>
    <t>Arr Enterprises</t>
  </si>
  <si>
    <t xml:space="preserve"> arrsoap@gmail.com</t>
  </si>
  <si>
    <t xml:space="preserve"> Bokaro Steel City - 827013</t>
  </si>
  <si>
    <t>C2014191</t>
  </si>
  <si>
    <t>Sabir Enterprises</t>
  </si>
  <si>
    <t xml:space="preserve"> sabirdafadar66@gmail.com</t>
  </si>
  <si>
    <t>Bongoan - 743405</t>
  </si>
  <si>
    <t>Not Interested For Bag Packing.Party Require Drum Packing.</t>
  </si>
  <si>
    <t>30.10.2021</t>
  </si>
  <si>
    <t>C2014190</t>
  </si>
  <si>
    <t>Max Metal Impex</t>
  </si>
  <si>
    <t>Soda Ash Dense (Nirma)</t>
  </si>
  <si>
    <t xml:space="preserve"> zakirakhtar0341@gmail.com</t>
  </si>
  <si>
    <t>C2014189</t>
  </si>
  <si>
    <t>Chatto Chemicals</t>
  </si>
  <si>
    <t>Zinc Chloride Solution</t>
  </si>
  <si>
    <t>info@chattochemicals.com</t>
  </si>
  <si>
    <t>Shyambazar</t>
  </si>
  <si>
    <t>C2014188</t>
  </si>
  <si>
    <t>Biswanath sardar</t>
  </si>
  <si>
    <t xml:space="preserve"> biswanathsardar15@gmail.com</t>
  </si>
  <si>
    <t>three time calling, but party ph. call not received.</t>
  </si>
  <si>
    <t>29.10.2021</t>
  </si>
  <si>
    <t>P068</t>
  </si>
  <si>
    <t>Ghosh Ghosh And Ghosh Foods</t>
  </si>
  <si>
    <t>Liquide Glucose</t>
  </si>
  <si>
    <t>97496 95901</t>
  </si>
  <si>
    <t>C2014187</t>
  </si>
  <si>
    <t>Vinay Goel</t>
  </si>
  <si>
    <t>Sodium SIllicate</t>
  </si>
  <si>
    <t>shreebanshankari_papers@yahoo.com</t>
  </si>
  <si>
    <t>Bangalore</t>
  </si>
  <si>
    <t>C2014186</t>
  </si>
  <si>
    <t>MB Chem Corporation</t>
  </si>
  <si>
    <t>Polyacrylic Acid</t>
  </si>
  <si>
    <t>mb.chem.corp@gmail.com</t>
  </si>
  <si>
    <t>C2014185</t>
  </si>
  <si>
    <t>Calcium Hypochlorite</t>
  </si>
  <si>
    <t xml:space="preserve"> srikantj100@gmail.com</t>
  </si>
  <si>
    <t>C2014184</t>
  </si>
  <si>
    <t>Saroj Kumar Nayak</t>
  </si>
  <si>
    <t>C2014183</t>
  </si>
  <si>
    <t>Sufi Ahmed</t>
  </si>
  <si>
    <t xml:space="preserve"> krishisuraksha1984@gmail.com</t>
  </si>
  <si>
    <t xml:space="preserve">                           </t>
  </si>
  <si>
    <t>28.10.2021</t>
  </si>
  <si>
    <t>P067</t>
  </si>
  <si>
    <t>S.R. INDUSTRIES</t>
  </si>
  <si>
    <t>Srindustries.subham@gmail.com</t>
  </si>
  <si>
    <t>82405 57306</t>
  </si>
  <si>
    <t>220/-</t>
  </si>
  <si>
    <t>C2014182</t>
  </si>
  <si>
    <t>BPC India Private Limited</t>
  </si>
  <si>
    <t xml:space="preserve"> nisith@bpcipl.com</t>
  </si>
  <si>
    <t>Quotation send</t>
  </si>
  <si>
    <t>C2014181</t>
  </si>
  <si>
    <t>Bhagrati Hardware</t>
  </si>
  <si>
    <t>mdijajuddinmasum@gmail.com</t>
  </si>
  <si>
    <t>Bara Jumla - 742148</t>
  </si>
  <si>
    <t>Party Requirement 10 Kg(s) Packing Size.</t>
  </si>
  <si>
    <t>C2014180</t>
  </si>
  <si>
    <t>Rabindra Patra</t>
  </si>
  <si>
    <t xml:space="preserve"> rabindrapatra79905@gmail.com</t>
  </si>
  <si>
    <t>C2014179</t>
  </si>
  <si>
    <t>Ayush</t>
  </si>
  <si>
    <t xml:space="preserve"> ayushtibrewal21@gmail.com</t>
  </si>
  <si>
    <t>27.10.2021</t>
  </si>
  <si>
    <t>C2014178</t>
  </si>
  <si>
    <t>Vincent</t>
  </si>
  <si>
    <t>Sodium Bisulphite</t>
  </si>
  <si>
    <t>oandm@hecs.in</t>
  </si>
  <si>
    <t>C2014177</t>
  </si>
  <si>
    <t>Trichloroisocyanuric Acid</t>
  </si>
  <si>
    <t>C2014176</t>
  </si>
  <si>
    <t>Kiran Food Products</t>
  </si>
  <si>
    <t xml:space="preserve"> kiranfoodproducts.2001@gmail.com</t>
  </si>
  <si>
    <t>Kolkata - 700037</t>
  </si>
  <si>
    <t>33/- Kg(s)</t>
  </si>
  <si>
    <t>Rate High.Party Target Price 28/-Kg</t>
  </si>
  <si>
    <t>C2014175</t>
  </si>
  <si>
    <t>Sourav Ghosh</t>
  </si>
  <si>
    <t xml:space="preserve"> souravrajiv96@gmail.com</t>
  </si>
  <si>
    <t>35/-KG(S)</t>
  </si>
  <si>
    <t>Rate High.Party Target Price 30/-Kg(s)</t>
  </si>
  <si>
    <t>P066</t>
  </si>
  <si>
    <t>Pradip Agarwal</t>
  </si>
  <si>
    <t>maasakambarientp@gmail.com</t>
  </si>
  <si>
    <t>C2014174</t>
  </si>
  <si>
    <t>Quoted, but transport charges high, party do not agree.</t>
  </si>
  <si>
    <t>C2014173</t>
  </si>
  <si>
    <t>MIR HASNAT</t>
  </si>
  <si>
    <t>mirhasnathossain@gmail.com</t>
  </si>
  <si>
    <t>Photocopy Send,Quoted.</t>
  </si>
  <si>
    <t>C2014172</t>
  </si>
  <si>
    <t>Biswas Agriculture &amp; Solar Solutions</t>
  </si>
  <si>
    <t>Benzalkonium Chloride</t>
  </si>
  <si>
    <t xml:space="preserve"> biswasagriculture@gmail.com</t>
  </si>
  <si>
    <t>Nadia - 741156</t>
  </si>
  <si>
    <t>26.10.2021</t>
  </si>
  <si>
    <t>Kumar Enterprises</t>
  </si>
  <si>
    <t>rajeshkrsingh51@gmail.com</t>
  </si>
  <si>
    <t>C2014171</t>
  </si>
  <si>
    <t>Gi Paint and Chemicals</t>
  </si>
  <si>
    <t xml:space="preserve"> mallickbaisakhi854@gmail.com</t>
  </si>
  <si>
    <t xml:space="preserve"> Cuttack - 754021</t>
  </si>
  <si>
    <t>C2014170</t>
  </si>
  <si>
    <t>N M Shah Metcoke Private Limited</t>
  </si>
  <si>
    <t>nmshahmetcokepvtltd@gmail.com</t>
  </si>
  <si>
    <t>Kolkata - 700025</t>
  </si>
  <si>
    <t>C2014169</t>
  </si>
  <si>
    <t>Faljul Saik Enterprise</t>
  </si>
  <si>
    <t>Rate High,Party Target Price 8/-Kg(s) Pure White Material</t>
  </si>
  <si>
    <t>C2014168</t>
  </si>
  <si>
    <t>Koushal Enterprise</t>
  </si>
  <si>
    <t>25.10.2021</t>
  </si>
  <si>
    <t>C2014167</t>
  </si>
  <si>
    <t>KRUSHNA CONSTRUCTIONS</t>
  </si>
  <si>
    <t>Absorbent Polymer</t>
  </si>
  <si>
    <t xml:space="preserve"> constructionskrushna@gmail.com</t>
  </si>
  <si>
    <t>Jamshedpur - 831006</t>
  </si>
  <si>
    <t>C2014166</t>
  </si>
  <si>
    <t>Saddam Hussain</t>
  </si>
  <si>
    <t>P065</t>
  </si>
  <si>
    <t>Ritesh Shaw</t>
  </si>
  <si>
    <t>newdimensionamit@gmail.com</t>
  </si>
  <si>
    <t>C2014165</t>
  </si>
  <si>
    <t>Prasant Das</t>
  </si>
  <si>
    <t>prasant.sant@gmail.com</t>
  </si>
  <si>
    <t>C2014164</t>
  </si>
  <si>
    <t>Prem Ganesh</t>
  </si>
  <si>
    <t xml:space="preserve"> prem.ganesh@tatasteel.com</t>
  </si>
  <si>
    <t>@13.50/-,</t>
  </si>
  <si>
    <t>P064</t>
  </si>
  <si>
    <t>Isha Industries</t>
  </si>
  <si>
    <t>Lime Powder,Dolomite,Fluorspar Powder</t>
  </si>
  <si>
    <t>ishaind@gmail.com</t>
  </si>
  <si>
    <t>Jharkhand-827014</t>
  </si>
  <si>
    <t>8.50/-,8.50/-,48/-</t>
  </si>
  <si>
    <t>Proforma Invoice Send.</t>
  </si>
  <si>
    <t>Order Confirmed..Payment Done.</t>
  </si>
  <si>
    <t>C2014163</t>
  </si>
  <si>
    <t>R S Enterprise</t>
  </si>
  <si>
    <t>ramachakraborty8@gmail.com</t>
  </si>
  <si>
    <t>Material Photocoy Send.</t>
  </si>
  <si>
    <t>23.10.2021</t>
  </si>
  <si>
    <t>C2014162</t>
  </si>
  <si>
    <t>Thakurdas Marandi</t>
  </si>
  <si>
    <t>Quicklime</t>
  </si>
  <si>
    <t xml:space="preserve"> bugati.thakur@gmail.com</t>
  </si>
  <si>
    <t>C2014161</t>
  </si>
  <si>
    <t>Kaushal Rana</t>
  </si>
  <si>
    <t xml:space="preserve"> biochemharidwar@yahoo.com</t>
  </si>
  <si>
    <t>C2014160</t>
  </si>
  <si>
    <t>S &amp; T Traders</t>
  </si>
  <si>
    <t xml:space="preserve"> sttraders9983@gmail.com</t>
  </si>
  <si>
    <t>Kolkata - 700006</t>
  </si>
  <si>
    <t>Send material photocopy</t>
  </si>
  <si>
    <t>C2014159</t>
  </si>
  <si>
    <t>Nd Commodity</t>
  </si>
  <si>
    <t>Flourspar Lumps</t>
  </si>
  <si>
    <t xml:space="preserve"> goutambanerjee2011@gmail.com</t>
  </si>
  <si>
    <t>Kolkata - 700149</t>
  </si>
  <si>
    <t>@27.50/-</t>
  </si>
  <si>
    <t>Send Quotation, reply shortly.</t>
  </si>
  <si>
    <t>22.10.2021</t>
  </si>
  <si>
    <t>C2014158</t>
  </si>
  <si>
    <t>Alam enterprise</t>
  </si>
  <si>
    <t>alamenterprise.ja@gmail.com</t>
  </si>
  <si>
    <t>Basirhat</t>
  </si>
  <si>
    <t>Party Require Drum Packing.</t>
  </si>
  <si>
    <t>C2014157</t>
  </si>
  <si>
    <t>S.K Enterprises</t>
  </si>
  <si>
    <t>Ferric Alum, Sodium Aluminate</t>
  </si>
  <si>
    <t xml:space="preserve"> s.k.entpse@gmail.com</t>
  </si>
  <si>
    <t>C2014156</t>
  </si>
  <si>
    <t>Balaji enterprise</t>
  </si>
  <si>
    <t>Sodium thio sulphate Pellets</t>
  </si>
  <si>
    <t xml:space="preserve"> balajient.sharma@gmail.com</t>
  </si>
  <si>
    <t>Sealdah</t>
  </si>
  <si>
    <t>C2014155</t>
  </si>
  <si>
    <t>Amalendu</t>
  </si>
  <si>
    <t xml:space="preserve"> amalendusardar53638@gmail.com</t>
  </si>
  <si>
    <t>Party target price -@9/- pkg.</t>
  </si>
  <si>
    <t>21.10.2021</t>
  </si>
  <si>
    <t>P063</t>
  </si>
  <si>
    <t>Mani Square Limited</t>
  </si>
  <si>
    <t xml:space="preserve">Quartz Powder   </t>
  </si>
  <si>
    <t>mgsukhen2007@gmail.com</t>
  </si>
  <si>
    <t>Payment Done.</t>
  </si>
  <si>
    <t>C2014154</t>
  </si>
  <si>
    <t>Shree Shaukhin Interior</t>
  </si>
  <si>
    <t>subhansu1992@gmail.com</t>
  </si>
  <si>
    <t>Requirement After Kali Puja.</t>
  </si>
  <si>
    <t>C2014153</t>
  </si>
  <si>
    <t>Sejal Shah</t>
  </si>
  <si>
    <t>Quoted And Photocopy Send.28th Octbr Party Will Come</t>
  </si>
  <si>
    <t>C2014152</t>
  </si>
  <si>
    <t>Sri Durga Roadlines</t>
  </si>
  <si>
    <t>sdrlght@gmail.com</t>
  </si>
  <si>
    <t>Guwahati - 781028</t>
  </si>
  <si>
    <t>C2014151</t>
  </si>
  <si>
    <t>Sandeep Trading</t>
  </si>
  <si>
    <t>Met Coke</t>
  </si>
  <si>
    <t xml:space="preserve"> vivekchoudhary1986@gmail.com</t>
  </si>
  <si>
    <t>Not available</t>
  </si>
  <si>
    <t>C2014150</t>
  </si>
  <si>
    <t>Vishal Enterprise</t>
  </si>
  <si>
    <t xml:space="preserve"> subhankarpari@rediffmail.com</t>
  </si>
  <si>
    <t>Kolkata - 700119</t>
  </si>
  <si>
    <t>C2014149</t>
  </si>
  <si>
    <t>Kunal Interiors Pvt. Ltd</t>
  </si>
  <si>
    <t xml:space="preserve"> rlsuthar872@gmail.com</t>
  </si>
  <si>
    <t>C2014148</t>
  </si>
  <si>
    <t>Slacked Lime</t>
  </si>
  <si>
    <t xml:space="preserve"> rajiv.singh121@gmail.com</t>
  </si>
  <si>
    <t>19.10.2021</t>
  </si>
  <si>
    <t>C2014147</t>
  </si>
  <si>
    <t>Mazbur Islam</t>
  </si>
  <si>
    <t>Ammonium Lauryl Sulphate</t>
  </si>
  <si>
    <t>C2014146</t>
  </si>
  <si>
    <t>Sabyasachi</t>
  </si>
  <si>
    <t>sabyasachimandal34@gmail.com</t>
  </si>
  <si>
    <t>Quoted And Drum Photocopy Send.</t>
  </si>
  <si>
    <t>18.10.2021</t>
  </si>
  <si>
    <t>C2014145</t>
  </si>
  <si>
    <t>M Khan</t>
  </si>
  <si>
    <t>Burra Bazar</t>
  </si>
  <si>
    <t>C2014144</t>
  </si>
  <si>
    <t>Kalindi Chemical Pvt Ltd</t>
  </si>
  <si>
    <t xml:space="preserve"> vksaha@hotmail.com</t>
  </si>
  <si>
    <t>Kolkata - 70014</t>
  </si>
  <si>
    <t>9830085103, 9804156490</t>
  </si>
  <si>
    <t>C2014143</t>
  </si>
  <si>
    <t xml:space="preserve"> dkdeepak1978@gmail.com</t>
  </si>
  <si>
    <t>Patna - 800008</t>
  </si>
  <si>
    <t>Rate High.Party Want To Purchase From Manufacturer</t>
  </si>
  <si>
    <t>C2014142</t>
  </si>
  <si>
    <t>Anas</t>
  </si>
  <si>
    <t>Quartz Silica Sand</t>
  </si>
  <si>
    <t xml:space="preserve"> sultan.ahmad61@gmail.com</t>
  </si>
  <si>
    <t>He Want To Purchase From Local Supplier.</t>
  </si>
  <si>
    <t>C2014141</t>
  </si>
  <si>
    <t>Absolute Foods</t>
  </si>
  <si>
    <t xml:space="preserve"> kirtitiwari101097@gmail.com</t>
  </si>
  <si>
    <t>Nasik</t>
  </si>
  <si>
    <t>C2014140</t>
  </si>
  <si>
    <t>RK Trading Company</t>
  </si>
  <si>
    <t>Rate Quoted And Photo Send.</t>
  </si>
  <si>
    <t>C2014139</t>
  </si>
  <si>
    <t>Sadia Enterprise</t>
  </si>
  <si>
    <t>Sodium Sulphide</t>
  </si>
  <si>
    <t>786mdatifjamal@gmail.com</t>
  </si>
  <si>
    <t>Kolkata - 700073</t>
  </si>
  <si>
    <t>C2014138</t>
  </si>
  <si>
    <t>D.K. Industries</t>
  </si>
  <si>
    <t>Zircon Sand, Zircon Flour</t>
  </si>
  <si>
    <t>6000+6000</t>
  </si>
  <si>
    <t>Jamshedpur - 831013</t>
  </si>
  <si>
    <t>Photo And Specification Send.</t>
  </si>
  <si>
    <t>C2014137</t>
  </si>
  <si>
    <t>Jhargram</t>
  </si>
  <si>
    <t>Call Not Received.(2)</t>
  </si>
  <si>
    <t>C2014136</t>
  </si>
  <si>
    <t>Edifice Engineering Enterprises Private Limited</t>
  </si>
  <si>
    <t>rajib.ghosh@edificeengineering.co.in</t>
  </si>
  <si>
    <t>Durgapur - 713203</t>
  </si>
  <si>
    <t>11.10.2021</t>
  </si>
  <si>
    <t>C2014135</t>
  </si>
  <si>
    <t>C2014134</t>
  </si>
  <si>
    <t>S R Enterprises</t>
  </si>
  <si>
    <t>Ghosh.joydeep67@yahoo.in</t>
  </si>
  <si>
    <t>C2014133</t>
  </si>
  <si>
    <t>Vijayalaxmi Enterprises</t>
  </si>
  <si>
    <t>White Ammonium Sulphate</t>
  </si>
  <si>
    <t>deepak_beema@yahoo.com</t>
  </si>
  <si>
    <t>9986400493/ 9448391463</t>
  </si>
  <si>
    <t>Q Rs 16+</t>
  </si>
  <si>
    <t>target @10 kg as per customer</t>
  </si>
  <si>
    <t>P062</t>
  </si>
  <si>
    <t>Bengal Tiles</t>
  </si>
  <si>
    <t>Quartz Powder,Silica Powder</t>
  </si>
  <si>
    <t>info.customeimagine@gmail.com</t>
  </si>
  <si>
    <t>7.50/-,8/-</t>
  </si>
  <si>
    <t>Performa Invoice Send.</t>
  </si>
  <si>
    <t>09.10.2021</t>
  </si>
  <si>
    <t>C2014132</t>
  </si>
  <si>
    <t>Satkirti Chemical Pvt Ltd.</t>
  </si>
  <si>
    <t>Chromic Acid</t>
  </si>
  <si>
    <t>info@satkirtichemicals.com</t>
  </si>
  <si>
    <t>C2014131</t>
  </si>
  <si>
    <t>Sidharth Baid</t>
  </si>
  <si>
    <t>sidharth.acs@gmail.com</t>
  </si>
  <si>
    <t>Party require fertilizer base.for agriculture uses.</t>
  </si>
  <si>
    <t>C2014130</t>
  </si>
  <si>
    <t>Jeetchem Organics</t>
  </si>
  <si>
    <t>Sodium Dichloro,Sodium Hexa Meta Phosphate,Tween 80</t>
  </si>
  <si>
    <t>jeetchemorganics@gmail.com</t>
  </si>
  <si>
    <t>C2014129</t>
  </si>
  <si>
    <t>Astha Enterprise</t>
  </si>
  <si>
    <t>aasthaenterprise@yahoo.com</t>
  </si>
  <si>
    <t>08.10.2021</t>
  </si>
  <si>
    <t>C2014128</t>
  </si>
  <si>
    <t>Hemant Jain</t>
  </si>
  <si>
    <t xml:space="preserve"> dimpujain12345@gmail.com</t>
  </si>
  <si>
    <t>Jhumaritalaiya</t>
  </si>
  <si>
    <t>07.10.2021</t>
  </si>
  <si>
    <t>P061</t>
  </si>
  <si>
    <t>Daffodil Food Park</t>
  </si>
  <si>
    <t>Bokaro</t>
  </si>
  <si>
    <t>Advance Payment Done.</t>
  </si>
  <si>
    <t>C2014127</t>
  </si>
  <si>
    <t>sreemaachemicals@gmail.com</t>
  </si>
  <si>
    <t>Kolkata - 700010</t>
  </si>
  <si>
    <t>C2014126</t>
  </si>
  <si>
    <t>Bhupati Mondal</t>
  </si>
  <si>
    <t>disha.agency@yahoo.com</t>
  </si>
  <si>
    <t>06.10.2021</t>
  </si>
  <si>
    <t>C2014125</t>
  </si>
  <si>
    <t>S T I Industries</t>
  </si>
  <si>
    <t xml:space="preserve"> bgshah@calter.com</t>
  </si>
  <si>
    <t>Pardi - 396195 Gujrat</t>
  </si>
  <si>
    <t>C2014124</t>
  </si>
  <si>
    <t>Prakash Enterprise</t>
  </si>
  <si>
    <t xml:space="preserve"> prakash934297@gmail.com</t>
  </si>
  <si>
    <t>Gazipur</t>
  </si>
  <si>
    <t>05.10.2021</t>
  </si>
  <si>
    <t>C2014123</t>
  </si>
  <si>
    <t>RJ Enterprises</t>
  </si>
  <si>
    <t xml:space="preserve"> sksudeshkumar62@gmail.com</t>
  </si>
  <si>
    <t>Faridabad</t>
  </si>
  <si>
    <t>C2014122</t>
  </si>
  <si>
    <t>Anmol Das</t>
  </si>
  <si>
    <t>Alumina Powder</t>
  </si>
  <si>
    <t xml:space="preserve"> anmol.das@smifs.co.in</t>
  </si>
  <si>
    <t>C2014121</t>
  </si>
  <si>
    <t>Satyabrata Ghosh</t>
  </si>
  <si>
    <t>2500Pcs.</t>
  </si>
  <si>
    <t xml:space="preserve"> aesouvik7@gmail.com</t>
  </si>
  <si>
    <t>AlipurDuar</t>
  </si>
  <si>
    <t>P060</t>
  </si>
  <si>
    <t>Chatterjee Infrastructure</t>
  </si>
  <si>
    <t>chatterjeeinfrastructure19@gmail.com</t>
  </si>
  <si>
    <t>04.10.2021</t>
  </si>
  <si>
    <t>C2014120</t>
  </si>
  <si>
    <t>Simplex Techpro Pvt Ltd</t>
  </si>
  <si>
    <t xml:space="preserve"> simflex.prod@gmail.com</t>
  </si>
  <si>
    <t>C2014119</t>
  </si>
  <si>
    <t>Kishore Kumar Singh</t>
  </si>
  <si>
    <t>Hydrochloric Acid</t>
  </si>
  <si>
    <t>Chinsura-WB</t>
  </si>
  <si>
    <t>C2014118</t>
  </si>
  <si>
    <t>M F Traders</t>
  </si>
  <si>
    <t>zamir9999@gmail.com</t>
  </si>
  <si>
    <t>Kolkata - 700057</t>
  </si>
  <si>
    <t>C2014117</t>
  </si>
  <si>
    <t>Braj Mohan</t>
  </si>
  <si>
    <t xml:space="preserve"> brajmohan.kulti@yahoo.co.in</t>
  </si>
  <si>
    <t>C2014116</t>
  </si>
  <si>
    <t>Shekhar Dora</t>
  </si>
  <si>
    <t xml:space="preserve"> shekhardora07@gmail.com</t>
  </si>
  <si>
    <t>Party Target Price FOR 7/-Kg(s)</t>
  </si>
  <si>
    <t>C2014115</t>
  </si>
  <si>
    <t>Overseas Trading</t>
  </si>
  <si>
    <t>Ammonia Bi- Carbonate</t>
  </si>
  <si>
    <t xml:space="preserve"> mrityundas@yahoo.in</t>
  </si>
  <si>
    <t>Kolkata - 700113</t>
  </si>
  <si>
    <t>C2014114</t>
  </si>
  <si>
    <t>Vivek Roy</t>
  </si>
  <si>
    <t>Carbon Black N330</t>
  </si>
  <si>
    <t>Wrong Inquiry.Party Requirement Black Poly Bag.</t>
  </si>
  <si>
    <t>C2014113</t>
  </si>
  <si>
    <t>Gautam</t>
  </si>
  <si>
    <t>joon.d88@gmail.com</t>
  </si>
  <si>
    <t>Guwahati - 781024</t>
  </si>
  <si>
    <t>Rate High. Party Target Price 3.50/-Kg(s)</t>
  </si>
  <si>
    <t>C2014112</t>
  </si>
  <si>
    <t>Shree Ram Stores</t>
  </si>
  <si>
    <t>singsanjit1989@gmail.com</t>
  </si>
  <si>
    <t>NS Road, Kolkata</t>
  </si>
  <si>
    <t>C2014111</t>
  </si>
  <si>
    <t>Imtiaj</t>
  </si>
  <si>
    <t xml:space="preserve"> imtiaj.i.alam@gmail.com</t>
  </si>
  <si>
    <t xml:space="preserve"> Murarai- WB</t>
  </si>
  <si>
    <t>C2014110</t>
  </si>
  <si>
    <t>Vishal Interiors</t>
  </si>
  <si>
    <t xml:space="preserve"> vishalinterior17@gmail.com</t>
  </si>
  <si>
    <t>Party require FOR Rate.Rate Quoted 11/-Kg(s)</t>
  </si>
  <si>
    <t>C2014109</t>
  </si>
  <si>
    <t>aarya metaullargicals</t>
  </si>
  <si>
    <t>kanchan.siddhi3@gmail.com</t>
  </si>
  <si>
    <t>C2014108</t>
  </si>
  <si>
    <t>Goutam Das</t>
  </si>
  <si>
    <t xml:space="preserve"> goutamdas6056@gmail.com</t>
  </si>
  <si>
    <t>Photocopy Send.Rate Quoted.</t>
  </si>
  <si>
    <t>01.10.2021</t>
  </si>
  <si>
    <t>C2014107</t>
  </si>
  <si>
    <t>bhunianirupam@gmail.com</t>
  </si>
  <si>
    <t>C2014106</t>
  </si>
  <si>
    <t>Want To Sell at jamshedpur.</t>
  </si>
  <si>
    <t>C2014105</t>
  </si>
  <si>
    <t>Premier Traders</t>
  </si>
  <si>
    <t>indexp_ptind@yahoo.co.in</t>
  </si>
  <si>
    <t>C2014104</t>
  </si>
  <si>
    <t>AL Rahim Remedies</t>
  </si>
  <si>
    <t>info@alrahimremedies.in</t>
  </si>
  <si>
    <t>Patna - 800025</t>
  </si>
  <si>
    <t>Rate High.Target Price 33/-Kg(s)</t>
  </si>
  <si>
    <t>30.09.2021</t>
  </si>
  <si>
    <t>C2014103</t>
  </si>
  <si>
    <t>Hi Tech Industries</t>
  </si>
  <si>
    <t xml:space="preserve"> rahul.sharma9831@gmail.com</t>
  </si>
  <si>
    <t>Kolkata - 743126</t>
  </si>
  <si>
    <t>C2014102</t>
  </si>
  <si>
    <t>Bhavesh</t>
  </si>
  <si>
    <t xml:space="preserve"> bhaveshj924@gmail.com</t>
  </si>
  <si>
    <t>Not Available</t>
  </si>
  <si>
    <t>C2014101</t>
  </si>
  <si>
    <t>Jaiprakash Enterprises</t>
  </si>
  <si>
    <t xml:space="preserve"> jaiprakashr368@gmail.com</t>
  </si>
  <si>
    <t>Varanasi</t>
  </si>
  <si>
    <t>C2014100</t>
  </si>
  <si>
    <t>Firoz</t>
  </si>
  <si>
    <t xml:space="preserve"> fp506996@gmail.com</t>
  </si>
  <si>
    <t>@120+ Ex Bhiwandi</t>
  </si>
  <si>
    <t>C2014099</t>
  </si>
  <si>
    <t>Shibani Sankar Dey</t>
  </si>
  <si>
    <t>deyshibanisankar01@gmail.com</t>
  </si>
  <si>
    <t>C2014098</t>
  </si>
  <si>
    <t>Siddhi Kr Singh</t>
  </si>
  <si>
    <t>29.09.2021</t>
  </si>
  <si>
    <t>C2014097</t>
  </si>
  <si>
    <t>Debojyoti Giri</t>
  </si>
  <si>
    <t>giridebojyoti2@gmail.com</t>
  </si>
  <si>
    <t>Bag Photocopy Send.</t>
  </si>
  <si>
    <t>C2014096</t>
  </si>
  <si>
    <t>Leather World</t>
  </si>
  <si>
    <t xml:space="preserve"> faroquehashmi@gmail.com</t>
  </si>
  <si>
    <t>Already send 5gm. pouch photocopy.</t>
  </si>
  <si>
    <t>C2014095</t>
  </si>
  <si>
    <t>C2014094</t>
  </si>
  <si>
    <t>Pankaj Singh</t>
  </si>
  <si>
    <t>pankajsinghpankajsingh6929@gmail.com</t>
  </si>
  <si>
    <t>Party require Agriculture grade.</t>
  </si>
  <si>
    <t>28.09.2021</t>
  </si>
  <si>
    <t>C2014093</t>
  </si>
  <si>
    <t>Rajesh Ram</t>
  </si>
  <si>
    <t>No Response From Party.</t>
  </si>
  <si>
    <t>C2014092</t>
  </si>
  <si>
    <t>Anuj</t>
  </si>
  <si>
    <t xml:space="preserve"> decagrotech2000@gmail.com</t>
  </si>
  <si>
    <t>C2014091</t>
  </si>
  <si>
    <t>India Carbon Limited</t>
  </si>
  <si>
    <t xml:space="preserve"> purchasegroup.sujit@gmail.com</t>
  </si>
  <si>
    <t>C2014090</t>
  </si>
  <si>
    <t xml:space="preserve"> HIRAJ ENTERPRISES</t>
  </si>
  <si>
    <t xml:space="preserve"> md.sajahan9733156549@gmail.com</t>
  </si>
  <si>
    <t>C2014089</t>
  </si>
  <si>
    <t>PRABIR</t>
  </si>
  <si>
    <t>SIlica Gel</t>
  </si>
  <si>
    <t>prabir.chakraborty@wtil.in</t>
  </si>
  <si>
    <t>Golaghata</t>
  </si>
  <si>
    <t>@184</t>
  </si>
  <si>
    <t>Customer target price @145/- kg</t>
  </si>
  <si>
    <t>27.09.2021</t>
  </si>
  <si>
    <t>C2014088</t>
  </si>
  <si>
    <t>ANSU BATABYAL</t>
  </si>
  <si>
    <t>Manganese Di oxide</t>
  </si>
  <si>
    <t xml:space="preserve"> ansu.bl@gmail.com</t>
  </si>
  <si>
    <t>Quote send to Koushik.</t>
  </si>
  <si>
    <t>C2014087</t>
  </si>
  <si>
    <t>Sakunia Medical Agency</t>
  </si>
  <si>
    <t>sakuniamedicalagency@gmail.com</t>
  </si>
  <si>
    <t>Baripada - 757001</t>
  </si>
  <si>
    <t>Party target price@16/- per kg.</t>
  </si>
  <si>
    <t>C2014086</t>
  </si>
  <si>
    <t>Surya Traders</t>
  </si>
  <si>
    <t>suryathakur2000@gmail.com</t>
  </si>
  <si>
    <t>Raipur - 492001</t>
  </si>
  <si>
    <t>C2014085</t>
  </si>
  <si>
    <t>RB Enterprieses</t>
  </si>
  <si>
    <t>himanshubatra216@gmail.com</t>
  </si>
  <si>
    <t>Mathura- UP</t>
  </si>
  <si>
    <t>&gt;&gt;&gt;&gt;Q@140+ Ex Ankl..eshwar&gt;Subject to availabilty</t>
  </si>
  <si>
    <t>C2014084</t>
  </si>
  <si>
    <t>Adinath Global Corporation</t>
  </si>
  <si>
    <t xml:space="preserve"> adinathcorporate@gmail.com</t>
  </si>
  <si>
    <t>C2014083</t>
  </si>
  <si>
    <t>Manoj</t>
  </si>
  <si>
    <t xml:space="preserve"> manojdas876@gmail.com</t>
  </si>
  <si>
    <t>C2014082</t>
  </si>
  <si>
    <t>C2014081</t>
  </si>
  <si>
    <t>ASHOK</t>
  </si>
  <si>
    <t>two time calling but ph. call not received</t>
  </si>
  <si>
    <t>25.09.2021</t>
  </si>
  <si>
    <t>C2014080</t>
  </si>
  <si>
    <t xml:space="preserve"> shribalaji.exports@yahoo.com</t>
  </si>
  <si>
    <t>Kolkata - 711102</t>
  </si>
  <si>
    <t>C2014079</t>
  </si>
  <si>
    <t>Avron Laboratories</t>
  </si>
  <si>
    <t>vetsindia@gmail.com</t>
  </si>
  <si>
    <t>C2014078</t>
  </si>
  <si>
    <t>Dhyaana Hygiene Products</t>
  </si>
  <si>
    <t xml:space="preserve"> aswani71@rediffmail.com</t>
  </si>
  <si>
    <t>C2014077</t>
  </si>
  <si>
    <t>Gourav Patidar</t>
  </si>
  <si>
    <t xml:space="preserve"> patidar.gourav0010@gmail.com</t>
  </si>
  <si>
    <t>24.09.2021</t>
  </si>
  <si>
    <t>C2014076</t>
  </si>
  <si>
    <t>Oswal Colour Chem</t>
  </si>
  <si>
    <t xml:space="preserve"> oswalcolourchem@yahoo.in</t>
  </si>
  <si>
    <t>310/-</t>
  </si>
  <si>
    <t>C2014075</t>
  </si>
  <si>
    <t>Swpan Tea House</t>
  </si>
  <si>
    <t>swapankrsasmal37@gmail.com</t>
  </si>
  <si>
    <t>C2014074</t>
  </si>
  <si>
    <t>Asberul</t>
  </si>
  <si>
    <t>@7.50/-&amp; @18/-</t>
  </si>
  <si>
    <t>C2014073</t>
  </si>
  <si>
    <t>Maan Company</t>
  </si>
  <si>
    <t xml:space="preserve"> charan.qmp@gmail.com</t>
  </si>
  <si>
    <t>Panipat</t>
  </si>
  <si>
    <t>@135+ Ex Ankleshwar .subject availabity</t>
  </si>
  <si>
    <t>&gt;Require for animal poultry feed</t>
  </si>
  <si>
    <t>C2014072</t>
  </si>
  <si>
    <t xml:space="preserve"> deepaksingh11051995@gmail.com</t>
  </si>
  <si>
    <t>P059</t>
  </si>
  <si>
    <t>Jay Kishan Agro Science</t>
  </si>
  <si>
    <t xml:space="preserve">Bentonite Granules </t>
  </si>
  <si>
    <t>jaykishanagroscience@gmail.com</t>
  </si>
  <si>
    <t>Sonarpur</t>
  </si>
  <si>
    <t>P.I. Send.</t>
  </si>
  <si>
    <t>C2014071</t>
  </si>
  <si>
    <t>C2014070</t>
  </si>
  <si>
    <t>Somadhi Enterprises</t>
  </si>
  <si>
    <t xml:space="preserve"> somrit2008@gmail.com</t>
  </si>
  <si>
    <t>Party Target price @4/- only.</t>
  </si>
  <si>
    <t>23.09.2021</t>
  </si>
  <si>
    <t>P058</t>
  </si>
  <si>
    <t>Sandip Trade International</t>
  </si>
  <si>
    <t>Carborisar</t>
  </si>
  <si>
    <t>stiexporthouse2gmail.com</t>
  </si>
  <si>
    <t>Kolkata-711114</t>
  </si>
  <si>
    <t>48.50/-Kg(s)</t>
  </si>
  <si>
    <t>C2014069</t>
  </si>
  <si>
    <t>Nasa India</t>
  </si>
  <si>
    <t>Nitrogen Urea</t>
  </si>
  <si>
    <t xml:space="preserve"> vikasdataone@gmail.com</t>
  </si>
  <si>
    <t>P057</t>
  </si>
  <si>
    <t>ISGEC Heavy Engineering Ltd.</t>
  </si>
  <si>
    <t>Quartz Sand 16-30</t>
  </si>
  <si>
    <t>singhsatya699@gmail.com</t>
  </si>
  <si>
    <t>Kolkata-700094</t>
  </si>
  <si>
    <t>Payment Done</t>
  </si>
  <si>
    <t>C2014068</t>
  </si>
  <si>
    <t>Anup Barik</t>
  </si>
  <si>
    <t>bkarts2@gmail.com</t>
  </si>
  <si>
    <t>Balasore - 756045</t>
  </si>
  <si>
    <t>Party target price @19/- per kg.</t>
  </si>
  <si>
    <t>C2014067</t>
  </si>
  <si>
    <t>Md Hasan</t>
  </si>
  <si>
    <t>mdhasan97321@gmail.com</t>
  </si>
  <si>
    <t>No Requirement Now..If Require He Will Call Us.</t>
  </si>
  <si>
    <t>C2014066</t>
  </si>
  <si>
    <t>Nirmal Company</t>
  </si>
  <si>
    <t xml:space="preserve"> nirmalcompany81@gmail.com</t>
  </si>
  <si>
    <t>Dhanbad - 828116</t>
  </si>
  <si>
    <t>Party Require Kesoram Brand.</t>
  </si>
  <si>
    <t>C2014065</t>
  </si>
  <si>
    <t>INDIAN CHEMICAL INDIESTRIES</t>
  </si>
  <si>
    <t>Agriculture Gypsum Powder</t>
  </si>
  <si>
    <t>indianchemical2016@gmail.com</t>
  </si>
  <si>
    <t>Muzaffarpur</t>
  </si>
  <si>
    <t>Out Of Network Coverage Area</t>
  </si>
  <si>
    <t>C2014064</t>
  </si>
  <si>
    <t>Anand Agarwal</t>
  </si>
  <si>
    <t>Dhanbad -828109</t>
  </si>
  <si>
    <t>22.09.2021</t>
  </si>
  <si>
    <t>C2014063</t>
  </si>
  <si>
    <t>PRITHVI YANTRA PVT LTD</t>
  </si>
  <si>
    <t>joydebdam@yahoo.co.in</t>
  </si>
  <si>
    <t>C2014062</t>
  </si>
  <si>
    <t>Saurav Biswas</t>
  </si>
  <si>
    <t>Benotonite Powder</t>
  </si>
  <si>
    <t xml:space="preserve"> biswajita192@gmail.com
</t>
  </si>
  <si>
    <t>C2014061</t>
  </si>
  <si>
    <t>Jainco Transmission Limited</t>
  </si>
  <si>
    <t>Aluminium Silicon</t>
  </si>
  <si>
    <t xml:space="preserve"> ea@jainco.net</t>
  </si>
  <si>
    <t>21.09.2021</t>
  </si>
  <si>
    <t>C2014060</t>
  </si>
  <si>
    <t>Simran Trading &amp; Exports</t>
  </si>
  <si>
    <t>Tiamulin Hydrogen Fumarate 80%</t>
  </si>
  <si>
    <t>s_k_padhi2002@yahoo.co.in</t>
  </si>
  <si>
    <t>Kolkata - 700102</t>
  </si>
  <si>
    <t>P056</t>
  </si>
  <si>
    <t>Swati International</t>
  </si>
  <si>
    <t>purchase@swatiinternational.net</t>
  </si>
  <si>
    <t>Dankuni</t>
  </si>
  <si>
    <t>40/-Kg(s)</t>
  </si>
  <si>
    <t>Order Confirmed,Payment Done.</t>
  </si>
  <si>
    <t>C2014059</t>
  </si>
  <si>
    <t>Ved</t>
  </si>
  <si>
    <t xml:space="preserve"> ved.vineet@tatasteel.com</t>
  </si>
  <si>
    <t>C2014058</t>
  </si>
  <si>
    <t>Subhajit Enterprise</t>
  </si>
  <si>
    <t>subhajitdutta229@gmail.com</t>
  </si>
  <si>
    <t>Malda - 732102</t>
  </si>
  <si>
    <t>C2014057</t>
  </si>
  <si>
    <t>Munka Cattle Feed</t>
  </si>
  <si>
    <t>gouravmunka@gmail.com</t>
  </si>
  <si>
    <t>Adra - 723121</t>
  </si>
  <si>
    <t>Rate High.Party Target Price 15/-Kg(s)</t>
  </si>
  <si>
    <t>C2014056</t>
  </si>
  <si>
    <t>Benzene</t>
  </si>
  <si>
    <t xml:space="preserve"> saddamhussain115555@gmail.com</t>
  </si>
  <si>
    <t>Ghana- Islampur</t>
  </si>
  <si>
    <t>Party require solvent- low price.</t>
  </si>
  <si>
    <t>C2014055</t>
  </si>
  <si>
    <t>Bholanath Enterprise</t>
  </si>
  <si>
    <t>Perlite Ore, Carboriser</t>
  </si>
  <si>
    <t xml:space="preserve"> alakeshghosh122@gmail.com</t>
  </si>
  <si>
    <t>@22/-,@46/-</t>
  </si>
  <si>
    <t>C2014054</t>
  </si>
  <si>
    <t>Pioneer Enterprises</t>
  </si>
  <si>
    <t xml:space="preserve"> letterstosourav@gmail.com</t>
  </si>
  <si>
    <t>two time - ph. call not received.</t>
  </si>
  <si>
    <t>C2014053</t>
  </si>
  <si>
    <t>C2014052</t>
  </si>
  <si>
    <t>Star Plastic</t>
  </si>
  <si>
    <t xml:space="preserve"> mshahzada910@gmail.com</t>
  </si>
  <si>
    <t>party expoter</t>
  </si>
  <si>
    <t>C2014051</t>
  </si>
  <si>
    <t>Correnee Services</t>
  </si>
  <si>
    <t xml:space="preserve"> correngg@gmail.com</t>
  </si>
  <si>
    <t>C2014050</t>
  </si>
  <si>
    <t>Ganguly Enterprise</t>
  </si>
  <si>
    <t>sumon_paul2000@yahoo.co.uk</t>
  </si>
  <si>
    <t>Kolkata - 700124</t>
  </si>
  <si>
    <t>C2014049</t>
  </si>
  <si>
    <t>Agarwal Packing</t>
  </si>
  <si>
    <t>agarwalrishav495@gmail.com</t>
  </si>
  <si>
    <t>C2014048</t>
  </si>
  <si>
    <t>Khanmusaddek@gmail.com</t>
  </si>
  <si>
    <t>Rate High.Party Target Price 25/-Kg(s)</t>
  </si>
  <si>
    <t>C2014047</t>
  </si>
  <si>
    <t>D M Shiwankar</t>
  </si>
  <si>
    <t>Liquid Chlorine</t>
  </si>
  <si>
    <t>dmshiwankar@yahoo.com</t>
  </si>
  <si>
    <t>C2014046</t>
  </si>
  <si>
    <t>Rajender Kumar</t>
  </si>
  <si>
    <t>rk7240907@gmail.com</t>
  </si>
  <si>
    <t>Giridih</t>
  </si>
  <si>
    <t>Rate High.Party Target Price 88/-Kg</t>
  </si>
  <si>
    <t>18.09.2021</t>
  </si>
  <si>
    <t>C2014045</t>
  </si>
  <si>
    <t>Bhutan Trading</t>
  </si>
  <si>
    <t>koshyitty018@gmail.com</t>
  </si>
  <si>
    <t>Jaigaon</t>
  </si>
  <si>
    <t>party interested local area.</t>
  </si>
  <si>
    <t>C2014044</t>
  </si>
  <si>
    <t>keerthi agency</t>
  </si>
  <si>
    <t>earthyybags.accounts@yahoo.com</t>
  </si>
  <si>
    <t>C2014043</t>
  </si>
  <si>
    <t>Shyam Networking</t>
  </si>
  <si>
    <t xml:space="preserve"> shyam123.dubey@gmail.com</t>
  </si>
  <si>
    <t>Singrauli - 486884</t>
  </si>
  <si>
    <t>Rate High.Party Target Price 12.50/-Kg</t>
  </si>
  <si>
    <t>17.09.2021</t>
  </si>
  <si>
    <t>C2014042</t>
  </si>
  <si>
    <t>ADYANATH BOXI</t>
  </si>
  <si>
    <t>adyanathboxibdn@gmail.com</t>
  </si>
  <si>
    <t>C2014041</t>
  </si>
  <si>
    <t>Md Zubair Alam Ansari</t>
  </si>
  <si>
    <t>mdjubairalamansari786@gmail.com</t>
  </si>
  <si>
    <t>Topsia</t>
  </si>
  <si>
    <t>C2014040</t>
  </si>
  <si>
    <t>Sona Gold Agro Chem Pvt Ltd</t>
  </si>
  <si>
    <t xml:space="preserve"> adminho@sonagoldagro.com</t>
  </si>
  <si>
    <t>P055</t>
  </si>
  <si>
    <t>Acetic Acid(JNFC)</t>
  </si>
  <si>
    <t>Material not avail our Side.</t>
  </si>
  <si>
    <t>C2014039</t>
  </si>
  <si>
    <t>indian oil corporation limited</t>
  </si>
  <si>
    <t xml:space="preserve"> beheraj@indianoil.in</t>
  </si>
  <si>
    <t>Paradwip</t>
  </si>
  <si>
    <t>16.09.2021</t>
  </si>
  <si>
    <t>C2014038</t>
  </si>
  <si>
    <t>Tinopal Powder</t>
  </si>
  <si>
    <t xml:space="preserve"> ssenterprises981@gmail.com</t>
  </si>
  <si>
    <t>Mumbai - 410206</t>
  </si>
  <si>
    <t>@2150 per kg Ex Bhiwandi .Paramount Company</t>
  </si>
  <si>
    <t>C2014037</t>
  </si>
  <si>
    <t>Madhuri Petrochem</t>
  </si>
  <si>
    <t>White Spirit</t>
  </si>
  <si>
    <t>madhuripetrochem10@gmail.com</t>
  </si>
  <si>
    <t>C2014036</t>
  </si>
  <si>
    <t>Geeta Construction</t>
  </si>
  <si>
    <t>Sodium Sillicate, Acid Slurry etc.</t>
  </si>
  <si>
    <t>mdtaslim1977@yahoo.com</t>
  </si>
  <si>
    <t>Malda - 400059</t>
  </si>
  <si>
    <t>15.09.2021</t>
  </si>
  <si>
    <t>C2014035</t>
  </si>
  <si>
    <t>Sodium Sillicate Anhydrous</t>
  </si>
  <si>
    <t>C2014034</t>
  </si>
  <si>
    <t>Clifford Facility Services</t>
  </si>
  <si>
    <t xml:space="preserve"> exe.bd@cfspl.com</t>
  </si>
  <si>
    <t>Call Not Received.But Rate Quoted.</t>
  </si>
  <si>
    <t>14.09.2021</t>
  </si>
  <si>
    <t>C2014033</t>
  </si>
  <si>
    <t>Mudassir Hasan</t>
  </si>
  <si>
    <t>Sodium Thiosulphate</t>
  </si>
  <si>
    <t xml:space="preserve"> mohdmudassir200@gmail.com</t>
  </si>
  <si>
    <t>Rate high.Party Target Price 28/-Kg(s)</t>
  </si>
  <si>
    <t>C2014032</t>
  </si>
  <si>
    <t>Vishnu Trade Centre</t>
  </si>
  <si>
    <t>admin@vtcchemonline.com</t>
  </si>
  <si>
    <t>C2014031</t>
  </si>
  <si>
    <t>M.B.Services</t>
  </si>
  <si>
    <t>rajusingh4018@gmail.com</t>
  </si>
  <si>
    <t>13.09.2021</t>
  </si>
  <si>
    <t>C2014030</t>
  </si>
  <si>
    <t>Biswajit Patra</t>
  </si>
  <si>
    <t>pbiswajitpatra729@gmail.com</t>
  </si>
  <si>
    <t>Next Week Party Will Come.</t>
  </si>
  <si>
    <t>C2014029</t>
  </si>
  <si>
    <t>Mahabat International</t>
  </si>
  <si>
    <t xml:space="preserve"> mahabbatint@gmail.com</t>
  </si>
  <si>
    <t>Party Required Only Unicorn Brand.</t>
  </si>
  <si>
    <t>C2014028</t>
  </si>
  <si>
    <t>Pandit Store</t>
  </si>
  <si>
    <t>Calcite Powder, DCP</t>
  </si>
  <si>
    <t>panditjeeamda@gmail.com</t>
  </si>
  <si>
    <t>SIliguri</t>
  </si>
  <si>
    <t>C2014027</t>
  </si>
  <si>
    <t>Amit Das</t>
  </si>
  <si>
    <t>Linear Alkyl Benzene</t>
  </si>
  <si>
    <t>dalingshan555@gmail.com</t>
  </si>
  <si>
    <t>Siliguri - 713519</t>
  </si>
  <si>
    <t>C2014026</t>
  </si>
  <si>
    <t>Pradip Mitra</t>
  </si>
  <si>
    <t>pradipmitra.in@gmail.com</t>
  </si>
  <si>
    <t>Rate High.Party Want To Purchase From Manufacturer.</t>
  </si>
  <si>
    <t>11.09.2021</t>
  </si>
  <si>
    <t>P054</t>
  </si>
  <si>
    <t>Vikas Hitech Casting</t>
  </si>
  <si>
    <t>Zircon Sand, Feldespar Powder</t>
  </si>
  <si>
    <t>5000+30000</t>
  </si>
  <si>
    <t>hitechvikash7@gmail.com</t>
  </si>
  <si>
    <t>Material Sent For Sample Basis.</t>
  </si>
  <si>
    <t>Rate High.Party Target Price 117/-Kg</t>
  </si>
  <si>
    <t>C2014025</t>
  </si>
  <si>
    <t>Kolkata Medimpex Private Limited</t>
  </si>
  <si>
    <t xml:space="preserve"> kmplsg@gmail.com</t>
  </si>
  <si>
    <t>Kolkata - 700048</t>
  </si>
  <si>
    <t>C2014024</t>
  </si>
  <si>
    <t>sashi2805@gmail.com</t>
  </si>
  <si>
    <t>C2014023</t>
  </si>
  <si>
    <t>Pawan Baluka</t>
  </si>
  <si>
    <t>bikashsahuwala@yahoo.com</t>
  </si>
  <si>
    <t>Jaipur</t>
  </si>
  <si>
    <t>10.09.2021</t>
  </si>
  <si>
    <t>C2014022</t>
  </si>
  <si>
    <t>S A &amp; Chemicals</t>
  </si>
  <si>
    <t>Liquid Ammonia</t>
  </si>
  <si>
    <t>saibaldas001@gmail.com</t>
  </si>
  <si>
    <t>Kolkata - 700067</t>
  </si>
  <si>
    <t>C2014021</t>
  </si>
  <si>
    <t>Delux Logistics</t>
  </si>
  <si>
    <t xml:space="preserve"> deluxlogistics1@gmail.com</t>
  </si>
  <si>
    <t>Kolkata - 700090</t>
  </si>
  <si>
    <t>C2014020</t>
  </si>
  <si>
    <t>sankae dey</t>
  </si>
  <si>
    <t>sayan.dey.5059601@gmail.com</t>
  </si>
  <si>
    <t>Rate Quoted.But Manually Stitch Not Accepted.</t>
  </si>
  <si>
    <t>09.09.2021</t>
  </si>
  <si>
    <t>C2014019</t>
  </si>
  <si>
    <t>C2014018</t>
  </si>
  <si>
    <t>Mama Engineers</t>
  </si>
  <si>
    <t>Sodium Hypochlorite 10%</t>
  </si>
  <si>
    <t>subhaskundu43@gmail.com</t>
  </si>
  <si>
    <t>Require end of the month.</t>
  </si>
  <si>
    <t>P053</t>
  </si>
  <si>
    <t>Wonderland Mangala Industries</t>
  </si>
  <si>
    <t>wonderlandkolkata@gmail.com</t>
  </si>
  <si>
    <t>Quote Send And PI Send.</t>
  </si>
  <si>
    <t>Order Confirmed,Advance Payment Done</t>
  </si>
  <si>
    <t>08.09.2021</t>
  </si>
  <si>
    <t>C2014017</t>
  </si>
  <si>
    <t>Jitendra Kumar Nagbanshi</t>
  </si>
  <si>
    <t xml:space="preserve"> jitendarnagbanshi@gmail.com</t>
  </si>
  <si>
    <t>Kulti</t>
  </si>
  <si>
    <t>C2014016</t>
  </si>
  <si>
    <t>P.K Enterprise</t>
  </si>
  <si>
    <t xml:space="preserve"> chaudhary.pankaj2010@gmail.com</t>
  </si>
  <si>
    <t>Bamtala</t>
  </si>
  <si>
    <t>C2014015</t>
  </si>
  <si>
    <t>Nilosaa Organics Pvt Ltd</t>
  </si>
  <si>
    <t xml:space="preserve"> lohitakash@gmail.com</t>
  </si>
  <si>
    <t>C2014014</t>
  </si>
  <si>
    <t>RK Sales Corporation</t>
  </si>
  <si>
    <t xml:space="preserve"> pk9038926051@gmail.com</t>
  </si>
  <si>
    <t>08.08.2021</t>
  </si>
  <si>
    <t>C2014013</t>
  </si>
  <si>
    <t>Subham Dyes</t>
  </si>
  <si>
    <t>Sodium Bisulfite</t>
  </si>
  <si>
    <t>C2014012</t>
  </si>
  <si>
    <t>Netaji Enterprises</t>
  </si>
  <si>
    <t xml:space="preserve"> Rammohankumar980@gmail.com</t>
  </si>
  <si>
    <t>Kolkata - 700014</t>
  </si>
  <si>
    <t>C2014011</t>
  </si>
  <si>
    <t>SOURAV SINGH</t>
  </si>
  <si>
    <t>souravsingh.parry@gmail.com</t>
  </si>
  <si>
    <t>Midnapore - 721211</t>
  </si>
  <si>
    <t>Rate High,Party Target Price 4.50/-KG(S)</t>
  </si>
  <si>
    <t>C2014010</t>
  </si>
  <si>
    <t>Shreeshyam Oleo Chemicals Pvt Ltd</t>
  </si>
  <si>
    <t>Glycerin</t>
  </si>
  <si>
    <t>vivek@shreeshyamgroup.co</t>
  </si>
  <si>
    <t>C2014009</t>
  </si>
  <si>
    <t>Kohinoor India Trading Corporation</t>
  </si>
  <si>
    <t xml:space="preserve"> kitckol@gmail.com</t>
  </si>
  <si>
    <t>Order not confirmed.</t>
  </si>
  <si>
    <t>C2014008</t>
  </si>
  <si>
    <t>Pankaj Manaker</t>
  </si>
  <si>
    <t>C2014007</t>
  </si>
  <si>
    <t>Noorul Hasan</t>
  </si>
  <si>
    <t xml:space="preserve"> fwfashioncraft@yahoo.com</t>
  </si>
  <si>
    <t>07.09.2021</t>
  </si>
  <si>
    <t>C2014006</t>
  </si>
  <si>
    <t>Sai Trading</t>
  </si>
  <si>
    <t>Light Liquid Paraffin IP</t>
  </si>
  <si>
    <t>ashok_gupta2015@hotmail.com</t>
  </si>
  <si>
    <t>04.09.2021</t>
  </si>
  <si>
    <t>C2014005</t>
  </si>
  <si>
    <t>Adrit Agro</t>
  </si>
  <si>
    <t>soumendra19835@rediffmail.com</t>
  </si>
  <si>
    <t>Midnapore - 721140</t>
  </si>
  <si>
    <t>C2014004</t>
  </si>
  <si>
    <t>Star Make Infrastructure Trade Link Pvt. Ltd.</t>
  </si>
  <si>
    <t xml:space="preserve"> anindyashomeray@gmail.com</t>
  </si>
  <si>
    <t>Party require tanker loading.</t>
  </si>
  <si>
    <t>C2014003</t>
  </si>
  <si>
    <t>Seven Seas international</t>
  </si>
  <si>
    <t>b.k.chatterjee2019@gmail.com</t>
  </si>
  <si>
    <t xml:space="preserve">Next Month Party Will Come To Visit Our Office </t>
  </si>
  <si>
    <t>C2014002</t>
  </si>
  <si>
    <t>Rishabh Chemicals</t>
  </si>
  <si>
    <t>Nitrobenzene</t>
  </si>
  <si>
    <t xml:space="preserve"> shahharsh130@gmail.com</t>
  </si>
  <si>
    <t>Mumbai - 400067</t>
  </si>
  <si>
    <t>P052</t>
  </si>
  <si>
    <t>B.P.Marketing</t>
  </si>
  <si>
    <t>bpmarketing2000@gmail.com</t>
  </si>
  <si>
    <t>24.50/-Kg(s)</t>
  </si>
  <si>
    <t>Order Confirmed Payment Done.</t>
  </si>
  <si>
    <t>03.09.2021</t>
  </si>
  <si>
    <t>C2014001</t>
  </si>
  <si>
    <t>ASIAN CHEMICALS</t>
  </si>
  <si>
    <t>Zirconium Silicate</t>
  </si>
  <si>
    <t xml:space="preserve"> asichem_02@rediffmail.com</t>
  </si>
  <si>
    <t>Rourkela</t>
  </si>
  <si>
    <t>C2014000</t>
  </si>
  <si>
    <t>Bharat Rubber Products</t>
  </si>
  <si>
    <t xml:space="preserve"> safiahmed2631@gmail.com</t>
  </si>
  <si>
    <t>Product Not Available Now.</t>
  </si>
  <si>
    <t>C2013999</t>
  </si>
  <si>
    <t>Hari Om Traders</t>
  </si>
  <si>
    <t xml:space="preserve"> lalitkumar5682@gmail.com</t>
  </si>
  <si>
    <t>Mumbai - 401303</t>
  </si>
  <si>
    <t>@5+ Ex Bhiwandi</t>
  </si>
  <si>
    <t>Need 16/32 size - 10Mt</t>
  </si>
  <si>
    <t>C2013998</t>
  </si>
  <si>
    <t>S K Global Associates</t>
  </si>
  <si>
    <t>Than Clay</t>
  </si>
  <si>
    <t>skglobalassociates2018@gmail.com</t>
  </si>
  <si>
    <t>Kolkata - 700022</t>
  </si>
  <si>
    <t>P051</t>
  </si>
  <si>
    <t>Samr Filtration Pvt Ltd.</t>
  </si>
  <si>
    <t>saurav@samrfilter.com</t>
  </si>
  <si>
    <t>Filteration Purpose</t>
  </si>
  <si>
    <t>137/-Kg(s)</t>
  </si>
  <si>
    <t>02.09.2021</t>
  </si>
  <si>
    <t>C2013997</t>
  </si>
  <si>
    <t>Starling Silk Mills Private Limited</t>
  </si>
  <si>
    <t xml:space="preserve"> starlingsilk@gmail.com</t>
  </si>
  <si>
    <t>Kolkata - 732101</t>
  </si>
  <si>
    <t>01.09.2021</t>
  </si>
  <si>
    <t>C2013996</t>
  </si>
  <si>
    <t>JSR International India Pvt. Ltd.</t>
  </si>
  <si>
    <t>singhshashank854@gmail.com</t>
  </si>
  <si>
    <t>0035M</t>
  </si>
  <si>
    <t>32/-Kg,As Discussed With Sir.</t>
  </si>
  <si>
    <t>C2013995</t>
  </si>
  <si>
    <t>M/s Aalina Soap Factory</t>
  </si>
  <si>
    <t xml:space="preserve"> savanna.shanawaz@gmail.com</t>
  </si>
  <si>
    <t>Jamshedpur - 532301</t>
  </si>
  <si>
    <t>Referred To Kaushik.</t>
  </si>
  <si>
    <t>C2013994</t>
  </si>
  <si>
    <t>CHEMEX OIL PVT. LTD</t>
  </si>
  <si>
    <t>sadhikakanodia@gmail.com</t>
  </si>
  <si>
    <t>C2013993</t>
  </si>
  <si>
    <t>HENA BHATTACHARYA</t>
  </si>
  <si>
    <t>Ferrous Alum Powder</t>
  </si>
  <si>
    <t>arkam1980@gmail.com</t>
  </si>
  <si>
    <t>C2013992</t>
  </si>
  <si>
    <t>Globalize Impex</t>
  </si>
  <si>
    <t xml:space="preserve"> globalizeimpex@gmail.com</t>
  </si>
  <si>
    <t>C2013991</t>
  </si>
  <si>
    <t>Ganapati exports</t>
  </si>
  <si>
    <t>PVA BP20</t>
  </si>
  <si>
    <t xml:space="preserve"> exportsganapati@gmail.com</t>
  </si>
  <si>
    <t xml:space="preserve"> Kolkata - 700004</t>
  </si>
  <si>
    <t>Rate Not Available.</t>
  </si>
  <si>
    <t>C2013990</t>
  </si>
  <si>
    <t>Techno Industrial Products</t>
  </si>
  <si>
    <t>Zinc Sulphide 67%</t>
  </si>
  <si>
    <t xml:space="preserve"> puneet_murarka@hotmail.com</t>
  </si>
  <si>
    <t xml:space="preserve"> Kolkata - 700016</t>
  </si>
  <si>
    <t>@647/-</t>
  </si>
  <si>
    <t>31.08.2021</t>
  </si>
  <si>
    <t>C2013989</t>
  </si>
  <si>
    <t>Miihir Chemosol</t>
  </si>
  <si>
    <t xml:space="preserve"> mcplshekhar.pur@gmail.com</t>
  </si>
  <si>
    <t>Mumbai - 400614</t>
  </si>
  <si>
    <t>0034M</t>
  </si>
  <si>
    <t>@9+ Ex Bhiwandi.</t>
  </si>
  <si>
    <t>QUOTATION</t>
  </si>
  <si>
    <t>C2013988</t>
  </si>
  <si>
    <t>M/s Ebarat Ali</t>
  </si>
  <si>
    <t xml:space="preserve"> ebarat.ali.98@gmail.com</t>
  </si>
  <si>
    <t>133/-Kg(s)</t>
  </si>
  <si>
    <t>188K</t>
  </si>
  <si>
    <t>Rate High.Target Price 108/-Kg(s)</t>
  </si>
  <si>
    <t>C2013987</t>
  </si>
  <si>
    <t>Anusari Chemical</t>
  </si>
  <si>
    <t>anusarichemical@gmail.com</t>
  </si>
  <si>
    <t>Thane - 421201</t>
  </si>
  <si>
    <t>C2013986</t>
  </si>
  <si>
    <t>A.B.Engineering Services</t>
  </si>
  <si>
    <t>info@abtechno.in</t>
  </si>
  <si>
    <t>Kolkata - 700107</t>
  </si>
  <si>
    <t>C2013985</t>
  </si>
  <si>
    <t>Joyjit Raychaudhuri</t>
  </si>
  <si>
    <t xml:space="preserve"> joyjitraychaudhuri68@gmail.com</t>
  </si>
  <si>
    <t>Kolkata - 711302</t>
  </si>
  <si>
    <t>C2013984</t>
  </si>
  <si>
    <t>Shree Sports</t>
  </si>
  <si>
    <t>Ajinomoto</t>
  </si>
  <si>
    <t xml:space="preserve"> sachinholkar185@gmail.com</t>
  </si>
  <si>
    <t>Baramati - 413102</t>
  </si>
  <si>
    <t>0036M</t>
  </si>
  <si>
    <t>@150+ Ex Bhiwandi</t>
  </si>
  <si>
    <t>C2013983</t>
  </si>
  <si>
    <t>Manju Ranka</t>
  </si>
  <si>
    <t xml:space="preserve"> rankamanju13@gmail.com</t>
  </si>
  <si>
    <t>C2013982</t>
  </si>
  <si>
    <t>Tipu Sultan</t>
  </si>
  <si>
    <t xml:space="preserve"> tipusultan4293@gmail.com</t>
  </si>
  <si>
    <t>30.08.2021</t>
  </si>
  <si>
    <t>C2013981</t>
  </si>
  <si>
    <t>avmsales@vsnl.com</t>
  </si>
  <si>
    <t>C2013980</t>
  </si>
  <si>
    <t>Lords Chemicals Limited</t>
  </si>
  <si>
    <t>navinjain99@gmail.com</t>
  </si>
  <si>
    <t>Kolkata - 700016</t>
  </si>
  <si>
    <t>C2013979</t>
  </si>
  <si>
    <t>Anjan</t>
  </si>
  <si>
    <t>Anthracite Coal</t>
  </si>
  <si>
    <t xml:space="preserve"> ranjittanti@gmail.com</t>
  </si>
  <si>
    <t>@14.50/-</t>
  </si>
  <si>
    <t>Party want to credit for one month.</t>
  </si>
  <si>
    <t>C2013978</t>
  </si>
  <si>
    <t>Samir Sahu</t>
  </si>
  <si>
    <t>Silimanite Flour</t>
  </si>
  <si>
    <t xml:space="preserve"> isotech.prodz2012@gmail.com</t>
  </si>
  <si>
    <t xml:space="preserve"> North 24 Parganas</t>
  </si>
  <si>
    <t>C2013977</t>
  </si>
  <si>
    <t>Wood Force</t>
  </si>
  <si>
    <t xml:space="preserve">Calcium carbonate </t>
  </si>
  <si>
    <t xml:space="preserve"> polyadhesiveindustry@gmail.com</t>
  </si>
  <si>
    <t>Ahmednagar - 414111</t>
  </si>
  <si>
    <t>28.08.2021</t>
  </si>
  <si>
    <t>C2013976</t>
  </si>
  <si>
    <t>Anupam</t>
  </si>
  <si>
    <t>Blue Silica Gel</t>
  </si>
  <si>
    <t>28000 P</t>
  </si>
  <si>
    <t>sahaanupam2007@gmail.com</t>
  </si>
  <si>
    <t>Rate High.Party Target Price 130-140/-Kg(s)</t>
  </si>
  <si>
    <t>C2013975</t>
  </si>
  <si>
    <t>Bangal Oil Treders</t>
  </si>
  <si>
    <t>Rate High.Party Target Price 48/-Kg(s)</t>
  </si>
  <si>
    <t>C2013974</t>
  </si>
  <si>
    <t>Drp Traders</t>
  </si>
  <si>
    <t xml:space="preserve"> gooolu.prakash@gmail.com</t>
  </si>
  <si>
    <t xml:space="preserve"> Patna - 800008</t>
  </si>
  <si>
    <t>C2013973</t>
  </si>
  <si>
    <t>CHITRA SABOO</t>
  </si>
  <si>
    <t xml:space="preserve"> chitrasaboo7@gmail.com</t>
  </si>
  <si>
    <t>Rate High.Party Target Price 24/-kG(S).</t>
  </si>
  <si>
    <t>C2013972</t>
  </si>
  <si>
    <t>Jyoti Chemico Corporation</t>
  </si>
  <si>
    <t xml:space="preserve"> dasspartha630@gmail.com</t>
  </si>
  <si>
    <t>Kolkata - 700056</t>
  </si>
  <si>
    <t>C2013971</t>
  </si>
  <si>
    <t>Elem Business India Private Limited</t>
  </si>
  <si>
    <t xml:space="preserve"> subham4862@gmail.com</t>
  </si>
  <si>
    <t>C2013970</t>
  </si>
  <si>
    <t>B. P. Enterprise</t>
  </si>
  <si>
    <t>Phospharic Acid</t>
  </si>
  <si>
    <t xml:space="preserve"> kishorbej@gmail.com</t>
  </si>
  <si>
    <t xml:space="preserve"> Howrah - 711409</t>
  </si>
  <si>
    <t>27.08.2021</t>
  </si>
  <si>
    <t>C2013969</t>
  </si>
  <si>
    <t>Shri Jagan Nath Ent</t>
  </si>
  <si>
    <t xml:space="preserve"> jayanta.panda@sjspl.co.in</t>
  </si>
  <si>
    <t>Barbil-758035</t>
  </si>
  <si>
    <t>C2013968</t>
  </si>
  <si>
    <t>raenterprise181@gmail.com</t>
  </si>
  <si>
    <t>26.08.2021</t>
  </si>
  <si>
    <t>C2013967</t>
  </si>
  <si>
    <t>Subhashish</t>
  </si>
  <si>
    <t>Soda Ash, Ferric Chloride &amp; SMBS</t>
  </si>
  <si>
    <t>3000+600 +400</t>
  </si>
  <si>
    <t xml:space="preserve"> hydronix@rediffmail.com</t>
  </si>
  <si>
    <t>C2013966</t>
  </si>
  <si>
    <t>Maheshwari Foods</t>
  </si>
  <si>
    <t xml:space="preserve"> sriramrath54@gmail.com</t>
  </si>
  <si>
    <t>Bhubaneswar - 751001</t>
  </si>
  <si>
    <t>C2013965</t>
  </si>
  <si>
    <t>Anjali Udhyog</t>
  </si>
  <si>
    <t>Saccharin Powder</t>
  </si>
  <si>
    <t xml:space="preserve"> jitendrajhunjhunwala@gmail.com</t>
  </si>
  <si>
    <t>Rate High.Party Target Price 815/-Kg(s)</t>
  </si>
  <si>
    <t>C2013964</t>
  </si>
  <si>
    <t>Rajesh Puri</t>
  </si>
  <si>
    <t xml:space="preserve"> Shubhams_rpuri@rediffmail.com</t>
  </si>
  <si>
    <t>Industrial Purpose</t>
  </si>
  <si>
    <t>Party requirement price@3/- only.</t>
  </si>
  <si>
    <t>C2013963</t>
  </si>
  <si>
    <t>Girish</t>
  </si>
  <si>
    <t>girishnrt95358@gmail.com</t>
  </si>
  <si>
    <t>Kolar</t>
  </si>
  <si>
    <t>C2013962</t>
  </si>
  <si>
    <t>Papan Bakery</t>
  </si>
  <si>
    <t>Sorbitol, glycerin</t>
  </si>
  <si>
    <t xml:space="preserve">49/- &amp; 115/- </t>
  </si>
  <si>
    <t>C2013961</t>
  </si>
  <si>
    <t>Ajay Koushik</t>
  </si>
  <si>
    <t>ajaykoushikkoushik3@gmail.com</t>
  </si>
  <si>
    <t>25.08.2021</t>
  </si>
  <si>
    <t>C2013960</t>
  </si>
  <si>
    <t>Safed Rasayan Udyog</t>
  </si>
  <si>
    <t xml:space="preserve"> srubrajesh@hotmail.com</t>
  </si>
  <si>
    <t>C2013959</t>
  </si>
  <si>
    <t>Hossai</t>
  </si>
  <si>
    <t xml:space="preserve"> skajajulhossain786@gmail.com</t>
  </si>
  <si>
    <t>C2013958</t>
  </si>
  <si>
    <t>Unique Chemical Processing</t>
  </si>
  <si>
    <t>Sodium Metasilicate Pentahydrate</t>
  </si>
  <si>
    <t xml:space="preserve"> nanda20121980@gmail.com</t>
  </si>
  <si>
    <t>Kolkata - 700036</t>
  </si>
  <si>
    <t>C2013957</t>
  </si>
  <si>
    <t>Bird Farm</t>
  </si>
  <si>
    <t xml:space="preserve"> jagadishpurkait10@gmail.com</t>
  </si>
  <si>
    <t>C2013956</t>
  </si>
  <si>
    <t>RAJU NAGRAJ</t>
  </si>
  <si>
    <t xml:space="preserve"> rajunagraj404@gmail.com</t>
  </si>
  <si>
    <t>24.08.2021</t>
  </si>
  <si>
    <t>C2013955</t>
  </si>
  <si>
    <t>Style Hub</t>
  </si>
  <si>
    <t xml:space="preserve"> abdulsohail@outlook.com</t>
  </si>
  <si>
    <t>C2013954</t>
  </si>
  <si>
    <t>Impex Ferro Tech Ltd</t>
  </si>
  <si>
    <t xml:space="preserve"> emailskjha@gmail.com</t>
  </si>
  <si>
    <t xml:space="preserve"> Kolkata - 713304</t>
  </si>
  <si>
    <t>P050</t>
  </si>
  <si>
    <t>Ranjit Gogai</t>
  </si>
  <si>
    <t>500kg.</t>
  </si>
  <si>
    <t>ranjitgogoi10@gmail.com</t>
  </si>
  <si>
    <t>P049</t>
  </si>
  <si>
    <t>Balaji Industrial Spares</t>
  </si>
  <si>
    <t>Sodium Hydro sulphite</t>
  </si>
  <si>
    <t>50kg</t>
  </si>
  <si>
    <t>Industrialhardwarestoredhanbad@gmail.com</t>
  </si>
  <si>
    <t>C2013953</t>
  </si>
  <si>
    <t>Ganesh Bhai</t>
  </si>
  <si>
    <t>ganeshashwin1981@gmail.com</t>
  </si>
  <si>
    <t>C2013952</t>
  </si>
  <si>
    <t>Vinod Kumar Singh</t>
  </si>
  <si>
    <t>vinodsingh326@gmail.com</t>
  </si>
  <si>
    <t>C2013951</t>
  </si>
  <si>
    <t>JMM Smart india</t>
  </si>
  <si>
    <t xml:space="preserve"> sunildolai89@gmail.com</t>
  </si>
  <si>
    <t>Kharagpur - 721149</t>
  </si>
  <si>
    <t>23.08.2021</t>
  </si>
  <si>
    <t>C2013950</t>
  </si>
  <si>
    <t xml:space="preserve">soumyabanerjee63@gmail.com
</t>
  </si>
  <si>
    <t xml:space="preserve"> Hooghly - 712233</t>
  </si>
  <si>
    <t>C2013949</t>
  </si>
  <si>
    <t>Flourspar Powder</t>
  </si>
  <si>
    <t>C2013948</t>
  </si>
  <si>
    <t>Sunil Gas Agency</t>
  </si>
  <si>
    <t xml:space="preserve"> kumaramar67684@gmail.com</t>
  </si>
  <si>
    <t>Buxar- Bihar</t>
  </si>
  <si>
    <t>C2013947</t>
  </si>
  <si>
    <t>Rashmi Industries</t>
  </si>
  <si>
    <t xml:space="preserve"> tkdchandan@gmail.com</t>
  </si>
  <si>
    <t>Cuttack - 753001</t>
  </si>
  <si>
    <t>C2013946</t>
  </si>
  <si>
    <t>Hp Trading And Corporation</t>
  </si>
  <si>
    <t xml:space="preserve"> sunilnidani@gmail.com</t>
  </si>
  <si>
    <t xml:space="preserve"> Guwahati - 781001</t>
  </si>
  <si>
    <t>21.08.2021</t>
  </si>
  <si>
    <t>C2013945</t>
  </si>
  <si>
    <t>Shri Rajesh Agency</t>
  </si>
  <si>
    <t>Feldspar Powder</t>
  </si>
  <si>
    <t>C2013944</t>
  </si>
  <si>
    <t>MOHANTA &amp; COMPANY</t>
  </si>
  <si>
    <t>rabindra.mohanta2016@gmail.com</t>
  </si>
  <si>
    <t>Odisha-757025</t>
  </si>
  <si>
    <t>Call Not Recived.</t>
  </si>
  <si>
    <t>He Is Manufacturer.</t>
  </si>
  <si>
    <t>C2013943</t>
  </si>
  <si>
    <t>Prince Singh</t>
  </si>
  <si>
    <t>Ammonium Bicarbonate</t>
  </si>
  <si>
    <t xml:space="preserve"> ps0217442@gmail.com</t>
  </si>
  <si>
    <t>P048</t>
  </si>
  <si>
    <t>Megha Engineering and Infrastructure Ltd,</t>
  </si>
  <si>
    <t>Charcoal  and Salt</t>
  </si>
  <si>
    <t>5000   &amp;   5000</t>
  </si>
  <si>
    <t>vamsi.korni@meilgroup.org</t>
  </si>
  <si>
    <t>Mayurbhanj dist, odisha</t>
  </si>
  <si>
    <t>97409 65982</t>
  </si>
  <si>
    <t>C2013942</t>
  </si>
  <si>
    <t>Kolkata - 721121</t>
  </si>
  <si>
    <t>C2013941</t>
  </si>
  <si>
    <t>Eastern Marketing Organisation</t>
  </si>
  <si>
    <t>Soda Ash, Sodium Sillicate</t>
  </si>
  <si>
    <t>500+500</t>
  </si>
  <si>
    <t xml:space="preserve"> easternmarketingorganisation@gmail.com</t>
  </si>
  <si>
    <t>20.08.2021</t>
  </si>
  <si>
    <t>C2013940</t>
  </si>
  <si>
    <t>Chhinnya Enterprises</t>
  </si>
  <si>
    <t>ms1982.2009@rediffmail.com</t>
  </si>
  <si>
    <t>Quoted And Material Photocopy Send</t>
  </si>
  <si>
    <t>C2013939</t>
  </si>
  <si>
    <t>girimahesh421@gmail.com</t>
  </si>
  <si>
    <t>Sangli</t>
  </si>
  <si>
    <t>Agriculture Purpose</t>
  </si>
  <si>
    <t>0031M</t>
  </si>
  <si>
    <t>Q 24+ ex Bhiwandi</t>
  </si>
  <si>
    <t>C2013938</t>
  </si>
  <si>
    <t>Jay Mata Di Enterprises</t>
  </si>
  <si>
    <t>Manganese Sulphate Solution</t>
  </si>
  <si>
    <t>chavdadigvijay1@gmail.com</t>
  </si>
  <si>
    <t>Gandhinagar - 382721</t>
  </si>
  <si>
    <t>C2013937</t>
  </si>
  <si>
    <t>purchaseamrut@gmail.com</t>
  </si>
  <si>
    <t>0032M</t>
  </si>
  <si>
    <t>Not responding. Q @30+ ex Bhiwandi</t>
  </si>
  <si>
    <t>C2013936</t>
  </si>
  <si>
    <t>docdxb@gmail.com</t>
  </si>
  <si>
    <t>0033M</t>
  </si>
  <si>
    <t>Q 22 per kg for full truck</t>
  </si>
  <si>
    <t>19.08.2021</t>
  </si>
  <si>
    <t>C2013935</t>
  </si>
  <si>
    <t xml:space="preserve"> rk textiles</t>
  </si>
  <si>
    <t xml:space="preserve"> anshariarif060@gmail.com</t>
  </si>
  <si>
    <t>C2013934</t>
  </si>
  <si>
    <t>M F traders</t>
  </si>
  <si>
    <t xml:space="preserve"> zamir9999@gmail.com</t>
  </si>
  <si>
    <t>18.08.2021</t>
  </si>
  <si>
    <t>P047</t>
  </si>
  <si>
    <t>Sankar Dey</t>
  </si>
  <si>
    <t>Bleaching Powder,Limestone Powder</t>
  </si>
  <si>
    <t>5 Ton(s),15 Ton(s)</t>
  </si>
  <si>
    <t>C2013933</t>
  </si>
  <si>
    <t>Riya Enterprisess</t>
  </si>
  <si>
    <t>Wrong enquery.</t>
  </si>
  <si>
    <t>17.08.2021</t>
  </si>
  <si>
    <t>P046</t>
  </si>
  <si>
    <t>Bhooma Energy Ventures pvt Ltd.</t>
  </si>
  <si>
    <t xml:space="preserve">Citric Acid,Bleaching </t>
  </si>
  <si>
    <t>250kg, 375 kg.</t>
  </si>
  <si>
    <t xml:space="preserve">K.basfor89@gmail.com </t>
  </si>
  <si>
    <t>Rangia Assam.</t>
  </si>
  <si>
    <t>91776 08219</t>
  </si>
  <si>
    <t>C2013932</t>
  </si>
  <si>
    <t>Aashirwad Enterprise</t>
  </si>
  <si>
    <t xml:space="preserve"> aashirbwad2020@gmail.com</t>
  </si>
  <si>
    <t>Kotbar - 721633</t>
  </si>
  <si>
    <t>Call Not Connected.(2)</t>
  </si>
  <si>
    <t>C2013931</t>
  </si>
  <si>
    <t>Sibasish Dash</t>
  </si>
  <si>
    <t>sibasish.dash.bls@gmail.com</t>
  </si>
  <si>
    <t>C2013930</t>
  </si>
  <si>
    <t>JG Protector</t>
  </si>
  <si>
    <t xml:space="preserve"> jgpkol.india@gmail.com</t>
  </si>
  <si>
    <t>@33/-</t>
  </si>
  <si>
    <t>16.08.2021</t>
  </si>
  <si>
    <t>C2013929</t>
  </si>
  <si>
    <t>Maxon Techno</t>
  </si>
  <si>
    <t>maxontechno1988@gmail.com</t>
  </si>
  <si>
    <t>@250/-</t>
  </si>
  <si>
    <t>C2013928</t>
  </si>
  <si>
    <t>Power Zone</t>
  </si>
  <si>
    <t>rasminagravat1111@gmail.com</t>
  </si>
  <si>
    <t>Surat</t>
  </si>
  <si>
    <t>As per discussion first we will send sample</t>
  </si>
  <si>
    <t>C2013927</t>
  </si>
  <si>
    <t>Sealo International</t>
  </si>
  <si>
    <t>sealo.international@gmail.com</t>
  </si>
  <si>
    <t>Not Answering.</t>
  </si>
  <si>
    <t>14.08.2021</t>
  </si>
  <si>
    <t>C2013926</t>
  </si>
  <si>
    <t>Riman Biswas</t>
  </si>
  <si>
    <t>Aluminium Sulphate</t>
  </si>
  <si>
    <t>riman.biswas1995@gmail.com</t>
  </si>
  <si>
    <t>@24</t>
  </si>
  <si>
    <t>C2013925</t>
  </si>
  <si>
    <t>Asbestos Powder, Talcum Powder</t>
  </si>
  <si>
    <t xml:space="preserve"> startrade21@gmail.com</t>
  </si>
  <si>
    <t>P045</t>
  </si>
  <si>
    <t>PATTON INTERNATIONAL L I M I T E D</t>
  </si>
  <si>
    <t>ZINC CHLORIDE 46% ( KIQUID FOAM )</t>
  </si>
  <si>
    <t>rcdas@pattonindia.com</t>
  </si>
  <si>
    <t>Party received the price@ 37/-pkg.</t>
  </si>
  <si>
    <t>C2013924</t>
  </si>
  <si>
    <t>amitawasthi66834@gmail.com</t>
  </si>
  <si>
    <t>Unnaw- UP</t>
  </si>
  <si>
    <t>C2013923</t>
  </si>
  <si>
    <t>Siyona Boutique</t>
  </si>
  <si>
    <t>tarunjjw@gmail.com</t>
  </si>
  <si>
    <t>C2013922</t>
  </si>
  <si>
    <t>At Your Service</t>
  </si>
  <si>
    <t>atyourservice218@gmail.com</t>
  </si>
  <si>
    <t>C2013921</t>
  </si>
  <si>
    <t>Krishi Bharati</t>
  </si>
  <si>
    <t xml:space="preserve"> krishibharati@gmail.com</t>
  </si>
  <si>
    <t>Party Target Price 9/-Kg(s)</t>
  </si>
  <si>
    <t>C2013920</t>
  </si>
  <si>
    <t>Kings International</t>
  </si>
  <si>
    <t>Pet Coke</t>
  </si>
  <si>
    <t>kingsinternational1@gmail.com</t>
  </si>
  <si>
    <t>Khopoli-Maharashtra</t>
  </si>
  <si>
    <t>12.08.2021</t>
  </si>
  <si>
    <t>C2013919</t>
  </si>
  <si>
    <t>Abbas Soap Factory</t>
  </si>
  <si>
    <t>mirkhalidpvltd786@gmail.com</t>
  </si>
  <si>
    <t>Kolkata - 700046</t>
  </si>
  <si>
    <t>C2013918</t>
  </si>
  <si>
    <t>Colour N Colours</t>
  </si>
  <si>
    <t xml:space="preserve"> colourncoloursbls@gmail.com</t>
  </si>
  <si>
    <t>Balasore - 756001</t>
  </si>
  <si>
    <t>@120/-</t>
  </si>
  <si>
    <t>C2013917</t>
  </si>
  <si>
    <t>Ss Enterpeises</t>
  </si>
  <si>
    <t>mukherjee.sudip652@gmail.com</t>
  </si>
  <si>
    <t>Rate Quoted.,Party Target Price 26.50/-Kg(s)</t>
  </si>
  <si>
    <t>C2013916</t>
  </si>
  <si>
    <t>Shankar Chemical Goods</t>
  </si>
  <si>
    <t>susurajmahato908@gmail.com</t>
  </si>
  <si>
    <t>Party require to sample.</t>
  </si>
  <si>
    <t>11.08.2021</t>
  </si>
  <si>
    <t>C2013915</t>
  </si>
  <si>
    <t>Jaydeb Barman</t>
  </si>
  <si>
    <t>barmanjoydeb917@gmail.com</t>
  </si>
  <si>
    <t>CoochBihar</t>
  </si>
  <si>
    <t>Photocopy Send.Quoted.</t>
  </si>
  <si>
    <t>C2013914</t>
  </si>
  <si>
    <t>Kunal Sharma</t>
  </si>
  <si>
    <t xml:space="preserve"> kunals.nit14wre@gmail.com</t>
  </si>
  <si>
    <t>C2013913</t>
  </si>
  <si>
    <t>Kritika Enterprises</t>
  </si>
  <si>
    <t>First want sample.</t>
  </si>
  <si>
    <t>C2013912</t>
  </si>
  <si>
    <t>Amir Baig</t>
  </si>
  <si>
    <t xml:space="preserve"> amirbaig32@gmail.com</t>
  </si>
  <si>
    <t>C2013911</t>
  </si>
  <si>
    <t>Hindustan Electronics Mfg Co</t>
  </si>
  <si>
    <t>sales.hemc@gmail.com</t>
  </si>
  <si>
    <t>Navi Mumbai - 400705</t>
  </si>
  <si>
    <t>10.08.2021</t>
  </si>
  <si>
    <t>C2013910</t>
  </si>
  <si>
    <t>Prdie Hotel</t>
  </si>
  <si>
    <t>C2013909</t>
  </si>
  <si>
    <t>Jordaar Paints Company</t>
  </si>
  <si>
    <t>C2013908</t>
  </si>
  <si>
    <t>Shaw Enterprises</t>
  </si>
  <si>
    <t>Carnauba Wax</t>
  </si>
  <si>
    <t xml:space="preserve"> surajshaw.trade@gmail.com</t>
  </si>
  <si>
    <t>C2013907</t>
  </si>
  <si>
    <t>J.P Minerals</t>
  </si>
  <si>
    <t>Dead Burnt Magnesite</t>
  </si>
  <si>
    <t xml:space="preserve"> shamirsam16@gmail.com</t>
  </si>
  <si>
    <t>09.08.2021</t>
  </si>
  <si>
    <t>C2013906</t>
  </si>
  <si>
    <t>Sycon Polymers</t>
  </si>
  <si>
    <t>Sodium Dichromate</t>
  </si>
  <si>
    <t>halder_somnath@yahoo.com</t>
  </si>
  <si>
    <t>Mumbai - 400071</t>
  </si>
  <si>
    <t>@105+ Bhiwandi</t>
  </si>
  <si>
    <t>0028M</t>
  </si>
  <si>
    <t>C2013905</t>
  </si>
  <si>
    <t xml:space="preserve"> singhshashank854@gmail.com</t>
  </si>
  <si>
    <t>C2013904</t>
  </si>
  <si>
    <t>Metro Tech</t>
  </si>
  <si>
    <t>C2013903</t>
  </si>
  <si>
    <t>Hind Gulf Mineral And Chemicals</t>
  </si>
  <si>
    <t xml:space="preserve"> hind_gulf@rediffmail.com</t>
  </si>
  <si>
    <t>Vapi- Gujrat</t>
  </si>
  <si>
    <t>@80+</t>
  </si>
  <si>
    <t>0029M</t>
  </si>
  <si>
    <t>C2013902</t>
  </si>
  <si>
    <t xml:space="preserve"> shankar chemicals</t>
  </si>
  <si>
    <t>Perlite Ore Slax 30</t>
  </si>
  <si>
    <t xml:space="preserve"> shankarchemicals683@gmail.com</t>
  </si>
  <si>
    <t>Kolkata - 700136</t>
  </si>
  <si>
    <t>Rate High.Party Target Price 18/-Kg(s)</t>
  </si>
  <si>
    <t>C2013901</t>
  </si>
  <si>
    <t>Moninda Mondol</t>
  </si>
  <si>
    <t xml:space="preserve"> munnamondol35@gmail.com</t>
  </si>
  <si>
    <t>@17.50/-</t>
  </si>
  <si>
    <t>P044</t>
  </si>
  <si>
    <t>Renu Nail Industry</t>
  </si>
  <si>
    <t>Soda Ash,Acid Slurry</t>
  </si>
  <si>
    <t>500 Kgs,250 Kg</t>
  </si>
  <si>
    <t>cleanindiapro@gmail.com</t>
  </si>
  <si>
    <t>150K</t>
  </si>
  <si>
    <t>Specification Send.</t>
  </si>
  <si>
    <t>Party Want To Buy Without GST</t>
  </si>
  <si>
    <t>07.08.2021</t>
  </si>
  <si>
    <t>C2013900</t>
  </si>
  <si>
    <t>Basundhara Agro Plantec</t>
  </si>
  <si>
    <t xml:space="preserve"> rabindranathmandal110@gmail.com</t>
  </si>
  <si>
    <t>Kandi - 742137</t>
  </si>
  <si>
    <t>C2013899</t>
  </si>
  <si>
    <t>Yashwant</t>
  </si>
  <si>
    <t xml:space="preserve"> guardyashwant@gmail.com</t>
  </si>
  <si>
    <t>06.08.2021</t>
  </si>
  <si>
    <t>C2013898</t>
  </si>
  <si>
    <t>Gopal Bros. &amp; Co.</t>
  </si>
  <si>
    <t xml:space="preserve"> sumitlohia6944@gmail.com</t>
  </si>
  <si>
    <t>C2013897</t>
  </si>
  <si>
    <t>Meet &amp; Greet Gifts Private Limited</t>
  </si>
  <si>
    <t xml:space="preserve"> chetan@meetgreetgifts.com</t>
  </si>
  <si>
    <t>Mumbai - 400017</t>
  </si>
  <si>
    <t>C2013896</t>
  </si>
  <si>
    <t>Partha</t>
  </si>
  <si>
    <t>Rate High.Party Target Price 88/-Kg(s)</t>
  </si>
  <si>
    <t>C2013895</t>
  </si>
  <si>
    <t>Siddharth</t>
  </si>
  <si>
    <t>4000+4000</t>
  </si>
  <si>
    <t xml:space="preserve"> sidhunovelty@gmail.com</t>
  </si>
  <si>
    <t>@11/-, @8/-</t>
  </si>
  <si>
    <t>C2013894</t>
  </si>
  <si>
    <t>little star public school</t>
  </si>
  <si>
    <t>Gypsum Powder(POP)</t>
  </si>
  <si>
    <t xml:space="preserve"> ankitkumarmore@gmail.com</t>
  </si>
  <si>
    <t>@16</t>
  </si>
  <si>
    <t>05.08.2021</t>
  </si>
  <si>
    <t>C2013893</t>
  </si>
  <si>
    <t xml:space="preserve"> echemcorp@gmail.com</t>
  </si>
  <si>
    <t>C2013892</t>
  </si>
  <si>
    <t>Earnest And Co</t>
  </si>
  <si>
    <t xml:space="preserve"> earnestengg1@gmail.com</t>
  </si>
  <si>
    <t>03.08.2021</t>
  </si>
  <si>
    <t>P043</t>
  </si>
  <si>
    <t>Swadesh Agro Farm</t>
  </si>
  <si>
    <t>P042</t>
  </si>
  <si>
    <t>Core Industries</t>
  </si>
  <si>
    <t>Glycerine 99%</t>
  </si>
  <si>
    <t>info@coreind.in</t>
  </si>
  <si>
    <t>02.08.2021</t>
  </si>
  <si>
    <t>C2013891</t>
  </si>
  <si>
    <t>guha Enterprise</t>
  </si>
  <si>
    <t xml:space="preserve"> sguha895@gmail.com</t>
  </si>
  <si>
    <t>C2013890</t>
  </si>
  <si>
    <t>Gangaram Saw enterprises</t>
  </si>
  <si>
    <t>punamshaw5474@gmail.com</t>
  </si>
  <si>
    <t>P041</t>
  </si>
  <si>
    <t>Alfa Pigment &amp;Chemicals Pvt Ltd.</t>
  </si>
  <si>
    <t>jeet.dey@apcplkol.com</t>
  </si>
  <si>
    <t>@25/-</t>
  </si>
  <si>
    <t>C2013889</t>
  </si>
  <si>
    <t>RAKESH SK</t>
  </si>
  <si>
    <t xml:space="preserve"> rakeshsk095@gmail.com</t>
  </si>
  <si>
    <t>C2013888</t>
  </si>
  <si>
    <t>Haldari Enterprises</t>
  </si>
  <si>
    <t>khokon.halder@yahoo.in</t>
  </si>
  <si>
    <t>C2013887</t>
  </si>
  <si>
    <t>Sumitra Gypsum Decorations</t>
  </si>
  <si>
    <t xml:space="preserve"> kushkumargain@gmail.com</t>
  </si>
  <si>
    <t>Kolkata - 700129</t>
  </si>
  <si>
    <t>C2013886</t>
  </si>
  <si>
    <t>Softy Soaps Gram Udhyog</t>
  </si>
  <si>
    <t xml:space="preserve"> shankaragarwal2121@gmail.com</t>
  </si>
  <si>
    <t>Siliguri- 734006.</t>
  </si>
  <si>
    <t>C2013885</t>
  </si>
  <si>
    <t>Jal Kranti Aqua</t>
  </si>
  <si>
    <t>@24 ex Bhiwandi</t>
  </si>
  <si>
    <t>0026M</t>
  </si>
  <si>
    <t>31.07.2021</t>
  </si>
  <si>
    <t>C2013884</t>
  </si>
  <si>
    <t>E2serv Ventures Private Limited</t>
  </si>
  <si>
    <t xml:space="preserve"> dbrahma2017@gmail.com</t>
  </si>
  <si>
    <t>C2013883</t>
  </si>
  <si>
    <t>Siddhik Soap Factory</t>
  </si>
  <si>
    <t xml:space="preserve"> arindampaul.ac@gmail.com</t>
  </si>
  <si>
    <t>jalpaiguri</t>
  </si>
  <si>
    <t>Quoted and Photocopy Send.</t>
  </si>
  <si>
    <t>30.07.2021</t>
  </si>
  <si>
    <t>C2013882</t>
  </si>
  <si>
    <t>Protect Pharmaceuticals Private Limited</t>
  </si>
  <si>
    <t>yashodadevadiga57@gmail.com</t>
  </si>
  <si>
    <t>Mumbai - 400049</t>
  </si>
  <si>
    <t>@24 Ex Mumbai  full truck</t>
  </si>
  <si>
    <t>0027M</t>
  </si>
  <si>
    <t>30.01.2021</t>
  </si>
  <si>
    <t>C2013881</t>
  </si>
  <si>
    <t>Deora Enterprises LLP</t>
  </si>
  <si>
    <t>Ethelyn Absorber</t>
  </si>
  <si>
    <t xml:space="preserve"> manish@deoraenterprises.in</t>
  </si>
  <si>
    <t>Thane - 401101</t>
  </si>
  <si>
    <t>29.07.2021</t>
  </si>
  <si>
    <t>C2013880</t>
  </si>
  <si>
    <t>Suhas</t>
  </si>
  <si>
    <t>suhashange@gmail.com</t>
  </si>
  <si>
    <t>P040</t>
  </si>
  <si>
    <t>Chemtech Industries</t>
  </si>
  <si>
    <t>Benzine Alchol</t>
  </si>
  <si>
    <t xml:space="preserve"> chemtech.sen@gmail.com</t>
  </si>
  <si>
    <t>98302 52877</t>
  </si>
  <si>
    <t>@81/-</t>
  </si>
  <si>
    <t>81/-</t>
  </si>
  <si>
    <t>P039</t>
  </si>
  <si>
    <t>amit.das@chaizup.com</t>
  </si>
  <si>
    <t>46/-KG(S)</t>
  </si>
  <si>
    <t>140K</t>
  </si>
  <si>
    <t>28.07.2021</t>
  </si>
  <si>
    <t>C2013879</t>
  </si>
  <si>
    <t>krab international</t>
  </si>
  <si>
    <t xml:space="preserve"> krabplant@gmail.com</t>
  </si>
  <si>
    <t>Cuttack</t>
  </si>
  <si>
    <t>C2013878</t>
  </si>
  <si>
    <t>Indiano Ferro Ltd</t>
  </si>
  <si>
    <t>rajeshjdhadawe@gmail.com</t>
  </si>
  <si>
    <t>@84/-</t>
  </si>
  <si>
    <t>Quotation And Specification Send.</t>
  </si>
  <si>
    <t>C2013877</t>
  </si>
  <si>
    <t>Royal Brick</t>
  </si>
  <si>
    <t>27.07.2021</t>
  </si>
  <si>
    <t>C2013876</t>
  </si>
  <si>
    <t>Cast India</t>
  </si>
  <si>
    <t xml:space="preserve"> castindia.howrah@yahoo.in</t>
  </si>
  <si>
    <t>Howrah - 711106</t>
  </si>
  <si>
    <t>Party uses River sand@3/- kg.</t>
  </si>
  <si>
    <t>P038</t>
  </si>
  <si>
    <t>Elmac Agro Mfg. Pvt. Ltd.</t>
  </si>
  <si>
    <t>purchase. ea@elmacagro. com</t>
  </si>
  <si>
    <t>98314 19247</t>
  </si>
  <si>
    <t>26.07.2021</t>
  </si>
  <si>
    <t>C2013875</t>
  </si>
  <si>
    <t>N. B. Traders</t>
  </si>
  <si>
    <t xml:space="preserve"> fatsamorg@gmail.com</t>
  </si>
  <si>
    <t>P037</t>
  </si>
  <si>
    <t>Sona chemicals</t>
  </si>
  <si>
    <t>Magnasium sulphate,IPA, and oth.</t>
  </si>
  <si>
    <t>2000,400ltr.</t>
  </si>
  <si>
    <t>Soumyabanerjee63@gmail.Com</t>
  </si>
  <si>
    <t xml:space="preserve"> 97481 88804</t>
  </si>
  <si>
    <t>P036</t>
  </si>
  <si>
    <t>Bruecke &amp; Gebaeude Engineers Pvt Ltd.</t>
  </si>
  <si>
    <t xml:space="preserve">Quartz Sand   </t>
  </si>
  <si>
    <t>bngengineerspvtltd@gmail.com</t>
  </si>
  <si>
    <t>24.07.2021</t>
  </si>
  <si>
    <t>C2013874</t>
  </si>
  <si>
    <t>Stallion Cottons</t>
  </si>
  <si>
    <t>stallioncottons@gmail.com</t>
  </si>
  <si>
    <t>Kalyan - 421301</t>
  </si>
  <si>
    <t>@22 EX Bhiwandi</t>
  </si>
  <si>
    <t>0021M</t>
  </si>
  <si>
    <t>C2013873</t>
  </si>
  <si>
    <t>Turbo Tk Industries Private Limited</t>
  </si>
  <si>
    <t xml:space="preserve"> kanhub.kb@gmail.com</t>
  </si>
  <si>
    <t>C2013872</t>
  </si>
  <si>
    <t>G.B.Distributor</t>
  </si>
  <si>
    <t xml:space="preserve"> feerozsarjil25875@rediffmail.com</t>
  </si>
  <si>
    <t>Asansol - 713336</t>
  </si>
  <si>
    <t>23.07.2021</t>
  </si>
  <si>
    <t>C2013871</t>
  </si>
  <si>
    <t>FARAN TRADING COMPANY</t>
  </si>
  <si>
    <t xml:space="preserve"> naushadulhaque963@gmail.com</t>
  </si>
  <si>
    <t>C2013870</t>
  </si>
  <si>
    <t>Krishna Sharma</t>
  </si>
  <si>
    <t>krishnap.sharma@centuryply.com</t>
  </si>
  <si>
    <t>@116/-</t>
  </si>
  <si>
    <t>C2013869</t>
  </si>
  <si>
    <t>Eengaal Aquaculture</t>
  </si>
  <si>
    <t xml:space="preserve"> eengaalaq@gmail.com</t>
  </si>
  <si>
    <t>Imphal - 795001</t>
  </si>
  <si>
    <t>C2013868</t>
  </si>
  <si>
    <t>Shri Samarth Fruit Supply</t>
  </si>
  <si>
    <t>C2013867</t>
  </si>
  <si>
    <t>Biswas PC Beez Bhandar</t>
  </si>
  <si>
    <t xml:space="preserve"> sb4501135@gmail.com</t>
  </si>
  <si>
    <t>Kolkata - 700064</t>
  </si>
  <si>
    <t>Rate High,Party Target Price 8/-Kg(s)</t>
  </si>
  <si>
    <t>C2013866</t>
  </si>
  <si>
    <t>Khan Aayesha</t>
  </si>
  <si>
    <t xml:space="preserve"> k.aayesha987@gmail.com</t>
  </si>
  <si>
    <t>@30</t>
  </si>
  <si>
    <t>0020M</t>
  </si>
  <si>
    <t>22.07.2021</t>
  </si>
  <si>
    <t>C2013865</t>
  </si>
  <si>
    <t>M.M. Col. Co</t>
  </si>
  <si>
    <t>Caustic Soda, Bleaching Powder</t>
  </si>
  <si>
    <t xml:space="preserve"> sahajayanta.97@gmail.com</t>
  </si>
  <si>
    <t>Rate High. Party Target Price 19/-Kg(s)</t>
  </si>
  <si>
    <t>C2013864</t>
  </si>
  <si>
    <t>biscuit.b852@gmail.com</t>
  </si>
  <si>
    <t>21.07.2021</t>
  </si>
  <si>
    <t>C2013863</t>
  </si>
  <si>
    <t>Pioneer Fertilizer</t>
  </si>
  <si>
    <t xml:space="preserve"> neerajagr1110@gmail.com</t>
  </si>
  <si>
    <t>Jaunpur (UP)</t>
  </si>
  <si>
    <t>C2013862</t>
  </si>
  <si>
    <t>K.C.Das and Co</t>
  </si>
  <si>
    <t xml:space="preserve"> kcdasandco@gmail.com</t>
  </si>
  <si>
    <t>19.07.2021</t>
  </si>
  <si>
    <t>C2013861</t>
  </si>
  <si>
    <t>Giriraj Trading Company</t>
  </si>
  <si>
    <t xml:space="preserve"> maulikdyechem@gmail.com</t>
  </si>
  <si>
    <t xml:space="preserve"> Mumbai - 400092</t>
  </si>
  <si>
    <t>C2013860</t>
  </si>
  <si>
    <t>L K Sharma</t>
  </si>
  <si>
    <t>slalit872@gmail.com</t>
  </si>
  <si>
    <t>Aligarh UP</t>
  </si>
  <si>
    <t>C2013859</t>
  </si>
  <si>
    <t>Vedehi Ceramics Pvt. Ltd.</t>
  </si>
  <si>
    <t xml:space="preserve"> manojvedehi@gmail.com</t>
  </si>
  <si>
    <t>C2013858</t>
  </si>
  <si>
    <t>Madhyamgram</t>
  </si>
  <si>
    <t>C2013857</t>
  </si>
  <si>
    <t>M/s Anupam</t>
  </si>
  <si>
    <t>Dish Wash Raw Material</t>
  </si>
  <si>
    <t xml:space="preserve"> anu.chayan@gmail.com</t>
  </si>
  <si>
    <t>17.07.2021</t>
  </si>
  <si>
    <t>C2013856</t>
  </si>
  <si>
    <t>Sen Enterprise</t>
  </si>
  <si>
    <t xml:space="preserve"> ujjalsan200@gmail.com</t>
  </si>
  <si>
    <t>C2013855</t>
  </si>
  <si>
    <t>Reliable Chemicals</t>
  </si>
  <si>
    <t xml:space="preserve"> info1970.rc@gmail.com</t>
  </si>
  <si>
    <t>C2013854</t>
  </si>
  <si>
    <t>Shree Ganesh Enterprises</t>
  </si>
  <si>
    <t xml:space="preserve"> ramen.tunkaa@gmail.com</t>
  </si>
  <si>
    <t>C2013853</t>
  </si>
  <si>
    <t xml:space="preserve"> dkanoudia1993@gmail.com</t>
  </si>
  <si>
    <t>C2013852</t>
  </si>
  <si>
    <t>Biswanath Mazumdar</t>
  </si>
  <si>
    <t xml:space="preserve"> biswaswathi2@gmail.com</t>
  </si>
  <si>
    <t>Photocopy Send</t>
  </si>
  <si>
    <t>C2013851</t>
  </si>
  <si>
    <t>Rbg Enterprise</t>
  </si>
  <si>
    <t xml:space="preserve"> 9957770809raj@gmail.com</t>
  </si>
  <si>
    <t>Tinsukia - 786151</t>
  </si>
  <si>
    <t>16.07.2021</t>
  </si>
  <si>
    <t>C2013850</t>
  </si>
  <si>
    <t>Birendra Paints</t>
  </si>
  <si>
    <t xml:space="preserve"> thebirendrapaints@gmail.com</t>
  </si>
  <si>
    <t>C2013849</t>
  </si>
  <si>
    <t>Bankra 1 Gram Panchyat</t>
  </si>
  <si>
    <t>625Kg(s),2000Kg(s)</t>
  </si>
  <si>
    <t>santraramesh@gmail.com</t>
  </si>
  <si>
    <t>C2013848</t>
  </si>
  <si>
    <t>SKJ ENTERPRISE</t>
  </si>
  <si>
    <t>kumar.chandroday@gmail.com</t>
  </si>
  <si>
    <t>7.50/-KG(S)</t>
  </si>
  <si>
    <t>132K</t>
  </si>
  <si>
    <t>C2013847</t>
  </si>
  <si>
    <t>Arun Kumar Gupta</t>
  </si>
  <si>
    <t xml:space="preserve"> aryanart122@gmail.com</t>
  </si>
  <si>
    <t>C2013846</t>
  </si>
  <si>
    <t>Anjali</t>
  </si>
  <si>
    <t>C2013845</t>
  </si>
  <si>
    <t>Calcium Flouride</t>
  </si>
  <si>
    <t>P035</t>
  </si>
  <si>
    <t>Deepti Industrial Decorative Solutions</t>
  </si>
  <si>
    <t xml:space="preserve">Copper Slag </t>
  </si>
  <si>
    <t>vijays034@gmail.com</t>
  </si>
  <si>
    <t>Goa</t>
  </si>
  <si>
    <t>70382 69984</t>
  </si>
  <si>
    <t>Party @4.50/- For.price received.</t>
  </si>
  <si>
    <t>C2013844</t>
  </si>
  <si>
    <t>Animesh</t>
  </si>
  <si>
    <t xml:space="preserve"> animeshmaity2019@gmail.com</t>
  </si>
  <si>
    <t>C2013843</t>
  </si>
  <si>
    <t>Minolta Chem</t>
  </si>
  <si>
    <t>Lithopone</t>
  </si>
  <si>
    <t>minoltachem9@gmail.com</t>
  </si>
  <si>
    <t>C2013842</t>
  </si>
  <si>
    <t>Sania Trading</t>
  </si>
  <si>
    <t>HCL, Nitric Acid, Sulphuric Acid</t>
  </si>
  <si>
    <t>1000+1000+1500</t>
  </si>
  <si>
    <t>15.07.2021</t>
  </si>
  <si>
    <t>C2013841</t>
  </si>
  <si>
    <t>Agam Water Industries</t>
  </si>
  <si>
    <t>agamwater.mail@gmail.com</t>
  </si>
  <si>
    <t>P034</t>
  </si>
  <si>
    <t>Associated Sales Corporation</t>
  </si>
  <si>
    <t>nishantg7578@gmil.com / nishant_exuberant@yahoo.co.in</t>
  </si>
  <si>
    <t>14.07.2021</t>
  </si>
  <si>
    <t>C2013840</t>
  </si>
  <si>
    <t>Orissa Alloys Steel Pvt Ltd</t>
  </si>
  <si>
    <t xml:space="preserve">consumable_purchase@rashmigroup.co.in
</t>
  </si>
  <si>
    <t>C2013839</t>
  </si>
  <si>
    <t>Geetanjali</t>
  </si>
  <si>
    <t>geetanjali.gautam@vedanta.co.in</t>
  </si>
  <si>
    <t>C2013838</t>
  </si>
  <si>
    <t>Maa Oil &amp; Company</t>
  </si>
  <si>
    <t>Potash Feldspar Powder</t>
  </si>
  <si>
    <t>ksyadav2777@gmail.com</t>
  </si>
  <si>
    <t>Casting Purpose</t>
  </si>
  <si>
    <t>126K</t>
  </si>
  <si>
    <t>C2013837</t>
  </si>
  <si>
    <t>Ghasitaram Gifts</t>
  </si>
  <si>
    <t>Oxygen Absorbers</t>
  </si>
  <si>
    <t>rima@ghasitaramgifts.com</t>
  </si>
  <si>
    <t>Mumbai - 400104</t>
  </si>
  <si>
    <t>C2013836</t>
  </si>
  <si>
    <t>Tapan Ahuja</t>
  </si>
  <si>
    <t xml:space="preserve"> chintamaniojha29@gmail.com</t>
  </si>
  <si>
    <t>13.07.2021</t>
  </si>
  <si>
    <t>C2013835</t>
  </si>
  <si>
    <t>Namco Industries Pvt Ltd</t>
  </si>
  <si>
    <t xml:space="preserve"> krishnaguddu29@gmail.com
</t>
  </si>
  <si>
    <t>C2013834</t>
  </si>
  <si>
    <t>Banti Kumar Saw</t>
  </si>
  <si>
    <t>bantikumarsaw1998@gmail.com</t>
  </si>
  <si>
    <t>P033</t>
  </si>
  <si>
    <t>Venerate International</t>
  </si>
  <si>
    <t>venerateinternationals@gmail.com</t>
  </si>
  <si>
    <t>Kolkata-700053</t>
  </si>
  <si>
    <t>Boiler Purpose</t>
  </si>
  <si>
    <t>22/-KG(S)</t>
  </si>
  <si>
    <t>Order Confirmed. Payment Done.</t>
  </si>
  <si>
    <t>P032</t>
  </si>
  <si>
    <t>Dhirendra ch Biswas</t>
  </si>
  <si>
    <t>Sodium  Hydro sulphite</t>
  </si>
  <si>
    <t>Krishnamng111@gmail.com</t>
  </si>
  <si>
    <t>79086 82793</t>
  </si>
  <si>
    <t>@114/-</t>
  </si>
  <si>
    <t>C2013833</t>
  </si>
  <si>
    <t>Sagar Enterprises</t>
  </si>
  <si>
    <t xml:space="preserve"> sagarenterprise722@gmail.com</t>
  </si>
  <si>
    <t>Rate High,Party Target Price 11/-KG(S)</t>
  </si>
  <si>
    <t>12.07.2021</t>
  </si>
  <si>
    <t>C2013832</t>
  </si>
  <si>
    <t>0018M</t>
  </si>
  <si>
    <t>@23 ex Mumbai for full truck</t>
  </si>
  <si>
    <t>10.07.2021</t>
  </si>
  <si>
    <t>P031</t>
  </si>
  <si>
    <t>Zote Projects</t>
  </si>
  <si>
    <t>siliconinfotech1993@gmail.com</t>
  </si>
  <si>
    <t>29.50/-,8.50/-Kg(s)</t>
  </si>
  <si>
    <t>006K</t>
  </si>
  <si>
    <t>09.07.2021</t>
  </si>
  <si>
    <t>C2013831</t>
  </si>
  <si>
    <t>sarkar bricks</t>
  </si>
  <si>
    <t xml:space="preserve"> sarkarsanju211@gmail.com</t>
  </si>
  <si>
    <t>North 24 Parganas - 743297</t>
  </si>
  <si>
    <t>08.07.2021</t>
  </si>
  <si>
    <t>P-030</t>
  </si>
  <si>
    <t>Soumi's Herbal Pvt. Ltd.</t>
  </si>
  <si>
    <t>somnath.thesoumi@gmail.com,  cc: sulakshana.sp.2014@gmail.com</t>
  </si>
  <si>
    <t>85840 05635</t>
  </si>
  <si>
    <t>@95/-</t>
  </si>
  <si>
    <t>C2013830</t>
  </si>
  <si>
    <t>Sujay</t>
  </si>
  <si>
    <t>Sodium Triphosphate</t>
  </si>
  <si>
    <t>sujaychakraborty76@gmail.com</t>
  </si>
  <si>
    <t>market Price searching.</t>
  </si>
  <si>
    <t>8.07.2021</t>
  </si>
  <si>
    <t>P-029</t>
  </si>
  <si>
    <t>Adhunik enterprises</t>
  </si>
  <si>
    <t>Gypsum powder</t>
  </si>
  <si>
    <t>2500kg.</t>
  </si>
  <si>
    <t>Anjani_adhunik@yahoo.co.in</t>
  </si>
  <si>
    <t>06.07.2021</t>
  </si>
  <si>
    <t>C2013829</t>
  </si>
  <si>
    <t>Koppern Maco Services Pvt Ltd.</t>
  </si>
  <si>
    <t>Molasses,Hydrated Lime Powder</t>
  </si>
  <si>
    <t>300 Kg,200 Kg(s)</t>
  </si>
  <si>
    <t>bikash.routray@koeppern-kmspl.com</t>
  </si>
  <si>
    <t>Kolkata-700020</t>
  </si>
  <si>
    <t>35/-,20/-KG(S)</t>
  </si>
  <si>
    <t>C2013828</t>
  </si>
  <si>
    <t>Jay</t>
  </si>
  <si>
    <t>Agar Powder</t>
  </si>
  <si>
    <t xml:space="preserve"> jay@sndlifescience.com</t>
  </si>
  <si>
    <t>05.07.2021</t>
  </si>
  <si>
    <t>P-028</t>
  </si>
  <si>
    <t>Subham Associates</t>
  </si>
  <si>
    <t>rameshdas795@gmail.com</t>
  </si>
  <si>
    <t>94378 11398</t>
  </si>
  <si>
    <t>03.07.2021</t>
  </si>
  <si>
    <t>C2013827</t>
  </si>
  <si>
    <t>Green World Construction Pvt Ltd</t>
  </si>
  <si>
    <t>Agriculture Vermiculite</t>
  </si>
  <si>
    <t>nitin.joshi@gwc.net.in</t>
  </si>
  <si>
    <t>Mumbai - 400011</t>
  </si>
  <si>
    <t>Q@38+ per kg Ex Bhiwandi.</t>
  </si>
  <si>
    <t>02.07.2021</t>
  </si>
  <si>
    <t>C2013826</t>
  </si>
  <si>
    <t>Kadiwal Chemical</t>
  </si>
  <si>
    <t>raamsingh963@gmail.com</t>
  </si>
  <si>
    <t>Ajmer</t>
  </si>
  <si>
    <t>@55+ ex Bhiwandi</t>
  </si>
  <si>
    <t>P-027</t>
  </si>
  <si>
    <t>Fogla Corp,</t>
  </si>
  <si>
    <t>16mt.</t>
  </si>
  <si>
    <t xml:space="preserve"> rajorshinayak@foglacorp.com</t>
  </si>
  <si>
    <t>90466 29175</t>
  </si>
  <si>
    <t>Ds-26.50/-, OJ-27.50/-</t>
  </si>
  <si>
    <t>115K</t>
  </si>
  <si>
    <t>01.07.2021</t>
  </si>
  <si>
    <t>P-026</t>
  </si>
  <si>
    <t>FRA Mauro Enterprise</t>
  </si>
  <si>
    <t>Charcoal (size - 6-12mm)</t>
  </si>
  <si>
    <t>25mt.</t>
  </si>
  <si>
    <t>fme_india@rediffmail.com</t>
  </si>
  <si>
    <t>94333 22184</t>
  </si>
  <si>
    <t>C2013825</t>
  </si>
  <si>
    <t>Splendid Services</t>
  </si>
  <si>
    <t>purchase@splendidservices.in</t>
  </si>
  <si>
    <t>170/-Kg(s)</t>
  </si>
  <si>
    <t>114K</t>
  </si>
  <si>
    <t>30.06.2021</t>
  </si>
  <si>
    <t>C2013824</t>
  </si>
  <si>
    <t>Smart Enterprises</t>
  </si>
  <si>
    <t>hrisavmica@gmail.com</t>
  </si>
  <si>
    <t>Barracpore</t>
  </si>
  <si>
    <t>113K</t>
  </si>
  <si>
    <t>C2013823</t>
  </si>
  <si>
    <t>Pollachi Engineers Pvt Ltd.</t>
  </si>
  <si>
    <t>vivek.ins@gulachi.com</t>
  </si>
  <si>
    <t>4.50/-KG(S)</t>
  </si>
  <si>
    <t>111K</t>
  </si>
  <si>
    <t>28.06.2021</t>
  </si>
  <si>
    <t>P025</t>
  </si>
  <si>
    <t>Sriram Minerals</t>
  </si>
  <si>
    <t>sonthaliagarima@gmail.com</t>
  </si>
  <si>
    <t>Odisha-770017</t>
  </si>
  <si>
    <t>109K</t>
  </si>
  <si>
    <t>26.06.20021</t>
  </si>
  <si>
    <t>P024</t>
  </si>
  <si>
    <t>Hydrofolw Enterprise</t>
  </si>
  <si>
    <t>Blue Silica Jel</t>
  </si>
  <si>
    <t>hydroflowenterprise@ gmail.com</t>
  </si>
  <si>
    <t>98833 06761</t>
  </si>
  <si>
    <t>25.06.2021</t>
  </si>
  <si>
    <t>P023</t>
  </si>
  <si>
    <t>Ganguly Ceramic</t>
  </si>
  <si>
    <t>Flespar powder &amp; Borax pentahydrate</t>
  </si>
  <si>
    <t>1mt. &amp; 2.5 mt.</t>
  </si>
  <si>
    <t>@7/- &amp; @ 54/-</t>
  </si>
  <si>
    <t>C2013822</t>
  </si>
  <si>
    <t>Pd Square Exports</t>
  </si>
  <si>
    <t>7200 Pcs</t>
  </si>
  <si>
    <t>pdsquareexports@gmail.com</t>
  </si>
  <si>
    <t>Mysore - 570025</t>
  </si>
  <si>
    <t>24.06.2021</t>
  </si>
  <si>
    <t>C2013821</t>
  </si>
  <si>
    <t>Intensieve Aquaculture Pvt Ltd.</t>
  </si>
  <si>
    <t>Zeolite Powder,Zeolite Granuels,Precipitated Calcium Carbonate</t>
  </si>
  <si>
    <t>admin@intensiveaquaculture.com</t>
  </si>
  <si>
    <t>Aqua Culture</t>
  </si>
  <si>
    <t>26/-,16/-,26/-Kg(s)</t>
  </si>
  <si>
    <t>102K</t>
  </si>
  <si>
    <t>23.06.2021</t>
  </si>
  <si>
    <t>C2013820</t>
  </si>
  <si>
    <t>Satabdi Monolithics Industries Pvt.Ltd.</t>
  </si>
  <si>
    <t>Fluorspar powder</t>
  </si>
  <si>
    <t>info@satabdimonolithics.com</t>
  </si>
  <si>
    <t>Barjora</t>
  </si>
  <si>
    <t>9434253799/ 9434361367</t>
  </si>
  <si>
    <t>37/-</t>
  </si>
  <si>
    <t>Party target price @29/-</t>
  </si>
  <si>
    <t>C2013819</t>
  </si>
  <si>
    <t>Om Traders</t>
  </si>
  <si>
    <t>sharma8905op@gmail.com</t>
  </si>
  <si>
    <t>He is trader &amp; supplier</t>
  </si>
  <si>
    <t>P022</t>
  </si>
  <si>
    <t xml:space="preserve"> Shambhala Food Products Pvt.Ltd</t>
  </si>
  <si>
    <t>Monosodium Glutamate</t>
  </si>
  <si>
    <t>50kg.</t>
  </si>
  <si>
    <t>info@momosonwheels.in</t>
  </si>
  <si>
    <t>142/-</t>
  </si>
  <si>
    <t>C2013818</t>
  </si>
  <si>
    <t>Rehabilitation Engineering</t>
  </si>
  <si>
    <t>Quartz Sand,Silica Powder</t>
  </si>
  <si>
    <t>4000Kg(s)1000Kg(s)</t>
  </si>
  <si>
    <t>rehabilitationengg@gmail.com</t>
  </si>
  <si>
    <t>Odisha-758001</t>
  </si>
  <si>
    <t>7.50/-,8/-Kg(s)</t>
  </si>
  <si>
    <t>100K</t>
  </si>
  <si>
    <t>Order Confirmed,Payment Done</t>
  </si>
  <si>
    <t>22.06.2021</t>
  </si>
  <si>
    <t>C2013817</t>
  </si>
  <si>
    <t>Kabita Incense Company</t>
  </si>
  <si>
    <t>8.50/-KG(S)</t>
  </si>
  <si>
    <t>21.06.2021</t>
  </si>
  <si>
    <t>C2013816</t>
  </si>
  <si>
    <t>Mumbai - 400010</t>
  </si>
  <si>
    <t>Q@26+ ex bhiwandi</t>
  </si>
  <si>
    <t>require raw manesite not powder</t>
  </si>
  <si>
    <t>P021</t>
  </si>
  <si>
    <t>CPF (INDIA) PRIVATE LIMITED </t>
  </si>
  <si>
    <t>Calcium chloride Di hydrate</t>
  </si>
  <si>
    <t>princekumar@cp-india.com</t>
  </si>
  <si>
    <t>89517 61027</t>
  </si>
  <si>
    <t>C2013815</t>
  </si>
  <si>
    <t>Vasu</t>
  </si>
  <si>
    <t>Feed Molasses</t>
  </si>
  <si>
    <t>vasumadala64005@gmail.com</t>
  </si>
  <si>
    <t>Ex bhiwandi @20</t>
  </si>
  <si>
    <t>19.06.2021</t>
  </si>
  <si>
    <t>C2013814</t>
  </si>
  <si>
    <t>Multi Marketing Services</t>
  </si>
  <si>
    <t>belal5135@gmail.com</t>
  </si>
  <si>
    <t>17/-KG(S)</t>
  </si>
  <si>
    <t>096K</t>
  </si>
  <si>
    <t>16.06.2021</t>
  </si>
  <si>
    <t>C2013813</t>
  </si>
  <si>
    <t>Quality Exports</t>
  </si>
  <si>
    <t>quality.exports3@gmail.com</t>
  </si>
  <si>
    <t>093K</t>
  </si>
  <si>
    <t>15.06.2021</t>
  </si>
  <si>
    <t>C2013812</t>
  </si>
  <si>
    <t>Iroseal Manufacturing Company</t>
  </si>
  <si>
    <t>irosealmfg@gmail.com</t>
  </si>
  <si>
    <t>C2013811</t>
  </si>
  <si>
    <t>Kadam</t>
  </si>
  <si>
    <t>Earthing Coal</t>
  </si>
  <si>
    <t>info@ksint.in</t>
  </si>
  <si>
    <t>C2013810</t>
  </si>
  <si>
    <t>Laxmi Cattle Feed</t>
  </si>
  <si>
    <t>vsjadaun588@gmail.com</t>
  </si>
  <si>
    <t>Agra</t>
  </si>
  <si>
    <t>12.06.2021</t>
  </si>
  <si>
    <t>P020</t>
  </si>
  <si>
    <t>Apex Chemicals</t>
  </si>
  <si>
    <t>Sodium Nitrite</t>
  </si>
  <si>
    <t>apexchemicals01@gmail.com</t>
  </si>
  <si>
    <t>95/-KG(S)</t>
  </si>
  <si>
    <t>090K</t>
  </si>
  <si>
    <t>10.06.2021</t>
  </si>
  <si>
    <t>C2013809</t>
  </si>
  <si>
    <t>Subrata Ghorai</t>
  </si>
  <si>
    <t>37/-Kg(s)</t>
  </si>
  <si>
    <t>C2013808</t>
  </si>
  <si>
    <t>Abhijay Corporation</t>
  </si>
  <si>
    <t>abhijaycorp@gmail.com</t>
  </si>
  <si>
    <t>Quote for 1mt @550nper kg + gst. ex bhiwandi</t>
  </si>
  <si>
    <t>09.06.2021</t>
  </si>
  <si>
    <t>C2013807</t>
  </si>
  <si>
    <t>Balajee Chemicals</t>
  </si>
  <si>
    <t>Antioxidants</t>
  </si>
  <si>
    <t>supriyo.baidya1986@gmail.com</t>
  </si>
  <si>
    <t>C2013806</t>
  </si>
  <si>
    <t>ShowONN.com</t>
  </si>
  <si>
    <t>showonn101@gmail.com</t>
  </si>
  <si>
    <t>Kalaikunda</t>
  </si>
  <si>
    <t>08.06.2021</t>
  </si>
  <si>
    <t>C2013805</t>
  </si>
  <si>
    <t>Mahwish International</t>
  </si>
  <si>
    <t>5 Ton(s)</t>
  </si>
  <si>
    <t>mdabid4191@gmail.com</t>
  </si>
  <si>
    <t>28.50/-KG(S)</t>
  </si>
  <si>
    <t>089K</t>
  </si>
  <si>
    <t>07.06.2021</t>
  </si>
  <si>
    <t>P019</t>
  </si>
  <si>
    <t>SRC Farms Pvt Ltd</t>
  </si>
  <si>
    <t xml:space="preserve"> calcite and lime powder</t>
  </si>
  <si>
    <t>5mt. each</t>
  </si>
  <si>
    <t>harsh.bihani@gmail.com</t>
  </si>
  <si>
    <t>98302 79976</t>
  </si>
  <si>
    <t>7.60/- &amp; 7/-</t>
  </si>
  <si>
    <t>C2013804</t>
  </si>
  <si>
    <t>Lalan Kumar</t>
  </si>
  <si>
    <t>gautam.rajeev128@gmail.com</t>
  </si>
  <si>
    <t>7/-KG(S)</t>
  </si>
  <si>
    <t>086K</t>
  </si>
  <si>
    <t xml:space="preserve"> Transportation Problem.</t>
  </si>
  <si>
    <t>05.06.2021</t>
  </si>
  <si>
    <t>P018</t>
  </si>
  <si>
    <t>Sreemaa chemicals</t>
  </si>
  <si>
    <t>samarjitdey76@gmail.com</t>
  </si>
  <si>
    <t>kolkataa</t>
  </si>
  <si>
    <t>125/-</t>
  </si>
  <si>
    <t>party lowest quote received @105/-</t>
  </si>
  <si>
    <t>04.06.2021</t>
  </si>
  <si>
    <t>C2013803</t>
  </si>
  <si>
    <t>Aishwarya Products</t>
  </si>
  <si>
    <t>aishwaryaproducts12@gmail.com</t>
  </si>
  <si>
    <t>33/-,50/-Kg(s)</t>
  </si>
  <si>
    <t>080K</t>
  </si>
  <si>
    <t>Need Sample.</t>
  </si>
  <si>
    <t>C2013802</t>
  </si>
  <si>
    <t>New India Industrial Services</t>
  </si>
  <si>
    <t>newindia.jp@gmail.com</t>
  </si>
  <si>
    <t>Daund - 413801</t>
  </si>
  <si>
    <t>Require later purchasing @5.25</t>
  </si>
  <si>
    <t>C2013801</t>
  </si>
  <si>
    <t>NG Brother</t>
  </si>
  <si>
    <t>ngb.sudipta@gmail.com</t>
  </si>
  <si>
    <t>Earthing Purpose</t>
  </si>
  <si>
    <t>03.06.2021</t>
  </si>
  <si>
    <t>P017</t>
  </si>
  <si>
    <t>WHITE AND BROWN ALLOY CASTINGS</t>
  </si>
  <si>
    <t>whitenbrownindia@gmail.com</t>
  </si>
  <si>
    <t>Kolkata,</t>
  </si>
  <si>
    <t>6291 993 700</t>
  </si>
  <si>
    <t>Material despatch.</t>
  </si>
  <si>
    <t>C2013800</t>
  </si>
  <si>
    <t>Adnan</t>
  </si>
  <si>
    <t>adnanmulani2019@gmail.com</t>
  </si>
  <si>
    <t>C2013799</t>
  </si>
  <si>
    <t>Sitson India Pvt Ltd</t>
  </si>
  <si>
    <t>sitson.hari88@gmail.com</t>
  </si>
  <si>
    <t>01.06.2021</t>
  </si>
  <si>
    <t>C2013798</t>
  </si>
  <si>
    <t>Vaibhav</t>
  </si>
  <si>
    <t>Activated Fullers Earth</t>
  </si>
  <si>
    <t>vaibhav@libertyoilmills.com</t>
  </si>
  <si>
    <t>Will send our sample for testing</t>
  </si>
  <si>
    <t>C2013797</t>
  </si>
  <si>
    <t>Doshi Dyes &amp; Chemical Co.</t>
  </si>
  <si>
    <t>White Silica Gel (5 Gram)</t>
  </si>
  <si>
    <t>karandoshi086@gmail.com</t>
  </si>
  <si>
    <t>Need Sample</t>
  </si>
  <si>
    <t>20.05.2021</t>
  </si>
  <si>
    <t>P016</t>
  </si>
  <si>
    <t>Chloride Metals Ltd</t>
  </si>
  <si>
    <t>Calcium Fluoride</t>
  </si>
  <si>
    <t>Soumendu@chloridemetals.in</t>
  </si>
  <si>
    <t xml:space="preserve">@75/- </t>
  </si>
  <si>
    <t>P015</t>
  </si>
  <si>
    <t>MSP Sponge Iron Ltd.</t>
  </si>
  <si>
    <t>abhisek.pattnayak@mspkjr.mspsteel.com</t>
  </si>
  <si>
    <t>@49/- &amp; @32/-</t>
  </si>
  <si>
    <t>18.05.2021</t>
  </si>
  <si>
    <t>P014</t>
  </si>
  <si>
    <t>GOPAL ZARDA</t>
  </si>
  <si>
    <t xml:space="preserve">Glycerine </t>
  </si>
  <si>
    <t>JITENDRA.KAUSHIK@GOPALCORP.COM</t>
  </si>
  <si>
    <t>Bakeshwarpur Cuttack</t>
  </si>
  <si>
    <t>97172 84367</t>
  </si>
  <si>
    <t>@97/-</t>
  </si>
  <si>
    <t>17.05.2021</t>
  </si>
  <si>
    <t>P013</t>
  </si>
  <si>
    <t>Nutrisource Farm</t>
  </si>
  <si>
    <t xml:space="preserve"> madhurshrivastava1@gmail.com</t>
  </si>
  <si>
    <t>Orissa</t>
  </si>
  <si>
    <t>87703 61393</t>
  </si>
  <si>
    <t>186/-</t>
  </si>
  <si>
    <t>046K</t>
  </si>
  <si>
    <t>14.05.2021</t>
  </si>
  <si>
    <t>P012</t>
  </si>
  <si>
    <t>SK Weldedmesh Pvt Ltd.</t>
  </si>
  <si>
    <t>sayanskwm@gmail.com</t>
  </si>
  <si>
    <t>750/-</t>
  </si>
  <si>
    <t>063K</t>
  </si>
  <si>
    <t>C2013796</t>
  </si>
  <si>
    <t>Hindustan Unilever</t>
  </si>
  <si>
    <t xml:space="preserve"> chandrasekhar.ghosh@gmail.com</t>
  </si>
  <si>
    <t>Q @65+ Ex Bhiwandi</t>
  </si>
  <si>
    <t>C2013795</t>
  </si>
  <si>
    <t>OM Enterprises</t>
  </si>
  <si>
    <t xml:space="preserve"> omenterprises2005@yahoo.in</t>
  </si>
  <si>
    <t>Mumbai - 400066</t>
  </si>
  <si>
    <t>Quote @250+ ex bhiwandi</t>
  </si>
  <si>
    <t>He is trader</t>
  </si>
  <si>
    <t>13.05.2021</t>
  </si>
  <si>
    <t>C2013794</t>
  </si>
  <si>
    <t>Supreme &amp; Co.Pvt.Ltd.</t>
  </si>
  <si>
    <t>bakuli.purchase@supreme.in</t>
  </si>
  <si>
    <t>Chamrail, Howrah</t>
  </si>
  <si>
    <t>8.50/-</t>
  </si>
  <si>
    <t>P.I. send ..</t>
  </si>
  <si>
    <t>P011</t>
  </si>
  <si>
    <t>The Sun</t>
  </si>
  <si>
    <t>Lime powder,Alum powder</t>
  </si>
  <si>
    <t>250, 250</t>
  </si>
  <si>
    <t>thesun022021@gmail.com</t>
  </si>
  <si>
    <t>Baranagar</t>
  </si>
  <si>
    <t>@8.50/- &amp; @26/-</t>
  </si>
  <si>
    <t>C2013793</t>
  </si>
  <si>
    <t>Jilda Agrocane</t>
  </si>
  <si>
    <t xml:space="preserve"> tufanghosh55262@gmail.com</t>
  </si>
  <si>
    <t>45/- 18%</t>
  </si>
  <si>
    <t>12.05.2021</t>
  </si>
  <si>
    <t>C2013792</t>
  </si>
  <si>
    <t>Pawan</t>
  </si>
  <si>
    <t xml:space="preserve"> vijay@biplexports.com</t>
  </si>
  <si>
    <t>8.50/- 5%</t>
  </si>
  <si>
    <t>11.05.2021</t>
  </si>
  <si>
    <t>C2013791</t>
  </si>
  <si>
    <t>Vayudoot Multi Services</t>
  </si>
  <si>
    <t xml:space="preserve"> sandeepag15@gmail.com</t>
  </si>
  <si>
    <t>Mumbai - 400063</t>
  </si>
  <si>
    <t>10.05.2021</t>
  </si>
  <si>
    <t>C2013790</t>
  </si>
  <si>
    <t>Vinayak Enterprise</t>
  </si>
  <si>
    <t>Ethyle Alcohol</t>
  </si>
  <si>
    <t>sales.vinayak2014@gmail.com</t>
  </si>
  <si>
    <t>@95</t>
  </si>
  <si>
    <t>Today Party Will Come.</t>
  </si>
  <si>
    <t>Payment Done,Material Collected From Godown. Cash Payment.</t>
  </si>
  <si>
    <t>08.05.2021</t>
  </si>
  <si>
    <t>C2013789</t>
  </si>
  <si>
    <t>Shreya Ghosh</t>
  </si>
  <si>
    <t>Sodium Silicate Powder, Liquid</t>
  </si>
  <si>
    <t>info@vikashitechcastings.com</t>
  </si>
  <si>
    <t>@40, @22</t>
  </si>
  <si>
    <t>061K</t>
  </si>
  <si>
    <t>P010</t>
  </si>
  <si>
    <t>AVR INFRASPACE PVT. LTD</t>
  </si>
  <si>
    <t>Gravel (Size-10-20) mm.</t>
  </si>
  <si>
    <t>shivdatt.arya@gmail.com</t>
  </si>
  <si>
    <t>93508 85868</t>
  </si>
  <si>
    <t>07.05.2021</t>
  </si>
  <si>
    <t>P009</t>
  </si>
  <si>
    <t>Elite Enterprises</t>
  </si>
  <si>
    <t>Bleaching powder,Chuna powder,Hyppchloride .</t>
  </si>
  <si>
    <t>3000,     6000,     500</t>
  </si>
  <si>
    <t>buddhasestatepatna@gmail.com</t>
  </si>
  <si>
    <t>70706 99328</t>
  </si>
  <si>
    <t>@28/-,@5.80/-,@17/-</t>
  </si>
  <si>
    <t>C2013788</t>
  </si>
  <si>
    <t>Omrita Uddyug</t>
  </si>
  <si>
    <t>Polyvinyl Alcohol Powder</t>
  </si>
  <si>
    <t xml:space="preserve"> jhimliroy647@gmail.com</t>
  </si>
  <si>
    <t>@265/-</t>
  </si>
  <si>
    <t>C2013787</t>
  </si>
  <si>
    <t>Kulraj</t>
  </si>
  <si>
    <t xml:space="preserve"> kulrajsb@hotmail.com</t>
  </si>
  <si>
    <t>0008M</t>
  </si>
  <si>
    <t>C2013786</t>
  </si>
  <si>
    <t>Anand Homeopathic Research Center</t>
  </si>
  <si>
    <t>drmnv1@gmail.com</t>
  </si>
  <si>
    <t>Ratnagiri</t>
  </si>
  <si>
    <t>06.05.2021</t>
  </si>
  <si>
    <t>P008</t>
  </si>
  <si>
    <t>SNM Alchemist</t>
  </si>
  <si>
    <t>Sodium Hypochloride</t>
  </si>
  <si>
    <t>soumsra@gmail.com</t>
  </si>
  <si>
    <t>74075 83201</t>
  </si>
  <si>
    <t>Reply shortly.</t>
  </si>
  <si>
    <t>05.05.2021</t>
  </si>
  <si>
    <t>C2013785</t>
  </si>
  <si>
    <t>Kiran Bhagwat</t>
  </si>
  <si>
    <t xml:space="preserve"> kiransbhagwat53@gmail.com</t>
  </si>
  <si>
    <t>C2013784</t>
  </si>
  <si>
    <t>SPH Chemicals</t>
  </si>
  <si>
    <t xml:space="preserve"> sphchemicals@gmail.com</t>
  </si>
  <si>
    <t>8981552344, 9831234349</t>
  </si>
  <si>
    <t>04.05.2021</t>
  </si>
  <si>
    <t>C2013783</t>
  </si>
  <si>
    <t>Bohra Hospital</t>
  </si>
  <si>
    <t>samitatwork@yahoo.co.in</t>
  </si>
  <si>
    <t>Dehradun</t>
  </si>
  <si>
    <t>206/- Ex-Bhiwandi 18%</t>
  </si>
  <si>
    <t>0007M</t>
  </si>
  <si>
    <t>03.05.2021</t>
  </si>
  <si>
    <t>A0009</t>
  </si>
  <si>
    <t>UAL Industries Ltd.</t>
  </si>
  <si>
    <t>Ethanol, Glycerin</t>
  </si>
  <si>
    <t>400Ltr(s) 10Kg(s)</t>
  </si>
  <si>
    <t>purchase_kgp@ualind.com</t>
  </si>
  <si>
    <t>Jhargram-721513</t>
  </si>
  <si>
    <t>7872101822, 8013127805</t>
  </si>
  <si>
    <t>95/-,150/-Kg(s)</t>
  </si>
  <si>
    <t>048K</t>
  </si>
  <si>
    <t>A0008</t>
  </si>
  <si>
    <t>Amorudhan Pvt. Ltd.</t>
  </si>
  <si>
    <t>amaruddanconsultancy@gmail.com</t>
  </si>
  <si>
    <t>@93</t>
  </si>
  <si>
    <t>93/-KG(S)</t>
  </si>
  <si>
    <t>047K</t>
  </si>
  <si>
    <t>01.05.2021</t>
  </si>
  <si>
    <t>C2013782</t>
  </si>
  <si>
    <t>Siddharth Marketing</t>
  </si>
  <si>
    <t xml:space="preserve"> nitin_kala2007@rediffmail.com</t>
  </si>
  <si>
    <t>C2013781</t>
  </si>
  <si>
    <t>Tulsi Mahapragya Food Product</t>
  </si>
  <si>
    <t xml:space="preserve"> rkbaid01@gmail.com</t>
  </si>
  <si>
    <t>COOCH BEHAR</t>
  </si>
  <si>
    <t>C2013780</t>
  </si>
  <si>
    <t>Aartaa Food Industries</t>
  </si>
  <si>
    <t>Tapioca Starch</t>
  </si>
  <si>
    <t xml:space="preserve"> royalarts.cal@gmail.com</t>
  </si>
  <si>
    <t>@66/-</t>
  </si>
  <si>
    <t>C2013779</t>
  </si>
  <si>
    <t>Aarva International</t>
  </si>
  <si>
    <t xml:space="preserve"> ghogared@gmail.com</t>
  </si>
  <si>
    <t>30.04.2021</t>
  </si>
  <si>
    <t>P007</t>
  </si>
  <si>
    <t>Maa Tara Engineering industries</t>
  </si>
  <si>
    <t>Resin and MnO2</t>
  </si>
  <si>
    <t>1800kg.&amp; 350kg.</t>
  </si>
  <si>
    <t>ghoshsujit014@gmail.com</t>
  </si>
  <si>
    <t>80/150 &amp; 22/-</t>
  </si>
  <si>
    <t>C2013778</t>
  </si>
  <si>
    <t>Paras Group</t>
  </si>
  <si>
    <t>Food Grade Citric Acid</t>
  </si>
  <si>
    <t>parasproducts@outlook.com</t>
  </si>
  <si>
    <t>C2013777</t>
  </si>
  <si>
    <t>50,000 Pcs</t>
  </si>
  <si>
    <t>ghogared@gmail.com</t>
  </si>
  <si>
    <t>C2013776</t>
  </si>
  <si>
    <t>Krishna Tissue Pvt Ltd.</t>
  </si>
  <si>
    <t>ksskfour@gmail.com</t>
  </si>
  <si>
    <t>C2013775</t>
  </si>
  <si>
    <t>Naveen</t>
  </si>
  <si>
    <t xml:space="preserve">	
parasproducts@outlook.com</t>
  </si>
  <si>
    <t>@20+</t>
  </si>
  <si>
    <t>Need for toothpest.</t>
  </si>
  <si>
    <t>29.04.2021</t>
  </si>
  <si>
    <t>P006</t>
  </si>
  <si>
    <t>N.M.SHAH METCOKE PVT LTD</t>
  </si>
  <si>
    <t>36.50/-</t>
  </si>
  <si>
    <t>C2013774</t>
  </si>
  <si>
    <t>Meghla Enterprise</t>
  </si>
  <si>
    <t>Acid Slury</t>
  </si>
  <si>
    <t xml:space="preserve"> hossain.najir1992@gmail.com</t>
  </si>
  <si>
    <t>28.04.2021</t>
  </si>
  <si>
    <t>A0007</t>
  </si>
  <si>
    <t>Harbans Lal Malhotra &amp; Sons(Shaving) Pvt.Ltd</t>
  </si>
  <si>
    <t>500 Kg(s)</t>
  </si>
  <si>
    <t>purchase.belur@gmail.com</t>
  </si>
  <si>
    <t>Belur</t>
  </si>
  <si>
    <t>78/-Kg(s)</t>
  </si>
  <si>
    <t>040K</t>
  </si>
  <si>
    <t>C2013773</t>
  </si>
  <si>
    <t>Scientize Chemicals</t>
  </si>
  <si>
    <t>info@curiecares.com</t>
  </si>
  <si>
    <t>13/- 5% Ex Udaipur,Rajasthan, Aquaculture Grade</t>
  </si>
  <si>
    <t>Q Rs 22+ ex Bhiwandi</t>
  </si>
  <si>
    <t>0005M</t>
  </si>
  <si>
    <t>C2013772</t>
  </si>
  <si>
    <t>Mandaas Overseas</t>
  </si>
  <si>
    <t xml:space="preserve"> chandanpatil009@gmail.com</t>
  </si>
  <si>
    <t>Jalgaon - 425001</t>
  </si>
  <si>
    <t>27.04.2021</t>
  </si>
  <si>
    <t>A0006</t>
  </si>
  <si>
    <t>Matdeal Solutions Ltd.</t>
  </si>
  <si>
    <t>Sodium Hydroxide, Sodium Aluminate, Sodium Silicate</t>
  </si>
  <si>
    <t>2000, 450, 950</t>
  </si>
  <si>
    <t>btpolymer193@gmail.com</t>
  </si>
  <si>
    <t>30/-,40/-,30/-Kg(s)</t>
  </si>
  <si>
    <t>039K</t>
  </si>
  <si>
    <t>payment Done.material Dispatch</t>
  </si>
  <si>
    <t>A0005</t>
  </si>
  <si>
    <t>VIVEKANANDA ENTERPRISE</t>
  </si>
  <si>
    <t>vkeprasenjit17@gmail.com</t>
  </si>
  <si>
    <t>@85</t>
  </si>
  <si>
    <t>Order Confirmed</t>
  </si>
  <si>
    <t>C2013771</t>
  </si>
  <si>
    <t>Chandan Kumar Das</t>
  </si>
  <si>
    <t>parodswebino2021@gmail.com</t>
  </si>
  <si>
    <t>26.04.2021</t>
  </si>
  <si>
    <t>C2013770</t>
  </si>
  <si>
    <t>Ethyl Alcohol</t>
  </si>
  <si>
    <t xml:space="preserve"> soumyabanerjee63@gmail.com</t>
  </si>
  <si>
    <t>C2013769</t>
  </si>
  <si>
    <t>RA Enterprises</t>
  </si>
  <si>
    <t>Calcined Magnesite</t>
  </si>
  <si>
    <t xml:space="preserve"> raenterprises4@gmail.com</t>
  </si>
  <si>
    <t>Vapi, Gujrat</t>
  </si>
  <si>
    <t>26.50/- 5% Ex-Salam</t>
  </si>
  <si>
    <t>0003M</t>
  </si>
  <si>
    <t>C2013768</t>
  </si>
  <si>
    <t>JAYKEM ENTERPRISES</t>
  </si>
  <si>
    <t xml:space="preserve"> enq.jaykem@gmail.com</t>
  </si>
  <si>
    <t>24.04.2021</t>
  </si>
  <si>
    <t>P0007</t>
  </si>
  <si>
    <t>Umesh Pawar</t>
  </si>
  <si>
    <t>umeshdadapawar2014@gmail.com</t>
  </si>
  <si>
    <t>Aurangabad</t>
  </si>
  <si>
    <t>16/- 18% Ex-Vapi</t>
  </si>
  <si>
    <t>0002M</t>
  </si>
  <si>
    <t>C2013767</t>
  </si>
  <si>
    <t>Skynetrix Interactive Private Limited</t>
  </si>
  <si>
    <t>Potassium Permanganate Solution</t>
  </si>
  <si>
    <t>sarang.skynetrix@gmail.com</t>
  </si>
  <si>
    <t>Aurangabad - 431001</t>
  </si>
  <si>
    <t>P0006</t>
  </si>
  <si>
    <t>Haresh Lathiya</t>
  </si>
  <si>
    <t>Polyvinyl Alcohol &amp; Polyvinyl Acetate</t>
  </si>
  <si>
    <t>1000 Kg each</t>
  </si>
  <si>
    <t xml:space="preserve"> haresh1960@gmail.com</t>
  </si>
  <si>
    <t>C2013766</t>
  </si>
  <si>
    <t>Sudaame</t>
  </si>
  <si>
    <t>anandnagarproducts@gmail.com</t>
  </si>
  <si>
    <t>22.04.2021</t>
  </si>
  <si>
    <t>C2013765</t>
  </si>
  <si>
    <t>Swastik Industrial Gases</t>
  </si>
  <si>
    <t>500 Kg</t>
  </si>
  <si>
    <t>swastikgas@swastikgroup.com</t>
  </si>
  <si>
    <t>Nashik - 422403</t>
  </si>
  <si>
    <t>Customer want as per his specification. awaiting coa from our supplier.</t>
  </si>
  <si>
    <t>21.04.2021</t>
  </si>
  <si>
    <t>P0005</t>
  </si>
  <si>
    <t>Haldia steels pvt. Ltd.</t>
  </si>
  <si>
    <t>Charcoal,Earthing Salt</t>
  </si>
  <si>
    <t>200 kg.</t>
  </si>
  <si>
    <t>jayshiva2016@gmail.com</t>
  </si>
  <si>
    <t>79800 98375</t>
  </si>
  <si>
    <t>375/-</t>
  </si>
  <si>
    <t>P00159</t>
  </si>
  <si>
    <t>BNSS Engineering Pvt Ltd.</t>
  </si>
  <si>
    <t>Earthing Charcoal,Earthing Salt</t>
  </si>
  <si>
    <t>900 Kg(s),900Kg(s)</t>
  </si>
  <si>
    <t>ssenewtown@gmail.com</t>
  </si>
  <si>
    <t>22/-Kg(s),6/-Kg(s)</t>
  </si>
  <si>
    <t>027K</t>
  </si>
  <si>
    <t>C2013764</t>
  </si>
  <si>
    <t>Aloke Kumar Ghosh</t>
  </si>
  <si>
    <t>aloke1971ghosh@gmail.com</t>
  </si>
  <si>
    <t xml:space="preserve">6.80/- </t>
  </si>
  <si>
    <t>C2013763</t>
  </si>
  <si>
    <t>Bombay Barkers</t>
  </si>
  <si>
    <t xml:space="preserve"> shahzend@gmail.com</t>
  </si>
  <si>
    <t>C2013762</t>
  </si>
  <si>
    <t>Paras Enterprises</t>
  </si>
  <si>
    <t>Potassium Formate</t>
  </si>
  <si>
    <t xml:space="preserve"> parasenterprises28@gmail.com</t>
  </si>
  <si>
    <t>Mumbai - 421201</t>
  </si>
  <si>
    <t>C2013761</t>
  </si>
  <si>
    <t>om sai international</t>
  </si>
  <si>
    <t xml:space="preserve"> deepakd24@gmail.com</t>
  </si>
  <si>
    <t>C2013760</t>
  </si>
  <si>
    <t>Avinash Rathod</t>
  </si>
  <si>
    <t xml:space="preserve"> jigarram31817@gmail.com</t>
  </si>
  <si>
    <t xml:space="preserve">25/- 0% Mumbai </t>
  </si>
  <si>
    <t>1099M</t>
  </si>
  <si>
    <t>Will inform later. Due to lockdown dipo od customer is close now.</t>
  </si>
  <si>
    <t>C2013759</t>
  </si>
  <si>
    <t>Wagh Dattu</t>
  </si>
  <si>
    <t xml:space="preserve"> dattushitalranasidhu2018@gmail.com</t>
  </si>
  <si>
    <t>FOR Mumbai @4.50/- kg 5 %  for full truck load.</t>
  </si>
  <si>
    <t>1100M</t>
  </si>
  <si>
    <t>Not interested now.</t>
  </si>
  <si>
    <t>20.04.2021</t>
  </si>
  <si>
    <t>C2013758</t>
  </si>
  <si>
    <t>Sanitech Infrastructures</t>
  </si>
  <si>
    <t>Gypsum Powder, Limestone Powder</t>
  </si>
  <si>
    <t>2000+1000</t>
  </si>
  <si>
    <t>sanitechinfra@gmail.com</t>
  </si>
  <si>
    <t>Kolkata - 743368</t>
  </si>
  <si>
    <t>025K</t>
  </si>
  <si>
    <t>P00158</t>
  </si>
  <si>
    <t>M/S. Priyo Poulrty farm</t>
  </si>
  <si>
    <t>Ferric chloride</t>
  </si>
  <si>
    <t>250kg.</t>
  </si>
  <si>
    <t>priyopoultry.2018@gmail.com</t>
  </si>
  <si>
    <t xml:space="preserve"> 93310 51276</t>
  </si>
  <si>
    <t>48/-</t>
  </si>
  <si>
    <t>Send P.I.</t>
  </si>
  <si>
    <t>A0004</t>
  </si>
  <si>
    <t>M B Chemicals</t>
  </si>
  <si>
    <t>mrahaman1279@gmail.com</t>
  </si>
  <si>
    <t>Kolkata-700103</t>
  </si>
  <si>
    <t>10/-KG(S)</t>
  </si>
  <si>
    <t>024K</t>
  </si>
  <si>
    <t>19.04.2021</t>
  </si>
  <si>
    <t>C2013757</t>
  </si>
  <si>
    <t>Balaji enterprises</t>
  </si>
  <si>
    <t>balajiconstruction475@gmail.com</t>
  </si>
  <si>
    <t>7/-</t>
  </si>
  <si>
    <t>C2013756</t>
  </si>
  <si>
    <t>Geetanjali Educational Trust</t>
  </si>
  <si>
    <t xml:space="preserve"> pmanishagarwal@gmail.com</t>
  </si>
  <si>
    <t>Quoted 5/-kg(s),But Rate High.Target Price 2/-kg(s)</t>
  </si>
  <si>
    <t>16.04.2021</t>
  </si>
  <si>
    <t>C2013755</t>
  </si>
  <si>
    <t>Abinash Gorain</t>
  </si>
  <si>
    <t>Sodium Silicate Powder.</t>
  </si>
  <si>
    <t>abinashgorain143@gmail.com</t>
  </si>
  <si>
    <t>Purulia</t>
  </si>
  <si>
    <t>54/- 18 %</t>
  </si>
  <si>
    <t>C2013754</t>
  </si>
  <si>
    <t>SAMR Filtration Private Limited</t>
  </si>
  <si>
    <t xml:space="preserve"> sales@samrfilter.com</t>
  </si>
  <si>
    <t>Party target price @180/- pkg.</t>
  </si>
  <si>
    <t>C2013753</t>
  </si>
  <si>
    <t>Khandolka International Ltd</t>
  </si>
  <si>
    <t>Sodium Polyacrylate</t>
  </si>
  <si>
    <t xml:space="preserve"> sam.sharma75@aol.com</t>
  </si>
  <si>
    <t>Nashik - 422009</t>
  </si>
  <si>
    <t>190/-Kgs Ex Bhiwandi,18 % Gst  Origin-China, Packing -20KGS Bag</t>
  </si>
  <si>
    <t>0001M</t>
  </si>
  <si>
    <t>15.04.2021</t>
  </si>
  <si>
    <t>C2013752</t>
  </si>
  <si>
    <t>Saha Enterprise</t>
  </si>
  <si>
    <t xml:space="preserve"> sahaenterprise@hotmail.com</t>
  </si>
  <si>
    <t>13/- 5%</t>
  </si>
  <si>
    <t>Party resaller,Party order not confirmed.</t>
  </si>
  <si>
    <t>14.04.2021</t>
  </si>
  <si>
    <t>C2013751</t>
  </si>
  <si>
    <t>The Viranchi India</t>
  </si>
  <si>
    <t>dsojha@yahoo.com</t>
  </si>
  <si>
    <t>C2013750</t>
  </si>
  <si>
    <t>Shree Ram Industries</t>
  </si>
  <si>
    <t>Zinc hydroxide</t>
  </si>
  <si>
    <t>firework_ad1@yahoo.com</t>
  </si>
  <si>
    <t>Q @75+ Ex Bhiwandi</t>
  </si>
  <si>
    <t>1098M</t>
  </si>
  <si>
    <t>Party donot findout the mail.</t>
  </si>
  <si>
    <t>13.04.2021</t>
  </si>
  <si>
    <t>P00157</t>
  </si>
  <si>
    <t>Bery &amp; Bery Vet</t>
  </si>
  <si>
    <t>Dry Yeast Powder</t>
  </si>
  <si>
    <t>swapandas.dev@gmail.com</t>
  </si>
  <si>
    <t>92/-KG(S)</t>
  </si>
  <si>
    <t>020K</t>
  </si>
  <si>
    <t>C2013749</t>
  </si>
  <si>
    <t>Shree Krishan Co</t>
  </si>
  <si>
    <t>njoyorder@gmail.com</t>
  </si>
  <si>
    <t>12.04.2021</t>
  </si>
  <si>
    <t>C2013748</t>
  </si>
  <si>
    <t>Padmashri Group Of Companies</t>
  </si>
  <si>
    <t>gm@padmashrigroup.com</t>
  </si>
  <si>
    <t>Shiliguri</t>
  </si>
  <si>
    <t>70028 31023</t>
  </si>
  <si>
    <t>6000/-</t>
  </si>
  <si>
    <t>Quotation send, reply shortly.</t>
  </si>
  <si>
    <t>10.04.2021</t>
  </si>
  <si>
    <t>C2013747</t>
  </si>
  <si>
    <t>Krishna Trading Company</t>
  </si>
  <si>
    <t>krishna.tradingco018@gmail.com</t>
  </si>
  <si>
    <t>Dhanbad, Jharkhand</t>
  </si>
  <si>
    <t>@80/-</t>
  </si>
  <si>
    <t>P00156</t>
  </si>
  <si>
    <t>National Trading Co.</t>
  </si>
  <si>
    <t>Manganese Dioxide,Anthracite Coal</t>
  </si>
  <si>
    <t>1Ton(s),500Kg(s)</t>
  </si>
  <si>
    <t>ntckoj7018@gmail.com</t>
  </si>
  <si>
    <t>Kokrajhar</t>
  </si>
  <si>
    <t>22/-Kg(s),20/-Kg(s)</t>
  </si>
  <si>
    <t>016K</t>
  </si>
  <si>
    <t>08.04.2021</t>
  </si>
  <si>
    <t>C2013746</t>
  </si>
  <si>
    <t>Deem Roll Tech Limited</t>
  </si>
  <si>
    <t>purchase@deemrolls.com</t>
  </si>
  <si>
    <t>Hugli</t>
  </si>
  <si>
    <t>C2013745</t>
  </si>
  <si>
    <t>AMAKAN INDUCTION PRIVATE LIMITED</t>
  </si>
  <si>
    <t>Olivine Sand &amp; Etc.</t>
  </si>
  <si>
    <t>amakanspares@gmail.com</t>
  </si>
  <si>
    <t>C2013744</t>
  </si>
  <si>
    <t>Kaizer Construction Company</t>
  </si>
  <si>
    <t>Bentonite Powder (Ashapura)</t>
  </si>
  <si>
    <t>admin@kaizerconstruction.com</t>
  </si>
  <si>
    <t>C2013743</t>
  </si>
  <si>
    <t>Sukanta Kumar Swain</t>
  </si>
  <si>
    <t>skswain.wtss@gmail.com</t>
  </si>
  <si>
    <t>15.50/-KG(S)</t>
  </si>
  <si>
    <t>012K</t>
  </si>
  <si>
    <t>06.04.2021</t>
  </si>
  <si>
    <t>P00155</t>
  </si>
  <si>
    <t>VSN Infratech(P) Ltd.</t>
  </si>
  <si>
    <t>asamitkumar01@gmail.com</t>
  </si>
  <si>
    <t xml:space="preserve">Simurali Nadia </t>
  </si>
  <si>
    <t xml:space="preserve"> 87564 59573</t>
  </si>
  <si>
    <t>05.04.2021</t>
  </si>
  <si>
    <t>P00154</t>
  </si>
  <si>
    <t>Dineshchandra R Agrawal Infracon Pvt limited</t>
  </si>
  <si>
    <t>purchase.dalkhola@drailpl.com</t>
  </si>
  <si>
    <t xml:space="preserve">NH-34 Raiganj Dalkhola Project. Raiganj </t>
  </si>
  <si>
    <t>95465 65800</t>
  </si>
  <si>
    <t>C2013742</t>
  </si>
  <si>
    <t>M/s. Ranisati Enterprises</t>
  </si>
  <si>
    <t>Maize starch (food grade)</t>
  </si>
  <si>
    <t xml:space="preserve"> bmkedia@hotmail.com</t>
  </si>
  <si>
    <t>03.04.2021</t>
  </si>
  <si>
    <t>Lal Baba Seamless Tubes Pvt Ltd.</t>
  </si>
  <si>
    <t>Charcoal ,Salt</t>
  </si>
  <si>
    <t>100 Kg(s)</t>
  </si>
  <si>
    <t>lahagopal062@gmail.com</t>
  </si>
  <si>
    <t>005K</t>
  </si>
  <si>
    <t>Party Will Inform</t>
  </si>
  <si>
    <t>P00153</t>
  </si>
  <si>
    <t>KESAR IMPEX FLOOR CONCEPTS PVT LTD</t>
  </si>
  <si>
    <t>kifcplkolkata@gmail.com</t>
  </si>
  <si>
    <t xml:space="preserve"> 98840 26441</t>
  </si>
  <si>
    <t>8/- and 8.5/-</t>
  </si>
  <si>
    <t>party received low price Quotation.</t>
  </si>
  <si>
    <t>02.04.2021</t>
  </si>
  <si>
    <t>P00152</t>
  </si>
  <si>
    <t>Armaan Enterprises</t>
  </si>
  <si>
    <r>
      <rPr>
        <rFont val="arial, sans-serif"/>
        <color rgb="FF000000"/>
        <sz val="11.0"/>
      </rPr>
      <t>life.in</t>
    </r>
    <r>
      <rPr>
        <rFont val="arial, sans-serif"/>
        <color rgb="FF000000"/>
        <sz val="11.0"/>
      </rPr>
      <t>.777@gmail.com</t>
    </r>
  </si>
  <si>
    <t>Shantipur</t>
  </si>
  <si>
    <t>63/-Kg(s)</t>
  </si>
  <si>
    <t>003K</t>
  </si>
  <si>
    <t>01.04.2021</t>
  </si>
  <si>
    <t>C2013741</t>
  </si>
  <si>
    <t>Hajar Ali</t>
  </si>
  <si>
    <t xml:space="preserve"> ali.advhaidar@gmail.com</t>
  </si>
  <si>
    <t>31.03.2021</t>
  </si>
  <si>
    <t>C2013740</t>
  </si>
  <si>
    <t>Rinku Kumar Patel</t>
  </si>
  <si>
    <t>Cyano Acetamide Powder</t>
  </si>
  <si>
    <t>vipul4@rediffmail.com</t>
  </si>
  <si>
    <t xml:space="preserve">476/- 18% Ex-Bhiwandi </t>
  </si>
  <si>
    <t>1094M</t>
  </si>
  <si>
    <t>C2013739</t>
  </si>
  <si>
    <t>Rajesh Gandhi</t>
  </si>
  <si>
    <t>Hydrazine Hydrate 80 %</t>
  </si>
  <si>
    <t>rajandco2003@yahoo.com</t>
  </si>
  <si>
    <t>Mumbai - 400002</t>
  </si>
  <si>
    <t xml:space="preserve">386/- 18% Ex-Bhiwandi </t>
  </si>
  <si>
    <t>1095M</t>
  </si>
  <si>
    <t>30.03.2021</t>
  </si>
  <si>
    <t>P00151</t>
  </si>
  <si>
    <t>MAPLE ORGTECH INDIA LTD.</t>
  </si>
  <si>
    <t>himadri@mapleorgtech.com</t>
  </si>
  <si>
    <t>9830636051 / 9051478400</t>
  </si>
  <si>
    <t>7.3/-</t>
  </si>
  <si>
    <t>Party order not confirmed..(13-04)</t>
  </si>
  <si>
    <t>C2013738</t>
  </si>
  <si>
    <t>J R Fruits</t>
  </si>
  <si>
    <t>5000 Pcs</t>
  </si>
  <si>
    <t>jrkachhadiya@gmail.com</t>
  </si>
  <si>
    <t>Gondal - 360311</t>
  </si>
  <si>
    <t>9925984431/ 8460231677</t>
  </si>
  <si>
    <t>5.99/- pkt  18% FOR</t>
  </si>
  <si>
    <t>1096M</t>
  </si>
  <si>
    <t>C2013737</t>
  </si>
  <si>
    <t>Thomas Automobile</t>
  </si>
  <si>
    <t>anilisaac2002@yahoo.com</t>
  </si>
  <si>
    <t>27.03.2021</t>
  </si>
  <si>
    <t>C2013736</t>
  </si>
  <si>
    <t>Trade Link</t>
  </si>
  <si>
    <t>dharmesh.parekh369@gmail.com</t>
  </si>
  <si>
    <t>35/-  5%</t>
  </si>
  <si>
    <t>1682K</t>
  </si>
  <si>
    <t>Requirement Fulfilled.</t>
  </si>
  <si>
    <t>25.03.2021</t>
  </si>
  <si>
    <t>C2013735</t>
  </si>
  <si>
    <t>M/S. S.S. Trading Company</t>
  </si>
  <si>
    <t>sstrading02@gmail.com</t>
  </si>
  <si>
    <t>kokata</t>
  </si>
  <si>
    <t>28/-</t>
  </si>
  <si>
    <t>C2013734</t>
  </si>
  <si>
    <t>Anco Eloy</t>
  </si>
  <si>
    <t>Hyderated Lime 90</t>
  </si>
  <si>
    <t>mahesh@sureflow.in</t>
  </si>
  <si>
    <t>7.50/- 5% Ex-Rajasthan</t>
  </si>
  <si>
    <t>C2013733</t>
  </si>
  <si>
    <t>MELI HEALTH CARE</t>
  </si>
  <si>
    <t>Acetylsalicylic Acid</t>
  </si>
  <si>
    <t>rmuntazir110@gmail.com</t>
  </si>
  <si>
    <t>24.03.2021</t>
  </si>
  <si>
    <t>C2013732</t>
  </si>
  <si>
    <t>Macons Laboratory</t>
  </si>
  <si>
    <t xml:space="preserve"> info@maconslab.in</t>
  </si>
  <si>
    <t>7/- 5%</t>
  </si>
  <si>
    <t>Rate High.Target Price 4/-Kg(s)</t>
  </si>
  <si>
    <t>C2013731</t>
  </si>
  <si>
    <t>23.03.2021</t>
  </si>
  <si>
    <t>P00150</t>
  </si>
  <si>
    <t>Turriis Galva</t>
  </si>
  <si>
    <t xml:space="preserve">Liquid Ammonia  </t>
  </si>
  <si>
    <t>info.turriisgalv2021@gmail.com</t>
  </si>
  <si>
    <t>29/-Ltr(s)</t>
  </si>
  <si>
    <t>1674K</t>
  </si>
  <si>
    <t>C2013730</t>
  </si>
  <si>
    <t>The Hindustan Aquarist</t>
  </si>
  <si>
    <t>umeshmore26@gmail.com</t>
  </si>
  <si>
    <t>20.03.2021</t>
  </si>
  <si>
    <t>P00149</t>
  </si>
  <si>
    <t>V-Floor India &amp; co.</t>
  </si>
  <si>
    <t>Silica sand and powder</t>
  </si>
  <si>
    <t>1200 &amp; 1000</t>
  </si>
  <si>
    <t>vfloorindia@gmail.com</t>
  </si>
  <si>
    <t>95580 01788</t>
  </si>
  <si>
    <t>@8/- &amp; @ 7.50/-</t>
  </si>
  <si>
    <t>1670K</t>
  </si>
  <si>
    <t>Next month first week, party visited our office for sample cheecking.</t>
  </si>
  <si>
    <t>C2013729</t>
  </si>
  <si>
    <t>GTZ INDIA PVT LTD</t>
  </si>
  <si>
    <t>Sodium Metasilicate Anhydrous</t>
  </si>
  <si>
    <t xml:space="preserve"> samaresh.net@gmail.com</t>
  </si>
  <si>
    <t>Amtala</t>
  </si>
  <si>
    <t>17/-</t>
  </si>
  <si>
    <t>1672K</t>
  </si>
  <si>
    <t>C2013728</t>
  </si>
  <si>
    <t>Prafull Rai</t>
  </si>
  <si>
    <t xml:space="preserve"> profullyaroypr@gmail.com</t>
  </si>
  <si>
    <t>1671K</t>
  </si>
  <si>
    <t>Oder Confirmed.</t>
  </si>
  <si>
    <t>19.03.2021</t>
  </si>
  <si>
    <t>C2013727</t>
  </si>
  <si>
    <t>Global Casting</t>
  </si>
  <si>
    <t>cstripathy@rediffmail.com</t>
  </si>
  <si>
    <t>18.03.2021</t>
  </si>
  <si>
    <t>P00148</t>
  </si>
  <si>
    <t>A.B.Elasto Products Pvt.Ltd.</t>
  </si>
  <si>
    <t>Carbon - N765 grade</t>
  </si>
  <si>
    <t>abelasto@rediffmail.com</t>
  </si>
  <si>
    <t>@76/-</t>
  </si>
  <si>
    <t>Party wante sample</t>
  </si>
  <si>
    <t>C2013726</t>
  </si>
  <si>
    <t>Wasser Polymer Private Limited</t>
  </si>
  <si>
    <t>Melamine Powder</t>
  </si>
  <si>
    <t xml:space="preserve"> wasserpolymer2011@gmail.com</t>
  </si>
  <si>
    <t>Kolkata - 700055</t>
  </si>
  <si>
    <t>C2013725</t>
  </si>
  <si>
    <t>A K Das</t>
  </si>
  <si>
    <t>Zinc Chloride (88%), Ammonium Chloride</t>
  </si>
  <si>
    <t>10000 + 10000</t>
  </si>
  <si>
    <t>saltsoperations@gmail.com</t>
  </si>
  <si>
    <t>18/-                          90/-                                                                                        18%</t>
  </si>
  <si>
    <t>1667K</t>
  </si>
  <si>
    <t>COA Send.</t>
  </si>
  <si>
    <t>16.03.2021</t>
  </si>
  <si>
    <t>P00147</t>
  </si>
  <si>
    <t>Salius Pharma Pvt.Ltd.</t>
  </si>
  <si>
    <t>export2@saliuspharma.com</t>
  </si>
  <si>
    <t>84258 80642</t>
  </si>
  <si>
    <t>@86/-per kg., (Ex.Bhiwandi</t>
  </si>
  <si>
    <t>@86/- Ex.Bhiwandi</t>
  </si>
  <si>
    <t>1665K</t>
  </si>
  <si>
    <t>C2013724</t>
  </si>
  <si>
    <t>Gem Carbon Industries</t>
  </si>
  <si>
    <t>gemcarbon@yahoo.com</t>
  </si>
  <si>
    <t>Mumbai 400069</t>
  </si>
  <si>
    <t>28/- Ex- TARAPUR,MUMBAI</t>
  </si>
  <si>
    <t>1092M</t>
  </si>
  <si>
    <t>C2013723</t>
  </si>
  <si>
    <t>Labtech Engineering Services</t>
  </si>
  <si>
    <t>Sodium Metaborate</t>
  </si>
  <si>
    <t>rana.labtech@gmail.com</t>
  </si>
  <si>
    <t>P00146</t>
  </si>
  <si>
    <t>Liquid Ammonia 32% and Sodium sulfate</t>
  </si>
  <si>
    <t>1000 &amp; 1000</t>
  </si>
  <si>
    <t>98747 35838</t>
  </si>
  <si>
    <t>P00145</t>
  </si>
  <si>
    <t>Majhaulia Sugar Industries Pvt Ltd.</t>
  </si>
  <si>
    <t>distillerym@gmail.com</t>
  </si>
  <si>
    <t>Cleaning Purpose</t>
  </si>
  <si>
    <t>35.50/-KG(S)</t>
  </si>
  <si>
    <t>1664K</t>
  </si>
  <si>
    <t>15.03.2021</t>
  </si>
  <si>
    <t>C2013722</t>
  </si>
  <si>
    <t>Yash Enterprise</t>
  </si>
  <si>
    <t>hiteshmiyani69@gmail.com</t>
  </si>
  <si>
    <t>@140+ 65%</t>
  </si>
  <si>
    <t>1090M</t>
  </si>
  <si>
    <t xml:space="preserve">Over the phone rate given </t>
  </si>
  <si>
    <t>P00144</t>
  </si>
  <si>
    <t>Birendra Enterprise</t>
  </si>
  <si>
    <t>15/-KG(S)</t>
  </si>
  <si>
    <t>1662K</t>
  </si>
  <si>
    <t>C2013721</t>
  </si>
  <si>
    <t>Karim Khan</t>
  </si>
  <si>
    <t>khanahmed01@gmail.com</t>
  </si>
  <si>
    <t>9892696061/ 9867771236</t>
  </si>
  <si>
    <t>C2013720</t>
  </si>
  <si>
    <t>VitthalJagtap</t>
  </si>
  <si>
    <t>vitthaljagtap0098@gmail.com</t>
  </si>
  <si>
    <t>@18</t>
  </si>
  <si>
    <t>1091M</t>
  </si>
  <si>
    <t>13.03.2021</t>
  </si>
  <si>
    <t>P00143</t>
  </si>
  <si>
    <t>The FPCC Ltd.</t>
  </si>
  <si>
    <t>Silica sand and Silica poowder</t>
  </si>
  <si>
    <t>1500, 500</t>
  </si>
  <si>
    <t>badora123@gmail.com</t>
  </si>
  <si>
    <t xml:space="preserve">Odisha </t>
  </si>
  <si>
    <t>94382 60927</t>
  </si>
  <si>
    <t>7/- , 8.20/-</t>
  </si>
  <si>
    <t>C2013719</t>
  </si>
  <si>
    <t xml:space="preserve"> sashi2805@gmail.com</t>
  </si>
  <si>
    <t>C2013718</t>
  </si>
  <si>
    <t>Ranga</t>
  </si>
  <si>
    <t xml:space="preserve"> rsnyamagoud@gmail.com</t>
  </si>
  <si>
    <t>@Rs 23</t>
  </si>
  <si>
    <t>1089M</t>
  </si>
  <si>
    <t>12.03.2021</t>
  </si>
  <si>
    <t>P00142</t>
  </si>
  <si>
    <t>S.R.G.Earth Resources Pvt.Ltd</t>
  </si>
  <si>
    <t>dhanesh@srgearth.co.in</t>
  </si>
  <si>
    <t>Blusting Purpose</t>
  </si>
  <si>
    <t>1660K</t>
  </si>
  <si>
    <t>11.03.2021</t>
  </si>
  <si>
    <t>C2013717</t>
  </si>
  <si>
    <t>Shreeji Aqua Treatment Pvt. Ltd</t>
  </si>
  <si>
    <t>Activated Alumina</t>
  </si>
  <si>
    <t>info@shreejiaqua.com</t>
  </si>
  <si>
    <t>Pune - 411018</t>
  </si>
  <si>
    <t>N/A</t>
  </si>
  <si>
    <t>10.03.2021</t>
  </si>
  <si>
    <t>P00141</t>
  </si>
  <si>
    <t>Chloride Metals Ltd.</t>
  </si>
  <si>
    <t>Caustic Soda Flakes,   Sodium Nitrate</t>
  </si>
  <si>
    <t>18000,   18000</t>
  </si>
  <si>
    <t>prem@chloridemetals.in</t>
  </si>
  <si>
    <t>@41/- , @44/-(FOR Haldia)</t>
  </si>
  <si>
    <t>@41/- , @44/-</t>
  </si>
  <si>
    <t>1659K</t>
  </si>
  <si>
    <t>Price High (@28/-)</t>
  </si>
  <si>
    <t>C2013716</t>
  </si>
  <si>
    <t>Zeus Plastics Private Limited</t>
  </si>
  <si>
    <t>laxmitimberindustries@gmail.com</t>
  </si>
  <si>
    <t>Kolkata - 700069</t>
  </si>
  <si>
    <t>09.03.2021</t>
  </si>
  <si>
    <t>P00140</t>
  </si>
  <si>
    <t>Banshal Senitation</t>
  </si>
  <si>
    <t>bijay0376@gmail.com</t>
  </si>
  <si>
    <t>Jorhat-785001</t>
  </si>
  <si>
    <t>Drilling Purpose</t>
  </si>
  <si>
    <t>5.30/-KG(S)</t>
  </si>
  <si>
    <t>1658K</t>
  </si>
  <si>
    <t>Not Interested,Bcs Transportation Cost High</t>
  </si>
  <si>
    <t>05.03.2021</t>
  </si>
  <si>
    <t>A0003</t>
  </si>
  <si>
    <t>BHOPARB'S INSPIRATION</t>
  </si>
  <si>
    <t>Ammonium Bi Fluoride</t>
  </si>
  <si>
    <t>bhoparbsinspiration@gmail.com</t>
  </si>
  <si>
    <t>9334616240/ 8210541721</t>
  </si>
  <si>
    <t>165/-KG(S)</t>
  </si>
  <si>
    <t>1652K</t>
  </si>
  <si>
    <t>C2013715</t>
  </si>
  <si>
    <t>Mahir Technologies Inc</t>
  </si>
  <si>
    <t>mahirtechnologies@gmail.com</t>
  </si>
  <si>
    <t>QRs 75+ Ex bhiwandi godown</t>
  </si>
  <si>
    <t>1086M</t>
  </si>
  <si>
    <t>04.03.2021</t>
  </si>
  <si>
    <t>C2013714</t>
  </si>
  <si>
    <t>Techno Tank Industries</t>
  </si>
  <si>
    <t>Unexpanded Perlite ore.</t>
  </si>
  <si>
    <t>technotankindustries@gmail.com</t>
  </si>
  <si>
    <t>C2013713</t>
  </si>
  <si>
    <t>Ravin</t>
  </si>
  <si>
    <t>ravinkumar@chloridemetals.in</t>
  </si>
  <si>
    <t>18/-KG(S)</t>
  </si>
  <si>
    <t>1648K</t>
  </si>
  <si>
    <t>03.03.2021</t>
  </si>
  <si>
    <t>C2013712</t>
  </si>
  <si>
    <t>Amar Soap Factory</t>
  </si>
  <si>
    <t>maheshsitapara77@gmail.com</t>
  </si>
  <si>
    <t>Karad- Mumbai</t>
  </si>
  <si>
    <t>@70+ Ex bhiwandi godown</t>
  </si>
  <si>
    <t>1087M</t>
  </si>
  <si>
    <t>Need Snow white 80/20, 70/30 size</t>
  </si>
  <si>
    <t>A0002</t>
  </si>
  <si>
    <t>Narayan Sevi Grih Udyog</t>
  </si>
  <si>
    <t>2 Ton(s)</t>
  </si>
  <si>
    <t>ram.narayansevi@gmail.com</t>
  </si>
  <si>
    <t>Jharkhand-814112</t>
  </si>
  <si>
    <t>Agarbatti Purpose</t>
  </si>
  <si>
    <t>1647K</t>
  </si>
  <si>
    <t>No Requirement Now</t>
  </si>
  <si>
    <t>A0001</t>
  </si>
  <si>
    <t>Concrete Age Bricks</t>
  </si>
  <si>
    <t>Limestone Powder,Gypsum Powder</t>
  </si>
  <si>
    <t>4 Ton,2 Ton(s)</t>
  </si>
  <si>
    <t>shreyas.dey@gmail.com</t>
  </si>
  <si>
    <t>Birbhum-731204</t>
  </si>
  <si>
    <t>5.50/-,7.50/-Kg(s)</t>
  </si>
  <si>
    <t>1646K</t>
  </si>
  <si>
    <t>02.03.2021</t>
  </si>
  <si>
    <t>C2013711</t>
  </si>
  <si>
    <t>Prinita Chem</t>
  </si>
  <si>
    <t>Zinc Carbonate</t>
  </si>
  <si>
    <t>prinitachem@gmail.com</t>
  </si>
  <si>
    <t>n/a</t>
  </si>
  <si>
    <t xml:space="preserve">  </t>
  </si>
  <si>
    <t>1085M</t>
  </si>
  <si>
    <t>COA Send</t>
  </si>
  <si>
    <t>C2013710</t>
  </si>
  <si>
    <t>Sikandar Washing Powder</t>
  </si>
  <si>
    <t>tasneemahmed165@gmail.com</t>
  </si>
  <si>
    <t>Bijnor 246701</t>
  </si>
  <si>
    <t>C2013709</t>
  </si>
  <si>
    <t>Swarajya Feed</t>
  </si>
  <si>
    <t>satishjore1991@gmail.com</t>
  </si>
  <si>
    <t>@20</t>
  </si>
  <si>
    <t>1084M</t>
  </si>
  <si>
    <t>01.03.2021</t>
  </si>
  <si>
    <t>P00139</t>
  </si>
  <si>
    <t>Hussain Scour Solutions</t>
  </si>
  <si>
    <t>Soda Ash,Acid Slurry,STPP,TSP</t>
  </si>
  <si>
    <t>2Ton(s),500 Ltr(s),250 Kg(s),250 Kg(s)</t>
  </si>
  <si>
    <t>lutfur123hussain@gmail.com</t>
  </si>
  <si>
    <t>Assam-784115</t>
  </si>
  <si>
    <t>Detergent Purpose</t>
  </si>
  <si>
    <t>23/-,105/-,80/-,35/-Kg(s)</t>
  </si>
  <si>
    <t>1643K</t>
  </si>
  <si>
    <t>Order Confirm</t>
  </si>
  <si>
    <t>P00138</t>
  </si>
  <si>
    <t>Hooghly Alloy And Steels Co.Pvt.Ltd.</t>
  </si>
  <si>
    <t>Vermiculite Powder</t>
  </si>
  <si>
    <t>hooghlyalloy@rediffmail.com</t>
  </si>
  <si>
    <t>Kolkata-700001</t>
  </si>
  <si>
    <t>40/-KG(S)</t>
  </si>
  <si>
    <t>1641K</t>
  </si>
  <si>
    <t>P00137</t>
  </si>
  <si>
    <t>M.P.Refractory</t>
  </si>
  <si>
    <t>sourendra.n.pal@gmail.com</t>
  </si>
  <si>
    <t>Ceramic Purpose</t>
  </si>
  <si>
    <t>1640K</t>
  </si>
  <si>
    <t>Order Confirm.</t>
  </si>
  <si>
    <t>27.02.2021</t>
  </si>
  <si>
    <t>C2013708</t>
  </si>
  <si>
    <t>Bonik Logistics</t>
  </si>
  <si>
    <t>mrinal.kol2011@gmail.com</t>
  </si>
  <si>
    <t>25.02.2021</t>
  </si>
  <si>
    <t>P00136</t>
  </si>
  <si>
    <r>
      <rPr>
        <rFont val="Arial"/>
        <color rgb="FF000000"/>
        <sz val="11.0"/>
      </rPr>
      <t>Bio sil laboratories co</t>
    </r>
    <r>
      <rPr>
        <rFont val="Arial"/>
        <color rgb="FF000000"/>
        <sz val="11.0"/>
      </rPr>
      <t>.</t>
    </r>
  </si>
  <si>
    <t>Sodium Meta bi sulphite</t>
  </si>
  <si>
    <t>Ashishbiosillaboratories81@gmail.com</t>
  </si>
  <si>
    <t>99712 98947</t>
  </si>
  <si>
    <t>35/-</t>
  </si>
  <si>
    <t>Party Target price @26/- per kg.</t>
  </si>
  <si>
    <t>C2013707</t>
  </si>
  <si>
    <t xml:space="preserve"> dr6463@gmail.com</t>
  </si>
  <si>
    <t>80/-</t>
  </si>
  <si>
    <t>C2013706</t>
  </si>
  <si>
    <t>Omkar Enterprises</t>
  </si>
  <si>
    <t>Lithopone Powder</t>
  </si>
  <si>
    <t>omkarenterprises040@gmail.com</t>
  </si>
  <si>
    <t>@115+ need 50 kg</t>
  </si>
  <si>
    <t>1083M</t>
  </si>
  <si>
    <t>Quoted Rs 95+. He is trader. need 50kg only</t>
  </si>
  <si>
    <t>24.02.2021</t>
  </si>
  <si>
    <t>C2013705</t>
  </si>
  <si>
    <t>Harikrishna Trading Company</t>
  </si>
  <si>
    <t>varunmodi11057@gmail.com</t>
  </si>
  <si>
    <t>1081M</t>
  </si>
  <si>
    <t>C2013704</t>
  </si>
  <si>
    <t>Satish S KUMAR</t>
  </si>
  <si>
    <t>yjpharmain@gmail.com</t>
  </si>
  <si>
    <t>Panvel - 410208</t>
  </si>
  <si>
    <t>False enquiry. concern person not know about this enquiry as per discussion.</t>
  </si>
  <si>
    <t>C2013703</t>
  </si>
  <si>
    <t>Omkaar Food Corner</t>
  </si>
  <si>
    <t xml:space="preserve"> amitshah7862@hotmail.com</t>
  </si>
  <si>
    <t>1082M</t>
  </si>
  <si>
    <t>23.02.2021</t>
  </si>
  <si>
    <t>C2013702</t>
  </si>
  <si>
    <t>Kasa Metal and Steel Pvt. Ltd</t>
  </si>
  <si>
    <t>1 Flourspar. 2 Lime Stone Powder. 3 Soda Ash. 4 Alumminium Dross. 5 Graphite Powder. 6 Magnesite Powder.7 China Clay. 8 Chromium Oxide Powder. 9 Sodium Acetone. 10 Graphite Expandable Powder. 11 Blime Stone Powder</t>
  </si>
  <si>
    <t>200kg.,500kg.,500kg,500kg200kg.,100kg.,100kg.,100kg.,50kg.300kg.</t>
  </si>
  <si>
    <t>sibajit12roy@gmail.com</t>
  </si>
  <si>
    <t>Chrome Oxide Green 355/- 18%  
China Clay  16.50/- 5%
Magnesium Powder 32/- 5% 
Graphite Powder 59/- 5%
Aluminium Doss 15/- 18%
Soda Ash  26.50/- 18 % Lime Stone Powder 7.50/- 5% 
Flourspar 28/- 5%</t>
  </si>
  <si>
    <t>1638K</t>
  </si>
  <si>
    <t>Party will inform nextday.</t>
  </si>
  <si>
    <t>Party send purchase order.</t>
  </si>
  <si>
    <t>22.02.2021</t>
  </si>
  <si>
    <t>C2013701</t>
  </si>
  <si>
    <t>Sudhenu Farm</t>
  </si>
  <si>
    <t xml:space="preserve"> devendrabangale@gmail.com</t>
  </si>
  <si>
    <t>Pune - 411001</t>
  </si>
  <si>
    <t>P00135</t>
  </si>
  <si>
    <t>Manjushree Enterprise</t>
  </si>
  <si>
    <t>Non ferric Alum powder</t>
  </si>
  <si>
    <t>manjushree0353@gmail.com</t>
  </si>
  <si>
    <t>98320 67812</t>
  </si>
  <si>
    <t>1636K</t>
  </si>
  <si>
    <t>C2013700</t>
  </si>
  <si>
    <t>Aditya Commercial Corporation</t>
  </si>
  <si>
    <t>sse.aditya21@gmail.com</t>
  </si>
  <si>
    <t>C2013699</t>
  </si>
  <si>
    <t>kiran food products</t>
  </si>
  <si>
    <t>kiranfoodproducts.2001@gmail.com</t>
  </si>
  <si>
    <t>1637K</t>
  </si>
  <si>
    <t>20.02.2021</t>
  </si>
  <si>
    <t>P00134</t>
  </si>
  <si>
    <t>Teknovation Engineers Pvt.Ltd.</t>
  </si>
  <si>
    <t>pintu.das@teknovation.in</t>
  </si>
  <si>
    <t>Kolkata-700024</t>
  </si>
  <si>
    <t>Blasting Purpose</t>
  </si>
  <si>
    <t>6.50/-KG(S)</t>
  </si>
  <si>
    <t>1635K</t>
  </si>
  <si>
    <t>19.02.2021</t>
  </si>
  <si>
    <t>P00133</t>
  </si>
  <si>
    <t>Rashid</t>
  </si>
  <si>
    <t>88/-Ltr</t>
  </si>
  <si>
    <t>Cash Payment Done..Collected By Sir</t>
  </si>
  <si>
    <t>C2013698</t>
  </si>
  <si>
    <t>Sri balaji Udyog</t>
  </si>
  <si>
    <t>india.samruddhi@gmail.com</t>
  </si>
  <si>
    <t>1080M</t>
  </si>
  <si>
    <t>18.02.2021</t>
  </si>
  <si>
    <t>C2013697</t>
  </si>
  <si>
    <t>Arun</t>
  </si>
  <si>
    <t>gunnikainvestment@gmail.com</t>
  </si>
  <si>
    <t>@ 20</t>
  </si>
  <si>
    <t>1075M</t>
  </si>
  <si>
    <t>Target @14. Need for export</t>
  </si>
  <si>
    <t>C2013696</t>
  </si>
  <si>
    <t>Swastik Industrial Gases Private Limited</t>
  </si>
  <si>
    <t>talwarrk@swastikgroup.com</t>
  </si>
  <si>
    <t>@ 15+</t>
  </si>
  <si>
    <t>1076M</t>
  </si>
  <si>
    <t>C2013695</t>
  </si>
  <si>
    <t>Sanjeev Sharma</t>
  </si>
  <si>
    <t>sanjeev.sharma@ganeshgrains.com</t>
  </si>
  <si>
    <t xml:space="preserve">Lost </t>
  </si>
  <si>
    <t>Target price @51/- per kg.</t>
  </si>
  <si>
    <t>C2013694</t>
  </si>
  <si>
    <t>Ashadul Hoque</t>
  </si>
  <si>
    <t>Sulphur Flex</t>
  </si>
  <si>
    <t>ashanurdht@gmail.com</t>
  </si>
  <si>
    <t>C2013693</t>
  </si>
  <si>
    <t>German Agrotech</t>
  </si>
  <si>
    <t>pradeepmasih83@gmail.com</t>
  </si>
  <si>
    <t>Jodhpur</t>
  </si>
  <si>
    <t>@235+ Ex Bhiwandi</t>
  </si>
  <si>
    <t>1077M</t>
  </si>
  <si>
    <t>17.02.2021</t>
  </si>
  <si>
    <t>C2013692</t>
  </si>
  <si>
    <t>Chembiz Enterprises</t>
  </si>
  <si>
    <t>chembizenterprises.jsr@gmail.com</t>
  </si>
  <si>
    <t>Saraikela - 832108</t>
  </si>
  <si>
    <t>Party confirmed immediate.</t>
  </si>
  <si>
    <t>C2013691</t>
  </si>
  <si>
    <t>Shivam Polymers</t>
  </si>
  <si>
    <t>Marble dust Powder</t>
  </si>
  <si>
    <t>Shivampolymersslg@gmail.com</t>
  </si>
  <si>
    <t>Siliguri - 734004</t>
  </si>
  <si>
    <t>Party target price@2.50/-</t>
  </si>
  <si>
    <t>C2013690</t>
  </si>
  <si>
    <t>adinathcorporate@gmail.com</t>
  </si>
  <si>
    <t>C2013689</t>
  </si>
  <si>
    <t>Vadhshi Enterprise</t>
  </si>
  <si>
    <t>ghogikar59@gmail.com</t>
  </si>
  <si>
    <t>15.02.2021</t>
  </si>
  <si>
    <t>C2013688</t>
  </si>
  <si>
    <t>Tijaratul Islami</t>
  </si>
  <si>
    <t>tijaratulislami@gmail.com</t>
  </si>
  <si>
    <t>Thane - 400706</t>
  </si>
  <si>
    <t>Q@22+</t>
  </si>
  <si>
    <t>1074M</t>
  </si>
  <si>
    <t>Require more products other than molasses</t>
  </si>
  <si>
    <t>Require in small packing.</t>
  </si>
  <si>
    <t>C2013687</t>
  </si>
  <si>
    <t>AKW Enterprices</t>
  </si>
  <si>
    <t>kiritpatel1983@gmail.com</t>
  </si>
  <si>
    <t>Q@275+</t>
  </si>
  <si>
    <t>1078M</t>
  </si>
  <si>
    <t>C2013686</t>
  </si>
  <si>
    <t>PUNAM ENTERPRISES</t>
  </si>
  <si>
    <t>Polyvinyl Acetate</t>
  </si>
  <si>
    <t>metalpigment@yahoo.co.in</t>
  </si>
  <si>
    <t>Party interested to purchase from manufactore.</t>
  </si>
  <si>
    <t>C2013685</t>
  </si>
  <si>
    <t>SOHINI ROYCHOUDHURY</t>
  </si>
  <si>
    <t>sohini1989.roy@gmail.com</t>
  </si>
  <si>
    <t>13.02.2021</t>
  </si>
  <si>
    <t>P00132</t>
  </si>
  <si>
    <t>K D Infra</t>
  </si>
  <si>
    <t>PVA</t>
  </si>
  <si>
    <t>kol@lohiagroup.in</t>
  </si>
  <si>
    <t>Guwahati-782031</t>
  </si>
  <si>
    <t>275/-Kg(s)</t>
  </si>
  <si>
    <t>1627K</t>
  </si>
  <si>
    <t>Rate High.Target Price 235/-kg</t>
  </si>
  <si>
    <t>C2013684</t>
  </si>
  <si>
    <t>Faraz Lakdawala</t>
  </si>
  <si>
    <t>farazlakdawala@ymail.com</t>
  </si>
  <si>
    <t>Mumbai - 400061</t>
  </si>
  <si>
    <t>@21</t>
  </si>
  <si>
    <t>1079M</t>
  </si>
  <si>
    <t>12.002.2021</t>
  </si>
  <si>
    <t>P00131</t>
  </si>
  <si>
    <t>Garg chemicals</t>
  </si>
  <si>
    <t xml:space="preserve">Sodium Silico Fluoride </t>
  </si>
  <si>
    <t>ayushagrawalgsc@gmail.com</t>
  </si>
  <si>
    <t>93196 66655</t>
  </si>
  <si>
    <t>send bag photo copy and specification.</t>
  </si>
  <si>
    <t>12.02.2021</t>
  </si>
  <si>
    <t>C2013683</t>
  </si>
  <si>
    <t>alpha chemika</t>
  </si>
  <si>
    <t>Magnesium Metal Powder</t>
  </si>
  <si>
    <t>offers@alphachemika.co.in</t>
  </si>
  <si>
    <t>Mumbai-400 053</t>
  </si>
  <si>
    <t>11.02.2021</t>
  </si>
  <si>
    <t>P00130</t>
  </si>
  <si>
    <t>BRIJ POWER CORPORATION</t>
  </si>
  <si>
    <t>brijpower@yahoo.co.in</t>
  </si>
  <si>
    <t>98304 02340</t>
  </si>
  <si>
    <t>1603K</t>
  </si>
  <si>
    <t>Party local purchase@6.50/-per kg..</t>
  </si>
  <si>
    <t>C2013682</t>
  </si>
  <si>
    <t>New Pooja Oil Center</t>
  </si>
  <si>
    <t>punjabhushan5717@gmail.com</t>
  </si>
  <si>
    <t>Mumbai - 413228</t>
  </si>
  <si>
    <t>1072M</t>
  </si>
  <si>
    <t>10.02.2021</t>
  </si>
  <si>
    <t>C2013681</t>
  </si>
  <si>
    <t>Suraj Sk</t>
  </si>
  <si>
    <t>surajsk85@gmail.com</t>
  </si>
  <si>
    <t>1601K</t>
  </si>
  <si>
    <t>Target price@11/-</t>
  </si>
  <si>
    <t>C2013680</t>
  </si>
  <si>
    <t>MB Chemicals</t>
  </si>
  <si>
    <t>@98/-</t>
  </si>
  <si>
    <t>Target price@91/-</t>
  </si>
  <si>
    <t>09.02.2021</t>
  </si>
  <si>
    <t>P00129</t>
  </si>
  <si>
    <t>Hubert enviro care systems pvt ltd</t>
  </si>
  <si>
    <t>Chlorine tablets</t>
  </si>
  <si>
    <t>sccsales@hecs.in</t>
  </si>
  <si>
    <t>91500 02719</t>
  </si>
  <si>
    <t>@274/-</t>
  </si>
  <si>
    <t>1625K</t>
  </si>
  <si>
    <t>C2013679</t>
  </si>
  <si>
    <t>Balaji Overseas</t>
  </si>
  <si>
    <t>ACETIC ACID</t>
  </si>
  <si>
    <t>everythingexports8@gmail.com</t>
  </si>
  <si>
    <t>P00128</t>
  </si>
  <si>
    <t>GSTECH TRADERS</t>
  </si>
  <si>
    <t>Sodium Per Carbonate,  CMC Powder,  Sodium Meta Silicate</t>
  </si>
  <si>
    <t>250kg,   100kg.   250kg</t>
  </si>
  <si>
    <t>chandankr502@gmail.com</t>
  </si>
  <si>
    <t>97342 36118</t>
  </si>
  <si>
    <t>@115/-, @160/- ,   @ 27/-</t>
  </si>
  <si>
    <t>P.I. Send....</t>
  </si>
  <si>
    <t>Fund problems.....</t>
  </si>
  <si>
    <t>C2013678</t>
  </si>
  <si>
    <t>konica enterprises</t>
  </si>
  <si>
    <t>singhissun07@gmail.com</t>
  </si>
  <si>
    <t>C2013677</t>
  </si>
  <si>
    <t>Noyer Overseas</t>
  </si>
  <si>
    <t>Sodium Thiocyanate</t>
  </si>
  <si>
    <t>sales@noyeroverseas.com</t>
  </si>
  <si>
    <t>@265+ Ex Bhiwandi</t>
  </si>
  <si>
    <t>1071M</t>
  </si>
  <si>
    <t>C2013676</t>
  </si>
  <si>
    <t>Hubert Enviro Care Systems</t>
  </si>
  <si>
    <t>@210+</t>
  </si>
  <si>
    <t>1070M</t>
  </si>
  <si>
    <t>P00127</t>
  </si>
  <si>
    <t>Vistacore Infraprojects Pvt Ltd pune.</t>
  </si>
  <si>
    <t>patil.harsh99@gmail.com</t>
  </si>
  <si>
    <t>port blair</t>
  </si>
  <si>
    <t>94760 31007</t>
  </si>
  <si>
    <t>1623K</t>
  </si>
  <si>
    <t>Quotation send , reply shortly.</t>
  </si>
  <si>
    <t>target price @6/- per kg.</t>
  </si>
  <si>
    <t>06.02.2021</t>
  </si>
  <si>
    <t>P00126</t>
  </si>
  <si>
    <t>Advanced Sports Technologies LLP</t>
  </si>
  <si>
    <t>shivam.sharma9113@gmail.com</t>
  </si>
  <si>
    <t>Kolkata-700043</t>
  </si>
  <si>
    <t>8/-KG(S)</t>
  </si>
  <si>
    <t>05.02.2021</t>
  </si>
  <si>
    <t>C2013675</t>
  </si>
  <si>
    <t>Birla Corporation Ltd.</t>
  </si>
  <si>
    <t>pkanchalia@birlacorp.com</t>
  </si>
  <si>
    <t>26/-</t>
  </si>
  <si>
    <t>Avik Das</t>
  </si>
  <si>
    <t>avikdas2010@gmail.com</t>
  </si>
  <si>
    <t>C2013674</t>
  </si>
  <si>
    <t>Kumar Chemical Industries</t>
  </si>
  <si>
    <t>Camphor Powder, Hexamine</t>
  </si>
  <si>
    <t>amiteshk30@gmail.com</t>
  </si>
  <si>
    <t>Barauni, Bihar</t>
  </si>
  <si>
    <t>Price high,party require mangalam brand.</t>
  </si>
  <si>
    <t>C2013673</t>
  </si>
  <si>
    <t>Ranjit Kumar</t>
  </si>
  <si>
    <t>Camphor Powder</t>
  </si>
  <si>
    <t>ranjeetkumar59997@gmail.com</t>
  </si>
  <si>
    <t>Nawada, Bihar</t>
  </si>
  <si>
    <t>C2013672</t>
  </si>
  <si>
    <t>Manesium Oxide</t>
  </si>
  <si>
    <t>27/- 5%</t>
  </si>
  <si>
    <t xml:space="preserve">Party interested, </t>
  </si>
  <si>
    <t>04.02.2021</t>
  </si>
  <si>
    <t>C2013671</t>
  </si>
  <si>
    <t>Gayadin Abresives</t>
  </si>
  <si>
    <t>abrasive_gayadin@yahoo.co.in</t>
  </si>
  <si>
    <t>Rate High.Party Target Price 26/-Kg(s)</t>
  </si>
  <si>
    <t>P00125</t>
  </si>
  <si>
    <t>Kabil Construction</t>
  </si>
  <si>
    <t>Kabilsarkar823@gmail.com</t>
  </si>
  <si>
    <t>Vill &amp; PO-Bangurua,P.S-HCPUR,Dist-Malda</t>
  </si>
  <si>
    <t>97322 89831</t>
  </si>
  <si>
    <t>Amount returrns.</t>
  </si>
  <si>
    <t>P00124</t>
  </si>
  <si>
    <t>Anustar Home Products</t>
  </si>
  <si>
    <t>China clay</t>
  </si>
  <si>
    <t>anustar.hp@gmail.com</t>
  </si>
  <si>
    <t>Barrackpore</t>
  </si>
  <si>
    <t>6289 843 505</t>
  </si>
  <si>
    <t>@7/-</t>
  </si>
  <si>
    <t>Party below price other source.</t>
  </si>
  <si>
    <t>03.02.2021</t>
  </si>
  <si>
    <t>P00123</t>
  </si>
  <si>
    <t>S.M.Trades &amp; Industries</t>
  </si>
  <si>
    <t>smtrades@rediffmail.com</t>
  </si>
  <si>
    <t>117/-KG(S)</t>
  </si>
  <si>
    <t>1614K</t>
  </si>
  <si>
    <t>Advance Payment Done</t>
  </si>
  <si>
    <t>Material Dispatched.</t>
  </si>
  <si>
    <t>C2013670</t>
  </si>
  <si>
    <t>Autonic Energy System Pvt. Ltd</t>
  </si>
  <si>
    <t>purchase@autonic.in</t>
  </si>
  <si>
    <t>Q Bentonite@5.5+, Charcoal @8, Salt @4.5</t>
  </si>
  <si>
    <t>1067M</t>
  </si>
  <si>
    <t>Require Bentonite, Charcoal, Salt . Ex Bhiwandi</t>
  </si>
  <si>
    <t>02.02.2021</t>
  </si>
  <si>
    <t>C2013669</t>
  </si>
  <si>
    <t>Ekjot Singh</t>
  </si>
  <si>
    <t>ahujagears@rediffmail.com</t>
  </si>
  <si>
    <t>Punjab</t>
  </si>
  <si>
    <t>Q Rs 35+ Ex Kolkata</t>
  </si>
  <si>
    <t>C2013668</t>
  </si>
  <si>
    <t>Coremac Chemicals</t>
  </si>
  <si>
    <t>jcgpatel89@gmail.com</t>
  </si>
  <si>
    <t>Rajkot - 360004</t>
  </si>
  <si>
    <t>First need Sample for testing.</t>
  </si>
  <si>
    <t>C2013667</t>
  </si>
  <si>
    <t>Vishwakarma Industries</t>
  </si>
  <si>
    <t>karmakar.bishnu11@gmail.com</t>
  </si>
  <si>
    <t>19/-KG(S)</t>
  </si>
  <si>
    <t>1611K</t>
  </si>
  <si>
    <t>Target Price 10/-Kg(s)</t>
  </si>
  <si>
    <t>C2013666</t>
  </si>
  <si>
    <t>Admixture Technologies Pvt Ltd</t>
  </si>
  <si>
    <t>Sulphuric Acid</t>
  </si>
  <si>
    <t>11/-</t>
  </si>
  <si>
    <t>1610K</t>
  </si>
  <si>
    <t>01.02.2021</t>
  </si>
  <si>
    <t>C2013665</t>
  </si>
  <si>
    <t>SP NANIBAME</t>
  </si>
  <si>
    <t>DOLOMITE POWDER,   CALCIUM CARBONATE POWDER,      HYDRATED LIME,      SILICA POWDER,</t>
  </si>
  <si>
    <t>20mt.  20mt. 20mt. 20mt.</t>
  </si>
  <si>
    <t xml:space="preserve"> spntechnology@gmail.com</t>
  </si>
  <si>
    <t>SURI, BIRBHUM</t>
  </si>
  <si>
    <t>90649 49364</t>
  </si>
  <si>
    <t>@6/- , @9/- , @9/- @5.50/-</t>
  </si>
  <si>
    <t>1607K</t>
  </si>
  <si>
    <t>Reply shortly</t>
  </si>
  <si>
    <t>Sample received.</t>
  </si>
  <si>
    <t>C2013664</t>
  </si>
  <si>
    <t>Alumminium Sulphate Powder</t>
  </si>
  <si>
    <t>1066K</t>
  </si>
  <si>
    <t>Rate High.Party Target Price 14/-Kg(s)</t>
  </si>
  <si>
    <t>C2013663</t>
  </si>
  <si>
    <t>25mt</t>
  </si>
  <si>
    <t>Suman.enterprises936@gmail.com</t>
  </si>
  <si>
    <t>70042 00926</t>
  </si>
  <si>
    <t>1604K</t>
  </si>
  <si>
    <t>28.01.2021</t>
  </si>
  <si>
    <t>C2013662</t>
  </si>
  <si>
    <t>Yashin Khan</t>
  </si>
  <si>
    <t>yashink4724@gmail.com</t>
  </si>
  <si>
    <t>@89+ ex Bhiwandi</t>
  </si>
  <si>
    <t>1066M</t>
  </si>
  <si>
    <t>Needs soap noodles scrap.</t>
  </si>
  <si>
    <t>C2013661</t>
  </si>
  <si>
    <t>SG Diagnostic</t>
  </si>
  <si>
    <t>gdutta079@gmail.com</t>
  </si>
  <si>
    <t>58/-</t>
  </si>
  <si>
    <t>C2013660</t>
  </si>
  <si>
    <t>Asit</t>
  </si>
  <si>
    <t>dawnasit1234@gmail.com</t>
  </si>
  <si>
    <t>51/-KG(S)</t>
  </si>
  <si>
    <t>1613K</t>
  </si>
  <si>
    <t>Rate Not Matched</t>
  </si>
  <si>
    <t>27-01-2021</t>
  </si>
  <si>
    <t>C2013659</t>
  </si>
  <si>
    <t>Silica powder,Soap stone powder</t>
  </si>
  <si>
    <t>500kg. &amp; 500kg.</t>
  </si>
  <si>
    <t xml:space="preserve"> 90649 49364 </t>
  </si>
  <si>
    <t>7.20/- &amp; 13/-</t>
  </si>
  <si>
    <t>Payment send.</t>
  </si>
  <si>
    <t>23.01.2021</t>
  </si>
  <si>
    <t>C2013658</t>
  </si>
  <si>
    <t>Arush udyog</t>
  </si>
  <si>
    <t>983K</t>
  </si>
  <si>
    <t>C2013657</t>
  </si>
  <si>
    <t>Govind Bonik</t>
  </si>
  <si>
    <t>motaharh752@gmail.com</t>
  </si>
  <si>
    <t>11/- kg</t>
  </si>
  <si>
    <t>1597K</t>
  </si>
  <si>
    <t>C2013656</t>
  </si>
  <si>
    <t>BM ELECTRICAL WORKS</t>
  </si>
  <si>
    <t>Kharibamsurjeet@gmail.com</t>
  </si>
  <si>
    <t xml:space="preserve"> Silchar</t>
  </si>
  <si>
    <t>110/-</t>
  </si>
  <si>
    <t>110/- kg.</t>
  </si>
  <si>
    <t>PI. Send ...</t>
  </si>
  <si>
    <t>21.01.2021</t>
  </si>
  <si>
    <t>P00122</t>
  </si>
  <si>
    <t>Bhagwati Enterprises</t>
  </si>
  <si>
    <t>alok83gupta@gmail.com</t>
  </si>
  <si>
    <t>56/-KG(S)</t>
  </si>
  <si>
    <t>1595K</t>
  </si>
  <si>
    <t>Sample Collected From Office</t>
  </si>
  <si>
    <t>C2013655</t>
  </si>
  <si>
    <t>Devendra Dongare</t>
  </si>
  <si>
    <t>nirmal@abccpl.com</t>
  </si>
  <si>
    <t xml:space="preserve">Need sample first 5mm size </t>
  </si>
  <si>
    <t>20.01.2021</t>
  </si>
  <si>
    <t>C2013654</t>
  </si>
  <si>
    <t>R. Hyder</t>
  </si>
  <si>
    <t>Industrial Salts</t>
  </si>
  <si>
    <t>raffath123@rediffmail.com</t>
  </si>
  <si>
    <t>Kolkata- 700017</t>
  </si>
  <si>
    <t>6.0/Kg</t>
  </si>
  <si>
    <t>1594K</t>
  </si>
  <si>
    <t>Customer will inform till Monday</t>
  </si>
  <si>
    <t>C2013653</t>
  </si>
  <si>
    <t>Swain Exports Private Limited</t>
  </si>
  <si>
    <t>bijoyswain63@gmail.com</t>
  </si>
  <si>
    <t>Gujrat- 388001</t>
  </si>
  <si>
    <t>1065M</t>
  </si>
  <si>
    <t>Call Him Friday</t>
  </si>
  <si>
    <t>C2013652</t>
  </si>
  <si>
    <t>Gypmart India Pvt Ltd</t>
  </si>
  <si>
    <t>White Lime</t>
  </si>
  <si>
    <t>98320 19672</t>
  </si>
  <si>
    <t>@5.25/-</t>
  </si>
  <si>
    <t>5.25/-</t>
  </si>
  <si>
    <t>1592K</t>
  </si>
  <si>
    <t>Order confirmed.</t>
  </si>
  <si>
    <t>C2013651</t>
  </si>
  <si>
    <t>Krit Shah</t>
  </si>
  <si>
    <t>mitul_2203@yahoo.co.in</t>
  </si>
  <si>
    <t>Requie White Bentonite</t>
  </si>
  <si>
    <t>19.01.2021</t>
  </si>
  <si>
    <t>C2013650</t>
  </si>
  <si>
    <t>Vimal Patel</t>
  </si>
  <si>
    <t>Cattle Feed Molasess</t>
  </si>
  <si>
    <t>patelperth@gmail.com</t>
  </si>
  <si>
    <t>Q20+ Ex Bhiwandi</t>
  </si>
  <si>
    <t>1062M</t>
  </si>
  <si>
    <t>18.01.2021</t>
  </si>
  <si>
    <t>C2013649</t>
  </si>
  <si>
    <t>Bengal Star Agency</t>
  </si>
  <si>
    <t>archita.uit@gmail.com</t>
  </si>
  <si>
    <t>27/-</t>
  </si>
  <si>
    <t>Require-1kg. pack, 25pcs.</t>
  </si>
  <si>
    <t>C2013648</t>
  </si>
  <si>
    <t>Ranjeet</t>
  </si>
  <si>
    <t>Raw Magnesite Lumps</t>
  </si>
  <si>
    <t>ranjeet@facorccp.in</t>
  </si>
  <si>
    <t>Need to know the Size for Price.</t>
  </si>
  <si>
    <t>C2013647</t>
  </si>
  <si>
    <t>AN Scraps</t>
  </si>
  <si>
    <t>iru.tamboli@gmail.com</t>
  </si>
  <si>
    <t>Bhiwandi - 421301</t>
  </si>
  <si>
    <t>Q8.5+ Ex Bhiwandi</t>
  </si>
  <si>
    <t>1063M</t>
  </si>
  <si>
    <t>C2013646</t>
  </si>
  <si>
    <t>Pooja Industries</t>
  </si>
  <si>
    <t>Solid Calcium Carbide</t>
  </si>
  <si>
    <t>rajendersaini2002@yahoo.co.in</t>
  </si>
  <si>
    <t>Mumbai - 400093</t>
  </si>
  <si>
    <t>9821635980/ 7045713340</t>
  </si>
  <si>
    <t>Q120+ Ex Bhiwandi</t>
  </si>
  <si>
    <t>1064M</t>
  </si>
  <si>
    <t>16.01.2021</t>
  </si>
  <si>
    <t>C2013645</t>
  </si>
  <si>
    <t>Nadeem</t>
  </si>
  <si>
    <t>nadeem.kacchi786@gmail.com</t>
  </si>
  <si>
    <t>C2013644</t>
  </si>
  <si>
    <t>Bappaditya Das</t>
  </si>
  <si>
    <t>Anthracite Coal.</t>
  </si>
  <si>
    <t>12/- 1ton  5%</t>
  </si>
  <si>
    <t>Wrong Enquery.</t>
  </si>
  <si>
    <t>C2013643</t>
  </si>
  <si>
    <t>T. Mukherjee</t>
  </si>
  <si>
    <t>Liquid Chlorine.</t>
  </si>
  <si>
    <t>tonmoymukherjee76@gmail.com</t>
  </si>
  <si>
    <t>Kolkata-700141</t>
  </si>
  <si>
    <t>Party requirement only-5kg.</t>
  </si>
  <si>
    <t>C2013642</t>
  </si>
  <si>
    <t>Hidalco Ceramic</t>
  </si>
  <si>
    <t>mayankbhatiya99@gmail.com</t>
  </si>
  <si>
    <t>Morbi - 363642</t>
  </si>
  <si>
    <t>10.5
(Iran Imported)
(Ex Bhiwandi)</t>
  </si>
  <si>
    <t>C2013641</t>
  </si>
  <si>
    <t>Saseendran</t>
  </si>
  <si>
    <t>jwalaoven@gmail.com</t>
  </si>
  <si>
    <t>Kerala</t>
  </si>
  <si>
    <t>15.01.2021</t>
  </si>
  <si>
    <t>C2013640</t>
  </si>
  <si>
    <t>Moglik Lab India Pvt.Ltd</t>
  </si>
  <si>
    <t>Amonnium SulPhate</t>
  </si>
  <si>
    <t>ritesh.ranjan@moglix.com</t>
  </si>
  <si>
    <t>1586K</t>
  </si>
  <si>
    <t>13.01.2021</t>
  </si>
  <si>
    <t>P00121</t>
  </si>
  <si>
    <t>Piranha Aquatics</t>
  </si>
  <si>
    <t>Activated Carbon,Zeolite Granules,Zeolite Tablet,Brim Media</t>
  </si>
  <si>
    <t>500Kg(s),300 Kg(s),50Kg(s),100Kg(s)</t>
  </si>
  <si>
    <t>niladriadhikary2@gmail.com</t>
  </si>
  <si>
    <t>26/-,24/-,35/-,35/-Kg(s)</t>
  </si>
  <si>
    <t>1584K</t>
  </si>
  <si>
    <t>C2013639</t>
  </si>
  <si>
    <t>Shantnu Bhattacharya</t>
  </si>
  <si>
    <t>Muriatic Acid</t>
  </si>
  <si>
    <t>dipnbh@gmail.com</t>
  </si>
  <si>
    <t>C2013638</t>
  </si>
  <si>
    <t>SK Mahmudul Hasan</t>
  </si>
  <si>
    <t>skmahmudulhasan05@gmail.com</t>
  </si>
  <si>
    <t>29/- 0%</t>
  </si>
  <si>
    <t>Photo Copy Send.Day After Tommorow Party Will Come.</t>
  </si>
  <si>
    <t>12.01.2021</t>
  </si>
  <si>
    <t>C2013637</t>
  </si>
  <si>
    <t>Mukul Mondal</t>
  </si>
  <si>
    <t>mondalmukul423@gmail.com</t>
  </si>
  <si>
    <t>P00120</t>
  </si>
  <si>
    <t>Universal</t>
  </si>
  <si>
    <t>sumit.m017@gmail.com</t>
  </si>
  <si>
    <t>Kolkata-700014</t>
  </si>
  <si>
    <t>25/-KG(S)</t>
  </si>
  <si>
    <t>1580K</t>
  </si>
  <si>
    <t>Order Not Confirm</t>
  </si>
  <si>
    <t>11.01.2021</t>
  </si>
  <si>
    <t>C2013636</t>
  </si>
  <si>
    <t>Mukesh Darvesh</t>
  </si>
  <si>
    <t>Copper Powder Flake</t>
  </si>
  <si>
    <t>jailaxmipc@gmail.com</t>
  </si>
  <si>
    <t>Mumbai - 400074</t>
  </si>
  <si>
    <t>C2013635</t>
  </si>
  <si>
    <t>Rupesh Agarwal</t>
  </si>
  <si>
    <t>greenmotorworld@gmail.com</t>
  </si>
  <si>
    <t>Jamshedpur-831003</t>
  </si>
  <si>
    <t>1577K</t>
  </si>
  <si>
    <t>Party will inform.</t>
  </si>
  <si>
    <t>C2013634</t>
  </si>
  <si>
    <t>nbg1941@gmail.com</t>
  </si>
  <si>
    <t>will send sample from kolkata. 12.1.21</t>
  </si>
  <si>
    <t>09.01.2021</t>
  </si>
  <si>
    <t>C2013633</t>
  </si>
  <si>
    <t>Ajay Globchem</t>
  </si>
  <si>
    <t>Sorbic Acid Powder</t>
  </si>
  <si>
    <t>ajay_vasa@globchem.in</t>
  </si>
  <si>
    <t>573/-</t>
  </si>
  <si>
    <t>573/-KG(S)</t>
  </si>
  <si>
    <t>1573K</t>
  </si>
  <si>
    <t>C2013632</t>
  </si>
  <si>
    <t>Harsh Mittal</t>
  </si>
  <si>
    <t>2harshmittal@gmail.com</t>
  </si>
  <si>
    <t>Kolkata-700027</t>
  </si>
  <si>
    <t>6.50/- 5%</t>
  </si>
  <si>
    <t>1575K</t>
  </si>
  <si>
    <t>C2013631</t>
  </si>
  <si>
    <t>Tushar Phule</t>
  </si>
  <si>
    <t>Imli Seed Powder</t>
  </si>
  <si>
    <t>phuletushar603060@gmail.com</t>
  </si>
  <si>
    <t>08.01.2021</t>
  </si>
  <si>
    <t>C2013630</t>
  </si>
  <si>
    <t>Vasu Anand</t>
  </si>
  <si>
    <t>avi0120@gmail.com</t>
  </si>
  <si>
    <t>07.01.2021</t>
  </si>
  <si>
    <t>C2013629</t>
  </si>
  <si>
    <t>Siwel  De engineering</t>
  </si>
  <si>
    <t>madhavde700@gmail.com</t>
  </si>
  <si>
    <t>Nadia, West Bengal</t>
  </si>
  <si>
    <t>9/- 5%</t>
  </si>
  <si>
    <t>1574K</t>
  </si>
  <si>
    <t>C2013628</t>
  </si>
  <si>
    <t>Ashvani Jana</t>
  </si>
  <si>
    <t>Sadaf Gypsum Powder</t>
  </si>
  <si>
    <t>Party Will Come 01/02/2021</t>
  </si>
  <si>
    <t>C2013627</t>
  </si>
  <si>
    <t>Zaid Ansari</t>
  </si>
  <si>
    <t>z.ansari.78600@gmail.com</t>
  </si>
  <si>
    <t>Mumbai- 400003</t>
  </si>
  <si>
    <t>@28</t>
  </si>
  <si>
    <t>1059M</t>
  </si>
  <si>
    <t>C2013626</t>
  </si>
  <si>
    <t>Anwar</t>
  </si>
  <si>
    <t>Succinamide</t>
  </si>
  <si>
    <t>SVR_DRUGS@yahoo.COM</t>
  </si>
  <si>
    <t>Telangana</t>
  </si>
  <si>
    <t>C2013625</t>
  </si>
  <si>
    <t>Rajesh Biswas</t>
  </si>
  <si>
    <t>skenterprise4242@gmail.com</t>
  </si>
  <si>
    <t>6.5/- 5%</t>
  </si>
  <si>
    <t>Party Requirement Only Pinal Brand.</t>
  </si>
  <si>
    <t>06.01.2021</t>
  </si>
  <si>
    <t>P00119</t>
  </si>
  <si>
    <t>Biplab Mukherjee</t>
  </si>
  <si>
    <t xml:space="preserve">Quartz Sand  </t>
  </si>
  <si>
    <t>biplab.tirupati@rediffmail.com</t>
  </si>
  <si>
    <t>6.5/-</t>
  </si>
  <si>
    <t>8/-KG</t>
  </si>
  <si>
    <t>1571K</t>
  </si>
  <si>
    <t>@6.80/-  revised Price.</t>
  </si>
  <si>
    <t>P00118</t>
  </si>
  <si>
    <t>City Chemicals &amp; Instruments.</t>
  </si>
  <si>
    <t>Lime Powder,    Hydrated Lime powder,  Bleaching Powder.</t>
  </si>
  <si>
    <t>14000,  14000,    2000</t>
  </si>
  <si>
    <t>citychemicals1234@gmail.com</t>
  </si>
  <si>
    <t>Lime Powder 6/- 5%   Hydrated Lime powder 9.50/- 5%   Bleaching Powder 21/- 18%</t>
  </si>
  <si>
    <t>6/-,9.50/-,21/- KG</t>
  </si>
  <si>
    <t>1570K</t>
  </si>
  <si>
    <t>order not confirmed.</t>
  </si>
  <si>
    <t>C2013624</t>
  </si>
  <si>
    <t>Sujit Pore</t>
  </si>
  <si>
    <t>Barytes Powder</t>
  </si>
  <si>
    <t>sujit.pore@greenovera.com</t>
  </si>
  <si>
    <t>Material Dispatched</t>
  </si>
  <si>
    <t>P00117</t>
  </si>
  <si>
    <t>procurement@splendidservices.in</t>
  </si>
  <si>
    <t>Kolkata-700109</t>
  </si>
  <si>
    <t>1566K</t>
  </si>
  <si>
    <t>Party Will Come Today.</t>
  </si>
  <si>
    <t>Material Collected</t>
  </si>
  <si>
    <t>C2013623</t>
  </si>
  <si>
    <t>Soumen Ganguli</t>
  </si>
  <si>
    <t>soumenganguli93@gmail.com</t>
  </si>
  <si>
    <t>53/-</t>
  </si>
  <si>
    <t xml:space="preserve">53/-kg </t>
  </si>
  <si>
    <t>1568K</t>
  </si>
  <si>
    <t>C2013622</t>
  </si>
  <si>
    <t>Brian Samuel</t>
  </si>
  <si>
    <t>Bentonite Granules,  Tween 80</t>
  </si>
  <si>
    <t>2000, 100</t>
  </si>
  <si>
    <t>brian.samuel@mapleorgtech.com</t>
  </si>
  <si>
    <t>10/- ,  185/-</t>
  </si>
  <si>
    <t xml:space="preserve">10/- kg </t>
  </si>
  <si>
    <t>1567K</t>
  </si>
  <si>
    <t>Reply Shortly.</t>
  </si>
  <si>
    <t>04.01.2021</t>
  </si>
  <si>
    <t>P00116</t>
  </si>
  <si>
    <t>Bijay Laxmi Krishi Bhander</t>
  </si>
  <si>
    <t>rajbishal029@gmail.com</t>
  </si>
  <si>
    <t>Malda-732142</t>
  </si>
  <si>
    <t>6.80/-KG(S)</t>
  </si>
  <si>
    <t>1561K</t>
  </si>
  <si>
    <t>02.01.2021</t>
  </si>
  <si>
    <t>C2013621</t>
  </si>
  <si>
    <t>Sunil Gaikwad</t>
  </si>
  <si>
    <t>greenchemicals077@gmail.com</t>
  </si>
  <si>
    <t>Pune-411034</t>
  </si>
  <si>
    <t>Phone not reachable</t>
  </si>
  <si>
    <t>C2013620</t>
  </si>
  <si>
    <t>Raul Perfumery Works</t>
  </si>
  <si>
    <t>Kolkata -700150</t>
  </si>
  <si>
    <t>1565K</t>
  </si>
  <si>
    <t>P00115</t>
  </si>
  <si>
    <t>Dossen Industries</t>
  </si>
  <si>
    <t>mainakdas.di@gmail.com</t>
  </si>
  <si>
    <t>Kolkata-711113</t>
  </si>
  <si>
    <t>1559K</t>
  </si>
  <si>
    <t>Tomorrow Party Will Come To Take Material</t>
  </si>
  <si>
    <t>C2013619</t>
  </si>
  <si>
    <t>Preaveen Sahil Corp</t>
  </si>
  <si>
    <t>Manganese Ore</t>
  </si>
  <si>
    <t>praveenrai21@gmail.com</t>
  </si>
  <si>
    <t>@28+</t>
  </si>
  <si>
    <t>Call Not responding</t>
  </si>
  <si>
    <t>P00114</t>
  </si>
  <si>
    <t>M.K.Roy &amp; Bros Projects Ltd.</t>
  </si>
  <si>
    <t>sgupta4u79@gmail.com</t>
  </si>
  <si>
    <t>1558K</t>
  </si>
  <si>
    <t>C2013618</t>
  </si>
  <si>
    <t>Sidharth Sahu</t>
  </si>
  <si>
    <t>11/- With Drum</t>
  </si>
  <si>
    <t>11/-KG(S)</t>
  </si>
  <si>
    <t>1560K</t>
  </si>
  <si>
    <t>Party Target Price 4/-KG(S)</t>
  </si>
  <si>
    <t>31.12.2020</t>
  </si>
  <si>
    <t>C2013617</t>
  </si>
  <si>
    <t>Manu Vishwakarma</t>
  </si>
  <si>
    <t>ait.mannuvishwakarma.786@gmail.com</t>
  </si>
  <si>
    <t>Munger, Bihar</t>
  </si>
  <si>
    <t>C2013616</t>
  </si>
  <si>
    <t>Manoj Kumar Sharma</t>
  </si>
  <si>
    <t>mksharmagroup1978@gmail.com</t>
  </si>
  <si>
    <t>35/- 12%</t>
  </si>
  <si>
    <t>1557K</t>
  </si>
  <si>
    <t>Rate high.target price 28/-kg(s)</t>
  </si>
  <si>
    <t>28.12.2020</t>
  </si>
  <si>
    <t>C2013615</t>
  </si>
  <si>
    <t>Apurva Khandelwal</t>
  </si>
  <si>
    <t>Sodium Percarbonate</t>
  </si>
  <si>
    <t>apurva@arkchemicals.co.in</t>
  </si>
  <si>
    <t xml:space="preserve">100/- </t>
  </si>
  <si>
    <t>Party gets price@55/-(Mumbai price)</t>
  </si>
  <si>
    <t>P00113</t>
  </si>
  <si>
    <t>Hindustan Engineering &amp; Industries</t>
  </si>
  <si>
    <t>scp@heilindia.com</t>
  </si>
  <si>
    <t>Hooghly-712205</t>
  </si>
  <si>
    <t>22.50/-KG(S)</t>
  </si>
  <si>
    <t>1545K</t>
  </si>
  <si>
    <t>Sample sent.</t>
  </si>
  <si>
    <t>26.12.2020</t>
  </si>
  <si>
    <t>P00112</t>
  </si>
  <si>
    <t>Shyam &amp; Co.Of North Pvt Ltd.</t>
  </si>
  <si>
    <t>yatin@vismayacollection.com</t>
  </si>
  <si>
    <t>1544K</t>
  </si>
  <si>
    <t>Rate high.Target Price 10-12/-Kg</t>
  </si>
  <si>
    <t>25.12.2020</t>
  </si>
  <si>
    <t>C2013614</t>
  </si>
  <si>
    <t>Annapurna Agro Industries</t>
  </si>
  <si>
    <t>adsolution111@gmail.com</t>
  </si>
  <si>
    <t>24.12.2020</t>
  </si>
  <si>
    <t>C2013613</t>
  </si>
  <si>
    <t>Shree Mahakali Industry</t>
  </si>
  <si>
    <t>Trisodium Phosphate</t>
  </si>
  <si>
    <t>shreemahakaliinds@gmail.com</t>
  </si>
  <si>
    <t>Ankleshwar - 393001, Gujarat</t>
  </si>
  <si>
    <t>He is supplier from Ankleshwar. He is Manufacturer of TSP</t>
  </si>
  <si>
    <t>C2013612</t>
  </si>
  <si>
    <t>Spectec Project</t>
  </si>
  <si>
    <t>Boiler Bed Material</t>
  </si>
  <si>
    <t>purchasespectec@gmail.com</t>
  </si>
  <si>
    <t>not reachable.</t>
  </si>
  <si>
    <t>C2013611</t>
  </si>
  <si>
    <t>98/-</t>
  </si>
  <si>
    <t>98/-KG(S)</t>
  </si>
  <si>
    <t>1539K</t>
  </si>
  <si>
    <t>Require Nitrobenzene liquide - 99%</t>
  </si>
  <si>
    <t>C2013610</t>
  </si>
  <si>
    <t>Ashis Bal</t>
  </si>
  <si>
    <t>Sodium Sulfite</t>
  </si>
  <si>
    <t>ashisbal@gmail.com</t>
  </si>
  <si>
    <t>53/-KG(S)</t>
  </si>
  <si>
    <t>1538K</t>
  </si>
  <si>
    <t>Requirement fullfill.</t>
  </si>
  <si>
    <t>23.12.2020</t>
  </si>
  <si>
    <t>P00111</t>
  </si>
  <si>
    <t>Malay Mukherjee</t>
  </si>
  <si>
    <t>labincokolkata@gmail.com</t>
  </si>
  <si>
    <t>7.50/- 5%</t>
  </si>
  <si>
    <t>1537K</t>
  </si>
  <si>
    <t>C2013609</t>
  </si>
  <si>
    <t>Kedar</t>
  </si>
  <si>
    <t>kedardesai5599@gmail.com</t>
  </si>
  <si>
    <t>C2013608</t>
  </si>
  <si>
    <t>Sanjay Das</t>
  </si>
  <si>
    <t>Pyrophyllite 300kg(s) Acid Slurry 1 Barrel Sodium Silicate Liquid 1 Barrel AOS Liquid 1 Barrel Calcite Powder 500kg(s) Dolomite Powder 1500kg(s) Soda Ash 500kg(s) Feldspar Powder 500kg(s)</t>
  </si>
  <si>
    <t>das754795@gmail.com</t>
  </si>
  <si>
    <t>Feldspar Powder 8.50/- 5%
Soda Ash (Tata) 28.50/- 18%
Dolomite Powder 7/- 5%
Calcite Powder - 8.50/- 5%
AOS Liquid- 55/- 18%
Sodium Silicate Liquid- 20/- 18%
Acid Slurry- 119/- 18%
Pyrophyllite- 9/- 5%</t>
  </si>
  <si>
    <t>Feldspar Powder8.50/-KG(S) Soda Ash(Tata) 28.50/-KG(S) Dolomite Powder 7/-KG(S) Calcite Powder 8.50/-KG(S) AOS Liquid 55/-KG(S) Sodium Silicate Liquid 20/-KG(S) Acid Slurry 119/-KG(S) Pyrophyllite 9/-KG(S)</t>
  </si>
  <si>
    <t>1536K</t>
  </si>
  <si>
    <t>C2013607</t>
  </si>
  <si>
    <t>Bablu</t>
  </si>
  <si>
    <t>bablubiswas084@gmail.com</t>
  </si>
  <si>
    <t>Ranaghat - 711226</t>
  </si>
  <si>
    <t>C2013606</t>
  </si>
  <si>
    <t>Firoj</t>
  </si>
  <si>
    <t>metro195firoj@gmail.com</t>
  </si>
  <si>
    <t>54/-</t>
  </si>
  <si>
    <t>54/-KG(S)</t>
  </si>
  <si>
    <t>1535K</t>
  </si>
  <si>
    <t>C2013605</t>
  </si>
  <si>
    <t>Nitin</t>
  </si>
  <si>
    <t>saisavant999@gmail.com</t>
  </si>
  <si>
    <t>Home Purpose</t>
  </si>
  <si>
    <t>@25</t>
  </si>
  <si>
    <t>1054M</t>
  </si>
  <si>
    <t>22.12.2020</t>
  </si>
  <si>
    <t>C2013604</t>
  </si>
  <si>
    <t>Sasi Kumar</t>
  </si>
  <si>
    <t>Manganese Metal Powder</t>
  </si>
  <si>
    <t>ssnaind@gmail.com</t>
  </si>
  <si>
    <t>Coimbatore - 641103</t>
  </si>
  <si>
    <t>C2013603</t>
  </si>
  <si>
    <t>Vishwas Patel</t>
  </si>
  <si>
    <t>hspatilctk@gmail.com</t>
  </si>
  <si>
    <t>@9.5+</t>
  </si>
  <si>
    <t>1052M</t>
  </si>
  <si>
    <t>C2013602</t>
  </si>
  <si>
    <t>Md Yusuf</t>
  </si>
  <si>
    <t>Tinopal Powder,Sodium Silicate Liquid,Ammonia Chloride,Formaldehyde</t>
  </si>
  <si>
    <t>200kg(s),4 Barrel,100kg(s),1 Barrel</t>
  </si>
  <si>
    <t>m.n.s Traders01@gmail.com</t>
  </si>
  <si>
    <t xml:space="preserve">Formaldehyde 36/- 
 Tinopal Powder 161/- 
Sodium Silicate Liquid 18/-(1200 kg) </t>
  </si>
  <si>
    <t>Formaldehyde 36/-KG(S)Tinopal Powder 161/-KG(S)Sodium Silicate Liquid 18/-KG(S)</t>
  </si>
  <si>
    <t>1532K</t>
  </si>
  <si>
    <t>C2013601</t>
  </si>
  <si>
    <t xml:space="preserve">Sunita </t>
  </si>
  <si>
    <t>purchases.mumbai@pridehotel.com</t>
  </si>
  <si>
    <t>@30+</t>
  </si>
  <si>
    <t>1053M</t>
  </si>
  <si>
    <t>C2013600</t>
  </si>
  <si>
    <t>Amarjit Jha</t>
  </si>
  <si>
    <t>amarjitjha873@gmail.com</t>
  </si>
  <si>
    <t>C2013599</t>
  </si>
  <si>
    <t>Subhani Khan</t>
  </si>
  <si>
    <t>alamadhu1987@gmail.com</t>
  </si>
  <si>
    <t>C2013598</t>
  </si>
  <si>
    <t>Mahadev Pal</t>
  </si>
  <si>
    <t>Calcium formate</t>
  </si>
  <si>
    <t>palmahadeb2013@gmail.com</t>
  </si>
  <si>
    <t>21.12.2020</t>
  </si>
  <si>
    <t>C2013597</t>
  </si>
  <si>
    <t>Umesh</t>
  </si>
  <si>
    <t>volatileprince@gmail.com</t>
  </si>
  <si>
    <t>Kolhapur - 416115</t>
  </si>
  <si>
    <t>Q Rs 120+</t>
  </si>
  <si>
    <t>1051M</t>
  </si>
  <si>
    <t>C2013596</t>
  </si>
  <si>
    <t>Anupam  Nag</t>
  </si>
  <si>
    <r>
      <rPr>
        <rFont val="Arial"/>
        <b/>
        <color theme="1"/>
      </rPr>
      <t>A</t>
    </r>
    <r>
      <rPr>
        <rFont val="Arial"/>
        <b val="0"/>
        <color theme="1"/>
      </rPr>
      <t>mmonium Bicarbonate</t>
    </r>
  </si>
  <si>
    <t>anupamnag1973@gmail.com</t>
  </si>
  <si>
    <t>C2013595</t>
  </si>
  <si>
    <t>avrahit@gmail.com</t>
  </si>
  <si>
    <t>30/- 0%</t>
  </si>
  <si>
    <t>30/-KG(S)</t>
  </si>
  <si>
    <t>1529K</t>
  </si>
  <si>
    <t>Party Order not confirmed.</t>
  </si>
  <si>
    <t>party last purchase price@22/-</t>
  </si>
  <si>
    <t>C2013594</t>
  </si>
  <si>
    <t>Khorshed Alom</t>
  </si>
  <si>
    <t>khorshed2alom@yahoo.co.in</t>
  </si>
  <si>
    <t>1528K</t>
  </si>
  <si>
    <t>Party Target price @2.50/- per kg. uses for Flyash Bricks.</t>
  </si>
  <si>
    <t>C2013593</t>
  </si>
  <si>
    <t>Paul</t>
  </si>
  <si>
    <t>pauldishwash@gmail.com</t>
  </si>
  <si>
    <t>6.50/- 0%</t>
  </si>
  <si>
    <t>1525K</t>
  </si>
  <si>
    <t>Ph. call not connect.</t>
  </si>
  <si>
    <t>C2013592</t>
  </si>
  <si>
    <t>Manoj Kumar Singh</t>
  </si>
  <si>
    <t>bedvassingh@gmail.com</t>
  </si>
  <si>
    <t>135/-</t>
  </si>
  <si>
    <t>135/-KG(S)</t>
  </si>
  <si>
    <t>1526K</t>
  </si>
  <si>
    <t>Party Target price @104/-</t>
  </si>
  <si>
    <t>C2013591</t>
  </si>
  <si>
    <t xml:space="preserve">Vishruth </t>
  </si>
  <si>
    <t>Palm Wax</t>
  </si>
  <si>
    <t>spd311@gmail.com</t>
  </si>
  <si>
    <t>19.12.2020</t>
  </si>
  <si>
    <t>C2013590</t>
  </si>
  <si>
    <t>Deepak Gupta</t>
  </si>
  <si>
    <t>handmadesantiniketan@gmail.com</t>
  </si>
  <si>
    <t>290/-</t>
  </si>
  <si>
    <t>290/-KG(S)</t>
  </si>
  <si>
    <t>1524K</t>
  </si>
  <si>
    <t>Party Require 2Kg(s)</t>
  </si>
  <si>
    <t>C2013589</t>
  </si>
  <si>
    <t>Ashok</t>
  </si>
  <si>
    <t>9702202217ashok@gmail.com</t>
  </si>
  <si>
    <t>Mumbai -  400705</t>
  </si>
  <si>
    <t>1050M</t>
  </si>
  <si>
    <t>C2013588</t>
  </si>
  <si>
    <t>Sanjay Sonthalia</t>
  </si>
  <si>
    <t>info@dwarkadasschemical.com</t>
  </si>
  <si>
    <t>9830077963 /  9830094493</t>
  </si>
  <si>
    <t>1522K</t>
  </si>
  <si>
    <t>Party not interested, price high.</t>
  </si>
  <si>
    <t>C2013587</t>
  </si>
  <si>
    <t>Tapas Adhikary</t>
  </si>
  <si>
    <t>Ammonia Alum</t>
  </si>
  <si>
    <t>pukaiisagoodboy@gmail.com</t>
  </si>
  <si>
    <t>15/-</t>
  </si>
  <si>
    <t>1520K</t>
  </si>
  <si>
    <t>Party target price - @14/- FOR- Solop howrah,</t>
  </si>
  <si>
    <t>C2013586</t>
  </si>
  <si>
    <t>K Murali Kannan</t>
  </si>
  <si>
    <t>muralikan@gmail.com</t>
  </si>
  <si>
    <t>@35+</t>
  </si>
  <si>
    <t>1049M</t>
  </si>
  <si>
    <t>18.12.2020</t>
  </si>
  <si>
    <t>P00110</t>
  </si>
  <si>
    <t>Om Sai International</t>
  </si>
  <si>
    <t>omsaiinternational55@gmail.com</t>
  </si>
  <si>
    <t>Agarbatti</t>
  </si>
  <si>
    <t>11.50/-KG(S)</t>
  </si>
  <si>
    <t>1517K</t>
  </si>
  <si>
    <t>17.12.2020</t>
  </si>
  <si>
    <t>C2013584</t>
  </si>
  <si>
    <t>Tanweer Alam</t>
  </si>
  <si>
    <t>tanweer_sapna@rediffmail.com</t>
  </si>
  <si>
    <t>7059259142  /  9060290822</t>
  </si>
  <si>
    <t>1519K</t>
  </si>
  <si>
    <t>C2013583</t>
  </si>
  <si>
    <t>Riyaz Ansari</t>
  </si>
  <si>
    <t>ariyazansari161@gmail.com</t>
  </si>
  <si>
    <t>Q9.5+</t>
  </si>
  <si>
    <t>1047M</t>
  </si>
  <si>
    <t>P00109</t>
  </si>
  <si>
    <t>ChemVenture India Pvt Ltd</t>
  </si>
  <si>
    <t>Barium Sulphate,Dolomite Powder</t>
  </si>
  <si>
    <t>300kg,2 Ton</t>
  </si>
  <si>
    <t>55/-kg,6.50/-kg</t>
  </si>
  <si>
    <t>1513K</t>
  </si>
  <si>
    <t>C2013582</t>
  </si>
  <si>
    <t>bapid3267@gmail.com</t>
  </si>
  <si>
    <t>1515K</t>
  </si>
  <si>
    <t>require 3mt. confirm next week.</t>
  </si>
  <si>
    <t>C2013581</t>
  </si>
  <si>
    <t>1512K</t>
  </si>
  <si>
    <t>C2013580</t>
  </si>
  <si>
    <t>Manoj Raikar</t>
  </si>
  <si>
    <t>nandan_raikar@yahoo.co.in</t>
  </si>
  <si>
    <t>Mumbai - 342005</t>
  </si>
  <si>
    <t>@5</t>
  </si>
  <si>
    <t>1046M</t>
  </si>
  <si>
    <t>C2013579</t>
  </si>
  <si>
    <t>Vishal Agarwal</t>
  </si>
  <si>
    <t>Talcum Powder</t>
  </si>
  <si>
    <t>vishalagarwal700@gmail.com</t>
  </si>
  <si>
    <t>12/- 5%</t>
  </si>
  <si>
    <t>12/-KG(S)</t>
  </si>
  <si>
    <t>1511K</t>
  </si>
  <si>
    <t>Require - 500kg. for leather uses.</t>
  </si>
  <si>
    <t>C2013578</t>
  </si>
  <si>
    <t>Arosh</t>
  </si>
  <si>
    <t>28.50/- 5%</t>
  </si>
  <si>
    <t>Call Unavailable</t>
  </si>
  <si>
    <t>16.12.2020</t>
  </si>
  <si>
    <t>C2013577</t>
  </si>
  <si>
    <t>Rangnath</t>
  </si>
  <si>
    <t>harishtimber@gmail.com</t>
  </si>
  <si>
    <t>1045M</t>
  </si>
  <si>
    <t>C2013576</t>
  </si>
  <si>
    <t>Sumantra Roy</t>
  </si>
  <si>
    <t>Sodium Sulphite Powder</t>
  </si>
  <si>
    <t>Kolkata - 700040</t>
  </si>
  <si>
    <t>1509K</t>
  </si>
  <si>
    <t>Party target price-@34/-</t>
  </si>
  <si>
    <t>C2013575</t>
  </si>
  <si>
    <t>Mukesh Khanna</t>
  </si>
  <si>
    <t>Khannamukesh20@yahoo.co.in</t>
  </si>
  <si>
    <t>32/-</t>
  </si>
  <si>
    <t>32/-KG(S)</t>
  </si>
  <si>
    <t>1508K</t>
  </si>
  <si>
    <t>Party gets FOR garia @20/- per kg.</t>
  </si>
  <si>
    <t>C2013574</t>
  </si>
  <si>
    <t>Dinesh Gupta</t>
  </si>
  <si>
    <t>Dg9992783@gmail.com</t>
  </si>
  <si>
    <t>@7+</t>
  </si>
  <si>
    <t>1044M</t>
  </si>
  <si>
    <t>C2013573</t>
  </si>
  <si>
    <t>Kamalesh Biswas</t>
  </si>
  <si>
    <t>shovaayurved@gmail.com</t>
  </si>
  <si>
    <t>Dumdum - 700074</t>
  </si>
  <si>
    <t>65/-KG(S)</t>
  </si>
  <si>
    <t>1506K</t>
  </si>
  <si>
    <t>15.12.2020</t>
  </si>
  <si>
    <t>C2013572</t>
  </si>
  <si>
    <t>NVK Nayak</t>
  </si>
  <si>
    <t>nvijayakumarnayak@gmail.com</t>
  </si>
  <si>
    <t>@10+</t>
  </si>
  <si>
    <t>1043M</t>
  </si>
  <si>
    <t>C2013571</t>
  </si>
  <si>
    <t>Uttam</t>
  </si>
  <si>
    <t>ukdjgm1967@gmail.com</t>
  </si>
  <si>
    <t>1505K</t>
  </si>
  <si>
    <t>Party uses for fly-ash bricks.</t>
  </si>
  <si>
    <t>order not confirmed</t>
  </si>
  <si>
    <t>C2013570</t>
  </si>
  <si>
    <t>Soap Base Transparent 250kg(s) Charcoal 250kg(s) Soap Noodles 1000kg(s)</t>
  </si>
  <si>
    <t>shankarrghadigaonkar@gmail.com</t>
  </si>
  <si>
    <t>@120+</t>
  </si>
  <si>
    <t>1042M</t>
  </si>
  <si>
    <t>P00108</t>
  </si>
  <si>
    <t>Suman Ghosh</t>
  </si>
  <si>
    <t>ghosh1376@gmail.com</t>
  </si>
  <si>
    <t>Burdawan-713142</t>
  </si>
  <si>
    <t>29/-KG(S)</t>
  </si>
  <si>
    <t>1504K</t>
  </si>
  <si>
    <t>C2013569</t>
  </si>
  <si>
    <t>Atul Jadhav</t>
  </si>
  <si>
    <t>jadhavatul209@gmail.com</t>
  </si>
  <si>
    <t>C2013568</t>
  </si>
  <si>
    <t>Akhir</t>
  </si>
  <si>
    <t>88qibmajid001@gmail.com</t>
  </si>
  <si>
    <t>1041M</t>
  </si>
  <si>
    <t>C2013567</t>
  </si>
  <si>
    <t>Jay Singh</t>
  </si>
  <si>
    <t>jsrdir@gmail.com</t>
  </si>
  <si>
    <t>14.12.2020</t>
  </si>
  <si>
    <t>C2013566</t>
  </si>
  <si>
    <t>Kaushal Ojha</t>
  </si>
  <si>
    <t>jaikaushalenterprise@gmail.com</t>
  </si>
  <si>
    <t>Serampore</t>
  </si>
  <si>
    <t>27/-  (5H2O branded)
20/-  (9H2O Local)</t>
  </si>
  <si>
    <t>27/-KG(S) 5H20 Branded20/-KG(S) 9H20 Local</t>
  </si>
  <si>
    <t>1503K</t>
  </si>
  <si>
    <t>C2013565</t>
  </si>
  <si>
    <t>Bijesh Shah</t>
  </si>
  <si>
    <t>Poly Vinyl Acetate</t>
  </si>
  <si>
    <t>brisbenchem@gmail.com</t>
  </si>
  <si>
    <t>Mumbai - 400057</t>
  </si>
  <si>
    <t>P00107</t>
  </si>
  <si>
    <t>Platinum Wall Care Product</t>
  </si>
  <si>
    <t>infoclient.pwp@gmail.com</t>
  </si>
  <si>
    <t>C2013564</t>
  </si>
  <si>
    <t xml:space="preserve">Deepak </t>
  </si>
  <si>
    <t>Personal Use</t>
  </si>
  <si>
    <t>C2013563</t>
  </si>
  <si>
    <t>Dibhu Prasad</t>
  </si>
  <si>
    <t>bibhukar.sbi@gmail.com</t>
  </si>
  <si>
    <t>23/-KG(S)</t>
  </si>
  <si>
    <t>1502K</t>
  </si>
  <si>
    <t>Party confirmed shortly.</t>
  </si>
  <si>
    <t>P00106</t>
  </si>
  <si>
    <t>Swarup Enterprise</t>
  </si>
  <si>
    <t>forswarupenterprise@gmail.com</t>
  </si>
  <si>
    <t>1501K</t>
  </si>
  <si>
    <t>C2013562</t>
  </si>
  <si>
    <t>Nayan</t>
  </si>
  <si>
    <t>purchaseguwahati@sonagoldagro.in</t>
  </si>
  <si>
    <t>1040M</t>
  </si>
  <si>
    <t>12.12.2020</t>
  </si>
  <si>
    <t>C2013561</t>
  </si>
  <si>
    <t>Atul Kamathi</t>
  </si>
  <si>
    <t>Coconut Shell Charcoal</t>
  </si>
  <si>
    <t>glowgreenksm@gmail.com</t>
  </si>
  <si>
    <t>Mumbai - 400072</t>
  </si>
  <si>
    <t>C2013560</t>
  </si>
  <si>
    <t>Sailen Chandra</t>
  </si>
  <si>
    <t>shailenk55@gmail.com</t>
  </si>
  <si>
    <t>C2013559</t>
  </si>
  <si>
    <t>Devansh Agarwal</t>
  </si>
  <si>
    <t>devanshag1912@gmail.com</t>
  </si>
  <si>
    <t>44/-</t>
  </si>
  <si>
    <t>44/-KG(S)</t>
  </si>
  <si>
    <t>1500K</t>
  </si>
  <si>
    <t>C2013558</t>
  </si>
  <si>
    <t>Zeeshan Raja</t>
  </si>
  <si>
    <t>meetshadmaan@gmail.com</t>
  </si>
  <si>
    <t>5.19/-KG(S)</t>
  </si>
  <si>
    <t>1497K</t>
  </si>
  <si>
    <t>C2013557</t>
  </si>
  <si>
    <t>Alameen</t>
  </si>
  <si>
    <t>potassium Permanganate</t>
  </si>
  <si>
    <t>nbnb4447@gmail.com</t>
  </si>
  <si>
    <t>P00105</t>
  </si>
  <si>
    <t>Victoria Lighting Pvt.Ltd.</t>
  </si>
  <si>
    <t>infotechgupta@yahoo.com</t>
  </si>
  <si>
    <t>Business purpose</t>
  </si>
  <si>
    <t>8.20/- 5%</t>
  </si>
  <si>
    <t>8.20/-KG(S)</t>
  </si>
  <si>
    <t>1499K</t>
  </si>
  <si>
    <t xml:space="preserve">Final rate@7.50/-, 1mt. P.I. send </t>
  </si>
  <si>
    <t>P00104</t>
  </si>
  <si>
    <t>R k Cement Supply Agency Company</t>
  </si>
  <si>
    <t>rkcement55@gmail.com</t>
  </si>
  <si>
    <t>57/-</t>
  </si>
  <si>
    <t>57/-KG(S)</t>
  </si>
  <si>
    <t>1498K</t>
  </si>
  <si>
    <t>To day Price@64+ /-</t>
  </si>
  <si>
    <t>C2013556</t>
  </si>
  <si>
    <t>Ashok Kumar</t>
  </si>
  <si>
    <t>vinayagafoundrychemicals@gmail.com</t>
  </si>
  <si>
    <t>C2013555</t>
  </si>
  <si>
    <t>Shrikant Hasabe</t>
  </si>
  <si>
    <t>mahalaxmiservices16@gmail.com</t>
  </si>
  <si>
    <t>Mumbai - 400042</t>
  </si>
  <si>
    <t>C2013554</t>
  </si>
  <si>
    <t>Ram Krishnan</t>
  </si>
  <si>
    <t>rakkramakrishnan@gmail.com</t>
  </si>
  <si>
    <t>380/- 18%</t>
  </si>
  <si>
    <t>380/-KG(S)</t>
  </si>
  <si>
    <t>1507K</t>
  </si>
  <si>
    <t>Party Rrequire Activated Hydrazine 35% Also</t>
  </si>
  <si>
    <t>11.12.2020</t>
  </si>
  <si>
    <t>C2013553</t>
  </si>
  <si>
    <t>KR Babu</t>
  </si>
  <si>
    <t>Animal feed Molasses</t>
  </si>
  <si>
    <t>babukr724@gmail.com</t>
  </si>
  <si>
    <t>C2013552</t>
  </si>
  <si>
    <t>P Gowtham</t>
  </si>
  <si>
    <t>gowtham@lotusindia.net</t>
  </si>
  <si>
    <t>34/-KG(S)</t>
  </si>
  <si>
    <t>1494K</t>
  </si>
  <si>
    <t>Monday Party Will Inform.</t>
  </si>
  <si>
    <t>Oder Confirmed. Payment Done.</t>
  </si>
  <si>
    <t>C2013551</t>
  </si>
  <si>
    <t>Updesh</t>
  </si>
  <si>
    <t>updeshballav@gmail.com</t>
  </si>
  <si>
    <t>1495K</t>
  </si>
  <si>
    <t>C2013550</t>
  </si>
  <si>
    <t>Kassim Roy</t>
  </si>
  <si>
    <t>reliablecoalindia@gmail.com</t>
  </si>
  <si>
    <t>Full truck Rs 20</t>
  </si>
  <si>
    <t>C2013549</t>
  </si>
  <si>
    <t>SK Ghosh</t>
  </si>
  <si>
    <t>Silicon Carbide</t>
  </si>
  <si>
    <t>crajib3@gmail.com</t>
  </si>
  <si>
    <t>C2013548</t>
  </si>
  <si>
    <t>Bijan</t>
  </si>
  <si>
    <t>golden_tradingco@yahoo.in</t>
  </si>
  <si>
    <t>30/- 5H2O branded
23/- 9H2O Local</t>
  </si>
  <si>
    <t>30/-KG(S) 5H20 Branded 23/-KG(S)9H20 Local</t>
  </si>
  <si>
    <t>1493K</t>
  </si>
  <si>
    <t>10.12.2020</t>
  </si>
  <si>
    <t>C2013547</t>
  </si>
  <si>
    <t>Shyam Sundar Gorai</t>
  </si>
  <si>
    <t>samsundar.gorai@gmail.com</t>
  </si>
  <si>
    <t>Dish Wash Bar</t>
  </si>
  <si>
    <t>26/-KG(S)</t>
  </si>
  <si>
    <t>1489K</t>
  </si>
  <si>
    <t>Call not Received.</t>
  </si>
  <si>
    <t>C2013546</t>
  </si>
  <si>
    <t>58/-KG(S)</t>
  </si>
  <si>
    <t>1492K</t>
  </si>
  <si>
    <t>C2013545</t>
  </si>
  <si>
    <t>Malay</t>
  </si>
  <si>
    <t>Sodium Silicate powder</t>
  </si>
  <si>
    <t>malaydera201@gmail.com</t>
  </si>
  <si>
    <t xml:space="preserve">58/- </t>
  </si>
  <si>
    <t>1490K</t>
  </si>
  <si>
    <t xml:space="preserve">No Requirement </t>
  </si>
  <si>
    <t>C2013544</t>
  </si>
  <si>
    <t>Amir Hussain</t>
  </si>
  <si>
    <t>amirhussainfm@gmail.com</t>
  </si>
  <si>
    <t>Manipur</t>
  </si>
  <si>
    <t>4.50/- 5%</t>
  </si>
  <si>
    <t>1039M</t>
  </si>
  <si>
    <t>P00103</t>
  </si>
  <si>
    <t>Ashish Shrivastav</t>
  </si>
  <si>
    <t>Pyrophyllite White Shade Powder</t>
  </si>
  <si>
    <t>ashish_patnacity@yahoo.co.in</t>
  </si>
  <si>
    <t>patna - 800008</t>
  </si>
  <si>
    <t>7004758045 / 9334599398</t>
  </si>
  <si>
    <t>6/- 5%</t>
  </si>
  <si>
    <t>6/-KG(S)</t>
  </si>
  <si>
    <t>1038M</t>
  </si>
  <si>
    <t>Sample require.</t>
  </si>
  <si>
    <t>10..12.2020</t>
  </si>
  <si>
    <t>P00102</t>
  </si>
  <si>
    <t>Jaliyan Trading</t>
  </si>
  <si>
    <t xml:space="preserve">Titanium Dioxide </t>
  </si>
  <si>
    <t>jaliyantrading1971@gmail.com</t>
  </si>
  <si>
    <t>Ahmedabad - 380023</t>
  </si>
  <si>
    <t>232/-KG(S)</t>
  </si>
  <si>
    <t>1037M</t>
  </si>
  <si>
    <t>Bag photocopy send, reply shortly.</t>
  </si>
  <si>
    <t>Party want to be payment 15 days  PDC.</t>
  </si>
  <si>
    <t>C2013543</t>
  </si>
  <si>
    <t>Dibyendu Banerjee</t>
  </si>
  <si>
    <t>banerjee.dibya(gmail.com</t>
  </si>
  <si>
    <t>5.50/- 5%</t>
  </si>
  <si>
    <t>5.50/-KG(S)</t>
  </si>
  <si>
    <t>1488K</t>
  </si>
  <si>
    <r>
      <rPr>
        <rFont val="Arial"/>
      </rPr>
      <t xml:space="preserve">Party require 25kg. </t>
    </r>
    <r>
      <rPr>
        <rFont val="Arial"/>
        <color rgb="FF1155CC"/>
        <u/>
      </rPr>
      <t>sample.At</t>
    </r>
    <r>
      <rPr>
        <rFont val="Arial"/>
      </rPr>
      <t xml:space="preserve"> shyambazer.</t>
    </r>
  </si>
  <si>
    <t>C2013542</t>
  </si>
  <si>
    <t>Ashok pandey</t>
  </si>
  <si>
    <t>Ashokpandey124@gmail.com</t>
  </si>
  <si>
    <t>10.25/-KG(S)</t>
  </si>
  <si>
    <t>1487K</t>
  </si>
  <si>
    <t>P00101</t>
  </si>
  <si>
    <t>Riyasat Investments Pvt Ltd.</t>
  </si>
  <si>
    <t>riyasatcarbons@gmail.com</t>
  </si>
  <si>
    <t>1485K</t>
  </si>
  <si>
    <t>09.12.2020</t>
  </si>
  <si>
    <t>P00100</t>
  </si>
  <si>
    <t>Nikita Mujoria</t>
  </si>
  <si>
    <t>Zinc Sulfide</t>
  </si>
  <si>
    <t>nikita@mubychem.com</t>
  </si>
  <si>
    <t>925/-KG(S)</t>
  </si>
  <si>
    <t>1036M</t>
  </si>
  <si>
    <t>Biswajit da Q Rs 925+ ex Bhiwandi</t>
  </si>
  <si>
    <t>C2013541</t>
  </si>
  <si>
    <t>Madan Mohan Jana</t>
  </si>
  <si>
    <t>m.s.enterprise40@gmail.com</t>
  </si>
  <si>
    <t>17/- 0%</t>
  </si>
  <si>
    <t>1484K</t>
  </si>
  <si>
    <t>Party reply next day.</t>
  </si>
  <si>
    <t>P00099</t>
  </si>
  <si>
    <t>Se Energy &amp; Enviro Pvt Ltd</t>
  </si>
  <si>
    <t>seenergypvt.ltd@gmail.com</t>
  </si>
  <si>
    <t>Kolkata - 700065</t>
  </si>
  <si>
    <t>9/- 18%</t>
  </si>
  <si>
    <t>9/-KG(S)</t>
  </si>
  <si>
    <t>1483K</t>
  </si>
  <si>
    <t>Party purchase @6.50/-</t>
  </si>
  <si>
    <t>C2013540</t>
  </si>
  <si>
    <t>Vishal Sangtani</t>
  </si>
  <si>
    <t>thevimaraexim@gmail.com</t>
  </si>
  <si>
    <t>3.5 (3gm)
4.5 (5 gm)</t>
  </si>
  <si>
    <t>3.5 (3 gm)4.5(5 gm)</t>
  </si>
  <si>
    <t>1035M</t>
  </si>
  <si>
    <t>C2013539</t>
  </si>
  <si>
    <t>Sachin Jagdale</t>
  </si>
  <si>
    <t>sachin.jagdale@gmail.com</t>
  </si>
  <si>
    <t xml:space="preserve">Q Rs </t>
  </si>
  <si>
    <t>Needs Bamboo charcoal for export.</t>
  </si>
  <si>
    <t>07.12.2020</t>
  </si>
  <si>
    <t>C2013538</t>
  </si>
  <si>
    <t>Nk Cold Dipo</t>
  </si>
  <si>
    <t xml:space="preserve">Met Coke </t>
  </si>
  <si>
    <t>hamidkhanhasan786@gmail.com</t>
  </si>
  <si>
    <t>C2013537</t>
  </si>
  <si>
    <t>Quadree Ahamed</t>
  </si>
  <si>
    <t>qd4ali@gmail.com</t>
  </si>
  <si>
    <t>29/-  5%</t>
  </si>
  <si>
    <t>1482K</t>
  </si>
  <si>
    <t>Party require agriculture grade, and Target Price-@5/-.</t>
  </si>
  <si>
    <t>P00098</t>
  </si>
  <si>
    <t>Sona Enterprises</t>
  </si>
  <si>
    <t>Titanium Dioxide , Epoxy Resin</t>
  </si>
  <si>
    <t>10000kgs , 50000kgs</t>
  </si>
  <si>
    <t>P00097</t>
  </si>
  <si>
    <t>East India Engineers</t>
  </si>
  <si>
    <t>tapas@eastindiaengineers.in</t>
  </si>
  <si>
    <t>New Delhi - 110019</t>
  </si>
  <si>
    <t>20/- 5%</t>
  </si>
  <si>
    <t>20/-KG(S)</t>
  </si>
  <si>
    <t>1034M</t>
  </si>
  <si>
    <t>Party material confirmed after 15 december.</t>
  </si>
  <si>
    <t>05.12.2020</t>
  </si>
  <si>
    <t>C2013536</t>
  </si>
  <si>
    <t>Uma Shankar Shaw</t>
  </si>
  <si>
    <t>umashaw4252@gmail.com</t>
  </si>
  <si>
    <t>C2013535</t>
  </si>
  <si>
    <t>Samaradak</t>
  </si>
  <si>
    <t>samaradak175@gmail.com</t>
  </si>
  <si>
    <t>8/- 0%</t>
  </si>
  <si>
    <t>1480K</t>
  </si>
  <si>
    <t>Prirce high.</t>
  </si>
  <si>
    <t>P00096</t>
  </si>
  <si>
    <t>Maa Durga Seeds</t>
  </si>
  <si>
    <t>ravi10440@gmail.com</t>
  </si>
  <si>
    <t>Bihar-802214</t>
  </si>
  <si>
    <t>Agriculture</t>
  </si>
  <si>
    <t>1476K</t>
  </si>
  <si>
    <t>C2013534</t>
  </si>
  <si>
    <t>Md Arif</t>
  </si>
  <si>
    <t>karif.xxx@gmail.com</t>
  </si>
  <si>
    <t>Q Rs 22 per kg</t>
  </si>
  <si>
    <t xml:space="preserve">Q </t>
  </si>
  <si>
    <t>C2013533</t>
  </si>
  <si>
    <t>Ashish Bhattacharya</t>
  </si>
  <si>
    <t>saltsandchemicals1981@gmail.com</t>
  </si>
  <si>
    <t>@55/- 18%</t>
  </si>
  <si>
    <t>@55/-KG(S)</t>
  </si>
  <si>
    <t>1475K</t>
  </si>
  <si>
    <t>Party reply monday.</t>
  </si>
  <si>
    <t xml:space="preserve"> Party order not confirmed.</t>
  </si>
  <si>
    <t>04.12.2020</t>
  </si>
  <si>
    <t>C2013532</t>
  </si>
  <si>
    <t>Anand</t>
  </si>
  <si>
    <t>taksheel2009@gmail.com</t>
  </si>
  <si>
    <t>Not required now</t>
  </si>
  <si>
    <t>C2013531</t>
  </si>
  <si>
    <t>P00095</t>
  </si>
  <si>
    <t>Ajanta Refosteel Chemicals Pvt Ltd</t>
  </si>
  <si>
    <t>White Fused Alumina Powder</t>
  </si>
  <si>
    <t>pawandhanuka@yahoo.com</t>
  </si>
  <si>
    <t>9431113469 / 9234273613</t>
  </si>
  <si>
    <t>03.12.2020</t>
  </si>
  <si>
    <t>P00094</t>
  </si>
  <si>
    <t>Maltodextrin,Liquid Glucose</t>
  </si>
  <si>
    <t>500kgs,300kgs</t>
  </si>
  <si>
    <t>108.financemanager@gmail.com</t>
  </si>
  <si>
    <t>42/-kgs,29.50/-kgs</t>
  </si>
  <si>
    <t>1472K</t>
  </si>
  <si>
    <t>Payment Done,Material Diapatch</t>
  </si>
  <si>
    <t>P00093</t>
  </si>
  <si>
    <t>RR Animal Health Care Limited</t>
  </si>
  <si>
    <t>Sorbital Liquid</t>
  </si>
  <si>
    <t>purchase@rrahc.in</t>
  </si>
  <si>
    <t>Singur</t>
  </si>
  <si>
    <t>1471K</t>
  </si>
  <si>
    <t>Specification send.</t>
  </si>
  <si>
    <t>Party purchase rate@44/-</t>
  </si>
  <si>
    <t>C2013530</t>
  </si>
  <si>
    <t>Sandeep Sinha</t>
  </si>
  <si>
    <t>sandeepkumarsinha@gmail.com</t>
  </si>
  <si>
    <t>02.12.2020</t>
  </si>
  <si>
    <t>P00092</t>
  </si>
  <si>
    <t>Sunita Enterprises</t>
  </si>
  <si>
    <t>krishnapadamahatha@gmail.com</t>
  </si>
  <si>
    <t>FOR Dhanbad Price 18/- 0%</t>
  </si>
  <si>
    <t>1470K</t>
  </si>
  <si>
    <t>Reply next week.(order not confirmed)</t>
  </si>
  <si>
    <t>C2013529</t>
  </si>
  <si>
    <t>Yogesh</t>
  </si>
  <si>
    <t>yogesh.2080@rediffmail.com</t>
  </si>
  <si>
    <t>Not Responding</t>
  </si>
  <si>
    <t>C2013528</t>
  </si>
  <si>
    <t>Gour Saha</t>
  </si>
  <si>
    <t>gpeximin@gmail.com</t>
  </si>
  <si>
    <t>1469K</t>
  </si>
  <si>
    <t>Require Tata Brand and purchase will be L/C at sight.</t>
  </si>
  <si>
    <t>P00091</t>
  </si>
  <si>
    <t>Subhpratik Bhattacharjee</t>
  </si>
  <si>
    <t>Silica Gel (1gm/2gm) pouch</t>
  </si>
  <si>
    <t>chemicosales@gmail.com</t>
  </si>
  <si>
    <t xml:space="preserve">Silica Gel 2Gm 130/-
Silica Gel 1Gm 132/- </t>
  </si>
  <si>
    <t>2(Gm) 130/-1(Gm)132/-</t>
  </si>
  <si>
    <t>1467K</t>
  </si>
  <si>
    <t>Party gets price@120/- per kg.</t>
  </si>
  <si>
    <t>C2013527</t>
  </si>
  <si>
    <t xml:space="preserve">S K Raj </t>
  </si>
  <si>
    <t>karthicchemcem@gmail.com</t>
  </si>
  <si>
    <t>Require Specification first.</t>
  </si>
  <si>
    <t>01.12.2020</t>
  </si>
  <si>
    <t>C2013526</t>
  </si>
  <si>
    <t>Saidul Alam</t>
  </si>
  <si>
    <t>refracech86@gmail.com</t>
  </si>
  <si>
    <t>C2013525</t>
  </si>
  <si>
    <t>Pujan Gandhi</t>
  </si>
  <si>
    <t>Light Magnesium Oxide</t>
  </si>
  <si>
    <t>Poojan@kowaindia.com</t>
  </si>
  <si>
    <t>Farmers Purpose</t>
  </si>
  <si>
    <t>C2013524</t>
  </si>
  <si>
    <t>Harsh</t>
  </si>
  <si>
    <t>coolharsh05@gmail.com</t>
  </si>
  <si>
    <t>6.50/-KG(S)                                       Revise Rate 400000 kg 5/- 5%</t>
  </si>
  <si>
    <t>1466K</t>
  </si>
  <si>
    <t>C2013523</t>
  </si>
  <si>
    <t>Amit Agarwal</t>
  </si>
  <si>
    <t>amita.28061987@gmail.com</t>
  </si>
  <si>
    <t>125/-KG(S)</t>
  </si>
  <si>
    <t>1464K</t>
  </si>
  <si>
    <t>Reply Shortly</t>
  </si>
  <si>
    <t>Purchase price our side@132/-kg.</t>
  </si>
  <si>
    <t>C2013522</t>
  </si>
  <si>
    <t>Piyush Shah</t>
  </si>
  <si>
    <t>reliabletraders23@gmail.com</t>
  </si>
  <si>
    <t>8169578702 / 8369849828</t>
  </si>
  <si>
    <t>C2013521</t>
  </si>
  <si>
    <t>Biswajit Chakraborty</t>
  </si>
  <si>
    <t>biswaonline75@gmail.com</t>
  </si>
  <si>
    <t>82
(Snow white)
76
(Swing off white)</t>
  </si>
  <si>
    <t>82/-KG(S) (Snow White) 76/-(Swing Off White)</t>
  </si>
  <si>
    <t>1465K</t>
  </si>
  <si>
    <t>party reply after 2-3 days.</t>
  </si>
  <si>
    <t>Party resellar,so that order not confirmed.</t>
  </si>
  <si>
    <t>30.11.2020</t>
  </si>
  <si>
    <t>C2013520</t>
  </si>
  <si>
    <t>Hariharan</t>
  </si>
  <si>
    <t>C2013519</t>
  </si>
  <si>
    <t>Krishna</t>
  </si>
  <si>
    <t>krishnalikesyou@gmail.com</t>
  </si>
  <si>
    <t>C2013518</t>
  </si>
  <si>
    <t xml:space="preserve">Subhasis Dey </t>
  </si>
  <si>
    <t>subhasis.dey.23@gmail.com</t>
  </si>
  <si>
    <t>P00090</t>
  </si>
  <si>
    <t>Precision Electro Instrumentation India Pvt Ltd</t>
  </si>
  <si>
    <t>Ferric Chloride Anhydrous</t>
  </si>
  <si>
    <t>ajayjain71@gmail.com</t>
  </si>
  <si>
    <t>45/-KG(S)</t>
  </si>
  <si>
    <t>1461K</t>
  </si>
  <si>
    <t>C2013517</t>
  </si>
  <si>
    <t>Ashutosh Parouha</t>
  </si>
  <si>
    <t>Barium Sulphide</t>
  </si>
  <si>
    <t>parouhadinesh@gmail.com</t>
  </si>
  <si>
    <t>P00089</t>
  </si>
  <si>
    <t>Sahu</t>
  </si>
  <si>
    <t>Boron Carbide</t>
  </si>
  <si>
    <t>Rate Not Available</t>
  </si>
  <si>
    <t>P00088</t>
  </si>
  <si>
    <t>Kanchan Oil Industries Ltd</t>
  </si>
  <si>
    <t>Methane Sulphonic Acid</t>
  </si>
  <si>
    <t>Not available our side.</t>
  </si>
  <si>
    <t>C2013516</t>
  </si>
  <si>
    <t>Vijay Bharadwaj</t>
  </si>
  <si>
    <t>Camphor</t>
  </si>
  <si>
    <t>vijaybharadwaj9777@gmail.com</t>
  </si>
  <si>
    <t>1010/-</t>
  </si>
  <si>
    <t>1010/-KG(S)</t>
  </si>
  <si>
    <t>1032M</t>
  </si>
  <si>
    <t>C2013515</t>
  </si>
  <si>
    <t>Amey Bhide</t>
  </si>
  <si>
    <t>halloamey@hotmail.com</t>
  </si>
  <si>
    <t>C2013514</t>
  </si>
  <si>
    <t>Kailash Dhole</t>
  </si>
  <si>
    <t>kailashdhole340@gmail.com</t>
  </si>
  <si>
    <t>Q@26+</t>
  </si>
  <si>
    <t>1030M</t>
  </si>
  <si>
    <t>28.11.2020</t>
  </si>
  <si>
    <t>C2013513</t>
  </si>
  <si>
    <t>Sunil Lohia</t>
  </si>
  <si>
    <t>83
(Snow white)
78
(Swing off white)</t>
  </si>
  <si>
    <t>83/-KG(S) (Snow White)78/-KG(S) (Swing Off White)</t>
  </si>
  <si>
    <t>1459K</t>
  </si>
  <si>
    <t>Require Bag packing photocopy and Specification.</t>
  </si>
  <si>
    <t>C2013512</t>
  </si>
  <si>
    <t>C2013511</t>
  </si>
  <si>
    <t>Raj Gupta</t>
  </si>
  <si>
    <t>righttoolindustries@gmail.com</t>
  </si>
  <si>
    <t>7717302224 /  9780000806</t>
  </si>
  <si>
    <t>3 (3gm)
4 (5 gm)</t>
  </si>
  <si>
    <t>3/- (3gm) 4/- (5gm)</t>
  </si>
  <si>
    <t>1031M</t>
  </si>
  <si>
    <t>P00087</t>
  </si>
  <si>
    <t>Dudhani Overseas India Pvt Ltd.</t>
  </si>
  <si>
    <t>ajayvijay4456@gmail.com</t>
  </si>
  <si>
    <t>1458K</t>
  </si>
  <si>
    <t>P00086</t>
  </si>
  <si>
    <t>Smritimoy Malik</t>
  </si>
  <si>
    <t>smritimoymalik1991@gmail.com</t>
  </si>
  <si>
    <t>28
(Including GST)</t>
  </si>
  <si>
    <t>28/-KG(S)</t>
  </si>
  <si>
    <t>1455K</t>
  </si>
  <si>
    <t>27.11.2020</t>
  </si>
  <si>
    <t>C2013510</t>
  </si>
  <si>
    <t>Neel Pasad</t>
  </si>
  <si>
    <t>neelpasad5@gmail.com</t>
  </si>
  <si>
    <t>Q@65+</t>
  </si>
  <si>
    <t>1029M</t>
  </si>
  <si>
    <t>C2013509</t>
  </si>
  <si>
    <t>Asit Kumar Paul</t>
  </si>
  <si>
    <t>asitpaul951@gmail.com</t>
  </si>
  <si>
    <t>Dakshin Dinajpur</t>
  </si>
  <si>
    <t>6.50/- 5% 300 mess, 7/- 5% 500 mess</t>
  </si>
  <si>
    <t>6.50/-KG(S) 300 Mess  7/-KG(S) 500 Mess</t>
  </si>
  <si>
    <t>1457K</t>
  </si>
  <si>
    <t>Party requirement after 10-12 days.</t>
  </si>
  <si>
    <t>C2013508</t>
  </si>
  <si>
    <t>Hardik</t>
  </si>
  <si>
    <t>Magnesite lump</t>
  </si>
  <si>
    <t>hardikdetroja888@gmail.com</t>
  </si>
  <si>
    <t>C2013507</t>
  </si>
  <si>
    <t>Safiqul Gazi</t>
  </si>
  <si>
    <t>dishanicomputer@gmail.com</t>
  </si>
  <si>
    <t>1456K</t>
  </si>
  <si>
    <t>send office address,party visited our office.</t>
  </si>
  <si>
    <t>C2013506</t>
  </si>
  <si>
    <t>Arup Chakrabarti</t>
  </si>
  <si>
    <t>daffo.sales@gmail.com</t>
  </si>
  <si>
    <t xml:space="preserve">235/- </t>
  </si>
  <si>
    <t>235/-KG(S)</t>
  </si>
  <si>
    <t>1454K</t>
  </si>
  <si>
    <t>Party Hydrazine Hydrate Manufactore.</t>
  </si>
  <si>
    <t>C2013505</t>
  </si>
  <si>
    <t>Lakhan</t>
  </si>
  <si>
    <t>lsahu6427@gmail.com</t>
  </si>
  <si>
    <t>29/-</t>
  </si>
  <si>
    <t>1028M</t>
  </si>
  <si>
    <t>C2013504</t>
  </si>
  <si>
    <t>Ambrose</t>
  </si>
  <si>
    <t>matthewayine341@gmail.com</t>
  </si>
  <si>
    <t>Q@25+ 18%</t>
  </si>
  <si>
    <t>1027M</t>
  </si>
  <si>
    <t>26.11.2020</t>
  </si>
  <si>
    <t>C2013503</t>
  </si>
  <si>
    <t>Karan Agarwal</t>
  </si>
  <si>
    <t>Lithophone Powder</t>
  </si>
  <si>
    <t>filtronenvirotechindia@gmail.com</t>
  </si>
  <si>
    <t>Q@80+ 18%</t>
  </si>
  <si>
    <t>1026M</t>
  </si>
  <si>
    <t>C2013502</t>
  </si>
  <si>
    <t>D. Chattacharjee</t>
  </si>
  <si>
    <t>debasis.6701@gmail.com</t>
  </si>
  <si>
    <t>1452K</t>
  </si>
  <si>
    <t>Party River sand uses,send photo copy.</t>
  </si>
  <si>
    <t>C2013501</t>
  </si>
  <si>
    <t>Rintu Bose</t>
  </si>
  <si>
    <t>rintubose80@gmail.com</t>
  </si>
  <si>
    <t>83/-
(Refined IOCL Brand 50 Kg)
79/-
(Semi refined  175 Kg)"</t>
  </si>
  <si>
    <t xml:space="preserve">83/-KG(S) IOCL Brand 79/-KG(S) Semi Refined </t>
  </si>
  <si>
    <t>1451K</t>
  </si>
  <si>
    <t>Party unregistered, so don't agree to GST price.</t>
  </si>
  <si>
    <t>C2013500</t>
  </si>
  <si>
    <t>Vistva</t>
  </si>
  <si>
    <t>C2013499</t>
  </si>
  <si>
    <t>Prabhakar N</t>
  </si>
  <si>
    <t>vimsarppl@rediffmail.com</t>
  </si>
  <si>
    <t>C2013498</t>
  </si>
  <si>
    <t>Chandrakant Sodha</t>
  </si>
  <si>
    <t>chandrakant_sodha@yahoo.com</t>
  </si>
  <si>
    <t>@18+</t>
  </si>
  <si>
    <t>1024M</t>
  </si>
  <si>
    <t>25.11.2020</t>
  </si>
  <si>
    <t>C2013497</t>
  </si>
  <si>
    <t>Praveen Kumar</t>
  </si>
  <si>
    <t>praveenblr@icloud.com</t>
  </si>
  <si>
    <t>Q@195+</t>
  </si>
  <si>
    <t>1023M</t>
  </si>
  <si>
    <t>Call not responding</t>
  </si>
  <si>
    <t>C2013496</t>
  </si>
  <si>
    <t>Vijay Kumar Singh</t>
  </si>
  <si>
    <t>1448K</t>
  </si>
  <si>
    <t>Party Ready To Take The Material But Transport Not Available.</t>
  </si>
  <si>
    <t>P00085</t>
  </si>
  <si>
    <t>K Mani Singh</t>
  </si>
  <si>
    <t>mwrahmani89@gmail.com</t>
  </si>
  <si>
    <t>1447K</t>
  </si>
  <si>
    <t>Material Dispatch</t>
  </si>
  <si>
    <t>C2013495</t>
  </si>
  <si>
    <t>Kalyan Bhattacharya</t>
  </si>
  <si>
    <t>bhattacharjeekalyan3@gmail.com</t>
  </si>
  <si>
    <t>@12.5/-  5%</t>
  </si>
  <si>
    <t>12.5/-KG(S)</t>
  </si>
  <si>
    <t>1449K</t>
  </si>
  <si>
    <t>Party reply next month.</t>
  </si>
  <si>
    <t>Party uses for construction perpose.</t>
  </si>
  <si>
    <t>P00084</t>
  </si>
  <si>
    <t>Sanket Ghanvir</t>
  </si>
  <si>
    <t>Cobalt Metal Powder, Ferrous Iron Oxide powder, Nickel Metal Powder,Titanium Metal Powder,Manganese Metal Powder</t>
  </si>
  <si>
    <t>100gm(s),500gm(s),100gm(s)</t>
  </si>
  <si>
    <t xml:space="preserve">              </t>
  </si>
  <si>
    <t>C2013494</t>
  </si>
  <si>
    <t>Dheena</t>
  </si>
  <si>
    <t>dheenavijay16@gmail.com</t>
  </si>
  <si>
    <t>Q@22</t>
  </si>
  <si>
    <t>1021M</t>
  </si>
  <si>
    <t>C2013493</t>
  </si>
  <si>
    <t>Quartz Silica Powder</t>
  </si>
  <si>
    <t>Q@5+</t>
  </si>
  <si>
    <t>1020M</t>
  </si>
  <si>
    <t>24.11.2020</t>
  </si>
  <si>
    <t>C2013492</t>
  </si>
  <si>
    <t>Subhasish Mohapatra</t>
  </si>
  <si>
    <t>subhasish.mohapatra@innocule.co.in</t>
  </si>
  <si>
    <t>C2013491</t>
  </si>
  <si>
    <t>Santosh Shelke</t>
  </si>
  <si>
    <t>s.s.shelke16@gmail.com</t>
  </si>
  <si>
    <t>1550/- Ex-Bhiwandi</t>
  </si>
  <si>
    <t>1550/-KG(S)</t>
  </si>
  <si>
    <t>1019M</t>
  </si>
  <si>
    <t>Our rate high. He is importer.</t>
  </si>
  <si>
    <t>C2013490</t>
  </si>
  <si>
    <t>Fagun Raju</t>
  </si>
  <si>
    <t>Shea Butter</t>
  </si>
  <si>
    <t>ShriKrishnauniversal108@gmail.com</t>
  </si>
  <si>
    <t>P00083</t>
  </si>
  <si>
    <t>Chemscience Speciality Chemicals Private Limited</t>
  </si>
  <si>
    <t>Labsa,Benzalkonium Chloride, Sodium Bromide</t>
  </si>
  <si>
    <t>200 kg, 200 kg,200kg</t>
  </si>
  <si>
    <t>info@chemscience.in</t>
  </si>
  <si>
    <t>Durg</t>
  </si>
  <si>
    <t>@98/- 18%,@170/- 18%</t>
  </si>
  <si>
    <t>98/-KG(S) 170/-KG(S)</t>
  </si>
  <si>
    <t>1018M</t>
  </si>
  <si>
    <t>Party - BKC target price@155/- per kg.</t>
  </si>
  <si>
    <t>P00082</t>
  </si>
  <si>
    <t>Will Full Ecc Pvt Ltd.</t>
  </si>
  <si>
    <t>Quartz Sand,Quartz Powder</t>
  </si>
  <si>
    <t>2200kgs,300kgs</t>
  </si>
  <si>
    <t>willfull.ecc@gmail.com</t>
  </si>
  <si>
    <t>6/-kg,9/-kg</t>
  </si>
  <si>
    <t>1444K</t>
  </si>
  <si>
    <t>C2013489</t>
  </si>
  <si>
    <t>Naresh Raj</t>
  </si>
  <si>
    <t>naresh.raj9216@yahoo.in</t>
  </si>
  <si>
    <t>9231721086 /  9831021706</t>
  </si>
  <si>
    <t>@9/- 5%</t>
  </si>
  <si>
    <t>1446K</t>
  </si>
  <si>
    <t>Party target price @6/- per kg.</t>
  </si>
  <si>
    <t>23.11.2020</t>
  </si>
  <si>
    <t>C2013488</t>
  </si>
  <si>
    <t>Waman Jumde</t>
  </si>
  <si>
    <t>wamanjumde89@gmail.com</t>
  </si>
  <si>
    <t>C2013487</t>
  </si>
  <si>
    <t>C2013486</t>
  </si>
  <si>
    <t>Kiran</t>
  </si>
  <si>
    <t>C2013485</t>
  </si>
  <si>
    <t>kamrankadri123@gmail.com</t>
  </si>
  <si>
    <t>Q Rs 22 Per kg For Full Truck.</t>
  </si>
  <si>
    <t>1017M</t>
  </si>
  <si>
    <t>C2013484</t>
  </si>
  <si>
    <t>Goutam Dey</t>
  </si>
  <si>
    <t>Micro Crystalline Wax</t>
  </si>
  <si>
    <t>deyg52912@gmail.com</t>
  </si>
  <si>
    <t xml:space="preserve">
251/- (Grade - ACRA 480 24 Kg carton box)
278/-
(Grade - CEPSA 725D 25 Kg carton box)</t>
  </si>
  <si>
    <t>251/-(Grade - ACRA 480)278/-(Grade -CEPSA 725D</t>
  </si>
  <si>
    <t>1442K</t>
  </si>
  <si>
    <t>Party require Paraffin wax- and target price-@82/-.</t>
  </si>
  <si>
    <t>C2013483</t>
  </si>
  <si>
    <t>Raghav Garg</t>
  </si>
  <si>
    <t>td@yashrefractories.com</t>
  </si>
  <si>
    <t>16/- Ex-Bhiwandi 5%</t>
  </si>
  <si>
    <t>16/-KG(S)</t>
  </si>
  <si>
    <t>1012M</t>
  </si>
  <si>
    <t>C2013482</t>
  </si>
  <si>
    <t>Vinodh Bhalla</t>
  </si>
  <si>
    <t>vinodhbhalla361950@gmail.com</t>
  </si>
  <si>
    <t>Ahmednagar</t>
  </si>
  <si>
    <t>@85+</t>
  </si>
  <si>
    <t>1016M</t>
  </si>
  <si>
    <t>C2013481</t>
  </si>
  <si>
    <t xml:space="preserve">Manoj </t>
  </si>
  <si>
    <t xml:space="preserve">Calcium Carbide </t>
  </si>
  <si>
    <t>C2013480</t>
  </si>
  <si>
    <t>Mahesh Kadakia</t>
  </si>
  <si>
    <t>9322701159 / 9137059755</t>
  </si>
  <si>
    <t>@890+</t>
  </si>
  <si>
    <t>1014M</t>
  </si>
  <si>
    <t>C2013479</t>
  </si>
  <si>
    <t>Sohil Rana</t>
  </si>
  <si>
    <t>ranask966@gmail.com</t>
  </si>
  <si>
    <t>59/-</t>
  </si>
  <si>
    <t>59/-KG(S)</t>
  </si>
  <si>
    <t>1440K</t>
  </si>
  <si>
    <t>require 50kg.sodium sulphate, sodium silicate 50kg.</t>
  </si>
  <si>
    <t>C2013478</t>
  </si>
  <si>
    <t>Bipin</t>
  </si>
  <si>
    <t>Met Coke Breeze</t>
  </si>
  <si>
    <t>bipinrath@hotmail.com</t>
  </si>
  <si>
    <t>21.11.2020</t>
  </si>
  <si>
    <t>C2013477</t>
  </si>
  <si>
    <t>Bhushan</t>
  </si>
  <si>
    <t>purchase@rdkarjat.com</t>
  </si>
  <si>
    <t>@22 Full truck</t>
  </si>
  <si>
    <t>1013M</t>
  </si>
  <si>
    <t>P00081</t>
  </si>
  <si>
    <t>Sameer</t>
  </si>
  <si>
    <t>Oxygen Absorber</t>
  </si>
  <si>
    <t>Info.amarfoods@gmail.com</t>
  </si>
  <si>
    <t>C2013476</t>
  </si>
  <si>
    <t>Ashok Sibbal</t>
  </si>
  <si>
    <t>ameetuff@yahoo.com</t>
  </si>
  <si>
    <t>1010M</t>
  </si>
  <si>
    <t>Q @17 + Ex Bhiwandi</t>
  </si>
  <si>
    <t>C2013475</t>
  </si>
  <si>
    <t>Deepak Shah</t>
  </si>
  <si>
    <t>vinhar@gmail.com</t>
  </si>
  <si>
    <t>NA/</t>
  </si>
  <si>
    <t>890/-KG(S)</t>
  </si>
  <si>
    <t>1011M</t>
  </si>
  <si>
    <t>C2013474</t>
  </si>
  <si>
    <t>Tarun Mishra</t>
  </si>
  <si>
    <t>tarunmisra@1234gmail.com</t>
  </si>
  <si>
    <t>1439K</t>
  </si>
  <si>
    <t>C2013473</t>
  </si>
  <si>
    <t>Tamal Chakrabortty</t>
  </si>
  <si>
    <t>suman7699674203@gmail.com</t>
  </si>
  <si>
    <t>1438K</t>
  </si>
  <si>
    <t>Party target price - 3-4/-</t>
  </si>
  <si>
    <t>C2013472</t>
  </si>
  <si>
    <t>Parag K Mehta</t>
  </si>
  <si>
    <t>karanent_chem@yahoo.co.in</t>
  </si>
  <si>
    <t>C2013471</t>
  </si>
  <si>
    <t>Anand Mittal</t>
  </si>
  <si>
    <t>Industrial Molasses</t>
  </si>
  <si>
    <t>mittalpackaging@gmail.com</t>
  </si>
  <si>
    <t>1009M</t>
  </si>
  <si>
    <t>C2013470</t>
  </si>
  <si>
    <t>Shahnawaz Alam</t>
  </si>
  <si>
    <t>Sugarcane Molasses</t>
  </si>
  <si>
    <t>chefshahnawaz0786@gmail.com</t>
  </si>
  <si>
    <t>Need 5 kg already taken.</t>
  </si>
  <si>
    <t>C2013469</t>
  </si>
  <si>
    <t xml:space="preserve">Ronti </t>
  </si>
  <si>
    <t>1999akram99@gmail.com</t>
  </si>
  <si>
    <t>20.11.2020</t>
  </si>
  <si>
    <t>C2013468</t>
  </si>
  <si>
    <t>Lakshmi</t>
  </si>
  <si>
    <t>purchase@nicechemicals.com</t>
  </si>
  <si>
    <t>Already quotation send sample has also been send.</t>
  </si>
  <si>
    <t>C2013467</t>
  </si>
  <si>
    <t>Shreyansh</t>
  </si>
  <si>
    <t>shreegumchem@gmail.com</t>
  </si>
  <si>
    <t>9887538009 /9829218275</t>
  </si>
  <si>
    <t>C2013466</t>
  </si>
  <si>
    <t>Bandu Madhukar Kohale</t>
  </si>
  <si>
    <t>Zinc Hydroxide</t>
  </si>
  <si>
    <t>rakeshkohale@gmail.com</t>
  </si>
  <si>
    <t>Q@80+</t>
  </si>
  <si>
    <t>1008M</t>
  </si>
  <si>
    <t>Positive</t>
  </si>
  <si>
    <t>C2013465</t>
  </si>
  <si>
    <t>Vijay Sharma</t>
  </si>
  <si>
    <t>Soap Base</t>
  </si>
  <si>
    <t>vsharma1161@gmail.com</t>
  </si>
  <si>
    <t>Requirement fulfilled.</t>
  </si>
  <si>
    <t>C2013464</t>
  </si>
  <si>
    <t>Kuldip Sharma</t>
  </si>
  <si>
    <t>kuldip.sharma@thejuteshop.com</t>
  </si>
  <si>
    <t>43.50/- 12%</t>
  </si>
  <si>
    <t>43.50/-KG(S)</t>
  </si>
  <si>
    <t>1436k</t>
  </si>
  <si>
    <t>Party Hospitalized.</t>
  </si>
  <si>
    <t>C2013463</t>
  </si>
  <si>
    <t>Niraj Singh</t>
  </si>
  <si>
    <t>singhmaan0420@gmail.com</t>
  </si>
  <si>
    <t xml:space="preserve">Jharkhand </t>
  </si>
  <si>
    <t>10/- 5%</t>
  </si>
  <si>
    <t>1005M</t>
  </si>
  <si>
    <t>Will use in earthing</t>
  </si>
  <si>
    <t>C2013462</t>
  </si>
  <si>
    <t>Rakesh Mistry</t>
  </si>
  <si>
    <t>rakeshm5296@yahoo.com</t>
  </si>
  <si>
    <t>9869380087 / 9619456831</t>
  </si>
  <si>
    <t>Q@950+</t>
  </si>
  <si>
    <t>1006M</t>
  </si>
  <si>
    <t>C2013461</t>
  </si>
  <si>
    <t>Sandeep Jain</t>
  </si>
  <si>
    <t>partners@ballyfabs.com</t>
  </si>
  <si>
    <t>41/- 12%</t>
  </si>
  <si>
    <t>41/-KG(S)</t>
  </si>
  <si>
    <t>1434k</t>
  </si>
  <si>
    <t>party approved first sample 250 gm.</t>
  </si>
  <si>
    <t>C2013460</t>
  </si>
  <si>
    <t>Saibal Mukherjee</t>
  </si>
  <si>
    <t>Ammonium Formate</t>
  </si>
  <si>
    <t>mailto.saibalmukherjee@gmail.com</t>
  </si>
  <si>
    <t>C2013459</t>
  </si>
  <si>
    <t>Shailesh Shah</t>
  </si>
  <si>
    <t>neeltradingcompany@gmail.com</t>
  </si>
  <si>
    <t>1007M</t>
  </si>
  <si>
    <t>C2013458</t>
  </si>
  <si>
    <t>Raju Jaiswal</t>
  </si>
  <si>
    <t>scarlet.alloys@gmail.com</t>
  </si>
  <si>
    <t>9831186428 / 8337086428</t>
  </si>
  <si>
    <t>72/-</t>
  </si>
  <si>
    <t>72/-KG(S)</t>
  </si>
  <si>
    <t>1435K</t>
  </si>
  <si>
    <t>Party reply shortly .</t>
  </si>
  <si>
    <t>P00080</t>
  </si>
  <si>
    <t>Satya</t>
  </si>
  <si>
    <t xml:space="preserve">Glycerine   </t>
  </si>
  <si>
    <t>janmojaymalla@gmail.com</t>
  </si>
  <si>
    <t>60/-KG(S)</t>
  </si>
  <si>
    <t>1433K</t>
  </si>
  <si>
    <t>19.11.2020</t>
  </si>
  <si>
    <t>C2013457</t>
  </si>
  <si>
    <t>Ajay Madhukar</t>
  </si>
  <si>
    <t>madhukar.art5505@gmail.com</t>
  </si>
  <si>
    <t>C2013456</t>
  </si>
  <si>
    <t>RK bhairch</t>
  </si>
  <si>
    <t>Aluminium Phosphate</t>
  </si>
  <si>
    <t>info@rishichemicals.com</t>
  </si>
  <si>
    <t>C2013455</t>
  </si>
  <si>
    <t>Mothe</t>
  </si>
  <si>
    <t>guruprasadmothe@gmail.com</t>
  </si>
  <si>
    <t>240/-</t>
  </si>
  <si>
    <t>Q@165+ ExBhiwandi</t>
  </si>
  <si>
    <t>1003M</t>
  </si>
  <si>
    <t>C2013454</t>
  </si>
  <si>
    <t>Ashok Sonar</t>
  </si>
  <si>
    <t>Cattle Feed Molasses</t>
  </si>
  <si>
    <t>ashoksonar2711@gmail.com</t>
  </si>
  <si>
    <t>maharashtra</t>
  </si>
  <si>
    <t>Q @22+ Ex Bhiwandi</t>
  </si>
  <si>
    <t>1004M</t>
  </si>
  <si>
    <t>C2013453</t>
  </si>
  <si>
    <t>melwyn Sequeira</t>
  </si>
  <si>
    <t>Rubbing Alcohol</t>
  </si>
  <si>
    <t>melwynandrewsequeira</t>
  </si>
  <si>
    <t>C2013452</t>
  </si>
  <si>
    <t>Kishore</t>
  </si>
  <si>
    <t>Bamboo Charcoal</t>
  </si>
  <si>
    <t>info@avasaorganice.com</t>
  </si>
  <si>
    <t>42/- 0%</t>
  </si>
  <si>
    <t>42/-KG(S)</t>
  </si>
  <si>
    <t>1431k</t>
  </si>
  <si>
    <t>Photo copy send.</t>
  </si>
  <si>
    <t>C2013451</t>
  </si>
  <si>
    <t>Aloke Dey</t>
  </si>
  <si>
    <t>Party require charcoal powder,and target price-9/- per kg.</t>
  </si>
  <si>
    <t>C2013450</t>
  </si>
  <si>
    <t>TRP Agencies</t>
  </si>
  <si>
    <t>ofreshkolkata@gmail.com</t>
  </si>
  <si>
    <t>43/- KG(S)</t>
  </si>
  <si>
    <t>1430K</t>
  </si>
  <si>
    <t>Party target price - 21/-</t>
  </si>
  <si>
    <t>C2013449</t>
  </si>
  <si>
    <t xml:space="preserve">Refined IOCL Brand Paraffin Wax  83.50/- , Semi Refined  Paraffin Wax 80/- </t>
  </si>
  <si>
    <t>1429k</t>
  </si>
  <si>
    <t>C2013448</t>
  </si>
  <si>
    <t>Prashant Agarwal</t>
  </si>
  <si>
    <t>conschem@live.com</t>
  </si>
  <si>
    <t>uttar pradesh</t>
  </si>
  <si>
    <t>industrial</t>
  </si>
  <si>
    <t>Q @5.50 + Full truck Load. Ex Factory.</t>
  </si>
  <si>
    <t>1002M</t>
  </si>
  <si>
    <t>18.11.2020</t>
  </si>
  <si>
    <t>C2013447</t>
  </si>
  <si>
    <t>Vipram Agri Industries Private Limited</t>
  </si>
  <si>
    <t>pramod.nagar@yahoo.co.in</t>
  </si>
  <si>
    <t>Ghaziabad - 201013</t>
  </si>
  <si>
    <t>Industrial</t>
  </si>
  <si>
    <t>P00079</t>
  </si>
  <si>
    <t>Sachin Singh</t>
  </si>
  <si>
    <t>Perlite ore(Slag-30)</t>
  </si>
  <si>
    <t>sachin@nowpurchase.com</t>
  </si>
  <si>
    <t>1428K</t>
  </si>
  <si>
    <t>P00078</t>
  </si>
  <si>
    <t>Nalco Water India Ltd.</t>
  </si>
  <si>
    <t>Molasses,Manganese Sulphate,Urea</t>
  </si>
  <si>
    <t>rdas@ecolab.com</t>
  </si>
  <si>
    <t>23/-,58/-,25/-KG(S)</t>
  </si>
  <si>
    <t>1423K,/1424K</t>
  </si>
  <si>
    <t>C2013446</t>
  </si>
  <si>
    <t>Shakti Chemicals</t>
  </si>
  <si>
    <t>infosubha1@gmail.com</t>
  </si>
  <si>
    <t>C2013445</t>
  </si>
  <si>
    <t>Amiya Kumar Srivastava</t>
  </si>
  <si>
    <t>amiya.srivastava@ester.in</t>
  </si>
  <si>
    <t>Q@890+</t>
  </si>
  <si>
    <t>988M</t>
  </si>
  <si>
    <t>C2013444</t>
  </si>
  <si>
    <t>Madlive</t>
  </si>
  <si>
    <t>debdip.nitce@gmail.com</t>
  </si>
  <si>
    <t>4/- 5%</t>
  </si>
  <si>
    <t>4/-KG(S)</t>
  </si>
  <si>
    <t>1427K</t>
  </si>
  <si>
    <t>reply shortly.</t>
  </si>
  <si>
    <t>Target price@2.30/- per kg.</t>
  </si>
  <si>
    <t>C2013443</t>
  </si>
  <si>
    <t>protein Seed Meal</t>
  </si>
  <si>
    <t>Satishbasti1964@gmail.com</t>
  </si>
  <si>
    <t>Q @22+</t>
  </si>
  <si>
    <t>999M</t>
  </si>
  <si>
    <t>C2013442</t>
  </si>
  <si>
    <t>Sudhir International</t>
  </si>
  <si>
    <t>pbhai85@gmail.com</t>
  </si>
  <si>
    <t>Q @70+</t>
  </si>
  <si>
    <t>1000M</t>
  </si>
  <si>
    <t>C2013441</t>
  </si>
  <si>
    <t>ARV Engineering Co. LLP</t>
  </si>
  <si>
    <t>purchase@arvengg.com</t>
  </si>
  <si>
    <t>Q @9.75+</t>
  </si>
  <si>
    <t>1001M</t>
  </si>
  <si>
    <t>C2013440</t>
  </si>
  <si>
    <t>Golden Trading Company</t>
  </si>
  <si>
    <t>9433149595 / 9051496956</t>
  </si>
  <si>
    <t>28/- 0%</t>
  </si>
  <si>
    <t>1426K</t>
  </si>
  <si>
    <t>Party target price @16/-</t>
  </si>
  <si>
    <t>C2013439</t>
  </si>
  <si>
    <t>Jaugeram High Secondary School</t>
  </si>
  <si>
    <t>tapanrouth2003@yahoo.co.in</t>
  </si>
  <si>
    <t>Jamalpur - Kolkata</t>
  </si>
  <si>
    <t>18/- 5%</t>
  </si>
  <si>
    <t>1425K</t>
  </si>
  <si>
    <t>require 10-30 mm milky white.</t>
  </si>
  <si>
    <t>C2013438</t>
  </si>
  <si>
    <t>Saiprabhat Batteries Industries</t>
  </si>
  <si>
    <t>dpatel.omsai93@gmail.com</t>
  </si>
  <si>
    <t>Q @25</t>
  </si>
  <si>
    <t>986M</t>
  </si>
  <si>
    <t>17.11.2020</t>
  </si>
  <si>
    <t>C2013437</t>
  </si>
  <si>
    <t>Shemphang</t>
  </si>
  <si>
    <t>shemphangkkongor@gmail.com</t>
  </si>
  <si>
    <t>Shillong</t>
  </si>
  <si>
    <t>71/- Bhiwandi (White)</t>
  </si>
  <si>
    <t>71/-KG(S)</t>
  </si>
  <si>
    <t>987M</t>
  </si>
  <si>
    <t>C2013436</t>
  </si>
  <si>
    <t>Goel Trading</t>
  </si>
  <si>
    <t>mgoel73@yahoo.co.in</t>
  </si>
  <si>
    <t xml:space="preserve">125/- </t>
  </si>
  <si>
    <t>1421K</t>
  </si>
  <si>
    <t>C2013435</t>
  </si>
  <si>
    <t>Roasted Bentonite</t>
  </si>
  <si>
    <t>1420K</t>
  </si>
  <si>
    <t>Party target price@ 7/- per kg.</t>
  </si>
  <si>
    <t>C2013434</t>
  </si>
  <si>
    <t>SKT Traders</t>
  </si>
  <si>
    <t>Calcium Carbide Lump</t>
  </si>
  <si>
    <t>nitin.ssb.tiwari@gmail.com</t>
  </si>
  <si>
    <t xml:space="preserve"> Q73+ Ex Bhiwandi</t>
  </si>
  <si>
    <t>985M</t>
  </si>
  <si>
    <t>Call not Responding.</t>
  </si>
  <si>
    <t>C2013433</t>
  </si>
  <si>
    <t>Mashrique Dry Fruits</t>
  </si>
  <si>
    <t>Ethylene Absorbers Sachets</t>
  </si>
  <si>
    <t>jabirtmt@gmail.com</t>
  </si>
  <si>
    <t>P00077</t>
  </si>
  <si>
    <t>Gomata Feeds Pvt.Ltd.</t>
  </si>
  <si>
    <t>pramodkumarpanda09@gmail.com</t>
  </si>
  <si>
    <t>1417/-KG(S)</t>
  </si>
  <si>
    <t>Payment Done. Material dispatched.</t>
  </si>
  <si>
    <t>C2013432</t>
  </si>
  <si>
    <t xml:space="preserve">Bijay Paul </t>
  </si>
  <si>
    <t>drbpaul@drpaulsonline.com</t>
  </si>
  <si>
    <t>C2013431</t>
  </si>
  <si>
    <t>Santosh</t>
  </si>
  <si>
    <t>Q @165 + Ex Bhiwandi</t>
  </si>
  <si>
    <t>Call not Responding</t>
  </si>
  <si>
    <t>C2013430</t>
  </si>
  <si>
    <t>Digital Signage Commercial Corporation</t>
  </si>
  <si>
    <t xml:space="preserve">Manganese Ore   </t>
  </si>
  <si>
    <t>tapasmajumdar2012@yahoo.in</t>
  </si>
  <si>
    <t>Kolkata - 700009</t>
  </si>
  <si>
    <t>1419K</t>
  </si>
  <si>
    <t>Party require south Africa imported material.</t>
  </si>
  <si>
    <t>13.11.2020</t>
  </si>
  <si>
    <t>P00076</t>
  </si>
  <si>
    <t>Patil Rail Infrastructure</t>
  </si>
  <si>
    <t>Coal Dust</t>
  </si>
  <si>
    <t>Jharkhand -827014</t>
  </si>
  <si>
    <t>14.50/- 5%</t>
  </si>
  <si>
    <t>14.50/-KG(S)</t>
  </si>
  <si>
    <t>1418K</t>
  </si>
  <si>
    <t>Party want to be payment 30days credit.</t>
  </si>
  <si>
    <t>C2013429</t>
  </si>
  <si>
    <t>Agro Mine Minerals</t>
  </si>
  <si>
    <t>rajyashvns061@gmail.com</t>
  </si>
  <si>
    <t>Varanasi - 221108</t>
  </si>
  <si>
    <t>9919000761/ 8887955712</t>
  </si>
  <si>
    <t>C2013428</t>
  </si>
  <si>
    <t>Sitaram Enterprises</t>
  </si>
  <si>
    <t>sougata26837912@gmail.com</t>
  </si>
  <si>
    <t xml:space="preserve">22/- </t>
  </si>
  <si>
    <t>1416K</t>
  </si>
  <si>
    <t>party visited our office.</t>
  </si>
  <si>
    <t>Target price @ 17/- per kg.</t>
  </si>
  <si>
    <t>C2013427</t>
  </si>
  <si>
    <t>Prasanta Majumder</t>
  </si>
  <si>
    <t>pmajumder.web@gmail.com</t>
  </si>
  <si>
    <t>6.75/- 5%</t>
  </si>
  <si>
    <t>6.75/-KG(S)</t>
  </si>
  <si>
    <t>1415K</t>
  </si>
  <si>
    <t xml:space="preserve">Party uses material for false selling and 300+ mesh white. </t>
  </si>
  <si>
    <t>12.11.2020</t>
  </si>
  <si>
    <t>P00075</t>
  </si>
  <si>
    <t>Lakshman Chatterjee</t>
  </si>
  <si>
    <t>88/-KG(S)</t>
  </si>
  <si>
    <t>1413K</t>
  </si>
  <si>
    <t>Don't have any mail ID, So, Quotation sent in whatsapp.</t>
  </si>
  <si>
    <t>P00074</t>
  </si>
  <si>
    <t>Vini Live Farms</t>
  </si>
  <si>
    <t>1412K</t>
  </si>
  <si>
    <t>Party purchase from rajasthan @12/- per kg.</t>
  </si>
  <si>
    <t>C2013426</t>
  </si>
  <si>
    <t>Formaldehyde</t>
  </si>
  <si>
    <t>ashokmohanty076@gmail.com</t>
  </si>
  <si>
    <t>C2013425</t>
  </si>
  <si>
    <t xml:space="preserve">Bablu </t>
  </si>
  <si>
    <t>kmpandey022@gmail.com</t>
  </si>
  <si>
    <t>1411K</t>
  </si>
  <si>
    <t>Party require construction  uses sand</t>
  </si>
  <si>
    <t>C2013424</t>
  </si>
  <si>
    <t>Manoranjan Mondal</t>
  </si>
  <si>
    <t>manaranjanmandal9232@gmail.com</t>
  </si>
  <si>
    <t>Sainthia</t>
  </si>
  <si>
    <t>9/- 1 Ton 5%</t>
  </si>
  <si>
    <t>1410K</t>
  </si>
  <si>
    <t xml:space="preserve">  market rate searching,material no require.  </t>
  </si>
  <si>
    <t>C2013423</t>
  </si>
  <si>
    <t>Parkash Arts</t>
  </si>
  <si>
    <t>C2013422</t>
  </si>
  <si>
    <t>goudar.ajay@gmail.com</t>
  </si>
  <si>
    <t>Belgaum -590016</t>
  </si>
  <si>
    <t>Monty</t>
  </si>
  <si>
    <t>C2013421</t>
  </si>
  <si>
    <t>Alamgir</t>
  </si>
  <si>
    <t>mondalalamgir650@gmail.com</t>
  </si>
  <si>
    <t>7.8/- 5%</t>
  </si>
  <si>
    <t>7.80/-KG(S)</t>
  </si>
  <si>
    <t>1409K</t>
  </si>
  <si>
    <t>Party send product sample bag photo copy.</t>
  </si>
  <si>
    <t>Bag photocopy not match.</t>
  </si>
  <si>
    <t>11.11.2020</t>
  </si>
  <si>
    <t>C2013420</t>
  </si>
  <si>
    <t>Vinay Company</t>
  </si>
  <si>
    <t>vinay.daga@rediffmail.com</t>
  </si>
  <si>
    <t>27/-KG(S)</t>
  </si>
  <si>
    <t>1408K</t>
  </si>
  <si>
    <t>Reply shortly .</t>
  </si>
  <si>
    <t>10.11.2020</t>
  </si>
  <si>
    <t>C2013419</t>
  </si>
  <si>
    <t>Pride Hotel</t>
  </si>
  <si>
    <t>pur.mumbai@pridehotel.com</t>
  </si>
  <si>
    <t>984M</t>
  </si>
  <si>
    <t>Q Rs 35 Ex bhiwandi</t>
  </si>
  <si>
    <t>P00073</t>
  </si>
  <si>
    <t>Proloy Rudra</t>
  </si>
  <si>
    <t>prajeetrudra@gmail.com</t>
  </si>
  <si>
    <t>Road Construction</t>
  </si>
  <si>
    <t>1406K</t>
  </si>
  <si>
    <t>Order Confirm.Advance Payment Done.</t>
  </si>
  <si>
    <t>C2013418</t>
  </si>
  <si>
    <t>Bindu Agarbatti</t>
  </si>
  <si>
    <t>dasranjitkumar831@gmail.com</t>
  </si>
  <si>
    <t>Kolkata - 713405</t>
  </si>
  <si>
    <t>1486K</t>
  </si>
  <si>
    <t>Party Requirement Soon.</t>
  </si>
  <si>
    <t>C2013417</t>
  </si>
  <si>
    <t>Chandrani(Desmet)</t>
  </si>
  <si>
    <t>info@desmet.in</t>
  </si>
  <si>
    <t xml:space="preserve">22/- 5% Quotation Sent </t>
  </si>
  <si>
    <t>Party require SGS certificate.</t>
  </si>
  <si>
    <t>09.11.2020</t>
  </si>
  <si>
    <t>C2013416</t>
  </si>
  <si>
    <t>Arihant Fertilizer</t>
  </si>
  <si>
    <t>yashy9510@gmail.com</t>
  </si>
  <si>
    <t>Burhanpur -450331</t>
  </si>
  <si>
    <t>C2013415</t>
  </si>
  <si>
    <t>Arabian Refractory</t>
  </si>
  <si>
    <t>Yellow Dextrin</t>
  </si>
  <si>
    <t>P00072</t>
  </si>
  <si>
    <t>Prativa Engineers &amp; Sons Pvt.Ltd</t>
  </si>
  <si>
    <t>White Silica Gel(5)</t>
  </si>
  <si>
    <t>prativa_sons@rediffmail.com</t>
  </si>
  <si>
    <t>Kolkata-743127</t>
  </si>
  <si>
    <t>160/-KG(S)</t>
  </si>
  <si>
    <t>1396K</t>
  </si>
  <si>
    <t>C2013414</t>
  </si>
  <si>
    <t>Nc Chemical Industry</t>
  </si>
  <si>
    <t>Yellow Multani Mitti</t>
  </si>
  <si>
    <t>nitish.2670@gmail.com</t>
  </si>
  <si>
    <t>Kolkata -711101</t>
  </si>
  <si>
    <t>21+5%</t>
  </si>
  <si>
    <t>21/-KG(S)</t>
  </si>
  <si>
    <t>1402K</t>
  </si>
  <si>
    <t>C2013413</t>
  </si>
  <si>
    <t>Mehta Traders</t>
  </si>
  <si>
    <t>mehta.traders@gmail.com</t>
  </si>
  <si>
    <t>target @14 at Bhiwandi.Need for rubber industry.</t>
  </si>
  <si>
    <t>C2013412</t>
  </si>
  <si>
    <t>Spanco Resource Solutions</t>
  </si>
  <si>
    <t xml:space="preserve">Perlite Ore </t>
  </si>
  <si>
    <t>spancocareer@gmail.com</t>
  </si>
  <si>
    <t>Kolkata - 700120</t>
  </si>
  <si>
    <t>21/- 5%</t>
  </si>
  <si>
    <t>1401K</t>
  </si>
  <si>
    <t>C2013411</t>
  </si>
  <si>
    <t>A</t>
  </si>
  <si>
    <t>amalcsekhar34@gmail.com</t>
  </si>
  <si>
    <t>07.11.2020</t>
  </si>
  <si>
    <t>C2013410</t>
  </si>
  <si>
    <t>Goodwill Enterprise</t>
  </si>
  <si>
    <t>xamarsinghx@gmail.com</t>
  </si>
  <si>
    <t>1460K</t>
  </si>
  <si>
    <t>C2013409</t>
  </si>
  <si>
    <t>Synova Chemicals</t>
  </si>
  <si>
    <t>purchase@synovachemicals.com</t>
  </si>
  <si>
    <t>880/-KG(S)</t>
  </si>
  <si>
    <t>983M</t>
  </si>
  <si>
    <t>C2013408</t>
  </si>
  <si>
    <t>Sumit Samant</t>
  </si>
  <si>
    <t>sumitsamanta544@gmail.com</t>
  </si>
  <si>
    <t>5.50/- 0%</t>
  </si>
  <si>
    <t>1403K</t>
  </si>
  <si>
    <t>C2013407</t>
  </si>
  <si>
    <t>Manoj Enterprises</t>
  </si>
  <si>
    <t>manojchoudhary33@yahoo.co.in</t>
  </si>
  <si>
    <t>C2013406</t>
  </si>
  <si>
    <t>Momeena Scraps</t>
  </si>
  <si>
    <t>fazilq86899@gmail.com</t>
  </si>
  <si>
    <t xml:space="preserve">Mumbai </t>
  </si>
  <si>
    <t>C2013405</t>
  </si>
  <si>
    <t>Maize Starch(Food Grade)</t>
  </si>
  <si>
    <t>31/- 12% Riddhi Siddhi</t>
  </si>
  <si>
    <t>31/-KG(S)</t>
  </si>
  <si>
    <t>1397K</t>
  </si>
  <si>
    <t>Party Require Lion Brand.</t>
  </si>
  <si>
    <t>06.11.2020</t>
  </si>
  <si>
    <t>C2013404</t>
  </si>
  <si>
    <t>Prashant Giri</t>
  </si>
  <si>
    <t>1393K</t>
  </si>
  <si>
    <t>P00071</t>
  </si>
  <si>
    <t>M Gupta</t>
  </si>
  <si>
    <t>Purulia-723143</t>
  </si>
  <si>
    <t>9470976877/9932681914</t>
  </si>
  <si>
    <t>Washing Powder</t>
  </si>
  <si>
    <t>26/-KG(S)/24.50/-</t>
  </si>
  <si>
    <t>1394K/1404K</t>
  </si>
  <si>
    <t>Tomorrow Party Will Come To Collect The Sample.</t>
  </si>
  <si>
    <t>No Requirement</t>
  </si>
  <si>
    <t>Ratnam Enterprise</t>
  </si>
  <si>
    <t>Gallic Acid</t>
  </si>
  <si>
    <t>ratnament@yahoo.com</t>
  </si>
  <si>
    <t>C2013403</t>
  </si>
  <si>
    <t>Sudarshan Enterprises</t>
  </si>
  <si>
    <t>svsantosh47@gmail.com</t>
  </si>
  <si>
    <t xml:space="preserve">Bengaluru </t>
  </si>
  <si>
    <t>1395K</t>
  </si>
  <si>
    <t>Call not responding Q 29+ ex Kolkata for full truck</t>
  </si>
  <si>
    <t>C2013402</t>
  </si>
  <si>
    <t xml:space="preserve">S C Bhardwaj </t>
  </si>
  <si>
    <t>Anthracite Filter Media</t>
  </si>
  <si>
    <t>15Mt</t>
  </si>
  <si>
    <t>sanjeevgupta@nfl.co.in</t>
  </si>
  <si>
    <t>Naya Nangal</t>
  </si>
  <si>
    <t>Water treament Self use</t>
  </si>
  <si>
    <t>Require size 1.6 - 2.5. , 98% Carbon content for water treatment.</t>
  </si>
  <si>
    <t>C2013401</t>
  </si>
  <si>
    <t>Triveni Enterprises</t>
  </si>
  <si>
    <t>Sodium Formate</t>
  </si>
  <si>
    <t>abhaikumarshukla@gmail.com</t>
  </si>
  <si>
    <t>Pratapgarh - 230002</t>
  </si>
  <si>
    <t>9918513605/  8840192404</t>
  </si>
  <si>
    <t>981M</t>
  </si>
  <si>
    <t>Quote Rs 25 + ex Bhiwandi</t>
  </si>
  <si>
    <t>C2013400</t>
  </si>
  <si>
    <t>C &amp; B Masscon Private Limited</t>
  </si>
  <si>
    <t>Birm Media</t>
  </si>
  <si>
    <t>Patna - 841215</t>
  </si>
  <si>
    <t>C2013399</t>
  </si>
  <si>
    <t>Dawar Enterprises</t>
  </si>
  <si>
    <t>Quote Rs 25</t>
  </si>
  <si>
    <t>P00070</t>
  </si>
  <si>
    <t>Mrinal Roy</t>
  </si>
  <si>
    <t>1392K</t>
  </si>
  <si>
    <t>Party Wiil Inform</t>
  </si>
  <si>
    <t>05.11.2020</t>
  </si>
  <si>
    <t>C2013398</t>
  </si>
  <si>
    <t>Ythooyavan</t>
  </si>
  <si>
    <t>Not Responding. Quote Rs 75 + Ex Bhiwandi</t>
  </si>
  <si>
    <t>C2013397</t>
  </si>
  <si>
    <t>Hetika Air Products</t>
  </si>
  <si>
    <t>Tirupati - 517501</t>
  </si>
  <si>
    <t>Call Not Responding</t>
  </si>
  <si>
    <t>C2013396</t>
  </si>
  <si>
    <t xml:space="preserve">Sumit </t>
  </si>
  <si>
    <t>bansalsumit416@gmail.com</t>
  </si>
  <si>
    <t>Delhi - 110040</t>
  </si>
  <si>
    <t>C2013395</t>
  </si>
  <si>
    <t>Mattri Enterprise</t>
  </si>
  <si>
    <t>Soda Ash,Dolomite Powder,Acid Slurry,Sodium Metasilicate,Sodium Sulphate</t>
  </si>
  <si>
    <t>100kg,500kg,220ltr,100kg,100kg</t>
  </si>
  <si>
    <t>tufazulhasan@gmail.com</t>
  </si>
  <si>
    <t xml:space="preserve">Detergent </t>
  </si>
  <si>
    <t>30/-,7.50/-,93/-,25/-,20/-kg(s)</t>
  </si>
  <si>
    <t>1390K</t>
  </si>
  <si>
    <t>C2013394</t>
  </si>
  <si>
    <t>Anand M</t>
  </si>
  <si>
    <t>Ethylene  Absorber Sachets</t>
  </si>
  <si>
    <t>anandmaniyar0303@gmail.com</t>
  </si>
  <si>
    <t>4 (3gm)
5 (5gm)</t>
  </si>
  <si>
    <t>4/-,5/-pcs</t>
  </si>
  <si>
    <t>982M</t>
  </si>
  <si>
    <t>C2013393</t>
  </si>
  <si>
    <t>A N Market Solutions Pvt Ltd</t>
  </si>
  <si>
    <t>Bengaluru - 560022</t>
  </si>
  <si>
    <t>Require 0 - 3mm ( S below 1%) &amp; 0 - 25MM also. Need sample First</t>
  </si>
  <si>
    <t>Target Price Rs 21 -22.</t>
  </si>
  <si>
    <t>04.11.2020</t>
  </si>
  <si>
    <t>C2013392</t>
  </si>
  <si>
    <t>Tanay</t>
  </si>
  <si>
    <t>C2013391</t>
  </si>
  <si>
    <t>J P Singh</t>
  </si>
  <si>
    <t>8.50/- 1Ton 5%</t>
  </si>
  <si>
    <t>C2013390</t>
  </si>
  <si>
    <t>Deepak Kumar</t>
  </si>
  <si>
    <t>Gurgaon</t>
  </si>
  <si>
    <t>C2013389</t>
  </si>
  <si>
    <t>Dipak Ghosh</t>
  </si>
  <si>
    <t>64/-</t>
  </si>
  <si>
    <t>Party will inform</t>
  </si>
  <si>
    <t>C2013388</t>
  </si>
  <si>
    <t>Balaji Hardware</t>
  </si>
  <si>
    <t>C2013387</t>
  </si>
  <si>
    <t>Kanhaiya Prasad</t>
  </si>
  <si>
    <t>False enqyiry.</t>
  </si>
  <si>
    <t>C2013386</t>
  </si>
  <si>
    <t>Kaustav Hati</t>
  </si>
  <si>
    <t>Activated Carbon</t>
  </si>
  <si>
    <t>samson_traders@ymail.com</t>
  </si>
  <si>
    <t>1386K</t>
  </si>
  <si>
    <t>sample collect monday.</t>
  </si>
  <si>
    <t>C2013385</t>
  </si>
  <si>
    <t>S Chatterjee</t>
  </si>
  <si>
    <t>Sodium percarbonate</t>
  </si>
  <si>
    <t>P00069</t>
  </si>
  <si>
    <t>Retrofitment Solution</t>
  </si>
  <si>
    <t>retrofitmentsolution@gmail.com</t>
  </si>
  <si>
    <t>1383K</t>
  </si>
  <si>
    <t>party waiting for order after confirm the order paty will inform</t>
  </si>
  <si>
    <t>P00068</t>
  </si>
  <si>
    <t>Amitava Ghosal</t>
  </si>
  <si>
    <t>purchasebkudyog@gmail.com</t>
  </si>
  <si>
    <t>P00067</t>
  </si>
  <si>
    <t>Niket Patel</t>
  </si>
  <si>
    <t>Quicklime Powder,Hydrated Lime Powder</t>
  </si>
  <si>
    <t>Both 1 Ton(s)</t>
  </si>
  <si>
    <t>niketpatel880@gmail.com</t>
  </si>
  <si>
    <t>Water Treatment</t>
  </si>
  <si>
    <t>11.50/-,11/- 5%</t>
  </si>
  <si>
    <t>11.50/-,11/-kg(s)</t>
  </si>
  <si>
    <t>1382K</t>
  </si>
  <si>
    <t>C2013384</t>
  </si>
  <si>
    <t>Sourojit</t>
  </si>
  <si>
    <t>Methylcellulose</t>
  </si>
  <si>
    <t>sourojitpal@cumi.murugappa.com</t>
  </si>
  <si>
    <t>C2013383</t>
  </si>
  <si>
    <t>Vikash Daga</t>
  </si>
  <si>
    <t>Glycerine ,Paraffin Wax</t>
  </si>
  <si>
    <t>2000Ltr,200Kg(s)</t>
  </si>
  <si>
    <t>jd.tradingco18@gmail.com</t>
  </si>
  <si>
    <t xml:space="preserve">Reselling </t>
  </si>
  <si>
    <t>98/-,87/-</t>
  </si>
  <si>
    <t>63/-,87/-Kg(s)</t>
  </si>
  <si>
    <t>1384K</t>
  </si>
  <si>
    <t>Party Doesnot Agree To Pay GST</t>
  </si>
  <si>
    <t>C2013382</t>
  </si>
  <si>
    <t>2-5mt.</t>
  </si>
  <si>
    <t>sumantalu2@gmail.com</t>
  </si>
  <si>
    <t>10.50/- 1Ton 5 %</t>
  </si>
  <si>
    <t>10.50/-KG(S)</t>
  </si>
  <si>
    <t>1381K</t>
  </si>
  <si>
    <t>mail not find.</t>
  </si>
  <si>
    <t>C2013381</t>
  </si>
  <si>
    <t>Mamon</t>
  </si>
  <si>
    <t>smgaus3@gmail.com</t>
  </si>
  <si>
    <t>6.50/- 1 Ton 5%</t>
  </si>
  <si>
    <t>1380K</t>
  </si>
  <si>
    <t>03.11.2020</t>
  </si>
  <si>
    <t>C2013380</t>
  </si>
  <si>
    <t>Swapan K Chakravorty</t>
  </si>
  <si>
    <t>Zinc Sulfate</t>
  </si>
  <si>
    <t>skcblg@gmail.com</t>
  </si>
  <si>
    <t>Refratechnik (India) Pvt Ltd.</t>
  </si>
  <si>
    <t>1000 kg each.</t>
  </si>
  <si>
    <t>Sambhunath.Basu@refra.com</t>
  </si>
  <si>
    <t>Visakhapatnam.</t>
  </si>
  <si>
    <t>20/-                  7/-                      35/-                        45/-                               320/-                                     24/-                              7/-                            72/-</t>
  </si>
  <si>
    <t>20/- 7/- 35/- 45/- 320/- 24/- 7/- 72/-</t>
  </si>
  <si>
    <t>1377K</t>
  </si>
  <si>
    <t>Send specification every product.</t>
  </si>
  <si>
    <t>party order not confirm.</t>
  </si>
  <si>
    <t>C2013379</t>
  </si>
  <si>
    <t>SM Traders</t>
  </si>
  <si>
    <t>smtradersmdp@gmail.com</t>
  </si>
  <si>
    <t>Madhupur-815353</t>
  </si>
  <si>
    <t>7.50/- 300 mess 5% 1Ton</t>
  </si>
  <si>
    <t>1378K</t>
  </si>
  <si>
    <t>Party target price@1500/- per ton.</t>
  </si>
  <si>
    <t>C2013378</t>
  </si>
  <si>
    <t>Arun Agarwal</t>
  </si>
  <si>
    <t>agarwallaarun311@gmail.com</t>
  </si>
  <si>
    <t>1375K</t>
  </si>
  <si>
    <t>Requirement fullFiled</t>
  </si>
  <si>
    <t>C2013377</t>
  </si>
  <si>
    <t>Safrudin Khan</t>
  </si>
  <si>
    <t>Soda Feldspar Powder</t>
  </si>
  <si>
    <t>atlantaexports@rediffmail.com</t>
  </si>
  <si>
    <t>C2013376</t>
  </si>
  <si>
    <t>Riajul Haque</t>
  </si>
  <si>
    <t>riajulhaque561@gmail.com</t>
  </si>
  <si>
    <t>C2013375</t>
  </si>
  <si>
    <t>Minex Metallurgical Co.Ltd</t>
  </si>
  <si>
    <t>jagadale@minexindia.com</t>
  </si>
  <si>
    <t>Nagpur-440028</t>
  </si>
  <si>
    <t>978M</t>
  </si>
  <si>
    <t>Q Rs 12+ ex bhiwandi with COA &amp; also send our Product list.</t>
  </si>
  <si>
    <t>02.11.2020</t>
  </si>
  <si>
    <t>C2013374</t>
  </si>
  <si>
    <t>Sujan kumar Mondal</t>
  </si>
  <si>
    <t>sujankumarmondal25@gmail.com</t>
  </si>
  <si>
    <t>7/- 1Ton 0%</t>
  </si>
  <si>
    <t>1389K</t>
  </si>
  <si>
    <t>C2013373</t>
  </si>
  <si>
    <t>Rahaman</t>
  </si>
  <si>
    <t>atiarrahaman71@gmail.com</t>
  </si>
  <si>
    <t>Needs in Siliguri 1 Mt</t>
  </si>
  <si>
    <t>C2013372</t>
  </si>
  <si>
    <t>Prasenjit Saha</t>
  </si>
  <si>
    <t>Triethanol Amine</t>
  </si>
  <si>
    <t>conclave006@gmail.com</t>
  </si>
  <si>
    <t>150/-KG(S)</t>
  </si>
  <si>
    <t>1373K</t>
  </si>
  <si>
    <t>C2013371</t>
  </si>
  <si>
    <t>Prakash Panchotiya</t>
  </si>
  <si>
    <t>68/-KG(S)</t>
  </si>
  <si>
    <t>976M</t>
  </si>
  <si>
    <t>Send The Photo And Specification..Party Need The Sample First.Vivek Sir Will Send The Sample</t>
  </si>
  <si>
    <t>C2013370</t>
  </si>
  <si>
    <t>Sourav Nandan</t>
  </si>
  <si>
    <t>snandan87@gmail.com</t>
  </si>
  <si>
    <t>C2013369</t>
  </si>
  <si>
    <t>C K Enterprises</t>
  </si>
  <si>
    <t>tapaskrdas5@gmail.com</t>
  </si>
  <si>
    <t>Monty Quote Rs 110+</t>
  </si>
  <si>
    <t>Party Purchasing From Delhi,With Low Rate</t>
  </si>
  <si>
    <t>C2013368</t>
  </si>
  <si>
    <t>Rajendra Prasad</t>
  </si>
  <si>
    <t>lost</t>
  </si>
  <si>
    <t>rajendra1962chaibasa@gmail.com</t>
  </si>
  <si>
    <t>C2013367</t>
  </si>
  <si>
    <t>shahidgne@gmail.com</t>
  </si>
  <si>
    <t>Need 50 from Kolkata require 50 kg. quoted 25 per kg ++</t>
  </si>
  <si>
    <t>C2013366</t>
  </si>
  <si>
    <t>Anupam Enterprises</t>
  </si>
  <si>
    <t>anupam786chemicals@gmail.com</t>
  </si>
  <si>
    <t>Raipur-492001</t>
  </si>
  <si>
    <t>9300328833/8109328833</t>
  </si>
  <si>
    <t>90/-</t>
  </si>
  <si>
    <t>75/-kg(s)</t>
  </si>
  <si>
    <t>977M</t>
  </si>
  <si>
    <t>He is trader. Quote Rs 75+ Ex Bhiwandi also send COA</t>
  </si>
  <si>
    <t>C2013365</t>
  </si>
  <si>
    <t>Tara Kalsker</t>
  </si>
  <si>
    <t>Surgical Spirit</t>
  </si>
  <si>
    <t>3staraqua@gmail.com</t>
  </si>
  <si>
    <t>C2013364</t>
  </si>
  <si>
    <t>Piyush Jain</t>
  </si>
  <si>
    <t>piyushj1922@gmail.com</t>
  </si>
  <si>
    <t>C2013363</t>
  </si>
  <si>
    <t>munnamondol35@gmail.com</t>
  </si>
  <si>
    <t>7/- 1Ton 0 %</t>
  </si>
  <si>
    <t>1374K</t>
  </si>
  <si>
    <t>Party target price of salt-@4-5/- pkg.</t>
  </si>
  <si>
    <t>C2013362</t>
  </si>
  <si>
    <t>Haridas Baidya</t>
  </si>
  <si>
    <t>haridasbaidya52@gmail.com</t>
  </si>
  <si>
    <t>Call not rec received</t>
  </si>
  <si>
    <t>call him 4 times. call not received</t>
  </si>
  <si>
    <t>C2013361</t>
  </si>
  <si>
    <t>Abhijeet Mishra</t>
  </si>
  <si>
    <t>Metallurgical Coke</t>
  </si>
  <si>
    <t>kumarmishraabhijeet35@gmail.com</t>
  </si>
  <si>
    <t>30.10.2020</t>
  </si>
  <si>
    <t>C2013360</t>
  </si>
  <si>
    <t>Devashish</t>
  </si>
  <si>
    <t>Magnesium Carbonate Powder</t>
  </si>
  <si>
    <t>Party already order confirms old purchaser.</t>
  </si>
  <si>
    <t>C2013359</t>
  </si>
  <si>
    <t>Pradyut</t>
  </si>
  <si>
    <t>require food grade salt. party mail id not available.</t>
  </si>
  <si>
    <t>C2013358</t>
  </si>
  <si>
    <t>Jayanta Mandal</t>
  </si>
  <si>
    <t>jayantamandal881@gmail.com</t>
  </si>
  <si>
    <t>C2013357</t>
  </si>
  <si>
    <t>MD Sahensah</t>
  </si>
  <si>
    <t>500gm.</t>
  </si>
  <si>
    <t>mdsahensah261@gmail.com</t>
  </si>
  <si>
    <t>Murshidabad-742133</t>
  </si>
  <si>
    <t>7.50/- 0% 1 Ton</t>
  </si>
  <si>
    <t>Party requirement loose quantity.</t>
  </si>
  <si>
    <t>C2013356</t>
  </si>
  <si>
    <t>Raj Ahir</t>
  </si>
  <si>
    <t>superwingspetshop@gmail.com</t>
  </si>
  <si>
    <t>Kolkata-700030</t>
  </si>
  <si>
    <t>29/- 1Ton</t>
  </si>
  <si>
    <t>1368K</t>
  </si>
  <si>
    <t>50 kg. require, party collect to our Sriti more godown.</t>
  </si>
  <si>
    <t>C2013355</t>
  </si>
  <si>
    <t>Moumita Vishwas</t>
  </si>
  <si>
    <t>nintu.act@gmail.com</t>
  </si>
  <si>
    <t>8/- 1Ton 5%</t>
  </si>
  <si>
    <t>1369K</t>
  </si>
  <si>
    <t>Send photo copy of gravel.party confirmed shortly.</t>
  </si>
  <si>
    <t>Reply monday.</t>
  </si>
  <si>
    <t>29.10.2020</t>
  </si>
  <si>
    <t>C2013354</t>
  </si>
  <si>
    <t>Sachidananda Acharya</t>
  </si>
  <si>
    <t>ssrflyashbrick.sng@gmail.com</t>
  </si>
  <si>
    <t>10/-</t>
  </si>
  <si>
    <t>1367K</t>
  </si>
  <si>
    <t>Reply shortly..</t>
  </si>
  <si>
    <t>C2013353</t>
  </si>
  <si>
    <t>Radha Rani Enterprises</t>
  </si>
  <si>
    <t>soumen.me01@gmail.com</t>
  </si>
  <si>
    <t>Kolkata-700130</t>
  </si>
  <si>
    <t>1365K</t>
  </si>
  <si>
    <t>Party reply monday</t>
  </si>
  <si>
    <t>C2013352</t>
  </si>
  <si>
    <t>Sashi Pasari</t>
  </si>
  <si>
    <t>nk11186@gmail.com</t>
  </si>
  <si>
    <t>1366K</t>
  </si>
  <si>
    <t>Party Reply next week.</t>
  </si>
  <si>
    <t>Party target price @ 17/- per kg.</t>
  </si>
  <si>
    <t>C2013351</t>
  </si>
  <si>
    <t>JR Vohra</t>
  </si>
  <si>
    <t>prmrubber@hotmail.com</t>
  </si>
  <si>
    <t>9831422345/ 9831110653</t>
  </si>
  <si>
    <t xml:space="preserve">7/- </t>
  </si>
  <si>
    <t>1363K</t>
  </si>
  <si>
    <t>C2013350</t>
  </si>
  <si>
    <t>Magnesium Sulphate Anhydrous</t>
  </si>
  <si>
    <t>cementcapsule@yahoo.co.in</t>
  </si>
  <si>
    <t>Require - 2mt, and two type of mag. rate require,1) normal and Anhydrous.</t>
  </si>
  <si>
    <t>C2013349</t>
  </si>
  <si>
    <t>Hussain</t>
  </si>
  <si>
    <t>mh7669015@gmail.com</t>
  </si>
  <si>
    <t>7/- 1Ton</t>
  </si>
  <si>
    <t>974M</t>
  </si>
  <si>
    <t>C2013348</t>
  </si>
  <si>
    <t>Sarif Mollick</t>
  </si>
  <si>
    <t>50-100</t>
  </si>
  <si>
    <t>sarifmollick219@gmail.com</t>
  </si>
  <si>
    <t>180/-</t>
  </si>
  <si>
    <t>180/-KG(S)</t>
  </si>
  <si>
    <t>1364K</t>
  </si>
  <si>
    <t>Detergent manufactur other item require.</t>
  </si>
  <si>
    <t>C2013347</t>
  </si>
  <si>
    <t>Indrajit Dhar</t>
  </si>
  <si>
    <t>aroyalbalaji@gmail.com</t>
  </si>
  <si>
    <t>Lost (Biswajit Da)</t>
  </si>
  <si>
    <t>Requirement fulfill</t>
  </si>
  <si>
    <t>C2013346</t>
  </si>
  <si>
    <t>Nilamadhab Biswal</t>
  </si>
  <si>
    <t>Liquid Paraffin</t>
  </si>
  <si>
    <t>61/-</t>
  </si>
  <si>
    <t>Party require 10 drums,quotation send to what ups.(Mail not available).</t>
  </si>
  <si>
    <t>Reply next week.</t>
  </si>
  <si>
    <t>Tatra Group</t>
  </si>
  <si>
    <t>tatragroup0005@gmail.com</t>
  </si>
  <si>
    <t>61.50/-</t>
  </si>
  <si>
    <t>61.50/-KG(S)</t>
  </si>
  <si>
    <t>1362K</t>
  </si>
  <si>
    <t>Party confirm order price -@60/-</t>
  </si>
  <si>
    <t>C2013345</t>
  </si>
  <si>
    <t>Krishna Banerjee</t>
  </si>
  <si>
    <t>12/- 1Ton 5%</t>
  </si>
  <si>
    <t>C2013344</t>
  </si>
  <si>
    <t>Bablu Singh</t>
  </si>
  <si>
    <t>babluanju1989@gmail.com</t>
  </si>
  <si>
    <t>800/-</t>
  </si>
  <si>
    <t>Party confirm shortly.</t>
  </si>
  <si>
    <t>C2013343</t>
  </si>
  <si>
    <t>Suman Halder</t>
  </si>
  <si>
    <t>haldersuman093@gmail.com</t>
  </si>
  <si>
    <t>C2013342</t>
  </si>
  <si>
    <t>Alam Gibgeck</t>
  </si>
  <si>
    <t>Dolomite Powder,                     Acid slurry,                                   Soda Ash,                                                  Sls powder,</t>
  </si>
  <si>
    <t xml:space="preserve">300,                           100,                        1000,                          50, </t>
  </si>
  <si>
    <t>rabiasultana945@gmail.com</t>
  </si>
  <si>
    <t>Rampurhat</t>
  </si>
  <si>
    <t xml:space="preserve"> 7.50/- ,                 115/-,                   35/-,                  185/-</t>
  </si>
  <si>
    <t>7.50/-,8/-KG(S)</t>
  </si>
  <si>
    <t>1361K</t>
  </si>
  <si>
    <t>C2013341</t>
  </si>
  <si>
    <t>Rahul Sangwar</t>
  </si>
  <si>
    <t>Wrong en query.</t>
  </si>
  <si>
    <t>28.10.2020</t>
  </si>
  <si>
    <t>Manohar</t>
  </si>
  <si>
    <t>White Fused Alumina</t>
  </si>
  <si>
    <t>srihariabrasive@gmail.com</t>
  </si>
  <si>
    <t>Coimbator</t>
  </si>
  <si>
    <t>C2013340</t>
  </si>
  <si>
    <t>Arun Jain</t>
  </si>
  <si>
    <t>Tri Potassium Phosphate</t>
  </si>
  <si>
    <t>dr.linnlab@gmail.com</t>
  </si>
  <si>
    <t>Chandigarh-161036</t>
  </si>
  <si>
    <t>C2013339</t>
  </si>
  <si>
    <t>Sandip Das</t>
  </si>
  <si>
    <t>100 mt.</t>
  </si>
  <si>
    <t>sandip.misicon@gmail.com</t>
  </si>
  <si>
    <t>1360K</t>
  </si>
  <si>
    <t>Party delivery address Kashmir.so that party such nearest state</t>
  </si>
  <si>
    <t>C2013338</t>
  </si>
  <si>
    <t>S G Halder</t>
  </si>
  <si>
    <t>santi.halder1989@gmail.com</t>
  </si>
  <si>
    <t>5/- 5%</t>
  </si>
  <si>
    <t>5/-KG(S)</t>
  </si>
  <si>
    <t>1359K</t>
  </si>
  <si>
    <t>Invalid ph. no</t>
  </si>
  <si>
    <t>C2013337</t>
  </si>
  <si>
    <t>Amit Kothari</t>
  </si>
  <si>
    <t>a.s.enterprise@hotmail.com</t>
  </si>
  <si>
    <t>Q @92+ ex bhiwandi</t>
  </si>
  <si>
    <t>Target 89 getting in vapi</t>
  </si>
  <si>
    <t>C2013336</t>
  </si>
  <si>
    <t>M.D</t>
  </si>
  <si>
    <t>Allahabad</t>
  </si>
  <si>
    <t>Q @10+ ex Bhiwandi</t>
  </si>
  <si>
    <t>C2013335</t>
  </si>
  <si>
    <t>Maria</t>
  </si>
  <si>
    <t>1358K</t>
  </si>
  <si>
    <t>Mail Id Needed.</t>
  </si>
  <si>
    <t>Wrong no.</t>
  </si>
  <si>
    <t>27.10.2020</t>
  </si>
  <si>
    <t>C2013334</t>
  </si>
  <si>
    <t>Subrata Dutta</t>
  </si>
  <si>
    <t>Magnesium Tri silicate</t>
  </si>
  <si>
    <t>subratadutta16044@gmail.com</t>
  </si>
  <si>
    <t>requirement fullfild.</t>
  </si>
  <si>
    <t>C2013333</t>
  </si>
  <si>
    <t>Subrata Das</t>
  </si>
  <si>
    <t>D-Lactic Acid</t>
  </si>
  <si>
    <t>lam.rnd@centuryply.com</t>
  </si>
  <si>
    <t>1351K</t>
  </si>
  <si>
    <t>P00066</t>
  </si>
  <si>
    <t>Ravi</t>
  </si>
  <si>
    <t>Sodium Sulpfate,TSP,Soda Ash Light,Acid Slurry,AOS,Dolomite Powder</t>
  </si>
  <si>
    <t>500kg,500kg,25,000kg,500kg,500kg,50,000kgs</t>
  </si>
  <si>
    <t>ravi920466@rediffmail.com</t>
  </si>
  <si>
    <t>16.50/-,
39.50/-, 24.50/-
95/-
109/-
5.25/-(300Mess) 5%,5.75/- (500 mess) 5 %</t>
  </si>
  <si>
    <t>16.50/-, 39.50/-, 24.50/- 95/- 109/- 5.25/-(300Mess) 5%,5.75/- (500 mess) 5 %</t>
  </si>
  <si>
    <t>1356K</t>
  </si>
  <si>
    <t>Target Soda ash @20 +, Dolomite @4+ , Acid Slury @75+ in tanker load All are delivered price.</t>
  </si>
  <si>
    <t>C2013332</t>
  </si>
  <si>
    <t>Link Star</t>
  </si>
  <si>
    <t>guptanitin83@gmail.com</t>
  </si>
  <si>
    <t>1355K</t>
  </si>
  <si>
    <t>Party target price - @9/- per kg(Charcoal powder)</t>
  </si>
  <si>
    <t>C2013331</t>
  </si>
  <si>
    <t>MK Enterprise</t>
  </si>
  <si>
    <t>tapaspanda2009@gmail.com</t>
  </si>
  <si>
    <t>Midnapotre</t>
  </si>
  <si>
    <t>22/- 5%</t>
  </si>
  <si>
    <t>1354K</t>
  </si>
  <si>
    <t>CALL NOT RECEIVED</t>
  </si>
  <si>
    <t>RATE HIGH</t>
  </si>
  <si>
    <t>C2013330</t>
  </si>
  <si>
    <t>Gaurish Choudhury</t>
  </si>
  <si>
    <t>Exfoliated Vermiculite</t>
  </si>
  <si>
    <t>gaurishjazz123@gmail.com</t>
  </si>
  <si>
    <t>35/-  1 ton</t>
  </si>
  <si>
    <t>C2013329</t>
  </si>
  <si>
    <t>Niraj Bhaskar</t>
  </si>
  <si>
    <t>Calcined Magnisite Powder</t>
  </si>
  <si>
    <t>nirajbhaskar1216@gmail.com</t>
  </si>
  <si>
    <t>24/- 5%</t>
  </si>
  <si>
    <t>24/-KG(S)</t>
  </si>
  <si>
    <t>1353K</t>
  </si>
  <si>
    <t>C2013328</t>
  </si>
  <si>
    <t>Ajay Agarwal</t>
  </si>
  <si>
    <t>ajayagarwal7044@gmail.com</t>
  </si>
  <si>
    <t>Kolkata-700007</t>
  </si>
  <si>
    <t>C2013327</t>
  </si>
  <si>
    <t>Pradip Paul</t>
  </si>
  <si>
    <t>p78623xz@gmail.com</t>
  </si>
  <si>
    <t>C2013326</t>
  </si>
  <si>
    <t>Suraj</t>
  </si>
  <si>
    <t>delightsuraj@gmail.com</t>
  </si>
  <si>
    <t>29/- 1 Ton</t>
  </si>
  <si>
    <t>1352K</t>
  </si>
  <si>
    <t>requirement only Coal for bricks manufacture.</t>
  </si>
  <si>
    <t>C2013325</t>
  </si>
  <si>
    <t>Shahbaz</t>
  </si>
  <si>
    <t>Potassium Perchlorate</t>
  </si>
  <si>
    <t>shahbazkhan0124@gmail.com</t>
  </si>
  <si>
    <t>it is explosive item</t>
  </si>
  <si>
    <t>C2013324</t>
  </si>
  <si>
    <t>Akshar Chemicals</t>
  </si>
  <si>
    <t>Liquid Linoleic Acid</t>
  </si>
  <si>
    <t>garasiyahuzefa@gmail.com</t>
  </si>
  <si>
    <t>C2013323</t>
  </si>
  <si>
    <t>Royal Enterprise</t>
  </si>
  <si>
    <t>876858671a@gmail.com</t>
  </si>
  <si>
    <t>Basirhat-743422</t>
  </si>
  <si>
    <t xml:space="preserve"> Requirement 16 Kg, only.uses Plaster Of Paris .</t>
  </si>
  <si>
    <t>C2013322</t>
  </si>
  <si>
    <t>Sanjay Modi</t>
  </si>
  <si>
    <t>Tannic Acid</t>
  </si>
  <si>
    <t>modi_corp@rediffmail.com</t>
  </si>
  <si>
    <t>22.10.2020</t>
  </si>
  <si>
    <t>C2013321</t>
  </si>
  <si>
    <t>Sshubham</t>
  </si>
  <si>
    <t>sachendrasingh282@gmail.com</t>
  </si>
  <si>
    <t>8/- 5% 1Ton</t>
  </si>
  <si>
    <t>1349K</t>
  </si>
  <si>
    <t>Party target rate -@5/- per kg.</t>
  </si>
  <si>
    <t>C2013320</t>
  </si>
  <si>
    <t>Md Alam Girhak</t>
  </si>
  <si>
    <t>mdalamgirhaque2@gmail.com</t>
  </si>
  <si>
    <t>1348K</t>
  </si>
  <si>
    <t>Party interest in local purchase.</t>
  </si>
  <si>
    <t>C2013319</t>
  </si>
  <si>
    <t>Shanpar Industries Pvt Ltd.</t>
  </si>
  <si>
    <t>Potassium Pyroantimonate</t>
  </si>
  <si>
    <t>mahadev329@yahoo.com</t>
  </si>
  <si>
    <t>Vadodara-390010</t>
  </si>
  <si>
    <t>C2013318</t>
  </si>
  <si>
    <t>Neeraj Agarwal</t>
  </si>
  <si>
    <t>Coke</t>
  </si>
  <si>
    <t>itsmeneeraj26@gmail.com</t>
  </si>
  <si>
    <t>C2013317</t>
  </si>
  <si>
    <t>Tungsten Carbide</t>
  </si>
  <si>
    <t>ksprigspares@gmail.com</t>
  </si>
  <si>
    <t>Salem-637211</t>
  </si>
  <si>
    <t>C2013316</t>
  </si>
  <si>
    <t>ps.ssenterprises1@gmail.com</t>
  </si>
  <si>
    <t>1347K</t>
  </si>
  <si>
    <t>party reseller, require 1-2 mm, and order not confirmed.</t>
  </si>
  <si>
    <t>C2013315</t>
  </si>
  <si>
    <t>Joy Das</t>
  </si>
  <si>
    <t>kalachanddas918@gmail.com</t>
  </si>
  <si>
    <t>Howrah-711227</t>
  </si>
  <si>
    <t>36/- 1Ton 5%</t>
  </si>
  <si>
    <t>36/-kg(s)</t>
  </si>
  <si>
    <t>1346K/1350K</t>
  </si>
  <si>
    <t>require 10-16 mt.party address Howrah Bali. confirm shortly</t>
  </si>
  <si>
    <t>Party Incoming call not available</t>
  </si>
  <si>
    <t>21.10.2020</t>
  </si>
  <si>
    <t>P00065</t>
  </si>
  <si>
    <t>Pankaj Agarwal</t>
  </si>
  <si>
    <t>P00064</t>
  </si>
  <si>
    <t>Anushree Electrical Engineers Pvt.Ltd.</t>
  </si>
  <si>
    <t>aeepltd@gmail.com</t>
  </si>
  <si>
    <t>Meerut(U.P)</t>
  </si>
  <si>
    <t>110 (3-6 mm)
115 (4-10 mm)</t>
  </si>
  <si>
    <t>110/-,115/-kg(s)</t>
  </si>
  <si>
    <t>971M</t>
  </si>
  <si>
    <t>Need sample</t>
  </si>
  <si>
    <t>C2013314</t>
  </si>
  <si>
    <t>Lipak</t>
  </si>
  <si>
    <t>lipakdas80@gmail.com</t>
  </si>
  <si>
    <t>1345K</t>
  </si>
  <si>
    <t>C2013313</t>
  </si>
  <si>
    <t>Kanhiya Chemical</t>
  </si>
  <si>
    <t>jashcholera93@gmail.com</t>
  </si>
  <si>
    <t>Solapur</t>
  </si>
  <si>
    <t>972M</t>
  </si>
  <si>
    <t>C2013312</t>
  </si>
  <si>
    <t>Shailesh Pandey</t>
  </si>
  <si>
    <t>4.10/-</t>
  </si>
  <si>
    <t>C2013311</t>
  </si>
  <si>
    <t>Sagar Sheth</t>
  </si>
  <si>
    <t>kirtisheth@shwetmetals.com</t>
  </si>
  <si>
    <t>Mumbai-400002</t>
  </si>
  <si>
    <t>20.10.2020</t>
  </si>
  <si>
    <t>P00063</t>
  </si>
  <si>
    <t>Nestle R&amp;D Centre</t>
  </si>
  <si>
    <t>Deepak.Joshi@rd.nestle.com</t>
  </si>
  <si>
    <t>Gurugram</t>
  </si>
  <si>
    <t>1800/-KG(S)</t>
  </si>
  <si>
    <t>970M</t>
  </si>
  <si>
    <t>Pravin Sir</t>
  </si>
  <si>
    <t>C2013310</t>
  </si>
  <si>
    <t>Krittibas Barman</t>
  </si>
  <si>
    <t>barmankrittibas@gmail.com</t>
  </si>
  <si>
    <t>Kochbihar</t>
  </si>
  <si>
    <t>8/- 5%</t>
  </si>
  <si>
    <t>1343K</t>
  </si>
  <si>
    <t>Party purchase to local area 1200 kg.@ 7/- per kg.</t>
  </si>
  <si>
    <t>C2013309</t>
  </si>
  <si>
    <t>Md Mustafa Abdulla</t>
  </si>
  <si>
    <t>Potassium Nitrate</t>
  </si>
  <si>
    <t>mustafabdullha@gmail.com</t>
  </si>
  <si>
    <t>No requirement.just suching.</t>
  </si>
  <si>
    <t>C2013308</t>
  </si>
  <si>
    <t>Sanjeev Gupta</t>
  </si>
  <si>
    <t xml:space="preserve">Sodium Metasilicate  </t>
  </si>
  <si>
    <t>sanjeevgupt9@gmail.com</t>
  </si>
  <si>
    <t>Ranchi-834002</t>
  </si>
  <si>
    <t>Sodium Metasilicate(9H2O branded) 31/- Sodium Metasilicate(5H2O branded)  37/-</t>
  </si>
  <si>
    <t>31/-kg,37/-kg</t>
  </si>
  <si>
    <t>1340K</t>
  </si>
  <si>
    <t>NO REQUIREMENT.just surching.</t>
  </si>
  <si>
    <t>C2013307</t>
  </si>
  <si>
    <t xml:space="preserve">Arun </t>
  </si>
  <si>
    <t>arunnandoliya364@gmail.com</t>
  </si>
  <si>
    <t>Botad</t>
  </si>
  <si>
    <t>C2013306</t>
  </si>
  <si>
    <t>Umesh Bhide</t>
  </si>
  <si>
    <t>umesh@apidor.com</t>
  </si>
  <si>
    <t>Silvassa-396230</t>
  </si>
  <si>
    <t>C2013305</t>
  </si>
  <si>
    <t>Tanveer Singh</t>
  </si>
  <si>
    <t>tanveer@singhotel.in</t>
  </si>
  <si>
    <t>Quote 6000 PMT  FOR Kolkata Port</t>
  </si>
  <si>
    <t>1342K</t>
  </si>
  <si>
    <t xml:space="preserve"> Need for construction at andanman. require rate FOR Kolkata Port</t>
  </si>
  <si>
    <t>19.10.2020</t>
  </si>
  <si>
    <t>C2013304</t>
  </si>
  <si>
    <t>Ramesh Kumar Das</t>
  </si>
  <si>
    <t xml:space="preserve">Magnesium Sulphate   </t>
  </si>
  <si>
    <t>rameshdasnfl@gmail.com</t>
  </si>
  <si>
    <t>Islampur-733206</t>
  </si>
  <si>
    <t>12/- 1Ton</t>
  </si>
  <si>
    <t>1339K</t>
  </si>
  <si>
    <t>send photocopy of magnesium photo copy and revise rate.</t>
  </si>
  <si>
    <t>C2013303</t>
  </si>
  <si>
    <t>Nitesh Kumar Tekriwal</t>
  </si>
  <si>
    <t>Magnesium Sulphate Heptahydrate</t>
  </si>
  <si>
    <t>nitu_cool18@yahoo.co.in</t>
  </si>
  <si>
    <t>C2013302</t>
  </si>
  <si>
    <t>Vinod Mittal</t>
  </si>
  <si>
    <t>vinodmittal1977@gmail.com</t>
  </si>
  <si>
    <t>Tohana-125120</t>
  </si>
  <si>
    <t>@175 + Ex Bhiwandi</t>
  </si>
  <si>
    <t>Need 5 Mt at Delhi. tablet size 200grm.</t>
  </si>
  <si>
    <t>C2013301</t>
  </si>
  <si>
    <t>Punet Keyal</t>
  </si>
  <si>
    <t>Kolkata-700022</t>
  </si>
  <si>
    <t>9836986000/ 9831204333</t>
  </si>
  <si>
    <t>1338K</t>
  </si>
  <si>
    <t>Lowest quoted received - @ 3.10/- per kg.</t>
  </si>
  <si>
    <t>C2013300</t>
  </si>
  <si>
    <t>Kamalendu Das</t>
  </si>
  <si>
    <t>Wooden Charcoal</t>
  </si>
  <si>
    <t>abdurrahamanalmamun2015@gmail.com</t>
  </si>
  <si>
    <t>28/- 1Ton</t>
  </si>
  <si>
    <t>1337K</t>
  </si>
  <si>
    <t>Wrong no.(Ph. no do not correct)</t>
  </si>
  <si>
    <t>C2013299</t>
  </si>
  <si>
    <t>Niranjan Rath</t>
  </si>
  <si>
    <t>rathgyana1@gmail.com</t>
  </si>
  <si>
    <t>1332K</t>
  </si>
  <si>
    <t>Party uses for cement industries-Size--( 0.5 -1.5) mm.</t>
  </si>
  <si>
    <t>C2013298</t>
  </si>
  <si>
    <t>Ranajit Paria</t>
  </si>
  <si>
    <t>22/- 12 %</t>
  </si>
  <si>
    <t>1331K</t>
  </si>
  <si>
    <t>Party Require Riddhi Siddhi Brand.</t>
  </si>
  <si>
    <t>C2013297</t>
  </si>
  <si>
    <t>Ramesh Roadways</t>
  </si>
  <si>
    <t>rameshroadways08@gmail.com</t>
  </si>
  <si>
    <t>C2013296</t>
  </si>
  <si>
    <t>shabeervsha@gmail.com</t>
  </si>
  <si>
    <t>1330K</t>
  </si>
  <si>
    <t>Ph. call not connect try to three time.</t>
  </si>
  <si>
    <t>Target price @18/- per kg.</t>
  </si>
  <si>
    <t>P00062</t>
  </si>
  <si>
    <t>Visakha Dairy</t>
  </si>
  <si>
    <t>purchase@visakhadairy.com</t>
  </si>
  <si>
    <t>Vizag</t>
  </si>
  <si>
    <t>968M</t>
  </si>
  <si>
    <t>C2013295</t>
  </si>
  <si>
    <t>Niagra Water Solution</t>
  </si>
  <si>
    <t xml:space="preserve">Manganese Dioxide(MnOo2),       Potassium Permanganate,           Manganese sulphate    </t>
  </si>
  <si>
    <t>16000,        5000,       10000</t>
  </si>
  <si>
    <t>supravatdas165@gmail.com</t>
  </si>
  <si>
    <t>18/-205/-,62/-</t>
  </si>
  <si>
    <t>18/-,205/-,62/-</t>
  </si>
  <si>
    <t>1341K</t>
  </si>
  <si>
    <t>Party visited our office.</t>
  </si>
  <si>
    <t>C2013294</t>
  </si>
  <si>
    <t>Avdhut Kale</t>
  </si>
  <si>
    <t>Chromium Nitrate</t>
  </si>
  <si>
    <t>kaleavdhut@gmail.com</t>
  </si>
  <si>
    <t>Nashik-422012</t>
  </si>
  <si>
    <t>C2013293</t>
  </si>
  <si>
    <t>Pankaj K Sahu</t>
  </si>
  <si>
    <t xml:space="preserve">Chromic Acid Granules </t>
  </si>
  <si>
    <t>psahu524@gmail.com</t>
  </si>
  <si>
    <t>C2013292</t>
  </si>
  <si>
    <t>Deboshmita Saha</t>
  </si>
  <si>
    <t>Lanolin Anhydrous</t>
  </si>
  <si>
    <t>deboshmita.saha@gmail.com</t>
  </si>
  <si>
    <t>Howrah-711101</t>
  </si>
  <si>
    <t>C2013291</t>
  </si>
  <si>
    <t>Gaurav Gupta</t>
  </si>
  <si>
    <t>gauravg46@gmail.com</t>
  </si>
  <si>
    <t>9331840840/ 7003562044</t>
  </si>
  <si>
    <t>C2013290</t>
  </si>
  <si>
    <t>SL Bagri</t>
  </si>
  <si>
    <t>Bio Diesel</t>
  </si>
  <si>
    <t>tradesindia1962@gmail.com</t>
  </si>
  <si>
    <t>17.10.2020</t>
  </si>
  <si>
    <t>C2013289</t>
  </si>
  <si>
    <t>Anand Singh</t>
  </si>
  <si>
    <t>purchase.starkridgepaper@gmail.com</t>
  </si>
  <si>
    <t>6/- Ex-Kolkata</t>
  </si>
  <si>
    <t>1326K</t>
  </si>
  <si>
    <t>Two time ph. call not received.</t>
  </si>
  <si>
    <t>C2013288</t>
  </si>
  <si>
    <t>Somnath Kundu</t>
  </si>
  <si>
    <t>Perlite Ore Slac 30</t>
  </si>
  <si>
    <t>howrahmineral@gmail.com</t>
  </si>
  <si>
    <t>9433087602/ 8981087602</t>
  </si>
  <si>
    <t xml:space="preserve">13.50/- Ex-Bhiwandi </t>
  </si>
  <si>
    <t>13.50/-KG(S)</t>
  </si>
  <si>
    <t>967M</t>
  </si>
  <si>
    <t xml:space="preserve"> Send specification.</t>
  </si>
  <si>
    <t>Party parchase rate@ 13.50/- from kolkata</t>
  </si>
  <si>
    <t>C2013287</t>
  </si>
  <si>
    <t>Ashis Chakraborty</t>
  </si>
  <si>
    <t>Fullers Earth</t>
  </si>
  <si>
    <t>ashis170786@gmail.com</t>
  </si>
  <si>
    <t>C2013286</t>
  </si>
  <si>
    <t>Nooralam</t>
  </si>
  <si>
    <t>nooralammolla115@gmail.com</t>
  </si>
  <si>
    <t>Kolkata-743318</t>
  </si>
  <si>
    <t>1329K</t>
  </si>
  <si>
    <t>Party re seller so such market price.</t>
  </si>
  <si>
    <t>C2013285</t>
  </si>
  <si>
    <t>Avijit Guha</t>
  </si>
  <si>
    <t>avijit.avi.24@gmail.com</t>
  </si>
  <si>
    <t>Q Rs</t>
  </si>
  <si>
    <t>Wrong En query.</t>
  </si>
  <si>
    <t>C2013284</t>
  </si>
  <si>
    <t>Sintu Maji</t>
  </si>
  <si>
    <t>sintumaji3@gmail.com</t>
  </si>
  <si>
    <t>Insdustrial Purpose</t>
  </si>
  <si>
    <t>1325K</t>
  </si>
  <si>
    <t>Party Purchase Rate 13/-KG(S)</t>
  </si>
  <si>
    <t>C2013283</t>
  </si>
  <si>
    <t>Nesar Ahmed</t>
  </si>
  <si>
    <t>acos.chem@gmail.com</t>
  </si>
  <si>
    <t>Kolkata-700037</t>
  </si>
  <si>
    <t xml:space="preserve">21/- 1Ton Alum Liquid </t>
  </si>
  <si>
    <t>1328K</t>
  </si>
  <si>
    <t>Party target price -@ 12.50/-</t>
  </si>
  <si>
    <t>C2013282</t>
  </si>
  <si>
    <t>Abhishek</t>
  </si>
  <si>
    <t>abhishek91.ak91@gmail.com</t>
  </si>
  <si>
    <t>300 mess 7.50/- , 500 mess 8/- 5% 1Ton</t>
  </si>
  <si>
    <t>7.50/-,8/-kg(s)</t>
  </si>
  <si>
    <t>1327K</t>
  </si>
  <si>
    <t>Party target price @3100/- per ton</t>
  </si>
  <si>
    <t>16.10.2020</t>
  </si>
  <si>
    <t>P00061</t>
  </si>
  <si>
    <t>Shakun Minerals</t>
  </si>
  <si>
    <t xml:space="preserve">Quartz Sand Quartz Sand 2/4   
Quartz Sand 4/8    
Quartz Sand  8/16 
Quartz Sand 16/30  </t>
  </si>
  <si>
    <t>4.3mt
4.3mt
4.3 mt
20.85MT</t>
  </si>
  <si>
    <t>shakun52@gmail.com</t>
  </si>
  <si>
    <t>P00060</t>
  </si>
  <si>
    <t>Sujan Saha</t>
  </si>
  <si>
    <t>sjan_1976@yahoo.co.in</t>
  </si>
  <si>
    <t>Small Size 20/-,Big Size 32/- 0%</t>
  </si>
  <si>
    <t>20/-,32/-kg(s)</t>
  </si>
  <si>
    <t>1324K</t>
  </si>
  <si>
    <t>16.10.20</t>
  </si>
  <si>
    <t>P00059</t>
  </si>
  <si>
    <t>Sa Global</t>
  </si>
  <si>
    <t>Glaubers Salt,  Soda Ash,  Acid Slurry, Sodium meta Silicate,SLES Liquid,  Silica Powder,  STPP,  Tinapol.</t>
  </si>
  <si>
    <t>4000,3500,1400,200,400,200,100,10</t>
  </si>
  <si>
    <t>anirbanmitra7@gmail.com</t>
  </si>
  <si>
    <t>5.75/-  0% ,26/-,86/-,(26/- / 20/-),105/-,7.50/-,78/-, 250/-.</t>
  </si>
  <si>
    <t>5.75/- 0% ,26/-,86/-,(26/- / 20/-),105/-,7.50/-,78/-, 250/-</t>
  </si>
  <si>
    <t>1323K</t>
  </si>
  <si>
    <t>Reply shorty.</t>
  </si>
  <si>
    <t>C2013281</t>
  </si>
  <si>
    <t>Bankura-722157</t>
  </si>
  <si>
    <t>C2013280</t>
  </si>
  <si>
    <t>Ramesh Kumar</t>
  </si>
  <si>
    <t>ramesh@nilachal.in</t>
  </si>
  <si>
    <t>Kolkata-700016</t>
  </si>
  <si>
    <t>60/-</t>
  </si>
  <si>
    <t>1321K</t>
  </si>
  <si>
    <t>Party target price @45/-.</t>
  </si>
  <si>
    <t>C2013279</t>
  </si>
  <si>
    <t>Manas Mondal</t>
  </si>
  <si>
    <t>bandr71074@gmail.com</t>
  </si>
  <si>
    <t xml:space="preserve">Revise  4.50/- </t>
  </si>
  <si>
    <t>4.50/-KG</t>
  </si>
  <si>
    <t>1320K/1322K</t>
  </si>
  <si>
    <t>Party lowest quote received- 2850/- per ton</t>
  </si>
  <si>
    <t>C2013278</t>
  </si>
  <si>
    <t xml:space="preserve">AK </t>
  </si>
  <si>
    <t>Raw Petroleum Coke</t>
  </si>
  <si>
    <t>empldhanbad@gmail.com</t>
  </si>
  <si>
    <t>C2013277</t>
  </si>
  <si>
    <t>Arif</t>
  </si>
  <si>
    <t>arifahmad2930@gmail.com</t>
  </si>
  <si>
    <t>Kampur</t>
  </si>
  <si>
    <t>Quote Rs 70+</t>
  </si>
  <si>
    <t>966M</t>
  </si>
  <si>
    <t>Call Not Responding. Quote Rs 70+</t>
  </si>
  <si>
    <t>C2013276</t>
  </si>
  <si>
    <t>Shantunu Biswas</t>
  </si>
  <si>
    <t>durgapowerchemical1788@gmail.com</t>
  </si>
  <si>
    <t>P00058</t>
  </si>
  <si>
    <t>Shreehari Enterprise</t>
  </si>
  <si>
    <t>shreenathtraders96@gmail.com</t>
  </si>
  <si>
    <t>225/-</t>
  </si>
  <si>
    <t>225/-KG(S)</t>
  </si>
  <si>
    <t>965M</t>
  </si>
  <si>
    <t>Order send and payment next week.</t>
  </si>
  <si>
    <t>Payment done.</t>
  </si>
  <si>
    <t>C2013275</t>
  </si>
  <si>
    <t>Amit Kumar Halder</t>
  </si>
  <si>
    <t>amithalder.1570@rediffmail.com</t>
  </si>
  <si>
    <t>10.75/-KG(S)</t>
  </si>
  <si>
    <t>1318K</t>
  </si>
  <si>
    <t>15.10.2020</t>
  </si>
  <si>
    <t>C2013274</t>
  </si>
  <si>
    <t>1317K</t>
  </si>
  <si>
    <t>Ph. call not received</t>
  </si>
  <si>
    <t>Party require after puja</t>
  </si>
  <si>
    <t>C2013273</t>
  </si>
  <si>
    <t>Ankur Jain</t>
  </si>
  <si>
    <t>Sodium Bisulfate</t>
  </si>
  <si>
    <t>dishainnovations01@gmail.com</t>
  </si>
  <si>
    <t>Siliguri-734001</t>
  </si>
  <si>
    <t>C2013272</t>
  </si>
  <si>
    <t>Partha Bhowmick</t>
  </si>
  <si>
    <t>Sodium Metasilicate,Sodium Sulphate,Acid Slurry,HCL,SLES</t>
  </si>
  <si>
    <t>500kgs,500kgs,200kgs,500kgs,500kgs</t>
  </si>
  <si>
    <t>parthabhowmick1965@gmail.com</t>
  </si>
  <si>
    <t>SLES  69/-
HCL 16/-
Acid Slurry 97/-
Sodium Sulphate 15/- 
Sodium Metasilicate(5H2O branded)
27/- , Sodium Metasilicate(9H2O Local) 21/-</t>
  </si>
  <si>
    <t>69/-,16/-,97/-,15/-,27/-,21/-</t>
  </si>
  <si>
    <t>1316K</t>
  </si>
  <si>
    <t>C2013271</t>
  </si>
  <si>
    <t>Sumit Agarwal</t>
  </si>
  <si>
    <t>uidelivery2020@gmail.com</t>
  </si>
  <si>
    <t>47/-KG(S)</t>
  </si>
  <si>
    <t>1315K</t>
  </si>
  <si>
    <t>C2013270</t>
  </si>
  <si>
    <t>S Pan</t>
  </si>
  <si>
    <t>swarnaagro28@gmail.com</t>
  </si>
  <si>
    <t>10/- 5% 1Ton</t>
  </si>
  <si>
    <t>1314K</t>
  </si>
  <si>
    <t>C2013269</t>
  </si>
  <si>
    <t>Sk Md Jahangir</t>
  </si>
  <si>
    <t>Unexpanded Perlite Ore</t>
  </si>
  <si>
    <t>125kg.</t>
  </si>
  <si>
    <t>skmdjahangir1990@gmail.com</t>
  </si>
  <si>
    <t>Bankra-722206</t>
  </si>
  <si>
    <t>Party require expanded perlite-125kg.</t>
  </si>
  <si>
    <t>C2013268</t>
  </si>
  <si>
    <t>Shekh Salim</t>
  </si>
  <si>
    <t>C2013267</t>
  </si>
  <si>
    <t>Rajesh Sharma</t>
  </si>
  <si>
    <t>sharmarajesh111978@gmail.com</t>
  </si>
  <si>
    <t>Pune-412114</t>
  </si>
  <si>
    <t>964M</t>
  </si>
  <si>
    <t>Need 1 Mt</t>
  </si>
  <si>
    <t>14.10.2020</t>
  </si>
  <si>
    <t>C2013266</t>
  </si>
  <si>
    <t>Rewat Ram</t>
  </si>
  <si>
    <t>rewatramdewasi@gmail.com</t>
  </si>
  <si>
    <t>Kolkata-768203</t>
  </si>
  <si>
    <t>10/- 5% 1 Ton</t>
  </si>
  <si>
    <t>Already Lost.</t>
  </si>
  <si>
    <t>Party interested in local purchase.</t>
  </si>
  <si>
    <t>C2013265</t>
  </si>
  <si>
    <t>Indramani Sahu</t>
  </si>
  <si>
    <t>sahuindramani15@gmail.com</t>
  </si>
  <si>
    <t>Kolkata-700039</t>
  </si>
  <si>
    <t>56/-</t>
  </si>
  <si>
    <t>1313K</t>
  </si>
  <si>
    <t>Rtae High,Party Target Price Below 50/-Kg(s)</t>
  </si>
  <si>
    <t>C2013264</t>
  </si>
  <si>
    <t>Madhav Corporation</t>
  </si>
  <si>
    <t>Dimethyl Formamide</t>
  </si>
  <si>
    <t>khmmalaviya.madhav@gmail.com</t>
  </si>
  <si>
    <t>Ankleshwar-393002</t>
  </si>
  <si>
    <t xml:space="preserve">58/- Bhiwandi </t>
  </si>
  <si>
    <t>963M</t>
  </si>
  <si>
    <t>Need Recover. Pharma Pass</t>
  </si>
  <si>
    <t>P00057</t>
  </si>
  <si>
    <t>Noble Paint &amp; Chemica</t>
  </si>
  <si>
    <t>Carbon Black &amp; Redoxide</t>
  </si>
  <si>
    <t>npc_97@yahoo.com</t>
  </si>
  <si>
    <t xml:space="preserve">Howrah   </t>
  </si>
  <si>
    <t>47/-, N/A</t>
  </si>
  <si>
    <t>1312K</t>
  </si>
  <si>
    <t>13.10.2020</t>
  </si>
  <si>
    <t>C2013263</t>
  </si>
  <si>
    <t>Ajay Chakraborty</t>
  </si>
  <si>
    <t>Sodium Salicylate</t>
  </si>
  <si>
    <t>prasenjitvarma63@gmail.com</t>
  </si>
  <si>
    <t>C2013262</t>
  </si>
  <si>
    <t>Sanjay Sharma</t>
  </si>
  <si>
    <t>balajient.sharma@gmail.com</t>
  </si>
  <si>
    <t>12/- 5% 1Ton</t>
  </si>
  <si>
    <t>1309K</t>
  </si>
  <si>
    <t>sample collect to our office monday.</t>
  </si>
  <si>
    <t>C2013261</t>
  </si>
  <si>
    <t>Mrinal Mandal</t>
  </si>
  <si>
    <t>Oxygen Tablet</t>
  </si>
  <si>
    <t>mrinal6289513250@gmail.com</t>
  </si>
  <si>
    <t>Jirat</t>
  </si>
  <si>
    <t>low quantity required - Aniruddha</t>
  </si>
  <si>
    <t>C2013260</t>
  </si>
  <si>
    <t>Ranjit Adhikary</t>
  </si>
  <si>
    <t>ranjitadhikaryblp@gmail.com</t>
  </si>
  <si>
    <t>Balarampur</t>
  </si>
  <si>
    <t>26/- 1 Ton</t>
  </si>
  <si>
    <t>1308K</t>
  </si>
  <si>
    <t>Ph.call not connect. three time.</t>
  </si>
  <si>
    <t>C2013259</t>
  </si>
  <si>
    <t>ph.call not received</t>
  </si>
  <si>
    <t>12.10.2020</t>
  </si>
  <si>
    <t>C2013258</t>
  </si>
  <si>
    <t>Munna Prodad</t>
  </si>
  <si>
    <t>Industrial Use</t>
  </si>
  <si>
    <t>P00056</t>
  </si>
  <si>
    <t>Gopal Mittal</t>
  </si>
  <si>
    <t>mittalgopal009@gmail.com</t>
  </si>
  <si>
    <t>961M</t>
  </si>
  <si>
    <t>Party require-Sulphur- 0.1%, our side-Sulphur -0.6%.</t>
  </si>
  <si>
    <t>P00055</t>
  </si>
  <si>
    <t>Sparsh Traders</t>
  </si>
  <si>
    <t>gargagrawal.ankit946@gmail.com</t>
  </si>
  <si>
    <t>960M</t>
  </si>
  <si>
    <t>Party confirmation shortly.</t>
  </si>
  <si>
    <t>party  purchase @13.40/- from UP.</t>
  </si>
  <si>
    <t>C2013257</t>
  </si>
  <si>
    <t>Quote Rs 65+. Need COA First</t>
  </si>
  <si>
    <t>C2013256</t>
  </si>
  <si>
    <t>Fishery Clinic</t>
  </si>
  <si>
    <t>jpldas79@yahoo.co.in</t>
  </si>
  <si>
    <t>Darbhanga</t>
  </si>
  <si>
    <t>22/-</t>
  </si>
  <si>
    <t>1306K</t>
  </si>
  <si>
    <t>Party agree to local purchase.</t>
  </si>
  <si>
    <t>C2013255</t>
  </si>
  <si>
    <t>Md Abid</t>
  </si>
  <si>
    <t>25/- 5% 1Ton</t>
  </si>
  <si>
    <t xml:space="preserve">Party mail id. not available,quotation send by whatups. </t>
  </si>
  <si>
    <t>C2013254</t>
  </si>
  <si>
    <t>Sunit</t>
  </si>
  <si>
    <t>tibrewalasunit@gmail.com</t>
  </si>
  <si>
    <t>1305K</t>
  </si>
  <si>
    <t>party require 1kg. sample.</t>
  </si>
  <si>
    <t>C2013253</t>
  </si>
  <si>
    <t>Minoty Enterprises</t>
  </si>
  <si>
    <t>Ferro Titanium Powder</t>
  </si>
  <si>
    <t>sen.kumarprabir01@gmail.com</t>
  </si>
  <si>
    <t>Require 5 kg.and 100 mesh.uses for construction.</t>
  </si>
  <si>
    <t>C2013252</t>
  </si>
  <si>
    <t>Bishnu Biswas</t>
  </si>
  <si>
    <t>bishubisawas456@gmail.com</t>
  </si>
  <si>
    <t>C2013251</t>
  </si>
  <si>
    <t>Aryan Infracon Pvt Ltd.</t>
  </si>
  <si>
    <t>Wood Coal</t>
  </si>
  <si>
    <t>naveen.aryan@gmail.com</t>
  </si>
  <si>
    <t>Kolkata-700012</t>
  </si>
  <si>
    <t>Barbeque Purpose</t>
  </si>
  <si>
    <t>1304K</t>
  </si>
  <si>
    <t>Party Charcoal supplier at kalighat kolkata</t>
  </si>
  <si>
    <t>C2013250</t>
  </si>
  <si>
    <t>Sachin Omer</t>
  </si>
  <si>
    <t>Strontium Chloride</t>
  </si>
  <si>
    <t>sachinomer.1@gmail.com</t>
  </si>
  <si>
    <t>Kanpur-208001</t>
  </si>
  <si>
    <t>C2013249</t>
  </si>
  <si>
    <t>Ankush Mali</t>
  </si>
  <si>
    <t>ankushmali616@gmail.com</t>
  </si>
  <si>
    <t>C2013248</t>
  </si>
  <si>
    <t>Raghavendra Joshi</t>
  </si>
  <si>
    <t>haldiachery@yahoo.co.in</t>
  </si>
  <si>
    <t>C2013247</t>
  </si>
  <si>
    <t>Umang</t>
  </si>
  <si>
    <t>omshivtrading1@gmail.com</t>
  </si>
  <si>
    <t xml:space="preserve">Morbi    </t>
  </si>
  <si>
    <t>Want COA. Target Rate Rs 5</t>
  </si>
  <si>
    <t>10.10.2020</t>
  </si>
  <si>
    <t>C2013246</t>
  </si>
  <si>
    <t>Narayan V</t>
  </si>
  <si>
    <t>narayan@homeneed.com</t>
  </si>
  <si>
    <t>4/-pcs,5/-pcs</t>
  </si>
  <si>
    <t>959M</t>
  </si>
  <si>
    <t>P00054</t>
  </si>
  <si>
    <t>Elements Corporation</t>
  </si>
  <si>
    <t>Chromic Acid Flakes</t>
  </si>
  <si>
    <t>elements.jsr@gmail.com</t>
  </si>
  <si>
    <t>255/- (Imported)</t>
  </si>
  <si>
    <t>255/-KG(S)</t>
  </si>
  <si>
    <t>1302K</t>
  </si>
  <si>
    <t>Party purchase rate-@220/- per kg.</t>
  </si>
  <si>
    <t>P00053</t>
  </si>
  <si>
    <t>Trans Media</t>
  </si>
  <si>
    <t>panashu2003@gmail.com</t>
  </si>
  <si>
    <t>14 (80 Mesh)</t>
  </si>
  <si>
    <t>14/-KG(S)</t>
  </si>
  <si>
    <t>957M</t>
  </si>
  <si>
    <t>Ph. call not received, we send the chemical analysis .</t>
  </si>
  <si>
    <t>party exporter, so that require price FOB at kolkata port.</t>
  </si>
  <si>
    <t>C2013245</t>
  </si>
  <si>
    <t>Murlidharan</t>
  </si>
  <si>
    <t>bibhuprasadsahoo70@gmail.com</t>
  </si>
  <si>
    <t>Industrial Grade 32/-              Food Grade 28.50/- 1 Ton</t>
  </si>
  <si>
    <t>C2013244</t>
  </si>
  <si>
    <t>deepakthavanani@gmail.com</t>
  </si>
  <si>
    <t xml:space="preserve">Ranchi  </t>
  </si>
  <si>
    <t>1301K</t>
  </si>
  <si>
    <t>C2013243</t>
  </si>
  <si>
    <t>Animseh Das</t>
  </si>
  <si>
    <t>dasanimesh484@gmail.com</t>
  </si>
  <si>
    <t>Howrah-711114</t>
  </si>
  <si>
    <t>1300K</t>
  </si>
  <si>
    <t>REQUIREMENT AFTER  DIWALI</t>
  </si>
  <si>
    <t>C2013242</t>
  </si>
  <si>
    <t>Jaffri Creations</t>
  </si>
  <si>
    <t>Pebbles</t>
  </si>
  <si>
    <t>ihjaffri@gmail.com</t>
  </si>
  <si>
    <t>Kolkata-700017</t>
  </si>
  <si>
    <t>6.50/-5% 1Ton</t>
  </si>
  <si>
    <t>1299K</t>
  </si>
  <si>
    <t>Party require sample photo copy, I send by what ups.</t>
  </si>
  <si>
    <t>C2013241</t>
  </si>
  <si>
    <t>Riju Mishra</t>
  </si>
  <si>
    <t>Glycerine Soap Base</t>
  </si>
  <si>
    <t>rijukumarmishra9786@gmail.com</t>
  </si>
  <si>
    <t>175/-</t>
  </si>
  <si>
    <t>175/-KG(S)</t>
  </si>
  <si>
    <t>1298K</t>
  </si>
  <si>
    <t>TALK TO HIM,HE WILL LET US KNOW,PARTY TARGET PRICE 85/-</t>
  </si>
  <si>
    <t>C2013240</t>
  </si>
  <si>
    <t>Vinay</t>
  </si>
  <si>
    <t>interwellsteels@gmail.com</t>
  </si>
  <si>
    <t>CUSTOMER NEDD 50 KG(s) AND HE ALSO NEED CERTIFICATE FIRST</t>
  </si>
  <si>
    <t>09.10.2020</t>
  </si>
  <si>
    <t>C2013239</t>
  </si>
  <si>
    <t>Navdip Aghara</t>
  </si>
  <si>
    <t>nraghara0783@gmail.com</t>
  </si>
  <si>
    <t>Morbi-363642</t>
  </si>
  <si>
    <t>Need sample first</t>
  </si>
  <si>
    <t>C2013238</t>
  </si>
  <si>
    <t>Gyan Sarkar</t>
  </si>
  <si>
    <t>Bentonite Powder (ashapura)</t>
  </si>
  <si>
    <t>jayanta_civil@yahoo.com</t>
  </si>
  <si>
    <t>C2013237</t>
  </si>
  <si>
    <t>Sujit Bakuli</t>
  </si>
  <si>
    <t>sujitbakuli2020@gmail.com</t>
  </si>
  <si>
    <t>41/- 5%</t>
  </si>
  <si>
    <t>wrong enquery so lost.</t>
  </si>
  <si>
    <t>C2013236</t>
  </si>
  <si>
    <t>Srikanto Sahoo</t>
  </si>
  <si>
    <t>Garnet Sand</t>
  </si>
  <si>
    <t>srikanta_basudev@yahoo.co.in</t>
  </si>
  <si>
    <t>We hv in Mumbai Quote Rs 20Ex Bhiwandi</t>
  </si>
  <si>
    <t>C2013235</t>
  </si>
  <si>
    <t>Sbf Pharma Pvt.Ltd.</t>
  </si>
  <si>
    <t>Magnesium Acetate Tetrahydrate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</si>
  <si>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</si>
  <si>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rushil.sbfpharma@gmail.com</t>
  </si>
  <si>
    <t>Ahmedabad-380061</t>
  </si>
  <si>
    <t>9879522397/ 9773208379</t>
  </si>
  <si>
    <t>Rate Not Available now</t>
  </si>
  <si>
    <t>C2013234</t>
  </si>
  <si>
    <t>Dhanraj Patil</t>
  </si>
  <si>
    <t>Silicic Acid</t>
  </si>
  <si>
    <t>dhanrajpatil0265@gmail.com</t>
  </si>
  <si>
    <t>Pune-415523</t>
  </si>
  <si>
    <t>340/-KG(S)</t>
  </si>
  <si>
    <t>958M</t>
  </si>
  <si>
    <t>Rate and Quotation sent @340/-+5%</t>
  </si>
  <si>
    <t>C2013233</t>
  </si>
  <si>
    <t>Kozebi Exports</t>
  </si>
  <si>
    <t>kozebiexports@gmail.com</t>
  </si>
  <si>
    <t>Giridh-815301</t>
  </si>
  <si>
    <t>24.50/- 5% 1Ton</t>
  </si>
  <si>
    <t>24.50/-KG(S)</t>
  </si>
  <si>
    <t>1294K</t>
  </si>
  <si>
    <t>Party Rate confirms but waiting for confirms order.</t>
  </si>
  <si>
    <t>Send Technical data sheet.</t>
  </si>
  <si>
    <t>C2013232</t>
  </si>
  <si>
    <t>Shoaib</t>
  </si>
  <si>
    <t>Anhydrous Lanolin</t>
  </si>
  <si>
    <t>shoaibshamsi933968@gmail.com</t>
  </si>
  <si>
    <t>Kolkata-700072</t>
  </si>
  <si>
    <t>08.10.2020</t>
  </si>
  <si>
    <t>Souvik Deogharia</t>
  </si>
  <si>
    <r>
      <rPr>
        <rFont val="Arial"/>
        <color theme="1"/>
      </rPr>
      <t xml:space="preserve">Dolomite Powder,                      </t>
    </r>
    <r>
      <rPr>
        <rFont val="Arial"/>
        <color theme="7"/>
      </rPr>
      <t>Rosted Bentonite granules,         Unrosted Bentonite granules</t>
    </r>
    <r>
      <rPr>
        <rFont val="Arial"/>
        <color theme="1"/>
      </rPr>
      <t xml:space="preserve">  </t>
    </r>
  </si>
  <si>
    <t xml:space="preserve">5000,           2000,           2000  </t>
  </si>
  <si>
    <t>dreams.mart@rediffmail.com</t>
  </si>
  <si>
    <t>Kolkata-700008</t>
  </si>
  <si>
    <t>9903439161/9674595958</t>
  </si>
  <si>
    <t>6.50/- 5% 300 mess                  7/- 5% 500 Mess</t>
  </si>
  <si>
    <t>6.50/-kg,           9.50/-                   8.50/-</t>
  </si>
  <si>
    <t>1291K/1303K</t>
  </si>
  <si>
    <t>Party purchase@5.50/- per kg. (300 mesh), require rosted/unrosted bentonite granules 2mt.</t>
  </si>
  <si>
    <t>C2013230</t>
  </si>
  <si>
    <t>Indranath Chatterjee</t>
  </si>
  <si>
    <t>chatterjee.indranath8@gmail.com</t>
  </si>
  <si>
    <t>45.50/-   1Ton</t>
  </si>
  <si>
    <t>45.50/-KG(S)</t>
  </si>
  <si>
    <t>1293K</t>
  </si>
  <si>
    <t>Party gets lowest price@41/- per kg.</t>
  </si>
  <si>
    <t>C2013229</t>
  </si>
  <si>
    <t>Tanmoy Ghosh</t>
  </si>
  <si>
    <t>BKC 80%,IPA,H.P.,Acetic Acid, HCL,Dolomite powder,Bleaching powder,</t>
  </si>
  <si>
    <t>50kg.,50kg.,100kg.,100kg.,300kg.300kg.,500kg.</t>
  </si>
  <si>
    <t>tanmoy4001@gmail.com</t>
  </si>
  <si>
    <t>Party visited our office next week.</t>
  </si>
  <si>
    <t>party comeing our office- 04/11/2020</t>
  </si>
  <si>
    <t>C2013228</t>
  </si>
  <si>
    <t>vrysimple@gmail.com</t>
  </si>
  <si>
    <t>9/- 5% 1Ton</t>
  </si>
  <si>
    <t>1290K</t>
  </si>
  <si>
    <t>Party require Iran imported,and 30 days credit.  so lost.</t>
  </si>
  <si>
    <t>C2013227</t>
  </si>
  <si>
    <t>Sillimanite Powder</t>
  </si>
  <si>
    <t>isotech.prodz2012@gmail.com</t>
  </si>
  <si>
    <t>C2013226</t>
  </si>
  <si>
    <t>Dulal Mahato</t>
  </si>
  <si>
    <t>dulalmahato488@gmail.com</t>
  </si>
  <si>
    <t>1295K</t>
  </si>
  <si>
    <t>C2013225</t>
  </si>
  <si>
    <t>Rupesh Shah</t>
  </si>
  <si>
    <t>bahati177@yahoo.com</t>
  </si>
  <si>
    <t>Anand-388121</t>
  </si>
  <si>
    <t>no response</t>
  </si>
  <si>
    <t>RETAIL FOLLOW UP</t>
  </si>
  <si>
    <t>C2013224</t>
  </si>
  <si>
    <t>Subrata Mukherjee</t>
  </si>
  <si>
    <t>grafotype@gmail.com</t>
  </si>
  <si>
    <t>Kolkata-700073</t>
  </si>
  <si>
    <t xml:space="preserve">7/- 5%,1 Ton </t>
  </si>
  <si>
    <t>1286K</t>
  </si>
  <si>
    <t>Party material export to Bangladesh,that market found low price.</t>
  </si>
  <si>
    <t>C2013223</t>
  </si>
  <si>
    <t>Arpan Mukherjee</t>
  </si>
  <si>
    <t>225/-   Minimum 500 Kg (Size 8-10mm)</t>
  </si>
  <si>
    <t>Mail Id Needed</t>
  </si>
  <si>
    <t>Party require 1 kg. and booked to amazon.</t>
  </si>
  <si>
    <t>C2013222</t>
  </si>
  <si>
    <t>Manoranjan Sadh</t>
  </si>
  <si>
    <t>sadhmk@gmail.com</t>
  </si>
  <si>
    <t>78/-</t>
  </si>
  <si>
    <t>78/-KG(S)</t>
  </si>
  <si>
    <t>1287K</t>
  </si>
  <si>
    <t>C2013221</t>
  </si>
  <si>
    <t>Raj Kumar</t>
  </si>
  <si>
    <t>Hexamine Powder</t>
  </si>
  <si>
    <t>kapri.rajkumar@gmail.com</t>
  </si>
  <si>
    <t>112/-</t>
  </si>
  <si>
    <t>NO REQUIREMENT RIGHT NOW,REQUIREMENT AFTER PUJA</t>
  </si>
  <si>
    <t>C2013220</t>
  </si>
  <si>
    <r>
      <rPr>
        <rFont val="Arial"/>
        <b/>
        <color theme="1"/>
      </rPr>
      <t>Balaji Chemical Industries</t>
    </r>
    <r>
      <rPr>
        <rFont val="Arial"/>
        <color theme="1"/>
      </rPr>
      <t xml:space="preserve"> (C)</t>
    </r>
  </si>
  <si>
    <t>niraj97488@gmail.com</t>
  </si>
  <si>
    <t>1285K</t>
  </si>
  <si>
    <t>Rate High.Party Purchase Rate 39/-kg(s) Including Gst.</t>
  </si>
  <si>
    <t>C2013219</t>
  </si>
  <si>
    <t>Omex International</t>
  </si>
  <si>
    <t>mddnshali786@gmail.com</t>
  </si>
  <si>
    <t>Ranchi-834001</t>
  </si>
  <si>
    <t>Quote Rs 35+ Ex Bhiwandi</t>
  </si>
  <si>
    <t>955M</t>
  </si>
  <si>
    <t>need As per discussion 200kg</t>
  </si>
  <si>
    <t xml:space="preserve">Party purchase from kolkata,because Mumbai transportation charges high. </t>
  </si>
  <si>
    <t>C2013218</t>
  </si>
  <si>
    <t>Malay Chatterjee (C)</t>
  </si>
  <si>
    <t>Sodium Silicate Powder,Sodium Sulphate Powder,Acid Slurry</t>
  </si>
  <si>
    <t>300kg(s),300kg(s),200kg(s)</t>
  </si>
  <si>
    <t>ok.malay1992@gmail.com</t>
  </si>
  <si>
    <t>Dish Bar</t>
  </si>
  <si>
    <t>57
17
90</t>
  </si>
  <si>
    <t>57/-kg,17/-kg,90/-kg</t>
  </si>
  <si>
    <t>1284K</t>
  </si>
  <si>
    <t>07.10.2020</t>
  </si>
  <si>
    <t>C2013217</t>
  </si>
  <si>
    <r>
      <rPr>
        <rFont val="Arial"/>
        <b/>
        <color theme="1"/>
      </rPr>
      <t>Ajit Firework Ltd</t>
    </r>
    <r>
      <rPr>
        <rFont val="Arial"/>
        <color theme="1"/>
      </rPr>
      <t xml:space="preserve"> (C)</t>
    </r>
  </si>
  <si>
    <t>ajittarlekar89@gmail.com</t>
  </si>
  <si>
    <t>Satara-415102</t>
  </si>
  <si>
    <t>Candle Purpose</t>
  </si>
  <si>
    <t>Since it is an Explosives material, So we need License for Dealing or Trading of this Product.</t>
  </si>
  <si>
    <t>Pandian Chemicals Limited
17- A, Vallabhai Road, Chokkikulam, Madurai-625002, Tamil Nadu, India
Manufacturer of this Product</t>
  </si>
  <si>
    <t>C2013216</t>
  </si>
  <si>
    <t>Samiran</t>
  </si>
  <si>
    <t>surfaceaction69@gmail.com</t>
  </si>
  <si>
    <t>1283K</t>
  </si>
  <si>
    <t>Party reseller Order not confirmed.</t>
  </si>
  <si>
    <t>Order not confirmed</t>
  </si>
  <si>
    <t>C2013215</t>
  </si>
  <si>
    <t>Tapas Biswas</t>
  </si>
  <si>
    <t>tapasbis.2008@rediffmail.com</t>
  </si>
  <si>
    <t>Bio Floc</t>
  </si>
  <si>
    <t>1280K</t>
  </si>
  <si>
    <t>C2013214</t>
  </si>
  <si>
    <t>Raza Furniture</t>
  </si>
  <si>
    <t>Liquid Urea</t>
  </si>
  <si>
    <t>raunaque6@gmail.com</t>
  </si>
  <si>
    <t>Material not available to us</t>
  </si>
  <si>
    <t>C2013213</t>
  </si>
  <si>
    <t>Irfan Ahmed</t>
  </si>
  <si>
    <t>irc5267@gmail.com</t>
  </si>
  <si>
    <t>Uses, Quantity and Specification Needed</t>
  </si>
  <si>
    <t>C2013212</t>
  </si>
  <si>
    <t>hkb5253@yahoo.com</t>
  </si>
  <si>
    <t>Gujrat-389001</t>
  </si>
  <si>
    <t>06.10.2020</t>
  </si>
  <si>
    <t>C2013211</t>
  </si>
  <si>
    <r>
      <rPr>
        <rFont val="Arial"/>
        <b val="0"/>
        <color rgb="FF000000"/>
      </rPr>
      <t>Znome Consultancy Services Pvt.Ltd</t>
    </r>
    <r>
      <rPr>
        <rFont val="Arial"/>
        <b/>
        <color rgb="FF1F497D"/>
      </rPr>
      <t>.</t>
    </r>
  </si>
  <si>
    <t>znomesolutions@gmail.com</t>
  </si>
  <si>
    <t>Haroa</t>
  </si>
  <si>
    <t>1276K</t>
  </si>
  <si>
    <t>C2013210</t>
  </si>
  <si>
    <t>Pritamber Naik</t>
  </si>
  <si>
    <t>pritambgr@gmail.com</t>
  </si>
  <si>
    <t>Balangir</t>
  </si>
  <si>
    <t>6.5 (White)
5 (Grey)
(Ex Kolkata)</t>
  </si>
  <si>
    <t>6.5/-kg(s),5/-kg</t>
  </si>
  <si>
    <t>1282K</t>
  </si>
  <si>
    <t>Party confirms shortly.</t>
  </si>
  <si>
    <t>Ph. call not received (two time).</t>
  </si>
  <si>
    <t>C2013209</t>
  </si>
  <si>
    <t>Cod J</t>
  </si>
  <si>
    <t>Ammonium Ferric Sulphate</t>
  </si>
  <si>
    <t>purchase@chlorinagroup.com</t>
  </si>
  <si>
    <t>110 +18%</t>
  </si>
  <si>
    <t>110/-KG(S)</t>
  </si>
  <si>
    <t>954M</t>
  </si>
  <si>
    <t>not responding</t>
  </si>
  <si>
    <t>C2013208</t>
  </si>
  <si>
    <t>Souren Mukherjee (C)</t>
  </si>
  <si>
    <t>Potassium Acetate</t>
  </si>
  <si>
    <t>marketing.nichesolutions@gmail.com</t>
  </si>
  <si>
    <t>Chemical Formulation</t>
  </si>
  <si>
    <t>120/-KG(S)</t>
  </si>
  <si>
    <t>1319K</t>
  </si>
  <si>
    <t>Party Needs 500gm Sample First.</t>
  </si>
  <si>
    <t>Low Quantity Requirement</t>
  </si>
  <si>
    <t>C2013207</t>
  </si>
  <si>
    <t>Arka Saha (C)</t>
  </si>
  <si>
    <t>Crystal Magnesium Sulphate</t>
  </si>
  <si>
    <t>arkasahareal@gmail.com</t>
  </si>
  <si>
    <t>12/-</t>
  </si>
  <si>
    <t>1281K</t>
  </si>
  <si>
    <t>Send sample photo copy and bag packing photo copy.</t>
  </si>
  <si>
    <t>Party reseller so that party not confirmed</t>
  </si>
  <si>
    <t>C2013206</t>
  </si>
  <si>
    <t>Joy (C)</t>
  </si>
  <si>
    <t>joy_gh123@yahoo.com</t>
  </si>
  <si>
    <t>Bunkura</t>
  </si>
  <si>
    <t>Alloy Steel Purpose</t>
  </si>
  <si>
    <t>1275K</t>
  </si>
  <si>
    <t>C2013205</t>
  </si>
  <si>
    <t>Dipak Krishnarao Chitode (C)</t>
  </si>
  <si>
    <t>dipak.chitode77@gmail.com</t>
  </si>
  <si>
    <t>Pharma Grade</t>
  </si>
  <si>
    <t>Rate not available yet. enquiry has send</t>
  </si>
  <si>
    <t>C2013204</t>
  </si>
  <si>
    <r>
      <rPr>
        <rFont val="Arial"/>
        <b/>
        <color theme="1"/>
      </rPr>
      <t>Mahasati Rolling Mills Ltd.</t>
    </r>
    <r>
      <rPr>
        <rFont val="Arial"/>
        <color theme="1"/>
      </rPr>
      <t xml:space="preserve"> (C)</t>
    </r>
  </si>
  <si>
    <t>guptapawankr@yahoo.co.in</t>
  </si>
  <si>
    <t>1274K</t>
  </si>
  <si>
    <t>05.10.2020</t>
  </si>
  <si>
    <t>P00052</t>
  </si>
  <si>
    <t>Own Business</t>
  </si>
  <si>
    <t>Zircon Sand,Bentonite Powder</t>
  </si>
  <si>
    <t>Each 500 kg(s)</t>
  </si>
  <si>
    <t>rabbani9874@gmail.com</t>
  </si>
  <si>
    <t>125/- 5%,11/- 5%</t>
  </si>
  <si>
    <t>125/-kg(s),11/-kg(s)</t>
  </si>
  <si>
    <t>1273K</t>
  </si>
  <si>
    <r>
      <rPr>
        <rFont val="Arial"/>
        <color theme="6"/>
      </rPr>
      <t>Party collect the sample our office 09/10</t>
    </r>
    <r>
      <rPr>
        <rFont val="Arial"/>
        <color theme="1"/>
      </rPr>
      <t>.</t>
    </r>
  </si>
  <si>
    <t>Party call back, and sample photocopy send.</t>
  </si>
  <si>
    <t>P00051</t>
  </si>
  <si>
    <t>Avik Saha</t>
  </si>
  <si>
    <t>sdtradeline@gmail.com</t>
  </si>
  <si>
    <t>1271K</t>
  </si>
  <si>
    <r>
      <rPr>
        <rFont val="Arial"/>
        <color theme="1"/>
      </rPr>
      <t>Party quotation send, order not confirmed,</t>
    </r>
    <r>
      <rPr>
        <rFont val="Arial"/>
        <color theme="7"/>
      </rPr>
      <t>reply -10-11 th.</t>
    </r>
  </si>
  <si>
    <t>Price high ..</t>
  </si>
  <si>
    <t>C2013203</t>
  </si>
  <si>
    <t>Sudipta Chakraborty</t>
  </si>
  <si>
    <t>Sudiptach03@gmail.com</t>
  </si>
  <si>
    <t>Jangipara</t>
  </si>
  <si>
    <t>11.25/-KG(S)</t>
  </si>
  <si>
    <t>1270K</t>
  </si>
  <si>
    <t>C2013202</t>
  </si>
  <si>
    <t>Sanjoy Maity</t>
  </si>
  <si>
    <t>sanjoymaity0635@gmail.com</t>
  </si>
  <si>
    <t>Ghatal</t>
  </si>
  <si>
    <t>1269K</t>
  </si>
  <si>
    <t>Partty Will Inform</t>
  </si>
  <si>
    <t>C2013201</t>
  </si>
  <si>
    <t>Nabhya Enterprise</t>
  </si>
  <si>
    <t>cmaanandagarwal@gmail.com</t>
  </si>
  <si>
    <t>1266K</t>
  </si>
  <si>
    <t>Party Require Only Sukjit Brand.</t>
  </si>
  <si>
    <t>C2013200</t>
  </si>
  <si>
    <t>Sahad</t>
  </si>
  <si>
    <t>sahad1966@gmail.com</t>
  </si>
  <si>
    <t>Customer has no requirement - Aniruddha</t>
  </si>
  <si>
    <t>C2013199</t>
  </si>
  <si>
    <t>Asit Sardar</t>
  </si>
  <si>
    <t>asits4421@gmail.com</t>
  </si>
  <si>
    <t>Call not Received</t>
  </si>
  <si>
    <t>C2013198</t>
  </si>
  <si>
    <t>Manoj Swarnkar</t>
  </si>
  <si>
    <t>Nitric Acid</t>
  </si>
  <si>
    <t>manojswarnkar83855@gmail.com</t>
  </si>
  <si>
    <t>Party Has No GST..So Rate Given Him Including Gst @ 41/-kg...Rate High.</t>
  </si>
  <si>
    <t>C2013197</t>
  </si>
  <si>
    <t>Sudhir Tiwari</t>
  </si>
  <si>
    <t>sudhir.flicker@gmail.com</t>
  </si>
  <si>
    <t>225/- Big Size 190/- Small Size Delivery 7-10 Days</t>
  </si>
  <si>
    <t>225/-kg(s),190/-kg(s)</t>
  </si>
  <si>
    <t>1272K</t>
  </si>
  <si>
    <t>Party require china material granules form and rate only@ 55/- (last purchase price).</t>
  </si>
  <si>
    <t>C2013196</t>
  </si>
  <si>
    <t>Amitabh</t>
  </si>
  <si>
    <t>Uses and Specification Needed</t>
  </si>
  <si>
    <t>03.10.2020</t>
  </si>
  <si>
    <t>C2013195</t>
  </si>
  <si>
    <t>Raju</t>
  </si>
  <si>
    <t>elyziuminterior@gmail.com</t>
  </si>
  <si>
    <t>7.50/-KG(S)/12.50/-KG(S)</t>
  </si>
  <si>
    <t>1262K/1268K</t>
  </si>
  <si>
    <t>C2013194</t>
  </si>
  <si>
    <t>Uday Bhowmick(C)</t>
  </si>
  <si>
    <t xml:space="preserve">Liquid Alum,                                  Non-Ferric alum,                       Poly aluminium chloride liq. </t>
  </si>
  <si>
    <t>Each product -1000kg.</t>
  </si>
  <si>
    <t>ranakrishhnabhowmick@gmail.com</t>
  </si>
  <si>
    <t>Uttarpara</t>
  </si>
  <si>
    <t xml:space="preserve">12/- ,Non Ferric Alum  17/- </t>
  </si>
  <si>
    <t>12/-KG(S)/17/-kg(s)</t>
  </si>
  <si>
    <t>1264K/1279K</t>
  </si>
  <si>
    <t>Party require also non- ferric alum - 1mt. and poly aluminium chloride liq. - 1mt.</t>
  </si>
  <si>
    <t>Parrty visited our office,and P.I. send,</t>
  </si>
  <si>
    <t>C2013193</t>
  </si>
  <si>
    <t>Hari Narayana Gupta</t>
  </si>
  <si>
    <t>www.hng@gmail.com</t>
  </si>
  <si>
    <t>15
(Minimum time 20 days After confirmation)</t>
  </si>
  <si>
    <t>Quote Rs 15+ Ex facotory Gujrat</t>
  </si>
  <si>
    <t>Not responding. As discussion need transportation cost to Vijaywada.</t>
  </si>
  <si>
    <t>C2013192</t>
  </si>
  <si>
    <r>
      <rPr>
        <rFont val="Arial"/>
        <b/>
        <color theme="1"/>
      </rPr>
      <t>Pranav Enterprise</t>
    </r>
    <r>
      <rPr>
        <rFont val="Arial"/>
        <color theme="1"/>
      </rPr>
      <t>(C)</t>
    </r>
  </si>
  <si>
    <t>yogesh@pranaventerprise.com</t>
  </si>
  <si>
    <t>Mumbai-400067</t>
  </si>
  <si>
    <t>Paint Purpose</t>
  </si>
  <si>
    <t>require for export.</t>
  </si>
  <si>
    <t>02.10.2020</t>
  </si>
  <si>
    <t>C2013191</t>
  </si>
  <si>
    <r>
      <rPr>
        <rFont val="Arial"/>
        <b/>
        <color theme="1"/>
      </rPr>
      <t>SS Traders</t>
    </r>
    <r>
      <rPr>
        <rFont val="Arial"/>
        <color theme="1"/>
      </rPr>
      <t>(c)</t>
    </r>
  </si>
  <si>
    <t>222/-</t>
  </si>
  <si>
    <t>222/-KG(S)</t>
  </si>
  <si>
    <t>1261K</t>
  </si>
  <si>
    <t>Party require Titanium Dioxide Silver ions. our side Sample bag packing photo copy send.</t>
  </si>
  <si>
    <t>Party don't agree to purchase our material.</t>
  </si>
  <si>
    <t>C2013190</t>
  </si>
  <si>
    <t>Balajee Chemical</t>
  </si>
  <si>
    <t>1260K</t>
  </si>
  <si>
    <t>party called back and gets price@14/- per kg.</t>
  </si>
  <si>
    <t>C2013189</t>
  </si>
  <si>
    <t>Patel Mayur (C)</t>
  </si>
  <si>
    <t>mayurpatel4497@gmail.com</t>
  </si>
  <si>
    <t>01.10.2020</t>
  </si>
  <si>
    <t>P00050</t>
  </si>
  <si>
    <t>Brihas</t>
  </si>
  <si>
    <t>Marble Chips</t>
  </si>
  <si>
    <t>liveinnpresence@gmail.com</t>
  </si>
  <si>
    <t>Tamil Nadu-605101</t>
  </si>
  <si>
    <t>952M</t>
  </si>
  <si>
    <t>Party reseller,so confirmed next week.</t>
  </si>
  <si>
    <t>C2013188</t>
  </si>
  <si>
    <t>Dinesh Jain(C)</t>
  </si>
  <si>
    <t>sales@divinecomposite.com</t>
  </si>
  <si>
    <t>Kolhapur-416202</t>
  </si>
  <si>
    <t>@295+ Ex Bhiwandi</t>
  </si>
  <si>
    <t>953M</t>
  </si>
  <si>
    <t>Purchasing locally @200</t>
  </si>
  <si>
    <t>P00049</t>
  </si>
  <si>
    <t>Adil</t>
  </si>
  <si>
    <t>adilrza418@gmail.com</t>
  </si>
  <si>
    <t>Ghaziabad</t>
  </si>
  <si>
    <r>
      <rPr>
        <rFont val="Arial"/>
      </rPr>
      <t xml:space="preserve">Uses and Specification Needed
</t>
    </r>
    <r>
      <rPr>
        <rFont val="Arial"/>
        <color rgb="FF1155CC"/>
        <u/>
      </rPr>
      <t>https://www.pristinemelamine.com/</t>
    </r>
  </si>
  <si>
    <t>C2013187</t>
  </si>
  <si>
    <t>Vijay Kamal Kishore(C)</t>
  </si>
  <si>
    <t>Borax Lumps</t>
  </si>
  <si>
    <t>vijayrajpal341@gmail.com</t>
  </si>
  <si>
    <t>Akola-444001</t>
  </si>
  <si>
    <t>@45+</t>
  </si>
  <si>
    <t>950M</t>
  </si>
  <si>
    <t>Buying  from delhi</t>
  </si>
  <si>
    <t>C2013186</t>
  </si>
  <si>
    <t>Md.Shahbaz</t>
  </si>
  <si>
    <t>Spirit</t>
  </si>
  <si>
    <t>md.shahbaz224@gmail.com</t>
  </si>
  <si>
    <t>64/-KG(S)</t>
  </si>
  <si>
    <t>1255K</t>
  </si>
  <si>
    <t xml:space="preserve">Rate High     </t>
  </si>
  <si>
    <t>C2013185</t>
  </si>
  <si>
    <t>Shristi Group Of Industry</t>
  </si>
  <si>
    <t>muskanrohit150@gmail.com</t>
  </si>
  <si>
    <t>500 Mess 8/- 5%, 300 Mess 7.50/- 5%</t>
  </si>
  <si>
    <t>8/-kg(s),7.50/-kg(s)</t>
  </si>
  <si>
    <t>1256K</t>
  </si>
  <si>
    <t>Party require calcium carbonate liquid,or require - BKC 80 - 200kg.</t>
  </si>
  <si>
    <t>30.09.2020</t>
  </si>
  <si>
    <t>C2013184</t>
  </si>
  <si>
    <t>Prosenjit Benerjee</t>
  </si>
  <si>
    <t>300 kg</t>
  </si>
  <si>
    <t>info@unichemglobal.com</t>
  </si>
  <si>
    <t>Kolkata, W.B.</t>
  </si>
  <si>
    <t>95/-kg</t>
  </si>
  <si>
    <t>1252K</t>
  </si>
  <si>
    <t>P00048</t>
  </si>
  <si>
    <t>Orind Steels Limited</t>
  </si>
  <si>
    <t>Fused Magnesite (96%-97%)</t>
  </si>
  <si>
    <t>5 Ton</t>
  </si>
  <si>
    <t>oslrk11@gmail.com</t>
  </si>
  <si>
    <t>Lathikata-770037</t>
  </si>
  <si>
    <t>Ball Mill Purpose</t>
  </si>
  <si>
    <t xml:space="preserve">30/- 5% </t>
  </si>
  <si>
    <t>1257K</t>
  </si>
  <si>
    <t>Send product list,and our quoted price is low,but order not confirmed.</t>
  </si>
  <si>
    <t>C2013183</t>
  </si>
  <si>
    <t>Matri Floors(C)</t>
  </si>
  <si>
    <t>aritrade91@gmail.com</t>
  </si>
  <si>
    <t>Kolkata-700157</t>
  </si>
  <si>
    <t>Tiles Manufacturing Purpose</t>
  </si>
  <si>
    <t>1253K</t>
  </si>
  <si>
    <t>C2013182</t>
  </si>
  <si>
    <t>Sodium Sulphide Flakes
Sodium Formate
Sodium Meta bi Sulfate</t>
  </si>
  <si>
    <t>5 Ton
2 Ton
2 Ton</t>
  </si>
  <si>
    <t>Leather Processing</t>
  </si>
  <si>
    <t>34/-,N/A,51/-</t>
  </si>
  <si>
    <t>34/-KG(S)
51/-KG(S)</t>
  </si>
  <si>
    <t>1250K</t>
  </si>
  <si>
    <t>Rate High.Target Price 25/-KG(S)</t>
  </si>
  <si>
    <t>P00047</t>
  </si>
  <si>
    <t>Pratap Trading Company</t>
  </si>
  <si>
    <t>500 kg</t>
  </si>
  <si>
    <t>chiragmadhogaria@gmail.com</t>
  </si>
  <si>
    <t>115
(Mixed 25 Kg bag)</t>
  </si>
  <si>
    <t>115/-KG(S)</t>
  </si>
  <si>
    <t>1251K</t>
  </si>
  <si>
    <t>Party gets @110/-(with GST) kolkata price.</t>
  </si>
  <si>
    <t>29.09.2020</t>
  </si>
  <si>
    <t>P00046</t>
  </si>
  <si>
    <t>R.P.M. Group of Company</t>
  </si>
  <si>
    <t>Sodium Silicate Powder        
Sodium Silicate Liquid        
Alpha olefin sulfonate Powder        
Dolomite Powder               
China Clay                
Soda Ash                
Caustic Soda</t>
  </si>
  <si>
    <t>200kg
200kg
200kg
5 Ton
5 Ton
200kg
50kg</t>
  </si>
  <si>
    <t>groupofcompanyrpm@gmail.com</t>
  </si>
  <si>
    <t>Chakdah, W.B.</t>
  </si>
  <si>
    <t>56/- , 20.50/-, N/A , 6.50/- 5%,6/- 5%,30/-,54/-</t>
  </si>
  <si>
    <t>56/-KG(S)
20.50/-KG(S)
110/-KG(S)
6.50/-KG(S)
6/-KG(S)
30/-KG(S)
54/-KG(S)</t>
  </si>
  <si>
    <t>1248K</t>
  </si>
  <si>
    <t xml:space="preserve">RATE HIGH </t>
  </si>
  <si>
    <t>C2013181</t>
  </si>
  <si>
    <t>Debjyoti</t>
  </si>
  <si>
    <t>1 Ton</t>
  </si>
  <si>
    <t>subhoakadeb1996@gmail.com</t>
  </si>
  <si>
    <t>Asansol, W.B.</t>
  </si>
  <si>
    <t>1254K</t>
  </si>
  <si>
    <t>ph. call not received</t>
  </si>
  <si>
    <t>Ph. switch off</t>
  </si>
  <si>
    <t>C2013180</t>
  </si>
  <si>
    <t>Agarwal Sales</t>
  </si>
  <si>
    <t>Chuna Powder</t>
  </si>
  <si>
    <t>10 Ton</t>
  </si>
  <si>
    <t>agarwalsales6@gmail.com</t>
  </si>
  <si>
    <t>Sahibganj, Jharkhand</t>
  </si>
  <si>
    <t>Construction Purpose</t>
  </si>
  <si>
    <t>6.5/- kg.</t>
  </si>
  <si>
    <t>1246K</t>
  </si>
  <si>
    <t>P00045</t>
  </si>
  <si>
    <t>J S Engineers &amp; Co.</t>
  </si>
  <si>
    <t>5 mt</t>
  </si>
  <si>
    <t>jseco98@gmail.com</t>
  </si>
  <si>
    <t>Kolkata-700019</t>
  </si>
  <si>
    <t>9230472207
9433311089</t>
  </si>
  <si>
    <t>21/- kg.</t>
  </si>
  <si>
    <t>1247K</t>
  </si>
  <si>
    <t>Party confirmed this week.</t>
  </si>
  <si>
    <t>Party repeated reply- after 3-4 days.</t>
  </si>
  <si>
    <t>P00044</t>
  </si>
  <si>
    <t>Unichem</t>
  </si>
  <si>
    <t>19/- kg.</t>
  </si>
  <si>
    <t>1244K</t>
  </si>
  <si>
    <t>Party received lowest quoted @14/- per kg.</t>
  </si>
  <si>
    <t>C2013179</t>
  </si>
  <si>
    <t>Debasis Gupta</t>
  </si>
  <si>
    <t>ddutta0112@gmail.com</t>
  </si>
  <si>
    <t>16/- kg.</t>
  </si>
  <si>
    <t>1243K</t>
  </si>
  <si>
    <t>Party purchase rate - @12/- per kg.</t>
  </si>
  <si>
    <t>P00043</t>
  </si>
  <si>
    <t>Ramkrishna Mission Asram</t>
  </si>
  <si>
    <t>100 kg</t>
  </si>
  <si>
    <t>jbnrkm@gmail.com</t>
  </si>
  <si>
    <t>Narendrapur-700103</t>
  </si>
  <si>
    <t>170/-</t>
  </si>
  <si>
    <t>170/- kg.</t>
  </si>
  <si>
    <t>1242K</t>
  </si>
  <si>
    <t>Party reply after 2-3 days.</t>
  </si>
  <si>
    <t>Order not confirmed, after puja.</t>
  </si>
  <si>
    <t>C2013178</t>
  </si>
  <si>
    <t>Sumit Doel</t>
  </si>
  <si>
    <t>Salt (Industrial Grade)(99% Purity)</t>
  </si>
  <si>
    <t>2 Ton</t>
  </si>
  <si>
    <t>sumitdoel002@gmail.com</t>
  </si>
  <si>
    <t>Bagur, W.B.</t>
  </si>
  <si>
    <t>Bleaching Purpose</t>
  </si>
  <si>
    <t>6.50/- kg.</t>
  </si>
  <si>
    <t>1241K</t>
  </si>
  <si>
    <t>party ph. call not received.(three time)</t>
  </si>
  <si>
    <t>P00042</t>
  </si>
  <si>
    <t>ACR Industries</t>
  </si>
  <si>
    <t xml:space="preserve">Row Petroleum Cock </t>
  </si>
  <si>
    <t>150 Ton</t>
  </si>
  <si>
    <t>indiahcr@gmail.com</t>
  </si>
  <si>
    <t>Karveer-416013</t>
  </si>
  <si>
    <t>28.09.2020</t>
  </si>
  <si>
    <t>C2013177</t>
  </si>
  <si>
    <t>Dual Tech Industries</t>
  </si>
  <si>
    <t>12 Ton</t>
  </si>
  <si>
    <t>melbindas@gmail.com</t>
  </si>
  <si>
    <t>Manufacturing Purpose</t>
  </si>
  <si>
    <t>949M</t>
  </si>
  <si>
    <t>Not responding. Pic &amp; COA send.</t>
  </si>
  <si>
    <t>Need sample of 80 mesh</t>
  </si>
  <si>
    <t>C2013176</t>
  </si>
  <si>
    <t>Ganguli Ceramics</t>
  </si>
  <si>
    <t>3 Ton</t>
  </si>
  <si>
    <t>ipsita.ganguliceramics@gmail.com</t>
  </si>
  <si>
    <t>6.20/-KG(S)</t>
  </si>
  <si>
    <t>1239K</t>
  </si>
  <si>
    <t>C2013175</t>
  </si>
  <si>
    <t>Deepu Rai</t>
  </si>
  <si>
    <t>Calcium Hydroxide Powder</t>
  </si>
  <si>
    <t>500 Ton</t>
  </si>
  <si>
    <t>gopalraj108@gmail.com</t>
  </si>
  <si>
    <t>Gorakhpur, U.P.</t>
  </si>
  <si>
    <t>7408134105 / 7905183836</t>
  </si>
  <si>
    <t>948M</t>
  </si>
  <si>
    <t>Customer Target Price 6.25/-KG, Let Us Soon.</t>
  </si>
  <si>
    <t>Revised Quotation sent @6.25+5%</t>
  </si>
  <si>
    <t>C2013174</t>
  </si>
  <si>
    <t>CITRON PHARMACEUTICALS PVT. LTD(C)</t>
  </si>
  <si>
    <t>Zinc Picolinate</t>
  </si>
  <si>
    <t>citronpharma@gmail.com</t>
  </si>
  <si>
    <t>Kolkata-700036</t>
  </si>
  <si>
    <t>Reselling for Medicinal purpose</t>
  </si>
  <si>
    <t>C2013173</t>
  </si>
  <si>
    <t>Hubli Extrusion Limited</t>
  </si>
  <si>
    <t>agarwalpk55@gmail.com</t>
  </si>
  <si>
    <t>Steel alloy furnace</t>
  </si>
  <si>
    <t>7.50/-  5 %</t>
  </si>
  <si>
    <t>1240K</t>
  </si>
  <si>
    <t>P.I. send dt. 13/10</t>
  </si>
  <si>
    <t>party want to be free delivery</t>
  </si>
  <si>
    <t>P00041</t>
  </si>
  <si>
    <t>Aqua Techno Engineering</t>
  </si>
  <si>
    <t>Pabbles 1.1/2" x1"   15 bag
Gravels  1" x1.1/4"   10 bag
Gravels  1"x1/2"       10 bag
Gravels  1/4"x3/4"   10 bag
Gravels  1/8" x1/16"   10 bag
Treated Sand 30 bag</t>
  </si>
  <si>
    <t>4.25 Ton</t>
  </si>
  <si>
    <t>aquatechnoenginering@gmail.com</t>
  </si>
  <si>
    <t>Kolkata-700033</t>
  </si>
  <si>
    <t>C2013172</t>
  </si>
  <si>
    <t>Vibgyor Poly-tech Pvt. Ltd.</t>
  </si>
  <si>
    <t>Potassium Silicate Liquid</t>
  </si>
  <si>
    <t>250 Kg</t>
  </si>
  <si>
    <t>monigopal.chakraborty@gmail.com</t>
  </si>
  <si>
    <t>Kolkata-700032</t>
  </si>
  <si>
    <t>65 + 18%</t>
  </si>
  <si>
    <t>65/- kg.</t>
  </si>
  <si>
    <t xml:space="preserve">1245K
</t>
  </si>
  <si>
    <t>Party gets lowest price @35/-  so lost.</t>
  </si>
  <si>
    <t>C2013171</t>
  </si>
  <si>
    <t>Kamakhya Dresses</t>
  </si>
  <si>
    <t>26 Ton</t>
  </si>
  <si>
    <t>sankho.deep07@gmail.com</t>
  </si>
  <si>
    <t>C2013170</t>
  </si>
  <si>
    <t>Swamini Enterprises</t>
  </si>
  <si>
    <t>Glass Powder (200 Mesh)</t>
  </si>
  <si>
    <t>ganesh.gadekar1985@gmail.com</t>
  </si>
  <si>
    <t>Shirdi-423109</t>
  </si>
  <si>
    <t>947M</t>
  </si>
  <si>
    <t>Require for R&amp;D purpose sample first.</t>
  </si>
  <si>
    <t>50kg @60</t>
  </si>
  <si>
    <t>C2013169</t>
  </si>
  <si>
    <t>SS Khan</t>
  </si>
  <si>
    <t xml:space="preserve">Sodium Silicate Liquid </t>
  </si>
  <si>
    <t>khansabirsultan@gmail.com</t>
  </si>
  <si>
    <t>1237K</t>
  </si>
  <si>
    <t>Material Dispatch Tomorrow.</t>
  </si>
  <si>
    <t>26.09.2020</t>
  </si>
  <si>
    <t>P00040</t>
  </si>
  <si>
    <t>Mohsin Syed</t>
  </si>
  <si>
    <t>Temarind seed Powder (Valcocity about 60%)</t>
  </si>
  <si>
    <t>7 Ton</t>
  </si>
  <si>
    <t>syedmohsin63@gmail.com</t>
  </si>
  <si>
    <t>45/-</t>
  </si>
  <si>
    <t>1238K</t>
  </si>
  <si>
    <t>party reply shortly.( Old party)</t>
  </si>
  <si>
    <t>Party gets price @31.50/- from (Roipur)</t>
  </si>
  <si>
    <t>C2013168</t>
  </si>
  <si>
    <t>DIPAK CHAKRABORTY</t>
  </si>
  <si>
    <t>dchakraborty111@gmail.com</t>
  </si>
  <si>
    <t>Dhulagarh, W.B.</t>
  </si>
  <si>
    <t>24.50/- 5%</t>
  </si>
  <si>
    <t>1233K</t>
  </si>
  <si>
    <t>Party require only 100 mesh powder</t>
  </si>
  <si>
    <t>Send Specification by mail.</t>
  </si>
  <si>
    <t>C2013167</t>
  </si>
  <si>
    <t>M/S OMEX INTERNATIONAL(C)</t>
  </si>
  <si>
    <t>Metal Polising Purpose</t>
  </si>
  <si>
    <t>1234K</t>
  </si>
  <si>
    <t>Party purchase price @40/- per kg.</t>
  </si>
  <si>
    <t>C2013166</t>
  </si>
  <si>
    <t>Monojit Debnath</t>
  </si>
  <si>
    <t>monodebnath@gmail.com</t>
  </si>
  <si>
    <t>Kalyani-741235</t>
  </si>
  <si>
    <t>Colour Purpose</t>
  </si>
  <si>
    <t>1231K</t>
  </si>
  <si>
    <t>Party Will Come Day After Tomorrow</t>
  </si>
  <si>
    <t>Material Not Matched.</t>
  </si>
  <si>
    <t>C2013165</t>
  </si>
  <si>
    <t>Kanoi Traders(C)</t>
  </si>
  <si>
    <t>200 kg</t>
  </si>
  <si>
    <t>kanoitraders_65@rediffmail.com</t>
  </si>
  <si>
    <t>Transformaer purpose</t>
  </si>
  <si>
    <t xml:space="preserve">Silica Gel 10 Gram Pouch  107/-     Silica Gel 5 Gram Pouch 130/-   </t>
  </si>
  <si>
    <t>107/-,130/-</t>
  </si>
  <si>
    <t>1235K</t>
  </si>
  <si>
    <t>Send sample photocopy.</t>
  </si>
  <si>
    <t>Party reseller so that order not confirmed.</t>
  </si>
  <si>
    <t>C2013164</t>
  </si>
  <si>
    <t>Mahadev Sinclair Inc.(C)</t>
  </si>
  <si>
    <t>info@mahadevsinclair.com</t>
  </si>
  <si>
    <t>Ahmedabad-380015</t>
  </si>
  <si>
    <t>Export Quality( Surface polishing)</t>
  </si>
  <si>
    <t>945M</t>
  </si>
  <si>
    <t>Send pic and coa through whatsup</t>
  </si>
  <si>
    <t>C2013163</t>
  </si>
  <si>
    <t>Mahalaxmi Food Products(C)</t>
  </si>
  <si>
    <t xml:space="preserve">500 kg </t>
  </si>
  <si>
    <t>vishalkumargupta203@gmail.com</t>
  </si>
  <si>
    <t>Kolkata-700067</t>
  </si>
  <si>
    <t>Food Grade (Required Mangalam Brand &amp; less then 850rs/kg)</t>
  </si>
  <si>
    <t>1236K</t>
  </si>
  <si>
    <t>Party require after 15 days</t>
  </si>
  <si>
    <t>C2013162</t>
  </si>
  <si>
    <t>Mazhar And Compan(C)</t>
  </si>
  <si>
    <t>mzhkhan143@gmail.com</t>
  </si>
  <si>
    <t>Kolkata-711101</t>
  </si>
  <si>
    <t>1230K</t>
  </si>
  <si>
    <t>C2013161</t>
  </si>
  <si>
    <t>SANTOSH THOMBARE</t>
  </si>
  <si>
    <t>Sodium Perborate</t>
  </si>
  <si>
    <t>santoshthombare242@gmail.com</t>
  </si>
  <si>
    <t>Party Target Price 115/-KG(S).So Lost</t>
  </si>
  <si>
    <t>25.09.2020</t>
  </si>
  <si>
    <t>C2013160</t>
  </si>
  <si>
    <t>Anil Singhania (C)</t>
  </si>
  <si>
    <t>Manganese Ore,Ferro Manganese Ore</t>
  </si>
  <si>
    <t>Each Item 50 Ton(s)</t>
  </si>
  <si>
    <t>iccibdi@yahoo.com</t>
  </si>
  <si>
    <t>Mumbai-400003</t>
  </si>
  <si>
    <t>C2013159</t>
  </si>
  <si>
    <t>Pritesh Hariprasad Patel (C)</t>
  </si>
  <si>
    <t>priteshpatel1008@gmail.com</t>
  </si>
  <si>
    <t>Godhra-389001</t>
  </si>
  <si>
    <t>@15+</t>
  </si>
  <si>
    <t>Will call for further order.</t>
  </si>
  <si>
    <t>C2013158</t>
  </si>
  <si>
    <t>Akay Vartar Dar (C)</t>
  </si>
  <si>
    <t>PVC Compounds</t>
  </si>
  <si>
    <t>situ3194@gmail.com</t>
  </si>
  <si>
    <t>Cable Making Purpose</t>
  </si>
  <si>
    <t>C2013157</t>
  </si>
  <si>
    <t>Dual Tech Industries (C)</t>
  </si>
  <si>
    <t>White Glass Powder</t>
  </si>
  <si>
    <t>Kollam</t>
  </si>
  <si>
    <t>Epoxy Making Purpose</t>
  </si>
  <si>
    <t>942M</t>
  </si>
  <si>
    <t>Need sample 80 mesh</t>
  </si>
  <si>
    <t>C2013156</t>
  </si>
  <si>
    <t>Subhankar (C)</t>
  </si>
  <si>
    <t>subhankar198603@gmail.com</t>
  </si>
  <si>
    <t>House Construction Purpose</t>
  </si>
  <si>
    <t>1225K</t>
  </si>
  <si>
    <t>C2013155</t>
  </si>
  <si>
    <t>Yogendra Pratap Singh (C)</t>
  </si>
  <si>
    <t>singhyogendrapratap432@gmail.com</t>
  </si>
  <si>
    <t>Graphite Plate Purpose</t>
  </si>
  <si>
    <t>1226K</t>
  </si>
  <si>
    <t>Send specification ,party reply shortly.</t>
  </si>
  <si>
    <t>quotation send by whatups.</t>
  </si>
  <si>
    <t>C2013154</t>
  </si>
  <si>
    <t>Pioneer Chemicals Industries</t>
  </si>
  <si>
    <t>prodipmandalrupalee@gmail.com</t>
  </si>
  <si>
    <t>1229K</t>
  </si>
  <si>
    <t>Rate High,Party Purchase Rate 65/-</t>
  </si>
  <si>
    <t>C2013153</t>
  </si>
  <si>
    <t>Protech Industries (C)</t>
  </si>
  <si>
    <t>protechcbe@gmail.com</t>
  </si>
  <si>
    <t>Coimbatore - 641022</t>
  </si>
  <si>
    <t xml:space="preserve">Mixed With Refactory Material </t>
  </si>
  <si>
    <t>Q @20+</t>
  </si>
  <si>
    <t>944M</t>
  </si>
  <si>
    <t>Purchasing Loaclly @14 White Colour material.</t>
  </si>
  <si>
    <t>24.09.2020</t>
  </si>
  <si>
    <t>C2013152</t>
  </si>
  <si>
    <t>AMONIUM ALUM</t>
  </si>
  <si>
    <t>300 Ton</t>
  </si>
  <si>
    <t>Salon Purpose</t>
  </si>
  <si>
    <t>15
(Minimum time 1 month)</t>
  </si>
  <si>
    <t>1227K</t>
  </si>
  <si>
    <t>Party confirmed next week Monday.</t>
  </si>
  <si>
    <t>Purchase price@13.50/-</t>
  </si>
  <si>
    <t>C2013151</t>
  </si>
  <si>
    <t>Roysons Ceramics Pvt Ltd</t>
  </si>
  <si>
    <t>Petroleum Coke</t>
  </si>
  <si>
    <t>50 Ton</t>
  </si>
  <si>
    <t>roysonsgroup@gmail.com</t>
  </si>
  <si>
    <t>P00039</t>
  </si>
  <si>
    <t>Sreikrishna Minerals</t>
  </si>
  <si>
    <t>Gypsum Powder, Calcined Alumina, Sodium Tri Polyphosphate</t>
  </si>
  <si>
    <t>60 Ton (20 Ton each)</t>
  </si>
  <si>
    <t>shrikrishnaminerals99@gmail.com</t>
  </si>
  <si>
    <t>Durgapur, W.B.</t>
  </si>
  <si>
    <t>8/- 5%,57.25/-,75/-</t>
  </si>
  <si>
    <t>C2013150</t>
  </si>
  <si>
    <t>Gs Private Limited</t>
  </si>
  <si>
    <t>sanjib.bain3102@gmail.com</t>
  </si>
  <si>
    <t>Machlandapur-743247</t>
  </si>
  <si>
    <t>Agarbatti Making</t>
  </si>
  <si>
    <t>1222K</t>
  </si>
  <si>
    <t>Party Will Come Next Week</t>
  </si>
  <si>
    <t>C2013149</t>
  </si>
  <si>
    <t>1221K</t>
  </si>
  <si>
    <t xml:space="preserve">Party require dry and granules forms, reply shortly. </t>
  </si>
  <si>
    <t>C2013148</t>
  </si>
  <si>
    <t>Gurpreet Marketing(C)</t>
  </si>
  <si>
    <t>gulab.hemnani79@gmail.com</t>
  </si>
  <si>
    <t>Raipur, Chhattisgarh</t>
  </si>
  <si>
    <t>Plywood Industries</t>
  </si>
  <si>
    <t>250
(Imported turkey)</t>
  </si>
  <si>
    <t>250/-KG(S)</t>
  </si>
  <si>
    <t>941M</t>
  </si>
  <si>
    <t>Not responding</t>
  </si>
  <si>
    <t>C2013147</t>
  </si>
  <si>
    <t>KRT Coke And Coal Traders(C)</t>
  </si>
  <si>
    <t>Met Coke (10mm to 25mm)</t>
  </si>
  <si>
    <t>100 Ton</t>
  </si>
  <si>
    <t>kkkonish8@yahoo.com</t>
  </si>
  <si>
    <t>15
(8-25mm)
17.5
(12-25mm)</t>
  </si>
  <si>
    <t>1224M</t>
  </si>
  <si>
    <t>Ph. call do not connect.(three time)</t>
  </si>
  <si>
    <t>C2013146</t>
  </si>
  <si>
    <t>UR Vision Enterprises(C)</t>
  </si>
  <si>
    <t>5000 Pice(3gm &amp; 5gm)</t>
  </si>
  <si>
    <t>rspatne@gmail.com</t>
  </si>
  <si>
    <t>Pune, M.H.</t>
  </si>
  <si>
    <t>Food Preservation</t>
  </si>
  <si>
    <t>3.5 (3gm)
4.5 (5gm)</t>
  </si>
  <si>
    <t>3.50/-pcs,4.50/-pcs</t>
  </si>
  <si>
    <t>939M</t>
  </si>
  <si>
    <t>C2013145</t>
  </si>
  <si>
    <t>Hemadri Chemicals</t>
  </si>
  <si>
    <t>4.5 Ton</t>
  </si>
  <si>
    <t>1hemadrichemicals@gmail.com</t>
  </si>
  <si>
    <t>Mumbai-400080</t>
  </si>
  <si>
    <t>@245</t>
  </si>
  <si>
    <t>938M</t>
  </si>
  <si>
    <t xml:space="preserve">Quote Rs </t>
  </si>
  <si>
    <t>C2013144</t>
  </si>
  <si>
    <t>ADH Chemicals Pvt.Ltd.</t>
  </si>
  <si>
    <t>113/-KG(S)</t>
  </si>
  <si>
    <t>1223K</t>
  </si>
  <si>
    <t>Party gets lowest price @82/-(Turkey 0% moisture)</t>
  </si>
  <si>
    <t>23.09.2020</t>
  </si>
  <si>
    <t>C2013143</t>
  </si>
  <si>
    <t>Sanjib Dutta(C)</t>
  </si>
  <si>
    <t>duttasanjib261@gmail.com</t>
  </si>
  <si>
    <t>Midnapur, W.B.</t>
  </si>
  <si>
    <t>1220K</t>
  </si>
  <si>
    <t>Send agro product list, party reply after 2-3 days.</t>
  </si>
  <si>
    <t>C2013142</t>
  </si>
  <si>
    <t>Shree Karni Chemicals(C)</t>
  </si>
  <si>
    <t>6 Ton</t>
  </si>
  <si>
    <t>shreeram8722@gmail.com</t>
  </si>
  <si>
    <t>Jaipur-302012</t>
  </si>
  <si>
    <t>Q Rs 75 + Ex Bhiwandi</t>
  </si>
  <si>
    <t>937M</t>
  </si>
  <si>
    <t>COA send through  Whats up</t>
  </si>
  <si>
    <t>C2013141</t>
  </si>
  <si>
    <t>Gesture Events(C)</t>
  </si>
  <si>
    <t>2000 Ton</t>
  </si>
  <si>
    <t>gawdedeepika4@gmail.com</t>
  </si>
  <si>
    <t>Mumbai, M.H.</t>
  </si>
  <si>
    <t>Export from Dhaka...Bangladesh</t>
  </si>
  <si>
    <t>Export not possible of Molasses</t>
  </si>
  <si>
    <t>C2013140</t>
  </si>
  <si>
    <t>Anaaira Exim Pvt Ltd(C)</t>
  </si>
  <si>
    <t>Charcoal Lump</t>
  </si>
  <si>
    <t>rajdhruti@gmail.com</t>
  </si>
  <si>
    <t>Q Rs 30</t>
  </si>
  <si>
    <t>936M</t>
  </si>
  <si>
    <t>C2013139</t>
  </si>
  <si>
    <t>SPN Tec</t>
  </si>
  <si>
    <t>Methanol Liquid</t>
  </si>
  <si>
    <t>spntechnology@gmail.com</t>
  </si>
  <si>
    <t>48.50/-</t>
  </si>
  <si>
    <t>48.50/-KG(S)</t>
  </si>
  <si>
    <t>1219K</t>
  </si>
  <si>
    <t>Party Facing Some Personal Problem.He Will Inform Few Days Later</t>
  </si>
  <si>
    <t>C2013138</t>
  </si>
  <si>
    <t>Ram Chemical</t>
  </si>
  <si>
    <t>piyushmfultariya95@gmail.com</t>
  </si>
  <si>
    <t>Morbi, Gujarat</t>
  </si>
  <si>
    <t>Pesticides Purpose</t>
  </si>
  <si>
    <t>Q Rs 65+ delivery extra</t>
  </si>
  <si>
    <t>935M</t>
  </si>
  <si>
    <t>Quote for 20 Mt</t>
  </si>
  <si>
    <t>C2013137</t>
  </si>
  <si>
    <t>Suba Exports(C)</t>
  </si>
  <si>
    <t>Kolkata - 700135</t>
  </si>
  <si>
    <t>1218K</t>
  </si>
  <si>
    <t>Party require 16-30 size,for construction uses.</t>
  </si>
  <si>
    <t>C2013136</t>
  </si>
  <si>
    <t>Rishi Enterprise</t>
  </si>
  <si>
    <t>Quartz Sand (White)</t>
  </si>
  <si>
    <t>tarakrt4@gmail.com</t>
  </si>
  <si>
    <t>Gopalpur-700135</t>
  </si>
  <si>
    <t>1217K</t>
  </si>
  <si>
    <t>Send photo copy of Silica sand.</t>
  </si>
  <si>
    <t>C2013135</t>
  </si>
  <si>
    <t>R Sharma</t>
  </si>
  <si>
    <t>40 Ton</t>
  </si>
  <si>
    <t>sr.rajendrawww@gmail.com</t>
  </si>
  <si>
    <t>C2013134</t>
  </si>
  <si>
    <t>Narayana Traders</t>
  </si>
  <si>
    <t>narayanitrading2020@gmail.com</t>
  </si>
  <si>
    <t>Hooghly, W.B.</t>
  </si>
  <si>
    <t>Farming Purpose</t>
  </si>
  <si>
    <t>1216K</t>
  </si>
  <si>
    <t>Party require agriculture grade Rate- @8.50/-.</t>
  </si>
  <si>
    <t>22.09.2020</t>
  </si>
  <si>
    <t>P00038</t>
  </si>
  <si>
    <t>Ganges Geo Resources Pvt Ltd</t>
  </si>
  <si>
    <t>Mumbai 400097</t>
  </si>
  <si>
    <t>Q @65 +</t>
  </si>
  <si>
    <t>Need sample first.</t>
  </si>
  <si>
    <t>P00037</t>
  </si>
  <si>
    <t>neha@zerocircle.in</t>
  </si>
  <si>
    <t>Manufacturing</t>
  </si>
  <si>
    <t>850/-</t>
  </si>
  <si>
    <t>850/-KG(S)</t>
  </si>
  <si>
    <t>933M</t>
  </si>
  <si>
    <t xml:space="preserve">require mumbai address,so that transfer to vivek da. </t>
  </si>
  <si>
    <t>P00036</t>
  </si>
  <si>
    <t>8 MT</t>
  </si>
  <si>
    <t>Aurangabad, M.H.</t>
  </si>
  <si>
    <t>P00035</t>
  </si>
  <si>
    <t>Vaishali Enterprises</t>
  </si>
  <si>
    <t>Lead</t>
  </si>
  <si>
    <t>vaishalitrademart@gmail.com</t>
  </si>
  <si>
    <t>Jaipur-21</t>
  </si>
  <si>
    <t>Battery Industry</t>
  </si>
  <si>
    <t>C2013133</t>
  </si>
  <si>
    <t>SGI Enginers Pvt Limited</t>
  </si>
  <si>
    <t>Wood Charcoal Powder</t>
  </si>
  <si>
    <t>purchases@sgihouse.in</t>
  </si>
  <si>
    <t>934M</t>
  </si>
  <si>
    <t>Need sample. Require for Earthing</t>
  </si>
  <si>
    <t>C2013132</t>
  </si>
  <si>
    <t>Solang Power Tech Ltd</t>
  </si>
  <si>
    <t>US Pet Coke</t>
  </si>
  <si>
    <t>1000 Ton</t>
  </si>
  <si>
    <t>joy.solangep@gmail.com</t>
  </si>
  <si>
    <t>C2013131</t>
  </si>
  <si>
    <t>Raj Entreprises(C)</t>
  </si>
  <si>
    <t>mojiburdewan1234@gmail.com</t>
  </si>
  <si>
    <t>Bankura, W.B.</t>
  </si>
  <si>
    <t>Wood Board Manufacturing</t>
  </si>
  <si>
    <t>7.5/-KG(S)</t>
  </si>
  <si>
    <t>1211K</t>
  </si>
  <si>
    <t>Party reply after 3 days..</t>
  </si>
  <si>
    <t>C2013130</t>
  </si>
  <si>
    <t>Venkat</t>
  </si>
  <si>
    <t>20 Ton</t>
  </si>
  <si>
    <t>venkatarao1986@gmail.com</t>
  </si>
  <si>
    <t>Murshidabad, W.B.</t>
  </si>
  <si>
    <t>4.20/-</t>
  </si>
  <si>
    <t>4.20/-KG(S)</t>
  </si>
  <si>
    <t>1212K</t>
  </si>
  <si>
    <t>Mail not find,party reply shortly</t>
  </si>
  <si>
    <t xml:space="preserve">Party interested are local purchase. </t>
  </si>
  <si>
    <t>C2013129</t>
  </si>
  <si>
    <t>MVS Formulations</t>
  </si>
  <si>
    <t>Calcium Peroxide Powder</t>
  </si>
  <si>
    <t>mvsformulations@gmail.com</t>
  </si>
  <si>
    <t>Hyderabad-500055</t>
  </si>
  <si>
    <t>C2013128</t>
  </si>
  <si>
    <t>Rajlaxmi Enterprise</t>
  </si>
  <si>
    <t>rajibkar9@gmail.com</t>
  </si>
  <si>
    <t>Kolkata-700047</t>
  </si>
  <si>
    <t>3
(35-40 Mesh)
Foundry Grade</t>
  </si>
  <si>
    <t>3/-KG(S)</t>
  </si>
  <si>
    <t>1215K</t>
  </si>
  <si>
    <t>Party reseller, and expected rate- Rs.3-4/- per kg.</t>
  </si>
  <si>
    <t>C2013127</t>
  </si>
  <si>
    <t>Standard Incorporated</t>
  </si>
  <si>
    <t>info@standardinc.in</t>
  </si>
  <si>
    <t>Mumbai - 400070</t>
  </si>
  <si>
    <t>Q @20 +</t>
  </si>
  <si>
    <t>932M</t>
  </si>
  <si>
    <t>C2013126</t>
  </si>
  <si>
    <t>Sazaj Impact</t>
  </si>
  <si>
    <t>Zinc Hydroxide Powder</t>
  </si>
  <si>
    <t>bpatel1972@gmail.com</t>
  </si>
  <si>
    <t>Ahmedabad, Gujarat</t>
  </si>
  <si>
    <t>@ @65+</t>
  </si>
  <si>
    <t>931M</t>
  </si>
  <si>
    <t>test report send through whatsup</t>
  </si>
  <si>
    <t>21.09.2020</t>
  </si>
  <si>
    <t>C2013125</t>
  </si>
  <si>
    <t>Multicoats Coating Technology Pvt Ltd</t>
  </si>
  <si>
    <t>Black Iron Oxide powder</t>
  </si>
  <si>
    <t>npaul@multicoats.com</t>
  </si>
  <si>
    <t>Paints Puropose</t>
  </si>
  <si>
    <t>C2013124</t>
  </si>
  <si>
    <t>Arbi International</t>
  </si>
  <si>
    <t>Petcoke</t>
  </si>
  <si>
    <t>20000 Ton</t>
  </si>
  <si>
    <t>sb443992@gmail.com</t>
  </si>
  <si>
    <t>Kolkata - 700060</t>
  </si>
  <si>
    <t>C2013123</t>
  </si>
  <si>
    <t>Subhradip Sarkar(C)</t>
  </si>
  <si>
    <t>pradipsarkarphyso68@gmail.com</t>
  </si>
  <si>
    <t>Budge budge, W.B.</t>
  </si>
  <si>
    <t>1210K</t>
  </si>
  <si>
    <t>P00034</t>
  </si>
  <si>
    <t>Laboratory</t>
  </si>
  <si>
    <t>Methyl Parabin
Propyl Parabin</t>
  </si>
  <si>
    <t>200 kg
200 kg</t>
  </si>
  <si>
    <t>laboratory@gmail.com</t>
  </si>
  <si>
    <t>C2013122</t>
  </si>
  <si>
    <t>Fiber Chem Pvt. Ltd.(C)</t>
  </si>
  <si>
    <t>pramod.tambe26@yahoo.com</t>
  </si>
  <si>
    <t xml:space="preserve">Concrite Purpose </t>
  </si>
  <si>
    <t>930M</t>
  </si>
  <si>
    <t>As per discussion Quote Rs 20 per kg</t>
  </si>
  <si>
    <t>C2013121</t>
  </si>
  <si>
    <t>Resources Rasayan Pvt. Ltd.(C)</t>
  </si>
  <si>
    <t>shubhampatil1607@gmail.com</t>
  </si>
  <si>
    <t>Nashik, M.H.</t>
  </si>
  <si>
    <t>Cattle Feed Purpose</t>
  </si>
  <si>
    <t>929M</t>
  </si>
  <si>
    <t>C2013120</t>
  </si>
  <si>
    <t>Sundara Moorthy</t>
  </si>
  <si>
    <t>125 Ton</t>
  </si>
  <si>
    <t>sundarmoorthi1775@gmail.com</t>
  </si>
  <si>
    <t>Chennai, T.N.</t>
  </si>
  <si>
    <t>28
(Imported Iran)</t>
  </si>
  <si>
    <t>928M</t>
  </si>
  <si>
    <t>C2013119</t>
  </si>
  <si>
    <t>Harsh Trading Co</t>
  </si>
  <si>
    <t>Crude Glycerine</t>
  </si>
  <si>
    <t>harshtradingco2005@gmail.com</t>
  </si>
  <si>
    <t>96/-</t>
  </si>
  <si>
    <t>96/-KG(S)</t>
  </si>
  <si>
    <t>1208K</t>
  </si>
  <si>
    <t>Party requirement fulfill.</t>
  </si>
  <si>
    <t>Need Crude Benjole taking it from Durgapur</t>
  </si>
  <si>
    <t>C2013118</t>
  </si>
  <si>
    <t>Kyu Life Sciences Private Limited(C)</t>
  </si>
  <si>
    <t>10000 Ton</t>
  </si>
  <si>
    <t>exportskyu@gmail.com</t>
  </si>
  <si>
    <t>Kolkata - 700023</t>
  </si>
  <si>
    <t>C2013117</t>
  </si>
  <si>
    <t>Akshay Sabale</t>
  </si>
  <si>
    <t>sabaleakshay92@gmail.com</t>
  </si>
  <si>
    <t>Pune,M.H.</t>
  </si>
  <si>
    <t>927M</t>
  </si>
  <si>
    <t>C2013116</t>
  </si>
  <si>
    <t>Universal Logistics</t>
  </si>
  <si>
    <t>Rectified Spirit</t>
  </si>
  <si>
    <t>abrahmashree@gmail.com</t>
  </si>
  <si>
    <t>Howrah, W.B.</t>
  </si>
  <si>
    <t>Industrial Puropose</t>
  </si>
  <si>
    <t>1207K</t>
  </si>
  <si>
    <t>C2013115</t>
  </si>
  <si>
    <t>Base Metal</t>
  </si>
  <si>
    <t>livewire1953@gmail.com</t>
  </si>
  <si>
    <t>Rubber Purpose</t>
  </si>
  <si>
    <t>7777094577 Rajesh Sanghvi test report send on Whats up</t>
  </si>
  <si>
    <t>Getting below Rs 50</t>
  </si>
  <si>
    <t>C2013114</t>
  </si>
  <si>
    <t>Utpal Roy</t>
  </si>
  <si>
    <t>Urea (Ujjwala Brand)</t>
  </si>
  <si>
    <t>utpalroy.2k@gmail.com</t>
  </si>
  <si>
    <t>Fertilizer Purpose</t>
  </si>
  <si>
    <t>19.09.2020</t>
  </si>
  <si>
    <t>C2013113</t>
  </si>
  <si>
    <t>Jain Hardware Store(C)</t>
  </si>
  <si>
    <t>Asbestos Fluffy</t>
  </si>
  <si>
    <t>manikjain426@gmail.com</t>
  </si>
  <si>
    <t>Dibrugarh, Assam</t>
  </si>
  <si>
    <t>Use for Tea Bag</t>
  </si>
  <si>
    <t>C2013112</t>
  </si>
  <si>
    <t>krishnachemicals05@gmail.com</t>
  </si>
  <si>
    <t>133
(65-70%)</t>
  </si>
  <si>
    <t>133/-KG(S)</t>
  </si>
  <si>
    <t>926M</t>
  </si>
  <si>
    <t>Party will check and update</t>
  </si>
  <si>
    <t>C2013111</t>
  </si>
  <si>
    <t>Nameera Enterprises(C)</t>
  </si>
  <si>
    <t>shaikjilan011@gmail.com</t>
  </si>
  <si>
    <t>Anantapur, A.P.</t>
  </si>
  <si>
    <t>Gas Welding Purpose</t>
  </si>
  <si>
    <t>83/-KG(S)</t>
  </si>
  <si>
    <t>925M</t>
  </si>
  <si>
    <t>Purchasing Locally @80 Including</t>
  </si>
  <si>
    <t>C2013110</t>
  </si>
  <si>
    <t>Ankita Plast Industries(C)</t>
  </si>
  <si>
    <t>30000 pice (10gm)</t>
  </si>
  <si>
    <t>cvijapure@gmail.com</t>
  </si>
  <si>
    <t>Pune-412208</t>
  </si>
  <si>
    <t>Fod Preservation</t>
  </si>
  <si>
    <t>Same As C2013102.Same Party</t>
  </si>
  <si>
    <t>C2013109</t>
  </si>
  <si>
    <t>Vinayak Sales</t>
  </si>
  <si>
    <t>Boric Acid(Endoborax/Morarji)</t>
  </si>
  <si>
    <t>shubhamheliwal@gmail.com</t>
  </si>
  <si>
    <t>Firnace Purpose</t>
  </si>
  <si>
    <t>75/-</t>
  </si>
  <si>
    <t>75/-KG(S)</t>
  </si>
  <si>
    <t>1206K</t>
  </si>
  <si>
    <t>C2013108</t>
  </si>
  <si>
    <t>Biswajit Halder(C)</t>
  </si>
  <si>
    <t>4 Ton</t>
  </si>
  <si>
    <t>halderbiswajit@gmail.com</t>
  </si>
  <si>
    <t>1205K</t>
  </si>
  <si>
    <t>Party purchase rate - @4.80/- per kg.</t>
  </si>
  <si>
    <t>C2013107</t>
  </si>
  <si>
    <t>Paramjeet</t>
  </si>
  <si>
    <t>Biodiesel</t>
  </si>
  <si>
    <t>pam5553@gmail.com</t>
  </si>
  <si>
    <t>C2013106</t>
  </si>
  <si>
    <t>Naina Paint Land(C)</t>
  </si>
  <si>
    <t>ak671531@gmail.com</t>
  </si>
  <si>
    <t>Mysore, Karnataka</t>
  </si>
  <si>
    <t>Welding Purpose</t>
  </si>
  <si>
    <t>924M</t>
  </si>
  <si>
    <t>C2013105</t>
  </si>
  <si>
    <t>Fun form work</t>
  </si>
  <si>
    <t>Grounding Salt (Thejasalt comp.)</t>
  </si>
  <si>
    <t>kiranp365@gmail.com</t>
  </si>
  <si>
    <t>Bengaluru-560073</t>
  </si>
  <si>
    <t>C2013104</t>
  </si>
  <si>
    <t>J. N International</t>
  </si>
  <si>
    <t>2.5 Ton</t>
  </si>
  <si>
    <t>jenexp@hotmail.com, bindra@jnintl.com</t>
  </si>
  <si>
    <t>Mumbai-400065</t>
  </si>
  <si>
    <t>Customer Will Send The Spacification On Monday</t>
  </si>
  <si>
    <t>No requirement</t>
  </si>
  <si>
    <t>C2013103</t>
  </si>
  <si>
    <t>Zulqar Enterprise(C)</t>
  </si>
  <si>
    <t>15 Ton</t>
  </si>
  <si>
    <t>zulqarkhan001@gmail.com</t>
  </si>
  <si>
    <t>Topsia, W.B.</t>
  </si>
  <si>
    <t>Making Thinner, Paint, Eather etc...</t>
  </si>
  <si>
    <t>36/-</t>
  </si>
  <si>
    <t>36/-KG(S)</t>
  </si>
  <si>
    <t>1204K</t>
  </si>
  <si>
    <t>Phone Switch Off.</t>
  </si>
  <si>
    <t>18.09.2020</t>
  </si>
  <si>
    <t>C2013102</t>
  </si>
  <si>
    <t>S K Enterprises</t>
  </si>
  <si>
    <t>Ethylene Absorber Sachet</t>
  </si>
  <si>
    <t>30000 pice (5gm)</t>
  </si>
  <si>
    <t>nayaksudheer2002@gmail.com</t>
  </si>
  <si>
    <t>Pune - 411014</t>
  </si>
  <si>
    <t>Food Export</t>
  </si>
  <si>
    <t>4/-Pcs</t>
  </si>
  <si>
    <t>923M</t>
  </si>
  <si>
    <t>Will Revert Shortly</t>
  </si>
  <si>
    <t>Party Require 10gms.</t>
  </si>
  <si>
    <t>C2013101</t>
  </si>
  <si>
    <t>Pankaj(C)</t>
  </si>
  <si>
    <t>Limestone</t>
  </si>
  <si>
    <t>panksagarwalla.pa@gmail.com</t>
  </si>
  <si>
    <t>Bokaro,W.B.</t>
  </si>
  <si>
    <t>Trading Purpose</t>
  </si>
  <si>
    <t>11/- 5%</t>
  </si>
  <si>
    <t>1203K</t>
  </si>
  <si>
    <t>purchase price @7.80/- (Bakaro)</t>
  </si>
  <si>
    <t>C2013100</t>
  </si>
  <si>
    <t>Arita LED Bulb</t>
  </si>
  <si>
    <t>narugopalhudait81@gmail.com</t>
  </si>
  <si>
    <t>1202K</t>
  </si>
  <si>
    <t>Party just searching  for time pass.</t>
  </si>
  <si>
    <t>P00033</t>
  </si>
  <si>
    <t>Krishna Tissues Pvt Ltd</t>
  </si>
  <si>
    <t>GUAR GUM</t>
  </si>
  <si>
    <t>1000kg</t>
  </si>
  <si>
    <t>arijit@krishnatissues.com</t>
  </si>
  <si>
    <t>kolkata-</t>
  </si>
  <si>
    <t>130/-KG(S)</t>
  </si>
  <si>
    <t>1200K</t>
  </si>
  <si>
    <t>C2013099</t>
  </si>
  <si>
    <t>C2013098</t>
  </si>
  <si>
    <t>Joy Sengupta(C)</t>
  </si>
  <si>
    <t>Kaolin Pwoder</t>
  </si>
  <si>
    <t>joysengupta2011@gmail.com</t>
  </si>
  <si>
    <t>Ceramik industri</t>
  </si>
  <si>
    <t>C2013097</t>
  </si>
  <si>
    <t>Gone Lime Processing Unit(C)</t>
  </si>
  <si>
    <t>30 Ton</t>
  </si>
  <si>
    <t>sambhukarmakar12@gmail.com</t>
  </si>
  <si>
    <t>Kolkata-742425</t>
  </si>
  <si>
    <t>Self Consumption</t>
  </si>
  <si>
    <t>15.50/-</t>
  </si>
  <si>
    <t>1201K</t>
  </si>
  <si>
    <t>party require sample photo copy and specification.</t>
  </si>
  <si>
    <t>C2013096</t>
  </si>
  <si>
    <t xml:space="preserve">  Ashok Patra</t>
  </si>
  <si>
    <t>ashokpatra7087@gmail.com</t>
  </si>
  <si>
    <t>Candle Manufacturing</t>
  </si>
  <si>
    <t>Refined - 80
SemiRefined - 75</t>
  </si>
  <si>
    <t>80/-Kg(s),75/-kg(s)</t>
  </si>
  <si>
    <t>1196K</t>
  </si>
  <si>
    <t>C2013095</t>
  </si>
  <si>
    <t>Firoj HossainPiyada</t>
  </si>
  <si>
    <t>firoj.piyada22@gmail.com</t>
  </si>
  <si>
    <t>24pgs(S), W.B.</t>
  </si>
  <si>
    <t>1197K</t>
  </si>
  <si>
    <t>C2013094</t>
  </si>
  <si>
    <t>Stiricual Wisdom</t>
  </si>
  <si>
    <t>babita.agarwal0100@gmail.com</t>
  </si>
  <si>
    <t>840/-Kg(s)</t>
  </si>
  <si>
    <t>1195K</t>
  </si>
  <si>
    <t>Party confirms next week.</t>
  </si>
  <si>
    <t>17.09.2020</t>
  </si>
  <si>
    <t>C2013093</t>
  </si>
  <si>
    <t>Ganesh Grinding Mills Pvt. Ltd.</t>
  </si>
  <si>
    <t>25 Ton</t>
  </si>
  <si>
    <t>bhargavaankit86@gmail.com</t>
  </si>
  <si>
    <t>Mumbai - 400020</t>
  </si>
  <si>
    <t>C2013092</t>
  </si>
  <si>
    <t>Vaishakh(C)</t>
  </si>
  <si>
    <t>Molases</t>
  </si>
  <si>
    <t>sheenamadhavapuram@gmail.com</t>
  </si>
  <si>
    <t>Thiruvananthapuram,karala</t>
  </si>
  <si>
    <t>922M</t>
  </si>
  <si>
    <t>C2013091</t>
  </si>
  <si>
    <t>S PATHAK ENGINEERING &amp; WORKS(C)</t>
  </si>
  <si>
    <t>pathaksandip20@gmail.com</t>
  </si>
  <si>
    <t>Howrah-711409</t>
  </si>
  <si>
    <t>1193K</t>
  </si>
  <si>
    <t>16.09.2020</t>
  </si>
  <si>
    <t>C2013090</t>
  </si>
  <si>
    <t>Shakthi Chemicals</t>
  </si>
  <si>
    <t>375 Liter</t>
  </si>
  <si>
    <t>shaktichemicals80@gmail.com</t>
  </si>
  <si>
    <t>Hubli-580030</t>
  </si>
  <si>
    <t>220/-KG(S)</t>
  </si>
  <si>
    <t>920M</t>
  </si>
  <si>
    <t>C2013089</t>
  </si>
  <si>
    <t>Kamal Kanti Roy(C)</t>
  </si>
  <si>
    <t>200 Liter</t>
  </si>
  <si>
    <t>kamal_k_roy13@yahoo.com</t>
  </si>
  <si>
    <t>Iron Rust Cleaning</t>
  </si>
  <si>
    <t>1191K</t>
  </si>
  <si>
    <t xml:space="preserve">Party Will Inform </t>
  </si>
  <si>
    <r>
      <rPr>
        <rFont val="Arial"/>
        <color rgb="FF1155CC"/>
        <u/>
      </rPr>
      <t>C201308</t>
    </r>
    <r>
      <rPr>
        <rFont val="Arial"/>
        <color rgb="FF000000"/>
        <u/>
      </rPr>
      <t>8</t>
    </r>
  </si>
  <si>
    <t>Nav Bharat Soap And Chemical</t>
  </si>
  <si>
    <t>60 Ton</t>
  </si>
  <si>
    <t>haseebalam123@gmail.com</t>
  </si>
  <si>
    <t>Bardhaman, W.B.</t>
  </si>
  <si>
    <t>4.50/-</t>
  </si>
  <si>
    <t>1192K</t>
  </si>
  <si>
    <t>C2013087</t>
  </si>
  <si>
    <t>250 kg</t>
  </si>
  <si>
    <t>animed6@yahoo.co.in</t>
  </si>
  <si>
    <t>C2013086</t>
  </si>
  <si>
    <t>Rohit Khandzode(C)</t>
  </si>
  <si>
    <t>4.2 Ton</t>
  </si>
  <si>
    <t>rohitkhandzode197@gmail.com</t>
  </si>
  <si>
    <t>Tandoor Purpose</t>
  </si>
  <si>
    <t>Quote 13</t>
  </si>
  <si>
    <t>Target Price Rs 13 purchasing locally</t>
  </si>
  <si>
    <t>C2013085</t>
  </si>
  <si>
    <t>Shantikamal Industries Pvt. Ltd.</t>
  </si>
  <si>
    <t>abhishekbora24@gmail.com</t>
  </si>
  <si>
    <t>Umrane-423101</t>
  </si>
  <si>
    <t>919M</t>
  </si>
  <si>
    <t>C2013084</t>
  </si>
  <si>
    <t>Maa Jagdamba Electrical</t>
  </si>
  <si>
    <t>vapcomputer21@yahoo.com</t>
  </si>
  <si>
    <t>1189K</t>
  </si>
  <si>
    <t>Party already purchase.</t>
  </si>
  <si>
    <t>C2013083</t>
  </si>
  <si>
    <t>Common Service Centre(C)</t>
  </si>
  <si>
    <t>sabyasachiahamed123@gmail.com</t>
  </si>
  <si>
    <t>Coochbehar-736171</t>
  </si>
  <si>
    <t>Battery Manufacturing</t>
  </si>
  <si>
    <t>Rate High.(200 Ltr)</t>
  </si>
  <si>
    <t>C2013082</t>
  </si>
  <si>
    <t>Sunculp Gorp</t>
  </si>
  <si>
    <t>4Mt</t>
  </si>
  <si>
    <t xml:space="preserve"> ishan@sunkkalp.com</t>
  </si>
  <si>
    <t>Mumbai-400049</t>
  </si>
  <si>
    <t>Water Purification</t>
  </si>
  <si>
    <t>Q @ 180+, Quote for granular @118+</t>
  </si>
  <si>
    <t>921M</t>
  </si>
  <si>
    <t>As per discussion quote for 20grm tablet @180 + Ex bhiwandi</t>
  </si>
  <si>
    <t>Quote for 5 - 8mm Granular @118 + Ex Bhiwandi. Quotatio send again today.</t>
  </si>
  <si>
    <t>C2013081</t>
  </si>
  <si>
    <t>Saiyad Hedar Ali(C)</t>
  </si>
  <si>
    <t>Gamazyme Powder</t>
  </si>
  <si>
    <t>C2013080</t>
  </si>
  <si>
    <t>18.4 Ton</t>
  </si>
  <si>
    <t>contactashim7@gmail.com</t>
  </si>
  <si>
    <t>C2013079</t>
  </si>
  <si>
    <t>SR Health India(C)</t>
  </si>
  <si>
    <t>Ammonium Lauryl Sulfate</t>
  </si>
  <si>
    <t>srhindia229@gmail.com</t>
  </si>
  <si>
    <t>Kolkata-743136</t>
  </si>
  <si>
    <t>C2013078</t>
  </si>
  <si>
    <t>Partsco India</t>
  </si>
  <si>
    <t>Copper Slug</t>
  </si>
  <si>
    <t>partscoindia@yahoo.co.in</t>
  </si>
  <si>
    <t>Construction</t>
  </si>
  <si>
    <t>1187K</t>
  </si>
  <si>
    <t>C2013077</t>
  </si>
  <si>
    <t>SEATEK SOLUTIONS</t>
  </si>
  <si>
    <t>seatek.info@gmail.com</t>
  </si>
  <si>
    <t>1188K</t>
  </si>
  <si>
    <t>C2013076</t>
  </si>
  <si>
    <t>Khairi enterprises</t>
  </si>
  <si>
    <t>pruthipgps10@gmail.com</t>
  </si>
  <si>
    <t>Dumka, Jharkhand</t>
  </si>
  <si>
    <t xml:space="preserve">35/- Ex-Bhiwandi </t>
  </si>
  <si>
    <t>1186K</t>
  </si>
  <si>
    <t>C2013075</t>
  </si>
  <si>
    <t>Surya Trading Company</t>
  </si>
  <si>
    <t>tapan.dutta.2016.1950@gmail.com</t>
  </si>
  <si>
    <t>Kolkata-700136</t>
  </si>
  <si>
    <t>1185K</t>
  </si>
  <si>
    <t>Party confirm next week...</t>
  </si>
  <si>
    <t>15.09.2020</t>
  </si>
  <si>
    <t>P00032</t>
  </si>
  <si>
    <t>Manish Dyes And Chemicals</t>
  </si>
  <si>
    <t>Paraffin Wax (Sami Refined)</t>
  </si>
  <si>
    <t>manishdyes_bgp@yahoo.in</t>
  </si>
  <si>
    <t>Bihar-812002</t>
  </si>
  <si>
    <t>1184K</t>
  </si>
  <si>
    <t>Party given the price@82/-(including gst.)</t>
  </si>
  <si>
    <t>C2013074</t>
  </si>
  <si>
    <t>Thoofan Detergent(C)</t>
  </si>
  <si>
    <t>600 Kg</t>
  </si>
  <si>
    <t>kajaldebnath665@gmail.com</t>
  </si>
  <si>
    <t>Haringhata,W.B.</t>
  </si>
  <si>
    <t>Detergent Powder Manufacturing</t>
  </si>
  <si>
    <t>1180K</t>
  </si>
  <si>
    <t>Material Dispatch 21.09.20 Bill Create From K K International.1500 kg @ 20/-</t>
  </si>
  <si>
    <t>C2013073</t>
  </si>
  <si>
    <t>Loknath Udoyg(C)</t>
  </si>
  <si>
    <t>Liquid Muriatic Acid</t>
  </si>
  <si>
    <t>loknathudyog07@gmail.com</t>
  </si>
  <si>
    <t>1178K</t>
  </si>
  <si>
    <t>C2013072</t>
  </si>
  <si>
    <t>1181K</t>
  </si>
  <si>
    <t>Party confirms next week</t>
  </si>
  <si>
    <t>C2013071</t>
  </si>
  <si>
    <t>Royal Dish Bar(C)</t>
  </si>
  <si>
    <t>sodium silicate
sodium sulphate
Acid Slurry</t>
  </si>
  <si>
    <t>200kg
200kg
200kg</t>
  </si>
  <si>
    <t>sa2557499@gmail.com</t>
  </si>
  <si>
    <t>Contai, W.B.</t>
  </si>
  <si>
    <t>55
17
96</t>
  </si>
  <si>
    <t>55/-kg(s),17/-kg(s),96/-kg(s)</t>
  </si>
  <si>
    <t>1177K</t>
  </si>
  <si>
    <t>Party Will Inform Day After Tomorrow.</t>
  </si>
  <si>
    <t>C2013070</t>
  </si>
  <si>
    <t>AHC Enterprises(C)</t>
  </si>
  <si>
    <t>Potassium Sorbate
Sodium Propoinate
Sorbic Acid</t>
  </si>
  <si>
    <t>6 bag(25kg)
6 bag(25kg)
6 bag(25kg)</t>
  </si>
  <si>
    <t>iamsamim.1818@gmail.com</t>
  </si>
  <si>
    <t>Garia, W.B.</t>
  </si>
  <si>
    <t>8777088898 / 9836046693(WP)</t>
  </si>
  <si>
    <t>Bakery Purpose</t>
  </si>
  <si>
    <t>Potassium -532/-    Sorbic -530/-</t>
  </si>
  <si>
    <t>532/-kg(s),530/-kg(s)</t>
  </si>
  <si>
    <t>1179K</t>
  </si>
  <si>
    <t>C2013069</t>
  </si>
  <si>
    <t>Jagdamba Fruits(C)</t>
  </si>
  <si>
    <t>5000 sachet(3gm)</t>
  </si>
  <si>
    <t>Akluj, MH</t>
  </si>
  <si>
    <t>Food preservation Purpose</t>
  </si>
  <si>
    <t>3.50/-Pcs</t>
  </si>
  <si>
    <t>917M</t>
  </si>
  <si>
    <t>C2013068</t>
  </si>
  <si>
    <t>LAXMI CATTLE FEED</t>
  </si>
  <si>
    <t>babugshanthi@gmail.com</t>
  </si>
  <si>
    <t>918M</t>
  </si>
  <si>
    <t>C2013067</t>
  </si>
  <si>
    <t>Samalkha</t>
  </si>
  <si>
    <t>b.inn20@yahoo.com</t>
  </si>
  <si>
    <t>85/-KG(S)</t>
  </si>
  <si>
    <t>915M</t>
  </si>
  <si>
    <t>C2013066</t>
  </si>
  <si>
    <t>Maa Tara Traders</t>
  </si>
  <si>
    <t>17 Ton</t>
  </si>
  <si>
    <t>27shibsankar.saha@gmail.com</t>
  </si>
  <si>
    <t>1176K</t>
  </si>
  <si>
    <t>Party given the rate -@8/- per kg.(20 mt.)</t>
  </si>
  <si>
    <t>C2013065</t>
  </si>
  <si>
    <t>Oriental Pest Management Pvt. Ltd.</t>
  </si>
  <si>
    <t>Aluminium Phosphate Tablet</t>
  </si>
  <si>
    <t>opcsales2020@gmail.com</t>
  </si>
  <si>
    <t>Kolkata-700023</t>
  </si>
  <si>
    <t>14.09.2020</t>
  </si>
  <si>
    <t>C2013064</t>
  </si>
  <si>
    <t>Halder Enterprises(C)</t>
  </si>
  <si>
    <t>subhashhalder8641@gmail.com</t>
  </si>
  <si>
    <t>kolkata-700046</t>
  </si>
  <si>
    <t>8/-</t>
  </si>
  <si>
    <t>1175K</t>
  </si>
  <si>
    <t>C2013063</t>
  </si>
  <si>
    <t>Shashank Kheria(C)</t>
  </si>
  <si>
    <t>1.5 Ton</t>
  </si>
  <si>
    <t>shashankkheria6@gmail.com</t>
  </si>
  <si>
    <t>Darbhanga, Bihar</t>
  </si>
  <si>
    <t>960/-KG(S)</t>
  </si>
  <si>
    <t>1174K</t>
  </si>
  <si>
    <t>Party getting @750 +</t>
  </si>
  <si>
    <t>Quote 750/- but Cutomer Has No Requirement.</t>
  </si>
  <si>
    <t>C2013062</t>
  </si>
  <si>
    <t>Blkrocksarkar</t>
  </si>
  <si>
    <t>sarkarcoloroffset@gmail.com</t>
  </si>
  <si>
    <t>275/-</t>
  </si>
  <si>
    <t>245/-kgs,76/-kgs</t>
  </si>
  <si>
    <t>1173K</t>
  </si>
  <si>
    <t>Party Purchase Rate 144/-kg(s)</t>
  </si>
  <si>
    <t>C2013061</t>
  </si>
  <si>
    <t>M/S Rohit Traders</t>
  </si>
  <si>
    <t>rohittraders1995@gmail.com</t>
  </si>
  <si>
    <t>Bargarh-768028</t>
  </si>
  <si>
    <t>83/- Mumbai</t>
  </si>
  <si>
    <t>Party has taken @74 including of DCM Make from Gaziabad. needs in Odisha</t>
  </si>
  <si>
    <t>C2013060</t>
  </si>
  <si>
    <t>Divekar Enterprises</t>
  </si>
  <si>
    <t>sandeekavaje9517@gmail.com</t>
  </si>
  <si>
    <t>Need sample 8th OCT. Rate given @13</t>
  </si>
  <si>
    <t>13.09.2020</t>
  </si>
  <si>
    <t>C2013059</t>
  </si>
  <si>
    <t>V A C International</t>
  </si>
  <si>
    <t>tanmoy.17th.88@gmail.com</t>
  </si>
  <si>
    <t>1171K</t>
  </si>
  <si>
    <t>Price high, party given the price @4.50/- per kg.</t>
  </si>
  <si>
    <t>C2013058</t>
  </si>
  <si>
    <t>Tanmoy Saha(C)</t>
  </si>
  <si>
    <t>Behala, W.B.</t>
  </si>
  <si>
    <t>Wall Putty Purpose</t>
  </si>
  <si>
    <t>6
(300 Mesh)</t>
  </si>
  <si>
    <t>1170K</t>
  </si>
  <si>
    <t>Party require - dolomite- 500 mesh, and milky white @4.20/- (party purchase rate).</t>
  </si>
  <si>
    <t>C2013057</t>
  </si>
  <si>
    <t>Sarthak Agency(C)</t>
  </si>
  <si>
    <t>jitendra.kurahade@hotmail.com</t>
  </si>
  <si>
    <t>Kalyan-421201</t>
  </si>
  <si>
    <t>Water purification</t>
  </si>
  <si>
    <t>Quote Rs 6 per kg Ex bhwandi</t>
  </si>
  <si>
    <t>C2013056</t>
  </si>
  <si>
    <t>Raaj Mata Industrial Services(C)</t>
  </si>
  <si>
    <t>Ethylene Sachet</t>
  </si>
  <si>
    <t>5000 sachet(5gm)</t>
  </si>
  <si>
    <t>atulkedar34186@gmail.com</t>
  </si>
  <si>
    <t>Solapur, MH</t>
  </si>
  <si>
    <t>4.50/-Pcs</t>
  </si>
  <si>
    <t>911M</t>
  </si>
  <si>
    <t>C2013055</t>
  </si>
  <si>
    <t>Baskin Foods(C)</t>
  </si>
  <si>
    <t>Corn Starch Powder</t>
  </si>
  <si>
    <t>pramod_ghorpade@yahoo.com</t>
  </si>
  <si>
    <t>Nashik-422001</t>
  </si>
  <si>
    <t>C2013054</t>
  </si>
  <si>
    <t>Nitish Singh(C)</t>
  </si>
  <si>
    <t>manishsingh78697@gmail.com</t>
  </si>
  <si>
    <t>Visakhapatnam, A.P.,</t>
  </si>
  <si>
    <t>340/- Ex-Kolkata</t>
  </si>
  <si>
    <t>1172K</t>
  </si>
  <si>
    <t>Call not responding. Quote revise rate of Rs 295 + Ex Kolkata Godown.</t>
  </si>
  <si>
    <t>C2013053</t>
  </si>
  <si>
    <t>Anurag Carbon(C)</t>
  </si>
  <si>
    <t>export@anuragcarbon.com</t>
  </si>
  <si>
    <t>Kanpur-208011</t>
  </si>
  <si>
    <t>914M</t>
  </si>
  <si>
    <t>C2013052</t>
  </si>
  <si>
    <t>Hard Wood Charcoal</t>
  </si>
  <si>
    <t>suneetacarbons@rediffmail.com</t>
  </si>
  <si>
    <t>913M</t>
  </si>
  <si>
    <t>Need carcoal for carbon, also give charcoal powder as its bi-product</t>
  </si>
  <si>
    <t>C2013051</t>
  </si>
  <si>
    <t>Salam Inking (C)</t>
  </si>
  <si>
    <t>Dextrin Yellow</t>
  </si>
  <si>
    <t>aknuyoung@gmail.com</t>
  </si>
  <si>
    <t>1169K</t>
  </si>
  <si>
    <t>Party Collect Sample Today</t>
  </si>
  <si>
    <t>C2013050</t>
  </si>
  <si>
    <t>Mamta Associates</t>
  </si>
  <si>
    <t>5000 Ton</t>
  </si>
  <si>
    <t>anubhavmisra74@gmail.com</t>
  </si>
  <si>
    <t>Kolkata-700080</t>
  </si>
  <si>
    <t>18.50/-KG(S)</t>
  </si>
  <si>
    <t>1168K</t>
  </si>
  <si>
    <t>Party Need Delivery In Flexi Bag</t>
  </si>
  <si>
    <t>Specification Not Match.</t>
  </si>
  <si>
    <t>C2013049</t>
  </si>
  <si>
    <t>Oswal Agencies</t>
  </si>
  <si>
    <t>Alum Powder and Crystals</t>
  </si>
  <si>
    <t>oswalagencies601@gmail.com</t>
  </si>
  <si>
    <t>Pali-306401</t>
  </si>
  <si>
    <t>C2013048</t>
  </si>
  <si>
    <t>SMD Agro</t>
  </si>
  <si>
    <t>pradeep5766@gmail.com</t>
  </si>
  <si>
    <t>Dhar, M.P.</t>
  </si>
  <si>
    <t>Party Purchase Price 13/-kg(s)</t>
  </si>
  <si>
    <t>C2013047</t>
  </si>
  <si>
    <t>Khandelwal</t>
  </si>
  <si>
    <t>1000/-KG(S)</t>
  </si>
  <si>
    <t>1182K</t>
  </si>
  <si>
    <t>Party last rate send @870/- per kg. party confirmed this weeks.</t>
  </si>
  <si>
    <t>Party requirement next month,</t>
  </si>
  <si>
    <t>12.09.2020</t>
  </si>
  <si>
    <t>C2013046</t>
  </si>
  <si>
    <t>Aecom India PVT LTD</t>
  </si>
  <si>
    <t>AGRICULTURAL Lime
Potash</t>
  </si>
  <si>
    <t>2 Ton
40kg</t>
  </si>
  <si>
    <t>amarmitra.mitra@gmail.com</t>
  </si>
  <si>
    <t>Chakdaha, W.B.</t>
  </si>
  <si>
    <t>C2013045</t>
  </si>
  <si>
    <t>Bengal Shero And Alight Product(C)</t>
  </si>
  <si>
    <t>Flourspar Lumps Mines</t>
  </si>
  <si>
    <t>sachinandandas0@gmail.com</t>
  </si>
  <si>
    <t>23/-Kgs.</t>
  </si>
  <si>
    <t>C2013044</t>
  </si>
  <si>
    <t>Rakesh Coal Depot</t>
  </si>
  <si>
    <t>dhawan.anshul01@rediffmail.com</t>
  </si>
  <si>
    <t>Bareilly - 243003</t>
  </si>
  <si>
    <t>912M</t>
  </si>
  <si>
    <t>C2013043</t>
  </si>
  <si>
    <t>M/s Maruti Dhoop Agency</t>
  </si>
  <si>
    <t>Camphor Powder
Peraffin Wax</t>
  </si>
  <si>
    <t>1 Ton
1 Ton</t>
  </si>
  <si>
    <t>marutidhoopagency@gmail.com</t>
  </si>
  <si>
    <t>Dhanbad-826001</t>
  </si>
  <si>
    <t>960
75</t>
  </si>
  <si>
    <t>960/-kg(s) 75/-kg(s)</t>
  </si>
  <si>
    <t>1183K</t>
  </si>
  <si>
    <t>C2013042</t>
  </si>
  <si>
    <t>Rajkumar Mondal</t>
  </si>
  <si>
    <t>Acid Sulurry</t>
  </si>
  <si>
    <t>rajkumarm488@gmail.com</t>
  </si>
  <si>
    <t>Malda, W.B.</t>
  </si>
  <si>
    <t>1167K</t>
  </si>
  <si>
    <t>Party material require next month,so lost.</t>
  </si>
  <si>
    <t>C2013041</t>
  </si>
  <si>
    <t>Mohan Chemicals</t>
  </si>
  <si>
    <t>Citric Acid Anhydrous, Sodium Perborate Monohydrate</t>
  </si>
  <si>
    <t>mohangehlot032@gmail.com</t>
  </si>
  <si>
    <t>Jodhpur - 306104</t>
  </si>
  <si>
    <t>Quote Rs 54 + gst, @136+</t>
  </si>
  <si>
    <t>908M/916M</t>
  </si>
  <si>
    <t>As per discussion 52 is target given by party. Also Require Sodium Perborate Monohydrate</t>
  </si>
  <si>
    <t>Sending PI for 4MT Citric Anhydrous @52+</t>
  </si>
  <si>
    <t>C2013040</t>
  </si>
  <si>
    <t>Suvro Mukherjee(C)</t>
  </si>
  <si>
    <t>Sodium Silicate (Flakes)</t>
  </si>
  <si>
    <t>shibnath5566@gmail.com</t>
  </si>
  <si>
    <t>Habra, W.B.</t>
  </si>
  <si>
    <t>Detergent powder manufacturing</t>
  </si>
  <si>
    <t>1166K</t>
  </si>
  <si>
    <t>Call Him After 10 Days</t>
  </si>
  <si>
    <t>Call Not Received,</t>
  </si>
  <si>
    <t>C2013039</t>
  </si>
  <si>
    <t>Shahid Khan</t>
  </si>
  <si>
    <t>POLY Vinyl Acetate(Powder)</t>
  </si>
  <si>
    <t>400 kg</t>
  </si>
  <si>
    <t>sk9552091814@gmail.com</t>
  </si>
  <si>
    <t>Ichalakaranji, MH</t>
  </si>
  <si>
    <t>909M</t>
  </si>
  <si>
    <t>P00031</t>
  </si>
  <si>
    <t>Kehinoor India Trading Corp</t>
  </si>
  <si>
    <t>Calcind Alumina</t>
  </si>
  <si>
    <t>1 MT</t>
  </si>
  <si>
    <t>Kitckol@gmail.com</t>
  </si>
  <si>
    <t>Kolkata-7000072</t>
  </si>
  <si>
    <t>62/-</t>
  </si>
  <si>
    <t>62/-KG(S)</t>
  </si>
  <si>
    <t>1165K</t>
  </si>
  <si>
    <t>Today party visited  to our office.</t>
  </si>
  <si>
    <t>Party require PG-400, jindal brands.</t>
  </si>
  <si>
    <t>P00030</t>
  </si>
  <si>
    <t>Small Company</t>
  </si>
  <si>
    <t>satyajitmajumder9933@gmail.com</t>
  </si>
  <si>
    <t>1164K</t>
  </si>
  <si>
    <t>Party ph. call not connect.</t>
  </si>
  <si>
    <t>C2013038</t>
  </si>
  <si>
    <t>Jodhpur-306104</t>
  </si>
  <si>
    <t>908M</t>
  </si>
  <si>
    <t>C2013037</t>
  </si>
  <si>
    <t>Balaji Essence Stores</t>
  </si>
  <si>
    <t>Ajino Moto</t>
  </si>
  <si>
    <t>balajiessence99@gmail.com</t>
  </si>
  <si>
    <t>Amravati-444601</t>
  </si>
  <si>
    <t>87/-KG(S)</t>
  </si>
  <si>
    <t>906M</t>
  </si>
  <si>
    <t>C2013036</t>
  </si>
  <si>
    <t>Rachit Mehta</t>
  </si>
  <si>
    <t>Silico Manganese</t>
  </si>
  <si>
    <t>mehtarachit@gmail.com</t>
  </si>
  <si>
    <t>Quote Rs 70 FOR  full truck Mumbai.GST EXTRA. 21mt</t>
  </si>
  <si>
    <t>907M</t>
  </si>
  <si>
    <t>As per discussion give them this  offer</t>
  </si>
  <si>
    <t>Revised rate given 67 FOR Khapoli for full truck will take 2 - 3 days time to confirm.</t>
  </si>
  <si>
    <t>C2013035</t>
  </si>
  <si>
    <t>Green Ventures</t>
  </si>
  <si>
    <t>gv41146@gmail.com</t>
  </si>
  <si>
    <t>Rourkela-769001</t>
  </si>
  <si>
    <t>C2013034</t>
  </si>
  <si>
    <t>MJ Metal</t>
  </si>
  <si>
    <t>mjmetal2007@gmail.com</t>
  </si>
  <si>
    <t>C2013033</t>
  </si>
  <si>
    <t>Oritan Fernandes</t>
  </si>
  <si>
    <t>oritanf@yahoo.com</t>
  </si>
  <si>
    <t>Vasai, Maharashtra</t>
  </si>
  <si>
    <t>905M</t>
  </si>
  <si>
    <t>C2013032</t>
  </si>
  <si>
    <t>Joyland</t>
  </si>
  <si>
    <t>Solid Paraffin Wax</t>
  </si>
  <si>
    <t>subrataa656@gmail.com</t>
  </si>
  <si>
    <t>90 - Refined NRL Brand
85 - Semi refined</t>
  </si>
  <si>
    <t>90/-kgs,85/-kgs</t>
  </si>
  <si>
    <t>1161K</t>
  </si>
  <si>
    <t>Call Not Connected.4 Times Tried.</t>
  </si>
  <si>
    <t>C2013031</t>
  </si>
  <si>
    <t>Kalinga Mineral Industries</t>
  </si>
  <si>
    <t>Sodium Percarbonate Tablets</t>
  </si>
  <si>
    <t>aurobindojena@yahoo.com</t>
  </si>
  <si>
    <t>Kolkata - 700015</t>
  </si>
  <si>
    <t>1162K</t>
  </si>
  <si>
    <t>Party ph. call not received, (three time )</t>
  </si>
  <si>
    <t>C2013030</t>
  </si>
  <si>
    <t>Rajasthan Fertilisers &amp; Chemicals Limited</t>
  </si>
  <si>
    <t>Molecular sieves</t>
  </si>
  <si>
    <t>400 Kg</t>
  </si>
  <si>
    <t>rajasthanfertiliser@yahoo.in</t>
  </si>
  <si>
    <t>178/-</t>
  </si>
  <si>
    <t>178/-KG(S)</t>
  </si>
  <si>
    <t>1163K</t>
  </si>
  <si>
    <t>Wrong Ph. no.</t>
  </si>
  <si>
    <t>C2013029</t>
  </si>
  <si>
    <t>Silver Stones &amp; Mines</t>
  </si>
  <si>
    <t>silverstones47@gmail.com</t>
  </si>
  <si>
    <t>Belgaum, Karnataka</t>
  </si>
  <si>
    <t>904M</t>
  </si>
  <si>
    <t>10.09.2020</t>
  </si>
  <si>
    <t>P00029</t>
  </si>
  <si>
    <t>Bindi Patel</t>
  </si>
  <si>
    <t>25 Kg</t>
  </si>
  <si>
    <t>400/-</t>
  </si>
  <si>
    <t>P00028</t>
  </si>
  <si>
    <t>Labard instruchem pvt ltd</t>
  </si>
  <si>
    <t>2 MT</t>
  </si>
  <si>
    <t>labardindtruchem@gmail.com</t>
  </si>
  <si>
    <t>1160K</t>
  </si>
  <si>
    <t>Party reseller, Party order not confirmed.</t>
  </si>
  <si>
    <t>P00027</t>
  </si>
  <si>
    <t>Interwell Steels</t>
  </si>
  <si>
    <t>100 Kg</t>
  </si>
  <si>
    <t>vinay.doshi8761@gmail.com</t>
  </si>
  <si>
    <t>150/-</t>
  </si>
  <si>
    <t>1159K</t>
  </si>
  <si>
    <t>Party purchase rate @110/- per kg. Price high.</t>
  </si>
  <si>
    <t>C2013028</t>
  </si>
  <si>
    <t>Varsha Chemo Graph(C)</t>
  </si>
  <si>
    <t>dilipshah@gmail.com</t>
  </si>
  <si>
    <t>Mumbai-400097</t>
  </si>
  <si>
    <t>84/-</t>
  </si>
  <si>
    <t>84/-KG(S)</t>
  </si>
  <si>
    <t>903M</t>
  </si>
  <si>
    <t>customer getting @80 including GST</t>
  </si>
  <si>
    <t>C2013027</t>
  </si>
  <si>
    <t>Debsandhya Industries Private Limited</t>
  </si>
  <si>
    <t>Charcoal Powder(Coconut Shell)</t>
  </si>
  <si>
    <t>debsandhyaindustries@gmail.com</t>
  </si>
  <si>
    <t>Kolkata - 700092</t>
  </si>
  <si>
    <t>C2013026</t>
  </si>
  <si>
    <t>ZEN LUBS</t>
  </si>
  <si>
    <t>zenlubs@gmail.com</t>
  </si>
  <si>
    <t>Gajuwaka-530012</t>
  </si>
  <si>
    <t>C2013025</t>
  </si>
  <si>
    <t>Palghar, MH</t>
  </si>
  <si>
    <t>C2013024</t>
  </si>
  <si>
    <t>Vijayan Pu(C)</t>
  </si>
  <si>
    <t>vijayanup1968@gmail.com</t>
  </si>
  <si>
    <t>Kalpetta, Kerala</t>
  </si>
  <si>
    <t>C2013023</t>
  </si>
  <si>
    <t>Ashapura Carbon</t>
  </si>
  <si>
    <t>thacker.madhusudan@gmail.com</t>
  </si>
  <si>
    <t>Mumbai-600003</t>
  </si>
  <si>
    <t>call not responding</t>
  </si>
  <si>
    <t>As Per discussion need full truck at Mumbai. Will quote him after getting good rate.</t>
  </si>
  <si>
    <t>C2013022</t>
  </si>
  <si>
    <t>HAUSE MAKKER(C)</t>
  </si>
  <si>
    <t>120 Ton</t>
  </si>
  <si>
    <t>hausmakker@gmail.com</t>
  </si>
  <si>
    <t>1158K</t>
  </si>
  <si>
    <t>Party is a expoter.</t>
  </si>
  <si>
    <t>Satkirti Chemicals Private Limited</t>
  </si>
  <si>
    <t>satkirtichemicals@gmail.com</t>
  </si>
  <si>
    <t>Kolkata-700055</t>
  </si>
  <si>
    <t>1157K</t>
  </si>
  <si>
    <t>C2013020</t>
  </si>
  <si>
    <t>Sonu Raj</t>
  </si>
  <si>
    <t>sonurajr04@gmail.com</t>
  </si>
  <si>
    <t>Jhanjharpur, Bihar</t>
  </si>
  <si>
    <t>83/-</t>
  </si>
  <si>
    <t>902M</t>
  </si>
  <si>
    <t>Getting locally @50</t>
  </si>
  <si>
    <t>no need to call</t>
  </si>
  <si>
    <t>09.09.2020</t>
  </si>
  <si>
    <t>C2013019</t>
  </si>
  <si>
    <t>Laxmi Balaji Ceramics</t>
  </si>
  <si>
    <t>sbcmncl@gmail.com</t>
  </si>
  <si>
    <t>901M</t>
  </si>
  <si>
    <t>Customer has purchased it already</t>
  </si>
  <si>
    <t>Locally from Hyderabad</t>
  </si>
  <si>
    <t>C2013018</t>
  </si>
  <si>
    <t>Ram Jeed Verma</t>
  </si>
  <si>
    <t>ramjeetverma60@gmail.com</t>
  </si>
  <si>
    <t>Agarbutti Purpose</t>
  </si>
  <si>
    <t>C2013017</t>
  </si>
  <si>
    <t>Al Ayaan Hukkah Flavors(C)</t>
  </si>
  <si>
    <t>Burning Charcoal</t>
  </si>
  <si>
    <t>malikabuzar221@gmail.com</t>
  </si>
  <si>
    <t>Mumbai-400088</t>
  </si>
  <si>
    <t>Burning Purpose</t>
  </si>
  <si>
    <t>C2013016</t>
  </si>
  <si>
    <t>1000 Piece(5gm)</t>
  </si>
  <si>
    <t>sahilsiddiqui30@gmail.com</t>
  </si>
  <si>
    <t>Lucknow, U.P.</t>
  </si>
  <si>
    <t>5.5
(Keep-It-Fresh)</t>
  </si>
  <si>
    <t>5.50/-Pcs</t>
  </si>
  <si>
    <t>900M</t>
  </si>
  <si>
    <t>C2013015</t>
  </si>
  <si>
    <t>P00026</t>
  </si>
  <si>
    <t>Labard instruchem pvt.ltd.</t>
  </si>
  <si>
    <t>25 MT, 
25 MT</t>
  </si>
  <si>
    <t>labardinstruchem@gmail.com</t>
  </si>
  <si>
    <t>North Kolkata</t>
  </si>
  <si>
    <t>6/- 0%,6/- 5%</t>
  </si>
  <si>
    <t>6/-kgs.6/-kgs</t>
  </si>
  <si>
    <t>1154K</t>
  </si>
  <si>
    <t>C2013014</t>
  </si>
  <si>
    <t>Joy jaganath Enterprise(C)</t>
  </si>
  <si>
    <t>1.2 Ton</t>
  </si>
  <si>
    <t>chakrabortydotcom@yahoo.co.in</t>
  </si>
  <si>
    <t>12.50/-</t>
  </si>
  <si>
    <t>12.50/-KG(S)</t>
  </si>
  <si>
    <t>1153K</t>
  </si>
  <si>
    <t>Party ph. switch off.</t>
  </si>
  <si>
    <t>Party export to Bangladesh,party price @11/- per kg.</t>
  </si>
  <si>
    <t>P00025</t>
  </si>
  <si>
    <t>Airport</t>
  </si>
  <si>
    <t>08.09.2020</t>
  </si>
  <si>
    <t>C2013013</t>
  </si>
  <si>
    <t>Kondar Resins &amp; Allied Products Private Limited(C)</t>
  </si>
  <si>
    <t>kondar9@gmail.com</t>
  </si>
  <si>
    <t>1152K</t>
  </si>
  <si>
    <t>Party purchase rate@12.50/- per kg.</t>
  </si>
  <si>
    <t>C2013012</t>
  </si>
  <si>
    <t>Creative Glass Art</t>
  </si>
  <si>
    <t>Fire Clay</t>
  </si>
  <si>
    <t>prai18@yahoo.co.in</t>
  </si>
  <si>
    <t>Mumbai-400060</t>
  </si>
  <si>
    <t>6.5/-KG(S)</t>
  </si>
  <si>
    <t>899M</t>
  </si>
  <si>
    <t>C2013011</t>
  </si>
  <si>
    <t>Payal</t>
  </si>
  <si>
    <t>500 Piece</t>
  </si>
  <si>
    <t>payalmehta853@gmail.com</t>
  </si>
  <si>
    <t>3/-Pcs</t>
  </si>
  <si>
    <t>898M</t>
  </si>
  <si>
    <t>C2013010</t>
  </si>
  <si>
    <t>Ganguly Group</t>
  </si>
  <si>
    <t>Natural Pebble</t>
  </si>
  <si>
    <t>4 tonne</t>
  </si>
  <si>
    <t>arinddam@gmail.com</t>
  </si>
  <si>
    <t>Kolkata-700084</t>
  </si>
  <si>
    <t>C2013009</t>
  </si>
  <si>
    <t>Supriya</t>
  </si>
  <si>
    <t>supi786@gmail.com</t>
  </si>
  <si>
    <t>Ratnagiri, MH</t>
  </si>
  <si>
    <t>3
(Ex Mumbai)</t>
  </si>
  <si>
    <t>897M</t>
  </si>
  <si>
    <t>C2013008</t>
  </si>
  <si>
    <t>Abhishek Kumar Sinha</t>
  </si>
  <si>
    <t>Molasses
STPP
Citric Acid
sodium silicate Powder 
yellow dextrin
chromic acid
chromic oxide green
phosphoric acid</t>
  </si>
  <si>
    <t>8 Ton (1 Ton Eatch)</t>
  </si>
  <si>
    <t>sinhaabh1984@gmail.com</t>
  </si>
  <si>
    <t xml:space="preserve">23/-,77/-,60/-,53/-,243/-,332/-,67/- </t>
  </si>
  <si>
    <t>23, 76, 59, 53, 239, 325, 60</t>
  </si>
  <si>
    <t>1150K</t>
  </si>
  <si>
    <t>C2013007</t>
  </si>
  <si>
    <t>Balaaxmi Industries</t>
  </si>
  <si>
    <t>prashantvaishnav452@gmail.com</t>
  </si>
  <si>
    <t>Mumbai-400012</t>
  </si>
  <si>
    <t>C2013006</t>
  </si>
  <si>
    <t>Brothers Chemical(C)</t>
  </si>
  <si>
    <t>Sodium Silicate Powder
Sodium Sulphate
Dolomite Powder
Acid Slurry</t>
  </si>
  <si>
    <t>2 Ton (500 kg eatch)</t>
  </si>
  <si>
    <t>tarakbiswaskk@gmail.com</t>
  </si>
  <si>
    <t>Kanchrapara, W.B.</t>
  </si>
  <si>
    <t>52/-,14/-,    8.50/- + 5%, 98/-</t>
  </si>
  <si>
    <t>C2013005</t>
  </si>
  <si>
    <t>Sachinder Das</t>
  </si>
  <si>
    <t>Lime Stone Powder</t>
  </si>
  <si>
    <t>tapanprince3@gmail.com</t>
  </si>
  <si>
    <t>896M</t>
  </si>
  <si>
    <t>Give FOR Balasore rate for full truck @9.5</t>
  </si>
  <si>
    <t>C2013004</t>
  </si>
  <si>
    <t>Kaushik Mitra(C)</t>
  </si>
  <si>
    <t>Palm Oil</t>
  </si>
  <si>
    <t>kaushik2015mitra@gmail.com</t>
  </si>
  <si>
    <t>Product Not Available.</t>
  </si>
  <si>
    <t>C2013003</t>
  </si>
  <si>
    <t>Aryan Chemicals(C)</t>
  </si>
  <si>
    <t>Jamshedpur, JH</t>
  </si>
  <si>
    <t>Liquor Purpose</t>
  </si>
  <si>
    <t>1149K</t>
  </si>
  <si>
    <t>ph. call not received.00</t>
  </si>
  <si>
    <t>P00024</t>
  </si>
  <si>
    <t>Drain India Technology</t>
  </si>
  <si>
    <t>drain.india@rediffmail.com</t>
  </si>
  <si>
    <t>73/-KG(S)</t>
  </si>
  <si>
    <t>894M</t>
  </si>
  <si>
    <t>rate given to party, party wants @78 at kanpur</t>
  </si>
  <si>
    <t>P00023</t>
  </si>
  <si>
    <t>Light Parafin(Liquide)</t>
  </si>
  <si>
    <t>60+18%</t>
  </si>
  <si>
    <t>P00022</t>
  </si>
  <si>
    <t>Jahanara</t>
  </si>
  <si>
    <t>jahanara@mubychem.com</t>
  </si>
  <si>
    <t>Industrial Grade 300/- Food Grade 800/-</t>
  </si>
  <si>
    <t>300/-kgs,800/-kgs</t>
  </si>
  <si>
    <t>895M</t>
  </si>
  <si>
    <t>Party wants COA</t>
  </si>
  <si>
    <t>Want 500 vescocity material</t>
  </si>
  <si>
    <t>P00021</t>
  </si>
  <si>
    <t>H20 Remediation Engineering</t>
  </si>
  <si>
    <t>remedengineering@gmail.com</t>
  </si>
  <si>
    <t>Needs at Haldia. From GACL price got of8000pmt Tanker load</t>
  </si>
  <si>
    <t>C2013002</t>
  </si>
  <si>
    <t>Jagdamba Trading Company</t>
  </si>
  <si>
    <t>Sodium Ferrocyanide</t>
  </si>
  <si>
    <t>sachinagarwal@gmail.com</t>
  </si>
  <si>
    <t>Phalodi,RJ</t>
  </si>
  <si>
    <t>Quote Rs 148 + GST Ex Bhiwandi, China Origin</t>
  </si>
  <si>
    <t>910M</t>
  </si>
  <si>
    <t>Need for Salt Industry. wants on 30 days credit.</t>
  </si>
  <si>
    <t>P00020</t>
  </si>
  <si>
    <t>Dharmendra Sinha(C)</t>
  </si>
  <si>
    <t>Rock Phosphate</t>
  </si>
  <si>
    <t xml:space="preserve">Ranjnangaon. </t>
  </si>
  <si>
    <t>@31+5%
(30%-32%)</t>
  </si>
  <si>
    <t>Require 500 kg only at Rajnandgaon</t>
  </si>
  <si>
    <t>C2013001</t>
  </si>
  <si>
    <t>Kolkata - 743125</t>
  </si>
  <si>
    <t>C2013000</t>
  </si>
  <si>
    <t>Sujoy Neogi</t>
  </si>
  <si>
    <t>66 Ton</t>
  </si>
  <si>
    <t>sujoyneogi86@gmail.com</t>
  </si>
  <si>
    <t>24 Pgs(N), W.B.</t>
  </si>
  <si>
    <t>1146K</t>
  </si>
  <si>
    <t>Purchase rate @13/- per kg.</t>
  </si>
  <si>
    <t>C2012999</t>
  </si>
  <si>
    <t>Remco Chemical Products</t>
  </si>
  <si>
    <t>urmi.parag@gmail.com</t>
  </si>
  <si>
    <t>946M</t>
  </si>
  <si>
    <t>06.09.2020</t>
  </si>
  <si>
    <t>C2012998</t>
  </si>
  <si>
    <t>Wings Of Fortune Private Limited</t>
  </si>
  <si>
    <t>wingofffortune5@gmail.com</t>
  </si>
  <si>
    <t>Kolkata-700075</t>
  </si>
  <si>
    <t>1145K</t>
  </si>
  <si>
    <t>Ph. call not received.three time.</t>
  </si>
  <si>
    <t>C2012997</t>
  </si>
  <si>
    <t>S R Marketing(C)</t>
  </si>
  <si>
    <t>80 MT</t>
  </si>
  <si>
    <t>ronak.chhajer@hotmail.com</t>
  </si>
  <si>
    <t>Dankuni, W.B.</t>
  </si>
  <si>
    <t>1144K</t>
  </si>
  <si>
    <t>Party purchase rate@17/- per kg.</t>
  </si>
  <si>
    <t>C2012996</t>
  </si>
  <si>
    <t>Fair Trader</t>
  </si>
  <si>
    <t>sanjaymethakur@gmail.com</t>
  </si>
  <si>
    <t>Jharsuguda-768201</t>
  </si>
  <si>
    <t>@17</t>
  </si>
  <si>
    <t>Sodium Hypo 15mt requirement</t>
  </si>
  <si>
    <t>C2012995</t>
  </si>
  <si>
    <t>Gudnhat Enterprise</t>
  </si>
  <si>
    <t>trisha1esha2@gmail.com</t>
  </si>
  <si>
    <t>Midnapore,W.B.</t>
  </si>
  <si>
    <t>1148K</t>
  </si>
  <si>
    <t>Party mail not open</t>
  </si>
  <si>
    <t>Price high, party not interested</t>
  </si>
  <si>
    <t>C2012994</t>
  </si>
  <si>
    <t>Talent Plus Company</t>
  </si>
  <si>
    <t>prashant3s@yahoo.com</t>
  </si>
  <si>
    <t>Mumbai-400701</t>
  </si>
  <si>
    <t>893M</t>
  </si>
  <si>
    <t>C2012993</t>
  </si>
  <si>
    <t>Advocate Rohit Dalmia(C)</t>
  </si>
  <si>
    <t>1000 Piece</t>
  </si>
  <si>
    <t>lawassociates99@gmail.com</t>
  </si>
  <si>
    <t>Mumbai-400103</t>
  </si>
  <si>
    <t>C2012992</t>
  </si>
  <si>
    <t>Rohan Agarwal(C)</t>
  </si>
  <si>
    <t>rohanagarwal2412@gmail.com</t>
  </si>
  <si>
    <t>1147K</t>
  </si>
  <si>
    <t>C2012991</t>
  </si>
  <si>
    <t>Molla International</t>
  </si>
  <si>
    <t>200 Kg</t>
  </si>
  <si>
    <t>rajadas0086@gmail.com</t>
  </si>
  <si>
    <t>1156K</t>
  </si>
  <si>
    <t>Party Take Time Atleast 10days</t>
  </si>
  <si>
    <t>C2012990</t>
  </si>
  <si>
    <t>Warshi Enterprise</t>
  </si>
  <si>
    <t>Hydrazine Hydrate(Liquid)</t>
  </si>
  <si>
    <t>arshadwarshi011@gmail.com</t>
  </si>
  <si>
    <t>1142K</t>
  </si>
  <si>
    <t>Reply Shorly</t>
  </si>
  <si>
    <t>05.09.2020</t>
  </si>
  <si>
    <t>C2012989</t>
  </si>
  <si>
    <t>Paresh Intex(C)</t>
  </si>
  <si>
    <t>harshbotadra104@gmail.com</t>
  </si>
  <si>
    <t>892M</t>
  </si>
  <si>
    <t>C2012988</t>
  </si>
  <si>
    <t>Somnath Mondal(C)</t>
  </si>
  <si>
    <t>msomnath20391@gmail.com</t>
  </si>
  <si>
    <t>Uluberia, W.B.</t>
  </si>
  <si>
    <t>Fish Farming</t>
  </si>
  <si>
    <t>1141K</t>
  </si>
  <si>
    <t>Party Need To Sample First.</t>
  </si>
  <si>
    <t>C2012987</t>
  </si>
  <si>
    <t>Vinhar Enterprises(C)</t>
  </si>
  <si>
    <t>Mumbai-400078</t>
  </si>
  <si>
    <t xml:space="preserve">@195+ GST </t>
  </si>
  <si>
    <t>195/-KG(S)</t>
  </si>
  <si>
    <t>891M</t>
  </si>
  <si>
    <t>As per discussion Quote him, require 200kg</t>
  </si>
  <si>
    <t>As per discussion will update us</t>
  </si>
  <si>
    <t>C2012986</t>
  </si>
  <si>
    <t>Surojit Enterprises(C)</t>
  </si>
  <si>
    <t>Salt(Food Grade)</t>
  </si>
  <si>
    <t>surojits869@gmail.com</t>
  </si>
  <si>
    <t>24 Parganas(S), W.B.</t>
  </si>
  <si>
    <t>1140K</t>
  </si>
  <si>
    <t>Party require medium size and rate @4.50-5/- per kg.</t>
  </si>
  <si>
    <t>P00019</t>
  </si>
  <si>
    <t>Lab Equipments &amp; Chemicals</t>
  </si>
  <si>
    <t>sourav2u@rediffmail.com</t>
  </si>
  <si>
    <t>Odisha-768201</t>
  </si>
  <si>
    <t>5
(Ex kolkata)</t>
  </si>
  <si>
    <t>1139K</t>
  </si>
  <si>
    <t>Specification not match.</t>
  </si>
  <si>
    <r>
      <rPr>
        <rFont val="Arial"/>
        <color rgb="FF1155CC"/>
        <u/>
      </rPr>
      <t>C201298</t>
    </r>
    <r>
      <rPr>
        <rFont val="Arial"/>
        <color rgb="FF000000"/>
        <u/>
      </rPr>
      <t>5</t>
    </r>
  </si>
  <si>
    <t>M K Shipping &amp; Chartering India Private Limited</t>
  </si>
  <si>
    <t>Petroleum Coke(Raw)</t>
  </si>
  <si>
    <t>capt.dheerajk@gmail.com</t>
  </si>
  <si>
    <t>Kolkata-700087</t>
  </si>
  <si>
    <t>P00018</t>
  </si>
  <si>
    <t>Labard Meditech</t>
  </si>
  <si>
    <t>Potassium Sorbate (Food Grade) (Powder &amp; Granules)</t>
  </si>
  <si>
    <t>labardmeditech.sales@gmail.com</t>
  </si>
  <si>
    <t>450/-KG(S)</t>
  </si>
  <si>
    <t>1138K</t>
  </si>
  <si>
    <t>Party rate - 392/-(Party given rate)</t>
  </si>
  <si>
    <t>C2012984</t>
  </si>
  <si>
    <t>Hindusthan Produce Company(C)</t>
  </si>
  <si>
    <t>reframet@yahoo.com</t>
  </si>
  <si>
    <t>1137K</t>
  </si>
  <si>
    <t>C2012983</t>
  </si>
  <si>
    <t>Goyal Enterprises</t>
  </si>
  <si>
    <t>Sodium Aluminate Crystals</t>
  </si>
  <si>
    <t>2500 kg</t>
  </si>
  <si>
    <t>goyalenterpriseslive@gmail.com</t>
  </si>
  <si>
    <t>Bhopal-462016</t>
  </si>
  <si>
    <t>9300049641/ 9300049642</t>
  </si>
  <si>
    <t>@56+ Ex Bhiwandi</t>
  </si>
  <si>
    <t>890M</t>
  </si>
  <si>
    <t>Q @56 + Ex Bhiwandi as per discussion,</t>
  </si>
  <si>
    <t>C2012982</t>
  </si>
  <si>
    <t>Bengaluru, Karnataka</t>
  </si>
  <si>
    <t>@5.50</t>
  </si>
  <si>
    <t>Require at Dhanbad</t>
  </si>
  <si>
    <t>C2012981</t>
  </si>
  <si>
    <t>Konkan Agro Product(C)</t>
  </si>
  <si>
    <t>bluelaggon1955@gmail.com</t>
  </si>
  <si>
    <t>Mumbai-421501</t>
  </si>
  <si>
    <t>888M</t>
  </si>
  <si>
    <t>Require Next Month</t>
  </si>
  <si>
    <t>C2012980</t>
  </si>
  <si>
    <t>Atlanta Exports</t>
  </si>
  <si>
    <t>Potash Feldspar</t>
  </si>
  <si>
    <t>04.09.2020</t>
  </si>
  <si>
    <t>C2012979</t>
  </si>
  <si>
    <t>Ramen Dutta Company(C)</t>
  </si>
  <si>
    <t>duttarsdgp@gmail.com</t>
  </si>
  <si>
    <t>1135K</t>
  </si>
  <si>
    <t>C2012978</t>
  </si>
  <si>
    <t>Paresh(C)</t>
  </si>
  <si>
    <t>Maltose Dextrose Monohydrate</t>
  </si>
  <si>
    <t>21 Ton</t>
  </si>
  <si>
    <t>paresh.kshah@yahoo.com</t>
  </si>
  <si>
    <t>C2012977</t>
  </si>
  <si>
    <t>Vinayak Gypsum &amp; Interiors Pvt. Ltd.(C)(Prashant Chudasama)</t>
  </si>
  <si>
    <t>sales@vinayakgypsum.com</t>
  </si>
  <si>
    <t>He is importer. He is importing Lime stone from Iran</t>
  </si>
  <si>
    <t>C2012976</t>
  </si>
  <si>
    <t>Acid Slurry,HCL</t>
  </si>
  <si>
    <t>600 ltr(s),1000ltr(s)</t>
  </si>
  <si>
    <t>subhasish.m.2017@gmail.com</t>
  </si>
  <si>
    <t>6290085067/ 7278488578</t>
  </si>
  <si>
    <t>Toilet Cleaner</t>
  </si>
  <si>
    <t>93.50/-kg(s),15/-kg(s)</t>
  </si>
  <si>
    <t>1130K</t>
  </si>
  <si>
    <t>Party Will Come Tomorrow</t>
  </si>
  <si>
    <t>Oder Confirmed</t>
  </si>
  <si>
    <t>P00017</t>
  </si>
  <si>
    <t>Sadhana Enterprise(C)</t>
  </si>
  <si>
    <t>Sodium Silicate Powder, Acid Slurry, Sodium Sulphate</t>
  </si>
  <si>
    <t>1 Ton, 100kg, 500kg</t>
  </si>
  <si>
    <t>jayatidey55@gmail.com</t>
  </si>
  <si>
    <t>53/- , 110/- ,14.50/-</t>
  </si>
  <si>
    <t>1134K</t>
  </si>
  <si>
    <t>Now Party jast want Sodium Silicate 500 kg,Party Will Inform For when she take the material</t>
  </si>
  <si>
    <t>P00016</t>
  </si>
  <si>
    <t>Sumanth Bhattacharyya</t>
  </si>
  <si>
    <t>Calcium Peroxide,China Clay</t>
  </si>
  <si>
    <t>2Ton, 16Ton</t>
  </si>
  <si>
    <t>sumanth2576@rediffmail.com</t>
  </si>
  <si>
    <t>China Clay 6.50/-</t>
  </si>
  <si>
    <t>1133K</t>
  </si>
  <si>
    <t>Party are require both item</t>
  </si>
  <si>
    <t>C2012975</t>
  </si>
  <si>
    <t>Sane Chemicals(C)</t>
  </si>
  <si>
    <t>jiteshsanechem@gmail.com</t>
  </si>
  <si>
    <t>P00015</t>
  </si>
  <si>
    <t>Electrosteel Casting</t>
  </si>
  <si>
    <t>Sodium Benzoate Powder</t>
  </si>
  <si>
    <t>100kg</t>
  </si>
  <si>
    <t>nirajsinha@electrosteel.com</t>
  </si>
  <si>
    <t>Kharda</t>
  </si>
  <si>
    <t>1129K</t>
  </si>
  <si>
    <t>call not received</t>
  </si>
  <si>
    <t>C2012974</t>
  </si>
  <si>
    <t>Sai Raj Traders(C)</t>
  </si>
  <si>
    <t>200 Ton</t>
  </si>
  <si>
    <t>mahaleprashant111@gmail.com</t>
  </si>
  <si>
    <t>Nashik,MH</t>
  </si>
  <si>
    <t>Already Lost</t>
  </si>
  <si>
    <t>Party purchase rate@6-7/- kg.</t>
  </si>
  <si>
    <t>03.09.2020</t>
  </si>
  <si>
    <t>P00014</t>
  </si>
  <si>
    <t>Embee Corporation</t>
  </si>
  <si>
    <t>Animal Tallow based Soap Noodles</t>
  </si>
  <si>
    <t>ashwinembee@gmail.com</t>
  </si>
  <si>
    <t>C2012973</t>
  </si>
  <si>
    <t>SKY International(C)</t>
  </si>
  <si>
    <t>internationalsky3@gmail.com</t>
  </si>
  <si>
    <t>1127K</t>
  </si>
  <si>
    <t>Two days(09/10-09)ph. call not received</t>
  </si>
  <si>
    <t>C2012972</t>
  </si>
  <si>
    <t>Subhakar(C)</t>
  </si>
  <si>
    <t>Starch Powder</t>
  </si>
  <si>
    <t>nareshkumar.chemist@gmail.com</t>
  </si>
  <si>
    <t>Dhenkanal, Orissa</t>
  </si>
  <si>
    <t>27.50/-  12%</t>
  </si>
  <si>
    <t>27.50/-KG(S)</t>
  </si>
  <si>
    <t>1128K</t>
  </si>
  <si>
    <t>Call Him Tuesday</t>
  </si>
  <si>
    <t>C2012971</t>
  </si>
  <si>
    <t>Ashapura Minechem Limited(C)</t>
  </si>
  <si>
    <t>anandp@ashapura.com</t>
  </si>
  <si>
    <t>Porbandar,Gujrat</t>
  </si>
  <si>
    <t>10.5 (93%)
(Ex Bhiwandi)
+5%</t>
  </si>
  <si>
    <t>887M</t>
  </si>
  <si>
    <t>Party purchase rate@7/-</t>
  </si>
  <si>
    <t>C2012970</t>
  </si>
  <si>
    <t>Shiv Prakash Shaw(C)</t>
  </si>
  <si>
    <t>shiwpdsshaw@gmail.com</t>
  </si>
  <si>
    <t>Raniganj, W.B.</t>
  </si>
  <si>
    <t>1126K</t>
  </si>
  <si>
    <t>Party exporter to Bangladesh.so party requirement ammonium alum.</t>
  </si>
  <si>
    <t>C2012969</t>
  </si>
  <si>
    <t>Pankaj K.sahu(C)</t>
  </si>
  <si>
    <t>Acetic Acid,Guar Gum</t>
  </si>
  <si>
    <t>500kg, 500kg</t>
  </si>
  <si>
    <t>Siliguri, W.B.</t>
  </si>
  <si>
    <t>36/-   102/-</t>
  </si>
  <si>
    <t>36/-KG(S),102/-kg(s)</t>
  </si>
  <si>
    <t>1125K</t>
  </si>
  <si>
    <t>Acetic acid- 500 kg., Guar gum - 100kg. party order copy send shortly.</t>
  </si>
  <si>
    <t>C2012968</t>
  </si>
  <si>
    <t>Supreme Chemicals(C)</t>
  </si>
  <si>
    <t>Sorbic Acid</t>
  </si>
  <si>
    <t>supremechems21@gmail.com</t>
  </si>
  <si>
    <t>Mumbai-400083</t>
  </si>
  <si>
    <t>540
+18%</t>
  </si>
  <si>
    <t>540/-KG(S)</t>
  </si>
  <si>
    <t>Party Purchase Rate 450/-KG(S)</t>
  </si>
  <si>
    <t>C2012967</t>
  </si>
  <si>
    <t>Indian Cattle Rock Food Agency(C)</t>
  </si>
  <si>
    <t>dharmenyadavy@gmail.com</t>
  </si>
  <si>
    <t>29
+18%</t>
  </si>
  <si>
    <t>1132K</t>
  </si>
  <si>
    <t>C2012966</t>
  </si>
  <si>
    <t>Ali Irani(C)</t>
  </si>
  <si>
    <t>irani.ali52@gmail.com</t>
  </si>
  <si>
    <t>Barrabazar, W.B.</t>
  </si>
  <si>
    <t>35
+18%</t>
  </si>
  <si>
    <t>1131K</t>
  </si>
  <si>
    <t>P00013</t>
  </si>
  <si>
    <t>MICROLINK SALES CORPORATION(C)</t>
  </si>
  <si>
    <t>ACRYLAMIDE POWDER</t>
  </si>
  <si>
    <t>5 TON</t>
  </si>
  <si>
    <t>kamal.microlinksalescorporation@gmail.com</t>
  </si>
  <si>
    <t>Gujarat-395007</t>
  </si>
  <si>
    <t>Catonic @210, Anionic @150 Ex Bhiwandi</t>
  </si>
  <si>
    <t>886M</t>
  </si>
  <si>
    <t>Party needs Anionic require COA first.</t>
  </si>
  <si>
    <t>COA Quotation send Customer is wants credit 45 days.</t>
  </si>
  <si>
    <t>C2012965</t>
  </si>
  <si>
    <t>Muglesh Rahman(C)</t>
  </si>
  <si>
    <t>muklesur.rm094@gmail.com</t>
  </si>
  <si>
    <t>Petrapole Border</t>
  </si>
  <si>
    <t>C2012964</t>
  </si>
  <si>
    <t>Najibul Ali(C)</t>
  </si>
  <si>
    <t>najibulali200@gmail.com</t>
  </si>
  <si>
    <t>Ghatal.W.B</t>
  </si>
  <si>
    <t>1124K</t>
  </si>
  <si>
    <t>C2012963</t>
  </si>
  <si>
    <t>Liton Dey (C)</t>
  </si>
  <si>
    <t>liton9854@gmail.com</t>
  </si>
  <si>
    <t>Soap Bar</t>
  </si>
  <si>
    <t>1121K</t>
  </si>
  <si>
    <t>C2012962</t>
  </si>
  <si>
    <t>Eastern Instruments &amp; Chemicals</t>
  </si>
  <si>
    <t>rajpatra77@gmail.com</t>
  </si>
  <si>
    <t>Howra -711101</t>
  </si>
  <si>
    <t>43.50/-</t>
  </si>
  <si>
    <t>1122K</t>
  </si>
  <si>
    <t>Party ph. call not received-two time.</t>
  </si>
  <si>
    <t>party require ferrous sulfate for water treatment plant, we send product list.</t>
  </si>
  <si>
    <t>P00012</t>
  </si>
  <si>
    <t>Ferric Alum,Crystal Alum,Soda Ash</t>
  </si>
  <si>
    <t>8Ton,6Ton,2Ton</t>
  </si>
  <si>
    <t>6.50/-   12.50/-   26/-</t>
  </si>
  <si>
    <t>P00011</t>
  </si>
  <si>
    <t>4000 Pieces</t>
  </si>
  <si>
    <t>Praveen Sir</t>
  </si>
  <si>
    <t>P00010</t>
  </si>
  <si>
    <t>Ball Clay Powder</t>
  </si>
  <si>
    <t>Andra Pradesh</t>
  </si>
  <si>
    <t>Party want 10kg sample first . Need for Mushroom Farming.</t>
  </si>
  <si>
    <t>02.09.2020</t>
  </si>
  <si>
    <t>C2012961</t>
  </si>
  <si>
    <t>Nisha Herbal's(C)</t>
  </si>
  <si>
    <t>500kg</t>
  </si>
  <si>
    <t>nishaherbalp@gmail.com</t>
  </si>
  <si>
    <t>Nagpur-440009</t>
  </si>
  <si>
    <t>85-Snow white
80-Swing off white</t>
  </si>
  <si>
    <t>85/-kg(s),80/-kg(s)</t>
  </si>
  <si>
    <t>882M</t>
  </si>
  <si>
    <t>P00009</t>
  </si>
  <si>
    <t>Nitin Mundhra(C)</t>
  </si>
  <si>
    <t>Pet coke</t>
  </si>
  <si>
    <t>nitin.mundhra@yahoo.in</t>
  </si>
  <si>
    <t>P00008</t>
  </si>
  <si>
    <t>Masoom Traders</t>
  </si>
  <si>
    <t>Celite Powder</t>
  </si>
  <si>
    <t>Gomia Bokaro, Jharkhand</t>
  </si>
  <si>
    <t>Party require only indica brand.</t>
  </si>
  <si>
    <t>P00007</t>
  </si>
  <si>
    <t xml:space="preserve">Raja </t>
  </si>
  <si>
    <t>Soda Ash
Sodium Sulphate 
Sodium Carbonate
SLS 
Labsa
Meta Silicate
 Lime</t>
  </si>
  <si>
    <t>15-20 Ton Each Product</t>
  </si>
  <si>
    <t>25/-  12/-   176/-  98/-  6/-+5%   16/- Sodium Carbonate (N/A)</t>
  </si>
  <si>
    <t>Price high each product.</t>
  </si>
  <si>
    <t>C2012960</t>
  </si>
  <si>
    <t>Ronita collection(C)</t>
  </si>
  <si>
    <t>400Liter</t>
  </si>
  <si>
    <t>paro.mom09@gmail.com</t>
  </si>
  <si>
    <t>Kolkata-700092</t>
  </si>
  <si>
    <t>P00006</t>
  </si>
  <si>
    <t>Suresh Ji</t>
  </si>
  <si>
    <t>sureshkumarshanmukha@gmail.com</t>
  </si>
  <si>
    <t>Sambalpur,Odisha</t>
  </si>
  <si>
    <t>3.50/-KG(S)</t>
  </si>
  <si>
    <t>1119K</t>
  </si>
  <si>
    <t>Swich Off</t>
  </si>
  <si>
    <t>C2012959</t>
  </si>
  <si>
    <t>Tirupati Chemical Company(C)</t>
  </si>
  <si>
    <t>biplab.tirupati@rediff.com</t>
  </si>
  <si>
    <t xml:space="preserve">C2012954 Or C2012959 Same Party </t>
  </si>
  <si>
    <t>Party collect to sample our office.</t>
  </si>
  <si>
    <t>C2012958</t>
  </si>
  <si>
    <t>M N S Construction</t>
  </si>
  <si>
    <t>Acid thinner,Hyydrochloric Acid, Coustic Soda, Pine Oil, Alphox 200</t>
  </si>
  <si>
    <t>20Liter, 200Liter, 50kg,50kg, 10liter</t>
  </si>
  <si>
    <t>Dharmatala, Kolkata</t>
  </si>
  <si>
    <t>Hydo 14/- Caustic 52/-</t>
  </si>
  <si>
    <t>Party Target Price 10/- (HCL)</t>
  </si>
  <si>
    <t>P00005</t>
  </si>
  <si>
    <t>Kamlesh Barma</t>
  </si>
  <si>
    <t>Sorbitol Powder(Food Grade)</t>
  </si>
  <si>
    <t>350/-</t>
  </si>
  <si>
    <t>350/-KG(S)</t>
  </si>
  <si>
    <t>1118K</t>
  </si>
  <si>
    <t>Party Target Price 180/-</t>
  </si>
  <si>
    <t>C2012957</t>
  </si>
  <si>
    <t>Mrinal Saha(C)</t>
  </si>
  <si>
    <t>1ton, 1ton, 500kg, 500kg, 500kg</t>
  </si>
  <si>
    <t>chempure54@gmail.com</t>
  </si>
  <si>
    <t>Chem Pure, Kolkata</t>
  </si>
  <si>
    <t>CAUSTIC SODA PRILLS-65
Potassium Sulphate-65
Barium Chloride-60
Potassium iodide-3500</t>
  </si>
  <si>
    <t>CAUSTIC SODA PRILLS-65 Potassium Sulphate-65 Barium Chloride-60 Potassium iodide-3500</t>
  </si>
  <si>
    <t>1120K</t>
  </si>
  <si>
    <t>C2012956</t>
  </si>
  <si>
    <t>Mahabir Sabun Udyog(C)</t>
  </si>
  <si>
    <t>AOS Liquid</t>
  </si>
  <si>
    <t>anishxiaomi@gmail.com</t>
  </si>
  <si>
    <t>Chakulia-832301</t>
  </si>
  <si>
    <t>50 +18%
Godrej</t>
  </si>
  <si>
    <t>50/-KG(S)</t>
  </si>
  <si>
    <t>1116K</t>
  </si>
  <si>
    <t>Party Target Price 42/- kg(s)+ Gst</t>
  </si>
  <si>
    <t>Rate Problem</t>
  </si>
  <si>
    <t>C2012955</t>
  </si>
  <si>
    <t>Shahid(C)</t>
  </si>
  <si>
    <t>Antiscalant</t>
  </si>
  <si>
    <t>saifpolymer@gmail.com</t>
  </si>
  <si>
    <t>Barasat-700124</t>
  </si>
  <si>
    <t>C2012954</t>
  </si>
  <si>
    <t>Tirupati Chemical Company</t>
  </si>
  <si>
    <t>mukherjee.biplab75@gmail.com</t>
  </si>
  <si>
    <t>1114K</t>
  </si>
  <si>
    <t>photo copy send by whatups.</t>
  </si>
  <si>
    <t>Party collect sample our office.</t>
  </si>
  <si>
    <t>C2012953</t>
  </si>
  <si>
    <t>Chaitanya</t>
  </si>
  <si>
    <t>chaiitanyaabhosaley@gmail.com</t>
  </si>
  <si>
    <t>Personal Purpose</t>
  </si>
  <si>
    <t>Q Rs 275 + gst Ex Bhiwandi</t>
  </si>
  <si>
    <t>883M</t>
  </si>
  <si>
    <t>01.09.2020</t>
  </si>
  <si>
    <t>P00004</t>
  </si>
  <si>
    <t>MACON India</t>
  </si>
  <si>
    <t>Verbally Quoted</t>
  </si>
  <si>
    <t>Pravin</t>
  </si>
  <si>
    <t>P00003</t>
  </si>
  <si>
    <t>Arun Patel</t>
  </si>
  <si>
    <t>arunpatel_6372@yahoo.co.in</t>
  </si>
  <si>
    <t>13.50/-</t>
  </si>
  <si>
    <t>1123K</t>
  </si>
  <si>
    <t>Party purchase price@12.50/- per kg.</t>
  </si>
  <si>
    <t>P00002</t>
  </si>
  <si>
    <t>Sumit Chakraborty</t>
  </si>
  <si>
    <t>Ferric alum powder</t>
  </si>
  <si>
    <t>samchakraborty1969@gmail.com</t>
  </si>
  <si>
    <t>C2012952</t>
  </si>
  <si>
    <t>Hrushikesh Dash Mohapatra</t>
  </si>
  <si>
    <t>hdashmohapatra@gmail.com</t>
  </si>
  <si>
    <t>1111K</t>
  </si>
  <si>
    <t>Party agree to purchase @24/- per kg.</t>
  </si>
  <si>
    <t>Party purchase @12/-, so lost.</t>
  </si>
  <si>
    <t>P00001</t>
  </si>
  <si>
    <t>Epsom salt</t>
  </si>
  <si>
    <t>rohit.blueteaindia@gmail.com</t>
  </si>
  <si>
    <t>31/-</t>
  </si>
  <si>
    <t>C2012951</t>
  </si>
  <si>
    <t>Suman(C)</t>
  </si>
  <si>
    <t>Bed Materials</t>
  </si>
  <si>
    <t xml:space="preserve"> sumanta@alpinedistilleries.co.in</t>
  </si>
  <si>
    <t>party send to photocopy and rate.</t>
  </si>
  <si>
    <t>C2012950</t>
  </si>
  <si>
    <t>amitshawji@gmail.com</t>
  </si>
  <si>
    <t>C2012949</t>
  </si>
  <si>
    <t>Anshu Modular Kitchen &amp; Entro(C)</t>
  </si>
  <si>
    <t>borapradyumna@gmail.com</t>
  </si>
  <si>
    <t>Nashik-423101</t>
  </si>
  <si>
    <t>881M</t>
  </si>
  <si>
    <t>Party Purchase Prise 14/-KG(S)</t>
  </si>
  <si>
    <t>C2012948</t>
  </si>
  <si>
    <t>Dhanashree Traders(C)</t>
  </si>
  <si>
    <t>shivajiraodongare2016@gmail.com</t>
  </si>
  <si>
    <t>Tuljapur-413601</t>
  </si>
  <si>
    <t>Quote 100+</t>
  </si>
  <si>
    <t>.</t>
  </si>
  <si>
    <t>C2012947</t>
  </si>
  <si>
    <t>Sweta Pandey</t>
  </si>
  <si>
    <t xml:space="preserve"> raniwdraj@gmail.com</t>
  </si>
  <si>
    <t>Sonbhadra, UP</t>
  </si>
  <si>
    <t>C2012946</t>
  </si>
  <si>
    <t>Tariq Shafeeque</t>
  </si>
  <si>
    <t>Solid Paraffin</t>
  </si>
  <si>
    <t>tariqshafeeq786@gmail.com</t>
  </si>
  <si>
    <t>70 - Refined NRL Brand
65 - Semi refined</t>
  </si>
  <si>
    <t>70/-KG(S),65/-KG(S)</t>
  </si>
  <si>
    <t>1112K</t>
  </si>
  <si>
    <t>Delivery Location Problem.</t>
  </si>
  <si>
    <t>D2020-001</t>
  </si>
  <si>
    <t>Krishnendu Dey</t>
  </si>
  <si>
    <t>china clay powder
Calcite Powder,Dolomite,acid slurry,
sodium silicate powder,sls</t>
  </si>
  <si>
    <t>1000,1000,1000,200,200,50</t>
  </si>
  <si>
    <t>krishnendu dey &lt;krishnendu.oms@gmail.com&gt;</t>
  </si>
  <si>
    <t>9831760212 || 9073978585</t>
  </si>
  <si>
    <t>8/- 5% 7.50/- 5% 8/- +5% 109/-  58/- 201/-</t>
  </si>
  <si>
    <t>8/- 5% 7.50/- 5% 8/- +5% 109/- 58/- 201/-</t>
  </si>
  <si>
    <t>1115K</t>
  </si>
  <si>
    <t>Price high so every item.</t>
  </si>
  <si>
    <t>C2012945</t>
  </si>
  <si>
    <t>Sodium Sulfate,Sodium Silicate Powder,Acetic Acid,Dolomite Powder</t>
  </si>
  <si>
    <t>500kg,500kg,500kg,500kg</t>
  </si>
  <si>
    <t xml:space="preserve"> tarakbiswaskk@gmail.com</t>
  </si>
  <si>
    <t>14/-, 54/-, 36/-, 9/-+ 5%</t>
  </si>
  <si>
    <t>14/-kgs,54/-kgs,36/-kgs,9/-</t>
  </si>
  <si>
    <t>1110K</t>
  </si>
  <si>
    <t>Party already purchase calcium powder- 100kg. and next requirement- 1mt.</t>
  </si>
  <si>
    <t>C2012944</t>
  </si>
  <si>
    <t>B D Enterprise</t>
  </si>
  <si>
    <t>Soft Wood Charcoal</t>
  </si>
  <si>
    <t xml:space="preserve"> dulal3121961@gmail.com</t>
  </si>
  <si>
    <t>1109K</t>
  </si>
  <si>
    <t>Price high, not interested.</t>
  </si>
  <si>
    <t>C2012943</t>
  </si>
  <si>
    <r>
      <rPr>
        <rFont val="Arial"/>
        <b/>
        <color theme="1"/>
      </rPr>
      <t>Advance Enterprise</t>
    </r>
    <r>
      <rPr>
        <rFont val="Arial"/>
        <color theme="1"/>
      </rPr>
      <t xml:space="preserve"> (C)</t>
    </r>
  </si>
  <si>
    <t>Zinc Oxide</t>
  </si>
  <si>
    <t>advance_parma@yahoo.com</t>
  </si>
  <si>
    <t>1107K</t>
  </si>
  <si>
    <t>Party purchase rate @150/-</t>
  </si>
  <si>
    <t>C2012942</t>
  </si>
  <si>
    <t>Clean &amp; Fresh Chemical(C)</t>
  </si>
  <si>
    <t>Sodium Silicate Powder,Calcite Powder,AOS powder,Costick Soda,Acid Slurry,Dolomite Powder</t>
  </si>
  <si>
    <t>50kg,2ton,100kg,100kg,220kg,1ton</t>
  </si>
  <si>
    <t>cleanandfresh22@gmail.com</t>
  </si>
  <si>
    <t>Malda:-732128</t>
  </si>
  <si>
    <t>76/-   7/- +5% 118/-  42/- 108/-  7.50/- +5%</t>
  </si>
  <si>
    <t>70/-kgs,7/-kgs,118/-kgs,42/-kgs,98/-kgs,7.50/-kgs</t>
  </si>
  <si>
    <t>1108K</t>
  </si>
  <si>
    <r>
      <rPr>
        <rFont val="Arial"/>
        <b/>
        <color theme="1"/>
      </rPr>
      <t>Amochem</t>
    </r>
    <r>
      <rPr>
        <rFont val="Arial"/>
        <color theme="1"/>
      </rPr>
      <t xml:space="preserve"> (C)</t>
    </r>
  </si>
  <si>
    <t>amochem2015@gmail.com</t>
  </si>
  <si>
    <t>9874487887/ 8336986592</t>
  </si>
  <si>
    <t>Soap Purpose</t>
  </si>
  <si>
    <t>Quote not send</t>
  </si>
  <si>
    <t>C2012940</t>
  </si>
  <si>
    <r>
      <rPr>
        <rFont val="Arial"/>
        <b/>
        <color theme="1"/>
      </rPr>
      <t>Sandip Mallick</t>
    </r>
    <r>
      <rPr>
        <rFont val="Arial"/>
        <color theme="1"/>
      </rPr>
      <t xml:space="preserve"> (C)</t>
    </r>
  </si>
  <si>
    <t>sandip.mallick42@gmail.com</t>
  </si>
  <si>
    <t>1106K</t>
  </si>
  <si>
    <t>Party interested are local purchase because freight charges high.</t>
  </si>
  <si>
    <t>C2012939</t>
  </si>
  <si>
    <t>Ayurved(C)</t>
  </si>
  <si>
    <t>mdyunusgazi@gmail.com</t>
  </si>
  <si>
    <t>North 24 Parganas - 743411</t>
  </si>
  <si>
    <t>Toothpest Manufacturing</t>
  </si>
  <si>
    <t>20.50/-</t>
  </si>
  <si>
    <t>20.50/-KG(S)</t>
  </si>
  <si>
    <t>1105K</t>
  </si>
  <si>
    <t>Sample Pickup day after tomorrow</t>
  </si>
  <si>
    <t>Sample Collected.</t>
  </si>
  <si>
    <t>C2012938</t>
  </si>
  <si>
    <t>Tirupati Chemicals</t>
  </si>
  <si>
    <t>Kolkata-700006</t>
  </si>
  <si>
    <t>1104K</t>
  </si>
  <si>
    <t>C2012937</t>
  </si>
  <si>
    <t>Olivine Mercantiles Pvt.Ltd.</t>
  </si>
  <si>
    <t>Ferrous Gluconate</t>
  </si>
  <si>
    <t>info@olivinemercantiles.com</t>
  </si>
  <si>
    <t>9830299838/ 9432318576</t>
  </si>
  <si>
    <t>C2012936</t>
  </si>
  <si>
    <r>
      <rPr>
        <rFont val="Arial"/>
        <b/>
        <color theme="1"/>
      </rPr>
      <t>Shree Sai Agrofresh</t>
    </r>
    <r>
      <rPr>
        <rFont val="Arial"/>
        <color theme="1"/>
      </rPr>
      <t xml:space="preserve"> (C)</t>
    </r>
  </si>
  <si>
    <t>shreesaiinfotech@gmail.com</t>
  </si>
  <si>
    <t>4/- 5.50/-</t>
  </si>
  <si>
    <t>4/-Pcs,5.50/-Pcs</t>
  </si>
  <si>
    <t>880M</t>
  </si>
  <si>
    <t>C2012935</t>
  </si>
  <si>
    <t>Pahel Agarwal (C)</t>
  </si>
  <si>
    <t>agarwal.pahel@gmail.com</t>
  </si>
  <si>
    <t xml:space="preserve">4.50/- 6/- </t>
  </si>
  <si>
    <t>4.50/-pcs,6/-pcs</t>
  </si>
  <si>
    <t>879M</t>
  </si>
  <si>
    <t>30.08.2020</t>
  </si>
  <si>
    <t>C2012934</t>
  </si>
  <si>
    <r>
      <rPr>
        <rFont val="Arial"/>
        <b/>
        <color theme="1"/>
      </rPr>
      <t>Hiteshree Industries</t>
    </r>
    <r>
      <rPr>
        <rFont val="Arial"/>
        <color theme="1"/>
      </rPr>
      <t>(C)</t>
    </r>
  </si>
  <si>
    <t>ashvin.patel@gmail.com</t>
  </si>
  <si>
    <t>Ahmedabad-382480</t>
  </si>
  <si>
    <t>@70+ (55%)</t>
  </si>
  <si>
    <t>Party Purchasing @47</t>
  </si>
  <si>
    <t>C2012933</t>
  </si>
  <si>
    <t>Mahesh Roy(C)</t>
  </si>
  <si>
    <t>maheshroy310@gmail.com</t>
  </si>
  <si>
    <t>Phatar Pratima</t>
  </si>
  <si>
    <t>C2012932</t>
  </si>
  <si>
    <t>1099K</t>
  </si>
  <si>
    <t>C2012931</t>
  </si>
  <si>
    <t>Kalyan Aggarwal</t>
  </si>
  <si>
    <t>kmagrawal430@gmail.com</t>
  </si>
  <si>
    <t>878M</t>
  </si>
  <si>
    <t>C2012930</t>
  </si>
  <si>
    <t>Chirag Gandhi (C)</t>
  </si>
  <si>
    <t>chiraggandhi221901@gmail.com</t>
  </si>
  <si>
    <t>Washing Purpose</t>
  </si>
  <si>
    <t>116/-</t>
  </si>
  <si>
    <t>116/-KG(S)</t>
  </si>
  <si>
    <t>1102K</t>
  </si>
  <si>
    <t>Monty Da</t>
  </si>
  <si>
    <t>C2012929</t>
  </si>
  <si>
    <t>SS Impex</t>
  </si>
  <si>
    <t>ssimpex1988@gmail.com</t>
  </si>
  <si>
    <t>1098K2</t>
  </si>
  <si>
    <t>Party purchase price @ 12/13 , purchase to manufacture.</t>
  </si>
  <si>
    <t>C2012928</t>
  </si>
  <si>
    <t>Anu Chem Industries</t>
  </si>
  <si>
    <t>anuchem29@gmail.com</t>
  </si>
  <si>
    <t>885M</t>
  </si>
  <si>
    <t>C2012927</t>
  </si>
  <si>
    <t>Mohammed</t>
  </si>
  <si>
    <t>chefsalimansari26@gmail.com</t>
  </si>
  <si>
    <t>111/-</t>
  </si>
  <si>
    <t>105/-KG(S)</t>
  </si>
  <si>
    <t>877M</t>
  </si>
  <si>
    <t>C2012926</t>
  </si>
  <si>
    <t>Nirmal Kumar (C)</t>
  </si>
  <si>
    <t>EDTA Salts</t>
  </si>
  <si>
    <t>nirmalnirala786@gmail.com</t>
  </si>
  <si>
    <t>Party do not idea this product, first time started this business.</t>
  </si>
  <si>
    <t>C2012925</t>
  </si>
  <si>
    <r>
      <rPr>
        <rFont val="Arial"/>
        <b/>
        <color theme="1"/>
      </rPr>
      <t>Mukesh Enterprises</t>
    </r>
    <r>
      <rPr>
        <rFont val="Arial"/>
        <b/>
        <color theme="1"/>
      </rPr>
      <t xml:space="preserve"> (C)</t>
    </r>
  </si>
  <si>
    <t>mukesh.enterprises89@gmail.com</t>
  </si>
  <si>
    <t>Jainagar</t>
  </si>
  <si>
    <t>Pond Purpose</t>
  </si>
  <si>
    <t>1101K</t>
  </si>
  <si>
    <t>Order not confirmed...</t>
  </si>
  <si>
    <t>C2012924</t>
  </si>
  <si>
    <r>
      <rPr>
        <rFont val="Arial"/>
        <b/>
        <color theme="1"/>
      </rPr>
      <t>Rameshwar Polyflex Industry</t>
    </r>
    <r>
      <rPr>
        <rFont val="Arial"/>
        <b/>
        <color theme="1"/>
      </rPr>
      <t xml:space="preserve"> (C)</t>
    </r>
  </si>
  <si>
    <t>rameshwarpolyflex@gmail.com</t>
  </si>
  <si>
    <t>33 + ex Bhiwandi</t>
  </si>
  <si>
    <t>Will quote, checking rate with manufaturer.</t>
  </si>
  <si>
    <t>Party require sample first will use in Ceramic. Rate given @33+ ex Bhiwandi</t>
  </si>
  <si>
    <t>C2012923</t>
  </si>
  <si>
    <t>Suraj Kadam</t>
  </si>
  <si>
    <t>surajkadam63@gmail.com</t>
  </si>
  <si>
    <t>Baramati-413133</t>
  </si>
  <si>
    <t>82/-</t>
  </si>
  <si>
    <t>876M</t>
  </si>
  <si>
    <t>Rate given over phone Rs 85+</t>
  </si>
  <si>
    <t>29.08.2020</t>
  </si>
  <si>
    <t>C2012922</t>
  </si>
  <si>
    <t>Abu Raian</t>
  </si>
  <si>
    <t xml:space="preserve">Monty Da </t>
  </si>
  <si>
    <t>Party ill Inform</t>
  </si>
  <si>
    <t>C2012921</t>
  </si>
  <si>
    <t>Prema Barman</t>
  </si>
  <si>
    <t>Sodium Silicate,Sodium Sulphate,Acid Slurry</t>
  </si>
  <si>
    <t>500 KG(S),200 Ltr</t>
  </si>
  <si>
    <t>Cochbihar</t>
  </si>
  <si>
    <t>Dish Wash Purpose</t>
  </si>
  <si>
    <t>60/-kgs,18/-kgs,97/-kgs</t>
  </si>
  <si>
    <t>1091K</t>
  </si>
  <si>
    <t>Process ongoing.</t>
  </si>
  <si>
    <t>C2012920</t>
  </si>
  <si>
    <r>
      <rPr>
        <rFont val="Arial"/>
        <b/>
        <color theme="1"/>
      </rPr>
      <t>BD Enterprises</t>
    </r>
    <r>
      <rPr>
        <rFont val="Arial"/>
        <color theme="1"/>
      </rPr>
      <t xml:space="preserve"> (C)</t>
    </r>
  </si>
  <si>
    <t>Quote not send.</t>
  </si>
  <si>
    <t>C2012919</t>
  </si>
  <si>
    <t>Sodium Silicate Powder,Sodium Sulphate,Acid Slurry</t>
  </si>
  <si>
    <t>each 100 kg(s)</t>
  </si>
  <si>
    <t>64/-kgs,25/-kgs,114/-kgs</t>
  </si>
  <si>
    <t>1096K</t>
  </si>
  <si>
    <t>C2012918</t>
  </si>
  <si>
    <t>Nripendra Nath Saha</t>
  </si>
  <si>
    <t>1092K</t>
  </si>
  <si>
    <t>Party purchase price@4/-</t>
  </si>
  <si>
    <t>C2012917</t>
  </si>
  <si>
    <t>Swara Patil (C)</t>
  </si>
  <si>
    <t>Thane-401305</t>
  </si>
  <si>
    <t>3.50/-Pcs,5/-Pcs</t>
  </si>
  <si>
    <t>875M</t>
  </si>
  <si>
    <t>C2012916</t>
  </si>
  <si>
    <r>
      <rPr>
        <rFont val="Arial"/>
        <b/>
        <color theme="1"/>
      </rPr>
      <t>Orissa Agro Products</t>
    </r>
    <r>
      <rPr>
        <rFont val="Arial"/>
        <color theme="1"/>
      </rPr>
      <t xml:space="preserve"> (C)</t>
    </r>
  </si>
  <si>
    <t>1095K</t>
  </si>
  <si>
    <t>Party purchase price @16/- pkg. Price high.</t>
  </si>
  <si>
    <t>C2012915</t>
  </si>
  <si>
    <t>C2012914</t>
  </si>
  <si>
    <t>Biswajit Pal</t>
  </si>
  <si>
    <t>Formalin</t>
  </si>
  <si>
    <t>Party purchase rate-@23/- per kg.</t>
  </si>
  <si>
    <t>C2012913</t>
  </si>
  <si>
    <r>
      <rPr>
        <rFont val="Arial"/>
        <b/>
        <color theme="1"/>
      </rPr>
      <t>STS Enterprises</t>
    </r>
    <r>
      <rPr>
        <rFont val="Arial"/>
        <color theme="1"/>
      </rPr>
      <t xml:space="preserve"> (C)</t>
    </r>
  </si>
  <si>
    <t>1093K</t>
  </si>
  <si>
    <t>Today Came At our Office..Rate Problem.</t>
  </si>
  <si>
    <t>C2012912</t>
  </si>
  <si>
    <r>
      <rPr>
        <rFont val="Arial"/>
        <b/>
        <color theme="1"/>
      </rPr>
      <t>Redplum Pvt.Ltd.</t>
    </r>
    <r>
      <rPr>
        <rFont val="Arial"/>
        <color theme="1"/>
      </rPr>
      <t xml:space="preserve"> (C)</t>
    </r>
  </si>
  <si>
    <t>Faridabad-121006</t>
  </si>
  <si>
    <t>Bathtub Making Purpose</t>
  </si>
  <si>
    <t>As per discussion party require 100kg only Biswajit da no. given to party they will procure from kolkara</t>
  </si>
  <si>
    <t>C2012911</t>
  </si>
  <si>
    <r>
      <rPr>
        <rFont val="Arial"/>
        <b/>
        <color theme="1"/>
      </rPr>
      <t xml:space="preserve">Krishna Ji Creation </t>
    </r>
    <r>
      <rPr>
        <rFont val="Arial"/>
        <color theme="1"/>
      </rPr>
      <t>(C)</t>
    </r>
  </si>
  <si>
    <t>874M</t>
  </si>
  <si>
    <t>Party target price 6 - 7</t>
  </si>
  <si>
    <t>C2012910</t>
  </si>
  <si>
    <t>Kalpalata Dwary (C)</t>
  </si>
  <si>
    <t>Aluminium Oxide,Glass Powder</t>
  </si>
  <si>
    <t>1 ton(s),1ton(s)</t>
  </si>
  <si>
    <t>Craft Purpose</t>
  </si>
  <si>
    <t>75/-KG(S),9.50/-KG(S)</t>
  </si>
  <si>
    <t>1094K</t>
  </si>
  <si>
    <t>28.08.2020</t>
  </si>
  <si>
    <t>C2012909</t>
  </si>
  <si>
    <r>
      <rPr>
        <rFont val="Arial"/>
        <b/>
        <color theme="1"/>
      </rPr>
      <t>Balaji Traders</t>
    </r>
    <r>
      <rPr>
        <rFont val="Arial"/>
        <color theme="1"/>
      </rPr>
      <t xml:space="preserve"> (C)</t>
    </r>
  </si>
  <si>
    <t>Govt Supply</t>
  </si>
  <si>
    <t>1097K</t>
  </si>
  <si>
    <t>C2012908</t>
  </si>
  <si>
    <t>Ansari</t>
  </si>
  <si>
    <t>873M</t>
  </si>
  <si>
    <t>C2012907</t>
  </si>
  <si>
    <t>Sourav Ghosh (C)</t>
  </si>
  <si>
    <t>C2012906</t>
  </si>
  <si>
    <t>Jishnu Adhikary</t>
  </si>
  <si>
    <t>Bardhaman-713121</t>
  </si>
  <si>
    <t>1088K</t>
  </si>
  <si>
    <t>Rate high</t>
  </si>
  <si>
    <t>C2012905</t>
  </si>
  <si>
    <r>
      <rPr>
        <rFont val="Arial"/>
        <b/>
        <color theme="1"/>
      </rPr>
      <t>Sharni Enterprises</t>
    </r>
    <r>
      <rPr>
        <rFont val="Arial"/>
        <color theme="1"/>
      </rPr>
      <t xml:space="preserve"> (C)</t>
    </r>
  </si>
  <si>
    <t>872M</t>
  </si>
  <si>
    <t>C2012904</t>
  </si>
  <si>
    <t>Poorimal Enterprise</t>
  </si>
  <si>
    <t>1087K</t>
  </si>
  <si>
    <t>Party require next month.</t>
  </si>
  <si>
    <t>C2012903</t>
  </si>
  <si>
    <t>JCB Orgocan</t>
  </si>
  <si>
    <t>1085K</t>
  </si>
  <si>
    <t>Reply after 2 hours.</t>
  </si>
  <si>
    <t>Party purchase rate @33/- but 30 days credit.</t>
  </si>
  <si>
    <t>Pulak Bagh (C)</t>
  </si>
  <si>
    <t>1084K</t>
  </si>
  <si>
    <t>C2012901</t>
  </si>
  <si>
    <t>Atl Baldi (C)</t>
  </si>
  <si>
    <t>871M</t>
  </si>
  <si>
    <t>C2012900</t>
  </si>
  <si>
    <r>
      <rPr>
        <rFont val="Arial"/>
        <b/>
        <color theme="1"/>
      </rPr>
      <t>Anand Shah (</t>
    </r>
    <r>
      <rPr>
        <rFont val="Arial"/>
        <color theme="1"/>
      </rPr>
      <t>C)</t>
    </r>
  </si>
  <si>
    <t>Rate Given Verbally.4.50/-Pcs</t>
  </si>
  <si>
    <t>C2012899</t>
  </si>
  <si>
    <r>
      <rPr>
        <rFont val="Arial"/>
        <b/>
        <color theme="1"/>
      </rPr>
      <t xml:space="preserve">RR Pandey Traders </t>
    </r>
    <r>
      <rPr>
        <rFont val="Arial"/>
        <color theme="1"/>
      </rPr>
      <t>(C)</t>
    </r>
  </si>
  <si>
    <t>C2012898</t>
  </si>
  <si>
    <r>
      <rPr>
        <rFont val="Arial"/>
        <b/>
        <color theme="1"/>
      </rPr>
      <t>Biswaa Trade International</t>
    </r>
    <r>
      <rPr>
        <rFont val="Arial"/>
        <color theme="1"/>
      </rPr>
      <t xml:space="preserve"> (C)</t>
    </r>
  </si>
  <si>
    <t>C2012897</t>
  </si>
  <si>
    <t>Joaquim Fernandes</t>
  </si>
  <si>
    <t>Stone Gravel</t>
  </si>
  <si>
    <t>Landscapping Purpose</t>
  </si>
  <si>
    <t>C2012896</t>
  </si>
  <si>
    <r>
      <rPr>
        <rFont val="Arial"/>
        <b/>
        <color theme="1"/>
      </rPr>
      <t>Shree Ram Radha Raj Enterprises</t>
    </r>
    <r>
      <rPr>
        <rFont val="Arial"/>
        <color theme="1"/>
      </rPr>
      <t xml:space="preserve"> (C)</t>
    </r>
  </si>
  <si>
    <t>1079K</t>
  </si>
  <si>
    <t>C2012895</t>
  </si>
  <si>
    <t>Vinayak Consultancy</t>
  </si>
  <si>
    <t>1081K</t>
  </si>
  <si>
    <t>C2012894</t>
  </si>
  <si>
    <t>Madhav Aggarbatti</t>
  </si>
  <si>
    <t>870M</t>
  </si>
  <si>
    <t>C2012893</t>
  </si>
  <si>
    <t>Samiran Koley</t>
  </si>
  <si>
    <t>Haldia-721602</t>
  </si>
  <si>
    <t>1082K</t>
  </si>
  <si>
    <t>C2012892</t>
  </si>
  <si>
    <t>Aqib</t>
  </si>
  <si>
    <t>869M</t>
  </si>
  <si>
    <t>C2012891</t>
  </si>
  <si>
    <t>Kishan</t>
  </si>
  <si>
    <t>1080K</t>
  </si>
  <si>
    <t>wrong enquery,so lost.</t>
  </si>
  <si>
    <t>C2012890</t>
  </si>
  <si>
    <t>Saha Chemicals</t>
  </si>
  <si>
    <t>Methanol</t>
  </si>
  <si>
    <t>Lab Purpose</t>
  </si>
  <si>
    <t>26.08.2020</t>
  </si>
  <si>
    <t>C2012889</t>
  </si>
  <si>
    <t>Vinod Bhalerao</t>
  </si>
  <si>
    <t>Mumbai-400070</t>
  </si>
  <si>
    <t>C2012888</t>
  </si>
  <si>
    <t>Jahangir SK</t>
  </si>
  <si>
    <t>C2012887</t>
  </si>
  <si>
    <t>Dinesh Wadkar(C)</t>
  </si>
  <si>
    <t>Black Silicon Carbide</t>
  </si>
  <si>
    <t>Udgir</t>
  </si>
  <si>
    <t>C2012886</t>
  </si>
  <si>
    <t>Goutam Kundu</t>
  </si>
  <si>
    <t>C2012885</t>
  </si>
  <si>
    <t>Mridul Agarwal</t>
  </si>
  <si>
    <t>1077K</t>
  </si>
  <si>
    <t>C2012884</t>
  </si>
  <si>
    <r>
      <rPr>
        <rFont val="Arial"/>
        <b/>
        <color theme="1"/>
      </rPr>
      <t>Hensh International</t>
    </r>
    <r>
      <rPr>
        <rFont val="Arial"/>
        <color theme="1"/>
      </rPr>
      <t xml:space="preserve"> (C)</t>
    </r>
  </si>
  <si>
    <t>Vite-415311</t>
  </si>
  <si>
    <t>867M</t>
  </si>
  <si>
    <t>C2012883</t>
  </si>
  <si>
    <t>Rajesh Bairagi</t>
  </si>
  <si>
    <t>C2012882</t>
  </si>
  <si>
    <r>
      <rPr>
        <rFont val="Arial"/>
        <b/>
        <color theme="1"/>
      </rPr>
      <t>Consocio Food To Go Pvt.Ltd</t>
    </r>
    <r>
      <rPr>
        <rFont val="Arial"/>
        <color theme="1"/>
      </rPr>
      <t>. (C)</t>
    </r>
  </si>
  <si>
    <t>Ethylene Absorber(5 gm)</t>
  </si>
  <si>
    <t>Pune-411038</t>
  </si>
  <si>
    <t>868M</t>
  </si>
  <si>
    <t>C2012881</t>
  </si>
  <si>
    <t>Vijay Thorat</t>
  </si>
  <si>
    <t>866M</t>
  </si>
  <si>
    <t>C2012880</t>
  </si>
  <si>
    <t>Tutul (C)</t>
  </si>
  <si>
    <t>1076K</t>
  </si>
  <si>
    <t>C2012879</t>
  </si>
  <si>
    <t>Mrinmoy Mazumder</t>
  </si>
  <si>
    <t>Marble Dust</t>
  </si>
  <si>
    <t>1075K</t>
  </si>
  <si>
    <t>Party purchase price@5.50/- At Chandannagar</t>
  </si>
  <si>
    <t>C2012878</t>
  </si>
  <si>
    <r>
      <rPr>
        <rFont val="Arial"/>
        <b/>
        <color theme="1"/>
      </rPr>
      <t>Vrandawan Agencies</t>
    </r>
    <r>
      <rPr>
        <rFont val="Arial"/>
        <color theme="1"/>
      </rPr>
      <t xml:space="preserve"> (C)</t>
    </r>
  </si>
  <si>
    <t>Jaipur-303301</t>
  </si>
  <si>
    <t>Shamim Ahmed</t>
  </si>
  <si>
    <t>123/-KG(S)</t>
  </si>
  <si>
    <t>1074K</t>
  </si>
  <si>
    <t>C2012876</t>
  </si>
  <si>
    <t>Avik Chakraborty(C)</t>
  </si>
  <si>
    <t>C2012875</t>
  </si>
  <si>
    <t>Kuldeep Lakhotia</t>
  </si>
  <si>
    <t>25.08.2020</t>
  </si>
  <si>
    <t>C2012874</t>
  </si>
  <si>
    <t>Sumat Kumar Shukla(C)</t>
  </si>
  <si>
    <t>Gonda</t>
  </si>
  <si>
    <t>C2012873</t>
  </si>
  <si>
    <t>Siddharth Doshi (C)</t>
  </si>
  <si>
    <t>Petroleum Coke.</t>
  </si>
  <si>
    <t>Mumbai-400101</t>
  </si>
  <si>
    <t>Melting Purpose</t>
  </si>
  <si>
    <t>C2012872</t>
  </si>
  <si>
    <t>Naman Madhogarhia</t>
  </si>
  <si>
    <t>52/-KG(S)</t>
  </si>
  <si>
    <t>1073K</t>
  </si>
  <si>
    <t>C2012871</t>
  </si>
  <si>
    <r>
      <rPr>
        <rFont val="Arial"/>
        <b/>
        <color theme="1"/>
      </rPr>
      <t>Nur Trading</t>
    </r>
    <r>
      <rPr>
        <rFont val="Arial"/>
        <color theme="1"/>
      </rPr>
      <t>(C)</t>
    </r>
  </si>
  <si>
    <t>C2012870</t>
  </si>
  <si>
    <t>Vinod Jain</t>
  </si>
  <si>
    <t>Mumbai-400057</t>
  </si>
  <si>
    <t>865M</t>
  </si>
  <si>
    <t>C2012869</t>
  </si>
  <si>
    <r>
      <rPr>
        <rFont val="Arial"/>
        <b/>
        <color theme="1"/>
      </rPr>
      <t>Maa Enterprise</t>
    </r>
    <r>
      <rPr>
        <rFont val="Arial"/>
        <color theme="1"/>
      </rPr>
      <t xml:space="preserve"> (C)</t>
    </r>
  </si>
  <si>
    <t>Bhagalpur-853204</t>
  </si>
  <si>
    <t>C2012868</t>
  </si>
  <si>
    <t>Reehal Sukhdav Singh (C)</t>
  </si>
  <si>
    <t>Charcoal Powder,Guar Gum</t>
  </si>
  <si>
    <t>5 Ton(s),1Ton(s)</t>
  </si>
  <si>
    <t>12/-kg(s),85/-kg(s)</t>
  </si>
  <si>
    <t>1090K</t>
  </si>
  <si>
    <t>C2012867</t>
  </si>
  <si>
    <t>MS (C)</t>
  </si>
  <si>
    <t>Candle Making Purpose</t>
  </si>
  <si>
    <t>74/-KG(S)</t>
  </si>
  <si>
    <t>1086K</t>
  </si>
  <si>
    <t>C2012866</t>
  </si>
  <si>
    <t>Timir Paul (C)</t>
  </si>
  <si>
    <t>1078K</t>
  </si>
  <si>
    <t>C2012865</t>
  </si>
  <si>
    <t>Shweta Saini</t>
  </si>
  <si>
    <t>Pyrophyllite Lumps</t>
  </si>
  <si>
    <t>C2012864</t>
  </si>
  <si>
    <t xml:space="preserve">Guru Krupa Enterprise </t>
  </si>
  <si>
    <t>Vasai</t>
  </si>
  <si>
    <t>862M</t>
  </si>
  <si>
    <t>C2012863</t>
  </si>
  <si>
    <t>Dharmendra Singh</t>
  </si>
  <si>
    <t>1071K</t>
  </si>
  <si>
    <t>24.08.2020</t>
  </si>
  <si>
    <t>C2012862</t>
  </si>
  <si>
    <t>Yasin Sekh</t>
  </si>
  <si>
    <t>C2012861</t>
  </si>
  <si>
    <t>Anish</t>
  </si>
  <si>
    <t>A.O.S Liquid</t>
  </si>
  <si>
    <t>48/-KG(S)</t>
  </si>
  <si>
    <t>1067K</t>
  </si>
  <si>
    <t>C2012860</t>
  </si>
  <si>
    <t>Himmat</t>
  </si>
  <si>
    <t>6000Pcs</t>
  </si>
  <si>
    <t>Mumbai-400081</t>
  </si>
  <si>
    <t>3.50/-pcs,5/-pcs</t>
  </si>
  <si>
    <t>864M</t>
  </si>
  <si>
    <t>Party Purchase Rate 3.50/-pcs</t>
  </si>
  <si>
    <t>C2012859</t>
  </si>
  <si>
    <t>Sulphur Powder</t>
  </si>
  <si>
    <t>Kolkata-700011</t>
  </si>
  <si>
    <t>C2012858</t>
  </si>
  <si>
    <t>Calcium Lactate</t>
  </si>
  <si>
    <t>155/-KG(S)</t>
  </si>
  <si>
    <t>1068K</t>
  </si>
  <si>
    <t>C2012857</t>
  </si>
  <si>
    <r>
      <rPr>
        <rFont val="Arial"/>
        <b/>
        <color theme="1"/>
      </rPr>
      <t>ARK Chemicals</t>
    </r>
    <r>
      <rPr>
        <rFont val="Arial"/>
        <color theme="1"/>
      </rPr>
      <t xml:space="preserve"> (C)</t>
    </r>
  </si>
  <si>
    <t>Textile Purpose</t>
  </si>
  <si>
    <t>C2012856</t>
  </si>
  <si>
    <t>Mohan Sachdev(C)</t>
  </si>
  <si>
    <t>Silica Gel (3 gm)</t>
  </si>
  <si>
    <t>1072K</t>
  </si>
  <si>
    <t>biswajit Da</t>
  </si>
  <si>
    <t>C2012855</t>
  </si>
  <si>
    <t>Essem Metachem Pvt.Ltd.</t>
  </si>
  <si>
    <t>Delhi-110034</t>
  </si>
  <si>
    <t>860M</t>
  </si>
  <si>
    <t>C2012854</t>
  </si>
  <si>
    <t>Sajjad Ahmad (C)</t>
  </si>
  <si>
    <t>Sodium Sulphide Flakes</t>
  </si>
  <si>
    <t>32/-kg(s),10/-kg(s)</t>
  </si>
  <si>
    <t>1083K</t>
  </si>
  <si>
    <t>C2012853</t>
  </si>
  <si>
    <t>Abdul Sahjad</t>
  </si>
  <si>
    <t>Ferric Chloride Hexahydrate</t>
  </si>
  <si>
    <t xml:space="preserve">Gwalior  </t>
  </si>
  <si>
    <t>861M</t>
  </si>
  <si>
    <t>C2012852</t>
  </si>
  <si>
    <t>Ashwani Kumar</t>
  </si>
  <si>
    <t>295/-KG(S)</t>
  </si>
  <si>
    <t>1064K</t>
  </si>
  <si>
    <t>C2012851</t>
  </si>
  <si>
    <r>
      <rPr>
        <rFont val="Arial"/>
        <b/>
        <color theme="1"/>
      </rPr>
      <t>Bio Health Pvt.Ltd</t>
    </r>
    <r>
      <rPr>
        <rFont val="Arial"/>
        <color theme="1"/>
      </rPr>
      <t xml:space="preserve"> (C)</t>
    </r>
  </si>
  <si>
    <t>Morigaon,Assam</t>
  </si>
  <si>
    <t>1062K</t>
  </si>
  <si>
    <t>C2012850</t>
  </si>
  <si>
    <t>S Roy</t>
  </si>
  <si>
    <t>C2012849</t>
  </si>
  <si>
    <r>
      <rPr>
        <rFont val="Arial"/>
        <color theme="1"/>
      </rPr>
      <t>M</t>
    </r>
    <r>
      <rPr>
        <rFont val="Arial"/>
        <b/>
        <color theme="1"/>
      </rPr>
      <t>other India Consumer Products</t>
    </r>
  </si>
  <si>
    <t>Potassium Persulfate</t>
  </si>
  <si>
    <t>C2012848</t>
  </si>
  <si>
    <r>
      <rPr>
        <rFont val="Arial"/>
        <b/>
        <color theme="1"/>
      </rPr>
      <t>Mayuresh Agarbatti</t>
    </r>
    <r>
      <rPr>
        <rFont val="Arial"/>
        <color theme="1"/>
      </rPr>
      <t xml:space="preserve"> (C)</t>
    </r>
  </si>
  <si>
    <t>Nashik-422003</t>
  </si>
  <si>
    <t>859M</t>
  </si>
  <si>
    <t>C2012847</t>
  </si>
  <si>
    <t>Sunil Lohia (C)</t>
  </si>
  <si>
    <t>C2012846</t>
  </si>
  <si>
    <t>Ramjan Mollick (C)</t>
  </si>
  <si>
    <t>1065K</t>
  </si>
  <si>
    <t>C2012845</t>
  </si>
  <si>
    <t>Ishtiaque Harram(C)</t>
  </si>
  <si>
    <t>1063K</t>
  </si>
  <si>
    <t>C2012844</t>
  </si>
  <si>
    <t>Kiran Food Products(C)</t>
  </si>
  <si>
    <t>1069K</t>
  </si>
  <si>
    <t>C2012843</t>
  </si>
  <si>
    <t>Shaista</t>
  </si>
  <si>
    <t>Mumbai-411019</t>
  </si>
  <si>
    <t>C2012842</t>
  </si>
  <si>
    <t>Samir Ganeriwala</t>
  </si>
  <si>
    <t>Kolkata-713358</t>
  </si>
  <si>
    <t>13/-KG(S)</t>
  </si>
  <si>
    <t>1060K</t>
  </si>
  <si>
    <t>C2012841</t>
  </si>
  <si>
    <t>Vivek Dwivedi</t>
  </si>
  <si>
    <t>Gwalior-474002</t>
  </si>
  <si>
    <t>100/-KG(S)</t>
  </si>
  <si>
    <t>858M</t>
  </si>
  <si>
    <t>C2012840</t>
  </si>
  <si>
    <t>Dhruvidhi Lifecare Solutions India LLP</t>
  </si>
  <si>
    <t>C2012839</t>
  </si>
  <si>
    <t>Osnar Chemical Pvt.Ltd.</t>
  </si>
  <si>
    <t>Mumbai-400001</t>
  </si>
  <si>
    <t>856M</t>
  </si>
  <si>
    <t>22.08.2020</t>
  </si>
  <si>
    <t>C2012838</t>
  </si>
  <si>
    <t>Santu Das</t>
  </si>
  <si>
    <t>Balurghat-733101</t>
  </si>
  <si>
    <t>Govt Tender Purpose</t>
  </si>
  <si>
    <t>1053K</t>
  </si>
  <si>
    <t>C2012837</t>
  </si>
  <si>
    <t>Sathyaraj M</t>
  </si>
  <si>
    <t>1061K</t>
  </si>
  <si>
    <t>C2012836</t>
  </si>
  <si>
    <t>SK Sabed Ali</t>
  </si>
  <si>
    <t>1054K</t>
  </si>
  <si>
    <t>C2012835</t>
  </si>
  <si>
    <t>Sudha Sharma</t>
  </si>
  <si>
    <t>Bargarh-768208</t>
  </si>
  <si>
    <t>1056K</t>
  </si>
  <si>
    <t>C2012834</t>
  </si>
  <si>
    <t>Suvankar Nandi</t>
  </si>
  <si>
    <t>C2012833</t>
  </si>
  <si>
    <t>Prem Patel</t>
  </si>
  <si>
    <t>Alwar-307026</t>
  </si>
  <si>
    <t>C2012832</t>
  </si>
  <si>
    <t>Raja Chatterjee</t>
  </si>
  <si>
    <t>1059K</t>
  </si>
  <si>
    <t>C2012831</t>
  </si>
  <si>
    <t>Surujit</t>
  </si>
  <si>
    <t>Kanchrapara</t>
  </si>
  <si>
    <t>C2012830</t>
  </si>
  <si>
    <t>Debanil De</t>
  </si>
  <si>
    <t>C2012829</t>
  </si>
  <si>
    <t>Mahek</t>
  </si>
  <si>
    <t>Raw Magnesite</t>
  </si>
  <si>
    <t>C2012828</t>
  </si>
  <si>
    <t>MD Sajahan</t>
  </si>
  <si>
    <t>1058K</t>
  </si>
  <si>
    <t>C2012827</t>
  </si>
  <si>
    <t>Sourb Jaiswal</t>
  </si>
  <si>
    <t xml:space="preserve">Bentonite Granules    </t>
  </si>
  <si>
    <t>1057K</t>
  </si>
  <si>
    <t>C2012826</t>
  </si>
  <si>
    <t>Indrajeet</t>
  </si>
  <si>
    <t>C2012825</t>
  </si>
  <si>
    <t>Dilip Shah</t>
  </si>
  <si>
    <t>43/-KG(S)</t>
  </si>
  <si>
    <t>863M</t>
  </si>
  <si>
    <t>Requirement After 10 Days..Export Purpose..Gst Should Be 01.%</t>
  </si>
  <si>
    <t>C2012824</t>
  </si>
  <si>
    <t>Souvik Burman</t>
  </si>
  <si>
    <t>C2012823</t>
  </si>
  <si>
    <t>C2012822</t>
  </si>
  <si>
    <t>Goapl</t>
  </si>
  <si>
    <t>C2012821</t>
  </si>
  <si>
    <t>Laltu Roy</t>
  </si>
  <si>
    <t>Kolkata-743504</t>
  </si>
  <si>
    <t>1089K/1292K</t>
  </si>
  <si>
    <t>C2012820</t>
  </si>
  <si>
    <t>Bijay Sil</t>
  </si>
  <si>
    <t>1055K</t>
  </si>
  <si>
    <t>C2012819</t>
  </si>
  <si>
    <t>Pune-412105</t>
  </si>
  <si>
    <t>C2012818</t>
  </si>
  <si>
    <t>Ammonoium Alum</t>
  </si>
  <si>
    <t>C2012817</t>
  </si>
  <si>
    <t>Himachal Pradesh</t>
  </si>
  <si>
    <t>855M</t>
  </si>
  <si>
    <t>C2012816</t>
  </si>
  <si>
    <t>Sourav Manna</t>
  </si>
  <si>
    <t>Alum Crystal</t>
  </si>
  <si>
    <t>Midnapore-721452</t>
  </si>
  <si>
    <t>C2012815</t>
  </si>
  <si>
    <t>Abhay Pratap</t>
  </si>
  <si>
    <t>854M</t>
  </si>
  <si>
    <t>C2012814</t>
  </si>
  <si>
    <t>Kolkata-741249</t>
  </si>
  <si>
    <t>C2012813</t>
  </si>
  <si>
    <t>Jaiprakash</t>
  </si>
  <si>
    <t>19.08.2020</t>
  </si>
  <si>
    <t>C2012812</t>
  </si>
  <si>
    <t>Vijay Burnwal</t>
  </si>
  <si>
    <t>Camphor Powder,Hexamine Powder</t>
  </si>
  <si>
    <t>200kgs,300kgs</t>
  </si>
  <si>
    <t>1400/-KG(S)</t>
  </si>
  <si>
    <t>853M</t>
  </si>
  <si>
    <t>C2012811</t>
  </si>
  <si>
    <t xml:space="preserve">Tushar    </t>
  </si>
  <si>
    <t>848M</t>
  </si>
  <si>
    <t>C2012810</t>
  </si>
  <si>
    <t>Prateek</t>
  </si>
  <si>
    <t>849M</t>
  </si>
  <si>
    <t>C2012809</t>
  </si>
  <si>
    <t>Arun Kumar</t>
  </si>
  <si>
    <t>Mumbai-400708</t>
  </si>
  <si>
    <t>Laboratory Purpose</t>
  </si>
  <si>
    <t>C2012808</t>
  </si>
  <si>
    <t>Shivu</t>
  </si>
  <si>
    <t>Haveri</t>
  </si>
  <si>
    <t>850M</t>
  </si>
  <si>
    <t>C2012807</t>
  </si>
  <si>
    <t>Prakash Bairagya</t>
  </si>
  <si>
    <t>1047K</t>
  </si>
  <si>
    <t>C2012806</t>
  </si>
  <si>
    <t>Deepak Agarwal</t>
  </si>
  <si>
    <t>Potassium Sulfate</t>
  </si>
  <si>
    <t>Kolkata-700034</t>
  </si>
  <si>
    <t>C2012805</t>
  </si>
  <si>
    <t>Prashant Salian</t>
  </si>
  <si>
    <t>852M</t>
  </si>
  <si>
    <t>C2012804</t>
  </si>
  <si>
    <t>Piyush Agarwal</t>
  </si>
  <si>
    <t>Ferrous Sulfate</t>
  </si>
  <si>
    <t>1049K</t>
  </si>
  <si>
    <t>C2012803</t>
  </si>
  <si>
    <t>Abhimanyu Patra</t>
  </si>
  <si>
    <t>Bhubaneswar-751024</t>
  </si>
  <si>
    <t>851M</t>
  </si>
  <si>
    <t>18.08.2020</t>
  </si>
  <si>
    <t>C2012802</t>
  </si>
  <si>
    <t>Yash Chaudhari</t>
  </si>
  <si>
    <t>Chloramine T</t>
  </si>
  <si>
    <t>370/-KG(S)</t>
  </si>
  <si>
    <t>847M</t>
  </si>
  <si>
    <t>C2012801</t>
  </si>
  <si>
    <t>Samsk</t>
  </si>
  <si>
    <t>1042K</t>
  </si>
  <si>
    <t>C2012800</t>
  </si>
  <si>
    <t>Dipankar Sasmal</t>
  </si>
  <si>
    <t>1045K</t>
  </si>
  <si>
    <t>C2012799</t>
  </si>
  <si>
    <t>Jaipur-302013</t>
  </si>
  <si>
    <t>845M</t>
  </si>
  <si>
    <t>C2012798</t>
  </si>
  <si>
    <t>1041K</t>
  </si>
  <si>
    <t>C2012797</t>
  </si>
  <si>
    <t>Aftab Uddin Halder</t>
  </si>
  <si>
    <t>1044K</t>
  </si>
  <si>
    <t>C2012796</t>
  </si>
  <si>
    <t>Labsa</t>
  </si>
  <si>
    <t>Soap Bar Purpose</t>
  </si>
  <si>
    <t>1040K</t>
  </si>
  <si>
    <t>C2012795</t>
  </si>
  <si>
    <t>Aftab</t>
  </si>
  <si>
    <t>846M</t>
  </si>
  <si>
    <t>C2012794</t>
  </si>
  <si>
    <t>Abhijit Halder</t>
  </si>
  <si>
    <t>Carbon Petroleum Coke</t>
  </si>
  <si>
    <t>Kakdwip</t>
  </si>
  <si>
    <t>C2012793</t>
  </si>
  <si>
    <t>Sanjoy Dutta</t>
  </si>
  <si>
    <t>Liquid Benzene</t>
  </si>
  <si>
    <t>17.08.2020</t>
  </si>
  <si>
    <t>C2012792</t>
  </si>
  <si>
    <t>Firoj Iqbal</t>
  </si>
  <si>
    <t>Each Item 500kg(s)</t>
  </si>
  <si>
    <t>Dish Wash bar</t>
  </si>
  <si>
    <t>61/-kg(s),14/-kg(s),104/-kg(s)</t>
  </si>
  <si>
    <t>1046K</t>
  </si>
  <si>
    <t>C2012791</t>
  </si>
  <si>
    <t>Sujay Kumar</t>
  </si>
  <si>
    <t>1043K</t>
  </si>
  <si>
    <t>C2012790</t>
  </si>
  <si>
    <t xml:space="preserve">Malda   </t>
  </si>
  <si>
    <t>1035K</t>
  </si>
  <si>
    <t>C2012789</t>
  </si>
  <si>
    <t>Shishir</t>
  </si>
  <si>
    <t>Raw Magnesite Dust</t>
  </si>
  <si>
    <t>C2012788</t>
  </si>
  <si>
    <t>Saurabh</t>
  </si>
  <si>
    <t>844M</t>
  </si>
  <si>
    <t>C2012787</t>
  </si>
  <si>
    <t>Uttam Kumar</t>
  </si>
  <si>
    <t>80/-KG(S)</t>
  </si>
  <si>
    <t>843M</t>
  </si>
  <si>
    <t>C2012786</t>
  </si>
  <si>
    <t>Anjan Dey</t>
  </si>
  <si>
    <t>Kolkata-741251</t>
  </si>
  <si>
    <t>1030K</t>
  </si>
  <si>
    <t>C2012785</t>
  </si>
  <si>
    <t>Gamnaram Mali</t>
  </si>
  <si>
    <t>Salem-636002</t>
  </si>
  <si>
    <t>1350/-KG(S)</t>
  </si>
  <si>
    <t>838M</t>
  </si>
  <si>
    <t>C2012784</t>
  </si>
  <si>
    <t>Sujit</t>
  </si>
  <si>
    <t>Sodium Silicate,Sodium Sulphate</t>
  </si>
  <si>
    <t>Each 100 KG(S)</t>
  </si>
  <si>
    <t>Ranaghat-741201</t>
  </si>
  <si>
    <t>30/-kg(s),27/-kg(s)</t>
  </si>
  <si>
    <t>1039K</t>
  </si>
  <si>
    <t>C2012783</t>
  </si>
  <si>
    <t>Anil Singh</t>
  </si>
  <si>
    <t>C2012782</t>
  </si>
  <si>
    <t>Aarzoo</t>
  </si>
  <si>
    <t>Soil Treatment Purpose</t>
  </si>
  <si>
    <t>842M</t>
  </si>
  <si>
    <t>16.08.2020</t>
  </si>
  <si>
    <t>C2012781</t>
  </si>
  <si>
    <t>Naushad</t>
  </si>
  <si>
    <t>1029K</t>
  </si>
  <si>
    <t>C2012780</t>
  </si>
  <si>
    <t>Rittick</t>
  </si>
  <si>
    <t>1034K</t>
  </si>
  <si>
    <t>C2012779</t>
  </si>
  <si>
    <t>Sameer Das</t>
  </si>
  <si>
    <t>1032K</t>
  </si>
  <si>
    <t>C2012778</t>
  </si>
  <si>
    <t>Partha Mukherjee</t>
  </si>
  <si>
    <t>Sodium Lauryl Sulphate</t>
  </si>
  <si>
    <t>1033K</t>
  </si>
  <si>
    <t>C2012777</t>
  </si>
  <si>
    <t>Vinod Patel</t>
  </si>
  <si>
    <t>Surat-394327</t>
  </si>
  <si>
    <t>837M</t>
  </si>
  <si>
    <t>C2012776</t>
  </si>
  <si>
    <t>Mahesh Patel</t>
  </si>
  <si>
    <t>839M</t>
  </si>
  <si>
    <t>C2012775</t>
  </si>
  <si>
    <t>Niraj Jaiswal</t>
  </si>
  <si>
    <t>1031K</t>
  </si>
  <si>
    <t>C2012774</t>
  </si>
  <si>
    <t>Kishor Pratap Gandhi</t>
  </si>
  <si>
    <t>Mumbai-400013</t>
  </si>
  <si>
    <t>840M</t>
  </si>
  <si>
    <t>C2012773</t>
  </si>
  <si>
    <t>Biplab Das</t>
  </si>
  <si>
    <t>River Pebbles</t>
  </si>
  <si>
    <t>1036K</t>
  </si>
  <si>
    <t>C2012772</t>
  </si>
  <si>
    <t>Pramod Ingole</t>
  </si>
  <si>
    <t>Latur-440024</t>
  </si>
  <si>
    <t>841M</t>
  </si>
  <si>
    <t>C2012771</t>
  </si>
  <si>
    <t>Shahnawa</t>
  </si>
  <si>
    <t>1038K</t>
  </si>
  <si>
    <t>C2012770</t>
  </si>
  <si>
    <t>Siraj Attarwala</t>
  </si>
  <si>
    <t>Sodium Hydroxide</t>
  </si>
  <si>
    <t>C2012769</t>
  </si>
  <si>
    <t>Sk Jalaluddin</t>
  </si>
  <si>
    <t>1037K</t>
  </si>
  <si>
    <t>C2012768</t>
  </si>
  <si>
    <t>Shrajul Sheik</t>
  </si>
  <si>
    <t>14.08.2020</t>
  </si>
  <si>
    <t>C2012767</t>
  </si>
  <si>
    <t>Sagar Singh</t>
  </si>
  <si>
    <t>Bidar</t>
  </si>
  <si>
    <t>835M</t>
  </si>
  <si>
    <t>C2012766</t>
  </si>
  <si>
    <t>Rajneesh Lunia</t>
  </si>
  <si>
    <t>Oxalic Acid Powder</t>
  </si>
  <si>
    <t>1024K</t>
  </si>
  <si>
    <t>C2012765</t>
  </si>
  <si>
    <t>Ajay Shah</t>
  </si>
  <si>
    <t>Kolkata-700025</t>
  </si>
  <si>
    <t>1025K</t>
  </si>
  <si>
    <t>C2012764</t>
  </si>
  <si>
    <t>DK Gouda</t>
  </si>
  <si>
    <t>Acetic Acid(Food Grade)</t>
  </si>
  <si>
    <t>1022K</t>
  </si>
  <si>
    <t>C2012763</t>
  </si>
  <si>
    <t>Md Ohidul Islam</t>
  </si>
  <si>
    <t>C2012762</t>
  </si>
  <si>
    <t xml:space="preserve">Prashant    </t>
  </si>
  <si>
    <t>C2012761</t>
  </si>
  <si>
    <t>SK Singh</t>
  </si>
  <si>
    <t>1023K</t>
  </si>
  <si>
    <t>C2012760</t>
  </si>
  <si>
    <t>Shivani Mehta</t>
  </si>
  <si>
    <t>Refactory Bed Material</t>
  </si>
  <si>
    <t>Mumbai-400063</t>
  </si>
  <si>
    <t>836M</t>
  </si>
  <si>
    <t>C2012759</t>
  </si>
  <si>
    <t>Baban Mitra</t>
  </si>
  <si>
    <t>C2012758</t>
  </si>
  <si>
    <t>Prithish</t>
  </si>
  <si>
    <t>C2012757</t>
  </si>
  <si>
    <t>Rama Raghava Reddy</t>
  </si>
  <si>
    <t>834M</t>
  </si>
  <si>
    <t>C2012756</t>
  </si>
  <si>
    <t>Devasis</t>
  </si>
  <si>
    <t>Kolkata-700138</t>
  </si>
  <si>
    <t>13.08.2020</t>
  </si>
  <si>
    <t>C2012755</t>
  </si>
  <si>
    <t>Sanjay S Chavan</t>
  </si>
  <si>
    <t>830M</t>
  </si>
  <si>
    <t>C2012754</t>
  </si>
  <si>
    <t>Hrushikesh M.Kanchan</t>
  </si>
  <si>
    <t>Pune-412202</t>
  </si>
  <si>
    <t>Cattle Feed</t>
  </si>
  <si>
    <t>829M</t>
  </si>
  <si>
    <t>C2012753</t>
  </si>
  <si>
    <t>Virendra</t>
  </si>
  <si>
    <t>828M</t>
  </si>
  <si>
    <t>C2012752</t>
  </si>
  <si>
    <t>Ravi Jain</t>
  </si>
  <si>
    <t>Bhilwara</t>
  </si>
  <si>
    <t>102/-KG(S)</t>
  </si>
  <si>
    <t>833M</t>
  </si>
  <si>
    <t>C2012751</t>
  </si>
  <si>
    <t>Anil Bhai</t>
  </si>
  <si>
    <t xml:space="preserve">Navi Mumbai   </t>
  </si>
  <si>
    <t>831M</t>
  </si>
  <si>
    <t>C2012750</t>
  </si>
  <si>
    <t>Majid Mirza Baig</t>
  </si>
  <si>
    <t>Thane-401107</t>
  </si>
  <si>
    <t>832M</t>
  </si>
  <si>
    <t>C2012749</t>
  </si>
  <si>
    <t>Mohd Jawad</t>
  </si>
  <si>
    <t>Cyanoacetamide</t>
  </si>
  <si>
    <t>C2012748</t>
  </si>
  <si>
    <t>Deepak Kumar Mehrotra</t>
  </si>
  <si>
    <t>Methanol,Ethanol</t>
  </si>
  <si>
    <t>Each 200 kG(S)</t>
  </si>
  <si>
    <t>C2012747</t>
  </si>
  <si>
    <t>Anadi Mistry</t>
  </si>
  <si>
    <t>C2012746</t>
  </si>
  <si>
    <t>Tushar Kanti Das</t>
  </si>
  <si>
    <t>C2012745</t>
  </si>
  <si>
    <t>Ghanshyam Kumar</t>
  </si>
  <si>
    <t>17.50/-KG(S)</t>
  </si>
  <si>
    <t>1021K</t>
  </si>
  <si>
    <t>C2012744</t>
  </si>
  <si>
    <t>RN Mukherjee</t>
  </si>
  <si>
    <t>12.08.2020</t>
  </si>
  <si>
    <t>C2012743</t>
  </si>
  <si>
    <t>Rajkumar Khandelwal</t>
  </si>
  <si>
    <t>Baripada-757001</t>
  </si>
  <si>
    <t>1017K</t>
  </si>
  <si>
    <t>C2012742</t>
  </si>
  <si>
    <t>Manish Kumar</t>
  </si>
  <si>
    <t>Chennai-600079</t>
  </si>
  <si>
    <t>824M</t>
  </si>
  <si>
    <t>C2012741</t>
  </si>
  <si>
    <t>R Selva Kumaran</t>
  </si>
  <si>
    <t>Polyvinyl Acetate Powder</t>
  </si>
  <si>
    <t>Madurai-625001</t>
  </si>
  <si>
    <t>C2012740</t>
  </si>
  <si>
    <t>827M</t>
  </si>
  <si>
    <t>C2012739</t>
  </si>
  <si>
    <t>Sukha Chemicals</t>
  </si>
  <si>
    <t>Potassium Sorbate</t>
  </si>
  <si>
    <t>420/-KG(S)</t>
  </si>
  <si>
    <t>822M</t>
  </si>
  <si>
    <t>C2012738</t>
  </si>
  <si>
    <t>823M</t>
  </si>
  <si>
    <t>C2012737</t>
  </si>
  <si>
    <t>Sudipta Paul</t>
  </si>
  <si>
    <t>1016K</t>
  </si>
  <si>
    <t>C2012736</t>
  </si>
  <si>
    <t>Avvaru Balasubrahmanyam</t>
  </si>
  <si>
    <t>Green Petroleum Coke</t>
  </si>
  <si>
    <t>C2012735</t>
  </si>
  <si>
    <t>Vijaya Kishore</t>
  </si>
  <si>
    <t>Vijayawada-520013</t>
  </si>
  <si>
    <t>825M</t>
  </si>
  <si>
    <t>C2012734</t>
  </si>
  <si>
    <t xml:space="preserve">Bishnu    </t>
  </si>
  <si>
    <t>1015K</t>
  </si>
  <si>
    <t>C2012733</t>
  </si>
  <si>
    <t>Suresh Wadhwa</t>
  </si>
  <si>
    <t>11.08.2020</t>
  </si>
  <si>
    <t>C2012732</t>
  </si>
  <si>
    <t>Kamal Sham Pal</t>
  </si>
  <si>
    <t>Mumbai-401105</t>
  </si>
  <si>
    <t>826M</t>
  </si>
  <si>
    <t>C2012731</t>
  </si>
  <si>
    <t>Vikas Dodrajka</t>
  </si>
  <si>
    <t>Jamshedpur-831006</t>
  </si>
  <si>
    <t>1014K</t>
  </si>
  <si>
    <t>C2012730</t>
  </si>
  <si>
    <t>Bapi Halder</t>
  </si>
  <si>
    <t>Aluminium Oxide</t>
  </si>
  <si>
    <t>Sagardighi</t>
  </si>
  <si>
    <t>50/-kgs,52/-kgs</t>
  </si>
  <si>
    <t>1012K</t>
  </si>
  <si>
    <t>C2012729</t>
  </si>
  <si>
    <t>Amar Damani</t>
  </si>
  <si>
    <t>C2012728</t>
  </si>
  <si>
    <t>Debabrata Karan</t>
  </si>
  <si>
    <t>Liquid Saccharin</t>
  </si>
  <si>
    <t>C2012727</t>
  </si>
  <si>
    <t>Anup Bhunre</t>
  </si>
  <si>
    <t>Sodium Silicate Powder,Sodium Sulphate</t>
  </si>
  <si>
    <t>Each 500 kG(S)</t>
  </si>
  <si>
    <t>60/-KG(S),13/-KG(S)</t>
  </si>
  <si>
    <t>1013K</t>
  </si>
  <si>
    <t>C2012726</t>
  </si>
  <si>
    <t>Venkatesh Kulkarni</t>
  </si>
  <si>
    <t>820M</t>
  </si>
  <si>
    <t>10.08.2020</t>
  </si>
  <si>
    <t>C2012725</t>
  </si>
  <si>
    <t>Mahendra Poddar</t>
  </si>
  <si>
    <t>Kolkata-110048</t>
  </si>
  <si>
    <t>C2012724</t>
  </si>
  <si>
    <t xml:space="preserve">Aditya     </t>
  </si>
  <si>
    <t>Gms Powder</t>
  </si>
  <si>
    <t>818M</t>
  </si>
  <si>
    <t>C2012723</t>
  </si>
  <si>
    <t>Sudipto Roy</t>
  </si>
  <si>
    <t>1001K</t>
  </si>
  <si>
    <t>C2012722</t>
  </si>
  <si>
    <t>Soumya Chakraborty</t>
  </si>
  <si>
    <t xml:space="preserve">Sodium Bicarbonate </t>
  </si>
  <si>
    <t>Kolkata-700056</t>
  </si>
  <si>
    <t>Aqua Culture Purpose</t>
  </si>
  <si>
    <t>1002K</t>
  </si>
  <si>
    <t>C2012721</t>
  </si>
  <si>
    <t>Khalid Sapadia</t>
  </si>
  <si>
    <t>C2012720</t>
  </si>
  <si>
    <t>V.L</t>
  </si>
  <si>
    <t>999K</t>
  </si>
  <si>
    <t>C2012719</t>
  </si>
  <si>
    <t>Shantanu Mondal</t>
  </si>
  <si>
    <t>Coconut Shell Charcoal Powder</t>
  </si>
  <si>
    <t>1005K</t>
  </si>
  <si>
    <t>C2012718</t>
  </si>
  <si>
    <t>Pabitra Halder</t>
  </si>
  <si>
    <t>C2012717</t>
  </si>
  <si>
    <t>Liquid Aluminium Sulphate</t>
  </si>
  <si>
    <t>Kolkata-700059</t>
  </si>
  <si>
    <t>Water Treatment Purpose</t>
  </si>
  <si>
    <t>998K</t>
  </si>
  <si>
    <t>C2012716</t>
  </si>
  <si>
    <t>2000 Pcs</t>
  </si>
  <si>
    <t>4/-pcs,5.50/-pcs</t>
  </si>
  <si>
    <t>817M</t>
  </si>
  <si>
    <t>C2012715</t>
  </si>
  <si>
    <t>Aayush Rathi</t>
  </si>
  <si>
    <t>1003K</t>
  </si>
  <si>
    <t>C2012714</t>
  </si>
  <si>
    <t>1000K</t>
  </si>
  <si>
    <t>C2012713</t>
  </si>
  <si>
    <t>Prem Singh</t>
  </si>
  <si>
    <t>Edible Bentonite Clay</t>
  </si>
  <si>
    <t>1004K</t>
  </si>
  <si>
    <t>09.08.2020</t>
  </si>
  <si>
    <t>C2012712</t>
  </si>
  <si>
    <t>Shivam</t>
  </si>
  <si>
    <t>989K</t>
  </si>
  <si>
    <t>C2012711</t>
  </si>
  <si>
    <t>Ahmed Karim</t>
  </si>
  <si>
    <t>Sodium Metasilicate,Sodium Sulphate,Acid Slurry</t>
  </si>
  <si>
    <t>18.50/-kgs,14.50/-kgs,98/-kgs</t>
  </si>
  <si>
    <t>996K</t>
  </si>
  <si>
    <t>C2012710</t>
  </si>
  <si>
    <t>Jaya Koner</t>
  </si>
  <si>
    <t>C2012709</t>
  </si>
  <si>
    <t>Darbar Singh Rajput</t>
  </si>
  <si>
    <t>Farm Use</t>
  </si>
  <si>
    <t>814M</t>
  </si>
  <si>
    <t>C2012708</t>
  </si>
  <si>
    <t>Mozammil</t>
  </si>
  <si>
    <t>988K</t>
  </si>
  <si>
    <t>C2012707</t>
  </si>
  <si>
    <t>Molay Das</t>
  </si>
  <si>
    <t>38/-KG(S)</t>
  </si>
  <si>
    <t>990K</t>
  </si>
  <si>
    <t>C2012706</t>
  </si>
  <si>
    <t>Nitesh Agarwal</t>
  </si>
  <si>
    <t>Bentonite Granules,Magnesium Sulphate</t>
  </si>
  <si>
    <t>27 Ton(s),5 Ton(s)</t>
  </si>
  <si>
    <t>10/-kgs,12/-kgs</t>
  </si>
  <si>
    <t>987K</t>
  </si>
  <si>
    <t>C2012705</t>
  </si>
  <si>
    <t>Bishnu Borha</t>
  </si>
  <si>
    <t>North Lakhimpur-787001</t>
  </si>
  <si>
    <t>991K</t>
  </si>
  <si>
    <t>C2012704</t>
  </si>
  <si>
    <t>Saikat Maity</t>
  </si>
  <si>
    <t>986K</t>
  </si>
  <si>
    <t>C2012703</t>
  </si>
  <si>
    <t>Farojali</t>
  </si>
  <si>
    <t>C2012702</t>
  </si>
  <si>
    <t>Karpit</t>
  </si>
  <si>
    <t>992K</t>
  </si>
  <si>
    <t>C2012701</t>
  </si>
  <si>
    <t>Anupama Halder</t>
  </si>
  <si>
    <t>985K</t>
  </si>
  <si>
    <t>C2012700</t>
  </si>
  <si>
    <t>Subrata Paul</t>
  </si>
  <si>
    <t>Farming PUrpose</t>
  </si>
  <si>
    <t>995K</t>
  </si>
  <si>
    <t>C2012699</t>
  </si>
  <si>
    <t>Hari Shankar</t>
  </si>
  <si>
    <t>815M</t>
  </si>
  <si>
    <t>06.08.2020</t>
  </si>
  <si>
    <t>C2012698</t>
  </si>
  <si>
    <t>Anil</t>
  </si>
  <si>
    <t>Nanded</t>
  </si>
  <si>
    <t>816M</t>
  </si>
  <si>
    <t>C2012697</t>
  </si>
  <si>
    <t>Anirban Sukul</t>
  </si>
  <si>
    <t>993K</t>
  </si>
  <si>
    <t>C2012696</t>
  </si>
  <si>
    <t>Ataur Rahaman</t>
  </si>
  <si>
    <t>Navi Mumbai-400706</t>
  </si>
  <si>
    <t>C2012695</t>
  </si>
  <si>
    <t>Anurag Jain</t>
  </si>
  <si>
    <t>C2012694</t>
  </si>
  <si>
    <t>Anshu Kumar</t>
  </si>
  <si>
    <t>994K</t>
  </si>
  <si>
    <t>C2012693</t>
  </si>
  <si>
    <t>Samarendra</t>
  </si>
  <si>
    <t>Balasore-756043</t>
  </si>
  <si>
    <t>C2012692</t>
  </si>
  <si>
    <t>Aaditya Vikram Jhunjhunwala</t>
  </si>
  <si>
    <t>C2012691</t>
  </si>
  <si>
    <t>Sayan Das</t>
  </si>
  <si>
    <t>Manganese Sulphate,Potassium Permanganate</t>
  </si>
  <si>
    <t>1 Ton(s),500 Kg(s)</t>
  </si>
  <si>
    <t>Kolkata-711307</t>
  </si>
  <si>
    <t>210/-KG(S)</t>
  </si>
  <si>
    <t>1006K</t>
  </si>
  <si>
    <t>C2012690</t>
  </si>
  <si>
    <t>Ishan</t>
  </si>
  <si>
    <t>Sodium Bicarbonate(Food Grade)</t>
  </si>
  <si>
    <t>1008K</t>
  </si>
  <si>
    <t>C2012689</t>
  </si>
  <si>
    <t>Sunil</t>
  </si>
  <si>
    <t xml:space="preserve">Agra  </t>
  </si>
  <si>
    <t>C2012688</t>
  </si>
  <si>
    <t>Kurban</t>
  </si>
  <si>
    <t>982K</t>
  </si>
  <si>
    <t>C2012687</t>
  </si>
  <si>
    <t>Parin Mehta</t>
  </si>
  <si>
    <t>C2012686</t>
  </si>
  <si>
    <t xml:space="preserve">Akhil    </t>
  </si>
  <si>
    <t>C2012685</t>
  </si>
  <si>
    <t>Saibur Rahman</t>
  </si>
  <si>
    <t>984K</t>
  </si>
  <si>
    <t>C2012684</t>
  </si>
  <si>
    <t>Vaibhav Warde</t>
  </si>
  <si>
    <t>Mumbai-400092</t>
  </si>
  <si>
    <t>813M</t>
  </si>
  <si>
    <t>C2012683</t>
  </si>
  <si>
    <t>Darshan Shah</t>
  </si>
  <si>
    <t>C2012682</t>
  </si>
  <si>
    <t>Liquid Nitric Acid</t>
  </si>
  <si>
    <t>C2012681</t>
  </si>
  <si>
    <t>981K</t>
  </si>
  <si>
    <t>04.08.2020</t>
  </si>
  <si>
    <t>C2012680</t>
  </si>
  <si>
    <t>Subroto Ghosh</t>
  </si>
  <si>
    <t>980K</t>
  </si>
  <si>
    <t>C2012679</t>
  </si>
  <si>
    <t>Soumya Nanda</t>
  </si>
  <si>
    <t>Formaline</t>
  </si>
  <si>
    <t>Dyeing Purpose</t>
  </si>
  <si>
    <t>1007K</t>
  </si>
  <si>
    <t>C2012678</t>
  </si>
  <si>
    <t>C2012677</t>
  </si>
  <si>
    <t>Romi Bhargava</t>
  </si>
  <si>
    <t>94/-KG(S)</t>
  </si>
  <si>
    <t>809M</t>
  </si>
  <si>
    <t>C2012676</t>
  </si>
  <si>
    <t>Geeta</t>
  </si>
  <si>
    <t>Sorbitol</t>
  </si>
  <si>
    <t>808M</t>
  </si>
  <si>
    <t>C2012675</t>
  </si>
  <si>
    <t>Snrhangshu Debnath</t>
  </si>
  <si>
    <t>Charcoal Powder(Rajasthani)</t>
  </si>
  <si>
    <t>C2012674</t>
  </si>
  <si>
    <t xml:space="preserve">Devaraj </t>
  </si>
  <si>
    <t>Pondicherry-605009</t>
  </si>
  <si>
    <t>C2012673</t>
  </si>
  <si>
    <t>Sudipta Chakraborthy</t>
  </si>
  <si>
    <t>Hooghly-712408</t>
  </si>
  <si>
    <t>976K</t>
  </si>
  <si>
    <t>C2012672</t>
  </si>
  <si>
    <t>Narendra</t>
  </si>
  <si>
    <t>Vermiculite</t>
  </si>
  <si>
    <t>Satara</t>
  </si>
  <si>
    <t>810M</t>
  </si>
  <si>
    <t>C2012671</t>
  </si>
  <si>
    <t>Nithyanand</t>
  </si>
  <si>
    <t>811M</t>
  </si>
  <si>
    <t>C2012670</t>
  </si>
  <si>
    <t xml:space="preserve">Srikanth   </t>
  </si>
  <si>
    <t>Chlorosulphonic Acid</t>
  </si>
  <si>
    <t>C2012669</t>
  </si>
  <si>
    <t>Siddiqui</t>
  </si>
  <si>
    <t>977K</t>
  </si>
  <si>
    <t>C2012668</t>
  </si>
  <si>
    <t>Rakeesh</t>
  </si>
  <si>
    <t>1011K</t>
  </si>
  <si>
    <t>C2012667</t>
  </si>
  <si>
    <t>Nihar Ranjan</t>
  </si>
  <si>
    <t>C2012666</t>
  </si>
  <si>
    <t>Mosaddek Ali</t>
  </si>
  <si>
    <t xml:space="preserve">Barasat   </t>
  </si>
  <si>
    <t>975K</t>
  </si>
  <si>
    <t>C2012665</t>
  </si>
  <si>
    <t>Tapan</t>
  </si>
  <si>
    <t>974K</t>
  </si>
  <si>
    <t>C2012664</t>
  </si>
  <si>
    <t>Shekhar Barai</t>
  </si>
  <si>
    <t>Charcoal powder</t>
  </si>
  <si>
    <t>03.08.2020</t>
  </si>
  <si>
    <t>C2012663</t>
  </si>
  <si>
    <t>Subhankar Bhowmik</t>
  </si>
  <si>
    <t>970K</t>
  </si>
  <si>
    <t>C2012662</t>
  </si>
  <si>
    <t>Saibal Gangopadhyay</t>
  </si>
  <si>
    <t>Kolkata-700108</t>
  </si>
  <si>
    <t>969K</t>
  </si>
  <si>
    <t>C2012661</t>
  </si>
  <si>
    <t>Akhil Agarwal</t>
  </si>
  <si>
    <t>972K</t>
  </si>
  <si>
    <t>C2012660</t>
  </si>
  <si>
    <t>Sandip Kumar</t>
  </si>
  <si>
    <t>968K</t>
  </si>
  <si>
    <t>C2012659</t>
  </si>
  <si>
    <t>Biswadip</t>
  </si>
  <si>
    <t>967K</t>
  </si>
  <si>
    <t>C2012658</t>
  </si>
  <si>
    <t>Jatin Kher</t>
  </si>
  <si>
    <t>170/-KG(S)</t>
  </si>
  <si>
    <t>966K</t>
  </si>
  <si>
    <t>C2012657</t>
  </si>
  <si>
    <t>Sujoy Srimal</t>
  </si>
  <si>
    <t>973K</t>
  </si>
  <si>
    <t>C2012656</t>
  </si>
  <si>
    <t>Mrinal</t>
  </si>
  <si>
    <t>500 kgs,25 kgs</t>
  </si>
  <si>
    <t>14/-kgs,160/-kgs</t>
  </si>
  <si>
    <t>965K</t>
  </si>
  <si>
    <t>C2012655</t>
  </si>
  <si>
    <t>Bond Gaming</t>
  </si>
  <si>
    <t>Fused Magnesium Powder</t>
  </si>
  <si>
    <t>C2012654</t>
  </si>
  <si>
    <t>Factory Purpose</t>
  </si>
  <si>
    <t>101/-KG(S)</t>
  </si>
  <si>
    <t>964K</t>
  </si>
  <si>
    <t>C2012653</t>
  </si>
  <si>
    <t>Nimish Taterh</t>
  </si>
  <si>
    <t>805M</t>
  </si>
  <si>
    <t>C2012652</t>
  </si>
  <si>
    <t>Bharat Patel</t>
  </si>
  <si>
    <t>Surat-394221</t>
  </si>
  <si>
    <t>807M</t>
  </si>
  <si>
    <t>C2012651</t>
  </si>
  <si>
    <t>Subhajit Basu</t>
  </si>
  <si>
    <t>971K</t>
  </si>
  <si>
    <t>C2012650</t>
  </si>
  <si>
    <t>Newman Paul</t>
  </si>
  <si>
    <t>Alum Fitkari Lumps</t>
  </si>
  <si>
    <t xml:space="preserve">Jamshedpur   </t>
  </si>
  <si>
    <t>C2012649</t>
  </si>
  <si>
    <t>Vishnu</t>
  </si>
  <si>
    <t>Mumbai-123456</t>
  </si>
  <si>
    <t>Murti Making Purpose</t>
  </si>
  <si>
    <t>806M</t>
  </si>
  <si>
    <t>01.08.2020</t>
  </si>
  <si>
    <t>C2012648</t>
  </si>
  <si>
    <t>Prashant Chudasama</t>
  </si>
  <si>
    <t>C2012647</t>
  </si>
  <si>
    <t>Huzaifa</t>
  </si>
  <si>
    <t>Pune-411042</t>
  </si>
  <si>
    <t>108/-KG(S)</t>
  </si>
  <si>
    <t>802M</t>
  </si>
  <si>
    <t>C2012646</t>
  </si>
  <si>
    <t>N Pal</t>
  </si>
  <si>
    <t>960K</t>
  </si>
  <si>
    <t>C2012645</t>
  </si>
  <si>
    <t>Gruvo</t>
  </si>
  <si>
    <t>961K</t>
  </si>
  <si>
    <t>C2012644</t>
  </si>
  <si>
    <t>Mahul</t>
  </si>
  <si>
    <t>Rishra</t>
  </si>
  <si>
    <t>962K</t>
  </si>
  <si>
    <t>C2012643</t>
  </si>
  <si>
    <t>Prem Prkash</t>
  </si>
  <si>
    <t>963K</t>
  </si>
  <si>
    <t>C2012642</t>
  </si>
  <si>
    <t>Aditya Sanfui</t>
  </si>
  <si>
    <t>Kolkata-743513</t>
  </si>
  <si>
    <t>959K</t>
  </si>
  <si>
    <t>C2012641</t>
  </si>
  <si>
    <t>Omkar</t>
  </si>
  <si>
    <t>C2012640</t>
  </si>
  <si>
    <t>3.50/-pcs.5/-pcs</t>
  </si>
  <si>
    <t>803M</t>
  </si>
  <si>
    <t>31.07.2020</t>
  </si>
  <si>
    <t>C2012639</t>
  </si>
  <si>
    <t xml:space="preserve">Rahul     </t>
  </si>
  <si>
    <t>Alginic Acid</t>
  </si>
  <si>
    <t>C2012638</t>
  </si>
  <si>
    <t>S K Poddar</t>
  </si>
  <si>
    <t>956K</t>
  </si>
  <si>
    <t>C2012637</t>
  </si>
  <si>
    <t>Pradip Gupta</t>
  </si>
  <si>
    <t>Kolkata-700003</t>
  </si>
  <si>
    <t>955K</t>
  </si>
  <si>
    <t>C2012636</t>
  </si>
  <si>
    <t>Prabir Sutar</t>
  </si>
  <si>
    <t>Kolkata-700061</t>
  </si>
  <si>
    <t>954K</t>
  </si>
  <si>
    <t>C2012635</t>
  </si>
  <si>
    <t>Rampal</t>
  </si>
  <si>
    <t>Bhopal</t>
  </si>
  <si>
    <t>C2012634</t>
  </si>
  <si>
    <t>Bishal Raj</t>
  </si>
  <si>
    <t>Malda-722157</t>
  </si>
  <si>
    <t>C2012633</t>
  </si>
  <si>
    <t>Sudip Seal</t>
  </si>
  <si>
    <t>953K</t>
  </si>
  <si>
    <t>30.07.2020</t>
  </si>
  <si>
    <t>C2012632</t>
  </si>
  <si>
    <t>Bhawani</t>
  </si>
  <si>
    <t>9.50/-KG(S)</t>
  </si>
  <si>
    <t>800M</t>
  </si>
  <si>
    <t>C2012631</t>
  </si>
  <si>
    <t>Vidhi Chavan</t>
  </si>
  <si>
    <t>C2012630</t>
  </si>
  <si>
    <t>Gaurav Poddar</t>
  </si>
  <si>
    <t>952K</t>
  </si>
  <si>
    <t>C2012629</t>
  </si>
  <si>
    <t>Kushal</t>
  </si>
  <si>
    <t>949K</t>
  </si>
  <si>
    <t>C2012628</t>
  </si>
  <si>
    <t>Shikhar Pareek</t>
  </si>
  <si>
    <t>951K</t>
  </si>
  <si>
    <t>C2012627</t>
  </si>
  <si>
    <t>Dilip Gupta</t>
  </si>
  <si>
    <t>950K</t>
  </si>
  <si>
    <t>C2012626</t>
  </si>
  <si>
    <t>Lakshmi Narasimham</t>
  </si>
  <si>
    <t>C2012625</t>
  </si>
  <si>
    <t>Mohammad Ashfaq</t>
  </si>
  <si>
    <t>3000 Pcs</t>
  </si>
  <si>
    <t>Lucknow-226005</t>
  </si>
  <si>
    <t>799M</t>
  </si>
  <si>
    <t>C2012624</t>
  </si>
  <si>
    <t>Shweta Mahajan</t>
  </si>
  <si>
    <t xml:space="preserve">Pune   </t>
  </si>
  <si>
    <t>C2012623</t>
  </si>
  <si>
    <t>Simon</t>
  </si>
  <si>
    <t>Off White Soap Noodles</t>
  </si>
  <si>
    <t>C2012622</t>
  </si>
  <si>
    <t>Sanjoy</t>
  </si>
  <si>
    <t>Sodium Silicate Liquid,Sodium Sulphate,Acid Slurry,SLES</t>
  </si>
  <si>
    <t>300kg(s),300kg(s),200kg(s),300kg(s)</t>
  </si>
  <si>
    <t>20/-kgs,16.50/-kgs, 103/-kgs</t>
  </si>
  <si>
    <t>946K</t>
  </si>
  <si>
    <t>C2012621</t>
  </si>
  <si>
    <t>M Zaman</t>
  </si>
  <si>
    <t>Barasat-743423</t>
  </si>
  <si>
    <t>C2012620</t>
  </si>
  <si>
    <t>Bhavin Parekh</t>
  </si>
  <si>
    <t>Sodium Saccharin</t>
  </si>
  <si>
    <t>C2012619</t>
  </si>
  <si>
    <t>Subitta Bhakta</t>
  </si>
  <si>
    <t>C2012618</t>
  </si>
  <si>
    <t>Aashika</t>
  </si>
  <si>
    <t>C2012617</t>
  </si>
  <si>
    <t>Manzoor Perwez</t>
  </si>
  <si>
    <t>Ethyl Cellosolve,White Silica Gel</t>
  </si>
  <si>
    <t>1 Ton(s),200 Kg(s)</t>
  </si>
  <si>
    <t>821M</t>
  </si>
  <si>
    <t>28.07.2020</t>
  </si>
  <si>
    <t>C2012616</t>
  </si>
  <si>
    <t>Kishvengu</t>
  </si>
  <si>
    <t>945K</t>
  </si>
  <si>
    <t>C2012615</t>
  </si>
  <si>
    <t>Surya K</t>
  </si>
  <si>
    <t>C2012614</t>
  </si>
  <si>
    <t>P.Ramesh</t>
  </si>
  <si>
    <t>Yellow Ammonium Sulphide</t>
  </si>
  <si>
    <t>Hyderabad-500040</t>
  </si>
  <si>
    <t>C2012613</t>
  </si>
  <si>
    <t>Asifa</t>
  </si>
  <si>
    <t>797M</t>
  </si>
  <si>
    <t>C2012612</t>
  </si>
  <si>
    <t>Abhishek Bhattacharya</t>
  </si>
  <si>
    <t>Fused Alumina</t>
  </si>
  <si>
    <t>C2012611</t>
  </si>
  <si>
    <t>Pukhraj</t>
  </si>
  <si>
    <t>Nira</t>
  </si>
  <si>
    <t>796M</t>
  </si>
  <si>
    <t>C2012610</t>
  </si>
  <si>
    <t>Kartik</t>
  </si>
  <si>
    <t>944K</t>
  </si>
  <si>
    <t>C2012609</t>
  </si>
  <si>
    <t xml:space="preserve">Rakesh    </t>
  </si>
  <si>
    <t>Kalyan-421301</t>
  </si>
  <si>
    <t>795M</t>
  </si>
  <si>
    <t>27.07.2020</t>
  </si>
  <si>
    <t>C2012608</t>
  </si>
  <si>
    <t>Sovan Dutta</t>
  </si>
  <si>
    <t>Kolkata-700013</t>
  </si>
  <si>
    <t>1028K</t>
  </si>
  <si>
    <t>C2012607</t>
  </si>
  <si>
    <t>Lalit Singhal</t>
  </si>
  <si>
    <t>New Delhi</t>
  </si>
  <si>
    <t>798M</t>
  </si>
  <si>
    <t>C2012606</t>
  </si>
  <si>
    <t>Gobinda Maity</t>
  </si>
  <si>
    <t>Soap Making Purpose</t>
  </si>
  <si>
    <t>C2012605</t>
  </si>
  <si>
    <t>Ojas Kothari</t>
  </si>
  <si>
    <t>C2012604</t>
  </si>
  <si>
    <t>Gautham Bhandari</t>
  </si>
  <si>
    <t>Pool Purification</t>
  </si>
  <si>
    <t>C2012603</t>
  </si>
  <si>
    <t>NB Gupta</t>
  </si>
  <si>
    <t>Mumbai-400054</t>
  </si>
  <si>
    <t>794M</t>
  </si>
  <si>
    <t>C2012602</t>
  </si>
  <si>
    <t>Arabinda Mukherjee</t>
  </si>
  <si>
    <t>941K</t>
  </si>
  <si>
    <t>C2012601</t>
  </si>
  <si>
    <t>Bhabani Shanker Ganguli</t>
  </si>
  <si>
    <t>C2012600</t>
  </si>
  <si>
    <t>Tonmoy Banerjee</t>
  </si>
  <si>
    <t>C2012599</t>
  </si>
  <si>
    <t>940K</t>
  </si>
  <si>
    <t>C2012598</t>
  </si>
  <si>
    <t>Rajendra Parakh</t>
  </si>
  <si>
    <t>Jalgaon-425001</t>
  </si>
  <si>
    <t>C2012597</t>
  </si>
  <si>
    <t>Chromic Acid Turkey</t>
  </si>
  <si>
    <t>C2012596</t>
  </si>
  <si>
    <t>Somnath Mishra</t>
  </si>
  <si>
    <t>793M</t>
  </si>
  <si>
    <t>C2012595</t>
  </si>
  <si>
    <t>Suraj Chaudhury</t>
  </si>
  <si>
    <t>C2012594</t>
  </si>
  <si>
    <t>Yuvaraj Talele</t>
  </si>
  <si>
    <t>Jalgaon-425002</t>
  </si>
  <si>
    <t>792M</t>
  </si>
  <si>
    <t>C2012593</t>
  </si>
  <si>
    <t>Manoj Sharma</t>
  </si>
  <si>
    <t>White Ammonium Alum</t>
  </si>
  <si>
    <t>Kolkata-700010</t>
  </si>
  <si>
    <t>25.07.2020</t>
  </si>
  <si>
    <t>C2012592</t>
  </si>
  <si>
    <t>Kunal</t>
  </si>
  <si>
    <t>1009K</t>
  </si>
  <si>
    <t>C2012591</t>
  </si>
  <si>
    <t>Mayank Kumar</t>
  </si>
  <si>
    <t>24.07.2020</t>
  </si>
  <si>
    <t>C2012590</t>
  </si>
  <si>
    <t>Bhavesh Ajmera</t>
  </si>
  <si>
    <t>932K</t>
  </si>
  <si>
    <t>C2012589</t>
  </si>
  <si>
    <t>Surajit Hazra</t>
  </si>
  <si>
    <t>Howrah-711411</t>
  </si>
  <si>
    <t>22/-KG</t>
  </si>
  <si>
    <t>935K</t>
  </si>
  <si>
    <t>C2012588</t>
  </si>
  <si>
    <t xml:space="preserve">Manish  </t>
  </si>
  <si>
    <t>790M</t>
  </si>
  <si>
    <t>C2012587</t>
  </si>
  <si>
    <t>Abdul Hameed</t>
  </si>
  <si>
    <t>791M</t>
  </si>
  <si>
    <t>monty Da</t>
  </si>
  <si>
    <t>C2012586</t>
  </si>
  <si>
    <t>Pratiush Bagla</t>
  </si>
  <si>
    <t>934K</t>
  </si>
  <si>
    <t>C2012585</t>
  </si>
  <si>
    <t>Prem Rikhadi</t>
  </si>
  <si>
    <t xml:space="preserve">AOS Powder   </t>
  </si>
  <si>
    <t>Badlapur</t>
  </si>
  <si>
    <t>C2012584</t>
  </si>
  <si>
    <t>Rahul Dutta</t>
  </si>
  <si>
    <t>931K</t>
  </si>
  <si>
    <t>C2012583</t>
  </si>
  <si>
    <t>936K</t>
  </si>
  <si>
    <t>C2012582</t>
  </si>
  <si>
    <t>Ashok Sahni</t>
  </si>
  <si>
    <t>Aluminium Nitrate</t>
  </si>
  <si>
    <t xml:space="preserve">Vadodara   </t>
  </si>
  <si>
    <t>C2012581</t>
  </si>
  <si>
    <t>Raj Kumar Singh</t>
  </si>
  <si>
    <t>933K</t>
  </si>
  <si>
    <t>C2012580</t>
  </si>
  <si>
    <t>Sudesh</t>
  </si>
  <si>
    <t xml:space="preserve">Faridabad   </t>
  </si>
  <si>
    <t>C2012579</t>
  </si>
  <si>
    <t>Hemant Sirsat</t>
  </si>
  <si>
    <t>789M</t>
  </si>
  <si>
    <t>C2012578</t>
  </si>
  <si>
    <t>Sanjib Majumder</t>
  </si>
  <si>
    <t>930K</t>
  </si>
  <si>
    <t>22.07.2020</t>
  </si>
  <si>
    <t>C2012577</t>
  </si>
  <si>
    <t>Firoz Khan</t>
  </si>
  <si>
    <t>White Soap Noodles</t>
  </si>
  <si>
    <t>C2012576</t>
  </si>
  <si>
    <t>Ramesh.M Pilai</t>
  </si>
  <si>
    <t>Kolkata-700045</t>
  </si>
  <si>
    <t>C2012575</t>
  </si>
  <si>
    <t>Yuvaraj Yuva</t>
  </si>
  <si>
    <t>Chennai-600007</t>
  </si>
  <si>
    <t>788M</t>
  </si>
  <si>
    <t>C2012574</t>
  </si>
  <si>
    <t>55/-KG(S)</t>
  </si>
  <si>
    <t>786M</t>
  </si>
  <si>
    <t>C2012573</t>
  </si>
  <si>
    <t>Somsubra Maity</t>
  </si>
  <si>
    <t>924K</t>
  </si>
  <si>
    <t>C2012572</t>
  </si>
  <si>
    <t>Mohammad Asif</t>
  </si>
  <si>
    <t>787M</t>
  </si>
  <si>
    <t>C2012571</t>
  </si>
  <si>
    <t>Mani Gupta</t>
  </si>
  <si>
    <t>250/-kgs,180/-kgs</t>
  </si>
  <si>
    <t>923K</t>
  </si>
  <si>
    <t>C2012570</t>
  </si>
  <si>
    <t>S Batcharya</t>
  </si>
  <si>
    <t>Kolkata-700110</t>
  </si>
  <si>
    <t>925K</t>
  </si>
  <si>
    <t>21.07.2020</t>
  </si>
  <si>
    <t>C2012569</t>
  </si>
  <si>
    <t>Snehashish Mallik</t>
  </si>
  <si>
    <t>Perlite ore</t>
  </si>
  <si>
    <t>921K</t>
  </si>
  <si>
    <t>C2012568</t>
  </si>
  <si>
    <t>Angela Verma</t>
  </si>
  <si>
    <t>6000 Pcs</t>
  </si>
  <si>
    <t>Mumbai-202001</t>
  </si>
  <si>
    <t>785M</t>
  </si>
  <si>
    <t>C2012567</t>
  </si>
  <si>
    <t>Vikas Prasad</t>
  </si>
  <si>
    <t>Triethanolamine</t>
  </si>
  <si>
    <t>Kolkata-828109</t>
  </si>
  <si>
    <t>C2012566</t>
  </si>
  <si>
    <t>Bikash Mondal</t>
  </si>
  <si>
    <t>Met Coke Fines</t>
  </si>
  <si>
    <t>917K</t>
  </si>
  <si>
    <t>C2012565</t>
  </si>
  <si>
    <t>Naveen Agarwal</t>
  </si>
  <si>
    <t>C2012564</t>
  </si>
  <si>
    <t>Ashish dasgupta</t>
  </si>
  <si>
    <t>920K</t>
  </si>
  <si>
    <t>C2012563</t>
  </si>
  <si>
    <t>Biplob Shaikh</t>
  </si>
  <si>
    <t>Kolkata-400005</t>
  </si>
  <si>
    <t>916K</t>
  </si>
  <si>
    <t>C2012562</t>
  </si>
  <si>
    <t>Santanu Sarkar</t>
  </si>
  <si>
    <t>Ferrous Sulphate (Food Grade)</t>
  </si>
  <si>
    <t>915K</t>
  </si>
  <si>
    <t>C2012561</t>
  </si>
  <si>
    <t>Navin Mishra</t>
  </si>
  <si>
    <t>Sodium Silicate Alkaline Powder</t>
  </si>
  <si>
    <t>914K</t>
  </si>
  <si>
    <t>C2012560</t>
  </si>
  <si>
    <t>Abuzar</t>
  </si>
  <si>
    <t>20.07.2020</t>
  </si>
  <si>
    <t>C2012559</t>
  </si>
  <si>
    <t>Soumyajyoti Dey</t>
  </si>
  <si>
    <t>Ammonium Bicarbonate,Sodium Bi Carbonate</t>
  </si>
  <si>
    <t>Each 25 Ton(s)</t>
  </si>
  <si>
    <t xml:space="preserve">Delhi   </t>
  </si>
  <si>
    <t>784M</t>
  </si>
  <si>
    <t>C2012558</t>
  </si>
  <si>
    <t>Rimmy Mishra</t>
  </si>
  <si>
    <t>Bentonite Edible Clay</t>
  </si>
  <si>
    <t>C2012557</t>
  </si>
  <si>
    <t>Mohit Agarwal</t>
  </si>
  <si>
    <t>Ammonium Chloride Bar</t>
  </si>
  <si>
    <t>C2012556</t>
  </si>
  <si>
    <t>Deepak Kamal</t>
  </si>
  <si>
    <t>Tetrabasic Lead Sulfate</t>
  </si>
  <si>
    <t>C2012555</t>
  </si>
  <si>
    <t>Gaurav Mehta</t>
  </si>
  <si>
    <t>Mumbai-400086</t>
  </si>
  <si>
    <t>783M</t>
  </si>
  <si>
    <t>C2012554</t>
  </si>
  <si>
    <t>Abdul Shahid</t>
  </si>
  <si>
    <t>904K</t>
  </si>
  <si>
    <t>C2012553</t>
  </si>
  <si>
    <t>White Tamarind Seed Powder</t>
  </si>
  <si>
    <t>C2012552</t>
  </si>
  <si>
    <t>Kaustubh</t>
  </si>
  <si>
    <t>10,000 Pcs</t>
  </si>
  <si>
    <t>Thane-401303</t>
  </si>
  <si>
    <t>780M</t>
  </si>
  <si>
    <t>C2012551</t>
  </si>
  <si>
    <t>Nirmal Jain</t>
  </si>
  <si>
    <t>Chennai-600001</t>
  </si>
  <si>
    <t>C2012550</t>
  </si>
  <si>
    <t>Sabyasachi Maiti</t>
  </si>
  <si>
    <t>902K</t>
  </si>
  <si>
    <t>C2012549</t>
  </si>
  <si>
    <t>Nana</t>
  </si>
  <si>
    <t>C2012548</t>
  </si>
  <si>
    <t>Mantu Kumar</t>
  </si>
  <si>
    <t>C2012547</t>
  </si>
  <si>
    <t>Shaibal Nag</t>
  </si>
  <si>
    <t>C2012546</t>
  </si>
  <si>
    <t>Sushovan</t>
  </si>
  <si>
    <t>903K</t>
  </si>
  <si>
    <t>C2012545</t>
  </si>
  <si>
    <t>S Biswas</t>
  </si>
  <si>
    <t>C2012544</t>
  </si>
  <si>
    <t>Abhimanyu Singh</t>
  </si>
  <si>
    <t>912K</t>
  </si>
  <si>
    <t>20.7.2020</t>
  </si>
  <si>
    <t>C2012543</t>
  </si>
  <si>
    <t>18.07.2020</t>
  </si>
  <si>
    <t>C2012542</t>
  </si>
  <si>
    <t>Karmegam</t>
  </si>
  <si>
    <t>Rameswaram</t>
  </si>
  <si>
    <t>781M</t>
  </si>
  <si>
    <t>C2012541</t>
  </si>
  <si>
    <t>Sanjay Paul</t>
  </si>
  <si>
    <t>Sodium Silicate Flakes</t>
  </si>
  <si>
    <t>913K</t>
  </si>
  <si>
    <t>C2012540</t>
  </si>
  <si>
    <t>Ashish Kumar Mohanty</t>
  </si>
  <si>
    <t>905K</t>
  </si>
  <si>
    <t>C2012539</t>
  </si>
  <si>
    <t>Bhanupratap Singh</t>
  </si>
  <si>
    <t>911K</t>
  </si>
  <si>
    <t>C2012538</t>
  </si>
  <si>
    <t>Robin</t>
  </si>
  <si>
    <t>Kolkata-226010</t>
  </si>
  <si>
    <t>C2012537</t>
  </si>
  <si>
    <t>Guru Patra</t>
  </si>
  <si>
    <t>906K</t>
  </si>
  <si>
    <t>C2012536</t>
  </si>
  <si>
    <t>Maruful Islam</t>
  </si>
  <si>
    <t>140/-KG(S)</t>
  </si>
  <si>
    <t>910K</t>
  </si>
  <si>
    <t>C2012535</t>
  </si>
  <si>
    <t>Alok Paul</t>
  </si>
  <si>
    <t>909K</t>
  </si>
  <si>
    <t>C2012534</t>
  </si>
  <si>
    <t>Ashok Roy</t>
  </si>
  <si>
    <t>Zinc Sulphate Monohydrate</t>
  </si>
  <si>
    <t>907K</t>
  </si>
  <si>
    <t>C2012533</t>
  </si>
  <si>
    <t>Yogesh Ghorpade</t>
  </si>
  <si>
    <t>Kolhapur-416122</t>
  </si>
  <si>
    <t>782M</t>
  </si>
  <si>
    <t>17.07.2020</t>
  </si>
  <si>
    <t>C2012532</t>
  </si>
  <si>
    <t>Naveen Kumar Agarwal</t>
  </si>
  <si>
    <t>Tripotassium Phosphate</t>
  </si>
  <si>
    <t>Rampur-244901</t>
  </si>
  <si>
    <t>C2012531</t>
  </si>
  <si>
    <t>Debopriya</t>
  </si>
  <si>
    <t>896K</t>
  </si>
  <si>
    <t>C2012530</t>
  </si>
  <si>
    <t>Kamalesh Mondal</t>
  </si>
  <si>
    <t>Liquid Sodium Silicate,Sodium Sulphate,Acid Slurry</t>
  </si>
  <si>
    <t>1500kgs,1500kgs, 1000 kgs</t>
  </si>
  <si>
    <t>18/-kgs,13/-kgs,97/-kgs</t>
  </si>
  <si>
    <t>894K</t>
  </si>
  <si>
    <t>C2012529</t>
  </si>
  <si>
    <t>Pramod Agarwal</t>
  </si>
  <si>
    <t>Nawa-341509</t>
  </si>
  <si>
    <t>C2012528</t>
  </si>
  <si>
    <t>Kaushik Chatterjee</t>
  </si>
  <si>
    <t>Mono Aluminium Phosphate</t>
  </si>
  <si>
    <t>C2012527</t>
  </si>
  <si>
    <t>Saurav</t>
  </si>
  <si>
    <t>Ernakulam-682037</t>
  </si>
  <si>
    <t>C2012526</t>
  </si>
  <si>
    <t>Samuel</t>
  </si>
  <si>
    <t>Quartz sand</t>
  </si>
  <si>
    <t>Dimapur</t>
  </si>
  <si>
    <t>895K</t>
  </si>
  <si>
    <t>C2012525</t>
  </si>
  <si>
    <t>Shaheen</t>
  </si>
  <si>
    <t>Low Ash Metallurgical Coke</t>
  </si>
  <si>
    <t>C2012524</t>
  </si>
  <si>
    <t>Gaurav Chauhan</t>
  </si>
  <si>
    <t>Tarmarind Seed Powder</t>
  </si>
  <si>
    <t>Aligarh</t>
  </si>
  <si>
    <t>16.07.2020</t>
  </si>
  <si>
    <t>C2012523</t>
  </si>
  <si>
    <t>Rohit Bansal</t>
  </si>
  <si>
    <t>Agra-282007</t>
  </si>
  <si>
    <t>C2012522</t>
  </si>
  <si>
    <t>Abirami</t>
  </si>
  <si>
    <t>5.50/-pcs,7/-pcs</t>
  </si>
  <si>
    <t>778M</t>
  </si>
  <si>
    <t>C2012521</t>
  </si>
  <si>
    <t>Bonty</t>
  </si>
  <si>
    <t>891K</t>
  </si>
  <si>
    <t>C2012520</t>
  </si>
  <si>
    <t>Arvind Singh</t>
  </si>
  <si>
    <t>777M</t>
  </si>
  <si>
    <t>C2012519</t>
  </si>
  <si>
    <t>Pawan Singh</t>
  </si>
  <si>
    <t>Tartaric Acid</t>
  </si>
  <si>
    <t>893K</t>
  </si>
  <si>
    <t>C2012518</t>
  </si>
  <si>
    <t>P.Balasubramanium</t>
  </si>
  <si>
    <t>Coimbatore-641009</t>
  </si>
  <si>
    <t>779M</t>
  </si>
  <si>
    <t>C2012517</t>
  </si>
  <si>
    <t>Subhodeep Ghosh</t>
  </si>
  <si>
    <t>890K</t>
  </si>
  <si>
    <t>c2012516</t>
  </si>
  <si>
    <t>Baldev Sharma</t>
  </si>
  <si>
    <t>C2012515</t>
  </si>
  <si>
    <t>Ayush Khandelwal</t>
  </si>
  <si>
    <t>Acid Thickner</t>
  </si>
  <si>
    <t>Kolkata-700071</t>
  </si>
  <si>
    <t>C2012514</t>
  </si>
  <si>
    <t>M Alam</t>
  </si>
  <si>
    <t>892K</t>
  </si>
  <si>
    <t>C2012513</t>
  </si>
  <si>
    <t>Narra</t>
  </si>
  <si>
    <t>Nellore</t>
  </si>
  <si>
    <t>C2012512</t>
  </si>
  <si>
    <t>Vijay Bhai</t>
  </si>
  <si>
    <t>776M</t>
  </si>
  <si>
    <t>15.07.2020</t>
  </si>
  <si>
    <t>C2012511</t>
  </si>
  <si>
    <t>4/-pcs,6/-pcs</t>
  </si>
  <si>
    <t>775M</t>
  </si>
  <si>
    <t>C2012510</t>
  </si>
  <si>
    <t>Ahmedabad-382346</t>
  </si>
  <si>
    <t>C2012509</t>
  </si>
  <si>
    <t>Umesh Prasad</t>
  </si>
  <si>
    <t>875K</t>
  </si>
  <si>
    <t>C2012508</t>
  </si>
  <si>
    <t>Gopinath Das</t>
  </si>
  <si>
    <t>C2012507</t>
  </si>
  <si>
    <t>Raj Sen</t>
  </si>
  <si>
    <t>Howrah-711102</t>
  </si>
  <si>
    <t>871K</t>
  </si>
  <si>
    <t>C2012506</t>
  </si>
  <si>
    <t xml:space="preserve">Suresh    </t>
  </si>
  <si>
    <t>771M</t>
  </si>
  <si>
    <t>C2012505</t>
  </si>
  <si>
    <t>Pushkar Shejwalkar</t>
  </si>
  <si>
    <t>Phenyl Hydrazine</t>
  </si>
  <si>
    <t>C2012504</t>
  </si>
  <si>
    <t>Saugata Sanpui</t>
  </si>
  <si>
    <t>Anhydrous Sodium Sulphate</t>
  </si>
  <si>
    <t>774M</t>
  </si>
  <si>
    <t>14.07.02020</t>
  </si>
  <si>
    <t>C2012503</t>
  </si>
  <si>
    <t>Vijay Pandey</t>
  </si>
  <si>
    <t>14.07.2020</t>
  </si>
  <si>
    <t>C2012502</t>
  </si>
  <si>
    <t>Mujafar Ali</t>
  </si>
  <si>
    <t>Ratlam-457001</t>
  </si>
  <si>
    <t>770M</t>
  </si>
  <si>
    <t>C2012501</t>
  </si>
  <si>
    <t>Abhijit Ojha</t>
  </si>
  <si>
    <t>White Talcum Powder,Lime Powder</t>
  </si>
  <si>
    <t>Each 500 Kg(s)</t>
  </si>
  <si>
    <t>14/-kg(s),12/-kg(s)</t>
  </si>
  <si>
    <t>887K</t>
  </si>
  <si>
    <t>C2012500</t>
  </si>
  <si>
    <t>772M</t>
  </si>
  <si>
    <t>C2012499</t>
  </si>
  <si>
    <t xml:space="preserve">Tarak    </t>
  </si>
  <si>
    <t>876K</t>
  </si>
  <si>
    <t>C2012498</t>
  </si>
  <si>
    <t>Mohiuddin Ansari</t>
  </si>
  <si>
    <t xml:space="preserve">Pyrophyllite   </t>
  </si>
  <si>
    <t>885K</t>
  </si>
  <si>
    <t>C2012497</t>
  </si>
  <si>
    <t>Srikanth Reddy D</t>
  </si>
  <si>
    <t>Salicylamide</t>
  </si>
  <si>
    <t>Secundrabad-500025</t>
  </si>
  <si>
    <t>C2012496</t>
  </si>
  <si>
    <t>Mukund</t>
  </si>
  <si>
    <t>886K</t>
  </si>
  <si>
    <t>C2012495</t>
  </si>
  <si>
    <t>Jamshedpur-831001</t>
  </si>
  <si>
    <t>872K</t>
  </si>
  <si>
    <t>C2012494</t>
  </si>
  <si>
    <t>Alok Kumar</t>
  </si>
  <si>
    <t>873K</t>
  </si>
  <si>
    <t>C2012493</t>
  </si>
  <si>
    <t xml:space="preserve">Sandeep    </t>
  </si>
  <si>
    <t>Phosphoric Acid Salt</t>
  </si>
  <si>
    <t>C2012492</t>
  </si>
  <si>
    <t>White Solvent</t>
  </si>
  <si>
    <t>C2012491</t>
  </si>
  <si>
    <t>Niket</t>
  </si>
  <si>
    <t>874K</t>
  </si>
  <si>
    <t>C2012490</t>
  </si>
  <si>
    <t>Ammonia Alum Powder</t>
  </si>
  <si>
    <t>C2012489</t>
  </si>
  <si>
    <t>Hasan</t>
  </si>
  <si>
    <t>882K</t>
  </si>
  <si>
    <t>13.07.2020</t>
  </si>
  <si>
    <t>C2012488</t>
  </si>
  <si>
    <t>Palaniappan</t>
  </si>
  <si>
    <t>Sodium Nitrate,Potassium Nitrate</t>
  </si>
  <si>
    <t>Coimbatore-641006</t>
  </si>
  <si>
    <t>C2012487</t>
  </si>
  <si>
    <t>Kasi Viswanath</t>
  </si>
  <si>
    <t>Aluminium Chloride Anhydrous</t>
  </si>
  <si>
    <t>C2012486</t>
  </si>
  <si>
    <t>Chetan Jaiswal</t>
  </si>
  <si>
    <t>Dhanbad-834001</t>
  </si>
  <si>
    <t>865K</t>
  </si>
  <si>
    <t>C2012485</t>
  </si>
  <si>
    <t>Sandip Salor</t>
  </si>
  <si>
    <t xml:space="preserve">Surat    </t>
  </si>
  <si>
    <t>761M</t>
  </si>
  <si>
    <t>C2012484</t>
  </si>
  <si>
    <t xml:space="preserve">Santosh    </t>
  </si>
  <si>
    <t>Mumbai-422202</t>
  </si>
  <si>
    <t>765M</t>
  </si>
  <si>
    <t>C2012483</t>
  </si>
  <si>
    <t>Aditya</t>
  </si>
  <si>
    <t>Mumbai-400028</t>
  </si>
  <si>
    <t>759M</t>
  </si>
  <si>
    <t>C2012482</t>
  </si>
  <si>
    <t>Sirajulgazi</t>
  </si>
  <si>
    <t>854K</t>
  </si>
  <si>
    <t>C2012481</t>
  </si>
  <si>
    <t>V P Somani</t>
  </si>
  <si>
    <t>868K</t>
  </si>
  <si>
    <t>C2012480</t>
  </si>
  <si>
    <t>Ganesh Pollai</t>
  </si>
  <si>
    <t>855K</t>
  </si>
  <si>
    <t>C2012479</t>
  </si>
  <si>
    <t>Mirtunjoy Banerjee</t>
  </si>
  <si>
    <t>864K</t>
  </si>
  <si>
    <t>C2012478</t>
  </si>
  <si>
    <t>Shibchandan Pati</t>
  </si>
  <si>
    <t>C2012477</t>
  </si>
  <si>
    <t>Santosh Shah</t>
  </si>
  <si>
    <t>Hooghly-712222</t>
  </si>
  <si>
    <t>C2012476</t>
  </si>
  <si>
    <t>Lakshi Shaw</t>
  </si>
  <si>
    <t>C2012475</t>
  </si>
  <si>
    <t>Gordhan Khatri</t>
  </si>
  <si>
    <t>Surat-395007</t>
  </si>
  <si>
    <t>265/-KG(S)</t>
  </si>
  <si>
    <t>766M</t>
  </si>
  <si>
    <t>C2012474</t>
  </si>
  <si>
    <t>Debkumar Jana</t>
  </si>
  <si>
    <t>C2012473</t>
  </si>
  <si>
    <t>Swarup Mistry</t>
  </si>
  <si>
    <t>Methyl Alcohol</t>
  </si>
  <si>
    <t>C2012472</t>
  </si>
  <si>
    <t>Sekhar Jain</t>
  </si>
  <si>
    <t>C2012471</t>
  </si>
  <si>
    <t>Utpal Biswas</t>
  </si>
  <si>
    <t>859K</t>
  </si>
  <si>
    <t>12.07.2020</t>
  </si>
  <si>
    <t>C2012470</t>
  </si>
  <si>
    <t>Hisbanur Rahman</t>
  </si>
  <si>
    <t>Kolkata-721636</t>
  </si>
  <si>
    <t>866K</t>
  </si>
  <si>
    <t>C2012469</t>
  </si>
  <si>
    <t>Jagannath Das</t>
  </si>
  <si>
    <t>245/-KG(S)</t>
  </si>
  <si>
    <t>862K</t>
  </si>
  <si>
    <t>C2012468</t>
  </si>
  <si>
    <t>Rupack Saha</t>
  </si>
  <si>
    <t>37/-KG(S)</t>
  </si>
  <si>
    <t>856K</t>
  </si>
  <si>
    <t>C2012467</t>
  </si>
  <si>
    <t>C2012466</t>
  </si>
  <si>
    <t xml:space="preserve">MD  </t>
  </si>
  <si>
    <t>Epsom Salt</t>
  </si>
  <si>
    <t>Suri</t>
  </si>
  <si>
    <t>C2012465</t>
  </si>
  <si>
    <t>Sushant Kumar</t>
  </si>
  <si>
    <t>Transparent Soap Noodles</t>
  </si>
  <si>
    <t>Kolkata=700059</t>
  </si>
  <si>
    <t>867K</t>
  </si>
  <si>
    <t>C2012464</t>
  </si>
  <si>
    <t>Nikkon Ferro Pvt Ltd</t>
  </si>
  <si>
    <t>Sodium Bi Sulfate</t>
  </si>
  <si>
    <t>869K</t>
  </si>
  <si>
    <t>C2012463</t>
  </si>
  <si>
    <t>Ravi Sahgal</t>
  </si>
  <si>
    <t>Delhi-110088</t>
  </si>
  <si>
    <t>767M</t>
  </si>
  <si>
    <t>C2012462</t>
  </si>
  <si>
    <t>Satish</t>
  </si>
  <si>
    <t>773M</t>
  </si>
  <si>
    <t>C2012461</t>
  </si>
  <si>
    <t>Shekhar Gupta</t>
  </si>
  <si>
    <t>Calcium Fluoride Powder</t>
  </si>
  <si>
    <t>764M</t>
  </si>
  <si>
    <t>C2012460</t>
  </si>
  <si>
    <t xml:space="preserve">Pranab    </t>
  </si>
  <si>
    <t>C2012459</t>
  </si>
  <si>
    <t>Navodaya</t>
  </si>
  <si>
    <t>Ethylene Absorbent</t>
  </si>
  <si>
    <t>2800 Pcs</t>
  </si>
  <si>
    <t>758M</t>
  </si>
  <si>
    <t>09.07.2020</t>
  </si>
  <si>
    <t>C2012458</t>
  </si>
  <si>
    <t>Mahendra Lingaiah</t>
  </si>
  <si>
    <t>1500 Pcs</t>
  </si>
  <si>
    <t>757M</t>
  </si>
  <si>
    <t>C2012457</t>
  </si>
  <si>
    <t>Abdul Basir</t>
  </si>
  <si>
    <t>852K</t>
  </si>
  <si>
    <t>C2012456</t>
  </si>
  <si>
    <t>Avirup Banerjee</t>
  </si>
  <si>
    <t>Govt Supply Purpose</t>
  </si>
  <si>
    <t>C2012455</t>
  </si>
  <si>
    <t>Pradip</t>
  </si>
  <si>
    <t>851K</t>
  </si>
  <si>
    <t>C2012454</t>
  </si>
  <si>
    <t>Naresh Chahal</t>
  </si>
  <si>
    <t>Tohana-120125</t>
  </si>
  <si>
    <t>C2012453</t>
  </si>
  <si>
    <t>Tanmay Sarkar</t>
  </si>
  <si>
    <t>Arsenic Removal Media</t>
  </si>
  <si>
    <t>Kolkata-742101</t>
  </si>
  <si>
    <t>C2012452</t>
  </si>
  <si>
    <t>Arnab</t>
  </si>
  <si>
    <t>Anti Scaling</t>
  </si>
  <si>
    <t>861K</t>
  </si>
  <si>
    <t>C2012451</t>
  </si>
  <si>
    <t>Moorthy</t>
  </si>
  <si>
    <t>37.50/-KG(S)</t>
  </si>
  <si>
    <t>756M</t>
  </si>
  <si>
    <t>C2012450</t>
  </si>
  <si>
    <t>Rajamani</t>
  </si>
  <si>
    <t>Ballary-583101</t>
  </si>
  <si>
    <t>762M</t>
  </si>
  <si>
    <t>C2012449</t>
  </si>
  <si>
    <t>Ashvin Joshi</t>
  </si>
  <si>
    <t>Mumbai-400062</t>
  </si>
  <si>
    <t>C2012448</t>
  </si>
  <si>
    <t>AOS Powder,SLES</t>
  </si>
  <si>
    <t>Each 2 Ton(s)</t>
  </si>
  <si>
    <t>763M</t>
  </si>
  <si>
    <t>C2012447</t>
  </si>
  <si>
    <t>Arvind Bhavsar</t>
  </si>
  <si>
    <t>858K</t>
  </si>
  <si>
    <t>08.07.2020</t>
  </si>
  <si>
    <t>C2012446</t>
  </si>
  <si>
    <t>B.DASS</t>
  </si>
  <si>
    <t>850K</t>
  </si>
  <si>
    <t>C2012445</t>
  </si>
  <si>
    <t>Navneeth Kumar</t>
  </si>
  <si>
    <t>840K</t>
  </si>
  <si>
    <t>C2012444</t>
  </si>
  <si>
    <t>Mousumi Yadav</t>
  </si>
  <si>
    <t>145/-KG(S)</t>
  </si>
  <si>
    <t>853K</t>
  </si>
  <si>
    <t>C2012443</t>
  </si>
  <si>
    <t>Sunil saha</t>
  </si>
  <si>
    <t>C2012442</t>
  </si>
  <si>
    <t>AY Saikh</t>
  </si>
  <si>
    <t>Akola-444003</t>
  </si>
  <si>
    <t>849K</t>
  </si>
  <si>
    <t>C2012441</t>
  </si>
  <si>
    <t>755M</t>
  </si>
  <si>
    <t>C2012440</t>
  </si>
  <si>
    <t xml:space="preserve">Rajiv     </t>
  </si>
  <si>
    <t>Bhagalpur</t>
  </si>
  <si>
    <t>C2012439</t>
  </si>
  <si>
    <t>Yash</t>
  </si>
  <si>
    <t>753M</t>
  </si>
  <si>
    <t>C2012438</t>
  </si>
  <si>
    <t>Pintu Kumar</t>
  </si>
  <si>
    <t>848K</t>
  </si>
  <si>
    <t>C2012437</t>
  </si>
  <si>
    <t>Raj Agarwal</t>
  </si>
  <si>
    <t>Shaving Alum</t>
  </si>
  <si>
    <t>870K</t>
  </si>
  <si>
    <t>C2012436</t>
  </si>
  <si>
    <t>Chinmoy Das</t>
  </si>
  <si>
    <t>HCL</t>
  </si>
  <si>
    <t>C2012435</t>
  </si>
  <si>
    <t>Sharad</t>
  </si>
  <si>
    <t>Agar Agar Powder</t>
  </si>
  <si>
    <t>Newasa-414603</t>
  </si>
  <si>
    <t>1700/-KG(S)</t>
  </si>
  <si>
    <t>760M</t>
  </si>
  <si>
    <t>C2012434</t>
  </si>
  <si>
    <t>C2012433</t>
  </si>
  <si>
    <t>Deoghar</t>
  </si>
  <si>
    <t>C2012432</t>
  </si>
  <si>
    <t>Ma Hasan</t>
  </si>
  <si>
    <t>845K</t>
  </si>
  <si>
    <t>C2012431</t>
  </si>
  <si>
    <t>Ravi Kumar</t>
  </si>
  <si>
    <t>Hyderabad-500034</t>
  </si>
  <si>
    <t>23.50/-KG(S)</t>
  </si>
  <si>
    <t>754M</t>
  </si>
  <si>
    <t>C2012430</t>
  </si>
  <si>
    <t>Vishal Gupta</t>
  </si>
  <si>
    <t>844K</t>
  </si>
  <si>
    <t>C2012429</t>
  </si>
  <si>
    <t>Khalid Shaikh</t>
  </si>
  <si>
    <t>Pune-413106</t>
  </si>
  <si>
    <t>07.07.2020</t>
  </si>
  <si>
    <t>C2012428</t>
  </si>
  <si>
    <t>MVS Rao</t>
  </si>
  <si>
    <t>Telgana</t>
  </si>
  <si>
    <t>752M</t>
  </si>
  <si>
    <t>C2012427</t>
  </si>
  <si>
    <t>Naresh Ahuja</t>
  </si>
  <si>
    <t>Jaipur-302016</t>
  </si>
  <si>
    <t>C2012426</t>
  </si>
  <si>
    <t>Mohan Baitha</t>
  </si>
  <si>
    <t>Hooghly-712221</t>
  </si>
  <si>
    <t>838K</t>
  </si>
  <si>
    <t>C2012425</t>
  </si>
  <si>
    <t>884K</t>
  </si>
  <si>
    <t>C2012424</t>
  </si>
  <si>
    <t>Aditi Khan</t>
  </si>
  <si>
    <t xml:space="preserve">New Delhi    </t>
  </si>
  <si>
    <t>06.07.2020</t>
  </si>
  <si>
    <t>C2012423</t>
  </si>
  <si>
    <t>Jamshedpur-832108</t>
  </si>
  <si>
    <t>830K</t>
  </si>
  <si>
    <t>C2012422</t>
  </si>
  <si>
    <t>Zhirudin Sherasiya</t>
  </si>
  <si>
    <t>Wankaner-363621</t>
  </si>
  <si>
    <t>832K</t>
  </si>
  <si>
    <t>C2012421</t>
  </si>
  <si>
    <t>Sougata Patra</t>
  </si>
  <si>
    <t>829K</t>
  </si>
  <si>
    <t>C2012420</t>
  </si>
  <si>
    <t>Balram Gupta</t>
  </si>
  <si>
    <t>Kolkata-700117</t>
  </si>
  <si>
    <t>C2012419</t>
  </si>
  <si>
    <t>Shobhit Agarwal</t>
  </si>
  <si>
    <t>Vadodara-390023</t>
  </si>
  <si>
    <t>C2012418</t>
  </si>
  <si>
    <t>Sudipta Maity</t>
  </si>
  <si>
    <t>White Ammonia Alum</t>
  </si>
  <si>
    <t>Kolkata-700129</t>
  </si>
  <si>
    <t>18/-kgs,15/-kgs</t>
  </si>
  <si>
    <t>843K</t>
  </si>
  <si>
    <t>C2012417</t>
  </si>
  <si>
    <t>Puruliya-723121</t>
  </si>
  <si>
    <t>C2012416</t>
  </si>
  <si>
    <t>Selvamani</t>
  </si>
  <si>
    <t>C2012415</t>
  </si>
  <si>
    <t>Jabbar</t>
  </si>
  <si>
    <t>C2012414</t>
  </si>
  <si>
    <t>Bhimpatra</t>
  </si>
  <si>
    <t>Sodium Silicate Liquid,Caustic Soda</t>
  </si>
  <si>
    <t>100 Kgs,300kgs</t>
  </si>
  <si>
    <t>Gangasagar</t>
  </si>
  <si>
    <t>33/-kgs,50/-kgs</t>
  </si>
  <si>
    <t>834K</t>
  </si>
  <si>
    <t>C2012413</t>
  </si>
  <si>
    <t>Mohammad Altamash</t>
  </si>
  <si>
    <t>Bidar-585401</t>
  </si>
  <si>
    <t>751M</t>
  </si>
  <si>
    <t>C2012412</t>
  </si>
  <si>
    <t>S Ghosh</t>
  </si>
  <si>
    <t>828K</t>
  </si>
  <si>
    <t>C2012411</t>
  </si>
  <si>
    <t>Swapnil Jain</t>
  </si>
  <si>
    <t>Chennai-600003</t>
  </si>
  <si>
    <t>C2012410</t>
  </si>
  <si>
    <t>Nasim Ansari</t>
  </si>
  <si>
    <t>831K</t>
  </si>
  <si>
    <t>C2012409</t>
  </si>
  <si>
    <t>Jesree Saha</t>
  </si>
  <si>
    <t>C2012408</t>
  </si>
  <si>
    <t>Biswanath Sarkar</t>
  </si>
  <si>
    <t>Muriatic Acid,Bleaching Powder</t>
  </si>
  <si>
    <t>Each Item 500Kg(s)</t>
  </si>
  <si>
    <t>33/-KG(S)</t>
  </si>
  <si>
    <t>833K</t>
  </si>
  <si>
    <t>C2012407</t>
  </si>
  <si>
    <t>Sunil Bajaj</t>
  </si>
  <si>
    <t>Oxygen Tablet,Potassium Permanganate,Copper Sulphate</t>
  </si>
  <si>
    <t>260/-kgs,200/-kgs</t>
  </si>
  <si>
    <t>835K</t>
  </si>
  <si>
    <t>C2012406</t>
  </si>
  <si>
    <t>Subhajit Dutta</t>
  </si>
  <si>
    <t>630/-KG(S)</t>
  </si>
  <si>
    <t>827K</t>
  </si>
  <si>
    <t>C2012405</t>
  </si>
  <si>
    <t>Manoj Srivastava</t>
  </si>
  <si>
    <t>Ajmer-305004</t>
  </si>
  <si>
    <t>C2012404</t>
  </si>
  <si>
    <t>Pranabesh Mondal</t>
  </si>
  <si>
    <t>C2012403</t>
  </si>
  <si>
    <t>Sangam Waghmare</t>
  </si>
  <si>
    <t>04.07.2020</t>
  </si>
  <si>
    <t>C2012402</t>
  </si>
  <si>
    <t>Amitava Das</t>
  </si>
  <si>
    <t>Kolkata-700095</t>
  </si>
  <si>
    <t>823K</t>
  </si>
  <si>
    <t>C2012401</t>
  </si>
  <si>
    <t>Sovik</t>
  </si>
  <si>
    <t>Alum Solid</t>
  </si>
  <si>
    <t>841K</t>
  </si>
  <si>
    <t>C2012400</t>
  </si>
  <si>
    <t>Sandeep Kapoor</t>
  </si>
  <si>
    <t>C2012399</t>
  </si>
  <si>
    <t>Asif Rao</t>
  </si>
  <si>
    <t>Roorkee-247661</t>
  </si>
  <si>
    <t>750M</t>
  </si>
  <si>
    <t>C2012398</t>
  </si>
  <si>
    <t>Bleaching powder</t>
  </si>
  <si>
    <t>C2012397</t>
  </si>
  <si>
    <t>Rajkumar Yadav</t>
  </si>
  <si>
    <t>Lithium Nitrate</t>
  </si>
  <si>
    <t>C2012396</t>
  </si>
  <si>
    <t>Mohammad Kamaluddin</t>
  </si>
  <si>
    <t>Kolkata-731101</t>
  </si>
  <si>
    <t>819K</t>
  </si>
  <si>
    <t>C2012395</t>
  </si>
  <si>
    <t>Syed Mohammad Musa</t>
  </si>
  <si>
    <t>818K</t>
  </si>
  <si>
    <t>C2012394</t>
  </si>
  <si>
    <t>Prasenjit Parui</t>
  </si>
  <si>
    <t>Pond Culture</t>
  </si>
  <si>
    <t>C2012393</t>
  </si>
  <si>
    <t>Anil Soni</t>
  </si>
  <si>
    <t>747M</t>
  </si>
  <si>
    <t>C2012392</t>
  </si>
  <si>
    <t>Devendra Trivedi</t>
  </si>
  <si>
    <t>748M</t>
  </si>
  <si>
    <t>C2012391</t>
  </si>
  <si>
    <t>Manas Samanta</t>
  </si>
  <si>
    <t>Hooghly-712308</t>
  </si>
  <si>
    <t>821K</t>
  </si>
  <si>
    <t>C2012390</t>
  </si>
  <si>
    <t>Anil Agarwal</t>
  </si>
  <si>
    <t>114/-KG(S)</t>
  </si>
  <si>
    <t>822K</t>
  </si>
  <si>
    <t>03.07.2020</t>
  </si>
  <si>
    <t>C2012389</t>
  </si>
  <si>
    <t>Kalpesh Thakkar</t>
  </si>
  <si>
    <t>746M</t>
  </si>
  <si>
    <t>C2012388</t>
  </si>
  <si>
    <t>Bajrangbali</t>
  </si>
  <si>
    <t>C2012387</t>
  </si>
  <si>
    <t>Avijit das</t>
  </si>
  <si>
    <t>C2012386</t>
  </si>
  <si>
    <t>Kuldeep Indalkar</t>
  </si>
  <si>
    <t>745M</t>
  </si>
  <si>
    <t>C2012385</t>
  </si>
  <si>
    <t>Sri Krishna</t>
  </si>
  <si>
    <t>881K</t>
  </si>
  <si>
    <t>C2012384</t>
  </si>
  <si>
    <t>Anthony</t>
  </si>
  <si>
    <t>744M</t>
  </si>
  <si>
    <t>C2012383</t>
  </si>
  <si>
    <t>Siddhartha Mukherjee</t>
  </si>
  <si>
    <t>Kolkata-711103</t>
  </si>
  <si>
    <t>883K</t>
  </si>
  <si>
    <t>C2012382</t>
  </si>
  <si>
    <t xml:space="preserve">Prakash     </t>
  </si>
  <si>
    <t xml:space="preserve">Kharagpur    </t>
  </si>
  <si>
    <t>815K</t>
  </si>
  <si>
    <t>C2012381</t>
  </si>
  <si>
    <t xml:space="preserve">Shodan </t>
  </si>
  <si>
    <t>C2012380</t>
  </si>
  <si>
    <t>Partha Mondal</t>
  </si>
  <si>
    <t>817K</t>
  </si>
  <si>
    <t>C2012379</t>
  </si>
  <si>
    <t>Dhanvarsha</t>
  </si>
  <si>
    <t>C2012378</t>
  </si>
  <si>
    <t xml:space="preserve">Durgapur   </t>
  </si>
  <si>
    <t>C2012377</t>
  </si>
  <si>
    <t>743M</t>
  </si>
  <si>
    <t>C2012376</t>
  </si>
  <si>
    <t>Krishna Prasad Chakraborty</t>
  </si>
  <si>
    <t>847K</t>
  </si>
  <si>
    <t>C2012375</t>
  </si>
  <si>
    <t xml:space="preserve">Jamshedpur    </t>
  </si>
  <si>
    <t>C2012374</t>
  </si>
  <si>
    <t>Aritra Das</t>
  </si>
  <si>
    <t>02.07.2020</t>
  </si>
  <si>
    <t>C2012373</t>
  </si>
  <si>
    <t>Tridip Ghosh</t>
  </si>
  <si>
    <t>812K</t>
  </si>
  <si>
    <t>C2012372</t>
  </si>
  <si>
    <t>Mumbai-400104</t>
  </si>
  <si>
    <t>741M</t>
  </si>
  <si>
    <t>C2012371</t>
  </si>
  <si>
    <t>TK Rajgaria</t>
  </si>
  <si>
    <t>Earthing Bentonite</t>
  </si>
  <si>
    <t>814K</t>
  </si>
  <si>
    <t>C2012370</t>
  </si>
  <si>
    <t>South 24 Parganas-700103</t>
  </si>
  <si>
    <t>880K</t>
  </si>
  <si>
    <t>C2012369</t>
  </si>
  <si>
    <t>Iso Propyl Alcohol</t>
  </si>
  <si>
    <t>Hisar-125001</t>
  </si>
  <si>
    <t>190/-KG(S)</t>
  </si>
  <si>
    <t>742M</t>
  </si>
  <si>
    <t>C2012368</t>
  </si>
  <si>
    <t xml:space="preserve">Arup    </t>
  </si>
  <si>
    <t>Kharagpur-721424</t>
  </si>
  <si>
    <t>C2012367</t>
  </si>
  <si>
    <t>Nirmal</t>
  </si>
  <si>
    <t>C2012366</t>
  </si>
  <si>
    <t>813K</t>
  </si>
  <si>
    <t>C2012365</t>
  </si>
  <si>
    <t>Sahin Alam</t>
  </si>
  <si>
    <t>860K</t>
  </si>
  <si>
    <t>C2012364</t>
  </si>
  <si>
    <t>Harshwardhan Agarwal</t>
  </si>
  <si>
    <t>879K</t>
  </si>
  <si>
    <t>C2012363</t>
  </si>
  <si>
    <t>Shivendra Singh</t>
  </si>
  <si>
    <t>Solid Wood Coal</t>
  </si>
  <si>
    <t>Pratapgarh-230125</t>
  </si>
  <si>
    <t>739M</t>
  </si>
  <si>
    <t>C2012362</t>
  </si>
  <si>
    <t>Vivek Gupta</t>
  </si>
  <si>
    <t>Calcium Carbide(Shriram)</t>
  </si>
  <si>
    <t>Haldwani-263139</t>
  </si>
  <si>
    <t>740M</t>
  </si>
  <si>
    <t>C2012361</t>
  </si>
  <si>
    <t>Pratik Patel</t>
  </si>
  <si>
    <t>425/-KG(S)</t>
  </si>
  <si>
    <t>737M</t>
  </si>
  <si>
    <t>C2012360</t>
  </si>
  <si>
    <t>Gunwant</t>
  </si>
  <si>
    <t>738M</t>
  </si>
  <si>
    <t>C2012359</t>
  </si>
  <si>
    <t>Supriyo</t>
  </si>
  <si>
    <t>811K</t>
  </si>
  <si>
    <t>01.07.2020</t>
  </si>
  <si>
    <t>C2012358</t>
  </si>
  <si>
    <t>Yathish Kumar Alva</t>
  </si>
  <si>
    <t>C2012357</t>
  </si>
  <si>
    <t>Akbar Ali</t>
  </si>
  <si>
    <t>Chennai-603402</t>
  </si>
  <si>
    <t>C2012356</t>
  </si>
  <si>
    <t>Appa Sahib Godgere</t>
  </si>
  <si>
    <t>731M</t>
  </si>
  <si>
    <t>C2012355</t>
  </si>
  <si>
    <t>Chinmoy Sardar</t>
  </si>
  <si>
    <t>807K</t>
  </si>
  <si>
    <t>C2012354</t>
  </si>
  <si>
    <t>Pankaj Kumar</t>
  </si>
  <si>
    <t>Ramgarh-829117</t>
  </si>
  <si>
    <t>809K</t>
  </si>
  <si>
    <t>C2012353</t>
  </si>
  <si>
    <t>Shoaib Ali</t>
  </si>
  <si>
    <t>736M</t>
  </si>
  <si>
    <t>C2012352</t>
  </si>
  <si>
    <t>C2012351</t>
  </si>
  <si>
    <t>Rajesh Bajaj</t>
  </si>
  <si>
    <t>C2012350</t>
  </si>
  <si>
    <t>805K</t>
  </si>
  <si>
    <t>C2012349</t>
  </si>
  <si>
    <t>Shamseer</t>
  </si>
  <si>
    <t>C2012348</t>
  </si>
  <si>
    <t>Akash  Panday</t>
  </si>
  <si>
    <t>Crystalline Silica</t>
  </si>
  <si>
    <t>C2012347</t>
  </si>
  <si>
    <t>Safique</t>
  </si>
  <si>
    <t>Mumbai-400072</t>
  </si>
  <si>
    <t>732M</t>
  </si>
  <si>
    <t>C2012346</t>
  </si>
  <si>
    <t>Venugopal Suvarna</t>
  </si>
  <si>
    <t>Alum Rock</t>
  </si>
  <si>
    <t>Mumbai-400014</t>
  </si>
  <si>
    <t>730M</t>
  </si>
  <si>
    <t>C2012345</t>
  </si>
  <si>
    <t>Suresh Babu</t>
  </si>
  <si>
    <t>734M</t>
  </si>
  <si>
    <t>C2012344</t>
  </si>
  <si>
    <t>Ashish Loharuka</t>
  </si>
  <si>
    <t>White Camphor Powder</t>
  </si>
  <si>
    <t>804K</t>
  </si>
  <si>
    <t>30.06.2020</t>
  </si>
  <si>
    <t>C2012343</t>
  </si>
  <si>
    <t xml:space="preserve">Preetam </t>
  </si>
  <si>
    <t>C2012342</t>
  </si>
  <si>
    <t>A Chakarwarty</t>
  </si>
  <si>
    <t>Solvent Ether</t>
  </si>
  <si>
    <t>C2012341</t>
  </si>
  <si>
    <t>Akant Kumar</t>
  </si>
  <si>
    <t>733M</t>
  </si>
  <si>
    <t>C2012340</t>
  </si>
  <si>
    <t>SM Shetty</t>
  </si>
  <si>
    <t>Mumbai-400093</t>
  </si>
  <si>
    <t>C2012339</t>
  </si>
  <si>
    <t>Santu Mukherjee</t>
  </si>
  <si>
    <t>806K</t>
  </si>
  <si>
    <t>C2012338</t>
  </si>
  <si>
    <t>C2012337</t>
  </si>
  <si>
    <t xml:space="preserve">Abha   </t>
  </si>
  <si>
    <t>Vadodara-391340</t>
  </si>
  <si>
    <t>C2012336</t>
  </si>
  <si>
    <t>Koushik Acharya</t>
  </si>
  <si>
    <t>Liquid Detergent purpose</t>
  </si>
  <si>
    <t>C2012335</t>
  </si>
  <si>
    <t>Jawed Shaikh</t>
  </si>
  <si>
    <t>Mumbai-400102</t>
  </si>
  <si>
    <t>728M</t>
  </si>
  <si>
    <t>C2012334</t>
  </si>
  <si>
    <t>Sudeep Bose</t>
  </si>
  <si>
    <t>Paraffin wax</t>
  </si>
  <si>
    <t>C2012333</t>
  </si>
  <si>
    <t>Devang Jetly</t>
  </si>
  <si>
    <t>Oxygen Tablets</t>
  </si>
  <si>
    <t>727M</t>
  </si>
  <si>
    <t>C2012332</t>
  </si>
  <si>
    <t>Prakash Kumar Sahoo</t>
  </si>
  <si>
    <t>810K</t>
  </si>
  <si>
    <t>C2012331</t>
  </si>
  <si>
    <t>Manjot</t>
  </si>
  <si>
    <t>C2012330</t>
  </si>
  <si>
    <t>Prativa Ghosh</t>
  </si>
  <si>
    <t>C2012329</t>
  </si>
  <si>
    <t>Rohit Jindal</t>
  </si>
  <si>
    <t>New Delhi-110040</t>
  </si>
  <si>
    <t>C2012328</t>
  </si>
  <si>
    <t>Rakesh Jangid</t>
  </si>
  <si>
    <t>Chandrapur-442406</t>
  </si>
  <si>
    <t>735M</t>
  </si>
  <si>
    <t>C2012327</t>
  </si>
  <si>
    <t>729M</t>
  </si>
  <si>
    <t>29.06.2020</t>
  </si>
  <si>
    <t>C2012326</t>
  </si>
  <si>
    <t>Milan Banerjee</t>
  </si>
  <si>
    <t>Sreerampur-712201</t>
  </si>
  <si>
    <t>C2012325</t>
  </si>
  <si>
    <t>Urvesh Raghav</t>
  </si>
  <si>
    <t>719M</t>
  </si>
  <si>
    <t>C2012324</t>
  </si>
  <si>
    <t>Narendra Kumar Singh</t>
  </si>
  <si>
    <t>803K</t>
  </si>
  <si>
    <t>C2012323</t>
  </si>
  <si>
    <t>Arvind</t>
  </si>
  <si>
    <t>Jodhpur-342005</t>
  </si>
  <si>
    <t>720M</t>
  </si>
  <si>
    <t>C2012322</t>
  </si>
  <si>
    <t>Naveen Mittal</t>
  </si>
  <si>
    <t>797K</t>
  </si>
  <si>
    <t>C2012321</t>
  </si>
  <si>
    <t>Partha Sarathi Pal</t>
  </si>
  <si>
    <t>Ferrous Sulphate IP Grade</t>
  </si>
  <si>
    <t>Kolkata-700035</t>
  </si>
  <si>
    <t>C2012320</t>
  </si>
  <si>
    <t>Pradeep</t>
  </si>
  <si>
    <t>Potassium Humate</t>
  </si>
  <si>
    <t>C2012319</t>
  </si>
  <si>
    <t>Sanjay Thakur</t>
  </si>
  <si>
    <t>794K</t>
  </si>
  <si>
    <t>C2012318</t>
  </si>
  <si>
    <t>Hoogly-712221</t>
  </si>
  <si>
    <t>802K</t>
  </si>
  <si>
    <t>C2012317</t>
  </si>
  <si>
    <t>Krishna Prasad</t>
  </si>
  <si>
    <t>C2012316</t>
  </si>
  <si>
    <t>Tarak Biswas</t>
  </si>
  <si>
    <t>C2012315</t>
  </si>
  <si>
    <t>Sunity Dutta</t>
  </si>
  <si>
    <t>Kolkata-700125</t>
  </si>
  <si>
    <t>800K</t>
  </si>
  <si>
    <t>C2012314</t>
  </si>
  <si>
    <t xml:space="preserve">Mahesh    </t>
  </si>
  <si>
    <t>721M</t>
  </si>
  <si>
    <t>C2012313</t>
  </si>
  <si>
    <t>Prasad Praad Reddy</t>
  </si>
  <si>
    <t>Iodine Monochloride</t>
  </si>
  <si>
    <t>C2012312</t>
  </si>
  <si>
    <t>S.Valerian</t>
  </si>
  <si>
    <t>Secundrabad-500003</t>
  </si>
  <si>
    <t>C2012311</t>
  </si>
  <si>
    <t>Rakib Mallick</t>
  </si>
  <si>
    <t>Sodium Sulphate,Sodium Silicate,Acid Slurry,Caustic Soda,Soda Ash</t>
  </si>
  <si>
    <t>Each Item 200kgs</t>
  </si>
  <si>
    <t>19/-,65/-120/-,52/-,32/-</t>
  </si>
  <si>
    <t>799K</t>
  </si>
  <si>
    <t>C2012310</t>
  </si>
  <si>
    <t xml:space="preserve">Ethanol    </t>
  </si>
  <si>
    <t>795K</t>
  </si>
  <si>
    <t>C2012309</t>
  </si>
  <si>
    <t>Kuntal Sarkar</t>
  </si>
  <si>
    <t>796K</t>
  </si>
  <si>
    <t>C2012308</t>
  </si>
  <si>
    <t>Bapi Das</t>
  </si>
  <si>
    <t>C2012307</t>
  </si>
  <si>
    <t>Carlcium Carbide</t>
  </si>
  <si>
    <t>Warangal-506002</t>
  </si>
  <si>
    <t>94.50/-KG(S)</t>
  </si>
  <si>
    <t>722M</t>
  </si>
  <si>
    <t>C2012306</t>
  </si>
  <si>
    <t>Sujeet Kumar</t>
  </si>
  <si>
    <t>718M</t>
  </si>
  <si>
    <t>C2012305</t>
  </si>
  <si>
    <t>P Narzari</t>
  </si>
  <si>
    <t>27.06.2020</t>
  </si>
  <si>
    <t>C2012304</t>
  </si>
  <si>
    <t>Swapnil Jagtap</t>
  </si>
  <si>
    <t>724M</t>
  </si>
  <si>
    <t>C2012303</t>
  </si>
  <si>
    <t>Dimapur-797112</t>
  </si>
  <si>
    <t>717M</t>
  </si>
  <si>
    <t>C2012302</t>
  </si>
  <si>
    <t>Mahesh Shah</t>
  </si>
  <si>
    <t>716M</t>
  </si>
  <si>
    <t>C2012301</t>
  </si>
  <si>
    <t>Jaleshwar Prasad</t>
  </si>
  <si>
    <t>Qatar Melamine Powder</t>
  </si>
  <si>
    <t>C2012300</t>
  </si>
  <si>
    <t>Sharashish Mistry</t>
  </si>
  <si>
    <t>801K</t>
  </si>
  <si>
    <t>C2012299</t>
  </si>
  <si>
    <t>Sabir</t>
  </si>
  <si>
    <t>Dolomite Powder,Soda Ash,Acid Slurry</t>
  </si>
  <si>
    <t>500kgs,500kgs,100ltrs</t>
  </si>
  <si>
    <t>Dishwash Bar</t>
  </si>
  <si>
    <t>10/-kgs,27/-kgs,128/-kgs</t>
  </si>
  <si>
    <t>798K</t>
  </si>
  <si>
    <t>C2012298</t>
  </si>
  <si>
    <t>Sunil Honrao</t>
  </si>
  <si>
    <t>723M</t>
  </si>
  <si>
    <t>C2012297</t>
  </si>
  <si>
    <t>Rajesh Kumar Pandey</t>
  </si>
  <si>
    <t>Kolkata-700089</t>
  </si>
  <si>
    <t>C2012296</t>
  </si>
  <si>
    <t>Subhabrata Ghosh</t>
  </si>
  <si>
    <t>Kolkata-700052</t>
  </si>
  <si>
    <t>C2012295</t>
  </si>
  <si>
    <t>Babul Sarkar</t>
  </si>
  <si>
    <t>Tinsukia</t>
  </si>
  <si>
    <t>791K</t>
  </si>
  <si>
    <t>C2012294</t>
  </si>
  <si>
    <t>Saurabh Banerjee</t>
  </si>
  <si>
    <t>Ammonium Per Sulphate</t>
  </si>
  <si>
    <t>C2012293</t>
  </si>
  <si>
    <t>G Selvam</t>
  </si>
  <si>
    <t>725M</t>
  </si>
  <si>
    <t>C2012292</t>
  </si>
  <si>
    <t>Deepak Ghosh</t>
  </si>
  <si>
    <t>Silchar-788008</t>
  </si>
  <si>
    <t>C2012291</t>
  </si>
  <si>
    <t>Chiranjit</t>
  </si>
  <si>
    <t>C2012290</t>
  </si>
  <si>
    <t>C2012289</t>
  </si>
  <si>
    <t>Badri</t>
  </si>
  <si>
    <t>715M</t>
  </si>
  <si>
    <t>26.06.2020</t>
  </si>
  <si>
    <t>C2012288</t>
  </si>
  <si>
    <t>Rohit Patel</t>
  </si>
  <si>
    <t>Morbi-363641</t>
  </si>
  <si>
    <t>712M</t>
  </si>
  <si>
    <t>C2012287</t>
  </si>
  <si>
    <t>Krishan Murthy</t>
  </si>
  <si>
    <t>Cream Of Tartar</t>
  </si>
  <si>
    <t>Mysore</t>
  </si>
  <si>
    <t>C2012286</t>
  </si>
  <si>
    <t>Ravi verma</t>
  </si>
  <si>
    <t>Howrah-711108</t>
  </si>
  <si>
    <t>Sayyed Fakhar</t>
  </si>
  <si>
    <t>275/-KG(S)</t>
  </si>
  <si>
    <t>713M</t>
  </si>
  <si>
    <t>C2012284</t>
  </si>
  <si>
    <t xml:space="preserve">Karthi    </t>
  </si>
  <si>
    <t>726K</t>
  </si>
  <si>
    <t>C2012283</t>
  </si>
  <si>
    <t xml:space="preserve">Manoj   </t>
  </si>
  <si>
    <t>Chennai-612001</t>
  </si>
  <si>
    <t>Fish Farming Purpose</t>
  </si>
  <si>
    <t>C2012282</t>
  </si>
  <si>
    <t>Shamsul Hoque</t>
  </si>
  <si>
    <t>Karimganj</t>
  </si>
  <si>
    <t>790K</t>
  </si>
  <si>
    <t>C2012281</t>
  </si>
  <si>
    <t>Jayesh Devani</t>
  </si>
  <si>
    <t>C2012280</t>
  </si>
  <si>
    <t>VK Soni</t>
  </si>
  <si>
    <t>714M</t>
  </si>
  <si>
    <t>C2012279</t>
  </si>
  <si>
    <t>Bala</t>
  </si>
  <si>
    <t>25.06.2020</t>
  </si>
  <si>
    <t>C2012278</t>
  </si>
  <si>
    <t>Md.Monirul Islam</t>
  </si>
  <si>
    <t>Mushidabad</t>
  </si>
  <si>
    <t>785K</t>
  </si>
  <si>
    <t>C2012277</t>
  </si>
  <si>
    <t>Sourav Panja</t>
  </si>
  <si>
    <t>784K</t>
  </si>
  <si>
    <t>C2012276</t>
  </si>
  <si>
    <t>Rahul Mishra</t>
  </si>
  <si>
    <t>C2012275</t>
  </si>
  <si>
    <t>Anujit Kumar Mukherjee</t>
  </si>
  <si>
    <t>185/-kgs,220/-kgs</t>
  </si>
  <si>
    <t>708M</t>
  </si>
  <si>
    <t>C2012274</t>
  </si>
  <si>
    <t>Avijit Ghosh</t>
  </si>
  <si>
    <t>C2012273</t>
  </si>
  <si>
    <t>Kolkata-700107</t>
  </si>
  <si>
    <t>Aquaculture Purpose</t>
  </si>
  <si>
    <t>C2012272</t>
  </si>
  <si>
    <t>Swati Purav</t>
  </si>
  <si>
    <t>709M</t>
  </si>
  <si>
    <t>C2012271</t>
  </si>
  <si>
    <t>Manajit Pal</t>
  </si>
  <si>
    <t>786K</t>
  </si>
  <si>
    <t>C2012270</t>
  </si>
  <si>
    <t>Nikunj Mehta</t>
  </si>
  <si>
    <t>C2012269</t>
  </si>
  <si>
    <t>Kishan Kumar Daga</t>
  </si>
  <si>
    <t>C2012268</t>
  </si>
  <si>
    <t>Samarjit Dey</t>
  </si>
  <si>
    <t>Neutral Alcohol</t>
  </si>
  <si>
    <t>99/-KG(S)</t>
  </si>
  <si>
    <t>789K</t>
  </si>
  <si>
    <t>C2012267</t>
  </si>
  <si>
    <t>Pratap Ch.Burman</t>
  </si>
  <si>
    <t>C2012266</t>
  </si>
  <si>
    <t>Dayanand Jatti</t>
  </si>
  <si>
    <t>Hubli-580026</t>
  </si>
  <si>
    <t>710M</t>
  </si>
  <si>
    <t>C2012265</t>
  </si>
  <si>
    <t>Rajiv Kumar</t>
  </si>
  <si>
    <t>Surat-394270</t>
  </si>
  <si>
    <t>711M</t>
  </si>
  <si>
    <t>C2012264</t>
  </si>
  <si>
    <t>Salil Dasgupta</t>
  </si>
  <si>
    <t>24.06.2020</t>
  </si>
  <si>
    <t>C2012263</t>
  </si>
  <si>
    <t>Rahul Gupta</t>
  </si>
  <si>
    <t>706M</t>
  </si>
  <si>
    <t>C2012262</t>
  </si>
  <si>
    <t>Liton</t>
  </si>
  <si>
    <t>C2012261</t>
  </si>
  <si>
    <t xml:space="preserve">Alum Powder    </t>
  </si>
  <si>
    <t>C2012260</t>
  </si>
  <si>
    <t>Ramkur</t>
  </si>
  <si>
    <t>C2012259</t>
  </si>
  <si>
    <t>Parmanand Agarwal</t>
  </si>
  <si>
    <t>C2012258</t>
  </si>
  <si>
    <t>Nandy</t>
  </si>
  <si>
    <t>779K</t>
  </si>
  <si>
    <t>C2012257</t>
  </si>
  <si>
    <t>Rashmi Bhayani</t>
  </si>
  <si>
    <t>Ethanol,Iso Propyl Alcohol</t>
  </si>
  <si>
    <t>300ltrs,300ltrs</t>
  </si>
  <si>
    <t>120/-ltrs,220/-ltrs</t>
  </si>
  <si>
    <t>775K</t>
  </si>
  <si>
    <t>C2012256</t>
  </si>
  <si>
    <t>Dipu Roy</t>
  </si>
  <si>
    <t>Kolkata,Jaynagar</t>
  </si>
  <si>
    <t>777K</t>
  </si>
  <si>
    <t>C2012255</t>
  </si>
  <si>
    <t>Ajit Singh</t>
  </si>
  <si>
    <t>Panjab</t>
  </si>
  <si>
    <t>705M</t>
  </si>
  <si>
    <t>C2012254</t>
  </si>
  <si>
    <t>Karthika</t>
  </si>
  <si>
    <t>Sodium Carbonate</t>
  </si>
  <si>
    <t>C2012253</t>
  </si>
  <si>
    <t>Tarit Guha</t>
  </si>
  <si>
    <t>128/-KG(S)</t>
  </si>
  <si>
    <t>780K</t>
  </si>
  <si>
    <t>C2012252</t>
  </si>
  <si>
    <t>Aditya Tandon</t>
  </si>
  <si>
    <t>778K</t>
  </si>
  <si>
    <t>C2012251</t>
  </si>
  <si>
    <t>Prathmesh</t>
  </si>
  <si>
    <t>Rubbing Spirit</t>
  </si>
  <si>
    <t xml:space="preserve">Bhusawal   </t>
  </si>
  <si>
    <t>704M</t>
  </si>
  <si>
    <t>C2012250</t>
  </si>
  <si>
    <t>Govind</t>
  </si>
  <si>
    <t>Dolomite Chips,Dolomite Powder</t>
  </si>
  <si>
    <t>80 Ton(s),20Ton(s)</t>
  </si>
  <si>
    <t xml:space="preserve">Siliguri    </t>
  </si>
  <si>
    <t>6/-kgs,6.50/-kgs</t>
  </si>
  <si>
    <t>781K</t>
  </si>
  <si>
    <t>23.06.2020</t>
  </si>
  <si>
    <t>C2012249</t>
  </si>
  <si>
    <t>Anushka</t>
  </si>
  <si>
    <t>773K</t>
  </si>
  <si>
    <t>C2012248</t>
  </si>
  <si>
    <t>Divya Vinoth Praja</t>
  </si>
  <si>
    <t>701M</t>
  </si>
  <si>
    <t>C2012247</t>
  </si>
  <si>
    <t>Arup Singh</t>
  </si>
  <si>
    <t xml:space="preserve">Howrah    </t>
  </si>
  <si>
    <t>C2012246</t>
  </si>
  <si>
    <t>T Ghosh</t>
  </si>
  <si>
    <t>770K</t>
  </si>
  <si>
    <t>C2012245</t>
  </si>
  <si>
    <t>787K</t>
  </si>
  <si>
    <t>C2012244</t>
  </si>
  <si>
    <t>Abhyanand</t>
  </si>
  <si>
    <t>260/-KG(S)</t>
  </si>
  <si>
    <t>702M</t>
  </si>
  <si>
    <t>C2012243</t>
  </si>
  <si>
    <t>Tapan Roy</t>
  </si>
  <si>
    <t>C2012242</t>
  </si>
  <si>
    <t>M.gaohar Shahid</t>
  </si>
  <si>
    <t>Asansol-713301</t>
  </si>
  <si>
    <t>703M</t>
  </si>
  <si>
    <t>C2012241</t>
  </si>
  <si>
    <t>Amit Sharma</t>
  </si>
  <si>
    <t>Bankura Silica Sand</t>
  </si>
  <si>
    <t>878K</t>
  </si>
  <si>
    <t>C2012240</t>
  </si>
  <si>
    <t>Abir</t>
  </si>
  <si>
    <t>771K</t>
  </si>
  <si>
    <t>C2012239</t>
  </si>
  <si>
    <t>Anup Nandi</t>
  </si>
  <si>
    <t>Kolkata-743424</t>
  </si>
  <si>
    <t>C2012238</t>
  </si>
  <si>
    <t>Shridam</t>
  </si>
  <si>
    <t>Sodium Silicate Powder,Sodium Sulphate,Acid Slurry,Dolomite Powder</t>
  </si>
  <si>
    <t>300kgs,300kgs, 200kgs,300kgs</t>
  </si>
  <si>
    <t>61/-kgs,14.50/-kgs,117/-kgs,10/-kgs</t>
  </si>
  <si>
    <t>769K</t>
  </si>
  <si>
    <t>22.06.2020</t>
  </si>
  <si>
    <t>C2012237</t>
  </si>
  <si>
    <t>Suman</t>
  </si>
  <si>
    <t>Durgapur-713321</t>
  </si>
  <si>
    <t>772K</t>
  </si>
  <si>
    <t>C2012236</t>
  </si>
  <si>
    <t>Gufran</t>
  </si>
  <si>
    <t>760K</t>
  </si>
  <si>
    <t>C2012235</t>
  </si>
  <si>
    <t>Abhijit Das</t>
  </si>
  <si>
    <t>Kolkata-743351</t>
  </si>
  <si>
    <t>C2012234</t>
  </si>
  <si>
    <t>Mutahar</t>
  </si>
  <si>
    <t>698M</t>
  </si>
  <si>
    <t>C2012233</t>
  </si>
  <si>
    <t>Yash Sonthalia</t>
  </si>
  <si>
    <t>C2012232</t>
  </si>
  <si>
    <t>Anurag Singh</t>
  </si>
  <si>
    <t>C2012231</t>
  </si>
  <si>
    <t>Kishor Mistry</t>
  </si>
  <si>
    <t>Rajkot-360110</t>
  </si>
  <si>
    <t>699M</t>
  </si>
  <si>
    <t>C2012230</t>
  </si>
  <si>
    <t>Mustafizur Rehman</t>
  </si>
  <si>
    <t>C2012229</t>
  </si>
  <si>
    <t>Saikat Majhi</t>
  </si>
  <si>
    <t>C2012228</t>
  </si>
  <si>
    <t>Gouranga Mandal</t>
  </si>
  <si>
    <t>Sodium Silicate,Sodium Phosphate,Acid Slurry</t>
  </si>
  <si>
    <t>300kgs,300kgs,200kgs</t>
  </si>
  <si>
    <t>Sonatala</t>
  </si>
  <si>
    <t>63/-kgs,120/-kgs</t>
  </si>
  <si>
    <t>763K</t>
  </si>
  <si>
    <t>C2012227</t>
  </si>
  <si>
    <t>Nandlal Pasi</t>
  </si>
  <si>
    <t>C2012226</t>
  </si>
  <si>
    <t>Muniyassamy</t>
  </si>
  <si>
    <t>Potassium Pyro Antimonate</t>
  </si>
  <si>
    <t>C2012225</t>
  </si>
  <si>
    <t>Amar Kokate</t>
  </si>
  <si>
    <t>Spirit,Methanol</t>
  </si>
  <si>
    <t>800kgs,500kgs</t>
  </si>
  <si>
    <t>C2012224</t>
  </si>
  <si>
    <t>Abhay</t>
  </si>
  <si>
    <t>White Dolomite Chips</t>
  </si>
  <si>
    <t>Gorakhpur</t>
  </si>
  <si>
    <t>C2012223</t>
  </si>
  <si>
    <t>Subhasish Das</t>
  </si>
  <si>
    <t>761K</t>
  </si>
  <si>
    <t>C2012222</t>
  </si>
  <si>
    <t>Arshad Ahmad</t>
  </si>
  <si>
    <t>697M</t>
  </si>
  <si>
    <t>C2012221</t>
  </si>
  <si>
    <t>Aditya Rajput</t>
  </si>
  <si>
    <t>696M</t>
  </si>
  <si>
    <t>C2012220</t>
  </si>
  <si>
    <t>Tal</t>
  </si>
  <si>
    <t>762K</t>
  </si>
  <si>
    <t>C2012219</t>
  </si>
  <si>
    <t>759K</t>
  </si>
  <si>
    <t>C2012218</t>
  </si>
  <si>
    <t xml:space="preserve">Santosh   </t>
  </si>
  <si>
    <t>20.06.2020</t>
  </si>
  <si>
    <t>C2012217</t>
  </si>
  <si>
    <t>Mrinal Bhattachaejee</t>
  </si>
  <si>
    <t>500 Pouch</t>
  </si>
  <si>
    <t>C2012216</t>
  </si>
  <si>
    <t>Kanderp Sevantilal Khandwala</t>
  </si>
  <si>
    <t>C2012215</t>
  </si>
  <si>
    <t>Sachin Mishra</t>
  </si>
  <si>
    <t>C2012214</t>
  </si>
  <si>
    <t>Pratyush Kanti Mahatma</t>
  </si>
  <si>
    <t>C2012213</t>
  </si>
  <si>
    <t>Suresh Gautam Shinde</t>
  </si>
  <si>
    <t>Nashik-422010</t>
  </si>
  <si>
    <t>C2012212</t>
  </si>
  <si>
    <t>Dr.Arun Sharma</t>
  </si>
  <si>
    <t>Raw Perlite</t>
  </si>
  <si>
    <t>Agriculture Use</t>
  </si>
  <si>
    <t>C2012211</t>
  </si>
  <si>
    <t>Ramon Singh</t>
  </si>
  <si>
    <t>C2012210</t>
  </si>
  <si>
    <t>Madaris</t>
  </si>
  <si>
    <t>Sodium Sulfide Yellow Flake</t>
  </si>
  <si>
    <t>19.06.2020</t>
  </si>
  <si>
    <t>C2012209</t>
  </si>
  <si>
    <t>Aniket</t>
  </si>
  <si>
    <t>695M</t>
  </si>
  <si>
    <t>C2012208</t>
  </si>
  <si>
    <t xml:space="preserve">Gururaj </t>
  </si>
  <si>
    <t>C2012207</t>
  </si>
  <si>
    <t>Ravi Shankar</t>
  </si>
  <si>
    <t>C2012206</t>
  </si>
  <si>
    <t>SK Bera</t>
  </si>
  <si>
    <t>C2012205</t>
  </si>
  <si>
    <t>Mritunjay Kumar</t>
  </si>
  <si>
    <t>Patna-804408</t>
  </si>
  <si>
    <t>692M</t>
  </si>
  <si>
    <t>C2012204</t>
  </si>
  <si>
    <t>Sumit Kumar Chakraborty</t>
  </si>
  <si>
    <t>757K</t>
  </si>
  <si>
    <t>C2012203</t>
  </si>
  <si>
    <t>Subhadip</t>
  </si>
  <si>
    <t>758K</t>
  </si>
  <si>
    <t>C2012202</t>
  </si>
  <si>
    <t>Jayshree</t>
  </si>
  <si>
    <t>C2012201</t>
  </si>
  <si>
    <t>Purbali</t>
  </si>
  <si>
    <t>C2012200</t>
  </si>
  <si>
    <t>Daud</t>
  </si>
  <si>
    <t>C2012199</t>
  </si>
  <si>
    <t>Bikash Routray</t>
  </si>
  <si>
    <t>18.06.2020</t>
  </si>
  <si>
    <t>C2012198</t>
  </si>
  <si>
    <t>B B Pandey</t>
  </si>
  <si>
    <t>21.50/-KG(S)</t>
  </si>
  <si>
    <t>751K</t>
  </si>
  <si>
    <t>C2012197</t>
  </si>
  <si>
    <t>Potassium Borohydride</t>
  </si>
  <si>
    <t>C2012196</t>
  </si>
  <si>
    <t>Sonu Gupta</t>
  </si>
  <si>
    <t>Corn Starch,Acetic Acid</t>
  </si>
  <si>
    <t>500kgs,500kgs</t>
  </si>
  <si>
    <t>C2012195</t>
  </si>
  <si>
    <t>Harshal M Bajaj</t>
  </si>
  <si>
    <t>Bhusawal-425201</t>
  </si>
  <si>
    <t>3.50/-pcs,5.50/-pcs</t>
  </si>
  <si>
    <t>689M</t>
  </si>
  <si>
    <t>C2012194</t>
  </si>
  <si>
    <t>Ashish Sarkar</t>
  </si>
  <si>
    <t>Potassium Oxalate</t>
  </si>
  <si>
    <t>C2012193</t>
  </si>
  <si>
    <t>Rajen Ghosh</t>
  </si>
  <si>
    <t>C2012192</t>
  </si>
  <si>
    <t>Rahiul Gupta</t>
  </si>
  <si>
    <t>C2012191</t>
  </si>
  <si>
    <t>Shivkumar</t>
  </si>
  <si>
    <t>753K</t>
  </si>
  <si>
    <t>C2012190</t>
  </si>
  <si>
    <t>Rucha Singbal</t>
  </si>
  <si>
    <t>Pectin Powder</t>
  </si>
  <si>
    <t>Mumbai-400068</t>
  </si>
  <si>
    <t>C2012189</t>
  </si>
  <si>
    <t>Subham Rakshit</t>
  </si>
  <si>
    <t>C2012188</t>
  </si>
  <si>
    <t>KC Mazumder</t>
  </si>
  <si>
    <t>C2012187</t>
  </si>
  <si>
    <t>Srinivasan</t>
  </si>
  <si>
    <t>C2012186</t>
  </si>
  <si>
    <t>Kolkata-700046</t>
  </si>
  <si>
    <t>749K</t>
  </si>
  <si>
    <t>C2012185</t>
  </si>
  <si>
    <t>Sumit Baid</t>
  </si>
  <si>
    <t>Felespar Powder,Quartz Powder</t>
  </si>
  <si>
    <t>10 Ton(s),30 Ton(s)</t>
  </si>
  <si>
    <t>5.25/-kgs,5.50/-kgs</t>
  </si>
  <si>
    <t>754K</t>
  </si>
  <si>
    <t>C2012184</t>
  </si>
  <si>
    <t>Riaz</t>
  </si>
  <si>
    <t>752K</t>
  </si>
  <si>
    <t>C2012183</t>
  </si>
  <si>
    <t>Projesh</t>
  </si>
  <si>
    <t>750K</t>
  </si>
  <si>
    <t>17.06.2020</t>
  </si>
  <si>
    <t>C2012182</t>
  </si>
  <si>
    <t>Supratim Das</t>
  </si>
  <si>
    <t>Dantan</t>
  </si>
  <si>
    <t>743K</t>
  </si>
  <si>
    <t>C2012181</t>
  </si>
  <si>
    <t>Rohit Singh</t>
  </si>
  <si>
    <t>687M</t>
  </si>
  <si>
    <t>C2012180</t>
  </si>
  <si>
    <t>Manmohan</t>
  </si>
  <si>
    <t>61/-KG(S)</t>
  </si>
  <si>
    <t>742K</t>
  </si>
  <si>
    <t>C2012179</t>
  </si>
  <si>
    <t>Arif ji</t>
  </si>
  <si>
    <t>744K</t>
  </si>
  <si>
    <t>C2012178</t>
  </si>
  <si>
    <t>Tushar Vardam</t>
  </si>
  <si>
    <t>C2012177</t>
  </si>
  <si>
    <t>Soumit Sarkar</t>
  </si>
  <si>
    <t>C2012176</t>
  </si>
  <si>
    <t>Vikash Kumar</t>
  </si>
  <si>
    <t>792K</t>
  </si>
  <si>
    <t>C2012175</t>
  </si>
  <si>
    <t>Diptesh Prasad</t>
  </si>
  <si>
    <t>2500 Kg(s)</t>
  </si>
  <si>
    <t>1010K</t>
  </si>
  <si>
    <t>C2012174</t>
  </si>
  <si>
    <t>Sareng Gi</t>
  </si>
  <si>
    <t>Stearic Acid Powder,Parafin Wax</t>
  </si>
  <si>
    <t>1500 kgs,500kgs</t>
  </si>
  <si>
    <t>C2012173</t>
  </si>
  <si>
    <t>Vijoy Agarwala</t>
  </si>
  <si>
    <t>185/-KG(S)</t>
  </si>
  <si>
    <t>745K</t>
  </si>
  <si>
    <t>C2012172</t>
  </si>
  <si>
    <t>Anjan Som</t>
  </si>
  <si>
    <t>Agarbatti Charcoal</t>
  </si>
  <si>
    <t>C2012171</t>
  </si>
  <si>
    <t>688M</t>
  </si>
  <si>
    <t>C2012170</t>
  </si>
  <si>
    <t>686M</t>
  </si>
  <si>
    <t>16.06.2020</t>
  </si>
  <si>
    <t>C2012169</t>
  </si>
  <si>
    <t>Chevuri Raja</t>
  </si>
  <si>
    <t>Vijaywada</t>
  </si>
  <si>
    <t>682M</t>
  </si>
  <si>
    <t>C2012168</t>
  </si>
  <si>
    <t>Saurav Sekh</t>
  </si>
  <si>
    <t>C2012167</t>
  </si>
  <si>
    <t>Prem Agarwal</t>
  </si>
  <si>
    <t>Zinc Borate</t>
  </si>
  <si>
    <t>C2012166</t>
  </si>
  <si>
    <t>Sabyasachi Mahapatra</t>
  </si>
  <si>
    <t>Humic Acid Granules</t>
  </si>
  <si>
    <t>C2012165</t>
  </si>
  <si>
    <t xml:space="preserve">Prakash    </t>
  </si>
  <si>
    <t>681M</t>
  </si>
  <si>
    <t>C2012164</t>
  </si>
  <si>
    <t>C2012163</t>
  </si>
  <si>
    <t>Ajay Kumar Jha</t>
  </si>
  <si>
    <t>741K</t>
  </si>
  <si>
    <t>C2012162</t>
  </si>
  <si>
    <t>Rajan Khanvikar</t>
  </si>
  <si>
    <t>C2012161</t>
  </si>
  <si>
    <t>Sankar Ghosh</t>
  </si>
  <si>
    <t>Glcerin</t>
  </si>
  <si>
    <t>kolkata-700065</t>
  </si>
  <si>
    <t>C2012160</t>
  </si>
  <si>
    <t>Omprakash Singh</t>
  </si>
  <si>
    <t>Bed Material Sand</t>
  </si>
  <si>
    <t>685M</t>
  </si>
  <si>
    <t>C2012159</t>
  </si>
  <si>
    <t>P.Datta</t>
  </si>
  <si>
    <t>Kolkata-700102</t>
  </si>
  <si>
    <t>141/-KG(S)</t>
  </si>
  <si>
    <t>739K</t>
  </si>
  <si>
    <t>C2012158</t>
  </si>
  <si>
    <t>Mohan Selvam</t>
  </si>
  <si>
    <t>Kovilpatti-628502</t>
  </si>
  <si>
    <t>683M</t>
  </si>
  <si>
    <t>C2012157</t>
  </si>
  <si>
    <t>Vinod Kumar Shah</t>
  </si>
  <si>
    <t>740K</t>
  </si>
  <si>
    <t>15.06.2020</t>
  </si>
  <si>
    <t>C2012156</t>
  </si>
  <si>
    <t>Hanzami</t>
  </si>
  <si>
    <t>738K</t>
  </si>
  <si>
    <t>C2012155</t>
  </si>
  <si>
    <t>679M</t>
  </si>
  <si>
    <t>C2012154</t>
  </si>
  <si>
    <t>Harpreet Singh</t>
  </si>
  <si>
    <t>New Delhi-110062</t>
  </si>
  <si>
    <t>678M</t>
  </si>
  <si>
    <t>C2012153</t>
  </si>
  <si>
    <t>Shakun Shah</t>
  </si>
  <si>
    <t>Zirconium Silicate Flour.</t>
  </si>
  <si>
    <t>Kolhapur-416236</t>
  </si>
  <si>
    <t>C2012152</t>
  </si>
  <si>
    <t>Asif Lakdawala</t>
  </si>
  <si>
    <t>Mumbai-400015</t>
  </si>
  <si>
    <t>675M</t>
  </si>
  <si>
    <t>C2012151</t>
  </si>
  <si>
    <t>Subhas Chandra Pal</t>
  </si>
  <si>
    <t>Halisahar-743136</t>
  </si>
  <si>
    <t>C2012150</t>
  </si>
  <si>
    <t>Chromic Sand</t>
  </si>
  <si>
    <t>C2012149</t>
  </si>
  <si>
    <t>Sujit Shaw</t>
  </si>
  <si>
    <t>Calcined Kaolin Powder</t>
  </si>
  <si>
    <t>Kolkata-711301</t>
  </si>
  <si>
    <t>C2012148</t>
  </si>
  <si>
    <t>Shams</t>
  </si>
  <si>
    <t>C2012147</t>
  </si>
  <si>
    <t>Harkishan Idnani</t>
  </si>
  <si>
    <t>C2012146</t>
  </si>
  <si>
    <t>Shiv Roy</t>
  </si>
  <si>
    <t>C2012145</t>
  </si>
  <si>
    <t>Suneel</t>
  </si>
  <si>
    <t>677M</t>
  </si>
  <si>
    <t>C2012144</t>
  </si>
  <si>
    <t>Vishwas Pradhan</t>
  </si>
  <si>
    <t>Chips Coal</t>
  </si>
  <si>
    <t>Jhalawar-326514</t>
  </si>
  <si>
    <t>680M</t>
  </si>
  <si>
    <t>C2012143</t>
  </si>
  <si>
    <t>Nuzhat Kazi</t>
  </si>
  <si>
    <t>Mumbai-400050</t>
  </si>
  <si>
    <t>213/-KG(S)</t>
  </si>
  <si>
    <t>674M</t>
  </si>
  <si>
    <t>C2012142</t>
  </si>
  <si>
    <t>Prabhat Kumar</t>
  </si>
  <si>
    <t>735K</t>
  </si>
  <si>
    <t>C2012141</t>
  </si>
  <si>
    <t>C2012140</t>
  </si>
  <si>
    <t>Jay Kishan Shah</t>
  </si>
  <si>
    <t>C2012139</t>
  </si>
  <si>
    <t>22/-kg(s),25/-kg(s)</t>
  </si>
  <si>
    <t>736K</t>
  </si>
  <si>
    <t>C2012138</t>
  </si>
  <si>
    <t>Kiran Kumar R</t>
  </si>
  <si>
    <t>4.50/-Pcs,6/-Pcs</t>
  </si>
  <si>
    <t>676M</t>
  </si>
  <si>
    <t>C2012137</t>
  </si>
  <si>
    <t>Md. Qaisar Kalim</t>
  </si>
  <si>
    <t>Corn Starch Granules</t>
  </si>
  <si>
    <t>31/-Kg(s)</t>
  </si>
  <si>
    <t>734K</t>
  </si>
  <si>
    <t>13.06.2020</t>
  </si>
  <si>
    <t>C2012136</t>
  </si>
  <si>
    <t>Bijay</t>
  </si>
  <si>
    <t>729K</t>
  </si>
  <si>
    <t>C2012135</t>
  </si>
  <si>
    <t>Sukanto Haldar</t>
  </si>
  <si>
    <t>Kolkata-743368</t>
  </si>
  <si>
    <t>725K</t>
  </si>
  <si>
    <t>C2012134</t>
  </si>
  <si>
    <t>C2012133</t>
  </si>
  <si>
    <t>Ramakant Sahu</t>
  </si>
  <si>
    <t>C2012132</t>
  </si>
  <si>
    <t>Ujjal Kanti Chakraborty</t>
  </si>
  <si>
    <t xml:space="preserve">Calcium Lactate   </t>
  </si>
  <si>
    <t>C2012131</t>
  </si>
  <si>
    <t>Amarnath B Prajapati</t>
  </si>
  <si>
    <t>Nala Sopara-401209</t>
  </si>
  <si>
    <t>10/-Kg(s)</t>
  </si>
  <si>
    <t>672M2</t>
  </si>
  <si>
    <t>C2012130</t>
  </si>
  <si>
    <t>Falguni</t>
  </si>
  <si>
    <t>Burdwan-713427</t>
  </si>
  <si>
    <t>81/-KG(S)</t>
  </si>
  <si>
    <t>724K</t>
  </si>
  <si>
    <t>C2012129</t>
  </si>
  <si>
    <t>Shashi Bhusen</t>
  </si>
  <si>
    <t>728K</t>
  </si>
  <si>
    <t>C2012128</t>
  </si>
  <si>
    <t>Neeraj Pandey</t>
  </si>
  <si>
    <t>Delhi-110096</t>
  </si>
  <si>
    <t>673M</t>
  </si>
  <si>
    <t>C2012127</t>
  </si>
  <si>
    <t>Dilip Talreja</t>
  </si>
  <si>
    <t>Ulhasnagar-421001</t>
  </si>
  <si>
    <t>welding Purpose</t>
  </si>
  <si>
    <t>671M</t>
  </si>
  <si>
    <t>C2012126</t>
  </si>
  <si>
    <t xml:space="preserve">Ajay   </t>
  </si>
  <si>
    <t>670M</t>
  </si>
  <si>
    <t>C2012125</t>
  </si>
  <si>
    <t>Jermy</t>
  </si>
  <si>
    <t>4/-Pcs,6/-Pcs</t>
  </si>
  <si>
    <t>667M</t>
  </si>
  <si>
    <t>C2012124</t>
  </si>
  <si>
    <t>Nr.Chowdhury</t>
  </si>
  <si>
    <t>669M</t>
  </si>
  <si>
    <t>C2012123</t>
  </si>
  <si>
    <t>Hiaadri Bagchi</t>
  </si>
  <si>
    <t>Polyethylene Glycol</t>
  </si>
  <si>
    <t>C2012122</t>
  </si>
  <si>
    <t>Anil Grover</t>
  </si>
  <si>
    <t>668M</t>
  </si>
  <si>
    <t>C2012121</t>
  </si>
  <si>
    <t xml:space="preserve">Chandan   </t>
  </si>
  <si>
    <t>Jangipur</t>
  </si>
  <si>
    <t>723K</t>
  </si>
  <si>
    <t>12.06.2020</t>
  </si>
  <si>
    <t>C2012120</t>
  </si>
  <si>
    <t>666M</t>
  </si>
  <si>
    <t>C2012119</t>
  </si>
  <si>
    <t>C2012118</t>
  </si>
  <si>
    <t>Harikesh Mishra</t>
  </si>
  <si>
    <t>C2012117</t>
  </si>
  <si>
    <t>Sanjib Mondal</t>
  </si>
  <si>
    <t>Charcoal Soap Base</t>
  </si>
  <si>
    <t>727K</t>
  </si>
  <si>
    <t>C2012116</t>
  </si>
  <si>
    <t>749M</t>
  </si>
  <si>
    <t>C2012115</t>
  </si>
  <si>
    <t>Sunil Shah</t>
  </si>
  <si>
    <t>89/-KG(S)</t>
  </si>
  <si>
    <t>C2012114</t>
  </si>
  <si>
    <t>Mijanur Jamadar</t>
  </si>
  <si>
    <t>Dust Salt</t>
  </si>
  <si>
    <t>Kolkata-700066</t>
  </si>
  <si>
    <t>722K</t>
  </si>
  <si>
    <t>C2012113</t>
  </si>
  <si>
    <t>Abhijeet Ghosh</t>
  </si>
  <si>
    <t>Coconut Shell Activated Carbon</t>
  </si>
  <si>
    <t>719K</t>
  </si>
  <si>
    <t>C2012112</t>
  </si>
  <si>
    <t xml:space="preserve">Abdul   </t>
  </si>
  <si>
    <t>200kgs,100kgs</t>
  </si>
  <si>
    <t>23/-kgs,49/-kgs</t>
  </si>
  <si>
    <t>718K</t>
  </si>
  <si>
    <t>C2012111</t>
  </si>
  <si>
    <t>Sodium Silicate Powder,Sodium Sulphate,Acid Slurry,AOS Powder,Soda Ash,Dolomite Powder</t>
  </si>
  <si>
    <t>65/-kg,19/-kg,95/-kg,114/-kg,31/-kg,13/-kg</t>
  </si>
  <si>
    <t>730K</t>
  </si>
  <si>
    <t>C2012110</t>
  </si>
  <si>
    <t>Avijit Chandra</t>
  </si>
  <si>
    <t>715K</t>
  </si>
  <si>
    <t>C2012109</t>
  </si>
  <si>
    <t xml:space="preserve">Vijay    </t>
  </si>
  <si>
    <t>663M</t>
  </si>
  <si>
    <t>C2012108</t>
  </si>
  <si>
    <t>Ritika Sharda</t>
  </si>
  <si>
    <t xml:space="preserve">Glycerin  </t>
  </si>
  <si>
    <t>C2012107</t>
  </si>
  <si>
    <t>Mirja Sahajada</t>
  </si>
  <si>
    <t>100 Ltr(s)</t>
  </si>
  <si>
    <t>Suri-731102</t>
  </si>
  <si>
    <t>711K</t>
  </si>
  <si>
    <t>C2012106</t>
  </si>
  <si>
    <t>Moyazzam Hossain</t>
  </si>
  <si>
    <t>300kgs,300kgs,100ltr(s)</t>
  </si>
  <si>
    <t>63/-kgs,16.50/-kgs,102/-kgs</t>
  </si>
  <si>
    <t>716K</t>
  </si>
  <si>
    <t>C2012105</t>
  </si>
  <si>
    <t>Keshav Ji</t>
  </si>
  <si>
    <t>39/-KG(S)</t>
  </si>
  <si>
    <t>714K</t>
  </si>
  <si>
    <t>11.06.2020</t>
  </si>
  <si>
    <t>C2012104</t>
  </si>
  <si>
    <t>Mahesh K Prajapati</t>
  </si>
  <si>
    <t>Surat-394230</t>
  </si>
  <si>
    <t>662M</t>
  </si>
  <si>
    <t>C2012103</t>
  </si>
  <si>
    <t>BusinessPurpose</t>
  </si>
  <si>
    <t>130/-LTR(S)</t>
  </si>
  <si>
    <t>713K</t>
  </si>
  <si>
    <t>C2012102</t>
  </si>
  <si>
    <t>Vivek Agarwal</t>
  </si>
  <si>
    <t>Kolkata-700054</t>
  </si>
  <si>
    <t>747K</t>
  </si>
  <si>
    <t>C2012101</t>
  </si>
  <si>
    <t xml:space="preserve">Anjan   </t>
  </si>
  <si>
    <t>712K</t>
  </si>
  <si>
    <t>C2012100</t>
  </si>
  <si>
    <t>Anand Menezes</t>
  </si>
  <si>
    <t>C2012099</t>
  </si>
  <si>
    <t>Surajit</t>
  </si>
  <si>
    <t>709K</t>
  </si>
  <si>
    <t>C2012098</t>
  </si>
  <si>
    <t>Parul Shah</t>
  </si>
  <si>
    <t>C2012097</t>
  </si>
  <si>
    <t>Nikita Beturkar</t>
  </si>
  <si>
    <t>Glycerin Soap Base</t>
  </si>
  <si>
    <t>661M</t>
  </si>
  <si>
    <t>C2012096</t>
  </si>
  <si>
    <t>Majrul Haq</t>
  </si>
  <si>
    <t>C2012095</t>
  </si>
  <si>
    <t>Bappa Roy</t>
  </si>
  <si>
    <t>Kolkata-721121</t>
  </si>
  <si>
    <t>708K</t>
  </si>
  <si>
    <t>C2012094</t>
  </si>
  <si>
    <t>A K Pathak</t>
  </si>
  <si>
    <t>660M</t>
  </si>
  <si>
    <t>C2012093</t>
  </si>
  <si>
    <t>C2012092</t>
  </si>
  <si>
    <t>Dhrubajyoti Sen</t>
  </si>
  <si>
    <t>C2012091</t>
  </si>
  <si>
    <t>C.P.Bajpai</t>
  </si>
  <si>
    <t>705K</t>
  </si>
  <si>
    <t>C2012090</t>
  </si>
  <si>
    <t>Prahlad</t>
  </si>
  <si>
    <t>706K</t>
  </si>
  <si>
    <t>C2012089</t>
  </si>
  <si>
    <t>Fishery Purpose</t>
  </si>
  <si>
    <t>C2012088</t>
  </si>
  <si>
    <t>SK Hasibul Rahaman</t>
  </si>
  <si>
    <t>Midnapore-721151</t>
  </si>
  <si>
    <t>Tender Purpose</t>
  </si>
  <si>
    <t>C2012087</t>
  </si>
  <si>
    <t>Frauk Ali</t>
  </si>
  <si>
    <t>Howrah-711312</t>
  </si>
  <si>
    <t>704K</t>
  </si>
  <si>
    <t>C2012086</t>
  </si>
  <si>
    <t>Nemat</t>
  </si>
  <si>
    <t>707K</t>
  </si>
  <si>
    <t>10.06.2020</t>
  </si>
  <si>
    <t>C2012085</t>
  </si>
  <si>
    <t>Manoj Khatri</t>
  </si>
  <si>
    <t>Linoleic Acid</t>
  </si>
  <si>
    <t>Gurgaon-122002</t>
  </si>
  <si>
    <t>C2012084</t>
  </si>
  <si>
    <t>C2012083</t>
  </si>
  <si>
    <t>Clays Enterprises</t>
  </si>
  <si>
    <t>658M</t>
  </si>
  <si>
    <t>C2012082</t>
  </si>
  <si>
    <t>Princy Sahaniya</t>
  </si>
  <si>
    <t>Magnesium Silicate</t>
  </si>
  <si>
    <t>C2012081</t>
  </si>
  <si>
    <t>Krishno Das</t>
  </si>
  <si>
    <t>701K</t>
  </si>
  <si>
    <t>C2012080</t>
  </si>
  <si>
    <t>Alok Goyal</t>
  </si>
  <si>
    <t>Kolkata-700038</t>
  </si>
  <si>
    <t>C2012079</t>
  </si>
  <si>
    <t>Mehul</t>
  </si>
  <si>
    <t>Sodium Chlorite 50% And 80%</t>
  </si>
  <si>
    <t xml:space="preserve"> Each 200 Kg(s)</t>
  </si>
  <si>
    <t>C2012078</t>
  </si>
  <si>
    <t>Indrasish</t>
  </si>
  <si>
    <t>699K</t>
  </si>
  <si>
    <t>C2012077</t>
  </si>
  <si>
    <t>Prasad M S</t>
  </si>
  <si>
    <t>656M</t>
  </si>
  <si>
    <t>C2012076</t>
  </si>
  <si>
    <t>Arghya Singha</t>
  </si>
  <si>
    <t>700K</t>
  </si>
  <si>
    <t>C2012075</t>
  </si>
  <si>
    <t>Rutvik</t>
  </si>
  <si>
    <t>Surat-394810</t>
  </si>
  <si>
    <t>C2012074</t>
  </si>
  <si>
    <t>Vivek Sinha</t>
  </si>
  <si>
    <t>97/-KG(S)</t>
  </si>
  <si>
    <t>698K</t>
  </si>
  <si>
    <t>C2012073</t>
  </si>
  <si>
    <t>Samim Sk</t>
  </si>
  <si>
    <t>Sodium Silicate,Sodium Sulphate,AciD slurry</t>
  </si>
  <si>
    <t>300kg(s),300kg(s) 200 Ltr(s)</t>
  </si>
  <si>
    <t>63/-kgs,16.50/-kgs,95/-kgs</t>
  </si>
  <si>
    <t>702K</t>
  </si>
  <si>
    <t>09.06.2020</t>
  </si>
  <si>
    <t>C2012072</t>
  </si>
  <si>
    <t>2500 Pcs</t>
  </si>
  <si>
    <t>Navi Mumbai-400703</t>
  </si>
  <si>
    <t>4/-pcs,5.50/-Pcs</t>
  </si>
  <si>
    <t>659M</t>
  </si>
  <si>
    <t>C2012071</t>
  </si>
  <si>
    <t>Avinnash</t>
  </si>
  <si>
    <t>Zincpicolinate</t>
  </si>
  <si>
    <t>C2012070</t>
  </si>
  <si>
    <t>Aftab Shikalgar</t>
  </si>
  <si>
    <t>Karad-415110</t>
  </si>
  <si>
    <t>650M</t>
  </si>
  <si>
    <t>C2012069</t>
  </si>
  <si>
    <t>Biplab Vishwa</t>
  </si>
  <si>
    <t>C2012068</t>
  </si>
  <si>
    <t>Rahul Roy</t>
  </si>
  <si>
    <t>697K</t>
  </si>
  <si>
    <t>C2012067</t>
  </si>
  <si>
    <t>Amar Singh</t>
  </si>
  <si>
    <t>C2012066</t>
  </si>
  <si>
    <t xml:space="preserve">Zahid   </t>
  </si>
  <si>
    <t>C2012065</t>
  </si>
  <si>
    <t>Ruchith</t>
  </si>
  <si>
    <t>696K</t>
  </si>
  <si>
    <t>C2012064</t>
  </si>
  <si>
    <t>Sp</t>
  </si>
  <si>
    <t>Hydrated Lime Powder,Bleaching Powder</t>
  </si>
  <si>
    <t>10/-KG(S),28/-KG(S)</t>
  </si>
  <si>
    <t>655M</t>
  </si>
  <si>
    <t>C2012063</t>
  </si>
  <si>
    <t xml:space="preserve">Ashok  </t>
  </si>
  <si>
    <t>Rice Bran wax</t>
  </si>
  <si>
    <t>C2012062</t>
  </si>
  <si>
    <t>Ramesh Babu</t>
  </si>
  <si>
    <t>C2012061</t>
  </si>
  <si>
    <t>Mr.Mahesh</t>
  </si>
  <si>
    <t>Mumbai-400066</t>
  </si>
  <si>
    <t>C2012060</t>
  </si>
  <si>
    <t>Hardik Banker</t>
  </si>
  <si>
    <t>C2012059</t>
  </si>
  <si>
    <t>Narasimha Rao</t>
  </si>
  <si>
    <t>C2012058</t>
  </si>
  <si>
    <t>Hemant Sonawane</t>
  </si>
  <si>
    <t>Malegaon-423203</t>
  </si>
  <si>
    <t>654M</t>
  </si>
  <si>
    <t>C2012057</t>
  </si>
  <si>
    <t>Vipul</t>
  </si>
  <si>
    <t>Dandi Wood Charcoal</t>
  </si>
  <si>
    <t>653M</t>
  </si>
  <si>
    <t>C2012056</t>
  </si>
  <si>
    <t>08.06.2020</t>
  </si>
  <si>
    <t>C2012055</t>
  </si>
  <si>
    <t>Fozan Rasul</t>
  </si>
  <si>
    <t>651M</t>
  </si>
  <si>
    <t>C2012054</t>
  </si>
  <si>
    <t>Pratik</t>
  </si>
  <si>
    <t>646M</t>
  </si>
  <si>
    <t>C2012053</t>
  </si>
  <si>
    <t>187/-KG(S)</t>
  </si>
  <si>
    <t>652M</t>
  </si>
  <si>
    <t>C2012052</t>
  </si>
  <si>
    <t>Sabyasheh</t>
  </si>
  <si>
    <t>693K</t>
  </si>
  <si>
    <t>C2012051</t>
  </si>
  <si>
    <t>Prakash Chaudhary</t>
  </si>
  <si>
    <t>Tharad-385535</t>
  </si>
  <si>
    <t>649M</t>
  </si>
  <si>
    <t>C2012050</t>
  </si>
  <si>
    <t>Asif Ajmeri</t>
  </si>
  <si>
    <t>Guajrat</t>
  </si>
  <si>
    <t>C2012049</t>
  </si>
  <si>
    <t>Rajendra</t>
  </si>
  <si>
    <t>647M</t>
  </si>
  <si>
    <t>C2012048</t>
  </si>
  <si>
    <t>Mukund Agrawal</t>
  </si>
  <si>
    <t>Raw Petrolium Coke</t>
  </si>
  <si>
    <t>C2012047</t>
  </si>
  <si>
    <t>Saban</t>
  </si>
  <si>
    <t>648M</t>
  </si>
  <si>
    <t>C2012046</t>
  </si>
  <si>
    <t>Rumela Ghosh</t>
  </si>
  <si>
    <t>C2012045</t>
  </si>
  <si>
    <t>Swapnil</t>
  </si>
  <si>
    <t>645M</t>
  </si>
  <si>
    <t>C2012044</t>
  </si>
  <si>
    <t>Loknath Nandi</t>
  </si>
  <si>
    <t>C2012043</t>
  </si>
  <si>
    <t>Pallab</t>
  </si>
  <si>
    <t>694K</t>
  </si>
  <si>
    <t>C2012042</t>
  </si>
  <si>
    <t>Sekh Alomgir</t>
  </si>
  <si>
    <t>Pottasium Permanganate</t>
  </si>
  <si>
    <t>189/-KG(S)</t>
  </si>
  <si>
    <t>695K</t>
  </si>
  <si>
    <t>05.06.2020</t>
  </si>
  <si>
    <t>C2012041</t>
  </si>
  <si>
    <t>Sandipan Sen Gupta</t>
  </si>
  <si>
    <t>Ethanol, Sodium Hypochlorite</t>
  </si>
  <si>
    <t>130/-Ltr(s),30/-Ltr(s)</t>
  </si>
  <si>
    <t>C2012040</t>
  </si>
  <si>
    <t>C2012039</t>
  </si>
  <si>
    <t>Dilip Kushwaha</t>
  </si>
  <si>
    <t>643M</t>
  </si>
  <si>
    <t>C2012038</t>
  </si>
  <si>
    <t>Md. Jamil</t>
  </si>
  <si>
    <t>Lump Wood Charcoal</t>
  </si>
  <si>
    <t>C2012037</t>
  </si>
  <si>
    <t>Sumon</t>
  </si>
  <si>
    <t>Home Use</t>
  </si>
  <si>
    <t>C2012036</t>
  </si>
  <si>
    <t>Rajesh</t>
  </si>
  <si>
    <t>7.20/-KG(S)</t>
  </si>
  <si>
    <t>692K</t>
  </si>
  <si>
    <t>C2012035</t>
  </si>
  <si>
    <t xml:space="preserve">Tepash </t>
  </si>
  <si>
    <t>644M</t>
  </si>
  <si>
    <t>C2012034</t>
  </si>
  <si>
    <t>Faith</t>
  </si>
  <si>
    <t>642M</t>
  </si>
  <si>
    <t>C2012033</t>
  </si>
  <si>
    <t>Raju Naag</t>
  </si>
  <si>
    <t>Howrah-711202</t>
  </si>
  <si>
    <t>C2012032</t>
  </si>
  <si>
    <t>Santosh Kale</t>
  </si>
  <si>
    <t>C2012031</t>
  </si>
  <si>
    <t>Robert Singh</t>
  </si>
  <si>
    <t>C2012030</t>
  </si>
  <si>
    <t>Surojit  Harder</t>
  </si>
  <si>
    <t>691K</t>
  </si>
  <si>
    <t>C2012029</t>
  </si>
  <si>
    <t>Md Nurhossain</t>
  </si>
  <si>
    <t>C2012028</t>
  </si>
  <si>
    <t>Rajshaiksh</t>
  </si>
  <si>
    <t>C2012027</t>
  </si>
  <si>
    <t>Ashutosh Agarwal</t>
  </si>
  <si>
    <t>Yellow Bentonite Powder</t>
  </si>
  <si>
    <t>C2012026</t>
  </si>
  <si>
    <t>Sankar Bose</t>
  </si>
  <si>
    <t>C2012025</t>
  </si>
  <si>
    <t>Debashis Sarkar</t>
  </si>
  <si>
    <t>North 24 Parganas-743263</t>
  </si>
  <si>
    <t>C2012024</t>
  </si>
  <si>
    <t>Pradip Bajaj</t>
  </si>
  <si>
    <t>C2012023</t>
  </si>
  <si>
    <t>Santanu Das</t>
  </si>
  <si>
    <t>Molasses,Raw Salt,Calcium Carbonate</t>
  </si>
  <si>
    <t>Each 50 kG(S)</t>
  </si>
  <si>
    <t>Howrah-711313</t>
  </si>
  <si>
    <t>04.06.2020</t>
  </si>
  <si>
    <t>C2012022</t>
  </si>
  <si>
    <t>White Crystal Aluminium Sulphate</t>
  </si>
  <si>
    <t>C2012021</t>
  </si>
  <si>
    <t>M K Hanagal</t>
  </si>
  <si>
    <t>121/-KG(S)</t>
  </si>
  <si>
    <t>640M</t>
  </si>
  <si>
    <t>C2012020</t>
  </si>
  <si>
    <t>Zahid Ansari</t>
  </si>
  <si>
    <t>638M</t>
  </si>
  <si>
    <t>C2012019</t>
  </si>
  <si>
    <t>S K Gupta</t>
  </si>
  <si>
    <t>C2012018</t>
  </si>
  <si>
    <t>Double Roasted Bentonite Granules</t>
  </si>
  <si>
    <t>C2012017</t>
  </si>
  <si>
    <t>Yash Dosi</t>
  </si>
  <si>
    <t>639M</t>
  </si>
  <si>
    <t>C2012016</t>
  </si>
  <si>
    <t>Sourin</t>
  </si>
  <si>
    <t>Neutral Rectified Spitit</t>
  </si>
  <si>
    <t>159/-KG(S)</t>
  </si>
  <si>
    <t>687K</t>
  </si>
  <si>
    <t>C2012015</t>
  </si>
  <si>
    <t>Nandkishor Mahto</t>
  </si>
  <si>
    <t>688K</t>
  </si>
  <si>
    <t>C2012014</t>
  </si>
  <si>
    <t>Jatin Ghatta</t>
  </si>
  <si>
    <t>C2012013</t>
  </si>
  <si>
    <t>N Sahoo</t>
  </si>
  <si>
    <t>Marble Dust Powder</t>
  </si>
  <si>
    <t>C2012012</t>
  </si>
  <si>
    <t>Sujoy Biswas</t>
  </si>
  <si>
    <t>C2012011</t>
  </si>
  <si>
    <t>Rohit Dudani</t>
  </si>
  <si>
    <t>Kolkata-711204</t>
  </si>
  <si>
    <t>C2012010</t>
  </si>
  <si>
    <t>Pankaj Paul</t>
  </si>
  <si>
    <t>Fiber Glass Powder</t>
  </si>
  <si>
    <t>C2012009</t>
  </si>
  <si>
    <t>Sandip saha</t>
  </si>
  <si>
    <t>Calcium Lactate Granules</t>
  </si>
  <si>
    <t>C2012008</t>
  </si>
  <si>
    <t>Deva</t>
  </si>
  <si>
    <t>Stone Pebbles</t>
  </si>
  <si>
    <t>Chennai-600100</t>
  </si>
  <si>
    <t>685K</t>
  </si>
  <si>
    <t>C2012007</t>
  </si>
  <si>
    <t>Sujauddin Mali</t>
  </si>
  <si>
    <t>686K</t>
  </si>
  <si>
    <t>C2012006</t>
  </si>
  <si>
    <t>Abhijit Bogi</t>
  </si>
  <si>
    <t>Sodium Hydro Chloride</t>
  </si>
  <si>
    <t>03.06.2020</t>
  </si>
  <si>
    <t>C2012005</t>
  </si>
  <si>
    <t>Kajal Sharma</t>
  </si>
  <si>
    <t>C2012004</t>
  </si>
  <si>
    <t>J K Electricals Kumar</t>
  </si>
  <si>
    <t>C2012003</t>
  </si>
  <si>
    <t>680K</t>
  </si>
  <si>
    <t>C2012002</t>
  </si>
  <si>
    <t>Rahim Kumar</t>
  </si>
  <si>
    <t xml:space="preserve">Bankura  </t>
  </si>
  <si>
    <t>682K</t>
  </si>
  <si>
    <t>C2012001</t>
  </si>
  <si>
    <t>Chattisgarh</t>
  </si>
  <si>
    <t>679K</t>
  </si>
  <si>
    <t>C2012000</t>
  </si>
  <si>
    <t>Pritam Chakraborty</t>
  </si>
  <si>
    <t>678K</t>
  </si>
  <si>
    <t>C2011999</t>
  </si>
  <si>
    <t>Royal Touch</t>
  </si>
  <si>
    <t>676K</t>
  </si>
  <si>
    <t>C2011998</t>
  </si>
  <si>
    <t>P.Sarkar</t>
  </si>
  <si>
    <t>677K</t>
  </si>
  <si>
    <t>C2011997</t>
  </si>
  <si>
    <t>Surojit Sen</t>
  </si>
  <si>
    <t>02.06.2020</t>
  </si>
  <si>
    <t>C2011996</t>
  </si>
  <si>
    <t>Sakib Khan</t>
  </si>
  <si>
    <t>635M</t>
  </si>
  <si>
    <t>C2011995</t>
  </si>
  <si>
    <t>Soumik Bhattacharya</t>
  </si>
  <si>
    <t>158/-KG(S)</t>
  </si>
  <si>
    <t>673K</t>
  </si>
  <si>
    <t>C2011994</t>
  </si>
  <si>
    <t xml:space="preserve">Primal </t>
  </si>
  <si>
    <t>674K</t>
  </si>
  <si>
    <t>C2011993</t>
  </si>
  <si>
    <t>Dinesh</t>
  </si>
  <si>
    <t>Yeast Powder</t>
  </si>
  <si>
    <t>C2011992</t>
  </si>
  <si>
    <t>C2011991</t>
  </si>
  <si>
    <t>Krishna Gupta</t>
  </si>
  <si>
    <t>672K</t>
  </si>
  <si>
    <t>C2011990</t>
  </si>
  <si>
    <t>Satypal Singh</t>
  </si>
  <si>
    <t>Mathura</t>
  </si>
  <si>
    <t>636M</t>
  </si>
  <si>
    <t>C2011989</t>
  </si>
  <si>
    <t>Dhrumit Patel</t>
  </si>
  <si>
    <t>Vinyl Chloride</t>
  </si>
  <si>
    <t>C2011988</t>
  </si>
  <si>
    <t xml:space="preserve">SK Selim </t>
  </si>
  <si>
    <t>670K</t>
  </si>
  <si>
    <t>C2011987</t>
  </si>
  <si>
    <t>Manahar Lal Tewary</t>
  </si>
  <si>
    <t>Ferric Sulfate Powder Polymer</t>
  </si>
  <si>
    <t>C2011986</t>
  </si>
  <si>
    <t>Najim</t>
  </si>
  <si>
    <t>Kharagpur-721302</t>
  </si>
  <si>
    <t>C2011985</t>
  </si>
  <si>
    <t>wasim A.R.Khan</t>
  </si>
  <si>
    <t>634M</t>
  </si>
  <si>
    <t>C2011984</t>
  </si>
  <si>
    <t>Sougata Ghar</t>
  </si>
  <si>
    <t>668K</t>
  </si>
  <si>
    <t>C2011983</t>
  </si>
  <si>
    <t>Kalipada Pandit</t>
  </si>
  <si>
    <t>669K</t>
  </si>
  <si>
    <t>01.06.2020</t>
  </si>
  <si>
    <t>C2011982</t>
  </si>
  <si>
    <t>Sourav Sinha</t>
  </si>
  <si>
    <t>C2011981</t>
  </si>
  <si>
    <t>666K</t>
  </si>
  <si>
    <t>C2011980</t>
  </si>
  <si>
    <t>A Mukherjee</t>
  </si>
  <si>
    <t>173/-KG(S)</t>
  </si>
  <si>
    <t>665K</t>
  </si>
  <si>
    <t>C2011979</t>
  </si>
  <si>
    <t>Atul Singh</t>
  </si>
  <si>
    <t>Gorakhpur-273012</t>
  </si>
  <si>
    <t>C2011978</t>
  </si>
  <si>
    <t>Activated Charcoal Powder</t>
  </si>
  <si>
    <t>C2011977</t>
  </si>
  <si>
    <t>A Mukharjee</t>
  </si>
  <si>
    <t>C2011976</t>
  </si>
  <si>
    <t>Jayadhar Gundu</t>
  </si>
  <si>
    <t>Alkylated Benzene</t>
  </si>
  <si>
    <t>C2011975</t>
  </si>
  <si>
    <t>Arvind Vora</t>
  </si>
  <si>
    <t xml:space="preserve">Chloramine  </t>
  </si>
  <si>
    <t>C2011974</t>
  </si>
  <si>
    <t>Sujit Darekar</t>
  </si>
  <si>
    <t>633M</t>
  </si>
  <si>
    <t>C2011973</t>
  </si>
  <si>
    <t>Ashish Godbole</t>
  </si>
  <si>
    <t>Pune-411041</t>
  </si>
  <si>
    <t>C2011972</t>
  </si>
  <si>
    <t>Katharos</t>
  </si>
  <si>
    <t>Food Grade Lactic Acid</t>
  </si>
  <si>
    <t>C2011971</t>
  </si>
  <si>
    <t>Rakesh Ranjan</t>
  </si>
  <si>
    <t>5000 Bottles</t>
  </si>
  <si>
    <t>252/-KG(S)</t>
  </si>
  <si>
    <t>675K</t>
  </si>
  <si>
    <t>C2011970</t>
  </si>
  <si>
    <t>Rabin Mukherjee</t>
  </si>
  <si>
    <t>C2011969</t>
  </si>
  <si>
    <t>Dharam</t>
  </si>
  <si>
    <t>C2011968</t>
  </si>
  <si>
    <t>Dipti chakraborthy</t>
  </si>
  <si>
    <t>667K</t>
  </si>
  <si>
    <t>30.05.2020</t>
  </si>
  <si>
    <t>C2011967</t>
  </si>
  <si>
    <t>Rawther</t>
  </si>
  <si>
    <t>74M</t>
  </si>
  <si>
    <t>C2011966</t>
  </si>
  <si>
    <t>Mr.Nambi</t>
  </si>
  <si>
    <t>Home use</t>
  </si>
  <si>
    <t>75M</t>
  </si>
  <si>
    <t>C2011965</t>
  </si>
  <si>
    <t>Vat Sala</t>
  </si>
  <si>
    <t>C2011964</t>
  </si>
  <si>
    <t>Abhigyan ratnam</t>
  </si>
  <si>
    <t>78K</t>
  </si>
  <si>
    <t>C2011963</t>
  </si>
  <si>
    <t>79K</t>
  </si>
  <si>
    <t>C2011962</t>
  </si>
  <si>
    <t>Subir</t>
  </si>
  <si>
    <t>80K</t>
  </si>
  <si>
    <t>C2011961</t>
  </si>
  <si>
    <t>S Tantia</t>
  </si>
  <si>
    <t>683K</t>
  </si>
  <si>
    <t>C2011960</t>
  </si>
  <si>
    <t>657M</t>
  </si>
  <si>
    <t>29.05.2020</t>
  </si>
  <si>
    <t>C2011959</t>
  </si>
  <si>
    <t>Mahalingam</t>
  </si>
  <si>
    <t>71M</t>
  </si>
  <si>
    <t>C2011958</t>
  </si>
  <si>
    <t>Priye Ranjan Kumar</t>
  </si>
  <si>
    <t>Lucknow-226012</t>
  </si>
  <si>
    <t>C2011957</t>
  </si>
  <si>
    <t>Sudhir Mundhra</t>
  </si>
  <si>
    <t>Koolkata-700001</t>
  </si>
  <si>
    <t>C2011956</t>
  </si>
  <si>
    <t>Richa</t>
  </si>
  <si>
    <t>Dombivil-421204</t>
  </si>
  <si>
    <t>72M</t>
  </si>
  <si>
    <t>C2011955</t>
  </si>
  <si>
    <t>Arun Bhartia</t>
  </si>
  <si>
    <t>C2011954</t>
  </si>
  <si>
    <t>Sidhartha Shastry</t>
  </si>
  <si>
    <t>Liquid Ethanol</t>
  </si>
  <si>
    <t>77K</t>
  </si>
  <si>
    <t>C2011953</t>
  </si>
  <si>
    <t>Shakil Khan</t>
  </si>
  <si>
    <t>74K</t>
  </si>
  <si>
    <t>C2011952</t>
  </si>
  <si>
    <t>Ganesh Gowda</t>
  </si>
  <si>
    <t>69M</t>
  </si>
  <si>
    <t>C2011951</t>
  </si>
  <si>
    <t>Adam</t>
  </si>
  <si>
    <t>70M</t>
  </si>
  <si>
    <t>C2011950</t>
  </si>
  <si>
    <t>Ramgopal Karnani</t>
  </si>
  <si>
    <t>C2011949</t>
  </si>
  <si>
    <t>Ashpak</t>
  </si>
  <si>
    <t>65M</t>
  </si>
  <si>
    <t>C2011948</t>
  </si>
  <si>
    <t>Shaan Agarwal</t>
  </si>
  <si>
    <t>67M</t>
  </si>
  <si>
    <t>C2011947</t>
  </si>
  <si>
    <t>Mohit Sani</t>
  </si>
  <si>
    <t>C2011946</t>
  </si>
  <si>
    <t>P Mitra</t>
  </si>
  <si>
    <t>C2011945</t>
  </si>
  <si>
    <t>Balasaheb Wagh</t>
  </si>
  <si>
    <t>64M</t>
  </si>
  <si>
    <t>C2011944</t>
  </si>
  <si>
    <t>Niraj</t>
  </si>
  <si>
    <t>Jamshed Pur-831001</t>
  </si>
  <si>
    <t>C2011943</t>
  </si>
  <si>
    <t>Pinaki Farkar</t>
  </si>
  <si>
    <t>C2011942</t>
  </si>
  <si>
    <t>Shivam Keshari</t>
  </si>
  <si>
    <t>C2011941</t>
  </si>
  <si>
    <t>Anil Kale</t>
  </si>
  <si>
    <t>C2011940</t>
  </si>
  <si>
    <t>Abdus Salam Mageed</t>
  </si>
  <si>
    <t>76K</t>
  </si>
  <si>
    <t>C2011939</t>
  </si>
  <si>
    <t>Nataraj Loganayaki</t>
  </si>
  <si>
    <t>Soy Lecithin</t>
  </si>
  <si>
    <t>641M</t>
  </si>
  <si>
    <t>27.05.2020</t>
  </si>
  <si>
    <t>C2011938</t>
  </si>
  <si>
    <t>Sharmistha Saha</t>
  </si>
  <si>
    <t>C2011937</t>
  </si>
  <si>
    <t>Vilas</t>
  </si>
  <si>
    <t>Mumbai-406601</t>
  </si>
  <si>
    <t>66M</t>
  </si>
  <si>
    <t>C2011936</t>
  </si>
  <si>
    <t xml:space="preserve">Sunil Kumar   </t>
  </si>
  <si>
    <t>Copper Bromide</t>
  </si>
  <si>
    <t>C2011935</t>
  </si>
  <si>
    <t>Zinc picolinate</t>
  </si>
  <si>
    <t>C2011934</t>
  </si>
  <si>
    <t>Akshaya Kumar</t>
  </si>
  <si>
    <t>C2011933</t>
  </si>
  <si>
    <t>Joseph</t>
  </si>
  <si>
    <t>C2011932</t>
  </si>
  <si>
    <t>Aniket Patil</t>
  </si>
  <si>
    <t>C2011931</t>
  </si>
  <si>
    <t>Chandan Kumar Verma</t>
  </si>
  <si>
    <t>75K</t>
  </si>
  <si>
    <t>C2011930</t>
  </si>
  <si>
    <t>Anu Rai</t>
  </si>
  <si>
    <t>C2011929</t>
  </si>
  <si>
    <t>C2011928</t>
  </si>
  <si>
    <t>Sukhbir Asado</t>
  </si>
  <si>
    <t>C2011927</t>
  </si>
  <si>
    <t xml:space="preserve">Sekh Hossain </t>
  </si>
  <si>
    <t>C2011926</t>
  </si>
  <si>
    <t>C2011925</t>
  </si>
  <si>
    <t>C2011924</t>
  </si>
  <si>
    <t>Manish Gupta</t>
  </si>
  <si>
    <t>Delhi-110058</t>
  </si>
  <si>
    <t>62M</t>
  </si>
  <si>
    <t>26.05.2020</t>
  </si>
  <si>
    <t>C2011923</t>
  </si>
  <si>
    <t>Alok Agarwal</t>
  </si>
  <si>
    <t>C2011922</t>
  </si>
  <si>
    <t>Shobit</t>
  </si>
  <si>
    <t>157/-KG(S)</t>
  </si>
  <si>
    <t>72K</t>
  </si>
  <si>
    <t>c2011921</t>
  </si>
  <si>
    <t>Pritam Manna</t>
  </si>
  <si>
    <t>Wood Charcoal,Industrial Salt</t>
  </si>
  <si>
    <t>6000 Kgs,3500 Kgs</t>
  </si>
  <si>
    <t>Howrah-711404</t>
  </si>
  <si>
    <t>29/-kgs,15/-kgs,6/-kgs</t>
  </si>
  <si>
    <t>73K</t>
  </si>
  <si>
    <t>C2011920</t>
  </si>
  <si>
    <t>Sanjay Kumar</t>
  </si>
  <si>
    <t>Alum Powder,Lime Powder</t>
  </si>
  <si>
    <t>1250 Kgs,2500 Kgs</t>
  </si>
  <si>
    <t>Water Purifications</t>
  </si>
  <si>
    <t>C2011919</t>
  </si>
  <si>
    <t>Varun Joshi</t>
  </si>
  <si>
    <t>C2011918</t>
  </si>
  <si>
    <t>C2011917</t>
  </si>
  <si>
    <t>Dip Paul</t>
  </si>
  <si>
    <t>Liquid ammonia</t>
  </si>
  <si>
    <t>C2011916</t>
  </si>
  <si>
    <t>Sourav Ganguly</t>
  </si>
  <si>
    <t xml:space="preserve">Sodium Sulphate   </t>
  </si>
  <si>
    <t>C2011915</t>
  </si>
  <si>
    <t>108/-LTR(S)</t>
  </si>
  <si>
    <t>71K</t>
  </si>
  <si>
    <t>C2011914</t>
  </si>
  <si>
    <t>Swarup Dutta</t>
  </si>
  <si>
    <t>C2011913</t>
  </si>
  <si>
    <t>Puja</t>
  </si>
  <si>
    <t>All Types Soap Base</t>
  </si>
  <si>
    <t>Each 25 Kg(s)</t>
  </si>
  <si>
    <t>C2011912</t>
  </si>
  <si>
    <t>Asshit Ghosh</t>
  </si>
  <si>
    <t>60M</t>
  </si>
  <si>
    <t>C2011911</t>
  </si>
  <si>
    <t>Abhishek Manot</t>
  </si>
  <si>
    <t>70K</t>
  </si>
  <si>
    <t>C2011910</t>
  </si>
  <si>
    <t>Vismay Desai</t>
  </si>
  <si>
    <t>Surat-395009</t>
  </si>
  <si>
    <t>59M</t>
  </si>
  <si>
    <t>25.05.2020</t>
  </si>
  <si>
    <t>C2011909</t>
  </si>
  <si>
    <t>Pune-411052</t>
  </si>
  <si>
    <t>C2011908</t>
  </si>
  <si>
    <t>Adinarayana</t>
  </si>
  <si>
    <t>C2011907</t>
  </si>
  <si>
    <t>Shirish Singh</t>
  </si>
  <si>
    <t>C2011906</t>
  </si>
  <si>
    <t>Jaivishnu Kumar</t>
  </si>
  <si>
    <t>Sivakasi-626189</t>
  </si>
  <si>
    <t>C2011905</t>
  </si>
  <si>
    <t>Kolkata-712409</t>
  </si>
  <si>
    <t>68K</t>
  </si>
  <si>
    <t>C2011904</t>
  </si>
  <si>
    <t>Aritra Mitra</t>
  </si>
  <si>
    <t>C2011903</t>
  </si>
  <si>
    <t>Sourav Kumar Sukla</t>
  </si>
  <si>
    <t>C2011902</t>
  </si>
  <si>
    <t>Mohit agarwal</t>
  </si>
  <si>
    <t>69K</t>
  </si>
  <si>
    <t>C2011901</t>
  </si>
  <si>
    <t>Karan Bundela</t>
  </si>
  <si>
    <t>Surat-395003</t>
  </si>
  <si>
    <t>C2011900</t>
  </si>
  <si>
    <t>C2011899</t>
  </si>
  <si>
    <t>OP Sharma</t>
  </si>
  <si>
    <t>Mumbai-400025</t>
  </si>
  <si>
    <t>C2011898</t>
  </si>
  <si>
    <t>Amit Rathod</t>
  </si>
  <si>
    <t>Surat-395006</t>
  </si>
  <si>
    <t>58M</t>
  </si>
  <si>
    <t>20.05.2020</t>
  </si>
  <si>
    <t>C2011897</t>
  </si>
  <si>
    <t xml:space="preserve"> Goutam Tripathy</t>
  </si>
  <si>
    <t>28/- kgs,25/-kgs</t>
  </si>
  <si>
    <t>67K</t>
  </si>
  <si>
    <t>C2011896</t>
  </si>
  <si>
    <t xml:space="preserve">Sai    </t>
  </si>
  <si>
    <t>Vijayawada</t>
  </si>
  <si>
    <t>4.50/-pcs,6.50/-pcs</t>
  </si>
  <si>
    <t>57M</t>
  </si>
  <si>
    <t>C2011895</t>
  </si>
  <si>
    <t>Vikash Das</t>
  </si>
  <si>
    <t>66K</t>
  </si>
  <si>
    <t>C2011894</t>
  </si>
  <si>
    <t>Mahendra Vyavhare</t>
  </si>
  <si>
    <t>56M</t>
  </si>
  <si>
    <t>19.05.2020</t>
  </si>
  <si>
    <r>
      <rPr>
        <rFont val="Arial"/>
        <color rgb="FF1155CC"/>
        <u/>
      </rPr>
      <t>C201189</t>
    </r>
    <r>
      <rPr>
        <rFont val="Arial"/>
        <color rgb="FF1155CC"/>
        <u/>
      </rPr>
      <t>3</t>
    </r>
  </si>
  <si>
    <t>Sudip Ghosh</t>
  </si>
  <si>
    <t>65K</t>
  </si>
  <si>
    <t>C2011892</t>
  </si>
  <si>
    <t>Banshi Lal Maurya</t>
  </si>
  <si>
    <t>52M</t>
  </si>
  <si>
    <t>C2011891</t>
  </si>
  <si>
    <t>Nausad</t>
  </si>
  <si>
    <t>Indian Nitric Acid</t>
  </si>
  <si>
    <t>C2011890</t>
  </si>
  <si>
    <t>Bhupendra U Jain</t>
  </si>
  <si>
    <t>Neutral Ethanol</t>
  </si>
  <si>
    <t>51M</t>
  </si>
  <si>
    <t>C2011889</t>
  </si>
  <si>
    <t>Sajal Paul</t>
  </si>
  <si>
    <t>63K</t>
  </si>
  <si>
    <t>C2011888</t>
  </si>
  <si>
    <t>Mahendra Mehta</t>
  </si>
  <si>
    <t>C2011887</t>
  </si>
  <si>
    <t>Anjan Sutradhar</t>
  </si>
  <si>
    <t>163/-KG(S)</t>
  </si>
  <si>
    <t>62K</t>
  </si>
  <si>
    <t>C2011886</t>
  </si>
  <si>
    <t>P.N.Prasad</t>
  </si>
  <si>
    <t>C2011885</t>
  </si>
  <si>
    <t>B.K</t>
  </si>
  <si>
    <t>Potassium Bitartrate</t>
  </si>
  <si>
    <t>C2011884</t>
  </si>
  <si>
    <t>Praveen</t>
  </si>
  <si>
    <t>Black Chromite Sand.</t>
  </si>
  <si>
    <t>C2011883</t>
  </si>
  <si>
    <t>C2011882</t>
  </si>
  <si>
    <t>Sachin Akude</t>
  </si>
  <si>
    <t>49M</t>
  </si>
  <si>
    <t>C2011881</t>
  </si>
  <si>
    <t>C2011880</t>
  </si>
  <si>
    <t>Mijajur</t>
  </si>
  <si>
    <t>Sodium sulphate,sodium silicate,acid slurry</t>
  </si>
  <si>
    <t>Each 100 Kg(s)</t>
  </si>
  <si>
    <t>C2011879</t>
  </si>
  <si>
    <t>Kapil Mittal</t>
  </si>
  <si>
    <t>Black Carbon Powder</t>
  </si>
  <si>
    <t>45/-kgs,15/-kgs</t>
  </si>
  <si>
    <t>47M</t>
  </si>
  <si>
    <t>C2011878</t>
  </si>
  <si>
    <t>Balaram Kuila</t>
  </si>
  <si>
    <t>61K</t>
  </si>
  <si>
    <t>18.05.2020</t>
  </si>
  <si>
    <t>C2011877</t>
  </si>
  <si>
    <t>MD Naiyear Khan</t>
  </si>
  <si>
    <t>Making Salt Purpose</t>
  </si>
  <si>
    <t>46M</t>
  </si>
  <si>
    <t>C2011876</t>
  </si>
  <si>
    <t>Abhinav</t>
  </si>
  <si>
    <t>55K</t>
  </si>
  <si>
    <t>C2011875</t>
  </si>
  <si>
    <t>Somnath Roy</t>
  </si>
  <si>
    <t>C2011874</t>
  </si>
  <si>
    <t>NR Undhad</t>
  </si>
  <si>
    <t>C2011873</t>
  </si>
  <si>
    <t>Santosh Kumar Shaw</t>
  </si>
  <si>
    <t xml:space="preserve">Dolomite Chips </t>
  </si>
  <si>
    <t>Asansol-713357</t>
  </si>
  <si>
    <t>57K</t>
  </si>
  <si>
    <t>C2011872</t>
  </si>
  <si>
    <t>Ashok Kumar Palriwal</t>
  </si>
  <si>
    <t>42M</t>
  </si>
  <si>
    <t>C2011871</t>
  </si>
  <si>
    <t>Prashant R Shah</t>
  </si>
  <si>
    <t>Sanitizer Purpose</t>
  </si>
  <si>
    <t>156/-KG(S)</t>
  </si>
  <si>
    <t>41M</t>
  </si>
  <si>
    <t>C2011870</t>
  </si>
  <si>
    <t>Saurabh Chhawchharia</t>
  </si>
  <si>
    <t>C2011869</t>
  </si>
  <si>
    <t xml:space="preserve">Subhankar    </t>
  </si>
  <si>
    <t>54K</t>
  </si>
  <si>
    <t>C2011868</t>
  </si>
  <si>
    <t>Mallikk Arjun</t>
  </si>
  <si>
    <t>Guntur</t>
  </si>
  <si>
    <t>7/-Pcs</t>
  </si>
  <si>
    <t>43M</t>
  </si>
  <si>
    <t>C2011867</t>
  </si>
  <si>
    <t>Kapil Bansal</t>
  </si>
  <si>
    <t>Bhupal</t>
  </si>
  <si>
    <t>17.05.2020</t>
  </si>
  <si>
    <t>C2011866</t>
  </si>
  <si>
    <t>Atul Maru</t>
  </si>
  <si>
    <t>C2011865</t>
  </si>
  <si>
    <t>Hitesh</t>
  </si>
  <si>
    <t>254/-KG(S)</t>
  </si>
  <si>
    <t>60K</t>
  </si>
  <si>
    <t>C2011864</t>
  </si>
  <si>
    <t>Ashish Choudhary</t>
  </si>
  <si>
    <t>Crude Glycerin</t>
  </si>
  <si>
    <t>56K</t>
  </si>
  <si>
    <t>C2011863</t>
  </si>
  <si>
    <t>C2011862</t>
  </si>
  <si>
    <t>Ms Parul Shah</t>
  </si>
  <si>
    <t>C2011861</t>
  </si>
  <si>
    <t>Ranjeet Kumar Singh</t>
  </si>
  <si>
    <t>Earthing Compound</t>
  </si>
  <si>
    <t xml:space="preserve">Bhilai   </t>
  </si>
  <si>
    <t>53K</t>
  </si>
  <si>
    <t>C2011860</t>
  </si>
  <si>
    <t>Gourabh</t>
  </si>
  <si>
    <t>Pectin</t>
  </si>
  <si>
    <t>C2011859</t>
  </si>
  <si>
    <t>Bhanu Pratap Singh</t>
  </si>
  <si>
    <t>50K</t>
  </si>
  <si>
    <t>C2011858</t>
  </si>
  <si>
    <t>Bappa Chakraborty</t>
  </si>
  <si>
    <t>Tiljala</t>
  </si>
  <si>
    <t>49K</t>
  </si>
  <si>
    <t>C2011857</t>
  </si>
  <si>
    <t xml:space="preserve">Surya   </t>
  </si>
  <si>
    <t>40M</t>
  </si>
  <si>
    <t>16.05.2020</t>
  </si>
  <si>
    <t>C2011856</t>
  </si>
  <si>
    <t>Soma Paul</t>
  </si>
  <si>
    <t>Kolkata-700096</t>
  </si>
  <si>
    <t>52K</t>
  </si>
  <si>
    <t>C2011855</t>
  </si>
  <si>
    <t>Amit Singh</t>
  </si>
  <si>
    <t>162/-KG(S)</t>
  </si>
  <si>
    <t>48K</t>
  </si>
  <si>
    <t>C2011854</t>
  </si>
  <si>
    <t>51K</t>
  </si>
  <si>
    <t>C2011853</t>
  </si>
  <si>
    <t>Chandra Gopal Daga</t>
  </si>
  <si>
    <t>Kolkata-605010</t>
  </si>
  <si>
    <t>45K</t>
  </si>
  <si>
    <t>C2011852</t>
  </si>
  <si>
    <t>C2011851</t>
  </si>
  <si>
    <t>46K</t>
  </si>
  <si>
    <t>C2011850</t>
  </si>
  <si>
    <t>Dhav</t>
  </si>
  <si>
    <t>37M</t>
  </si>
  <si>
    <t>C2011849</t>
  </si>
  <si>
    <t>Samirendra Das</t>
  </si>
  <si>
    <t>181/-Ltr(s)</t>
  </si>
  <si>
    <t>47K</t>
  </si>
  <si>
    <t>C2011848</t>
  </si>
  <si>
    <t>C2011847</t>
  </si>
  <si>
    <t>Rudranil Chakraborty</t>
  </si>
  <si>
    <t>C2011846</t>
  </si>
  <si>
    <t>Kalipada Adhikari</t>
  </si>
  <si>
    <t>Exfoliated Verculite</t>
  </si>
  <si>
    <t>C2011845</t>
  </si>
  <si>
    <t>Deababrata Ghosh Dastidar</t>
  </si>
  <si>
    <t>Sodium PPC Granules</t>
  </si>
  <si>
    <t>C2011844</t>
  </si>
  <si>
    <t>Neelam Kumar</t>
  </si>
  <si>
    <t>38M</t>
  </si>
  <si>
    <t>C2011843</t>
  </si>
  <si>
    <t>Abdul Rehman</t>
  </si>
  <si>
    <t>C2011842</t>
  </si>
  <si>
    <t>Sandeep</t>
  </si>
  <si>
    <t>Trading Purpoe</t>
  </si>
  <si>
    <t>35M</t>
  </si>
  <si>
    <t>C2011841</t>
  </si>
  <si>
    <t>Souvik Sengupta</t>
  </si>
  <si>
    <t>C2011840</t>
  </si>
  <si>
    <t>Prakash</t>
  </si>
  <si>
    <t>221/-KG(S)</t>
  </si>
  <si>
    <t>36M</t>
  </si>
  <si>
    <t>C2011839</t>
  </si>
  <si>
    <t>Manish Bansal</t>
  </si>
  <si>
    <t>Ammonia Powder</t>
  </si>
  <si>
    <t>C2011838</t>
  </si>
  <si>
    <t>34M</t>
  </si>
  <si>
    <t>15.05.2020</t>
  </si>
  <si>
    <t>C2011837</t>
  </si>
  <si>
    <t>Sachin Kadam</t>
  </si>
  <si>
    <t>3200 Pcs</t>
  </si>
  <si>
    <t>Nashik-422004</t>
  </si>
  <si>
    <t>33M</t>
  </si>
  <si>
    <t>C2011836</t>
  </si>
  <si>
    <t>Mukesh Bhalla</t>
  </si>
  <si>
    <t>Mumbai-110024</t>
  </si>
  <si>
    <t>C2011835</t>
  </si>
  <si>
    <t>Prasant Kumar Mahato</t>
  </si>
  <si>
    <t>320/-KG(S)</t>
  </si>
  <si>
    <t>40K</t>
  </si>
  <si>
    <t>C2011834</t>
  </si>
  <si>
    <t>Pankaj Kumar Mahato</t>
  </si>
  <si>
    <t>North 24 Paraganas</t>
  </si>
  <si>
    <t>259/-KG(S)</t>
  </si>
  <si>
    <t>39K</t>
  </si>
  <si>
    <t>C2011833</t>
  </si>
  <si>
    <t>Paras Patel</t>
  </si>
  <si>
    <t>C2011832</t>
  </si>
  <si>
    <t>Kabirul Molla</t>
  </si>
  <si>
    <t>Sodium Meta bI sulphate</t>
  </si>
  <si>
    <t>Kolkata-743502</t>
  </si>
  <si>
    <t>C2011831</t>
  </si>
  <si>
    <t>Tushar Sardar</t>
  </si>
  <si>
    <t>42K</t>
  </si>
  <si>
    <t>C2011830</t>
  </si>
  <si>
    <t>Chandni</t>
  </si>
  <si>
    <t>Natural Soap Base</t>
  </si>
  <si>
    <t>31M</t>
  </si>
  <si>
    <t>C2011829</t>
  </si>
  <si>
    <t>Sourav Kumar Bagaria</t>
  </si>
  <si>
    <t>C2011828</t>
  </si>
  <si>
    <t>Tarkeshwar Gupta</t>
  </si>
  <si>
    <t>793K</t>
  </si>
  <si>
    <t>C2011827</t>
  </si>
  <si>
    <t>Dipankar Roy</t>
  </si>
  <si>
    <t>C2011826</t>
  </si>
  <si>
    <t>Vipul Rana</t>
  </si>
  <si>
    <t>C2011825</t>
  </si>
  <si>
    <t>Uday Kumar Dey</t>
  </si>
  <si>
    <t>38K</t>
  </si>
  <si>
    <t>C2011824</t>
  </si>
  <si>
    <t>Arpan</t>
  </si>
  <si>
    <t>C2011823</t>
  </si>
  <si>
    <t>Amalesh Mandal</t>
  </si>
  <si>
    <t>River Sand</t>
  </si>
  <si>
    <t>43K</t>
  </si>
  <si>
    <t>C2011822</t>
  </si>
  <si>
    <t>Sanjay Jha</t>
  </si>
  <si>
    <t>Alpha Olefin Sulfonate</t>
  </si>
  <si>
    <t>C2011821</t>
  </si>
  <si>
    <t>Jaikumar Belsare</t>
  </si>
  <si>
    <t>Pune-411009</t>
  </si>
  <si>
    <t>32M</t>
  </si>
  <si>
    <t>C2011820</t>
  </si>
  <si>
    <t>Umar Salmani</t>
  </si>
  <si>
    <t>C2011819</t>
  </si>
  <si>
    <t>Rinku Biswas</t>
  </si>
  <si>
    <t>Fuel Grade Ethanol</t>
  </si>
  <si>
    <t>41K</t>
  </si>
  <si>
    <t>C2011818</t>
  </si>
  <si>
    <t>Atharv Chemicals</t>
  </si>
  <si>
    <t>Tri Basic Lead Sulphate</t>
  </si>
  <si>
    <t>14.05.2020</t>
  </si>
  <si>
    <t>C2011817</t>
  </si>
  <si>
    <t>Pravin Singh</t>
  </si>
  <si>
    <t>Alcohol Spirit</t>
  </si>
  <si>
    <t>37K</t>
  </si>
  <si>
    <t>C2011816</t>
  </si>
  <si>
    <t>Sandeep Desai</t>
  </si>
  <si>
    <t>Kolhapur-416216</t>
  </si>
  <si>
    <t>30M</t>
  </si>
  <si>
    <t>C2011815</t>
  </si>
  <si>
    <t>Suman Paul</t>
  </si>
  <si>
    <t>C2011814</t>
  </si>
  <si>
    <t>Ronny Chowdhury</t>
  </si>
  <si>
    <t>C2011813</t>
  </si>
  <si>
    <t>Amarnath Pathak</t>
  </si>
  <si>
    <t>Brown Washed Silica Sand</t>
  </si>
  <si>
    <t>C2011812</t>
  </si>
  <si>
    <t>Amit Gupta</t>
  </si>
  <si>
    <t>Camphor  Powder</t>
  </si>
  <si>
    <t>C2011811</t>
  </si>
  <si>
    <t>Bapi Maji</t>
  </si>
  <si>
    <t>Charcoal Incense Powder</t>
  </si>
  <si>
    <t>Bankura-722143</t>
  </si>
  <si>
    <t>C2011810</t>
  </si>
  <si>
    <t>Ravi Dubey</t>
  </si>
  <si>
    <t>29M</t>
  </si>
  <si>
    <t>C2011809</t>
  </si>
  <si>
    <t>Sunil Kumar Verma</t>
  </si>
  <si>
    <t>Low Aromatic White Spirit</t>
  </si>
  <si>
    <t>C2011808</t>
  </si>
  <si>
    <t>Ajay Chandran</t>
  </si>
  <si>
    <t>C2011807</t>
  </si>
  <si>
    <t>C2011806</t>
  </si>
  <si>
    <t>H M Rafiq Khan</t>
  </si>
  <si>
    <t>Mumbai-400084</t>
  </si>
  <si>
    <t>191/-KG(S)</t>
  </si>
  <si>
    <t>39M</t>
  </si>
  <si>
    <t>C2011805</t>
  </si>
  <si>
    <t>Rajiv Ganguly</t>
  </si>
  <si>
    <t>C2011804</t>
  </si>
  <si>
    <t>Dilip Kumarv Mandal</t>
  </si>
  <si>
    <t>C2011803</t>
  </si>
  <si>
    <t>Kesh Rai</t>
  </si>
  <si>
    <t>C2011802</t>
  </si>
  <si>
    <t>Nabin Mallick</t>
  </si>
  <si>
    <t>Magnesium Sulphate,Zinc Sulphate</t>
  </si>
  <si>
    <t>Each 1 Ton(s)</t>
  </si>
  <si>
    <t>Isslampur</t>
  </si>
  <si>
    <t>13.05.2020</t>
  </si>
  <si>
    <t>C2011801</t>
  </si>
  <si>
    <t>Bappa Mondal</t>
  </si>
  <si>
    <t xml:space="preserve">Glycerin </t>
  </si>
  <si>
    <t>C2011800</t>
  </si>
  <si>
    <t>Murshidabaad</t>
  </si>
  <si>
    <t>C2011799</t>
  </si>
  <si>
    <t>Giri Ratan</t>
  </si>
  <si>
    <t>C2011798</t>
  </si>
  <si>
    <t>24M</t>
  </si>
  <si>
    <t>C2011797</t>
  </si>
  <si>
    <t>Bhilai-490020</t>
  </si>
  <si>
    <t>25M</t>
  </si>
  <si>
    <t>C2011796</t>
  </si>
  <si>
    <t>Nitin Lokhande</t>
  </si>
  <si>
    <t>27M</t>
  </si>
  <si>
    <t>C2011795</t>
  </si>
  <si>
    <t>Satyajit Raj</t>
  </si>
  <si>
    <t>C2011794</t>
  </si>
  <si>
    <t>Basir Sheikh</t>
  </si>
  <si>
    <t>C2011793</t>
  </si>
  <si>
    <t>Ajay</t>
  </si>
  <si>
    <t>26M</t>
  </si>
  <si>
    <t>C2011792</t>
  </si>
  <si>
    <t>RN Mukharji</t>
  </si>
  <si>
    <t>Liquid Methanol</t>
  </si>
  <si>
    <t>C2011791</t>
  </si>
  <si>
    <t>Amol</t>
  </si>
  <si>
    <t>Chloramine Powder</t>
  </si>
  <si>
    <t>C2011790</t>
  </si>
  <si>
    <t>Dipla Badikari</t>
  </si>
  <si>
    <t>C2011789</t>
  </si>
  <si>
    <t>RP Pandey</t>
  </si>
  <si>
    <t>C2011788</t>
  </si>
  <si>
    <t>Jay Bhagat</t>
  </si>
  <si>
    <t>23M</t>
  </si>
  <si>
    <t>12.05.2020</t>
  </si>
  <si>
    <t>C2011787</t>
  </si>
  <si>
    <t>Satyam Jaiswal</t>
  </si>
  <si>
    <t>C2011786</t>
  </si>
  <si>
    <t>Adarsh</t>
  </si>
  <si>
    <t>22M</t>
  </si>
  <si>
    <t>C2011785</t>
  </si>
  <si>
    <t>Kajal Das</t>
  </si>
  <si>
    <t>C2011784</t>
  </si>
  <si>
    <t xml:space="preserve">Ashish    </t>
  </si>
  <si>
    <t>Jhansi-284003</t>
  </si>
  <si>
    <t>C2011783</t>
  </si>
  <si>
    <t>Hardik Jalan</t>
  </si>
  <si>
    <t>C2011782</t>
  </si>
  <si>
    <t>Ashish Agarwal</t>
  </si>
  <si>
    <t>33K</t>
  </si>
  <si>
    <t>C2011781</t>
  </si>
  <si>
    <t xml:space="preserve">Somnath   </t>
  </si>
  <si>
    <t>Arambagh-712417</t>
  </si>
  <si>
    <t>31K</t>
  </si>
  <si>
    <t>C2011780</t>
  </si>
  <si>
    <t>Palash Mondal</t>
  </si>
  <si>
    <t>C2011779</t>
  </si>
  <si>
    <t>Santanak</t>
  </si>
  <si>
    <t>C2011778</t>
  </si>
  <si>
    <t>Akshat Jajodia</t>
  </si>
  <si>
    <t>C2011777</t>
  </si>
  <si>
    <t>Pratik Sanghavi</t>
  </si>
  <si>
    <t>20M</t>
  </si>
  <si>
    <t>C2011776</t>
  </si>
  <si>
    <t>James</t>
  </si>
  <si>
    <t>11.05.2020</t>
  </si>
  <si>
    <t>C2011775</t>
  </si>
  <si>
    <t>Murtaza Sabuwala</t>
  </si>
  <si>
    <t>19M</t>
  </si>
  <si>
    <t>C2011774</t>
  </si>
  <si>
    <t>30K</t>
  </si>
  <si>
    <t>C2011773</t>
  </si>
  <si>
    <t>Jay Sharma</t>
  </si>
  <si>
    <t>Raniganj</t>
  </si>
  <si>
    <t>64K</t>
  </si>
  <si>
    <t>C2011772</t>
  </si>
  <si>
    <t>C2011771</t>
  </si>
  <si>
    <t>Karan</t>
  </si>
  <si>
    <t>Liquid Carbon Dioxide</t>
  </si>
  <si>
    <t>C2011770</t>
  </si>
  <si>
    <t>Hape Gada</t>
  </si>
  <si>
    <t>C2011769</t>
  </si>
  <si>
    <t>Mayna Ghosh</t>
  </si>
  <si>
    <t>C2011768</t>
  </si>
  <si>
    <t>Barun Kumar Das</t>
  </si>
  <si>
    <t>C2011767</t>
  </si>
  <si>
    <t>Nilesh</t>
  </si>
  <si>
    <t>C2011766</t>
  </si>
  <si>
    <t>Tapas Nandi</t>
  </si>
  <si>
    <t>C2011765</t>
  </si>
  <si>
    <t>Vijay Yamgar</t>
  </si>
  <si>
    <t>18M</t>
  </si>
  <si>
    <t>10.05.2020</t>
  </si>
  <si>
    <t>C2011764</t>
  </si>
  <si>
    <t>Ahadul Islam</t>
  </si>
  <si>
    <t>Mursidabaad</t>
  </si>
  <si>
    <t>C2011763</t>
  </si>
  <si>
    <t>SK Nuralam</t>
  </si>
  <si>
    <t>Dense Soda Ash</t>
  </si>
  <si>
    <t>17M</t>
  </si>
  <si>
    <t>C2011762</t>
  </si>
  <si>
    <t>Anil Khot</t>
  </si>
  <si>
    <t>16M</t>
  </si>
  <si>
    <t>C2011761</t>
  </si>
  <si>
    <t>AK</t>
  </si>
  <si>
    <t>C2011760</t>
  </si>
  <si>
    <t>Rakesh Kumar Singh</t>
  </si>
  <si>
    <t>C2011759</t>
  </si>
  <si>
    <t>Amitesh Sharma</t>
  </si>
  <si>
    <t>28K</t>
  </si>
  <si>
    <t>C2011758</t>
  </si>
  <si>
    <t>N.K.Sharma</t>
  </si>
  <si>
    <t>Petroleum Ether</t>
  </si>
  <si>
    <t>C2011757</t>
  </si>
  <si>
    <t>Sandip Chandra</t>
  </si>
  <si>
    <t>09.05.2020</t>
  </si>
  <si>
    <t>C2011756</t>
  </si>
  <si>
    <t>Susanta Mondal</t>
  </si>
  <si>
    <t>Ferric Alum,Soda</t>
  </si>
  <si>
    <t>1000 And 100</t>
  </si>
  <si>
    <t>10/-kg(s),45/-kg(s)</t>
  </si>
  <si>
    <t>26K</t>
  </si>
  <si>
    <t>C2011755</t>
  </si>
  <si>
    <t>Md.Adil</t>
  </si>
  <si>
    <t>Benzoic Acid</t>
  </si>
  <si>
    <t>32K</t>
  </si>
  <si>
    <t>C2011754</t>
  </si>
  <si>
    <t>24K</t>
  </si>
  <si>
    <t>C2011753</t>
  </si>
  <si>
    <t>Goutam Patra</t>
  </si>
  <si>
    <t>25K</t>
  </si>
  <si>
    <t>C2011752</t>
  </si>
  <si>
    <t>Shaikh Zaker</t>
  </si>
  <si>
    <t>10,000pcs</t>
  </si>
  <si>
    <t>13M</t>
  </si>
  <si>
    <t>C2011751</t>
  </si>
  <si>
    <t>Sandeep Kumar</t>
  </si>
  <si>
    <t>C2011750</t>
  </si>
  <si>
    <t>Manas Kumar</t>
  </si>
  <si>
    <t>Kolkata-700026</t>
  </si>
  <si>
    <t>C2011749</t>
  </si>
  <si>
    <t>Sunil Nayak</t>
  </si>
  <si>
    <t>14M</t>
  </si>
  <si>
    <t>C2011748</t>
  </si>
  <si>
    <t>Sanjeev Lodh</t>
  </si>
  <si>
    <t>Kolkata-700091</t>
  </si>
  <si>
    <t>C2011747</t>
  </si>
  <si>
    <t>Ashok Bahety</t>
  </si>
  <si>
    <t>Borric Acid</t>
  </si>
  <si>
    <t>18K</t>
  </si>
  <si>
    <t>C2011746</t>
  </si>
  <si>
    <t>Jacson</t>
  </si>
  <si>
    <t>161/-KG(S)</t>
  </si>
  <si>
    <t>23K</t>
  </si>
  <si>
    <t>C2011745</t>
  </si>
  <si>
    <t>Vineet Gupta</t>
  </si>
  <si>
    <t>15M</t>
  </si>
  <si>
    <t>C2011744</t>
  </si>
  <si>
    <t>Sanjay Gupta</t>
  </si>
  <si>
    <t>C2011743</t>
  </si>
  <si>
    <t>Dipak Das</t>
  </si>
  <si>
    <t>Kolkata-700063</t>
  </si>
  <si>
    <t>44K</t>
  </si>
  <si>
    <t>C2011742</t>
  </si>
  <si>
    <t>Dipen Gogoi</t>
  </si>
  <si>
    <t>Perlite</t>
  </si>
  <si>
    <t>Reselling purpose</t>
  </si>
  <si>
    <t>C2011741</t>
  </si>
  <si>
    <t>Satyajit</t>
  </si>
  <si>
    <t>5.25/-KG(S)</t>
  </si>
  <si>
    <t>19K</t>
  </si>
  <si>
    <t>C2011740</t>
  </si>
  <si>
    <t>Abul</t>
  </si>
  <si>
    <t>Chakla</t>
  </si>
  <si>
    <t>C2011739</t>
  </si>
  <si>
    <t>Aniruddha Ghosh</t>
  </si>
  <si>
    <t>C2011738</t>
  </si>
  <si>
    <t>Shyamal Saha</t>
  </si>
  <si>
    <t>Agar Agar</t>
  </si>
  <si>
    <t>C2011737</t>
  </si>
  <si>
    <t>Piyusha Agarwal</t>
  </si>
  <si>
    <t>08.05.2020</t>
  </si>
  <si>
    <t>C2011736</t>
  </si>
  <si>
    <t>Vivek</t>
  </si>
  <si>
    <t>21K</t>
  </si>
  <si>
    <t>C2011735</t>
  </si>
  <si>
    <t>Babulal Saren</t>
  </si>
  <si>
    <t>20K</t>
  </si>
  <si>
    <t>C2011734</t>
  </si>
  <si>
    <t>Mukesh Yadav</t>
  </si>
  <si>
    <t>Daman and Diu</t>
  </si>
  <si>
    <t>11M</t>
  </si>
  <si>
    <t>C2011733</t>
  </si>
  <si>
    <t>Naresh Jawa</t>
  </si>
  <si>
    <t>12M</t>
  </si>
  <si>
    <t>C2011732</t>
  </si>
  <si>
    <t>Avijit Kar</t>
  </si>
  <si>
    <t>22K</t>
  </si>
  <si>
    <t>C2011731</t>
  </si>
  <si>
    <t>Samsul Alam</t>
  </si>
  <si>
    <t>Bashirhat</t>
  </si>
  <si>
    <t>C2011730</t>
  </si>
  <si>
    <t>Mubashir</t>
  </si>
  <si>
    <t>C2011729</t>
  </si>
  <si>
    <t>Vasant Rao</t>
  </si>
  <si>
    <t>317/-KG(S)</t>
  </si>
  <si>
    <t>08M</t>
  </si>
  <si>
    <t>C2011728</t>
  </si>
  <si>
    <t>M Azarudeen</t>
  </si>
  <si>
    <t>10M</t>
  </si>
  <si>
    <t>C2011727</t>
  </si>
  <si>
    <t>Mendhake Nasir</t>
  </si>
  <si>
    <t>Osmanabad - 143508</t>
  </si>
  <si>
    <t>09M</t>
  </si>
  <si>
    <t>C2011726</t>
  </si>
  <si>
    <t>C2011725</t>
  </si>
  <si>
    <t>Purabi Shee</t>
  </si>
  <si>
    <t>C2011724</t>
  </si>
  <si>
    <t>Situ Barai</t>
  </si>
  <si>
    <t>Each 50kg(s)</t>
  </si>
  <si>
    <t>C2011723</t>
  </si>
  <si>
    <t>Farheen J</t>
  </si>
  <si>
    <t>SLES,acid slurry ,Caustic Soda</t>
  </si>
  <si>
    <t>C2011722</t>
  </si>
  <si>
    <t>15K</t>
  </si>
  <si>
    <t>C2011721</t>
  </si>
  <si>
    <t>Debu</t>
  </si>
  <si>
    <t>Liquid Sodium Hypochlorite</t>
  </si>
  <si>
    <t>14K</t>
  </si>
  <si>
    <t>C2011720</t>
  </si>
  <si>
    <t>Mriganka</t>
  </si>
  <si>
    <t>C2011719</t>
  </si>
  <si>
    <t>C2011718</t>
  </si>
  <si>
    <t>Omprakash Bera</t>
  </si>
  <si>
    <t>C2011717</t>
  </si>
  <si>
    <t>S.Ghosh</t>
  </si>
  <si>
    <t>Dhaniakhali</t>
  </si>
  <si>
    <t>C2011716</t>
  </si>
  <si>
    <t>Roy</t>
  </si>
  <si>
    <t>C2011715</t>
  </si>
  <si>
    <t>Deepak Jha</t>
  </si>
  <si>
    <t>Jaipur-302017</t>
  </si>
  <si>
    <t>C2011714</t>
  </si>
  <si>
    <t>Suresh Das</t>
  </si>
  <si>
    <t>Kolkata - 700042</t>
  </si>
  <si>
    <t>365/-KG(S)</t>
  </si>
  <si>
    <t>13K</t>
  </si>
  <si>
    <t>C2011713</t>
  </si>
  <si>
    <t>Arup Dey</t>
  </si>
  <si>
    <t>Bishnupur</t>
  </si>
  <si>
    <t>07.05.2020</t>
  </si>
  <si>
    <t>Suryajit</t>
  </si>
  <si>
    <t>248/-KG(S)</t>
  </si>
  <si>
    <t>11K</t>
  </si>
  <si>
    <t>Ammar Kapasi</t>
  </si>
  <si>
    <t>Rajula, Gujarat</t>
  </si>
  <si>
    <t>06M</t>
  </si>
  <si>
    <t>Subimol Awon</t>
  </si>
  <si>
    <t xml:space="preserve">Iso propyl Alcohol  </t>
  </si>
  <si>
    <t>260/-kg(s)</t>
  </si>
  <si>
    <t>10K</t>
  </si>
  <si>
    <t>Calcium Formate Powder</t>
  </si>
  <si>
    <t>Coimbatore - 641037</t>
  </si>
  <si>
    <t>Jai prakash</t>
  </si>
  <si>
    <t>Md Sohel Rana</t>
  </si>
  <si>
    <t>A.O.S Powder</t>
  </si>
  <si>
    <t>Ajoy Kumar Chanda</t>
  </si>
  <si>
    <t>Ethanol,Glycerine</t>
  </si>
  <si>
    <t>1ton(s),500ltr(s)</t>
  </si>
  <si>
    <t>Kolkata - 700103</t>
  </si>
  <si>
    <t>160/-kg(s),117/-kg(s)</t>
  </si>
  <si>
    <t>16K</t>
  </si>
  <si>
    <t>Raja Sk</t>
  </si>
  <si>
    <t>Sanjay Agarwal</t>
  </si>
  <si>
    <t>Magnesium Carbonate</t>
  </si>
  <si>
    <t>Satarupa Majumder</t>
  </si>
  <si>
    <t>Sand</t>
  </si>
  <si>
    <t>Hingal Ganj</t>
  </si>
  <si>
    <t>Neelesh Maheshwari</t>
  </si>
  <si>
    <t>Iso propyl Alcohol,Rectified Spirit</t>
  </si>
  <si>
    <t>Each 500 ltr(s)</t>
  </si>
  <si>
    <t>Indore-453771</t>
  </si>
  <si>
    <t>160/-kgs,165/-kgs</t>
  </si>
  <si>
    <t>48M</t>
  </si>
  <si>
    <t>Mohamed Ali</t>
  </si>
  <si>
    <t>59K</t>
  </si>
  <si>
    <t>99.50/-KG(S)</t>
  </si>
  <si>
    <t>05M</t>
  </si>
  <si>
    <t>Meghana</t>
  </si>
  <si>
    <t>Charcoal Soap Base,Caustic Soda</t>
  </si>
  <si>
    <t>1 ton(s),100 kg(s)</t>
  </si>
  <si>
    <t>125.50/-kg(s),82.50/-kg(s)</t>
  </si>
  <si>
    <t>12K</t>
  </si>
  <si>
    <t>06.05.2020</t>
  </si>
  <si>
    <t>Sodium Silicate ,Sodium Sulphate</t>
  </si>
  <si>
    <t>Each 50 kg(s)</t>
  </si>
  <si>
    <t>Pallavi</t>
  </si>
  <si>
    <t>Technical Purpose</t>
  </si>
  <si>
    <t>Amit Shete</t>
  </si>
  <si>
    <t>Varsha Nikam</t>
  </si>
  <si>
    <t>278/-KG(S)</t>
  </si>
  <si>
    <t>04M</t>
  </si>
  <si>
    <t>Subhankar Biswas</t>
  </si>
  <si>
    <t>Isopropyl Alcohol</t>
  </si>
  <si>
    <t>Medical Purpose</t>
  </si>
  <si>
    <t>Janp Chatterjee</t>
  </si>
  <si>
    <t>Partha Sinha</t>
  </si>
  <si>
    <t>Jogesh Saha</t>
  </si>
  <si>
    <t xml:space="preserve">Ethanol  </t>
  </si>
  <si>
    <t>Sanitizing Purpose</t>
  </si>
  <si>
    <t>Dheeraj Prajapati</t>
  </si>
  <si>
    <t>02M</t>
  </si>
  <si>
    <t>Ramesh Dhirwani</t>
  </si>
  <si>
    <t>03M</t>
  </si>
  <si>
    <t>Chetan Babel</t>
  </si>
  <si>
    <t>Ashutosh Bera</t>
  </si>
  <si>
    <t>Crystal Vermiculite</t>
  </si>
  <si>
    <t>Aurangam Das</t>
  </si>
  <si>
    <t>Potassium Permanganate,Sodium Bicarbonate</t>
  </si>
  <si>
    <t>100kg(s),1ton(s)</t>
  </si>
  <si>
    <t>266.50/-kg(s),33.50/-kg(s)</t>
  </si>
  <si>
    <t>09K</t>
  </si>
  <si>
    <t>Debdeep Saha</t>
  </si>
  <si>
    <t>Sinthi More</t>
  </si>
  <si>
    <t>Kajal Dey</t>
  </si>
  <si>
    <t>Agarpara</t>
  </si>
  <si>
    <t>233/-KG(S)</t>
  </si>
  <si>
    <t>08K</t>
  </si>
  <si>
    <t>Avatar</t>
  </si>
  <si>
    <t>Souvik Misra</t>
  </si>
  <si>
    <t>Ethanol Alcohol</t>
  </si>
  <si>
    <t>Rizabul Hoque</t>
  </si>
  <si>
    <t>Sodium sulphate</t>
  </si>
  <si>
    <t>Rozi Paul</t>
  </si>
  <si>
    <t>05.05.2020</t>
  </si>
  <si>
    <t>Amit Kumar</t>
  </si>
  <si>
    <t>19.50/-KG(S)</t>
  </si>
  <si>
    <t>07K</t>
  </si>
  <si>
    <t>Prihwish Ghosh</t>
  </si>
  <si>
    <t>Salt Lake</t>
  </si>
  <si>
    <t>Sanitizing Purppose</t>
  </si>
  <si>
    <t>P Aravindakshan</t>
  </si>
  <si>
    <t>Neutral Rectified Spirit</t>
  </si>
  <si>
    <t>53M</t>
  </si>
  <si>
    <t>Sumit Poddar</t>
  </si>
  <si>
    <t>Lactose Monohydrate,Zinc Monohydrate</t>
  </si>
  <si>
    <t>Each 500</t>
  </si>
  <si>
    <t>Dibrugarh,Assam</t>
  </si>
  <si>
    <t>Pritam Kumar</t>
  </si>
  <si>
    <t>Khagaria</t>
  </si>
  <si>
    <t>Malay Majumder</t>
  </si>
  <si>
    <t>Rekha  Raj</t>
  </si>
  <si>
    <t>Goat Milk Soap,Glycerine Soap</t>
  </si>
  <si>
    <t>500 , 500</t>
  </si>
  <si>
    <t>Each 140/-KG(S)</t>
  </si>
  <si>
    <t>01M</t>
  </si>
  <si>
    <t>Meena Kulkarni</t>
  </si>
  <si>
    <t>Somnath Das</t>
  </si>
  <si>
    <t>05K</t>
  </si>
  <si>
    <t>Shyamal Ruidas</t>
  </si>
  <si>
    <t xml:space="preserve">Sodium Silicate   </t>
  </si>
  <si>
    <t>Liquor Ammonia</t>
  </si>
  <si>
    <t>Debodyuti Mallick</t>
  </si>
  <si>
    <t>Sodium Silicate,Acid Slurry</t>
  </si>
  <si>
    <t>25,5</t>
  </si>
  <si>
    <t>Jatindra Das</t>
  </si>
  <si>
    <t>04K</t>
  </si>
  <si>
    <t>C2011664</t>
  </si>
  <si>
    <t>Purnachandra Dey</t>
  </si>
  <si>
    <t>03K</t>
  </si>
  <si>
    <t>20.03.2020</t>
  </si>
  <si>
    <t>Amol Dagdu Nanavare</t>
  </si>
  <si>
    <t>Business Use</t>
  </si>
  <si>
    <t>Suman Biswas</t>
  </si>
  <si>
    <t>Isopropyl Rubbing Alcohol</t>
  </si>
  <si>
    <t>Kolkata - 700130</t>
  </si>
  <si>
    <t>Reselling</t>
  </si>
  <si>
    <t>Partha Biswas</t>
  </si>
  <si>
    <t>Methanol Chemical.</t>
  </si>
  <si>
    <t>Pralaykumar Kamar</t>
  </si>
  <si>
    <t>Tapas Haldar</t>
  </si>
  <si>
    <t>Kv Ramana</t>
  </si>
  <si>
    <t>Sugarcane Molasses.</t>
  </si>
  <si>
    <t>Srikakulam - 532458</t>
  </si>
  <si>
    <t>632M</t>
  </si>
  <si>
    <t>664K</t>
  </si>
  <si>
    <t>Chandan</t>
  </si>
  <si>
    <t>Berhampur - 760005</t>
  </si>
  <si>
    <t>Satyajit Mitra</t>
  </si>
  <si>
    <t>Kolkata - 743503</t>
  </si>
  <si>
    <t>Manish Shaw</t>
  </si>
  <si>
    <t>Seraj</t>
  </si>
  <si>
    <t>Bhubaneswar - 751006</t>
  </si>
  <si>
    <t>Natural Raw Salt</t>
  </si>
  <si>
    <t>Liquid Ethyl Alcohol</t>
  </si>
  <si>
    <t>Tarun Shah</t>
  </si>
  <si>
    <t>Bentonite Clay Powder</t>
  </si>
  <si>
    <t>Mumbai - 400013</t>
  </si>
  <si>
    <t>19.03.2020</t>
  </si>
  <si>
    <t>Pijush Saha</t>
  </si>
  <si>
    <t>Fatema</t>
  </si>
  <si>
    <t>Manik Lal Nayek</t>
  </si>
  <si>
    <t>Guar Gum.</t>
  </si>
  <si>
    <t>Tamluk - 721653,</t>
  </si>
  <si>
    <t>79/-KG(S)</t>
  </si>
  <si>
    <t>660K</t>
  </si>
  <si>
    <t>Happy Jain</t>
  </si>
  <si>
    <t>Kirti Kumar Patel</t>
  </si>
  <si>
    <t>Kadi - 382715, Gujarat</t>
  </si>
  <si>
    <t>Pranay</t>
  </si>
  <si>
    <t>Ranchi, Jharkhand</t>
  </si>
  <si>
    <t>Rina Gupta</t>
  </si>
  <si>
    <t>Vimal</t>
  </si>
  <si>
    <t>Domestic Purpose</t>
  </si>
  <si>
    <t>Rubbing Alcohol.</t>
  </si>
  <si>
    <t>Thane - 421301</t>
  </si>
  <si>
    <t>Pronab Majundar</t>
  </si>
  <si>
    <t>ISO Propyl Alcohol</t>
  </si>
  <si>
    <t>Najimuddin</t>
  </si>
  <si>
    <t>Liquid Benzoic Acid</t>
  </si>
  <si>
    <t>Bijoy Mahato</t>
  </si>
  <si>
    <t>663K</t>
  </si>
  <si>
    <t>Prem</t>
  </si>
  <si>
    <t>Katihar, Bihar</t>
  </si>
  <si>
    <t>SP Shah</t>
  </si>
  <si>
    <t>Activated Alumina.</t>
  </si>
  <si>
    <t>Thane, Maharashtra</t>
  </si>
  <si>
    <t>Kavita Adhikai</t>
  </si>
  <si>
    <t>Ariculture Use</t>
  </si>
  <si>
    <t>Gopallalkharol</t>
  </si>
  <si>
    <t>Jaipur - 332010,</t>
  </si>
  <si>
    <t>631M</t>
  </si>
  <si>
    <t>Satrughan Shaw</t>
  </si>
  <si>
    <t>18.03.2020</t>
  </si>
  <si>
    <t>Budharaj Mutta</t>
  </si>
  <si>
    <t>50PCS</t>
  </si>
  <si>
    <t>Vijayawada - 520001</t>
  </si>
  <si>
    <t>Sanjib</t>
  </si>
  <si>
    <t>Manganese Sulphate</t>
  </si>
  <si>
    <t>Md Hasibur Molla</t>
  </si>
  <si>
    <t>Multani Mitti.</t>
  </si>
  <si>
    <t>Pronab Kumar Saha</t>
  </si>
  <si>
    <t>662K</t>
  </si>
  <si>
    <t>Subir Das</t>
  </si>
  <si>
    <t>Kolkata - 700128</t>
  </si>
  <si>
    <t>06K</t>
  </si>
  <si>
    <t>Singur, West Bengal</t>
  </si>
  <si>
    <t>Daksh Patel</t>
  </si>
  <si>
    <t>Ahmedabad - 380025</t>
  </si>
  <si>
    <t>629M</t>
  </si>
  <si>
    <t>Soma Thakur</t>
  </si>
  <si>
    <t>Arita Sinha</t>
  </si>
  <si>
    <t>Kolkata - 713102</t>
  </si>
  <si>
    <t>Color Application</t>
  </si>
  <si>
    <t>661K</t>
  </si>
  <si>
    <t xml:space="preserve">Rahul    </t>
  </si>
  <si>
    <t>Liquid Isopropyl Alcohol</t>
  </si>
  <si>
    <t>Khurda, Odisha</t>
  </si>
  <si>
    <t>Saikat Chowdhury</t>
  </si>
  <si>
    <t>Santosh Deokar</t>
  </si>
  <si>
    <t>Mumbai - 400057,</t>
  </si>
  <si>
    <t>P P Dandapat Dandapat</t>
  </si>
  <si>
    <t>Panipat, Haryana</t>
  </si>
  <si>
    <t>Lamination purpose</t>
  </si>
  <si>
    <t>204/-KG(S)</t>
  </si>
  <si>
    <t>630M</t>
  </si>
  <si>
    <t>Mr. Sardar</t>
  </si>
  <si>
    <t>Refined Glycerine.</t>
  </si>
  <si>
    <t>Santosh Shelar</t>
  </si>
  <si>
    <t>Paritosh Halder</t>
  </si>
  <si>
    <t>655K</t>
  </si>
  <si>
    <t>Basavaraj</t>
  </si>
  <si>
    <t>Chitradurga</t>
  </si>
  <si>
    <t>Lithium Carbonate</t>
  </si>
  <si>
    <t>Prasenjit Karak</t>
  </si>
  <si>
    <t>Midnapore - 721260</t>
  </si>
  <si>
    <t>Dr. Rupani</t>
  </si>
  <si>
    <t>A.Ali</t>
  </si>
  <si>
    <t>654K</t>
  </si>
  <si>
    <t>Haresh Patel</t>
  </si>
  <si>
    <t>Aos Liquid</t>
  </si>
  <si>
    <t>Prasant</t>
  </si>
  <si>
    <t xml:space="preserve">Noida    </t>
  </si>
  <si>
    <t>Sanjay Rajowar</t>
  </si>
  <si>
    <t>Nadia,</t>
  </si>
  <si>
    <t>Jagnath Mandol</t>
  </si>
  <si>
    <t>AG</t>
  </si>
  <si>
    <t>17.03.2020</t>
  </si>
  <si>
    <t>Badsha Routya</t>
  </si>
  <si>
    <t>Talcum Powder.</t>
  </si>
  <si>
    <t>653K</t>
  </si>
  <si>
    <t>Nilesh Kharat</t>
  </si>
  <si>
    <t>Project Work</t>
  </si>
  <si>
    <t>Anjan Chowdhury</t>
  </si>
  <si>
    <t>Aloke Adhikary</t>
  </si>
  <si>
    <t>Acetone Solvent</t>
  </si>
  <si>
    <t>Kolkata - 743235</t>
  </si>
  <si>
    <t>Bengaluru - 560047</t>
  </si>
  <si>
    <t>KOUSHIK ROY</t>
  </si>
  <si>
    <t>Gangarampur,</t>
  </si>
  <si>
    <t>Utkrant Vadujkar</t>
  </si>
  <si>
    <t>Expanded Perlite</t>
  </si>
  <si>
    <t>Mumbai - 400028,</t>
  </si>
  <si>
    <t>Suraj Saha</t>
  </si>
  <si>
    <t>Sodium Lauryl Sulphate.</t>
  </si>
  <si>
    <t>Akshay</t>
  </si>
  <si>
    <t>Arun Kr. Rathi</t>
  </si>
  <si>
    <t>Formamide Liquid</t>
  </si>
  <si>
    <t>Saikotdas</t>
  </si>
  <si>
    <t>Provas Mandal</t>
  </si>
  <si>
    <t>Ashim Mondal</t>
  </si>
  <si>
    <t>Suryatapa</t>
  </si>
  <si>
    <t>Sanitizer purpose</t>
  </si>
  <si>
    <t>Birendra</t>
  </si>
  <si>
    <t>Formalin Formaldehyde</t>
  </si>
  <si>
    <t>mushroom cultivation</t>
  </si>
  <si>
    <t>Kainaz</t>
  </si>
  <si>
    <t>2.50/-Pcs</t>
  </si>
  <si>
    <t>623M</t>
  </si>
  <si>
    <t>Sagarparab</t>
  </si>
  <si>
    <t>Jayaraman</t>
  </si>
  <si>
    <t>Pondicherry - 605010</t>
  </si>
  <si>
    <t>625M</t>
  </si>
  <si>
    <t>M.D. Chaudhary</t>
  </si>
  <si>
    <t>25.50/-KG(S)</t>
  </si>
  <si>
    <t>648K</t>
  </si>
  <si>
    <t>Ajay Sureka</t>
  </si>
  <si>
    <t>50,000PCS</t>
  </si>
  <si>
    <t>1/-KG(S)</t>
  </si>
  <si>
    <t>646K</t>
  </si>
  <si>
    <t>MD Abdul Majid</t>
  </si>
  <si>
    <t>Zamar Khan</t>
  </si>
  <si>
    <t>645K</t>
  </si>
  <si>
    <t>Manvekar</t>
  </si>
  <si>
    <t>Utpal Shah</t>
  </si>
  <si>
    <t>Mumbai - 400089</t>
  </si>
  <si>
    <t>624M</t>
  </si>
  <si>
    <t>Manik Chowdhury</t>
  </si>
  <si>
    <t>Jalpaiguri - 735219</t>
  </si>
  <si>
    <t>Somen Ghosh</t>
  </si>
  <si>
    <t>Hitesh Shah</t>
  </si>
  <si>
    <t>622M</t>
  </si>
  <si>
    <t>16.03.2020</t>
  </si>
  <si>
    <t>Abeer Lala</t>
  </si>
  <si>
    <t>Guar Gum Powder</t>
  </si>
  <si>
    <t>Triethylene Glycol</t>
  </si>
  <si>
    <t>Kunal Gohel</t>
  </si>
  <si>
    <t>Multani Mud</t>
  </si>
  <si>
    <t>Mumbai, Maharashtra</t>
  </si>
  <si>
    <t>Subroto</t>
  </si>
  <si>
    <t>Gypsum Powder.</t>
  </si>
  <si>
    <t>647K</t>
  </si>
  <si>
    <t>Nil Ghosh</t>
  </si>
  <si>
    <t>Manas Kumar Mukherjee</t>
  </si>
  <si>
    <t>Durgapur - 713212</t>
  </si>
  <si>
    <t>casting plant</t>
  </si>
  <si>
    <t>Shailesh Sheth</t>
  </si>
  <si>
    <t>41.50/-KG(S)</t>
  </si>
  <si>
    <t>621M</t>
  </si>
  <si>
    <t>Karan Sheth</t>
  </si>
  <si>
    <t>manganese ore</t>
  </si>
  <si>
    <t>Anjali Ji</t>
  </si>
  <si>
    <t>Delhi - 110002</t>
  </si>
  <si>
    <t>Jitendra Parekh</t>
  </si>
  <si>
    <t>Kolkata - 700020</t>
  </si>
  <si>
    <t>Dhiraj Kumar</t>
  </si>
  <si>
    <t>Firozabad,</t>
  </si>
  <si>
    <t>Arvind Srivastava</t>
  </si>
  <si>
    <t>Mahboob Alam</t>
  </si>
  <si>
    <t>Babool Wood Charcoal</t>
  </si>
  <si>
    <t>Kolkata, West Bengal,</t>
  </si>
  <si>
    <t>643K</t>
  </si>
  <si>
    <t>626M</t>
  </si>
  <si>
    <t>Mekhla Bhattacharya</t>
  </si>
  <si>
    <t>Denatured Rectified Spirit</t>
  </si>
  <si>
    <t>Atanu Dutta</t>
  </si>
  <si>
    <t>Rrajiiv Ahir</t>
  </si>
  <si>
    <t>Kamalesh Basunia</t>
  </si>
  <si>
    <t>Avi Sekh</t>
  </si>
  <si>
    <t>Copper Sulphate,CausticSoda Flake</t>
  </si>
  <si>
    <t>Each 200KG(S)</t>
  </si>
  <si>
    <t>150/-kgs,48/-kgs</t>
  </si>
  <si>
    <t>641K</t>
  </si>
  <si>
    <t>Sanjib Samanta</t>
  </si>
  <si>
    <t>Industrial Salt.</t>
  </si>
  <si>
    <t>642K</t>
  </si>
  <si>
    <t>J Choudhary</t>
  </si>
  <si>
    <t>640K</t>
  </si>
  <si>
    <t>Debraj Bhaumik</t>
  </si>
  <si>
    <t>Arun Bose</t>
  </si>
  <si>
    <t>Sudarsan Barik</t>
  </si>
  <si>
    <t>Hexamine</t>
  </si>
  <si>
    <t>Jajpur, Odisha</t>
  </si>
  <si>
    <t>Nehalclement</t>
  </si>
  <si>
    <t>Soha Roy</t>
  </si>
  <si>
    <t>Sanket</t>
  </si>
  <si>
    <t>hand sanitizer Purpose</t>
  </si>
  <si>
    <t>Jai</t>
  </si>
  <si>
    <t>Manish Simon</t>
  </si>
  <si>
    <t>14.03.2020</t>
  </si>
  <si>
    <t>Mumbai - 400051</t>
  </si>
  <si>
    <t>Badal Adhikary</t>
  </si>
  <si>
    <t>Amtala - 743503</t>
  </si>
  <si>
    <t>637K</t>
  </si>
  <si>
    <t>Tarun Gayen</t>
  </si>
  <si>
    <t>Kolkata - 743372</t>
  </si>
  <si>
    <t>Suman Kumar Ghosh</t>
  </si>
  <si>
    <t>Iron Removal Media</t>
  </si>
  <si>
    <t>Kolkata - 700001,</t>
  </si>
  <si>
    <t>Arpita Dutta</t>
  </si>
  <si>
    <t>638K</t>
  </si>
  <si>
    <t>S Chakraborty</t>
  </si>
  <si>
    <t>Dr. Vimal Bhandari</t>
  </si>
  <si>
    <t>Ramesh Mannur</t>
  </si>
  <si>
    <t>Pune - 411041</t>
  </si>
  <si>
    <t>166/-KG(S)</t>
  </si>
  <si>
    <t>635K</t>
  </si>
  <si>
    <t>Bhavesh Patel</t>
  </si>
  <si>
    <t>S Deb</t>
  </si>
  <si>
    <t>White Soap Base</t>
  </si>
  <si>
    <t>Avinash Prasad</t>
  </si>
  <si>
    <t>Isopropyl Alcohol.</t>
  </si>
  <si>
    <t>Shannu</t>
  </si>
  <si>
    <t>Nellore,</t>
  </si>
  <si>
    <t>Mahesh Kumar</t>
  </si>
  <si>
    <t>Kolkata - 711101</t>
  </si>
  <si>
    <t>151/-KG(S)</t>
  </si>
  <si>
    <t>636K</t>
  </si>
  <si>
    <t>Durga Karthik</t>
  </si>
  <si>
    <t>Calcium Peroxide.</t>
  </si>
  <si>
    <t>Selam - 636009</t>
  </si>
  <si>
    <t>Shivaji Chikale</t>
  </si>
  <si>
    <t>Sourav Bagchi</t>
  </si>
  <si>
    <t>13.03.2020</t>
  </si>
  <si>
    <t>Somnath Isar</t>
  </si>
  <si>
    <t>Hooghly - 712417</t>
  </si>
  <si>
    <t>634K</t>
  </si>
  <si>
    <t>Utsav Roy</t>
  </si>
  <si>
    <t>Parinita Heisnam</t>
  </si>
  <si>
    <t>Paras Poddar</t>
  </si>
  <si>
    <t>Sahanaj Parvin</t>
  </si>
  <si>
    <t>Powder Sodium Sulphate</t>
  </si>
  <si>
    <t>Rampur Hat - 731224</t>
  </si>
  <si>
    <t>Dipankar Patra</t>
  </si>
  <si>
    <t>Raw Industrial Salt.</t>
  </si>
  <si>
    <t>Reajul Ali</t>
  </si>
  <si>
    <t>633K</t>
  </si>
  <si>
    <t>Yashwant Dhuri</t>
  </si>
  <si>
    <t>Soumyojit</t>
  </si>
  <si>
    <t>South 24 Parganas,</t>
  </si>
  <si>
    <t>Aniruddh Chatterjee</t>
  </si>
  <si>
    <t>PARTHA PRATIM SARKAR</t>
  </si>
  <si>
    <t>Srikanta Bhattacharyya</t>
  </si>
  <si>
    <t>Durgapur,</t>
  </si>
  <si>
    <t>Indrajit Patil</t>
  </si>
  <si>
    <t>Calcium Sulphate Anhydrous</t>
  </si>
  <si>
    <t>Jalgaon - 425107,</t>
  </si>
  <si>
    <t>Alifiya</t>
  </si>
  <si>
    <t>Maddy</t>
  </si>
  <si>
    <t>Mukesh Roy</t>
  </si>
  <si>
    <t>Kolkata - 700101</t>
  </si>
  <si>
    <t>Mr. Netrapal</t>
  </si>
  <si>
    <t>Delhi - 110093</t>
  </si>
  <si>
    <t>Manish Kumar Rai</t>
  </si>
  <si>
    <t>Kolkata - 700005</t>
  </si>
  <si>
    <t>627K</t>
  </si>
  <si>
    <t>Kolkata - 700037,</t>
  </si>
  <si>
    <t>629K</t>
  </si>
  <si>
    <t>Kishor Karnik</t>
  </si>
  <si>
    <t>614M</t>
  </si>
  <si>
    <t>Rupali Rokade</t>
  </si>
  <si>
    <t>White Marble Powder</t>
  </si>
  <si>
    <t>KAMAL</t>
  </si>
  <si>
    <t>Murshidabad,</t>
  </si>
  <si>
    <t>630K</t>
  </si>
  <si>
    <t>Ak KARODIWAL</t>
  </si>
  <si>
    <t>Jaipur, Rajasthan</t>
  </si>
  <si>
    <t>Subhadeep Nandy</t>
  </si>
  <si>
    <t>Gurumeet</t>
  </si>
  <si>
    <t>71.50/-KG(S)</t>
  </si>
  <si>
    <t>618M</t>
  </si>
  <si>
    <t>Samir</t>
  </si>
  <si>
    <t>Hydrofluoric Acid</t>
  </si>
  <si>
    <t>Sidhartha Sengupta</t>
  </si>
  <si>
    <t>Dharmendra Kumar</t>
  </si>
  <si>
    <t>Biharsharif, Bihar</t>
  </si>
  <si>
    <t>739/-KG(S)</t>
  </si>
  <si>
    <t>631K</t>
  </si>
  <si>
    <t>Arvind Jain</t>
  </si>
  <si>
    <t>Kolkata - 700050</t>
  </si>
  <si>
    <t>615M</t>
  </si>
  <si>
    <t>12.03.2020</t>
  </si>
  <si>
    <t>Janardan Mohanty</t>
  </si>
  <si>
    <t>Bhubaneswar - 751002</t>
  </si>
  <si>
    <t>Soumitra Mondal</t>
  </si>
  <si>
    <t>Kolkata - 700047,</t>
  </si>
  <si>
    <t>86/-KG(S)</t>
  </si>
  <si>
    <t>628K</t>
  </si>
  <si>
    <t>Raju T S</t>
  </si>
  <si>
    <t>Mumbai - 400001</t>
  </si>
  <si>
    <t>617M</t>
  </si>
  <si>
    <t>SoumenPradhan</t>
  </si>
  <si>
    <t>Calcium Oxide Powder</t>
  </si>
  <si>
    <t>613M</t>
  </si>
  <si>
    <t>Chandrasekhar Varma</t>
  </si>
  <si>
    <t>Mangan - 737116,</t>
  </si>
  <si>
    <t>632K</t>
  </si>
  <si>
    <t>Arunoday Choudhury</t>
  </si>
  <si>
    <t>Alumina Dense</t>
  </si>
  <si>
    <t>Habhijeet Saha</t>
  </si>
  <si>
    <t>618K</t>
  </si>
  <si>
    <t>Soap Base.</t>
  </si>
  <si>
    <t>Somitra Sharma</t>
  </si>
  <si>
    <t>Sodium Hypochlorite.</t>
  </si>
  <si>
    <t>Sumit Sharma</t>
  </si>
  <si>
    <t>Deoghar - 814114</t>
  </si>
  <si>
    <t>Industry Use</t>
  </si>
  <si>
    <t>622K</t>
  </si>
  <si>
    <t>BIKRAM CHHETRI</t>
  </si>
  <si>
    <t>Agartala, Tripura</t>
  </si>
  <si>
    <t>Shuvojit Ghosh</t>
  </si>
  <si>
    <t>Biplab Bose</t>
  </si>
  <si>
    <t>Howrah - 711113</t>
  </si>
  <si>
    <t>608M</t>
  </si>
  <si>
    <t>Debanjan Sinha</t>
  </si>
  <si>
    <t>Liquid Formalin</t>
  </si>
  <si>
    <t>Himadri</t>
  </si>
  <si>
    <t>Rakhibh</t>
  </si>
  <si>
    <t>Sodium Silicate.</t>
  </si>
  <si>
    <t>Syamal Das</t>
  </si>
  <si>
    <t>Soap Noodles.</t>
  </si>
  <si>
    <t>Pancha Das</t>
  </si>
  <si>
    <t>Sodium Silicate Powder,</t>
  </si>
  <si>
    <t>Debashis Gayen</t>
  </si>
  <si>
    <t>SHIVANK CHATURVEDI</t>
  </si>
  <si>
    <t>Amit Rai</t>
  </si>
  <si>
    <t>Rokib</t>
  </si>
  <si>
    <t>Jayanta Datta</t>
  </si>
  <si>
    <t>Refined Glycerine Food Grade</t>
  </si>
  <si>
    <t>50/-kgs,48.50/-kgs</t>
  </si>
  <si>
    <t>619K</t>
  </si>
  <si>
    <t>Sukhdev</t>
  </si>
  <si>
    <t>Delhi - 201301,</t>
  </si>
  <si>
    <t>Dayanand Yadav</t>
  </si>
  <si>
    <t>Pune, Maharashtra</t>
  </si>
  <si>
    <t>607M</t>
  </si>
  <si>
    <t>Ethyl Acetate</t>
  </si>
  <si>
    <t>BeerBahadur Singh</t>
  </si>
  <si>
    <t>Noida - 201003</t>
  </si>
  <si>
    <t>3/-kgs,2.50/-kgs</t>
  </si>
  <si>
    <t>610M</t>
  </si>
  <si>
    <t>Dr Tahir</t>
  </si>
  <si>
    <t>620K</t>
  </si>
  <si>
    <t>Sweta</t>
  </si>
  <si>
    <t>White Ball Clay</t>
  </si>
  <si>
    <t>Rupa</t>
  </si>
  <si>
    <t>Copper Grit</t>
  </si>
  <si>
    <t>ANIMUL KHAN</t>
  </si>
  <si>
    <t>621K</t>
  </si>
  <si>
    <t>Ritu Saluja</t>
  </si>
  <si>
    <t>Saddam</t>
  </si>
  <si>
    <t>100Pcs</t>
  </si>
  <si>
    <t>Mango Ripening Purpose</t>
  </si>
  <si>
    <t>11.03.2020</t>
  </si>
  <si>
    <t>Piyush Jaiswal</t>
  </si>
  <si>
    <t>Jalandhar - 795002</t>
  </si>
  <si>
    <t>Didha Bavishi</t>
  </si>
  <si>
    <t>Dhar, Madhya Pradesh</t>
  </si>
  <si>
    <t>609M</t>
  </si>
  <si>
    <t>Kaustav Pandey</t>
  </si>
  <si>
    <t>Rishra,</t>
  </si>
  <si>
    <t>Sk Najirul Ali</t>
  </si>
  <si>
    <t>White Industrial Salt</t>
  </si>
  <si>
    <t>Jadhav A T</t>
  </si>
  <si>
    <t>Feed Molases</t>
  </si>
  <si>
    <t>Samruddhi</t>
  </si>
  <si>
    <t>ANIL GITE</t>
  </si>
  <si>
    <t>606M</t>
  </si>
  <si>
    <t>Poly Lactic Acid</t>
  </si>
  <si>
    <t>Ayushi Jain</t>
  </si>
  <si>
    <t>Saikat</t>
  </si>
  <si>
    <t>Iron Rust Remove</t>
  </si>
  <si>
    <t>Jagdish</t>
  </si>
  <si>
    <t>Clear Soap Base</t>
  </si>
  <si>
    <t xml:space="preserve">Maharashtra </t>
  </si>
  <si>
    <t>Ajinkya Shinde</t>
  </si>
  <si>
    <t>Fire clay</t>
  </si>
  <si>
    <t>Rahul Mudli</t>
  </si>
  <si>
    <t>Midnapur</t>
  </si>
  <si>
    <t>613K</t>
  </si>
  <si>
    <t>Chandan Hazra</t>
  </si>
  <si>
    <t>MD Abrar Ansari</t>
  </si>
  <si>
    <t>Sodium Metabisulfite</t>
  </si>
  <si>
    <t>Personal Perpose</t>
  </si>
  <si>
    <t>Murtaza Hussain</t>
  </si>
  <si>
    <t>G.K.Pradhan</t>
  </si>
  <si>
    <t>Sandesh</t>
  </si>
  <si>
    <t>Mumbai - 421202</t>
  </si>
  <si>
    <t>Amit Mondal</t>
  </si>
  <si>
    <t>Suchandra Das</t>
  </si>
  <si>
    <t>Transparent Soap Base</t>
  </si>
  <si>
    <t>Malayparai</t>
  </si>
  <si>
    <t>612K</t>
  </si>
  <si>
    <t>Rupesh Solanke</t>
  </si>
  <si>
    <t>Carbon Graphite</t>
  </si>
  <si>
    <t>45/-kgs,65/-kgs</t>
  </si>
  <si>
    <t>605M</t>
  </si>
  <si>
    <t>Mohiful</t>
  </si>
  <si>
    <t>611K</t>
  </si>
  <si>
    <t>Kirti Mehta</t>
  </si>
  <si>
    <t>322/-KG(S)</t>
  </si>
  <si>
    <t>601M</t>
  </si>
  <si>
    <t>Anurag</t>
  </si>
  <si>
    <t>604M</t>
  </si>
  <si>
    <t>Vimal Lohiya</t>
  </si>
  <si>
    <t>Aluminium Sulphate Powder</t>
  </si>
  <si>
    <t>610K</t>
  </si>
  <si>
    <t>Ujjan</t>
  </si>
  <si>
    <t>603M</t>
  </si>
  <si>
    <t>Goregaon - 400104</t>
  </si>
  <si>
    <t>Treading Purpose</t>
  </si>
  <si>
    <t>500/-KG(S)</t>
  </si>
  <si>
    <t>609K</t>
  </si>
  <si>
    <t>D. Sen</t>
  </si>
  <si>
    <t>Kolkata - 700104</t>
  </si>
  <si>
    <t>Rajesh Prasad</t>
  </si>
  <si>
    <t>Kakali</t>
  </si>
  <si>
    <t>Jadhavpur</t>
  </si>
  <si>
    <t>Hand Made Soap</t>
  </si>
  <si>
    <t>Fatehpur</t>
  </si>
  <si>
    <t>Anup Mahapatra</t>
  </si>
  <si>
    <t>10.03.2020</t>
  </si>
  <si>
    <t>Ujjwal</t>
  </si>
  <si>
    <t>602M</t>
  </si>
  <si>
    <t>Sri</t>
  </si>
  <si>
    <t>Sahil Shakir Shaikh</t>
  </si>
  <si>
    <t>Baloram Halder</t>
  </si>
  <si>
    <t>608K</t>
  </si>
  <si>
    <t>07.03.2020</t>
  </si>
  <si>
    <t>Vihanga</t>
  </si>
  <si>
    <t>Sodium Monochloro Acetate</t>
  </si>
  <si>
    <t>Hyderabad - 500073</t>
  </si>
  <si>
    <t>Shubash Dharmraj Sable</t>
  </si>
  <si>
    <t>Calcium Sulfate</t>
  </si>
  <si>
    <t>616M</t>
  </si>
  <si>
    <t>Dipak Barik</t>
  </si>
  <si>
    <t>Singur,</t>
  </si>
  <si>
    <t>Chennai - 600039</t>
  </si>
  <si>
    <t>600M</t>
  </si>
  <si>
    <t>Subhajit Chakraborty</t>
  </si>
  <si>
    <t>Powder Calcium Peroxide</t>
  </si>
  <si>
    <t>Naresh K Periwal</t>
  </si>
  <si>
    <t>Siliguri,</t>
  </si>
  <si>
    <t>Debashishkar</t>
  </si>
  <si>
    <t xml:space="preserve">Bankura    </t>
  </si>
  <si>
    <t>26.50/-KG(S)</t>
  </si>
  <si>
    <t>603K</t>
  </si>
  <si>
    <t>602K</t>
  </si>
  <si>
    <t>Sumit</t>
  </si>
  <si>
    <t>601K</t>
  </si>
  <si>
    <t>Sudhanshu</t>
  </si>
  <si>
    <t>604K</t>
  </si>
  <si>
    <t>Ramesh Mandal</t>
  </si>
  <si>
    <t>100KG(S)</t>
  </si>
  <si>
    <t>Subhajit Dey</t>
  </si>
  <si>
    <t>Guar Gum,Charcoal</t>
  </si>
  <si>
    <t>20kgs,50kgs</t>
  </si>
  <si>
    <t>Sreerampur</t>
  </si>
  <si>
    <t>600K</t>
  </si>
  <si>
    <t>Tapioca Starch And Xanthan Gum</t>
  </si>
  <si>
    <t>Each 1KG</t>
  </si>
  <si>
    <t>Asma</t>
  </si>
  <si>
    <t>Liquid Soap Base</t>
  </si>
  <si>
    <t>Muhammad</t>
  </si>
  <si>
    <t>Nasiruddinsk</t>
  </si>
  <si>
    <t>Canning</t>
  </si>
  <si>
    <t>Akshay Makhija</t>
  </si>
  <si>
    <t>Pectin Chemical</t>
  </si>
  <si>
    <t>Indore - 452014</t>
  </si>
  <si>
    <t>599M</t>
  </si>
  <si>
    <t>Saikat Bagchi</t>
  </si>
  <si>
    <t>Iso Propyl Myristate</t>
  </si>
  <si>
    <t>Bally</t>
  </si>
  <si>
    <t>Vijay Kedia</t>
  </si>
  <si>
    <t>599K</t>
  </si>
  <si>
    <t>Tanmay Bhatacharya</t>
  </si>
  <si>
    <t>06.03.2020</t>
  </si>
  <si>
    <t xml:space="preserve">Atul   </t>
  </si>
  <si>
    <t xml:space="preserve">Guar Gum   </t>
  </si>
  <si>
    <t>90/-KG(S)</t>
  </si>
  <si>
    <t>597M</t>
  </si>
  <si>
    <t>Sandesh More</t>
  </si>
  <si>
    <t>Earthing Charcoal and Salt</t>
  </si>
  <si>
    <t>Dombivli, Maharashtra</t>
  </si>
  <si>
    <t>Malaynag</t>
  </si>
  <si>
    <t>Bankura - 722101</t>
  </si>
  <si>
    <t>Ashish Poddar</t>
  </si>
  <si>
    <t>Anthracite</t>
  </si>
  <si>
    <t>Kolkata - 700071</t>
  </si>
  <si>
    <t>Iron Plant</t>
  </si>
  <si>
    <t>596K</t>
  </si>
  <si>
    <t>Pradeesh Kumar</t>
  </si>
  <si>
    <t>595M</t>
  </si>
  <si>
    <t>Bhagwan</t>
  </si>
  <si>
    <t>Roni</t>
  </si>
  <si>
    <t>595K</t>
  </si>
  <si>
    <t>A. Kumar</t>
  </si>
  <si>
    <t>Hyderabad - 500011</t>
  </si>
  <si>
    <t>Vinit Kumar</t>
  </si>
  <si>
    <t>Rosera, India</t>
  </si>
  <si>
    <t>Sayani Sengupta Chattopadhyay</t>
  </si>
  <si>
    <t>Raghavendra S B</t>
  </si>
  <si>
    <t>1000Pcs</t>
  </si>
  <si>
    <t>Taluka Shirur, Pune - 412220</t>
  </si>
  <si>
    <t>612M</t>
  </si>
  <si>
    <t>Dhananjay Bain</t>
  </si>
  <si>
    <t>Barracpur</t>
  </si>
  <si>
    <t>D. Silva</t>
  </si>
  <si>
    <t>594M</t>
  </si>
  <si>
    <t>Rishu</t>
  </si>
  <si>
    <t>Muzaffarpur, Bihar</t>
  </si>
  <si>
    <t>590K</t>
  </si>
  <si>
    <t>Rajesh Sarkar</t>
  </si>
  <si>
    <t>Katwa,Burdwan</t>
  </si>
  <si>
    <t>594K</t>
  </si>
  <si>
    <t>Prashant Nayak</t>
  </si>
  <si>
    <t>593K</t>
  </si>
  <si>
    <t>Sayan Chowdhury</t>
  </si>
  <si>
    <t>Urea Fertilizers</t>
  </si>
  <si>
    <t>592K</t>
  </si>
  <si>
    <t>Namdeo Manwar</t>
  </si>
  <si>
    <t>Mumbai - 445209</t>
  </si>
  <si>
    <t>Vikas Agarwal</t>
  </si>
  <si>
    <t>gypsum powder</t>
  </si>
  <si>
    <t>591K</t>
  </si>
  <si>
    <t>Ajeet</t>
  </si>
  <si>
    <t>Calcium Filler Compound</t>
  </si>
  <si>
    <t>Kausik Das</t>
  </si>
  <si>
    <t>Ferrous Sulphate,Bleaching Powder</t>
  </si>
  <si>
    <t>1200kgs,300kgs</t>
  </si>
  <si>
    <t>Kolkata - 700094</t>
  </si>
  <si>
    <t>14.75/-kgs,26/-kgs</t>
  </si>
  <si>
    <t>597K</t>
  </si>
  <si>
    <t>Avijit Pal</t>
  </si>
  <si>
    <t>Kolkata - 700084</t>
  </si>
  <si>
    <t>Prasenjit Acharyya</t>
  </si>
  <si>
    <t>Dum Dum - 700012</t>
  </si>
  <si>
    <t>Nala Bhagwan</t>
  </si>
  <si>
    <t>Satara, Maharashtra</t>
  </si>
  <si>
    <t>5/-Pcs,3.50/-Pcs</t>
  </si>
  <si>
    <t>596M</t>
  </si>
  <si>
    <t>Arundhati Gogate</t>
  </si>
  <si>
    <t>Household</t>
  </si>
  <si>
    <t>KRISHNANSuGUNAPANDIYAN</t>
  </si>
  <si>
    <t>05.03.2020</t>
  </si>
  <si>
    <t>Ahmad Ali</t>
  </si>
  <si>
    <t>Honur Ali Khan</t>
  </si>
  <si>
    <t>Nagaon - 782123</t>
  </si>
  <si>
    <t>598K</t>
  </si>
  <si>
    <t>B. Suryam</t>
  </si>
  <si>
    <t>Hyderabad - 500060</t>
  </si>
  <si>
    <t>Kolkata - 743513</t>
  </si>
  <si>
    <t>589K</t>
  </si>
  <si>
    <t>Md Shahid</t>
  </si>
  <si>
    <t>Maize Starch Powder</t>
  </si>
  <si>
    <t>38.50/-KG(S)</t>
  </si>
  <si>
    <t>587K</t>
  </si>
  <si>
    <t>Khusboo</t>
  </si>
  <si>
    <t>Mumbai - 400005</t>
  </si>
  <si>
    <t>Seikh Shamsul Haque</t>
  </si>
  <si>
    <t>588K</t>
  </si>
  <si>
    <t>Mahadeb Roy</t>
  </si>
  <si>
    <t>soap base</t>
  </si>
  <si>
    <t>Sangram Patil</t>
  </si>
  <si>
    <t>Pune - 413105</t>
  </si>
  <si>
    <t>2/-kg(s),1.50/-kg(s)</t>
  </si>
  <si>
    <t>590M</t>
  </si>
  <si>
    <t>Ganaraj</t>
  </si>
  <si>
    <t>Project Purpose</t>
  </si>
  <si>
    <t>586M</t>
  </si>
  <si>
    <t>Vinoth Elangovan</t>
  </si>
  <si>
    <t>Chennai - 600125</t>
  </si>
  <si>
    <t>591M</t>
  </si>
  <si>
    <t>Veeru Soni</t>
  </si>
  <si>
    <t>Parsudhar Sahoo</t>
  </si>
  <si>
    <t>Lalit Lakshman Kumar</t>
  </si>
  <si>
    <t>Deepu</t>
  </si>
  <si>
    <t>Kalyan, Maharashtra</t>
  </si>
  <si>
    <t>587M</t>
  </si>
  <si>
    <t>SWEETY</t>
  </si>
  <si>
    <t>Kolkata - 711103</t>
  </si>
  <si>
    <t>588M</t>
  </si>
  <si>
    <t>Ketan</t>
  </si>
  <si>
    <t>Naresh Jiwatramani</t>
  </si>
  <si>
    <t>Nagpur - 444001</t>
  </si>
  <si>
    <t>Atul Pratap Singh</t>
  </si>
  <si>
    <t>Manganese Green Sand</t>
  </si>
  <si>
    <t>Manager</t>
  </si>
  <si>
    <t>Ahmedabad - 382475</t>
  </si>
  <si>
    <t>Mangesh Tanhaji Dokhe</t>
  </si>
  <si>
    <t>Sangamner - 413714</t>
  </si>
  <si>
    <t>589M</t>
  </si>
  <si>
    <t>Sainath Hingmire</t>
  </si>
  <si>
    <t>Bhanu Prasad</t>
  </si>
  <si>
    <t>Neha Panjiyar</t>
  </si>
  <si>
    <t>04.03.2020</t>
  </si>
  <si>
    <t>1500Pcs</t>
  </si>
  <si>
    <t>592M</t>
  </si>
  <si>
    <t>Rashmi</t>
  </si>
  <si>
    <t>Rajkumar Mandol</t>
  </si>
  <si>
    <t>Mahendra Patel</t>
  </si>
  <si>
    <t>Dungarpur - 314001</t>
  </si>
  <si>
    <t>581M</t>
  </si>
  <si>
    <t>Jaykishan Vyas</t>
  </si>
  <si>
    <t>Vapi - 396155</t>
  </si>
  <si>
    <t>Ranchi, Jharkhand,</t>
  </si>
  <si>
    <t>Rupesh Pathak</t>
  </si>
  <si>
    <t>Silver Sand</t>
  </si>
  <si>
    <t>Jignesh Shah</t>
  </si>
  <si>
    <t>L Malic Acid</t>
  </si>
  <si>
    <t>Rajendra Prasad Sharma</t>
  </si>
  <si>
    <t>67/-KG(S)</t>
  </si>
  <si>
    <t>580M</t>
  </si>
  <si>
    <t>Samir Das</t>
  </si>
  <si>
    <t>Manisha Kakodkar</t>
  </si>
  <si>
    <t>Mumbai - 400078</t>
  </si>
  <si>
    <t>579M</t>
  </si>
  <si>
    <t>Rk</t>
  </si>
  <si>
    <t>Bentonite Powder.</t>
  </si>
  <si>
    <t>Sandip Pal</t>
  </si>
  <si>
    <t>Bidhan Nagar</t>
  </si>
  <si>
    <t>Kharar, Punjab</t>
  </si>
  <si>
    <t>Sunil Rai</t>
  </si>
  <si>
    <t>Paromita Chaki</t>
  </si>
  <si>
    <t>Goat Milk Soap Base</t>
  </si>
  <si>
    <t>Kalyan</t>
  </si>
  <si>
    <t>Badlapur - 421503</t>
  </si>
  <si>
    <t>Fatema Khatoon</t>
  </si>
  <si>
    <t>Vikas</t>
  </si>
  <si>
    <t>Aqua Oxygen Tablet</t>
  </si>
  <si>
    <t>Pawan Kumar</t>
  </si>
  <si>
    <t>584M</t>
  </si>
  <si>
    <t>Roshni</t>
  </si>
  <si>
    <t>Sillimanite Sand and Powder</t>
  </si>
  <si>
    <t>Md Atiqur Rahman</t>
  </si>
  <si>
    <t>585K</t>
  </si>
  <si>
    <t>Dhruvi Shah</t>
  </si>
  <si>
    <t>03.03.2020</t>
  </si>
  <si>
    <t>Nayana Debnath</t>
  </si>
  <si>
    <t>Zinc Sulphate Powder</t>
  </si>
  <si>
    <t>580K</t>
  </si>
  <si>
    <t>172/-KG(S)</t>
  </si>
  <si>
    <t>577K</t>
  </si>
  <si>
    <t>Vijay Tavhare</t>
  </si>
  <si>
    <t>Mumbai - 400087</t>
  </si>
  <si>
    <t>578M</t>
  </si>
  <si>
    <t>Ardhendu Pati</t>
  </si>
  <si>
    <t>581K</t>
  </si>
  <si>
    <t>Amol Khandekar</t>
  </si>
  <si>
    <t>Ferro Manganese Slag</t>
  </si>
  <si>
    <t>Olivia Dias</t>
  </si>
  <si>
    <t>Mahendra</t>
  </si>
  <si>
    <t>Zirconium Silicate.</t>
  </si>
  <si>
    <t>269/-KG(S)</t>
  </si>
  <si>
    <t>583M</t>
  </si>
  <si>
    <t>Sarbajit Biswas</t>
  </si>
  <si>
    <t>Sayan</t>
  </si>
  <si>
    <t>Gravel Stone</t>
  </si>
  <si>
    <t>582K</t>
  </si>
  <si>
    <t>S Paul</t>
  </si>
  <si>
    <t>Ajay Sharma</t>
  </si>
  <si>
    <t>Bhopal, Madhya Pradesh</t>
  </si>
  <si>
    <t>577M</t>
  </si>
  <si>
    <t>Jatin Vamja</t>
  </si>
  <si>
    <t>Hydroponics Clay Balls</t>
  </si>
  <si>
    <t>Amreli - 365601</t>
  </si>
  <si>
    <t>579K</t>
  </si>
  <si>
    <t>Dnyaneshwar</t>
  </si>
  <si>
    <t>Raw Charcoal</t>
  </si>
  <si>
    <t>Darshan</t>
  </si>
  <si>
    <t>Swimming Pool</t>
  </si>
  <si>
    <t>Junagadh</t>
  </si>
  <si>
    <t>644/-KG(S)</t>
  </si>
  <si>
    <t>582M</t>
  </si>
  <si>
    <t>573K</t>
  </si>
  <si>
    <t>College Project</t>
  </si>
  <si>
    <t>Ayush Jaiswal</t>
  </si>
  <si>
    <t>Natural Beeswax</t>
  </si>
  <si>
    <t>Asif Khan</t>
  </si>
  <si>
    <t>Tehseen</t>
  </si>
  <si>
    <t>Cattle  Feed</t>
  </si>
  <si>
    <t>Ayan Maitra</t>
  </si>
  <si>
    <t>Bhutan</t>
  </si>
  <si>
    <t>576M</t>
  </si>
  <si>
    <t>02.03.2020</t>
  </si>
  <si>
    <t>Prithviraj Mandare</t>
  </si>
  <si>
    <t>Jelly making Purpose</t>
  </si>
  <si>
    <t>Pankaj Nagarkoti</t>
  </si>
  <si>
    <t>Farm Grade Formalin</t>
  </si>
  <si>
    <t>Avhrodeep Sadhukhan</t>
  </si>
  <si>
    <t>Nebadhai Duttapukur</t>
  </si>
  <si>
    <t>Nawin Sharma</t>
  </si>
  <si>
    <t>Agra - 282010</t>
  </si>
  <si>
    <t>563M</t>
  </si>
  <si>
    <t>Shive Prasad</t>
  </si>
  <si>
    <t>Puri</t>
  </si>
  <si>
    <t>Das</t>
  </si>
  <si>
    <t>565K</t>
  </si>
  <si>
    <t xml:space="preserve">Mumbai   </t>
  </si>
  <si>
    <t>Maidal Khan</t>
  </si>
  <si>
    <t>Afzal Mohmed Hanif</t>
  </si>
  <si>
    <t>575M</t>
  </si>
  <si>
    <t>Reshma Maurya</t>
  </si>
  <si>
    <t>Carbon Glass Powder</t>
  </si>
  <si>
    <t>Ashutosh Jha</t>
  </si>
  <si>
    <t>Indore, Madhya Pradesh</t>
  </si>
  <si>
    <t>570M</t>
  </si>
  <si>
    <t>Mamun Shake</t>
  </si>
  <si>
    <t>3.75/-kg(s),4.50/-kg(s)</t>
  </si>
  <si>
    <t>574M</t>
  </si>
  <si>
    <t>Pratap Chaudhary</t>
  </si>
  <si>
    <t>Kushinagar, Uttar Pradesh</t>
  </si>
  <si>
    <t>738/-KG(S)</t>
  </si>
  <si>
    <t>569M</t>
  </si>
  <si>
    <t>Reselling purose</t>
  </si>
  <si>
    <t>568M</t>
  </si>
  <si>
    <t>Soyanka</t>
  </si>
  <si>
    <t>Mr</t>
  </si>
  <si>
    <t>567K</t>
  </si>
  <si>
    <t>Arvind Kumar Yadav</t>
  </si>
  <si>
    <t>Jhansi, Uttar Pradesh</t>
  </si>
  <si>
    <t>Research Purpose</t>
  </si>
  <si>
    <t>AS</t>
  </si>
  <si>
    <t>Thane - 421302</t>
  </si>
  <si>
    <t>573M</t>
  </si>
  <si>
    <t>Tumpa Ghosh</t>
  </si>
  <si>
    <t>Abhijeet</t>
  </si>
  <si>
    <t>Dehradun, Uttarakhand</t>
  </si>
  <si>
    <t>Pappu Saha</t>
  </si>
  <si>
    <t>Ferrous Sulphate Powder</t>
  </si>
  <si>
    <t>566K</t>
  </si>
  <si>
    <t>Vishal Joshi</t>
  </si>
  <si>
    <t>Rajkot - 360005</t>
  </si>
  <si>
    <t>46.25/-KG(S)</t>
  </si>
  <si>
    <t>567M</t>
  </si>
  <si>
    <t>Ravi Gupta</t>
  </si>
  <si>
    <t>Carboxymethyl Cellulose.</t>
  </si>
  <si>
    <t>Lucknow - 226001</t>
  </si>
  <si>
    <t>578K</t>
  </si>
  <si>
    <t>Manoj Mohta</t>
  </si>
  <si>
    <t>Ahmedabad - 382445</t>
  </si>
  <si>
    <t>562M</t>
  </si>
  <si>
    <t>Yatin Anam</t>
  </si>
  <si>
    <t>Chocolate Wax</t>
  </si>
  <si>
    <t>Mumbai - 400083</t>
  </si>
  <si>
    <t>128/-kg(s)</t>
  </si>
  <si>
    <t>566M</t>
  </si>
  <si>
    <t>Shruti Shrinivas Marathe</t>
  </si>
  <si>
    <t>Mohanlal Prihar</t>
  </si>
  <si>
    <t>Barmer, Rajasthan</t>
  </si>
  <si>
    <t>565M</t>
  </si>
  <si>
    <t>29.02.2020</t>
  </si>
  <si>
    <t>Bratati Barua</t>
  </si>
  <si>
    <t>Sanjay Gorule</t>
  </si>
  <si>
    <t>Yusuf</t>
  </si>
  <si>
    <t>Virar - 401303</t>
  </si>
  <si>
    <t>Harish N. Dorge</t>
  </si>
  <si>
    <t>Lithium Hydroxide Monohydrate</t>
  </si>
  <si>
    <t>Pune - 411028</t>
  </si>
  <si>
    <t>VIKRAM</t>
  </si>
  <si>
    <t>Mesh Glass Powder</t>
  </si>
  <si>
    <t>Udaipur, Chhattisgarh,</t>
  </si>
  <si>
    <t>A. K. Roy</t>
  </si>
  <si>
    <t>561K</t>
  </si>
  <si>
    <t>Siliguri - 734001</t>
  </si>
  <si>
    <t>47.50/-KG(S)</t>
  </si>
  <si>
    <t>560K</t>
  </si>
  <si>
    <t>Kumar Gautam</t>
  </si>
  <si>
    <t>Madhupur - 815353,</t>
  </si>
  <si>
    <t>559K</t>
  </si>
  <si>
    <t>Viswanathan Rajagopalan</t>
  </si>
  <si>
    <t>Virudhachalam - 606001</t>
  </si>
  <si>
    <t>Testing Purpose</t>
  </si>
  <si>
    <t>Shivi</t>
  </si>
  <si>
    <t>Amit Sangwan</t>
  </si>
  <si>
    <t>Chikhli - 411062</t>
  </si>
  <si>
    <t>Prem Kumar P Nadar</t>
  </si>
  <si>
    <t>Cream of Tartar</t>
  </si>
  <si>
    <t>Hubli, Karnataka</t>
  </si>
  <si>
    <t>Bonkim Khan</t>
  </si>
  <si>
    <t>Vasudevan</t>
  </si>
  <si>
    <t>Dalbir Singh</t>
  </si>
  <si>
    <t>Domestic Use</t>
  </si>
  <si>
    <t>SAITEJA</t>
  </si>
  <si>
    <t>KV N Malleswara Rao</t>
  </si>
  <si>
    <t>Hyderabad - 500062</t>
  </si>
  <si>
    <t>Anhydrous Dextrose</t>
  </si>
  <si>
    <t>28.02.2020</t>
  </si>
  <si>
    <t>Madhur Agarwal</t>
  </si>
  <si>
    <t>Kolkata - 700027</t>
  </si>
  <si>
    <t>TM Kailash</t>
  </si>
  <si>
    <t>Santosh Pawar</t>
  </si>
  <si>
    <t>Thirumalai Malic Acid</t>
  </si>
  <si>
    <t>Zinc Sulfide Powder</t>
  </si>
  <si>
    <t>Harsh Bhuta</t>
  </si>
  <si>
    <t>554M</t>
  </si>
  <si>
    <t>Chandan Ghosh</t>
  </si>
  <si>
    <t>Shankar Goud</t>
  </si>
  <si>
    <t>Saccharin Sugar</t>
  </si>
  <si>
    <t>Kamareddi, Telangana</t>
  </si>
  <si>
    <t>Vinit Shah</t>
  </si>
  <si>
    <t>559M</t>
  </si>
  <si>
    <t>Sunita Bhardwaj</t>
  </si>
  <si>
    <t>551K</t>
  </si>
  <si>
    <t>556M</t>
  </si>
  <si>
    <t>Sumanta Banerjee</t>
  </si>
  <si>
    <t>Refractory Sand</t>
  </si>
  <si>
    <t>Hooghly, , Janai - 712304</t>
  </si>
  <si>
    <t>557K</t>
  </si>
  <si>
    <t>SK Salim</t>
  </si>
  <si>
    <t>556K</t>
  </si>
  <si>
    <t>ROSHAN SHAIKH</t>
  </si>
  <si>
    <t>555M</t>
  </si>
  <si>
    <t>Mohan Sai Goud</t>
  </si>
  <si>
    <t>Recycled Glass Powder</t>
  </si>
  <si>
    <t>Secunderabad</t>
  </si>
  <si>
    <t>Vivek Mahale</t>
  </si>
  <si>
    <t>Kopargaon - 423601</t>
  </si>
  <si>
    <t>16/-kg(s),21/-kg(s)</t>
  </si>
  <si>
    <t>572M</t>
  </si>
  <si>
    <t>Dalhousie, , Kolkata</t>
  </si>
  <si>
    <t>555K</t>
  </si>
  <si>
    <t>TC Maity</t>
  </si>
  <si>
    <t>Titanium Metal Powder</t>
  </si>
  <si>
    <t>Jalandhar, Punjab</t>
  </si>
  <si>
    <t>Sarfaraz Mohammad Chowdhury</t>
  </si>
  <si>
    <t>554K</t>
  </si>
  <si>
    <t>Biswajit Jana</t>
  </si>
  <si>
    <t>Prajeesh Mp</t>
  </si>
  <si>
    <t>Kousik</t>
  </si>
  <si>
    <t>550K</t>
  </si>
  <si>
    <t>Akhilesh Sahu</t>
  </si>
  <si>
    <t>Pyrophilite Powder</t>
  </si>
  <si>
    <t>Dhonga, Tikamgarh - 472001</t>
  </si>
  <si>
    <t>27.02.2020</t>
  </si>
  <si>
    <t>Biltu Adhikary</t>
  </si>
  <si>
    <t xml:space="preserve">Gautam   </t>
  </si>
  <si>
    <t>546K</t>
  </si>
  <si>
    <t>Silicon Carbide Grit</t>
  </si>
  <si>
    <t>Purushottam Akkal</t>
  </si>
  <si>
    <t>Solapur, Maharashtra</t>
  </si>
  <si>
    <t>Manoj Biswas</t>
  </si>
  <si>
    <t>Sneha Das Chatterjee</t>
  </si>
  <si>
    <t>Natural Liquid Soap Base</t>
  </si>
  <si>
    <t>Kolkata - 700078,</t>
  </si>
  <si>
    <t>Rajendran E</t>
  </si>
  <si>
    <t>Dharapuram, Tamil Nadu</t>
  </si>
  <si>
    <t>Ishit</t>
  </si>
  <si>
    <t>Agar Powder.</t>
  </si>
  <si>
    <t>Multanni Mitti</t>
  </si>
  <si>
    <t>Bharuch - 221502</t>
  </si>
  <si>
    <t>Petrochemical Purpose</t>
  </si>
  <si>
    <t>S. Mistra</t>
  </si>
  <si>
    <t>30Nos</t>
  </si>
  <si>
    <t xml:space="preserve">Kolkata  </t>
  </si>
  <si>
    <t>Shubham</t>
  </si>
  <si>
    <t>527/-KG(S)</t>
  </si>
  <si>
    <t>553M</t>
  </si>
  <si>
    <t>White Pebbles</t>
  </si>
  <si>
    <t>Gaya, Bihar,</t>
  </si>
  <si>
    <t>Ammonium Bicarbonate(abc)</t>
  </si>
  <si>
    <t>Kolkata, West Bengal</t>
  </si>
  <si>
    <t>543K</t>
  </si>
  <si>
    <t>Santosh Hegde</t>
  </si>
  <si>
    <t>Choudry</t>
  </si>
  <si>
    <t>Fixing Df Formaldehyde</t>
  </si>
  <si>
    <t>Mohammad Ali</t>
  </si>
  <si>
    <t>Kudal, Maharashtra</t>
  </si>
  <si>
    <t>DEBJIT MUKHERJEE</t>
  </si>
  <si>
    <t>Renukappa</t>
  </si>
  <si>
    <t>Bricks and Construction Aggregates</t>
  </si>
  <si>
    <t>Md Hasnul</t>
  </si>
  <si>
    <t>Muratic Acid</t>
  </si>
  <si>
    <t>Kailash Dagha</t>
  </si>
  <si>
    <t>1000KG(S)</t>
  </si>
  <si>
    <t>552M</t>
  </si>
  <si>
    <t>Amit Halder</t>
  </si>
  <si>
    <t>SLES,AOS Powder, Acid Slurry,Dolomite Powder,Sodium Phosphate</t>
  </si>
  <si>
    <t xml:space="preserve">50kgs,300kgs,50kgs,300kgs,300kgs
</t>
  </si>
  <si>
    <t>Dish Wash Bar Purpose</t>
  </si>
  <si>
    <t>86/-kgs,127/-kgs,110/-kgs,8.50/-kgs</t>
  </si>
  <si>
    <t>544K</t>
  </si>
  <si>
    <t>Sweta S</t>
  </si>
  <si>
    <t>Bappa Banik</t>
  </si>
  <si>
    <t>KRISHNA UPADHYAY</t>
  </si>
  <si>
    <t>Vaibhav Hase</t>
  </si>
  <si>
    <t>Mumbai - 421306</t>
  </si>
  <si>
    <t>551M</t>
  </si>
  <si>
    <t>26.02.2020</t>
  </si>
  <si>
    <t>Brijesh Gupta</t>
  </si>
  <si>
    <t>Ram Prasad</t>
  </si>
  <si>
    <t>M L Golakiya</t>
  </si>
  <si>
    <t>550M</t>
  </si>
  <si>
    <t>549M</t>
  </si>
  <si>
    <t>Sudipta Kanrar</t>
  </si>
  <si>
    <t>Vijay Reddy</t>
  </si>
  <si>
    <t>Raw Natural Neutral Ethanol</t>
  </si>
  <si>
    <t>Pune - 411041,</t>
  </si>
  <si>
    <t>548M</t>
  </si>
  <si>
    <t>Nayan Gohil</t>
  </si>
  <si>
    <t>Vapi - 396195, Gujarat</t>
  </si>
  <si>
    <t>547M</t>
  </si>
  <si>
    <t>Krupali Vyas</t>
  </si>
  <si>
    <t>Patan - 384151</t>
  </si>
  <si>
    <t>Ashis Kumar Gain</t>
  </si>
  <si>
    <t>Cow feed</t>
  </si>
  <si>
    <t>Sumit Bhai</t>
  </si>
  <si>
    <t>Morbi,Gujarat</t>
  </si>
  <si>
    <t>Cearmics Industry</t>
  </si>
  <si>
    <t>126/-KG(S)</t>
  </si>
  <si>
    <t>546M</t>
  </si>
  <si>
    <t>Sumit Raha</t>
  </si>
  <si>
    <t>536K</t>
  </si>
  <si>
    <t>NAND KISHOR SAHU</t>
  </si>
  <si>
    <t>540K</t>
  </si>
  <si>
    <t>Bhomik</t>
  </si>
  <si>
    <t>Dhulagarh</t>
  </si>
  <si>
    <t>Consumer</t>
  </si>
  <si>
    <t>539K</t>
  </si>
  <si>
    <t>Sayyed Faizan</t>
  </si>
  <si>
    <t>Met Coke.</t>
  </si>
  <si>
    <t>Polyvinyl Alcohol Liquid</t>
  </si>
  <si>
    <t xml:space="preserve">Pravin </t>
  </si>
  <si>
    <t>Prohladsarkar</t>
  </si>
  <si>
    <t>Bijay Shaw</t>
  </si>
  <si>
    <t>Hemant Bharambe</t>
  </si>
  <si>
    <t>Rajendra Shendkar</t>
  </si>
  <si>
    <t>Mumbai - 400021</t>
  </si>
  <si>
    <t>545M</t>
  </si>
  <si>
    <t>Dharamjeet Kumar</t>
  </si>
  <si>
    <t>552K</t>
  </si>
  <si>
    <t>Kazi Abul Munzer</t>
  </si>
  <si>
    <t>Hooghly - 712701</t>
  </si>
  <si>
    <t>Rudra</t>
  </si>
  <si>
    <t>Tri Ethanol Amine</t>
  </si>
  <si>
    <t>Suchit Kapoor</t>
  </si>
  <si>
    <t>wood charcoal</t>
  </si>
  <si>
    <t>Nariman Point, , Mumbai</t>
  </si>
  <si>
    <t>543M</t>
  </si>
  <si>
    <t>25.02.2020</t>
  </si>
  <si>
    <t>Hira</t>
  </si>
  <si>
    <t>Pune - 412308, Maharashtra</t>
  </si>
  <si>
    <t>544M</t>
  </si>
  <si>
    <t>Anita Gaikwad</t>
  </si>
  <si>
    <t>Home Puepose</t>
  </si>
  <si>
    <t>Pushpendu</t>
  </si>
  <si>
    <t>Vansi</t>
  </si>
  <si>
    <t>Hyderabad - 533464</t>
  </si>
  <si>
    <t>558M</t>
  </si>
  <si>
    <t>Chakrapani Joshi</t>
  </si>
  <si>
    <t>Mumbai - 452001</t>
  </si>
  <si>
    <t>539M</t>
  </si>
  <si>
    <t>Ronak</t>
  </si>
  <si>
    <t>127.50/-KG(S)</t>
  </si>
  <si>
    <t>538M</t>
  </si>
  <si>
    <t>Jaydeep Chad</t>
  </si>
  <si>
    <t>510/-KG(S)</t>
  </si>
  <si>
    <t>525K</t>
  </si>
  <si>
    <t>Barun Chattopadhyay</t>
  </si>
  <si>
    <t>Uttarpara Kotrung - 712258</t>
  </si>
  <si>
    <t>Akash Madaan</t>
  </si>
  <si>
    <t>Amitesh Sahoo</t>
  </si>
  <si>
    <t>182/-kgs,117/-kgs</t>
  </si>
  <si>
    <t>542K</t>
  </si>
  <si>
    <t>Pulak</t>
  </si>
  <si>
    <t>529K</t>
  </si>
  <si>
    <t>Reelu</t>
  </si>
  <si>
    <t>Kottayam, Kerala</t>
  </si>
  <si>
    <t>Soham Sawant</t>
  </si>
  <si>
    <t>Kaushik Das</t>
  </si>
  <si>
    <t>Karimganj - 788710</t>
  </si>
  <si>
    <t>Amrez Khan</t>
  </si>
  <si>
    <t>Melt and Pour Soap Base</t>
  </si>
  <si>
    <t>Saira Siddique</t>
  </si>
  <si>
    <t>Sneha Ganguly</t>
  </si>
  <si>
    <t>Vivek Kumar</t>
  </si>
  <si>
    <t>Anas Jawed</t>
  </si>
  <si>
    <t>Flakes Sodium Sulphide</t>
  </si>
  <si>
    <t>Trupthi</t>
  </si>
  <si>
    <t>Bengaluru - 560015</t>
  </si>
  <si>
    <t>40.50/-KG(S)</t>
  </si>
  <si>
    <t>536M</t>
  </si>
  <si>
    <t>Dilip Mandal</t>
  </si>
  <si>
    <t>Mushroom Farming</t>
  </si>
  <si>
    <t>Subrata Adhikari</t>
  </si>
  <si>
    <t>Sodium Silicate,Aluminium Powder</t>
  </si>
  <si>
    <t>Each 5TON(S)</t>
  </si>
  <si>
    <t>56/-kg(s),19/-kg(s)</t>
  </si>
  <si>
    <t>532K</t>
  </si>
  <si>
    <t>Glycerol Monostearate</t>
  </si>
  <si>
    <t>KAUSIK PAIN</t>
  </si>
  <si>
    <t>Harsh Lakhotia</t>
  </si>
  <si>
    <t>2/-kg(s),1.50kg(s)</t>
  </si>
  <si>
    <t>535M</t>
  </si>
  <si>
    <t>Saravana</t>
  </si>
  <si>
    <t>Dipan</t>
  </si>
  <si>
    <t>528K</t>
  </si>
  <si>
    <t>24.02.2020</t>
  </si>
  <si>
    <t>Dattaraj</t>
  </si>
  <si>
    <t>KRISHNA</t>
  </si>
  <si>
    <t>MD Azad</t>
  </si>
  <si>
    <t>Dhanbad - 828114</t>
  </si>
  <si>
    <t>Businees Purpose</t>
  </si>
  <si>
    <t>Wahid Khan</t>
  </si>
  <si>
    <t>527K</t>
  </si>
  <si>
    <t>Nirav Parekh</t>
  </si>
  <si>
    <t>Mumbai - 400062</t>
  </si>
  <si>
    <t>Shahzad Khan</t>
  </si>
  <si>
    <t>Ghaziabad - 201003</t>
  </si>
  <si>
    <t>Amjad Meherbaksh</t>
  </si>
  <si>
    <t>Mumbai - 400016</t>
  </si>
  <si>
    <t>537M</t>
  </si>
  <si>
    <t>Ibrahim</t>
  </si>
  <si>
    <t>White Salt Powder</t>
  </si>
  <si>
    <t>Kolkata - 703330</t>
  </si>
  <si>
    <t>Jweel Maitra</t>
  </si>
  <si>
    <t>Super Fine Salt</t>
  </si>
  <si>
    <t>Mohammad Ziaudeen</t>
  </si>
  <si>
    <t>10,000Pcs</t>
  </si>
  <si>
    <t>Ooty</t>
  </si>
  <si>
    <t>557M</t>
  </si>
  <si>
    <t>Anoop C Gupta</t>
  </si>
  <si>
    <t>Mumbai - 400604</t>
  </si>
  <si>
    <t>Faryed Khan</t>
  </si>
  <si>
    <t>Slax 30</t>
  </si>
  <si>
    <t>Katni - 488001</t>
  </si>
  <si>
    <t>529M</t>
  </si>
  <si>
    <t>Kolkata - 721401</t>
  </si>
  <si>
    <t>526K</t>
  </si>
  <si>
    <t>Aniket Gharat</t>
  </si>
  <si>
    <t>530M</t>
  </si>
  <si>
    <t>Mohiruddin Mondal</t>
  </si>
  <si>
    <t>Shashank</t>
  </si>
  <si>
    <t>Anju Romy</t>
  </si>
  <si>
    <t>Nandu</t>
  </si>
  <si>
    <t>Debashish</t>
  </si>
  <si>
    <t>Bappaditya Naskar</t>
  </si>
  <si>
    <t>White Lime Wash Powder</t>
  </si>
  <si>
    <t>Hari Pathi</t>
  </si>
  <si>
    <t>Hyderabad, Telangana</t>
  </si>
  <si>
    <t>Vishal Pofale</t>
  </si>
  <si>
    <t>Experiment Purpose</t>
  </si>
  <si>
    <t>Om Nath</t>
  </si>
  <si>
    <t>Varanasi - 221305</t>
  </si>
  <si>
    <t>532M</t>
  </si>
  <si>
    <t>Dipak Roy</t>
  </si>
  <si>
    <t>531K</t>
  </si>
  <si>
    <t>Bapu Padolkar</t>
  </si>
  <si>
    <t>Ahmednagar - 414006</t>
  </si>
  <si>
    <t>531M</t>
  </si>
  <si>
    <t>Arijit Chatterje</t>
  </si>
  <si>
    <t>Earthing Chemicals</t>
  </si>
  <si>
    <t>Mohammed Zakriya</t>
  </si>
  <si>
    <t>PAN Chuna Powder</t>
  </si>
  <si>
    <t>Anup Kumar Majee</t>
  </si>
  <si>
    <t>Adra</t>
  </si>
  <si>
    <t>Cattle  Feed Purpose</t>
  </si>
  <si>
    <t>Amit Adhikary</t>
  </si>
  <si>
    <t>Food Purpose</t>
  </si>
  <si>
    <t>22.02.2020</t>
  </si>
  <si>
    <t>Mr. Dias</t>
  </si>
  <si>
    <t>Rabiul Islam Molla</t>
  </si>
  <si>
    <t>Kolkata-743399</t>
  </si>
  <si>
    <t>523K</t>
  </si>
  <si>
    <t>Prasad</t>
  </si>
  <si>
    <t>74.50/-KG(S)</t>
  </si>
  <si>
    <t>523M</t>
  </si>
  <si>
    <t>TahirHussain</t>
  </si>
  <si>
    <t>522K</t>
  </si>
  <si>
    <t>Mounesh Badiger</t>
  </si>
  <si>
    <t>Haveri, Karnataka</t>
  </si>
  <si>
    <t>75.50/-KG(S)</t>
  </si>
  <si>
    <t>525M</t>
  </si>
  <si>
    <t>Mezan</t>
  </si>
  <si>
    <t>Mumbai - 400602</t>
  </si>
  <si>
    <t>522M</t>
  </si>
  <si>
    <t>Asif</t>
  </si>
  <si>
    <t>Cattle and Poultry Feed</t>
  </si>
  <si>
    <t>Siddharth Bhise</t>
  </si>
  <si>
    <t>Mumbai - 413211</t>
  </si>
  <si>
    <t>524M</t>
  </si>
  <si>
    <t>Vishnu Agarwal</t>
  </si>
  <si>
    <t>530K</t>
  </si>
  <si>
    <t>Umar Farukh Nadah</t>
  </si>
  <si>
    <t>Kolkhapur</t>
  </si>
  <si>
    <t>Afzal</t>
  </si>
  <si>
    <t>526M</t>
  </si>
  <si>
    <t>Ravi Seshadri</t>
  </si>
  <si>
    <t>Formalin Solution</t>
  </si>
  <si>
    <t>S CHAKRABORTY</t>
  </si>
  <si>
    <t>Sodium Tripolyphosphate</t>
  </si>
  <si>
    <t>Ajay Banerjee</t>
  </si>
  <si>
    <t>Disodium EDTA</t>
  </si>
  <si>
    <t>Sagar</t>
  </si>
  <si>
    <t>Ahmednagar - 422103</t>
  </si>
  <si>
    <t>Santu Poddar</t>
  </si>
  <si>
    <t>514K</t>
  </si>
  <si>
    <t>Salina</t>
  </si>
  <si>
    <t>Kunwar Alam</t>
  </si>
  <si>
    <t>Wax Powder</t>
  </si>
  <si>
    <t>Mohammad Emran Ali</t>
  </si>
  <si>
    <t>Azobenzene</t>
  </si>
  <si>
    <t>Ganesh Ghadagge</t>
  </si>
  <si>
    <t>Shaikh Khaddir</t>
  </si>
  <si>
    <t>Majalgaon - 431131</t>
  </si>
  <si>
    <t>55/-kg(s),80/-kg(s)</t>
  </si>
  <si>
    <t>527M</t>
  </si>
  <si>
    <t>Niladri Majumder</t>
  </si>
  <si>
    <t>Ghanian Shea Butter</t>
  </si>
  <si>
    <t>Gariahat Market</t>
  </si>
  <si>
    <t>21.02.2020</t>
  </si>
  <si>
    <t>KK Shah</t>
  </si>
  <si>
    <t>Nasirkhan Khan</t>
  </si>
  <si>
    <t>Akhil Alias</t>
  </si>
  <si>
    <t>Viren Lohana</t>
  </si>
  <si>
    <t>oxygen absorber</t>
  </si>
  <si>
    <t>1.50/-Pcs</t>
  </si>
  <si>
    <t>542M</t>
  </si>
  <si>
    <t>Sonam</t>
  </si>
  <si>
    <t>1000TON(S)</t>
  </si>
  <si>
    <t>Ultadanga</t>
  </si>
  <si>
    <t>Somnath Mondal</t>
  </si>
  <si>
    <t>Shubham Das</t>
  </si>
  <si>
    <t>Bally,Kolkata</t>
  </si>
  <si>
    <t>Sujan Reddy</t>
  </si>
  <si>
    <t>Trimethyl Sulfoxonium Iodide</t>
  </si>
  <si>
    <t>Indranil Panti</t>
  </si>
  <si>
    <t>Bholanath Biswal</t>
  </si>
  <si>
    <t>506K</t>
  </si>
  <si>
    <t>SUKUMARDEBNATH</t>
  </si>
  <si>
    <t>505K</t>
  </si>
  <si>
    <t>G P Sharma</t>
  </si>
  <si>
    <t>515M</t>
  </si>
  <si>
    <t>Neha Yadav</t>
  </si>
  <si>
    <t>Gummall Subrahmanyam</t>
  </si>
  <si>
    <t>Potassium Permanganate, Zeolite Granules</t>
  </si>
  <si>
    <t>500kg(s),2000kg(s)</t>
  </si>
  <si>
    <t>148/-kg(s),182/-kg(s) 16.50/-KG(S)</t>
  </si>
  <si>
    <t>517M</t>
  </si>
  <si>
    <t>Moinuddin Miya</t>
  </si>
  <si>
    <t>Deven</t>
  </si>
  <si>
    <t>Anubhav Tamrakar</t>
  </si>
  <si>
    <t>Panki Qxygen</t>
  </si>
  <si>
    <t>Pradit</t>
  </si>
  <si>
    <t>8.50/-kg(s),7.50/-kg(s)</t>
  </si>
  <si>
    <t>515K</t>
  </si>
  <si>
    <t>Mohinoor Ali</t>
  </si>
  <si>
    <t>Gola 700110</t>
  </si>
  <si>
    <t>507K</t>
  </si>
  <si>
    <t>Nishank</t>
  </si>
  <si>
    <t>20.02.2020</t>
  </si>
  <si>
    <t>Govind Patel</t>
  </si>
  <si>
    <t>Navi Mumbai - 410218</t>
  </si>
  <si>
    <t>516M</t>
  </si>
  <si>
    <t>Mahadev</t>
  </si>
  <si>
    <t>Laxmi Chemika</t>
  </si>
  <si>
    <t>513M</t>
  </si>
  <si>
    <t>Sukhdev Sahu</t>
  </si>
  <si>
    <t>504K</t>
  </si>
  <si>
    <t>Sarfaraj Siddiqui</t>
  </si>
  <si>
    <t>514M</t>
  </si>
  <si>
    <t>Hemanth Bhanushali</t>
  </si>
  <si>
    <t>K Chakraborty</t>
  </si>
  <si>
    <t>503K</t>
  </si>
  <si>
    <t>Sharavani</t>
  </si>
  <si>
    <t>Hyderabad,Telangana</t>
  </si>
  <si>
    <t>Sumit Saha</t>
  </si>
  <si>
    <t>Hydrochloric, Nitric, Sulphuric Acid and Acquaragia</t>
  </si>
  <si>
    <t>Each 1TON</t>
  </si>
  <si>
    <t>Hooghly - 712136,</t>
  </si>
  <si>
    <t>12/-kg(s),31/-kg(s),11.50/-kg(s)</t>
  </si>
  <si>
    <t>498K</t>
  </si>
  <si>
    <t>Sangli,Maharashtra</t>
  </si>
  <si>
    <t>511M</t>
  </si>
  <si>
    <t>Anish Ghosh</t>
  </si>
  <si>
    <t>Kolkata-700049</t>
  </si>
  <si>
    <t>Mosidul Islam</t>
  </si>
  <si>
    <t>Hand Wash Raw Material</t>
  </si>
  <si>
    <t>Anuja Dabholkar</t>
  </si>
  <si>
    <t>Akhila Manthena</t>
  </si>
  <si>
    <t>Teerth</t>
  </si>
  <si>
    <t>Bhupendra Singh Kushwah</t>
  </si>
  <si>
    <t>Gwalior - 474003</t>
  </si>
  <si>
    <t>Mohomad</t>
  </si>
  <si>
    <t>22.25/-kg(s)</t>
  </si>
  <si>
    <t>512M</t>
  </si>
  <si>
    <t>Toilet Cleaner Purpose</t>
  </si>
  <si>
    <t>12/-kg(s)</t>
  </si>
  <si>
    <t>499K</t>
  </si>
  <si>
    <t>Raviteja</t>
  </si>
  <si>
    <t>Samir Mondal</t>
  </si>
  <si>
    <t>Nadia, Kolkata</t>
  </si>
  <si>
    <t>Cosmetic Purpose</t>
  </si>
  <si>
    <t>Zeolite Granular Media</t>
  </si>
  <si>
    <t>519M</t>
  </si>
  <si>
    <t>Nandha</t>
  </si>
  <si>
    <t>Raja Siddharth</t>
  </si>
  <si>
    <t>Waste Glass Powder</t>
  </si>
  <si>
    <t>Thirumangalam</t>
  </si>
  <si>
    <t>19.02.2020</t>
  </si>
  <si>
    <t>Rajesh Kewalramani</t>
  </si>
  <si>
    <t xml:space="preserve">Oxygen Absorber </t>
  </si>
  <si>
    <t>3000Pcs</t>
  </si>
  <si>
    <t>1/-Pcs</t>
  </si>
  <si>
    <t>541M</t>
  </si>
  <si>
    <t>Rajasekhar S</t>
  </si>
  <si>
    <t xml:space="preserve">Mumbai  </t>
  </si>
  <si>
    <t>Sarbeswar Senapati</t>
  </si>
  <si>
    <t>Steel Plant Purpose</t>
  </si>
  <si>
    <t>506M</t>
  </si>
  <si>
    <t>Praveen Kumar Agarwal</t>
  </si>
  <si>
    <t>Machine</t>
  </si>
  <si>
    <t>Jisan Mehedi</t>
  </si>
  <si>
    <t>Moon Kumar Roy</t>
  </si>
  <si>
    <t>Chatung Sopung</t>
  </si>
  <si>
    <t>Bameng - 790102</t>
  </si>
  <si>
    <t>504M</t>
  </si>
  <si>
    <t>Kaleem Mansuri</t>
  </si>
  <si>
    <t>Prabika</t>
  </si>
  <si>
    <t>507M</t>
  </si>
  <si>
    <t>Payel Ghosh</t>
  </si>
  <si>
    <t>Ramzan Ali</t>
  </si>
  <si>
    <t>G Salt Acid</t>
  </si>
  <si>
    <t>UTTAM</t>
  </si>
  <si>
    <t>Dnyaneshwar Bhosale</t>
  </si>
  <si>
    <t>ethyelne absorber</t>
  </si>
  <si>
    <t>10,000 Boxes</t>
  </si>
  <si>
    <t>7.25/-Pcs</t>
  </si>
  <si>
    <t>509M</t>
  </si>
  <si>
    <t>Gautam Chattopadhyay</t>
  </si>
  <si>
    <t>Shyam Sarkar</t>
  </si>
  <si>
    <t>Sodium Perborate Tetrahydrate</t>
  </si>
  <si>
    <t>Sajjad Sherawala</t>
  </si>
  <si>
    <t>508M</t>
  </si>
  <si>
    <t>Shweta Baranwal</t>
  </si>
  <si>
    <t>Somnath Chakraborty</t>
  </si>
  <si>
    <t>Ramananda Ghosh</t>
  </si>
  <si>
    <t>495K</t>
  </si>
  <si>
    <t>Dr. Debashis Dutta</t>
  </si>
  <si>
    <t>Glacial Acetic Acid</t>
  </si>
  <si>
    <t>Hyderabad - 500068</t>
  </si>
  <si>
    <t>505M</t>
  </si>
  <si>
    <t>Jewel Hossen</t>
  </si>
  <si>
    <t>Dhaka</t>
  </si>
  <si>
    <t>Soumyajit Dasgupta</t>
  </si>
  <si>
    <t>Kusal</t>
  </si>
  <si>
    <t>Tamluk - 721632</t>
  </si>
  <si>
    <t>494K</t>
  </si>
  <si>
    <t>Milli GUPTA</t>
  </si>
  <si>
    <t>Liquid Glycerin</t>
  </si>
  <si>
    <t>Hand Wash Gel</t>
  </si>
  <si>
    <t>Md Sahidur</t>
  </si>
  <si>
    <t>Shankar S</t>
  </si>
  <si>
    <t>18.02.2020</t>
  </si>
  <si>
    <t>White Zeolite Powder</t>
  </si>
  <si>
    <t>488K</t>
  </si>
  <si>
    <t>Gurinder</t>
  </si>
  <si>
    <t>8.25/-Pcs</t>
  </si>
  <si>
    <t>501M</t>
  </si>
  <si>
    <t>Mani</t>
  </si>
  <si>
    <t>499M</t>
  </si>
  <si>
    <t>Saroj Kumar Ghosh</t>
  </si>
  <si>
    <t>Kolaghat, Midnapur East</t>
  </si>
  <si>
    <t>Sukanto Som</t>
  </si>
  <si>
    <t>483K</t>
  </si>
  <si>
    <t>RIYA</t>
  </si>
  <si>
    <t>Thimmappa Thimmappa</t>
  </si>
  <si>
    <t>raw perlite</t>
  </si>
  <si>
    <t>Nitish</t>
  </si>
  <si>
    <t>Thane - 401107</t>
  </si>
  <si>
    <t>497M</t>
  </si>
  <si>
    <t>Santosh Tupe</t>
  </si>
  <si>
    <t>Pune - 412202</t>
  </si>
  <si>
    <t>Debasish Sarkar</t>
  </si>
  <si>
    <t>5.75/-KG(S)</t>
  </si>
  <si>
    <t>484K</t>
  </si>
  <si>
    <t>Marikannan</t>
  </si>
  <si>
    <t>26.25/-KG(S)</t>
  </si>
  <si>
    <t>496M</t>
  </si>
  <si>
    <t xml:space="preserve">Molasses   </t>
  </si>
  <si>
    <t>498M</t>
  </si>
  <si>
    <t>Vijay Goyal</t>
  </si>
  <si>
    <t>Julfikar</t>
  </si>
  <si>
    <t>500M</t>
  </si>
  <si>
    <t>485K</t>
  </si>
  <si>
    <t>Devbudha Das</t>
  </si>
  <si>
    <t>Mongra,Bandel</t>
  </si>
  <si>
    <t>Pandesur</t>
  </si>
  <si>
    <t>Molasses,Caco3</t>
  </si>
  <si>
    <t>Each 500KG(S)</t>
  </si>
  <si>
    <t>22/-kg(s),21/-kg(s)</t>
  </si>
  <si>
    <t>489K</t>
  </si>
  <si>
    <t>Shalini Jhanji</t>
  </si>
  <si>
    <t>100Pckts</t>
  </si>
  <si>
    <t>Ludhiana</t>
  </si>
  <si>
    <t>Flower Packing purpose</t>
  </si>
  <si>
    <t>Honey Chauhan</t>
  </si>
  <si>
    <t>Crystals Magnesium Sulphate</t>
  </si>
  <si>
    <t>Ambala - 133001</t>
  </si>
  <si>
    <t>Subhabrata Sarkar</t>
  </si>
  <si>
    <t>Akshaya Behera</t>
  </si>
  <si>
    <t>487K</t>
  </si>
  <si>
    <t>Bharath K C</t>
  </si>
  <si>
    <t>Pravash Kuila</t>
  </si>
  <si>
    <t xml:space="preserve">Guru  </t>
  </si>
  <si>
    <t>SUDHAMOY</t>
  </si>
  <si>
    <t>4.80/-KG(S)</t>
  </si>
  <si>
    <t>486K</t>
  </si>
  <si>
    <t>17.02.2020</t>
  </si>
  <si>
    <t>Kaushik Ghosh</t>
  </si>
  <si>
    <t>Asbestos Mineral</t>
  </si>
  <si>
    <t>Mujeeb</t>
  </si>
  <si>
    <t>77/-KG(S)</t>
  </si>
  <si>
    <t>494M</t>
  </si>
  <si>
    <t>Sreyasi Ghosh</t>
  </si>
  <si>
    <t>AKHIL</t>
  </si>
  <si>
    <t>GlassPowder</t>
  </si>
  <si>
    <t>Ishita Pandit</t>
  </si>
  <si>
    <t>Ahmedabad - 380004</t>
  </si>
  <si>
    <t>490M</t>
  </si>
  <si>
    <t>Dipali</t>
  </si>
  <si>
    <t>Rajesh Nagori</t>
  </si>
  <si>
    <t>478K</t>
  </si>
  <si>
    <t>Abi</t>
  </si>
  <si>
    <t>Tuhin Subhro Bhowmik</t>
  </si>
  <si>
    <t>Arijit Saha</t>
  </si>
  <si>
    <t>Asansol - 713325</t>
  </si>
  <si>
    <t>Kartik Mondal</t>
  </si>
  <si>
    <t>Anand Kumar</t>
  </si>
  <si>
    <t>Chennai - 613005</t>
  </si>
  <si>
    <t>Farm Purpose</t>
  </si>
  <si>
    <t>Dipankar Chakraborty</t>
  </si>
  <si>
    <t>480K</t>
  </si>
  <si>
    <t>Aditya Sunil Dalvi</t>
  </si>
  <si>
    <t>Mittali Shailesh Patel</t>
  </si>
  <si>
    <t>1.50/-KG(S)</t>
  </si>
  <si>
    <t>492M</t>
  </si>
  <si>
    <t>Md Zishan</t>
  </si>
  <si>
    <t>Sodium Sulphite</t>
  </si>
  <si>
    <t>479K</t>
  </si>
  <si>
    <t>Mr. Tausif</t>
  </si>
  <si>
    <t>493M</t>
  </si>
  <si>
    <t>Alston Fernandes</t>
  </si>
  <si>
    <t>491M</t>
  </si>
  <si>
    <t>Dr. Asthak</t>
  </si>
  <si>
    <t>30Pcs</t>
  </si>
  <si>
    <t>Dhanesh</t>
  </si>
  <si>
    <t>Glass powder</t>
  </si>
  <si>
    <t>Anita Jagtap</t>
  </si>
  <si>
    <t>Bhajan Paul</t>
  </si>
  <si>
    <t>Sodium Silicate, Sodium Phosphate</t>
  </si>
  <si>
    <t>Each 2KG(S)</t>
  </si>
  <si>
    <t>Tufangunj</t>
  </si>
  <si>
    <t>Kishan Tibrewala</t>
  </si>
  <si>
    <t>Quick Lime Powder,Quick Lime Lump, Hydrated Lime Powder</t>
  </si>
  <si>
    <t>100ton(s),400ton(s),500ton(s)</t>
  </si>
  <si>
    <t>9/-kg(s),7.50/-kg(s)</t>
  </si>
  <si>
    <t>518M</t>
  </si>
  <si>
    <t>Neha Doshi</t>
  </si>
  <si>
    <t>15.02.2020</t>
  </si>
  <si>
    <t>K. Ghosh</t>
  </si>
  <si>
    <t>Chiru Chiru</t>
  </si>
  <si>
    <t>Tapas</t>
  </si>
  <si>
    <t>Wood Lump Purpose</t>
  </si>
  <si>
    <t>Gajendra</t>
  </si>
  <si>
    <t>Surya</t>
  </si>
  <si>
    <t>Raj Kumar Verma</t>
  </si>
  <si>
    <t>Jyotirmoy Moulick</t>
  </si>
  <si>
    <t>Rohit Dnyandeo Mali</t>
  </si>
  <si>
    <t>Aluminium Ferrous Sulphate Powder</t>
  </si>
  <si>
    <t>487M</t>
  </si>
  <si>
    <t>Sunesh Bajaj</t>
  </si>
  <si>
    <t>Provat</t>
  </si>
  <si>
    <t>Organic Solvant</t>
  </si>
  <si>
    <t>Anowar</t>
  </si>
  <si>
    <t>Borax Crystal</t>
  </si>
  <si>
    <t>471K</t>
  </si>
  <si>
    <t>Mohamad Bhai</t>
  </si>
  <si>
    <t>Bansberia,Kolkata</t>
  </si>
  <si>
    <t>469K</t>
  </si>
  <si>
    <t>Aryan</t>
  </si>
  <si>
    <t>Calcium Propionate</t>
  </si>
  <si>
    <t>Food Making Purpose</t>
  </si>
  <si>
    <t>144/-KG(S)</t>
  </si>
  <si>
    <t>485M</t>
  </si>
  <si>
    <t>DEBESH CHAKRABORTY</t>
  </si>
  <si>
    <t>Manganese Ore Lumps</t>
  </si>
  <si>
    <t>470K</t>
  </si>
  <si>
    <t>Fibre Foils Limited</t>
  </si>
  <si>
    <t>484M</t>
  </si>
  <si>
    <t>Amkan Induction Private Limited</t>
  </si>
  <si>
    <t>Dhakuria</t>
  </si>
  <si>
    <t>472K</t>
  </si>
  <si>
    <t>Pooja</t>
  </si>
  <si>
    <t>Teja Reddy</t>
  </si>
  <si>
    <t>Vidushee Geetam</t>
  </si>
  <si>
    <t>Rajnish Kumar</t>
  </si>
  <si>
    <t>3,00,000Pcs</t>
  </si>
  <si>
    <t>14.02.2020</t>
  </si>
  <si>
    <t>483M</t>
  </si>
  <si>
    <t xml:space="preserve">Vivek </t>
  </si>
  <si>
    <t>Dr Manish Shinde</t>
  </si>
  <si>
    <t>482M</t>
  </si>
  <si>
    <t>Damodar Lal Mohta</t>
  </si>
  <si>
    <t>Raw Magnesite Lump</t>
  </si>
  <si>
    <t>Kunju Mohammed</t>
  </si>
  <si>
    <t>Hydroxyethyl Cellulose</t>
  </si>
  <si>
    <t>Kochi - 688524</t>
  </si>
  <si>
    <t>Detergent purpose</t>
  </si>
  <si>
    <t>486M</t>
  </si>
  <si>
    <t>Gobinda Dutta</t>
  </si>
  <si>
    <t>Potassium Bromate</t>
  </si>
  <si>
    <t>Dr Sinha</t>
  </si>
  <si>
    <t>478M</t>
  </si>
  <si>
    <t>Jayanti Paul Chowdhury</t>
  </si>
  <si>
    <t>Maravi Ravi</t>
  </si>
  <si>
    <t>Animal Feed Purpose</t>
  </si>
  <si>
    <t>479M</t>
  </si>
  <si>
    <t>Barasat - 700125</t>
  </si>
  <si>
    <t>Esther</t>
  </si>
  <si>
    <t>Sourjo</t>
  </si>
  <si>
    <t>Rakhee Mukherjee</t>
  </si>
  <si>
    <t>Ashadulla Naiya</t>
  </si>
  <si>
    <t>Detergent Powder</t>
  </si>
  <si>
    <t>466K</t>
  </si>
  <si>
    <t>Ramcharan Meena</t>
  </si>
  <si>
    <t>White Quartz Powder</t>
  </si>
  <si>
    <t>S Mondal</t>
  </si>
  <si>
    <t>Debmallya Chowdhury</t>
  </si>
  <si>
    <t>Iodine Free Industrial Salt</t>
  </si>
  <si>
    <t>467K</t>
  </si>
  <si>
    <t>Braja Kumar Barman</t>
  </si>
  <si>
    <t>Pickle Industrial</t>
  </si>
  <si>
    <t>475M</t>
  </si>
  <si>
    <t>Ketan Meher</t>
  </si>
  <si>
    <t>Boisar,Maharashtra</t>
  </si>
  <si>
    <t>477M</t>
  </si>
  <si>
    <t>480M</t>
  </si>
  <si>
    <t>Jayesh Jain</t>
  </si>
  <si>
    <t>Yellow Silica Sand</t>
  </si>
  <si>
    <t>474M</t>
  </si>
  <si>
    <t>Vinayak</t>
  </si>
  <si>
    <t>Suryakant Shinde</t>
  </si>
  <si>
    <t>Organic-Molasses</t>
  </si>
  <si>
    <t>13.02.2020</t>
  </si>
  <si>
    <t>Nand Kishore Ladda N</t>
  </si>
  <si>
    <t>Hyderabad - 500012</t>
  </si>
  <si>
    <t>473M</t>
  </si>
  <si>
    <t>ASHISH YADAV</t>
  </si>
  <si>
    <t>Mr .Mishra</t>
  </si>
  <si>
    <t>495M</t>
  </si>
  <si>
    <t xml:space="preserve">Niraj   </t>
  </si>
  <si>
    <t>Nepal</t>
  </si>
  <si>
    <t>462K</t>
  </si>
  <si>
    <t>Gourav Chandgothia</t>
  </si>
  <si>
    <t>Potassium Nitrite,Calcium Nitrate,Ammonium Phosphate</t>
  </si>
  <si>
    <t>Each 100KG(S)</t>
  </si>
  <si>
    <t>Industrial Glass Powder</t>
  </si>
  <si>
    <t>Shekhar Jichkar</t>
  </si>
  <si>
    <t>Concrete Purpose</t>
  </si>
  <si>
    <t>469M</t>
  </si>
  <si>
    <t>Dhuesh</t>
  </si>
  <si>
    <t>Sanjeevani Enterprises</t>
  </si>
  <si>
    <t>Modified Corn Starch</t>
  </si>
  <si>
    <t>Souravkundu</t>
  </si>
  <si>
    <t xml:space="preserve">Kolkata   </t>
  </si>
  <si>
    <t>Vani Santhiya B</t>
  </si>
  <si>
    <t>Juber Shaikh</t>
  </si>
  <si>
    <t>Vapi,Gujrat</t>
  </si>
  <si>
    <t>470M</t>
  </si>
  <si>
    <t>Mujahid Alam Khan</t>
  </si>
  <si>
    <t>126/-kg(s),32/-kg(s)</t>
  </si>
  <si>
    <t>460K,471M</t>
  </si>
  <si>
    <t>Sailesh Mehta</t>
  </si>
  <si>
    <t>KK Sharma</t>
  </si>
  <si>
    <t>Mohammad</t>
  </si>
  <si>
    <t>Shivam Agarwal</t>
  </si>
  <si>
    <t>461K</t>
  </si>
  <si>
    <t>Vj</t>
  </si>
  <si>
    <t>Sakhib</t>
  </si>
  <si>
    <t>472M</t>
  </si>
  <si>
    <t>Nouka Build Solutions Private Limited</t>
  </si>
  <si>
    <t>Garnet</t>
  </si>
  <si>
    <t>Nellore - 524003</t>
  </si>
  <si>
    <t>Nitesh Kumar Pandey</t>
  </si>
  <si>
    <t>Formaldehyde Chemical</t>
  </si>
  <si>
    <t>Hazaribag, Jharkhand</t>
  </si>
  <si>
    <t>12.02.2020</t>
  </si>
  <si>
    <t>MM Saju</t>
  </si>
  <si>
    <t>Kottayam - 686577</t>
  </si>
  <si>
    <t>Rubber Industries</t>
  </si>
  <si>
    <t>468M</t>
  </si>
  <si>
    <t>Ghazipur - 233001</t>
  </si>
  <si>
    <t>124/-KG(S)</t>
  </si>
  <si>
    <t>450K</t>
  </si>
  <si>
    <t>459K</t>
  </si>
  <si>
    <t>PAMISETTY SUNDARESH</t>
  </si>
  <si>
    <t>Tirupati, Andhra Pradesh</t>
  </si>
  <si>
    <t>Ashwani Gupta</t>
  </si>
  <si>
    <t>455K</t>
  </si>
  <si>
    <t>Hitendra Doshi</t>
  </si>
  <si>
    <t>454K</t>
  </si>
  <si>
    <t>Nirmal Tarak</t>
  </si>
  <si>
    <t>Alpha Olefin Sulfonates</t>
  </si>
  <si>
    <t>Hand Wash Purpose</t>
  </si>
  <si>
    <t>Sai Kishore</t>
  </si>
  <si>
    <t>Dinkan</t>
  </si>
  <si>
    <t>Amlendo Pal</t>
  </si>
  <si>
    <t>Black Mangenese Ore</t>
  </si>
  <si>
    <t>451K</t>
  </si>
  <si>
    <t>Uday Redkar</t>
  </si>
  <si>
    <t>Pune - 411044</t>
  </si>
  <si>
    <t>Vicky</t>
  </si>
  <si>
    <t>Calcium Oxide,Hydrated Lime Powder</t>
  </si>
  <si>
    <t>Dhenkanal, Odisha</t>
  </si>
  <si>
    <t>17/-kg(s),11/-kg(s)</t>
  </si>
  <si>
    <t>466M,448K</t>
  </si>
  <si>
    <t>AJAY KUMAR RAI</t>
  </si>
  <si>
    <t>4A Zeolite</t>
  </si>
  <si>
    <t>453K</t>
  </si>
  <si>
    <t>Niraj Chaurasiya</t>
  </si>
  <si>
    <t>467M</t>
  </si>
  <si>
    <t>Suresh Nenavath</t>
  </si>
  <si>
    <t>PTFE Glass Powder</t>
  </si>
  <si>
    <t xml:space="preserve">Hyderabad   </t>
  </si>
  <si>
    <t>Rehman Hussain</t>
  </si>
  <si>
    <t>Kaushik Dutta</t>
  </si>
  <si>
    <t>452K</t>
  </si>
  <si>
    <t>Prem G</t>
  </si>
  <si>
    <t>11.02.2020</t>
  </si>
  <si>
    <t>Mukka Praveen</t>
  </si>
  <si>
    <t>Hyderabad - 500054</t>
  </si>
  <si>
    <t>465M</t>
  </si>
  <si>
    <t>Parama Banerjee</t>
  </si>
  <si>
    <t>Raut Las</t>
  </si>
  <si>
    <t>Maharshtra</t>
  </si>
  <si>
    <t>Shankar Pd Gupta</t>
  </si>
  <si>
    <t>Carboxymethyl Cellulose Powder</t>
  </si>
  <si>
    <t>Sachini</t>
  </si>
  <si>
    <t>Sodium Arsenite</t>
  </si>
  <si>
    <t>Rajiv D Shah</t>
  </si>
  <si>
    <t>193/-KG(S)</t>
  </si>
  <si>
    <t>462M</t>
  </si>
  <si>
    <t>vivek</t>
  </si>
  <si>
    <t>Ramakant</t>
  </si>
  <si>
    <t>Snehasish Roy</t>
  </si>
  <si>
    <t>461M</t>
  </si>
  <si>
    <t>Yash Randive</t>
  </si>
  <si>
    <t>Pranav Bhat</t>
  </si>
  <si>
    <t>ChloroBenzonitrile</t>
  </si>
  <si>
    <t>Mumbai - 400708</t>
  </si>
  <si>
    <t>Durga Malik</t>
  </si>
  <si>
    <t>V J Akshaya Kumaran</t>
  </si>
  <si>
    <t>Rivu</t>
  </si>
  <si>
    <t>Ayush Malhotra</t>
  </si>
  <si>
    <t>Kolkata - 700019</t>
  </si>
  <si>
    <t>Vinayak Precast Private Limited</t>
  </si>
  <si>
    <t>Kolkata - 700089</t>
  </si>
  <si>
    <t>436K</t>
  </si>
  <si>
    <t>Kirti Joshi</t>
  </si>
  <si>
    <t>Sumon Paul</t>
  </si>
  <si>
    <t>64.50/-KG(S)</t>
  </si>
  <si>
    <t>459M</t>
  </si>
  <si>
    <t>Swapna</t>
  </si>
  <si>
    <t>Tanmoy Chakraborty</t>
  </si>
  <si>
    <t>439K</t>
  </si>
  <si>
    <t>Cassius</t>
  </si>
  <si>
    <t>Ammonia Alum Lump</t>
  </si>
  <si>
    <t>435K</t>
  </si>
  <si>
    <t>Shaikh Zaved Abbas</t>
  </si>
  <si>
    <t>Memari</t>
  </si>
  <si>
    <t>434K</t>
  </si>
  <si>
    <t>Faiz Iqbal</t>
  </si>
  <si>
    <t>433K</t>
  </si>
  <si>
    <t>Karthi</t>
  </si>
  <si>
    <t>Tirunelveli</t>
  </si>
  <si>
    <t>458M</t>
  </si>
  <si>
    <t>Mhd Sikandar</t>
  </si>
  <si>
    <t>31.50/-KG(S)</t>
  </si>
  <si>
    <t>432K</t>
  </si>
  <si>
    <t>Surjava Debnath</t>
  </si>
  <si>
    <t>57.50/-KG(S)</t>
  </si>
  <si>
    <t>437K</t>
  </si>
  <si>
    <t>Pijuhidev</t>
  </si>
  <si>
    <t>Tollygunge</t>
  </si>
  <si>
    <t>Debu Biswas</t>
  </si>
  <si>
    <t>Humic Acid, Fulvic Acid</t>
  </si>
  <si>
    <t>Murshidabad-742202</t>
  </si>
  <si>
    <t>38/-kgs,133.50/-kgs</t>
  </si>
  <si>
    <t>430K</t>
  </si>
  <si>
    <t>Calcium Carbide Lumps</t>
  </si>
  <si>
    <t>Kolhapur-416115</t>
  </si>
  <si>
    <t>69.50/-KG(S)</t>
  </si>
  <si>
    <t>457M</t>
  </si>
  <si>
    <t>Mohammad Aamir</t>
  </si>
  <si>
    <t>Kanpur-208010</t>
  </si>
  <si>
    <t>Ghanshyam Kalsariya</t>
  </si>
  <si>
    <t>Black Charcoal</t>
  </si>
  <si>
    <t>456M</t>
  </si>
  <si>
    <t>Bhismdev Yadav</t>
  </si>
  <si>
    <t>438K</t>
  </si>
  <si>
    <t>Mohammad Shahnwaz Alam</t>
  </si>
  <si>
    <t>460M</t>
  </si>
  <si>
    <t>Rihan</t>
  </si>
  <si>
    <t>Devidas</t>
  </si>
  <si>
    <t>Adv. Sakhib Coatwala</t>
  </si>
  <si>
    <t>Sayantan</t>
  </si>
  <si>
    <t>Sanjay Patel</t>
  </si>
  <si>
    <t>Sachin Adawade</t>
  </si>
  <si>
    <t>SHANTI ENTERPRISE PVT LTD</t>
  </si>
  <si>
    <t>Kolkata-700040</t>
  </si>
  <si>
    <t>Arjun C H</t>
  </si>
  <si>
    <t>Stannous chloride</t>
  </si>
  <si>
    <t>SN Deshmukh</t>
  </si>
  <si>
    <t>Oxford Colour Ball Clay</t>
  </si>
  <si>
    <t>Yogini Pathak</t>
  </si>
  <si>
    <t>Karni Singh Baradia</t>
  </si>
  <si>
    <t>Mayank KlUMAR KlUMAR</t>
  </si>
  <si>
    <t xml:space="preserve">Monty </t>
  </si>
  <si>
    <t>Parveen</t>
  </si>
  <si>
    <t>Animal Food</t>
  </si>
  <si>
    <t>453M</t>
  </si>
  <si>
    <t>MD Rabbani</t>
  </si>
  <si>
    <t>Green Sand Powder</t>
  </si>
  <si>
    <t>Harshit</t>
  </si>
  <si>
    <t>454M</t>
  </si>
  <si>
    <t>Rajani</t>
  </si>
  <si>
    <t>Gulbarga, Karnataka</t>
  </si>
  <si>
    <t>Handmade Soap</t>
  </si>
  <si>
    <t>Dheeraj</t>
  </si>
  <si>
    <t>Calcium Chloride,Di Calcium Silicate,Bentonite,Vermiculite</t>
  </si>
  <si>
    <t>Concrete Making Purpose</t>
  </si>
  <si>
    <t>16.75//-kgs,10/-kgs,34/-kgs</t>
  </si>
  <si>
    <t>427K</t>
  </si>
  <si>
    <t>Kuljit</t>
  </si>
  <si>
    <t>Ruhul Amin</t>
  </si>
  <si>
    <t>10.75/-KGS,4.50/-kgs</t>
  </si>
  <si>
    <t>426K</t>
  </si>
  <si>
    <t>DAYANIDHI BARIK</t>
  </si>
  <si>
    <t>Telengana</t>
  </si>
  <si>
    <t>452M</t>
  </si>
  <si>
    <t>Sibaram Burman</t>
  </si>
  <si>
    <t>423K</t>
  </si>
  <si>
    <t>Gopal  Sarkar</t>
  </si>
  <si>
    <t>29.50/-KG(S)</t>
  </si>
  <si>
    <t>422K</t>
  </si>
  <si>
    <t>Debashish Roy</t>
  </si>
  <si>
    <t>Brown Molasses</t>
  </si>
  <si>
    <t>Mumbai-400614</t>
  </si>
  <si>
    <t>449M</t>
  </si>
  <si>
    <t>Sksebga Tulla</t>
  </si>
  <si>
    <t>421K</t>
  </si>
  <si>
    <t>Dhaval Chapla</t>
  </si>
  <si>
    <t>448M</t>
  </si>
  <si>
    <t>Manish Sukla</t>
  </si>
  <si>
    <t>Wooden Coal</t>
  </si>
  <si>
    <t>Vapi,Gujarat</t>
  </si>
  <si>
    <t>Copper Industry</t>
  </si>
  <si>
    <t>447M</t>
  </si>
  <si>
    <t>658/-KG(S)</t>
  </si>
  <si>
    <t>417K</t>
  </si>
  <si>
    <t>Bibekananda Parui</t>
  </si>
  <si>
    <t>Mintu</t>
  </si>
  <si>
    <t>Behala Chowrastha</t>
  </si>
  <si>
    <t>Aluminium Hydroxide,Sulphuric Acid</t>
  </si>
  <si>
    <t>25ton(s),70ton(s)</t>
  </si>
  <si>
    <t>Dankuni, Hooghly</t>
  </si>
  <si>
    <t>418K</t>
  </si>
  <si>
    <t>Prem Singh Pannu</t>
  </si>
  <si>
    <t>Ali</t>
  </si>
  <si>
    <t>Healing Clay.</t>
  </si>
  <si>
    <t>Pradeep Banerjee</t>
  </si>
  <si>
    <t>Magnesium Carbonate Light</t>
  </si>
  <si>
    <t>68.50/-KG(S)</t>
  </si>
  <si>
    <t>464M</t>
  </si>
  <si>
    <t>Lukas</t>
  </si>
  <si>
    <t>441M</t>
  </si>
  <si>
    <t>Malay Ghosh</t>
  </si>
  <si>
    <t>419K</t>
  </si>
  <si>
    <t>Mir Muzaffar Ali</t>
  </si>
  <si>
    <t>Md Abdullah</t>
  </si>
  <si>
    <t>Sand Blasting</t>
  </si>
  <si>
    <t>Jignesh Patel</t>
  </si>
  <si>
    <t>Surat,Gujarat</t>
  </si>
  <si>
    <t>Ashok Kumar Agarwal</t>
  </si>
  <si>
    <t>Navi Mumbai - 400614</t>
  </si>
  <si>
    <t>Ganesh Purkait</t>
  </si>
  <si>
    <t>Sodium Phosphate</t>
  </si>
  <si>
    <t>K. Mahesh</t>
  </si>
  <si>
    <t>Vermiculite Crystal</t>
  </si>
  <si>
    <t>Guru Pada Jana</t>
  </si>
  <si>
    <t>Egra - 721429</t>
  </si>
  <si>
    <t>Karan Raizada</t>
  </si>
  <si>
    <t>Gopi</t>
  </si>
  <si>
    <t>Harbind Nagar</t>
  </si>
  <si>
    <t>Calcium Carbonate,PPCP,PP</t>
  </si>
  <si>
    <t>Jaipur - 323802</t>
  </si>
  <si>
    <t>442M</t>
  </si>
  <si>
    <t>Kumad Sharma</t>
  </si>
  <si>
    <t>Jalandhar-144004</t>
  </si>
  <si>
    <t>684.50/-KG(S)</t>
  </si>
  <si>
    <t>443M</t>
  </si>
  <si>
    <t>Meeta Agricorn Private Limited</t>
  </si>
  <si>
    <t>Maple Orgtech India Ltd</t>
  </si>
  <si>
    <t>Biswajit Sahoo</t>
  </si>
  <si>
    <t>Foundry Purpose</t>
  </si>
  <si>
    <t>416K</t>
  </si>
  <si>
    <t>Pankaj Kumar Gupta</t>
  </si>
  <si>
    <t>Fuel Oil</t>
  </si>
  <si>
    <t>Ram Bhau Borchate</t>
  </si>
  <si>
    <t>Coal</t>
  </si>
  <si>
    <t>Dilip Goswami</t>
  </si>
  <si>
    <t>Ritam</t>
  </si>
  <si>
    <t>Vaibhav Kedia</t>
  </si>
  <si>
    <t>420K</t>
  </si>
  <si>
    <t xml:space="preserve">Anil  </t>
  </si>
  <si>
    <t>Painting purpose</t>
  </si>
  <si>
    <t>Shaikh Hadwaer</t>
  </si>
  <si>
    <t>446M</t>
  </si>
  <si>
    <t>Nimita</t>
  </si>
  <si>
    <t>Crystal  Zinc Sulphide</t>
  </si>
  <si>
    <t>Jammu</t>
  </si>
  <si>
    <t>660/-KG(S)</t>
  </si>
  <si>
    <t>437M</t>
  </si>
  <si>
    <t>Surajit Podder</t>
  </si>
  <si>
    <t>Vicky B Kothmire</t>
  </si>
  <si>
    <t>Urea,Caustic Soda Flakes</t>
  </si>
  <si>
    <t>300kg(s),1TON</t>
  </si>
  <si>
    <t>Nashik - 422006</t>
  </si>
  <si>
    <t>37/-KG(S),31/-KG(S)</t>
  </si>
  <si>
    <t>436M</t>
  </si>
  <si>
    <t>Rini</t>
  </si>
  <si>
    <t>Sodium Hexa Meta Phosphate</t>
  </si>
  <si>
    <t>Milan Hazra</t>
  </si>
  <si>
    <t>Black Charcoal Incense Powder</t>
  </si>
  <si>
    <t>Rajarshi Dhar</t>
  </si>
  <si>
    <t>412K</t>
  </si>
  <si>
    <t>Vamsi Krishna</t>
  </si>
  <si>
    <t>Animal-Fat Based Renewable Bio Diesel</t>
  </si>
  <si>
    <t>Shivani</t>
  </si>
  <si>
    <t>444M</t>
  </si>
  <si>
    <t>Sudeep Nanavati</t>
  </si>
  <si>
    <t>Slimanite Powder</t>
  </si>
  <si>
    <t>Rajkot,Gujarat</t>
  </si>
  <si>
    <t>Raviakar</t>
  </si>
  <si>
    <t>5,00,000</t>
  </si>
  <si>
    <t>433M</t>
  </si>
  <si>
    <t>Sungrace Industries</t>
  </si>
  <si>
    <t>41.25/-KG(S)</t>
  </si>
  <si>
    <t>434M</t>
  </si>
  <si>
    <t>Vikas Yadav</t>
  </si>
  <si>
    <t xml:space="preserve">Corn Starch </t>
  </si>
  <si>
    <t>33.50/-KG(S)</t>
  </si>
  <si>
    <t>435M</t>
  </si>
  <si>
    <t>Dayanand</t>
  </si>
  <si>
    <t>Project</t>
  </si>
  <si>
    <t>Hidayatula Choudhury</t>
  </si>
  <si>
    <t>Arjun Sk</t>
  </si>
  <si>
    <t>Polashi,Nodia</t>
  </si>
  <si>
    <t>410K</t>
  </si>
  <si>
    <t>Asha Rajesh</t>
  </si>
  <si>
    <t>70/-KG(S)</t>
  </si>
  <si>
    <t>432M</t>
  </si>
  <si>
    <t>Mohd Aasif</t>
  </si>
  <si>
    <t>Bijnor, Uttar Pradesh</t>
  </si>
  <si>
    <t>Bishal</t>
  </si>
  <si>
    <t>Narender</t>
  </si>
  <si>
    <t xml:space="preserve"> Ethylene Absorber</t>
  </si>
  <si>
    <t>Rohtak, Haryana</t>
  </si>
  <si>
    <t>17.56/-Pcs</t>
  </si>
  <si>
    <t>430M</t>
  </si>
  <si>
    <t>Sanjibani</t>
  </si>
  <si>
    <t>Thymol Crystals</t>
  </si>
  <si>
    <t>250gm</t>
  </si>
  <si>
    <t>Mithun</t>
  </si>
  <si>
    <t>429M</t>
  </si>
  <si>
    <t>Bharathi</t>
  </si>
  <si>
    <t>428M</t>
  </si>
  <si>
    <t>House Care Online</t>
  </si>
  <si>
    <t>Muriatic Aicd</t>
  </si>
  <si>
    <t>25.75/-LTR(S)</t>
  </si>
  <si>
    <t>408K</t>
  </si>
  <si>
    <t>Moses Chelliah</t>
  </si>
  <si>
    <t>Grill Cooking Purpose</t>
  </si>
  <si>
    <t>Savan</t>
  </si>
  <si>
    <t>Mithra</t>
  </si>
  <si>
    <t>Shashi Kumar</t>
  </si>
  <si>
    <t>Utpal Paramanik</t>
  </si>
  <si>
    <t>Organic Molasses</t>
  </si>
  <si>
    <t>750ml</t>
  </si>
  <si>
    <t>Mandeep</t>
  </si>
  <si>
    <t>Gurdaspur</t>
  </si>
  <si>
    <t>Sci Tech Laboratory Pvt Ltd</t>
  </si>
  <si>
    <t>Methoxy Lanolin</t>
  </si>
  <si>
    <t>495/-KG(S)</t>
  </si>
  <si>
    <t>431M</t>
  </si>
  <si>
    <t>Priya</t>
  </si>
  <si>
    <t>Masum Mulla</t>
  </si>
  <si>
    <t>Bardoli, Gujarat</t>
  </si>
  <si>
    <t>Protech Industries</t>
  </si>
  <si>
    <t>Kolhapur - 416122</t>
  </si>
  <si>
    <t>Foundry Coating</t>
  </si>
  <si>
    <t>Five Feathers Media Solutions Pvt Ltd</t>
  </si>
  <si>
    <t>Mumbai - 400079</t>
  </si>
  <si>
    <t>427M</t>
  </si>
  <si>
    <t>Sujaya Bhattacharya</t>
  </si>
  <si>
    <t>Ultra White Melt Pour Soap Base</t>
  </si>
  <si>
    <t>Kartik Bera</t>
  </si>
  <si>
    <t>404K</t>
  </si>
  <si>
    <t>Mohd Ibrahim Khan</t>
  </si>
  <si>
    <t>Wood Cutter Machine</t>
  </si>
  <si>
    <t>S CHOUDHARY</t>
  </si>
  <si>
    <t>16.50/-KG(S)</t>
  </si>
  <si>
    <t>405K</t>
  </si>
  <si>
    <t>Lokesh R Lokesh</t>
  </si>
  <si>
    <t xml:space="preserve">Bishal </t>
  </si>
  <si>
    <t>Sahabuddin Shaukh</t>
  </si>
  <si>
    <t>Guru Venkat</t>
  </si>
  <si>
    <t>426M</t>
  </si>
  <si>
    <t>Abhinav Sharma</t>
  </si>
  <si>
    <t>Bhadra - 335501</t>
  </si>
  <si>
    <t>425M</t>
  </si>
  <si>
    <t>JAHANGIR SK</t>
  </si>
  <si>
    <t>Nirma Shudh Salt</t>
  </si>
  <si>
    <t>4.25/-KG(S)</t>
  </si>
  <si>
    <t>402K</t>
  </si>
  <si>
    <t>Kolhapur,Maharashtra</t>
  </si>
  <si>
    <t>422M</t>
  </si>
  <si>
    <t>Samadhan Gaykor</t>
  </si>
  <si>
    <t>Nashik, Maharashtra</t>
  </si>
  <si>
    <t>421M</t>
  </si>
  <si>
    <t>Pradeep Kumar</t>
  </si>
  <si>
    <t>Sodium Hypochlorite(Liquid)</t>
  </si>
  <si>
    <t>Ketan Mahale</t>
  </si>
  <si>
    <t>Pintu Hazra</t>
  </si>
  <si>
    <t>Gaurav Amar</t>
  </si>
  <si>
    <t>Fuel Oils</t>
  </si>
  <si>
    <t>Jigar Shah</t>
  </si>
  <si>
    <t>Anil Dhange</t>
  </si>
  <si>
    <t>423M</t>
  </si>
  <si>
    <t>Abid Ashraf Ganaie</t>
  </si>
  <si>
    <t>424M</t>
  </si>
  <si>
    <t>Sandeep Agarwal</t>
  </si>
  <si>
    <t>Milu</t>
  </si>
  <si>
    <t>Detergent Liquid</t>
  </si>
  <si>
    <t>90/-LTR(S)</t>
  </si>
  <si>
    <t>403K</t>
  </si>
  <si>
    <t>Dhanraj Vasyani</t>
  </si>
  <si>
    <t>Boiler Firing</t>
  </si>
  <si>
    <t>420M</t>
  </si>
  <si>
    <t>Tapash</t>
  </si>
  <si>
    <t>Fish Pond</t>
  </si>
  <si>
    <t>400K</t>
  </si>
  <si>
    <t>SALMAN KHAN</t>
  </si>
  <si>
    <t>419M</t>
  </si>
  <si>
    <t>Nabin Maity</t>
  </si>
  <si>
    <t>152/-KG(S)</t>
  </si>
  <si>
    <t>399K</t>
  </si>
  <si>
    <t>Swiming Pool Purpose</t>
  </si>
  <si>
    <t>418M</t>
  </si>
  <si>
    <t>Leena Zilpe</t>
  </si>
  <si>
    <t>720/-KG(S)</t>
  </si>
  <si>
    <t>417M</t>
  </si>
  <si>
    <t>416M</t>
  </si>
  <si>
    <t>Shridhar Suram</t>
  </si>
  <si>
    <t>415M</t>
  </si>
  <si>
    <t>Kif Ethylene Absorber</t>
  </si>
  <si>
    <t>500pouch</t>
  </si>
  <si>
    <t>9.10/-pcs</t>
  </si>
  <si>
    <t>414M</t>
  </si>
  <si>
    <t>Burhan Mallick</t>
  </si>
  <si>
    <t>200/-kg(s)</t>
  </si>
  <si>
    <t>413M</t>
  </si>
  <si>
    <t>Green Earth Agro Science</t>
  </si>
  <si>
    <t>202/-KG(S)</t>
  </si>
  <si>
    <t>409M</t>
  </si>
  <si>
    <t>Arc Metal Limited</t>
  </si>
  <si>
    <t>Siliguri - 735134</t>
  </si>
  <si>
    <t>389K</t>
  </si>
  <si>
    <t>Shrey Shenoy</t>
  </si>
  <si>
    <t>Mumbai-401203</t>
  </si>
  <si>
    <t>Himadri Saha</t>
  </si>
  <si>
    <t>Komal Home Care Industries Pvt Ltd</t>
  </si>
  <si>
    <t>398K</t>
  </si>
  <si>
    <t>P. Prabhakara Rao</t>
  </si>
  <si>
    <t>Hyderabad-500051</t>
  </si>
  <si>
    <t>Home Consumtion</t>
  </si>
  <si>
    <t>Sukanta Mukherji</t>
  </si>
  <si>
    <t>Silicon Carbide Grains</t>
  </si>
  <si>
    <t>Regaal Resources Private Limited</t>
  </si>
  <si>
    <t>Chandan Bera</t>
  </si>
  <si>
    <t>Manoj Patil</t>
  </si>
  <si>
    <t xml:space="preserve">Asbestos  </t>
  </si>
  <si>
    <t>Tushar Kanti</t>
  </si>
  <si>
    <t>Course Grade Expanded Horticulture Perlite</t>
  </si>
  <si>
    <t>Ruchi</t>
  </si>
  <si>
    <t>Candelila Wax</t>
  </si>
  <si>
    <t>Daxesh Jayswal</t>
  </si>
  <si>
    <t>Perlite Filter Aid</t>
  </si>
  <si>
    <t>Gujarat,Vadodara</t>
  </si>
  <si>
    <t>Sumanta Ganguly</t>
  </si>
  <si>
    <t>Ferric Chloride Liquide</t>
  </si>
  <si>
    <t>476M</t>
  </si>
  <si>
    <t>Unique True Enterprise</t>
  </si>
  <si>
    <t>Self Consumtion</t>
  </si>
  <si>
    <t>Uday Sankar Dey</t>
  </si>
  <si>
    <t>396K</t>
  </si>
  <si>
    <t>Jitu Sakia</t>
  </si>
  <si>
    <t>Samrat Dey</t>
  </si>
  <si>
    <t>395K</t>
  </si>
  <si>
    <t>White Barytes Powder</t>
  </si>
  <si>
    <t>394K</t>
  </si>
  <si>
    <t>APR Associates</t>
  </si>
  <si>
    <t>GC Giri</t>
  </si>
  <si>
    <t>Electrical Earthing Charcoal</t>
  </si>
  <si>
    <t>Barbil - 758035</t>
  </si>
  <si>
    <t>388K</t>
  </si>
  <si>
    <t>Rinku</t>
  </si>
  <si>
    <t>393K</t>
  </si>
  <si>
    <t>Ravi Patel</t>
  </si>
  <si>
    <t>Plastochem India Pvt Ltd</t>
  </si>
  <si>
    <t>Mno2</t>
  </si>
  <si>
    <t>25.50/-kg(s)</t>
  </si>
  <si>
    <t>397K</t>
  </si>
  <si>
    <t>67.50/-KG(S)</t>
  </si>
  <si>
    <t>391K</t>
  </si>
  <si>
    <t>Animal Feed</t>
  </si>
  <si>
    <t>392K</t>
  </si>
  <si>
    <t>Prashant Mapari</t>
  </si>
  <si>
    <t>412M</t>
  </si>
  <si>
    <t>Rushikesh Salunke</t>
  </si>
  <si>
    <t>Project purpose</t>
  </si>
  <si>
    <t>Gotam Karasa</t>
  </si>
  <si>
    <t xml:space="preserve">Ammonium Bicarbonate  </t>
  </si>
  <si>
    <t>B.T.Road</t>
  </si>
  <si>
    <t>383K</t>
  </si>
  <si>
    <t>M V</t>
  </si>
  <si>
    <t>grade-4.10/-kg(s) Non Grade 3.90/-KG(S)</t>
  </si>
  <si>
    <t>411M</t>
  </si>
  <si>
    <t>384K</t>
  </si>
  <si>
    <t>Latif Shaikh</t>
  </si>
  <si>
    <t>Murarai - 731219</t>
  </si>
  <si>
    <t>Gyan Prakash</t>
  </si>
  <si>
    <t>9.60/-KG(S)</t>
  </si>
  <si>
    <t>380K</t>
  </si>
  <si>
    <t>Red Potato Starch</t>
  </si>
  <si>
    <t>Alliance Engineers</t>
  </si>
  <si>
    <t>Haitech Medical Solutions Pvt. Ltd.</t>
  </si>
  <si>
    <t>Bion Ethylene Absorber</t>
  </si>
  <si>
    <t>7/-pc</t>
  </si>
  <si>
    <t>407M</t>
  </si>
  <si>
    <t>Yuvraj</t>
  </si>
  <si>
    <t>Trading purpose</t>
  </si>
  <si>
    <t>404M</t>
  </si>
  <si>
    <t>C2010665</t>
  </si>
  <si>
    <t>Modern Agro Science</t>
  </si>
  <si>
    <t>5.10/-KG(S)</t>
  </si>
  <si>
    <t>381K</t>
  </si>
  <si>
    <t>C2010664</t>
  </si>
  <si>
    <t>Rehan Mujawar</t>
  </si>
  <si>
    <t>C2010663</t>
  </si>
  <si>
    <t>Parola</t>
  </si>
  <si>
    <t>C2010662</t>
  </si>
  <si>
    <t>Narendar Solanki</t>
  </si>
  <si>
    <t>80.60/-KG(S)</t>
  </si>
  <si>
    <t>410M</t>
  </si>
  <si>
    <t>C2010661</t>
  </si>
  <si>
    <t>Jf</t>
  </si>
  <si>
    <t>C2010660</t>
  </si>
  <si>
    <t>Gobi</t>
  </si>
  <si>
    <t xml:space="preserve">C2010659 </t>
  </si>
  <si>
    <t>Palash Mainkar</t>
  </si>
  <si>
    <t xml:space="preserve">C2010658 </t>
  </si>
  <si>
    <t>Aswini Sahoo</t>
  </si>
  <si>
    <t>Puri, Odisha</t>
  </si>
  <si>
    <t>C2010657</t>
  </si>
  <si>
    <t>Komal</t>
  </si>
  <si>
    <t>C2010656</t>
  </si>
  <si>
    <t>Dr</t>
  </si>
  <si>
    <t>C2010655</t>
  </si>
  <si>
    <t>Arif Thakore</t>
  </si>
  <si>
    <t>Iringa, Tanzania</t>
  </si>
  <si>
    <t>C2010654</t>
  </si>
  <si>
    <t>V P Enterprise</t>
  </si>
  <si>
    <t>C2010653</t>
  </si>
  <si>
    <t>Kiran Dahal</t>
  </si>
  <si>
    <t>Mono Sodium Glutamate</t>
  </si>
  <si>
    <t>Gangtok</t>
  </si>
  <si>
    <t>118/-KG(S)</t>
  </si>
  <si>
    <t>378K</t>
  </si>
  <si>
    <t>C2010652</t>
  </si>
  <si>
    <t>Infra Steel Cast Pvt.Ltd.</t>
  </si>
  <si>
    <t>382K</t>
  </si>
  <si>
    <t>C2010651</t>
  </si>
  <si>
    <t>Indrajeet Sarkar</t>
  </si>
  <si>
    <t>SLES</t>
  </si>
  <si>
    <t>C2010650</t>
  </si>
  <si>
    <t>Kartheeswaran R</t>
  </si>
  <si>
    <t>405M</t>
  </si>
  <si>
    <t>C2010649</t>
  </si>
  <si>
    <t>Nandalal Talware</t>
  </si>
  <si>
    <t>406M</t>
  </si>
  <si>
    <t>C2010648</t>
  </si>
  <si>
    <t>109/-KG(S)</t>
  </si>
  <si>
    <t>377K</t>
  </si>
  <si>
    <t>C2010647</t>
  </si>
  <si>
    <t>Sona Sharma</t>
  </si>
  <si>
    <t>379K</t>
  </si>
  <si>
    <t>C2010646</t>
  </si>
  <si>
    <t>IRIS Digital Studios</t>
  </si>
  <si>
    <t xml:space="preserve">Perlite  </t>
  </si>
  <si>
    <t>C2010645</t>
  </si>
  <si>
    <t>Meenu</t>
  </si>
  <si>
    <t xml:space="preserve">Bricks And Construction </t>
  </si>
  <si>
    <t>C2010644</t>
  </si>
  <si>
    <t>C2010643</t>
  </si>
  <si>
    <t>B.N. Katke</t>
  </si>
  <si>
    <t>Grade-1.60/-kg(s),Non Grade-1.30/-kg(s)</t>
  </si>
  <si>
    <t>402M</t>
  </si>
  <si>
    <t>C2010642</t>
  </si>
  <si>
    <t>Deepa C B</t>
  </si>
  <si>
    <t>Karanataka</t>
  </si>
  <si>
    <t>C2010641</t>
  </si>
  <si>
    <t>Subrata Sarkar</t>
  </si>
  <si>
    <t>374K</t>
  </si>
  <si>
    <t>C2010640</t>
  </si>
  <si>
    <t>369K</t>
  </si>
  <si>
    <t>C2010639</t>
  </si>
  <si>
    <t>Saurabh Awasthy</t>
  </si>
  <si>
    <t>Commercial Purpose</t>
  </si>
  <si>
    <t>368K</t>
  </si>
  <si>
    <t>C2010638</t>
  </si>
  <si>
    <t>Bheem</t>
  </si>
  <si>
    <t>C2010637</t>
  </si>
  <si>
    <t>DATTATREY BADVI</t>
  </si>
  <si>
    <t>Aluminium Potassium Sulphate</t>
  </si>
  <si>
    <t>C2010636</t>
  </si>
  <si>
    <t>Sachin</t>
  </si>
  <si>
    <t>C2010635</t>
  </si>
  <si>
    <t>Shalini</t>
  </si>
  <si>
    <t>391M</t>
  </si>
  <si>
    <t>C2010634</t>
  </si>
  <si>
    <t>Sujan Choudhury</t>
  </si>
  <si>
    <t>Parlour Purpose</t>
  </si>
  <si>
    <t>C2010633</t>
  </si>
  <si>
    <t>Sntupal</t>
  </si>
  <si>
    <t>VERTEX  Pute Salt</t>
  </si>
  <si>
    <t>C2010632</t>
  </si>
  <si>
    <t>Arunava Mondal</t>
  </si>
  <si>
    <t>108/-kg(s)</t>
  </si>
  <si>
    <t>370K</t>
  </si>
  <si>
    <t>C2010631</t>
  </si>
  <si>
    <t>Pawan Kumar Thakur</t>
  </si>
  <si>
    <t>Ink Manufacturing</t>
  </si>
  <si>
    <t>550/-KG(S)</t>
  </si>
  <si>
    <t>392M</t>
  </si>
  <si>
    <t>C2010630</t>
  </si>
  <si>
    <t>Tarak Naskar</t>
  </si>
  <si>
    <t>Sodium Silicate,Acid Slurry,Sodium Sulphate</t>
  </si>
  <si>
    <t>25kg(s),50ltr(s),25kg(s)</t>
  </si>
  <si>
    <t>107/-kg,114/-kg,64/-kg</t>
  </si>
  <si>
    <t>367K</t>
  </si>
  <si>
    <t>C2010629</t>
  </si>
  <si>
    <t>Sahabaz Ahmed</t>
  </si>
  <si>
    <t>1TON</t>
  </si>
  <si>
    <t>371K</t>
  </si>
  <si>
    <t>C2010628</t>
  </si>
  <si>
    <t>Aravindh</t>
  </si>
  <si>
    <t>M Sand</t>
  </si>
  <si>
    <t>C2010627</t>
  </si>
  <si>
    <t>Sreeram</t>
  </si>
  <si>
    <t>372K</t>
  </si>
  <si>
    <t>C2010626</t>
  </si>
  <si>
    <t>Jagannath</t>
  </si>
  <si>
    <t>10KG(S)</t>
  </si>
  <si>
    <t>C2010625</t>
  </si>
  <si>
    <t>AGAVE Cochin</t>
  </si>
  <si>
    <t>Construction Aggregates</t>
  </si>
  <si>
    <t>C2010624</t>
  </si>
  <si>
    <t>SK Enterprises</t>
  </si>
  <si>
    <t>100LTR(S)</t>
  </si>
  <si>
    <t>C2010623</t>
  </si>
  <si>
    <t>Rahool S Kothari</t>
  </si>
  <si>
    <t>500KG(S)</t>
  </si>
  <si>
    <t>305.45/-kg(s)</t>
  </si>
  <si>
    <t>390M</t>
  </si>
  <si>
    <t>C2010622</t>
  </si>
  <si>
    <t>P K Ray</t>
  </si>
  <si>
    <t>Pharmacutical Yeast</t>
  </si>
  <si>
    <t>C2010621</t>
  </si>
  <si>
    <t>Zaza</t>
  </si>
  <si>
    <t>C2010620</t>
  </si>
  <si>
    <t>Poola</t>
  </si>
  <si>
    <t>40TON(S)</t>
  </si>
  <si>
    <t>4.30/-KG(S)</t>
  </si>
  <si>
    <t>394M</t>
  </si>
  <si>
    <t>C2010619</t>
  </si>
  <si>
    <t>Abhishek Sarkar</t>
  </si>
  <si>
    <t>200KG(S)</t>
  </si>
  <si>
    <t>373K</t>
  </si>
  <si>
    <t>C2010618</t>
  </si>
  <si>
    <t>Somar Nayak</t>
  </si>
  <si>
    <t>2TON(S)</t>
  </si>
  <si>
    <t>6.60/-KG(S)</t>
  </si>
  <si>
    <t>375K</t>
  </si>
  <si>
    <t>31/1/2020</t>
  </si>
  <si>
    <t>C2010617</t>
  </si>
  <si>
    <t>Mizan</t>
  </si>
  <si>
    <t>Granules Perlite Ore</t>
  </si>
  <si>
    <t>25KG(S)</t>
  </si>
  <si>
    <t>Kulgachia</t>
  </si>
  <si>
    <t>Furnish Purpose</t>
  </si>
  <si>
    <t>C2010616</t>
  </si>
  <si>
    <t>PAYAL Chemicals</t>
  </si>
  <si>
    <t>100TON(S)</t>
  </si>
  <si>
    <t>Ankleshwar,Gujarat</t>
  </si>
  <si>
    <t>26.35/-KG(S)</t>
  </si>
  <si>
    <t>384M</t>
  </si>
  <si>
    <t>C2010615</t>
  </si>
  <si>
    <t>RK Gupta</t>
  </si>
  <si>
    <t>5TON(S)</t>
  </si>
  <si>
    <t>Jagaddal,West Bengal</t>
  </si>
  <si>
    <t>Consuming And Trading</t>
  </si>
  <si>
    <t>45.35/-KG(S)</t>
  </si>
  <si>
    <t>354K</t>
  </si>
  <si>
    <t>C2010614</t>
  </si>
  <si>
    <t>Carbon &amp; Mineral Company</t>
  </si>
  <si>
    <t>Graphitr Granules Carboriser</t>
  </si>
  <si>
    <t>20TON(S)</t>
  </si>
  <si>
    <t>Manicktala, , Kolkata - 700006,</t>
  </si>
  <si>
    <t>47.30/-KG(S)</t>
  </si>
  <si>
    <t>356K</t>
  </si>
  <si>
    <t>C2010613</t>
  </si>
  <si>
    <t>Kohinoor Enterprise</t>
  </si>
  <si>
    <t>40KG(S)</t>
  </si>
  <si>
    <t>Howrah - 711312, West Bengal</t>
  </si>
  <si>
    <t>87.48/-KG(S)</t>
  </si>
  <si>
    <t>357K</t>
  </si>
  <si>
    <t>C2010612</t>
  </si>
  <si>
    <t>Azad Hind Udyog</t>
  </si>
  <si>
    <t>Kolkata,West Bengal</t>
  </si>
  <si>
    <t>358K</t>
  </si>
  <si>
    <t>C2010611</t>
  </si>
  <si>
    <t>Ramesh</t>
  </si>
  <si>
    <t>Cuddalore, Tamil Nadu</t>
  </si>
  <si>
    <t>Laundry Purpose</t>
  </si>
  <si>
    <t>71.60/-KG(S)</t>
  </si>
  <si>
    <t>385M</t>
  </si>
  <si>
    <t>C2010610</t>
  </si>
  <si>
    <t>SP Associates</t>
  </si>
  <si>
    <t xml:space="preserve">Sodium Aluminate  </t>
  </si>
  <si>
    <t>Badlapur - 421503, Maharashtra</t>
  </si>
  <si>
    <t>389M</t>
  </si>
  <si>
    <t>C2010609</t>
  </si>
  <si>
    <t>Lavakeumar</t>
  </si>
  <si>
    <t>30KG(S)</t>
  </si>
  <si>
    <t>Rajahmundry, Andhra Pradesh</t>
  </si>
  <si>
    <t>High-51.78/-kg(s),medium-49.68/-kg(s),Low-48.63/-kg(s)</t>
  </si>
  <si>
    <t>383M</t>
  </si>
  <si>
    <t>C2010608</t>
  </si>
  <si>
    <t>Jahiruddin Molla</t>
  </si>
  <si>
    <t>25LTR(S)</t>
  </si>
  <si>
    <t>136/-KG(S)</t>
  </si>
  <si>
    <t>366K</t>
  </si>
  <si>
    <t>C2010607</t>
  </si>
  <si>
    <t>Dolomite Powder(500 Mesh)</t>
  </si>
  <si>
    <t>7.09/-KG(S)</t>
  </si>
  <si>
    <t>359K</t>
  </si>
  <si>
    <t>C2010606</t>
  </si>
  <si>
    <t>Swanand Dalvi</t>
  </si>
  <si>
    <t>C2010605</t>
  </si>
  <si>
    <t>Subham Nitin Pednekar</t>
  </si>
  <si>
    <t>50KG(S)</t>
  </si>
  <si>
    <t>Dapoli, Maharashtra</t>
  </si>
  <si>
    <t>High-44.15/-kg(s),medium-42.05/-kg(s),low-41/-kg(s)</t>
  </si>
  <si>
    <t>375M</t>
  </si>
  <si>
    <t>C2010604</t>
  </si>
  <si>
    <t>Jayshree Dhabalia</t>
  </si>
  <si>
    <t>1KG</t>
  </si>
  <si>
    <t>C2010603</t>
  </si>
  <si>
    <t>Ammonium Sulphate 98%(White Free Flow and Without Smell)</t>
  </si>
  <si>
    <t>16TON(S)</t>
  </si>
  <si>
    <t>395M</t>
  </si>
  <si>
    <t>C2010602</t>
  </si>
  <si>
    <t>Farhan</t>
  </si>
  <si>
    <t>Body Butter Base</t>
  </si>
  <si>
    <t>C2010601</t>
  </si>
  <si>
    <t>SAMRUDDHI PHARMA</t>
  </si>
  <si>
    <t>Byproduct Soda Ash</t>
  </si>
  <si>
    <t>Ankleshwar - 393002, Gujarat</t>
  </si>
  <si>
    <t>C2010600</t>
  </si>
  <si>
    <t>Siddhant Thakur</t>
  </si>
  <si>
    <t>Potato Starch Food Grade</t>
  </si>
  <si>
    <t>Flour Binding Purpose</t>
  </si>
  <si>
    <t>C2010599</t>
  </si>
  <si>
    <t>METROCHEM API</t>
  </si>
  <si>
    <t>3KG(S)</t>
  </si>
  <si>
    <t>Hyderabad, Telangana 500038</t>
  </si>
  <si>
    <t>C2010598</t>
  </si>
  <si>
    <t>Sridhar</t>
  </si>
  <si>
    <t>C2010597</t>
  </si>
  <si>
    <t>PARTH INDUSTRIES</t>
  </si>
  <si>
    <t>Calcium Chloride 95-99%</t>
  </si>
  <si>
    <t>Dist.Umbergaon</t>
  </si>
  <si>
    <t>C2010596</t>
  </si>
  <si>
    <t>Calcium Chloride,Calcium Nitrate</t>
  </si>
  <si>
    <t>398M</t>
  </si>
  <si>
    <t>C2010595</t>
  </si>
  <si>
    <t>Aries Agro Ltd</t>
  </si>
  <si>
    <t>3TON(S)</t>
  </si>
  <si>
    <t>396M</t>
  </si>
  <si>
    <t>C2010594</t>
  </si>
  <si>
    <t>Asha</t>
  </si>
  <si>
    <t>Kollam, Kerala</t>
  </si>
  <si>
    <t>C2010593</t>
  </si>
  <si>
    <t>Arbaaz Dawalkar</t>
  </si>
  <si>
    <t>10TON(S)</t>
  </si>
  <si>
    <t>New Mumbai</t>
  </si>
  <si>
    <t>Reselling  Purpose</t>
  </si>
  <si>
    <t>382M</t>
  </si>
  <si>
    <t>C2010592</t>
  </si>
  <si>
    <t>Debabrata Mitra</t>
  </si>
  <si>
    <t>Calcium Peroxide 90% Purity</t>
  </si>
  <si>
    <t>Krishnagar, , Nadia - 741101</t>
  </si>
  <si>
    <t>C2010591</t>
  </si>
  <si>
    <t>WARA PLASTIC</t>
  </si>
  <si>
    <t>C2010590</t>
  </si>
  <si>
    <t>Sudesh Mehra</t>
  </si>
  <si>
    <t>28.30/-KG(S)</t>
  </si>
  <si>
    <t>376M</t>
  </si>
  <si>
    <t>C2010589</t>
  </si>
  <si>
    <t>Rana Bhowmick</t>
  </si>
  <si>
    <t>C2010588</t>
  </si>
  <si>
    <t>Alinane Chipwete</t>
  </si>
  <si>
    <t>UK</t>
  </si>
  <si>
    <t>C2010587</t>
  </si>
  <si>
    <t>Sujit Ghadshi</t>
  </si>
  <si>
    <t>Ratnagiri, Maharashtra</t>
  </si>
  <si>
    <t>C2010586</t>
  </si>
  <si>
    <t>Kranthi</t>
  </si>
  <si>
    <t xml:space="preserve">USY Zeolite </t>
  </si>
  <si>
    <t>C2010585</t>
  </si>
  <si>
    <t>Swaroop Ananddatta</t>
  </si>
  <si>
    <t>200Packs</t>
  </si>
  <si>
    <t>Jorhat,Assam</t>
  </si>
  <si>
    <t>29/1/2020</t>
  </si>
  <si>
    <t>C2010584</t>
  </si>
  <si>
    <t>Aliasgar</t>
  </si>
  <si>
    <t>C2010583</t>
  </si>
  <si>
    <t>VS Raju</t>
  </si>
  <si>
    <t>15.74/-KG(S)</t>
  </si>
  <si>
    <t>355K</t>
  </si>
  <si>
    <t>C2010582</t>
  </si>
  <si>
    <t>VIMAL INDUSTRIES</t>
  </si>
  <si>
    <t>C2010578</t>
  </si>
  <si>
    <t>Classic industries</t>
  </si>
  <si>
    <t>Ammonium Bicarbonate 25% Liquid</t>
  </si>
  <si>
    <t>16.81/-KG(S)</t>
  </si>
  <si>
    <t>397M</t>
  </si>
  <si>
    <t>C2010570</t>
  </si>
  <si>
    <t>Urea , Soda Ash(Tata)</t>
  </si>
  <si>
    <t>9TON(S), 2TON(S)</t>
  </si>
  <si>
    <t>C2010568</t>
  </si>
  <si>
    <t>Sunrise Chemicals</t>
  </si>
  <si>
    <t>Manganese Sulphate, Zinc Carbonate</t>
  </si>
  <si>
    <t>Each 10TON(S)</t>
  </si>
  <si>
    <t>34.75/-kg(s),110.35/-kg(s)</t>
  </si>
  <si>
    <t>400M</t>
  </si>
  <si>
    <t>C2010567</t>
  </si>
  <si>
    <t>21TON(S)</t>
  </si>
  <si>
    <t>Ahmednagar, Maharashtra</t>
  </si>
  <si>
    <t>26.30/-KG(S)</t>
  </si>
  <si>
    <t>371M</t>
  </si>
  <si>
    <t>C2010566</t>
  </si>
  <si>
    <t>Bipin Pandey</t>
  </si>
  <si>
    <t>30.35/-KG(S)</t>
  </si>
  <si>
    <t>372M</t>
  </si>
  <si>
    <t>C2010565</t>
  </si>
  <si>
    <t>Hardeep Singh</t>
  </si>
  <si>
    <t>Ambala,Haryana</t>
  </si>
  <si>
    <t>Cattle feed purpose</t>
  </si>
  <si>
    <t>29/1/2019</t>
  </si>
  <si>
    <t>C2010562</t>
  </si>
  <si>
    <t>Santosh Pathak</t>
  </si>
  <si>
    <t>15TON(S)</t>
  </si>
  <si>
    <t>26.32/-KG(S)</t>
  </si>
  <si>
    <t>377M</t>
  </si>
  <si>
    <t>C2010560</t>
  </si>
  <si>
    <t>NAYANA CHEM PVT. LTD.</t>
  </si>
  <si>
    <t>Pharma DMF</t>
  </si>
  <si>
    <t>Mumbai,Maharashtra</t>
  </si>
  <si>
    <t>45.10/-KG(S)</t>
  </si>
  <si>
    <t>370M</t>
  </si>
  <si>
    <t>C2010559</t>
  </si>
  <si>
    <t>JKM Chemtrade</t>
  </si>
  <si>
    <t>Zinc Sulphate Heptahydrate LR Grade</t>
  </si>
  <si>
    <t>C2010558</t>
  </si>
  <si>
    <t>Harish Chauhan</t>
  </si>
  <si>
    <t>94.21/-KG(S)</t>
  </si>
  <si>
    <t>353K</t>
  </si>
  <si>
    <t>C2010557</t>
  </si>
  <si>
    <t>Orchev Pharma Pvt. Ltd.</t>
  </si>
  <si>
    <t>Iso Propyl  Alcohol</t>
  </si>
  <si>
    <t>C2010553</t>
  </si>
  <si>
    <t>Ramalingam</t>
  </si>
  <si>
    <t>Mushroom Farm</t>
  </si>
  <si>
    <t>C2010552</t>
  </si>
  <si>
    <t>Jagadamba Synthetics</t>
  </si>
  <si>
    <t>Dyed &amp; White Selvage Yarn</t>
  </si>
  <si>
    <t>C2010549</t>
  </si>
  <si>
    <t>Prasanna Thorat</t>
  </si>
  <si>
    <t>Sodium Aluminate 42% and 52%</t>
  </si>
  <si>
    <t>28/1/2020</t>
  </si>
  <si>
    <t>C2010547</t>
  </si>
  <si>
    <t>M Abdullah</t>
  </si>
  <si>
    <t>Activated Carbon Powder</t>
  </si>
  <si>
    <t>C2010546</t>
  </si>
  <si>
    <t>S.V.Enterprise</t>
  </si>
  <si>
    <t>C2010545</t>
  </si>
  <si>
    <t>Pankaj Baid</t>
  </si>
  <si>
    <t>50Bags</t>
  </si>
  <si>
    <t>28/1/2/020</t>
  </si>
  <si>
    <t>C2010544</t>
  </si>
  <si>
    <t>20.29/-KG(S)</t>
  </si>
  <si>
    <t>352K</t>
  </si>
  <si>
    <t>C2010543</t>
  </si>
  <si>
    <t>Saradindu Mandal</t>
  </si>
  <si>
    <t>Activated Carbon,Hyflow Powder</t>
  </si>
  <si>
    <t>387K</t>
  </si>
  <si>
    <t>C2010539</t>
  </si>
  <si>
    <t>381M</t>
  </si>
  <si>
    <t>C2010538</t>
  </si>
  <si>
    <t>Nayana Chem Pvt.Ltd.</t>
  </si>
  <si>
    <t>DMF,DMSO,NMP,MIPA 70%,DMAC</t>
  </si>
  <si>
    <t>C2010536</t>
  </si>
  <si>
    <t>Dumdum Cantonment</t>
  </si>
  <si>
    <t>17.80/-KG(S)</t>
  </si>
  <si>
    <t>346K</t>
  </si>
  <si>
    <t>C2010535</t>
  </si>
  <si>
    <t>25TON(S)</t>
  </si>
  <si>
    <t>Ludhiana,Punjab</t>
  </si>
  <si>
    <t>C2010534</t>
  </si>
  <si>
    <t>Gopi Nathan</t>
  </si>
  <si>
    <t>Electrical Charcoal</t>
  </si>
  <si>
    <t>750KG(S)</t>
  </si>
  <si>
    <t>Mayapur</t>
  </si>
  <si>
    <t>Electrical Purpose</t>
  </si>
  <si>
    <t>386K</t>
  </si>
  <si>
    <t>C2010530</t>
  </si>
  <si>
    <t>26.29/-KG(S)</t>
  </si>
  <si>
    <t>378M</t>
  </si>
  <si>
    <t>C2010528</t>
  </si>
  <si>
    <t>Chemical Treading Company</t>
  </si>
  <si>
    <t>Sayaji Brand Dextrose</t>
  </si>
  <si>
    <t>Palanpur</t>
  </si>
  <si>
    <t>C2010526</t>
  </si>
  <si>
    <t>Sourabh Deshmukh</t>
  </si>
  <si>
    <t>50TON(S)</t>
  </si>
  <si>
    <t>26.27/-KG(S)</t>
  </si>
  <si>
    <t>380M</t>
  </si>
  <si>
    <t>C2010525</t>
  </si>
  <si>
    <t>Charu Sales Corporation</t>
  </si>
  <si>
    <t>Solvent C9</t>
  </si>
  <si>
    <t>Mohali</t>
  </si>
  <si>
    <t>369M</t>
  </si>
  <si>
    <t>C2010524</t>
  </si>
  <si>
    <t>27.80/-KG(S)</t>
  </si>
  <si>
    <t>345K</t>
  </si>
  <si>
    <t xml:space="preserve">C2010523 </t>
  </si>
  <si>
    <t>379M</t>
  </si>
  <si>
    <t>C2010521</t>
  </si>
  <si>
    <t>Manhor Hussain</t>
  </si>
  <si>
    <t>Chemical Gypsum Powder</t>
  </si>
  <si>
    <t>3000TON(S)</t>
  </si>
  <si>
    <t>C2010515</t>
  </si>
  <si>
    <t>Kamalesh Bhattacheryya</t>
  </si>
  <si>
    <t>Gobardanga,Kolkata</t>
  </si>
  <si>
    <t>Fertiliser purpose</t>
  </si>
  <si>
    <t>27/1/2020</t>
  </si>
  <si>
    <t>C2010512</t>
  </si>
  <si>
    <t>362M</t>
  </si>
  <si>
    <t>C2010511</t>
  </si>
  <si>
    <t>DIP TRADERS</t>
  </si>
  <si>
    <t>Ahmedabad-380 007, Gujarat</t>
  </si>
  <si>
    <t>C2010510</t>
  </si>
  <si>
    <t>C2010508</t>
  </si>
  <si>
    <t>Nimesh Shah</t>
  </si>
  <si>
    <t>C2010507</t>
  </si>
  <si>
    <t>Hemanth</t>
  </si>
  <si>
    <t>C2010505</t>
  </si>
  <si>
    <t>Javid Husaain</t>
  </si>
  <si>
    <t>Kanchrapara ,West Bengal</t>
  </si>
  <si>
    <t>C2010503</t>
  </si>
  <si>
    <t>Faiz Group Of Industries Private Limited</t>
  </si>
  <si>
    <t>Guwahati,Assam</t>
  </si>
  <si>
    <t>85.60/-KG(S)</t>
  </si>
  <si>
    <t>343K</t>
  </si>
  <si>
    <t>C2010500</t>
  </si>
  <si>
    <t>Ravindra S Dhande</t>
  </si>
  <si>
    <t>125KG(S)</t>
  </si>
  <si>
    <t>C2010498</t>
  </si>
  <si>
    <t>Sadhukhan Enterprises</t>
  </si>
  <si>
    <t xml:space="preserve">Perlite Ore  </t>
  </si>
  <si>
    <t>C2010494</t>
  </si>
  <si>
    <t>Parshuram Bhandari</t>
  </si>
  <si>
    <t>China  Clay</t>
  </si>
  <si>
    <t>600KG(S)</t>
  </si>
  <si>
    <t>Business Pupose</t>
  </si>
  <si>
    <t>7.72/-KG(S)</t>
  </si>
  <si>
    <t>340K</t>
  </si>
  <si>
    <t>C2010493</t>
  </si>
  <si>
    <t>Sodium Enzyme</t>
  </si>
  <si>
    <t>C2010492</t>
  </si>
  <si>
    <t>Kishor Singh</t>
  </si>
  <si>
    <t>C2010491</t>
  </si>
  <si>
    <t>Mangalam Organics Limited</t>
  </si>
  <si>
    <t>COPPER SULPHATE, COPPER NITRATE, PURE ORTHO XYLENE, OLUENE, METHANOL, N-HEXANE, TITANIUM DIOXIDE ANATASE GRADE</t>
  </si>
  <si>
    <t>Pure Ortho Xylene 10ton(s),others each 5 ton(s)</t>
  </si>
  <si>
    <t>C2010490</t>
  </si>
  <si>
    <t>Bhavesh Popat</t>
  </si>
  <si>
    <t>Cattle Food</t>
  </si>
  <si>
    <t>C2010487</t>
  </si>
  <si>
    <t>Harmony Fine Chem</t>
  </si>
  <si>
    <t>Copper sulphate 24% Powder,Calcium Chloride</t>
  </si>
  <si>
    <t>136.45/-kg(s),7.83/-kg(s)</t>
  </si>
  <si>
    <t>358M</t>
  </si>
  <si>
    <t>C2010484</t>
  </si>
  <si>
    <t xml:space="preserve">Kuldeep </t>
  </si>
  <si>
    <t>200TON(S)</t>
  </si>
  <si>
    <t>Talala,Gujarat</t>
  </si>
  <si>
    <t>C2010483</t>
  </si>
  <si>
    <t>Bapi Biswas</t>
  </si>
  <si>
    <t>C2010482</t>
  </si>
  <si>
    <t>Anath Mondal</t>
  </si>
  <si>
    <t>Koilashnagar</t>
  </si>
  <si>
    <t>C2010480</t>
  </si>
  <si>
    <t>Ram Mishra</t>
  </si>
  <si>
    <t>300TON(S)</t>
  </si>
  <si>
    <t>C2010479</t>
  </si>
  <si>
    <t>Liquid Methanol CH3OH</t>
  </si>
  <si>
    <t>500LTR(S)</t>
  </si>
  <si>
    <t>Purba Burdwan</t>
  </si>
  <si>
    <t>49.50/-kg(s)</t>
  </si>
  <si>
    <t>390K</t>
  </si>
  <si>
    <t>C2010478</t>
  </si>
  <si>
    <t>Baba Baidyanath International</t>
  </si>
  <si>
    <t>C2010477</t>
  </si>
  <si>
    <t>Tirumala Rao</t>
  </si>
  <si>
    <t>C2010476</t>
  </si>
  <si>
    <t>Abutaleb</t>
  </si>
  <si>
    <t>Fish Hatchery</t>
  </si>
  <si>
    <t>C2010475</t>
  </si>
  <si>
    <t>Abdul Salman</t>
  </si>
  <si>
    <t>C2010474</t>
  </si>
  <si>
    <t>Tropical Agrotech</t>
  </si>
  <si>
    <t>Industrial Grade Vermiculite</t>
  </si>
  <si>
    <t>385K</t>
  </si>
  <si>
    <t>C2010473</t>
  </si>
  <si>
    <t>Indrajit Chandra</t>
  </si>
  <si>
    <t>Dolomite powder,soda ash,sodium sulphate,sodium silicate,acid slurry</t>
  </si>
  <si>
    <t>acid slurry 35kg(s),others each 100kg(s)</t>
  </si>
  <si>
    <t>Bolpur,Kolkata</t>
  </si>
  <si>
    <t>20.29/-kg(s),41.50/-kg(s),26.28/-kg(s),69.85/-kg(s),126.52/-kg(s)</t>
  </si>
  <si>
    <t>341K</t>
  </si>
  <si>
    <t>C2010472</t>
  </si>
  <si>
    <t>Almas</t>
  </si>
  <si>
    <t>Thanaka Powder</t>
  </si>
  <si>
    <t>C2010471</t>
  </si>
  <si>
    <t>S. BRAHMA BRAHMA</t>
  </si>
  <si>
    <t>Prawn Food</t>
  </si>
  <si>
    <t>C2010470</t>
  </si>
  <si>
    <t>C2010469</t>
  </si>
  <si>
    <t>Hariharan Murugan</t>
  </si>
  <si>
    <t>5KG(S)</t>
  </si>
  <si>
    <t>C2010468</t>
  </si>
  <si>
    <t>25/1/2020</t>
  </si>
  <si>
    <t>C2010467</t>
  </si>
  <si>
    <t>C2010466</t>
  </si>
  <si>
    <t>VDL Organics Private Limited</t>
  </si>
  <si>
    <t>Hyderabad,Telengana</t>
  </si>
  <si>
    <t>C2010465</t>
  </si>
  <si>
    <t>12TON(S)</t>
  </si>
  <si>
    <t>C2010464</t>
  </si>
  <si>
    <t>Birendra Nath Mahato</t>
  </si>
  <si>
    <t>charcoal</t>
  </si>
  <si>
    <t>335K</t>
  </si>
  <si>
    <t>C2010463</t>
  </si>
  <si>
    <t>Mohamad Amir</t>
  </si>
  <si>
    <t>Silicon Carbide (SiC) Nanoparticles</t>
  </si>
  <si>
    <t>100GRAMS</t>
  </si>
  <si>
    <t>C2010462</t>
  </si>
  <si>
    <t>Ujwal Pharma Pvt Ltd</t>
  </si>
  <si>
    <t>Chemical Reaction</t>
  </si>
  <si>
    <t>C2010461</t>
  </si>
  <si>
    <t>Meenakshi Sodha</t>
  </si>
  <si>
    <t>300KG(S)</t>
  </si>
  <si>
    <t>C2010460</t>
  </si>
  <si>
    <t>Indrajit Manna</t>
  </si>
  <si>
    <t>280KG(S)</t>
  </si>
  <si>
    <t>334K</t>
  </si>
  <si>
    <t>C2010459</t>
  </si>
  <si>
    <t>Sunil Agrawal</t>
  </si>
  <si>
    <t>C2010458</t>
  </si>
  <si>
    <t>Sunshine  Products</t>
  </si>
  <si>
    <t>Calcium Chloride Liquid</t>
  </si>
  <si>
    <t>Vapi</t>
  </si>
  <si>
    <t>C2010457</t>
  </si>
  <si>
    <t>Rukhsar Parveen</t>
  </si>
  <si>
    <t>China Grass Dessert Mix</t>
  </si>
  <si>
    <t>C2010456</t>
  </si>
  <si>
    <t>MDC Group of Companies</t>
  </si>
  <si>
    <t>C2010455</t>
  </si>
  <si>
    <t>G M BIOCHEM Pvt.Ltd.</t>
  </si>
  <si>
    <t>Ammonium Sulphate Crystal White</t>
  </si>
  <si>
    <t>361M</t>
  </si>
  <si>
    <t>C2010454</t>
  </si>
  <si>
    <t>Wood Dandi Charcoal</t>
  </si>
  <si>
    <t>30TON(S)</t>
  </si>
  <si>
    <t>26.28/-KG(S)</t>
  </si>
  <si>
    <t>355M</t>
  </si>
  <si>
    <t>C2010453</t>
  </si>
  <si>
    <t>Sodium benzoate</t>
  </si>
  <si>
    <t>356M</t>
  </si>
  <si>
    <t>BKC</t>
  </si>
  <si>
    <t>C2010452</t>
  </si>
  <si>
    <t>Kannan</t>
  </si>
  <si>
    <t>100Packets</t>
  </si>
  <si>
    <t>Coimbatore, Tamil Nadu</t>
  </si>
  <si>
    <t>C2010451</t>
  </si>
  <si>
    <t>Tapan Mondal</t>
  </si>
  <si>
    <t>South 24Parganas</t>
  </si>
  <si>
    <t>326K</t>
  </si>
  <si>
    <t>C2010450</t>
  </si>
  <si>
    <t>Psfw Steels Private Limited</t>
  </si>
  <si>
    <t>Vermiculite powder</t>
  </si>
  <si>
    <t>Jangalpur</t>
  </si>
  <si>
    <t>328K</t>
  </si>
  <si>
    <t>C2010449</t>
  </si>
  <si>
    <t>Rajesh Kutty Kailath Sivankutty</t>
  </si>
  <si>
    <t>Mumbai - 402106, Maharashtra</t>
  </si>
  <si>
    <t>353M</t>
  </si>
  <si>
    <t>C2010448</t>
  </si>
  <si>
    <t>Naga Babu</t>
  </si>
  <si>
    <t>C2010447</t>
  </si>
  <si>
    <t>Mukunda Sen</t>
  </si>
  <si>
    <t>West Bengal</t>
  </si>
  <si>
    <t>Agarbatti purpose</t>
  </si>
  <si>
    <t>325K</t>
  </si>
  <si>
    <t>C2010446</t>
  </si>
  <si>
    <t>Choudhary Industries &amp; Company</t>
  </si>
  <si>
    <t>Nitric Acid,Sulphuric Acid</t>
  </si>
  <si>
    <t>1.5TON(S)</t>
  </si>
  <si>
    <t>31/-KG(S),13/-KG(S)</t>
  </si>
  <si>
    <t>329K</t>
  </si>
  <si>
    <t>C2010445</t>
  </si>
  <si>
    <t>DVB Technologies Private Limited</t>
  </si>
  <si>
    <t>Laboratory purpose</t>
  </si>
  <si>
    <t>C2010444</t>
  </si>
  <si>
    <t>Arvindsinh</t>
  </si>
  <si>
    <t>658.30/-KG(S)</t>
  </si>
  <si>
    <t>337K</t>
  </si>
  <si>
    <t>C2010443</t>
  </si>
  <si>
    <t>Suyog Nikam</t>
  </si>
  <si>
    <t>C2010442</t>
  </si>
  <si>
    <t>Dalimsk</t>
  </si>
  <si>
    <t>Sodium Silicate Powder,sodium sulphate</t>
  </si>
  <si>
    <t>50KG(S),50KG(S)</t>
  </si>
  <si>
    <t>soap bar</t>
  </si>
  <si>
    <t>321K</t>
  </si>
  <si>
    <t>24/1/2020</t>
  </si>
  <si>
    <t>C2010441</t>
  </si>
  <si>
    <t>Rajesh Kumar</t>
  </si>
  <si>
    <t>Solid Nitrobenzene Granules</t>
  </si>
  <si>
    <t>107.58/-KG(S)</t>
  </si>
  <si>
    <t>339K</t>
  </si>
  <si>
    <t>C2010440</t>
  </si>
  <si>
    <t>Agrosyn Impex</t>
  </si>
  <si>
    <t>Magnesium Sulphate Lumps</t>
  </si>
  <si>
    <t>Consumer(Zinc Wash)</t>
  </si>
  <si>
    <t>9.65/-KG(S)</t>
  </si>
  <si>
    <t>360M</t>
  </si>
  <si>
    <t>C2010439</t>
  </si>
  <si>
    <t>ISreal</t>
  </si>
  <si>
    <t>66/-KG(S)</t>
  </si>
  <si>
    <t>351M</t>
  </si>
  <si>
    <t>C2010438</t>
  </si>
  <si>
    <t>Varun Singh</t>
  </si>
  <si>
    <t>5LTR(S)</t>
  </si>
  <si>
    <t>Color Removing purpose</t>
  </si>
  <si>
    <t>C2010437</t>
  </si>
  <si>
    <t>Olivine Lump's</t>
  </si>
  <si>
    <t>Healing purpose</t>
  </si>
  <si>
    <t>C2010436</t>
  </si>
  <si>
    <t>Sahalam Khan</t>
  </si>
  <si>
    <t>Glucose Powder</t>
  </si>
  <si>
    <t>C2010435</t>
  </si>
  <si>
    <t>Sajal Dutta</t>
  </si>
  <si>
    <t>107/-KG(S)</t>
  </si>
  <si>
    <t>322K</t>
  </si>
  <si>
    <t>C2010434</t>
  </si>
  <si>
    <t xml:space="preserve">Satish </t>
  </si>
  <si>
    <t>C2010433</t>
  </si>
  <si>
    <t>Shankar</t>
  </si>
  <si>
    <t>Andhra  Pradesh</t>
  </si>
  <si>
    <t>C2010432</t>
  </si>
  <si>
    <t>Dhananjay</t>
  </si>
  <si>
    <t>Field Purpose</t>
  </si>
  <si>
    <t>C2010431</t>
  </si>
  <si>
    <t>Sisir Das</t>
  </si>
  <si>
    <t>China clay,Dolomite Powder,Calcite Powder</t>
  </si>
  <si>
    <t>Total Requirement 36TON(S)</t>
  </si>
  <si>
    <t>Harwa,Kolkata</t>
  </si>
  <si>
    <t>Soap bar purpose</t>
  </si>
  <si>
    <t>4.39/-KG(S),5.12/-KG(S),5.12/-KG(S)</t>
  </si>
  <si>
    <t>330K</t>
  </si>
  <si>
    <t>C2010430</t>
  </si>
  <si>
    <t>AGRO Pack</t>
  </si>
  <si>
    <t>Ammonium Sulphate Crystal</t>
  </si>
  <si>
    <t>Formulation Purpose</t>
  </si>
  <si>
    <t>9.25/-KG(S)</t>
  </si>
  <si>
    <t>C2010429</t>
  </si>
  <si>
    <t xml:space="preserve"> Paulo Hsuan</t>
  </si>
  <si>
    <t xml:space="preserve">C2010428 </t>
  </si>
  <si>
    <t>Michael</t>
  </si>
  <si>
    <t>C2010427</t>
  </si>
  <si>
    <t>Vaagdevi</t>
  </si>
  <si>
    <t>352M</t>
  </si>
  <si>
    <t>C2010426</t>
  </si>
  <si>
    <t>Ganapati Hegde</t>
  </si>
  <si>
    <t>Sirsi,Karnataka</t>
  </si>
  <si>
    <t>Soap Industry Purpose</t>
  </si>
  <si>
    <t>348M</t>
  </si>
  <si>
    <t>C2010425</t>
  </si>
  <si>
    <t>Zainul Abedin</t>
  </si>
  <si>
    <t>Fuller's Earth</t>
  </si>
  <si>
    <t>C2010424</t>
  </si>
  <si>
    <t>Jahangir Ali</t>
  </si>
  <si>
    <t>Sodium Hydrochloride</t>
  </si>
  <si>
    <t>C2010423</t>
  </si>
  <si>
    <t>White  Sodium Saccharin</t>
  </si>
  <si>
    <t>C2010422</t>
  </si>
  <si>
    <t>Vipan Jain</t>
  </si>
  <si>
    <t>Calciuned Magnesite powder(GLC 200)</t>
  </si>
  <si>
    <t>22.07/-KG(S)</t>
  </si>
  <si>
    <t>350M</t>
  </si>
  <si>
    <t>C2010421</t>
  </si>
  <si>
    <t>Sathwik Rao</t>
  </si>
  <si>
    <t>15KG(S)</t>
  </si>
  <si>
    <t>C2010420</t>
  </si>
  <si>
    <t>Vipul Kukadiya</t>
  </si>
  <si>
    <t>Industrial purpose</t>
  </si>
  <si>
    <t>342M</t>
  </si>
  <si>
    <t>C2010419</t>
  </si>
  <si>
    <t>Amitabh Miatio</t>
  </si>
  <si>
    <t>Quick lime,Calcium Oxide</t>
  </si>
  <si>
    <t>2500KG(S),50KG(S)</t>
  </si>
  <si>
    <t>317K</t>
  </si>
  <si>
    <t>23/1/2020</t>
  </si>
  <si>
    <t>C2010418</t>
  </si>
  <si>
    <t>Ritika Agarwal</t>
  </si>
  <si>
    <t>C2010417</t>
  </si>
  <si>
    <t>Rama Rao</t>
  </si>
  <si>
    <t>7.93/-KG(S)</t>
  </si>
  <si>
    <t>343M</t>
  </si>
  <si>
    <t>C2010416</t>
  </si>
  <si>
    <t>Sumit Kumar Kaklotar</t>
  </si>
  <si>
    <t>21.46/-KG(S)</t>
  </si>
  <si>
    <t>344M</t>
  </si>
  <si>
    <t xml:space="preserve">C2010415 </t>
  </si>
  <si>
    <t>C2010414</t>
  </si>
  <si>
    <t>C2010413</t>
  </si>
  <si>
    <t>Dinesh Kumar</t>
  </si>
  <si>
    <t>Welding purpose</t>
  </si>
  <si>
    <t>354M</t>
  </si>
  <si>
    <t>C2010412</t>
  </si>
  <si>
    <t>Shahzad</t>
  </si>
  <si>
    <t>Cattle feed and fish farming</t>
  </si>
  <si>
    <t>312K</t>
  </si>
  <si>
    <t>C2010411</t>
  </si>
  <si>
    <t>Ananth Raju</t>
  </si>
  <si>
    <t>337M</t>
  </si>
  <si>
    <t>C2010410</t>
  </si>
  <si>
    <t>Sanjay Bhai</t>
  </si>
  <si>
    <t>High Alumina Grog</t>
  </si>
  <si>
    <t>C2010409</t>
  </si>
  <si>
    <t>PHOENIX Trading Company</t>
  </si>
  <si>
    <t>soda ash light,CMC,titanium dioxide,zinc oxide,SLS,STPP,alumina,poly acrylamide</t>
  </si>
  <si>
    <t>Each 1000TON(S)</t>
  </si>
  <si>
    <t>C2010408</t>
  </si>
  <si>
    <t>Hrishikesh Sathe</t>
  </si>
  <si>
    <t>Stericare Alcoholic Disinfectant Hand Rub</t>
  </si>
  <si>
    <t>C2010407</t>
  </si>
  <si>
    <t>Muslim Hussian</t>
  </si>
  <si>
    <t>Lithophone powder</t>
  </si>
  <si>
    <t>C2010406</t>
  </si>
  <si>
    <t>Ashok Kumar Bhagat</t>
  </si>
  <si>
    <t>Alum powder,Limestone Powder,Bleaching purpose</t>
  </si>
  <si>
    <t>Each 1TON(S)</t>
  </si>
  <si>
    <t>Water treatment purpose</t>
  </si>
  <si>
    <t>21/-KG(S),6/-KG(S),24/-KG(S)</t>
  </si>
  <si>
    <t>314K</t>
  </si>
  <si>
    <t>C2010405</t>
  </si>
  <si>
    <t>Deeksha</t>
  </si>
  <si>
    <t>Lime powder,Alum powder,Sodium hypochlorite,Calcium chlorite</t>
  </si>
  <si>
    <t>150kgs,150kgs,40kgs,40kgs</t>
  </si>
  <si>
    <t>21/-kg(s),28/-kg(s),54/-kg(s),156/-kg(s)</t>
  </si>
  <si>
    <t>336K</t>
  </si>
  <si>
    <t>C2010404</t>
  </si>
  <si>
    <t>Earthig Charcoal,Earthing Salt</t>
  </si>
  <si>
    <t>Each 1300KG(S)</t>
  </si>
  <si>
    <t>29/-KG(S),6/-KG(S)</t>
  </si>
  <si>
    <t>349M</t>
  </si>
  <si>
    <t>22/1/2020</t>
  </si>
  <si>
    <t>C2010403</t>
  </si>
  <si>
    <t>Sambhu Dutta</t>
  </si>
  <si>
    <t>500Gram</t>
  </si>
  <si>
    <t>1249/-KG(S)</t>
  </si>
  <si>
    <t>323K</t>
  </si>
  <si>
    <t>C2010402</t>
  </si>
  <si>
    <t>Utam Kumar</t>
  </si>
  <si>
    <t>313K</t>
  </si>
  <si>
    <t>C2010401</t>
  </si>
  <si>
    <t>Mannu Tunwal</t>
  </si>
  <si>
    <t>63.60/-KG(S)</t>
  </si>
  <si>
    <t>332M</t>
  </si>
  <si>
    <t>C2010400</t>
  </si>
  <si>
    <t>Plastochem India Pvt.Ltd.</t>
  </si>
  <si>
    <t>C2010399</t>
  </si>
  <si>
    <t>Guru Sharan</t>
  </si>
  <si>
    <t>C2010398</t>
  </si>
  <si>
    <t>Sanjeev Singh</t>
  </si>
  <si>
    <t>12LTR(S)</t>
  </si>
  <si>
    <t>C2010397</t>
  </si>
  <si>
    <t>R.R.Enterprises</t>
  </si>
  <si>
    <t>C2010396</t>
  </si>
  <si>
    <t>India Phosphate</t>
  </si>
  <si>
    <t>13.69/-kg(s)</t>
  </si>
  <si>
    <t>335M</t>
  </si>
  <si>
    <t>C2010395</t>
  </si>
  <si>
    <t>Mehul Detroja</t>
  </si>
  <si>
    <t>1500TON(S)</t>
  </si>
  <si>
    <t>18.90/-KG(S)</t>
  </si>
  <si>
    <t>340M</t>
  </si>
  <si>
    <t xml:space="preserve">C2010394 </t>
  </si>
  <si>
    <t>M J Chem</t>
  </si>
  <si>
    <t>334M</t>
  </si>
  <si>
    <t>C2010393</t>
  </si>
  <si>
    <t>Sharukh</t>
  </si>
  <si>
    <t>Business  Purpose</t>
  </si>
  <si>
    <t>C2010392</t>
  </si>
  <si>
    <t>Tushar Gandhi</t>
  </si>
  <si>
    <t>50Gram</t>
  </si>
  <si>
    <t>C2010391</t>
  </si>
  <si>
    <t>Ali Husein Rokaida</t>
  </si>
  <si>
    <t>345M</t>
  </si>
  <si>
    <t>C2010390</t>
  </si>
  <si>
    <t>Anhydros Lanolin</t>
  </si>
  <si>
    <t>Research purpose</t>
  </si>
  <si>
    <t>C2010389</t>
  </si>
  <si>
    <t>Disha APIs Pvt.Ltd.</t>
  </si>
  <si>
    <t>Manganese  Sulphate</t>
  </si>
  <si>
    <t>24TON(S)</t>
  </si>
  <si>
    <t>Trader(Reselling purpose)</t>
  </si>
  <si>
    <t>327M</t>
  </si>
  <si>
    <t>C2010388</t>
  </si>
  <si>
    <t>Mujibber Rehman</t>
  </si>
  <si>
    <t>C2010387</t>
  </si>
  <si>
    <t>Atanu Manna</t>
  </si>
  <si>
    <t>C2010386</t>
  </si>
  <si>
    <t>M Mururgan</t>
  </si>
  <si>
    <t>C2010385</t>
  </si>
  <si>
    <t>311K</t>
  </si>
  <si>
    <t>21/1/2020</t>
  </si>
  <si>
    <t>C2010384</t>
  </si>
  <si>
    <t>PARTH Industries</t>
  </si>
  <si>
    <t>338M</t>
  </si>
  <si>
    <t>C2010383</t>
  </si>
  <si>
    <t>Animal Food Purpose</t>
  </si>
  <si>
    <t>331M</t>
  </si>
  <si>
    <t>C2010382</t>
  </si>
  <si>
    <t>ORCHEM Products</t>
  </si>
  <si>
    <t>Sulphuric Acid , Copper Sulphate 24% , Stannous Chloride</t>
  </si>
  <si>
    <t>3ton(s),50kg(s),25kg(s)</t>
  </si>
  <si>
    <t>131/-KG(S)</t>
  </si>
  <si>
    <t>336M</t>
  </si>
  <si>
    <t>C2010381</t>
  </si>
  <si>
    <t>Duryodhan Barik</t>
  </si>
  <si>
    <t>1LTR</t>
  </si>
  <si>
    <t>C2010380</t>
  </si>
  <si>
    <t>Swapan Kumar Mistry</t>
  </si>
  <si>
    <t>25kg(s),25kg(s),5kg(s)</t>
  </si>
  <si>
    <t>Dish wash Bar</t>
  </si>
  <si>
    <t>119/-KG(S),74/-KG(S),397/-KG(S)</t>
  </si>
  <si>
    <t>316K</t>
  </si>
  <si>
    <t>C2010379</t>
  </si>
  <si>
    <t>Lily</t>
  </si>
  <si>
    <t>Health Purpose</t>
  </si>
  <si>
    <t>C2010378</t>
  </si>
  <si>
    <t>Rushabh Chemicals</t>
  </si>
  <si>
    <t>Soda Ash,Caustic Soda Flakes</t>
  </si>
  <si>
    <t>C2010377</t>
  </si>
  <si>
    <t>Paresh Lokhane</t>
  </si>
  <si>
    <t>Corn Starch,onion powder,celery powder,bayleaf powder,garlic powder</t>
  </si>
  <si>
    <t>Each 2kg(s)</t>
  </si>
  <si>
    <t>C2010376</t>
  </si>
  <si>
    <t>Dipesh Namdev</t>
  </si>
  <si>
    <t>AOS Liquid,acid slurry,SLES,acid thickner,citric acid</t>
  </si>
  <si>
    <t>AOS 50KG(S),Others each 300kg(s)</t>
  </si>
  <si>
    <t>C2010375</t>
  </si>
  <si>
    <t>AK Rao</t>
  </si>
  <si>
    <t>329M</t>
  </si>
  <si>
    <t>C2010374</t>
  </si>
  <si>
    <t>Shyam Solanki</t>
  </si>
  <si>
    <t>330M</t>
  </si>
  <si>
    <t>C2010373</t>
  </si>
  <si>
    <t>Kalim Undre</t>
  </si>
  <si>
    <t>Iso Propyl Alcohol,Phenol,Aluminium Sulphate</t>
  </si>
  <si>
    <t>20FCL</t>
  </si>
  <si>
    <t>Iraq</t>
  </si>
  <si>
    <t>C2010372</t>
  </si>
  <si>
    <t>Asit Biswas</t>
  </si>
  <si>
    <t xml:space="preserve">Vermiculite </t>
  </si>
  <si>
    <t>C2010371</t>
  </si>
  <si>
    <t>Ashapura Intermediates</t>
  </si>
  <si>
    <t>2,6 Dichloro Aniline,Sobitol,Glycerol,Ferric Ammonium Citrate</t>
  </si>
  <si>
    <t>3ton(s),3ton(s),2ton(s),500kg(s)</t>
  </si>
  <si>
    <t>C2010370</t>
  </si>
  <si>
    <t>1TON(S)</t>
  </si>
  <si>
    <t>Paint purpose</t>
  </si>
  <si>
    <t>339M</t>
  </si>
  <si>
    <t>C2010369</t>
  </si>
  <si>
    <t>Subhra Das</t>
  </si>
  <si>
    <t>Madhyamgram,Kolkata</t>
  </si>
  <si>
    <t>Food Product Purpose</t>
  </si>
  <si>
    <t>307K</t>
  </si>
  <si>
    <t>C2010368</t>
  </si>
  <si>
    <t>Simson Pharma Limited</t>
  </si>
  <si>
    <t>C2010367</t>
  </si>
  <si>
    <t>Ravindra Survase</t>
  </si>
  <si>
    <t>2KG(S)</t>
  </si>
  <si>
    <t>C2010366</t>
  </si>
  <si>
    <t>Magnesium Sulphate,Pyridine,Acetone,Calcium Citrate</t>
  </si>
  <si>
    <t>21ton(s),200kg(s),800kg(s),50kg(s)</t>
  </si>
  <si>
    <t>C2010365</t>
  </si>
  <si>
    <t>Keerthiga Angel</t>
  </si>
  <si>
    <t>20KG(S)</t>
  </si>
  <si>
    <t>20/1/2020</t>
  </si>
  <si>
    <t>C2010364</t>
  </si>
  <si>
    <t xml:space="preserve">Karan  </t>
  </si>
  <si>
    <t>Mining purpose</t>
  </si>
  <si>
    <t>306K</t>
  </si>
  <si>
    <t>C2010363</t>
  </si>
  <si>
    <t>C2010362</t>
  </si>
  <si>
    <t>Liquid Spirit</t>
  </si>
  <si>
    <t>53.59/-KG(S)</t>
  </si>
  <si>
    <t>332K</t>
  </si>
  <si>
    <t>C2010361</t>
  </si>
  <si>
    <t>SAM Industries</t>
  </si>
  <si>
    <t>Potassium Chloride,Copper Sulphate,Stannous Chloride</t>
  </si>
  <si>
    <t>10TON(S),20TON(S),50KG(S)</t>
  </si>
  <si>
    <t>C2010360</t>
  </si>
  <si>
    <t>Anshita</t>
  </si>
  <si>
    <t>1ltr</t>
  </si>
  <si>
    <t>C2010359</t>
  </si>
  <si>
    <t>Mohd Hasnain</t>
  </si>
  <si>
    <t>Mango Ripening Pouch</t>
  </si>
  <si>
    <t>5bags</t>
  </si>
  <si>
    <t>C2010358</t>
  </si>
  <si>
    <t>Satyam Metal Industries</t>
  </si>
  <si>
    <t>Calcium chloride dihydrate,potassium chloride,copper sulphate,stannous sulphate</t>
  </si>
  <si>
    <t>Each 2TON(S)</t>
  </si>
  <si>
    <t>C2010357</t>
  </si>
  <si>
    <t>Ayan Khan</t>
  </si>
  <si>
    <t xml:space="preserve">Tinex </t>
  </si>
  <si>
    <t>C2010356</t>
  </si>
  <si>
    <t>Rajesh L</t>
  </si>
  <si>
    <t>C2010355</t>
  </si>
  <si>
    <t>Mohil</t>
  </si>
  <si>
    <t>9TON(S)</t>
  </si>
  <si>
    <t>Flooring purpose</t>
  </si>
  <si>
    <t>low grade 13/-KG(S),High Grade 16/-KG(S)</t>
  </si>
  <si>
    <t>317M</t>
  </si>
  <si>
    <t>C2010354</t>
  </si>
  <si>
    <t>Maruti Organics</t>
  </si>
  <si>
    <t>Citric Acid Anhydrous</t>
  </si>
  <si>
    <t>322M</t>
  </si>
  <si>
    <t>C2010353</t>
  </si>
  <si>
    <t>Anadi Banerjee</t>
  </si>
  <si>
    <t>Benzal Konium Chloride</t>
  </si>
  <si>
    <t>200LTR(S)</t>
  </si>
  <si>
    <t>Resellig purpose</t>
  </si>
  <si>
    <t>205/-KG(S)</t>
  </si>
  <si>
    <t>305K</t>
  </si>
  <si>
    <t>C2010352</t>
  </si>
  <si>
    <t>65/-LTR(S)</t>
  </si>
  <si>
    <t>327K</t>
  </si>
  <si>
    <t>C2010351</t>
  </si>
  <si>
    <t>Arvind Rana</t>
  </si>
  <si>
    <t>Activated Carbon Pellet</t>
  </si>
  <si>
    <t>C2010350</t>
  </si>
  <si>
    <t>Neeraj Kumar</t>
  </si>
  <si>
    <t>Detergent Making purpose</t>
  </si>
  <si>
    <t>324K</t>
  </si>
  <si>
    <t>18/1/2020</t>
  </si>
  <si>
    <t>C2010349</t>
  </si>
  <si>
    <t>181/-KG(S)</t>
  </si>
  <si>
    <t>321M</t>
  </si>
  <si>
    <t>C2010348</t>
  </si>
  <si>
    <t>Janki Singh</t>
  </si>
  <si>
    <t>Rourkela,Odisha</t>
  </si>
  <si>
    <t>106/-KG(S)</t>
  </si>
  <si>
    <t>303K</t>
  </si>
  <si>
    <t>C2010347</t>
  </si>
  <si>
    <t>Jain Acid &amp; Chemicals</t>
  </si>
  <si>
    <t>Calcium Chloride,Copper Sulphate</t>
  </si>
  <si>
    <t>20TON(S),2TON(S)</t>
  </si>
  <si>
    <t>5.83/-KG(S),134/-KG(S)</t>
  </si>
  <si>
    <t>316M,319M</t>
  </si>
  <si>
    <t>C2010346</t>
  </si>
  <si>
    <t>SDA Products</t>
  </si>
  <si>
    <t>Calcium Chloride,Potassium Chloride</t>
  </si>
  <si>
    <t>Each 16TON(S)</t>
  </si>
  <si>
    <t>poultry and Aqua Food purpose</t>
  </si>
  <si>
    <t>15.81/-KG(S),23.69/-KG(S)</t>
  </si>
  <si>
    <t>318M</t>
  </si>
  <si>
    <t>C2010345</t>
  </si>
  <si>
    <t>315M</t>
  </si>
  <si>
    <t>C2010344</t>
  </si>
  <si>
    <t>Sandip Rajapara</t>
  </si>
  <si>
    <t>C2010343</t>
  </si>
  <si>
    <t>Renuka Chandra</t>
  </si>
  <si>
    <t>C2010342</t>
  </si>
  <si>
    <t>Nayan Kanjilal</t>
  </si>
  <si>
    <t>C2010341</t>
  </si>
  <si>
    <t xml:space="preserve">Arvind </t>
  </si>
  <si>
    <t>C2010340</t>
  </si>
  <si>
    <t xml:space="preserve">Rahil </t>
  </si>
  <si>
    <t>37.85/-KG(S)</t>
  </si>
  <si>
    <t>323M</t>
  </si>
  <si>
    <t>C2010339</t>
  </si>
  <si>
    <t>70KG(S)</t>
  </si>
  <si>
    <t>313M</t>
  </si>
  <si>
    <t>C2010338</t>
  </si>
  <si>
    <t>Jagjeet</t>
  </si>
  <si>
    <t>C2010337</t>
  </si>
  <si>
    <t>Howrah,Hoogly</t>
  </si>
  <si>
    <t>7.89/-KG(S)</t>
  </si>
  <si>
    <t>300K</t>
  </si>
  <si>
    <t>C2010336</t>
  </si>
  <si>
    <t>Sanghvi Pharma-Chem Pvt.Ltd.</t>
  </si>
  <si>
    <t>Copper Sulphate 24% Crystal</t>
  </si>
  <si>
    <t>314M</t>
  </si>
  <si>
    <t>C2010335</t>
  </si>
  <si>
    <t>Karishma Doshi</t>
  </si>
  <si>
    <t>C2010334</t>
  </si>
  <si>
    <t>Raju Kumar</t>
  </si>
  <si>
    <t>4TON(S)</t>
  </si>
  <si>
    <t>Kurda Road</t>
  </si>
  <si>
    <t>Agriculture purpose</t>
  </si>
  <si>
    <t>C2010333</t>
  </si>
  <si>
    <t>Dilip Agarwal</t>
  </si>
  <si>
    <t>500TON(S)</t>
  </si>
  <si>
    <t>C2010332</t>
  </si>
  <si>
    <t>Gapabandhu Das</t>
  </si>
  <si>
    <t>333K</t>
  </si>
  <si>
    <t>C2010331</t>
  </si>
  <si>
    <t>Goutam Gupta</t>
  </si>
  <si>
    <t>sles Chemical</t>
  </si>
  <si>
    <t>Beleghata,Kolkata</t>
  </si>
  <si>
    <t>Soap purpose</t>
  </si>
  <si>
    <t>C2010330</t>
  </si>
  <si>
    <t>Dr.Vrishali</t>
  </si>
  <si>
    <t>Body Soap Bar</t>
  </si>
  <si>
    <t>C2010329</t>
  </si>
  <si>
    <t>Manas Maity</t>
  </si>
  <si>
    <t>17/1/2020</t>
  </si>
  <si>
    <t>C2010328</t>
  </si>
  <si>
    <t>Priteshwar Masurkar</t>
  </si>
  <si>
    <t>Virar Rajodi,Maharashtra</t>
  </si>
  <si>
    <t>Fish Farming purpose</t>
  </si>
  <si>
    <t>311M</t>
  </si>
  <si>
    <t>C2010327</t>
  </si>
  <si>
    <t>High Methoxyl Pectin</t>
  </si>
  <si>
    <t>100Gram</t>
  </si>
  <si>
    <t>C2010326</t>
  </si>
  <si>
    <t>Deepak Kumar Das</t>
  </si>
  <si>
    <t>Bangaon</t>
  </si>
  <si>
    <t>Candle making purpose</t>
  </si>
  <si>
    <t>C2010325</t>
  </si>
  <si>
    <t>Sana K</t>
  </si>
  <si>
    <t>C2010324</t>
  </si>
  <si>
    <t>Areeha Mahmood</t>
  </si>
  <si>
    <t>C2010323</t>
  </si>
  <si>
    <t>C2010322</t>
  </si>
  <si>
    <t>Priyanka Singh</t>
  </si>
  <si>
    <t>C2010321</t>
  </si>
  <si>
    <t>Ram Prakash</t>
  </si>
  <si>
    <t>18.95/-KG(S)</t>
  </si>
  <si>
    <t>301M</t>
  </si>
  <si>
    <t>C2010320</t>
  </si>
  <si>
    <t>C2010319</t>
  </si>
  <si>
    <t>Labdhi Chemicals</t>
  </si>
  <si>
    <t>DMF, Acetonitrile</t>
  </si>
  <si>
    <t>46/-kg(s)</t>
  </si>
  <si>
    <t>296M</t>
  </si>
  <si>
    <t>C2010318</t>
  </si>
  <si>
    <t>Perlite Ore -Slax 30</t>
  </si>
  <si>
    <t>C2010317</t>
  </si>
  <si>
    <t>Paresh</t>
  </si>
  <si>
    <t>305M</t>
  </si>
  <si>
    <t>C2010316</t>
  </si>
  <si>
    <t>Varsha Patil</t>
  </si>
  <si>
    <t>2KG</t>
  </si>
  <si>
    <t>C2010315</t>
  </si>
  <si>
    <t>Divendu Barik</t>
  </si>
  <si>
    <t>Fish food Purpose</t>
  </si>
  <si>
    <t>C2010314</t>
  </si>
  <si>
    <t>Janta Car Patch</t>
  </si>
  <si>
    <t>C2010313</t>
  </si>
  <si>
    <t>Sand Casting</t>
  </si>
  <si>
    <t>C2010312</t>
  </si>
  <si>
    <t>Hasan Ali</t>
  </si>
  <si>
    <t>Ointment making purpose</t>
  </si>
  <si>
    <t>C2010311</t>
  </si>
  <si>
    <t>Nagendran</t>
  </si>
  <si>
    <t>Student project Purpose</t>
  </si>
  <si>
    <t>16/1/2020</t>
  </si>
  <si>
    <t>C2010310</t>
  </si>
  <si>
    <t xml:space="preserve">Husian </t>
  </si>
  <si>
    <t>304M</t>
  </si>
  <si>
    <t>C2010309</t>
  </si>
  <si>
    <t>Narimi Joharika</t>
  </si>
  <si>
    <t>C2010308</t>
  </si>
  <si>
    <t>Dalim Abdul Shaikh</t>
  </si>
  <si>
    <t>30,000poches</t>
  </si>
  <si>
    <t xml:space="preserve"> Business purpose</t>
  </si>
  <si>
    <t>7.10/-Pouch</t>
  </si>
  <si>
    <t>408M</t>
  </si>
  <si>
    <t>C2010307</t>
  </si>
  <si>
    <t>Vinit Sharma</t>
  </si>
  <si>
    <t>150 Mess  3/-kg(s),  200 Mess  4/-KG(S)</t>
  </si>
  <si>
    <t>297M</t>
  </si>
  <si>
    <t>C2010306</t>
  </si>
  <si>
    <t>Ritik</t>
  </si>
  <si>
    <t>Powder Cream of Tartar</t>
  </si>
  <si>
    <t>C2010305</t>
  </si>
  <si>
    <t>Saloni</t>
  </si>
  <si>
    <t>Corn Syrup</t>
  </si>
  <si>
    <t>1 Bottle</t>
  </si>
  <si>
    <t>C2010304</t>
  </si>
  <si>
    <t>Surojit panja</t>
  </si>
  <si>
    <t>Rhoduna 271</t>
  </si>
  <si>
    <t>C2010303</t>
  </si>
  <si>
    <t>Hina</t>
  </si>
  <si>
    <t>Iron Removal Filter purpose</t>
  </si>
  <si>
    <t>295M</t>
  </si>
  <si>
    <t>C2010302</t>
  </si>
  <si>
    <t>Thoufiq</t>
  </si>
  <si>
    <t>C2010301</t>
  </si>
  <si>
    <t>Sahadev Agarwal</t>
  </si>
  <si>
    <t>Ammonium Alum(Lumps And Powder)</t>
  </si>
  <si>
    <t>298M</t>
  </si>
  <si>
    <t>C2010300</t>
  </si>
  <si>
    <t>Tekram Sahu</t>
  </si>
  <si>
    <t>C2010299</t>
  </si>
  <si>
    <t>C2010298</t>
  </si>
  <si>
    <t>Huzefa Makra</t>
  </si>
  <si>
    <t>Calcium Carbide(China/Indian)</t>
  </si>
  <si>
    <t>294M</t>
  </si>
  <si>
    <t>C2010297</t>
  </si>
  <si>
    <t>Monu Kumar</t>
  </si>
  <si>
    <t>Coconut shell granular activated carbon</t>
  </si>
  <si>
    <t>Golaghat,Assam</t>
  </si>
  <si>
    <t>RO Plant</t>
  </si>
  <si>
    <t>295K</t>
  </si>
  <si>
    <t>C2010296</t>
  </si>
  <si>
    <t>Zunayed</t>
  </si>
  <si>
    <t>16/12020</t>
  </si>
  <si>
    <t>C2010295</t>
  </si>
  <si>
    <t>Bhaskar Dad</t>
  </si>
  <si>
    <t>Soda ash light,sodium sulphate,acid slurry,SMS,TSP,TPP,Calcium Carbonate,CMC</t>
  </si>
  <si>
    <t>Jainagar,South 24pngs</t>
  </si>
  <si>
    <t>40/-KG,24/-KG,100/-KG,29/-KG,44/-KG,90/-KG,28/-KG,145/-KG</t>
  </si>
  <si>
    <t>296K</t>
  </si>
  <si>
    <t>C2010294</t>
  </si>
  <si>
    <t>Dipankar Mondal</t>
  </si>
  <si>
    <t>Plantation purpose</t>
  </si>
  <si>
    <t>C2010293</t>
  </si>
  <si>
    <t>C2010292</t>
  </si>
  <si>
    <t>Dr.Abhijit</t>
  </si>
  <si>
    <t>Black Molasses</t>
  </si>
  <si>
    <t>Animal food making</t>
  </si>
  <si>
    <t>312M</t>
  </si>
  <si>
    <t>15/1/2020</t>
  </si>
  <si>
    <t>C2010291</t>
  </si>
  <si>
    <t>SK Basir Ahmed</t>
  </si>
  <si>
    <t>20LTR(S)</t>
  </si>
  <si>
    <t>Mushroom Farm Purpose</t>
  </si>
  <si>
    <t>C2010290</t>
  </si>
  <si>
    <t>Madhusudan Kumar</t>
  </si>
  <si>
    <t>Detergent Powder making purpose</t>
  </si>
  <si>
    <t>292K</t>
  </si>
  <si>
    <t>C2010289</t>
  </si>
  <si>
    <t>Ashraf Kamal</t>
  </si>
  <si>
    <t>C2010288</t>
  </si>
  <si>
    <t>Sahabuddin Shaikh</t>
  </si>
  <si>
    <t>Soap Bar making purpose</t>
  </si>
  <si>
    <t>293K</t>
  </si>
  <si>
    <t>C2010287</t>
  </si>
  <si>
    <t>291M</t>
  </si>
  <si>
    <t>C2010286</t>
  </si>
  <si>
    <t>Rachana</t>
  </si>
  <si>
    <t>Glass Powder,Flyash,Blast Furnace Slag</t>
  </si>
  <si>
    <t>Each 25KG(S)</t>
  </si>
  <si>
    <t>C2010285</t>
  </si>
  <si>
    <t>Jamilur Rahman</t>
  </si>
  <si>
    <t>Alpha Carbonate And  Magnesium Sulphate</t>
  </si>
  <si>
    <t>C2010284</t>
  </si>
  <si>
    <t>Santosh Parwal</t>
  </si>
  <si>
    <t>Filler Compound</t>
  </si>
  <si>
    <t>15/12020</t>
  </si>
  <si>
    <t>C2010283</t>
  </si>
  <si>
    <t>Sagar Mane</t>
  </si>
  <si>
    <t>Polypropylene Filler Compound</t>
  </si>
  <si>
    <t>C2010282</t>
  </si>
  <si>
    <t>Shivaji Chohan</t>
  </si>
  <si>
    <t>C2010281</t>
  </si>
  <si>
    <t>Harshit Sharma</t>
  </si>
  <si>
    <t>School Project purpose</t>
  </si>
  <si>
    <t>C2010280</t>
  </si>
  <si>
    <t>Vesto</t>
  </si>
  <si>
    <t>Dextrose Chemical</t>
  </si>
  <si>
    <t>500GM</t>
  </si>
  <si>
    <t>14/1/2020</t>
  </si>
  <si>
    <t>C2010279</t>
  </si>
  <si>
    <t>Toilet Cleaner purpose</t>
  </si>
  <si>
    <t>C2010278</t>
  </si>
  <si>
    <t>C2010277</t>
  </si>
  <si>
    <t>Rakesh Khatri</t>
  </si>
  <si>
    <t>Kakab Molasses</t>
  </si>
  <si>
    <t>C2010276</t>
  </si>
  <si>
    <t>285K</t>
  </si>
  <si>
    <t>C2010275</t>
  </si>
  <si>
    <t>Raja</t>
  </si>
  <si>
    <t>288M</t>
  </si>
  <si>
    <t>C2010274</t>
  </si>
  <si>
    <t>Sandip Samaddar</t>
  </si>
  <si>
    <t>Agricultural Gypsum Powder</t>
  </si>
  <si>
    <t>Mushroom spawn making purpose</t>
  </si>
  <si>
    <t>286K</t>
  </si>
  <si>
    <t>C2010273</t>
  </si>
  <si>
    <t>Ravichandra Talupula</t>
  </si>
  <si>
    <t>4KG(S)</t>
  </si>
  <si>
    <t>C2010272</t>
  </si>
  <si>
    <t>Jaydip</t>
  </si>
  <si>
    <t>C2010271</t>
  </si>
  <si>
    <t>Dev Nath</t>
  </si>
  <si>
    <t>C2010270</t>
  </si>
  <si>
    <t>Nimesh Thakkar</t>
  </si>
  <si>
    <t>Intermediate purpose</t>
  </si>
  <si>
    <t>63/-KG(S)</t>
  </si>
  <si>
    <t>287M</t>
  </si>
  <si>
    <t>C2010269</t>
  </si>
  <si>
    <t>Divesh Jain</t>
  </si>
  <si>
    <t>2000TON(S)</t>
  </si>
  <si>
    <t>293M</t>
  </si>
  <si>
    <t>C2010268</t>
  </si>
  <si>
    <t>Payal J</t>
  </si>
  <si>
    <t>C2010267</t>
  </si>
  <si>
    <t>Ramesh Patil</t>
  </si>
  <si>
    <t>Starch  Industry purpose</t>
  </si>
  <si>
    <t>137/-KG(S)</t>
  </si>
  <si>
    <t>289M</t>
  </si>
  <si>
    <t>C2010266</t>
  </si>
  <si>
    <t>Pradeep B</t>
  </si>
  <si>
    <t>C2010265</t>
  </si>
  <si>
    <t>Ganesh Viswas</t>
  </si>
  <si>
    <t xml:space="preserve">Bricks  </t>
  </si>
  <si>
    <t>C2010264</t>
  </si>
  <si>
    <t>Madhav Chakravarthy</t>
  </si>
  <si>
    <t>Home purpose</t>
  </si>
  <si>
    <t>227/-KG(S)</t>
  </si>
  <si>
    <t>306M</t>
  </si>
  <si>
    <t>C2010263</t>
  </si>
  <si>
    <t>Sufal Das</t>
  </si>
  <si>
    <t>Habra,Kolkata</t>
  </si>
  <si>
    <t>281K</t>
  </si>
  <si>
    <t>C2010262</t>
  </si>
  <si>
    <t>Ajad</t>
  </si>
  <si>
    <t>C2010261</t>
  </si>
  <si>
    <t>Birendra Kumar</t>
  </si>
  <si>
    <t>13/1/2020</t>
  </si>
  <si>
    <t>C2010260</t>
  </si>
  <si>
    <t>Surajit Pramanik</t>
  </si>
  <si>
    <t>East Midnapur</t>
  </si>
  <si>
    <t>C2010259</t>
  </si>
  <si>
    <t>Soumen</t>
  </si>
  <si>
    <t>C2010258</t>
  </si>
  <si>
    <t>Seeralan</t>
  </si>
  <si>
    <t>200unit</t>
  </si>
  <si>
    <t>C2010257</t>
  </si>
  <si>
    <t>Rajkumar</t>
  </si>
  <si>
    <t>C2010256</t>
  </si>
  <si>
    <t>Bhargavi</t>
  </si>
  <si>
    <t>13/12020</t>
  </si>
  <si>
    <t>C2010255</t>
  </si>
  <si>
    <t>Anutosh Roy</t>
  </si>
  <si>
    <t>C2010254</t>
  </si>
  <si>
    <t>Vipin</t>
  </si>
  <si>
    <t>Ammonia bifluride,zinc oxide,soda ash,sodium hydro sulphate, hydrogen peroxide,acitone,acitic acid,citric acid,bleaching powder,caustic soda</t>
  </si>
  <si>
    <t>500 Kg Each</t>
  </si>
  <si>
    <t>C2010253</t>
  </si>
  <si>
    <t>Rameez Shaikh</t>
  </si>
  <si>
    <t>Asbestos Ceiling</t>
  </si>
  <si>
    <t>C2010252</t>
  </si>
  <si>
    <t>Sudhir</t>
  </si>
  <si>
    <t>C2010251</t>
  </si>
  <si>
    <t>Shree Balaji Agency</t>
  </si>
  <si>
    <t>Ammonium Alum Lumps</t>
  </si>
  <si>
    <t>20.61/-KG(S)</t>
  </si>
  <si>
    <t>299M</t>
  </si>
  <si>
    <t>C2010250</t>
  </si>
  <si>
    <t>Dipta</t>
  </si>
  <si>
    <t>Washing powder</t>
  </si>
  <si>
    <t>279K</t>
  </si>
  <si>
    <t>C2010249</t>
  </si>
  <si>
    <t>Umesh Shelke</t>
  </si>
  <si>
    <t>307M</t>
  </si>
  <si>
    <t>C2010248</t>
  </si>
  <si>
    <t>Devendra Kattimani</t>
  </si>
  <si>
    <t>C2010247</t>
  </si>
  <si>
    <t>N.V.Pharma</t>
  </si>
  <si>
    <t>Sodium Chloride,Sodium Citrate</t>
  </si>
  <si>
    <t>150ton(s),250ton(s)</t>
  </si>
  <si>
    <t>ORS making purpose</t>
  </si>
  <si>
    <t>89.26/-KG(S),12.60/-KG(S)</t>
  </si>
  <si>
    <t>341M</t>
  </si>
  <si>
    <t>C2010246</t>
  </si>
  <si>
    <t>Ranjan</t>
  </si>
  <si>
    <t>C2010245</t>
  </si>
  <si>
    <t>Parkash Mahiwal</t>
  </si>
  <si>
    <t>Animal food purpose</t>
  </si>
  <si>
    <t>300M</t>
  </si>
  <si>
    <t>C2010244</t>
  </si>
  <si>
    <t>Global Calcium Pvt.Ltd</t>
  </si>
  <si>
    <t>Production purpose</t>
  </si>
  <si>
    <t>284M</t>
  </si>
  <si>
    <t>C2010243</t>
  </si>
  <si>
    <t>C2010242</t>
  </si>
  <si>
    <t>Madhav Majumdar</t>
  </si>
  <si>
    <t xml:space="preserve">Quick Lime  </t>
  </si>
  <si>
    <t>Bandel</t>
  </si>
  <si>
    <t>276K</t>
  </si>
  <si>
    <t>C2010241</t>
  </si>
  <si>
    <t>Dmitriy</t>
  </si>
  <si>
    <t>C2010240</t>
  </si>
  <si>
    <t xml:space="preserve">Akash </t>
  </si>
  <si>
    <t>Liquid Formoline</t>
  </si>
  <si>
    <t>C2010239</t>
  </si>
  <si>
    <t>Iswariswar Mondal</t>
  </si>
  <si>
    <t>C2010238</t>
  </si>
  <si>
    <t>Satyaki Purkait</t>
  </si>
  <si>
    <t>Silver Reshaping</t>
  </si>
  <si>
    <t>287K</t>
  </si>
  <si>
    <t>C2010237</t>
  </si>
  <si>
    <t>C2010236</t>
  </si>
  <si>
    <t>Dheeraj Kumar Singh</t>
  </si>
  <si>
    <t>Yellow Ferric Chloride</t>
  </si>
  <si>
    <t>Circuit Board making purpose</t>
  </si>
  <si>
    <t>C2010235</t>
  </si>
  <si>
    <t>Arnab Basu</t>
  </si>
  <si>
    <t>Alphox 200</t>
  </si>
  <si>
    <t>C2010234</t>
  </si>
  <si>
    <t>Rajesh Singh</t>
  </si>
  <si>
    <t>Behala,Kolkata</t>
  </si>
  <si>
    <t>277K</t>
  </si>
  <si>
    <t>C2010233</t>
  </si>
  <si>
    <t>Ibadulla Seikh</t>
  </si>
  <si>
    <t>Burdwan,Katwa</t>
  </si>
  <si>
    <t>297K</t>
  </si>
  <si>
    <t>C2010232</t>
  </si>
  <si>
    <t>Jayesh Joshi</t>
  </si>
  <si>
    <t>292M</t>
  </si>
  <si>
    <t>C2010231</t>
  </si>
  <si>
    <t>DD Enterprises</t>
  </si>
  <si>
    <t>286M</t>
  </si>
  <si>
    <t>C2010230</t>
  </si>
  <si>
    <t>Nayana Chem Pvt.Ltd</t>
  </si>
  <si>
    <t>DMF,DMAC,NMP,DMSO,Mipa 70%</t>
  </si>
  <si>
    <t>Each 15TON(S)</t>
  </si>
  <si>
    <t>Pesticides making purpose</t>
  </si>
  <si>
    <t>279M</t>
  </si>
  <si>
    <t>C2010229</t>
  </si>
  <si>
    <t>C2010228</t>
  </si>
  <si>
    <t>Pat Impex</t>
  </si>
  <si>
    <t>Zinc Sulphate Heptahydrate</t>
  </si>
  <si>
    <t>C2010227</t>
  </si>
  <si>
    <t>Pravin Parekh</t>
  </si>
  <si>
    <t>285M</t>
  </si>
  <si>
    <t>C2010226</t>
  </si>
  <si>
    <t>Anibrata Rakshit</t>
  </si>
  <si>
    <t>C2010225</t>
  </si>
  <si>
    <t>Showpiece making purpose</t>
  </si>
  <si>
    <t>High 30/-KG(S),Medium 28/-KG(S),Low 27/-KG(S)</t>
  </si>
  <si>
    <t>303M</t>
  </si>
  <si>
    <t>C2010224</t>
  </si>
  <si>
    <t>D N Mehta</t>
  </si>
  <si>
    <t>Gravels Stones</t>
  </si>
  <si>
    <t>C2010223</t>
  </si>
  <si>
    <t>Industrial Chemical Works</t>
  </si>
  <si>
    <t>20.64/-KG(S)</t>
  </si>
  <si>
    <t>302M</t>
  </si>
  <si>
    <t>C2010222</t>
  </si>
  <si>
    <t>Alchem International Pvt.Ltd</t>
  </si>
  <si>
    <t xml:space="preserve">Calcium Chloride  </t>
  </si>
  <si>
    <t>Sultanpur</t>
  </si>
  <si>
    <t>70%- 14/-KG(S), 90%- 18/-kg(s)</t>
  </si>
  <si>
    <t>324M</t>
  </si>
  <si>
    <t>C2010221</t>
  </si>
  <si>
    <t>Shailesh Mehta</t>
  </si>
  <si>
    <t>Copper sulphate,calcium chloride,stannous chloride</t>
  </si>
  <si>
    <t>500kgs,1ton,200kgs</t>
  </si>
  <si>
    <t>282M</t>
  </si>
  <si>
    <t>C2010220</t>
  </si>
  <si>
    <t>Raju Dugar</t>
  </si>
  <si>
    <t>Jelly making purpose</t>
  </si>
  <si>
    <t>1076/-KG(S)</t>
  </si>
  <si>
    <t>320M</t>
  </si>
  <si>
    <t>C2010219</t>
  </si>
  <si>
    <t>Min Chem India</t>
  </si>
  <si>
    <t>Sodium Citrate IP Grade</t>
  </si>
  <si>
    <t>89.35/-KG(S)</t>
  </si>
  <si>
    <t>308M</t>
  </si>
  <si>
    <t>C2010218</t>
  </si>
  <si>
    <t>Viji</t>
  </si>
  <si>
    <t>Nutrasav</t>
  </si>
  <si>
    <t>C2010217</t>
  </si>
  <si>
    <t>Ferric Alum, Sodium Sulphate</t>
  </si>
  <si>
    <t>Party want  to pick from godown</t>
  </si>
  <si>
    <t>7/-kg(s),13/-kg(s)</t>
  </si>
  <si>
    <t>271K</t>
  </si>
  <si>
    <t>C2010216</t>
  </si>
  <si>
    <t>Greenvention Biotech Private Limited</t>
  </si>
  <si>
    <t>281M</t>
  </si>
  <si>
    <t>C2010215</t>
  </si>
  <si>
    <t>AVN Plastics &amp; Rubbers</t>
  </si>
  <si>
    <t>C2010214</t>
  </si>
  <si>
    <t>Mohan Kumar</t>
  </si>
  <si>
    <t>C2010213</t>
  </si>
  <si>
    <t>Muzaffar</t>
  </si>
  <si>
    <t>C2010212</t>
  </si>
  <si>
    <t>Mahesh Bhai</t>
  </si>
  <si>
    <t>White Lithopone Powder</t>
  </si>
  <si>
    <t>278M</t>
  </si>
  <si>
    <t>C2010211</t>
  </si>
  <si>
    <t xml:space="preserve">Minketan </t>
  </si>
  <si>
    <t>308K</t>
  </si>
  <si>
    <t>C2010210</t>
  </si>
  <si>
    <t>Reddish Yellow Gum Acacia</t>
  </si>
  <si>
    <t>C2010209</t>
  </si>
  <si>
    <t>Waseem</t>
  </si>
  <si>
    <t>C2010208</t>
  </si>
  <si>
    <t>Dharmendra Verma</t>
  </si>
  <si>
    <t>C2010207</t>
  </si>
  <si>
    <t>Tirtha Banerjea</t>
  </si>
  <si>
    <t>C2010206</t>
  </si>
  <si>
    <t>Naresh Patel</t>
  </si>
  <si>
    <t>283M</t>
  </si>
  <si>
    <t>C2010205</t>
  </si>
  <si>
    <t>Natural Ulexite</t>
  </si>
  <si>
    <t>C2010204</t>
  </si>
  <si>
    <t>Shashank Jadhav</t>
  </si>
  <si>
    <t>C2010203</t>
  </si>
  <si>
    <t>Kalia</t>
  </si>
  <si>
    <t>263K</t>
  </si>
  <si>
    <t>C2010202</t>
  </si>
  <si>
    <t>Vinod Singh</t>
  </si>
  <si>
    <t>C2010201</t>
  </si>
  <si>
    <t>Suganesh Perumal</t>
  </si>
  <si>
    <t>C2010200</t>
  </si>
  <si>
    <t>C2010199</t>
  </si>
  <si>
    <t>Arijit</t>
  </si>
  <si>
    <t>CH-Sodium Hypochlorite</t>
  </si>
  <si>
    <t>60TON(S) Per week</t>
  </si>
  <si>
    <t>267K</t>
  </si>
  <si>
    <t>C2010198</t>
  </si>
  <si>
    <t>Pentagon Chemicals</t>
  </si>
  <si>
    <t xml:space="preserve">Magnesium Sulphate  </t>
  </si>
  <si>
    <t>C2010197</t>
  </si>
  <si>
    <t>C2010196</t>
  </si>
  <si>
    <t>C2010195</t>
  </si>
  <si>
    <t>Harshita</t>
  </si>
  <si>
    <t>C2010194</t>
  </si>
  <si>
    <t>C2010193</t>
  </si>
  <si>
    <t>Ratna Hosagoudar</t>
  </si>
  <si>
    <t>White G Salt</t>
  </si>
  <si>
    <t>Detegent powder purpose</t>
  </si>
  <si>
    <t>325M</t>
  </si>
  <si>
    <t>C2010192</t>
  </si>
  <si>
    <t>Raja Fine Chemicals</t>
  </si>
  <si>
    <t>butyl cellosolve,solvent C10,mix xylene,di acetone alcohol</t>
  </si>
  <si>
    <t>Each 5 TON(S)</t>
  </si>
  <si>
    <t>C2010191</t>
  </si>
  <si>
    <t>A K sinha</t>
  </si>
  <si>
    <t>Formaldehyde,Fumed Silica Powder</t>
  </si>
  <si>
    <t>1TON,1TON</t>
  </si>
  <si>
    <t>29/-kg,7/-kg</t>
  </si>
  <si>
    <t>266K</t>
  </si>
  <si>
    <t>C2010190</t>
  </si>
  <si>
    <t>Blitzkrieg Organies &amp; Biochemicals Industries</t>
  </si>
  <si>
    <t>277M</t>
  </si>
  <si>
    <t>C2010189</t>
  </si>
  <si>
    <t>326M</t>
  </si>
  <si>
    <t>C2010188</t>
  </si>
  <si>
    <t>Jignesh Sadharakiya</t>
  </si>
  <si>
    <t>280M</t>
  </si>
  <si>
    <t>C2010187</t>
  </si>
  <si>
    <t>Vaibhav Mandgaonkar</t>
  </si>
  <si>
    <t>Use in Steel Plant</t>
  </si>
  <si>
    <t>C2010186</t>
  </si>
  <si>
    <t>Jaimataji Sells</t>
  </si>
  <si>
    <t>14TON(S)</t>
  </si>
  <si>
    <t>C2010185</t>
  </si>
  <si>
    <t>Mangilal Rathi</t>
  </si>
  <si>
    <t xml:space="preserve">Manganese Dioxide  </t>
  </si>
  <si>
    <t>Bara Bazaar,Kolkata</t>
  </si>
  <si>
    <t>34/-kg(low),45/-kg(high)</t>
  </si>
  <si>
    <t>288K</t>
  </si>
  <si>
    <t>C2010184</t>
  </si>
  <si>
    <t>Kuldeep</t>
  </si>
  <si>
    <t>C2010183</t>
  </si>
  <si>
    <t>250Gram</t>
  </si>
  <si>
    <t>C2010182</t>
  </si>
  <si>
    <t>Krunal Chemicals</t>
  </si>
  <si>
    <t>Sodium Aluminate 44%</t>
  </si>
  <si>
    <t>269M</t>
  </si>
  <si>
    <t>C2010181</t>
  </si>
  <si>
    <t>Manish Organics</t>
  </si>
  <si>
    <t>Ketonic Resin</t>
  </si>
  <si>
    <t>C2010180</t>
  </si>
  <si>
    <t>Vijay Rajput</t>
  </si>
  <si>
    <t>Potato Wahing purpose</t>
  </si>
  <si>
    <t>270M</t>
  </si>
  <si>
    <t>C2010179</t>
  </si>
  <si>
    <t>Joseph Edassery</t>
  </si>
  <si>
    <t>Active Carbon Filter Media</t>
  </si>
  <si>
    <t>271M</t>
  </si>
  <si>
    <t>C2010178</t>
  </si>
  <si>
    <t xml:space="preserve">Aditya </t>
  </si>
  <si>
    <t>Darbhanga,Bihar</t>
  </si>
  <si>
    <t>Road Construction purpose</t>
  </si>
  <si>
    <t>252K</t>
  </si>
  <si>
    <t>C2010177</t>
  </si>
  <si>
    <t>Subhash Sable</t>
  </si>
  <si>
    <t>274M</t>
  </si>
  <si>
    <t>C2010176</t>
  </si>
  <si>
    <t>Rakesh Kadia</t>
  </si>
  <si>
    <t>Sodium Citrate</t>
  </si>
  <si>
    <t>Consumption Purpose</t>
  </si>
  <si>
    <t>290M</t>
  </si>
  <si>
    <t>C2010175</t>
  </si>
  <si>
    <t>Trethylene Glycol</t>
  </si>
  <si>
    <t>C2010174</t>
  </si>
  <si>
    <t>Ravindra Chauthale</t>
  </si>
  <si>
    <t>309M</t>
  </si>
  <si>
    <t>C2010173</t>
  </si>
  <si>
    <t>Virgil Fernandez</t>
  </si>
  <si>
    <t>Industrial Testing purpose</t>
  </si>
  <si>
    <t>272M</t>
  </si>
  <si>
    <t>C2010172</t>
  </si>
  <si>
    <t>Fact Trading Co.</t>
  </si>
  <si>
    <t>253K</t>
  </si>
  <si>
    <t>C2010170</t>
  </si>
  <si>
    <t>Vasantha Kumari</t>
  </si>
  <si>
    <t>Kayamkulam</t>
  </si>
  <si>
    <t>C2010171</t>
  </si>
  <si>
    <t>258K</t>
  </si>
  <si>
    <t>C2010169</t>
  </si>
  <si>
    <t>Gopal Kokarwa</t>
  </si>
  <si>
    <t>C2010168</t>
  </si>
  <si>
    <t>C2010167</t>
  </si>
  <si>
    <t>Souvik Roy</t>
  </si>
  <si>
    <t>Ordinary Denatured Spirit</t>
  </si>
  <si>
    <t>22TON(S)</t>
  </si>
  <si>
    <t>69/-KG(S)</t>
  </si>
  <si>
    <t>259K</t>
  </si>
  <si>
    <t>C2010166</t>
  </si>
  <si>
    <t>Dev Patel</t>
  </si>
  <si>
    <t>49/-KG(S)</t>
  </si>
  <si>
    <t>273M</t>
  </si>
  <si>
    <t>C2010165</t>
  </si>
  <si>
    <t>Copper Sulphate USP Grade</t>
  </si>
  <si>
    <t>2 Container</t>
  </si>
  <si>
    <t>146/-KG(S)</t>
  </si>
  <si>
    <t>255K</t>
  </si>
  <si>
    <t>C2010164</t>
  </si>
  <si>
    <t>Saydhul Aslam</t>
  </si>
  <si>
    <t>Dolomite powder</t>
  </si>
  <si>
    <t>254K</t>
  </si>
  <si>
    <t>C2010163</t>
  </si>
  <si>
    <t>Ashwini Sharma</t>
  </si>
  <si>
    <t>257K</t>
  </si>
  <si>
    <t>C2010162</t>
  </si>
  <si>
    <t>Shekhar Lakhotia</t>
  </si>
  <si>
    <t>256K</t>
  </si>
  <si>
    <t>C2010161</t>
  </si>
  <si>
    <t>Mohan Prasad</t>
  </si>
  <si>
    <t>Blusting purpose</t>
  </si>
  <si>
    <t>4.83/-KG(S)</t>
  </si>
  <si>
    <t>331K</t>
  </si>
  <si>
    <t>C2010160</t>
  </si>
  <si>
    <t>Sashi Prakash Tiwari</t>
  </si>
  <si>
    <t>C2010159</t>
  </si>
  <si>
    <t>C2010158</t>
  </si>
  <si>
    <t>Shivam Sharma</t>
  </si>
  <si>
    <t>Plant purpose</t>
  </si>
  <si>
    <t>261M</t>
  </si>
  <si>
    <t>C2010157</t>
  </si>
  <si>
    <t>Shreeram Wadekar</t>
  </si>
  <si>
    <t>Petrochemical purpose</t>
  </si>
  <si>
    <t xml:space="preserve">508/-kg </t>
  </si>
  <si>
    <t>275M</t>
  </si>
  <si>
    <t>C2010156</t>
  </si>
  <si>
    <t>Maqbool</t>
  </si>
  <si>
    <t>267M</t>
  </si>
  <si>
    <t>C2010155</t>
  </si>
  <si>
    <t>Avishek Mandal</t>
  </si>
  <si>
    <t>Kalitola,Kolkata</t>
  </si>
  <si>
    <t>248K</t>
  </si>
  <si>
    <t>C2010154</t>
  </si>
  <si>
    <t>K C S Reddy</t>
  </si>
  <si>
    <t>Tireless Cleaning purpose</t>
  </si>
  <si>
    <t>266M</t>
  </si>
  <si>
    <t>C2010153</t>
  </si>
  <si>
    <t>Arpita</t>
  </si>
  <si>
    <t>Nicomet Gel</t>
  </si>
  <si>
    <t>C2010152</t>
  </si>
  <si>
    <t>Kite Thread purpose</t>
  </si>
  <si>
    <t>265K</t>
  </si>
  <si>
    <t>C2010151</t>
  </si>
  <si>
    <t>Varma Sanjay</t>
  </si>
  <si>
    <t>264M</t>
  </si>
  <si>
    <t>C2010150</t>
  </si>
  <si>
    <t>S G Jena</t>
  </si>
  <si>
    <t>5000TON(S)</t>
  </si>
  <si>
    <t>C2010149</t>
  </si>
  <si>
    <t>Chandrakant Shah</t>
  </si>
  <si>
    <t>C2010148</t>
  </si>
  <si>
    <t>Harish Prasad</t>
  </si>
  <si>
    <t>C2010147</t>
  </si>
  <si>
    <t>Sayani</t>
  </si>
  <si>
    <t>Chinar Park</t>
  </si>
  <si>
    <t>Tandoor purpose</t>
  </si>
  <si>
    <t>246K</t>
  </si>
  <si>
    <t>C2010146</t>
  </si>
  <si>
    <t>Avinash Pawar</t>
  </si>
  <si>
    <t>C2010145</t>
  </si>
  <si>
    <t>C2010144</t>
  </si>
  <si>
    <t>Main Pal</t>
  </si>
  <si>
    <t>35TON(S)</t>
  </si>
  <si>
    <t>Indri,Harayana</t>
  </si>
  <si>
    <t>262M</t>
  </si>
  <si>
    <t>C2010143</t>
  </si>
  <si>
    <t>Ashish Vishwakarma</t>
  </si>
  <si>
    <t>C2010142</t>
  </si>
  <si>
    <t>Mahipal sinh</t>
  </si>
  <si>
    <t>C2010141</t>
  </si>
  <si>
    <t>Shailesh Patel</t>
  </si>
  <si>
    <t>Crude IPA</t>
  </si>
  <si>
    <t>C2010140</t>
  </si>
  <si>
    <t>Ravi Karnik</t>
  </si>
  <si>
    <t>263M</t>
  </si>
  <si>
    <t>C2010139</t>
  </si>
  <si>
    <t>Raju Vora</t>
  </si>
  <si>
    <t>C2010138</t>
  </si>
  <si>
    <t>Raju Sharma</t>
  </si>
  <si>
    <t>Bricks Requirement</t>
  </si>
  <si>
    <t>C2010137</t>
  </si>
  <si>
    <t>Sankar Kumar Narayanan</t>
  </si>
  <si>
    <t>C2010136</t>
  </si>
  <si>
    <t>Charmi Chedda</t>
  </si>
  <si>
    <t>C2010135</t>
  </si>
  <si>
    <t>Nisit Mehta</t>
  </si>
  <si>
    <t xml:space="preserve">Washing factory </t>
  </si>
  <si>
    <t>231K</t>
  </si>
  <si>
    <t>C2010134</t>
  </si>
  <si>
    <t>Sravya Mandava</t>
  </si>
  <si>
    <t>C2010133</t>
  </si>
  <si>
    <t>Neelakant</t>
  </si>
  <si>
    <t>Slag Sand</t>
  </si>
  <si>
    <t>Gulbarga</t>
  </si>
  <si>
    <t>247M</t>
  </si>
  <si>
    <t>C2010132</t>
  </si>
  <si>
    <t>Prolay Kanti Tarafdar</t>
  </si>
  <si>
    <t>Champahati</t>
  </si>
  <si>
    <t>229K</t>
  </si>
  <si>
    <t>C2010131</t>
  </si>
  <si>
    <t>Hrik Debnath</t>
  </si>
  <si>
    <t>Calcium Stone</t>
  </si>
  <si>
    <t>Mogra,Kolkata</t>
  </si>
  <si>
    <t>Poultry feed purpose</t>
  </si>
  <si>
    <t>235K</t>
  </si>
  <si>
    <t>C2010130</t>
  </si>
  <si>
    <t>Abhishek Shrivastava</t>
  </si>
  <si>
    <t>258M</t>
  </si>
  <si>
    <t>C2010129</t>
  </si>
  <si>
    <t>246M</t>
  </si>
  <si>
    <t>C2010128</t>
  </si>
  <si>
    <t>Raju Kumar Gupta</t>
  </si>
  <si>
    <t>248M</t>
  </si>
  <si>
    <t>C2010127</t>
  </si>
  <si>
    <t>C2010126</t>
  </si>
  <si>
    <t>Ritik Bhandari</t>
  </si>
  <si>
    <t>257M</t>
  </si>
  <si>
    <t>C2010125</t>
  </si>
  <si>
    <t xml:space="preserve">Phani  </t>
  </si>
  <si>
    <t>256M</t>
  </si>
  <si>
    <t>C2010124</t>
  </si>
  <si>
    <t>Dr.Kada</t>
  </si>
  <si>
    <t>Dry Molasses</t>
  </si>
  <si>
    <t>C2010123</t>
  </si>
  <si>
    <t>Prashant Arora</t>
  </si>
  <si>
    <t>400KG(S)</t>
  </si>
  <si>
    <t>250M</t>
  </si>
  <si>
    <t>C2010122</t>
  </si>
  <si>
    <t>Gana</t>
  </si>
  <si>
    <t>243M</t>
  </si>
  <si>
    <t>C2010121</t>
  </si>
  <si>
    <t>Anand Deshpande</t>
  </si>
  <si>
    <t>15 Container</t>
  </si>
  <si>
    <t>244M</t>
  </si>
  <si>
    <t>C2010120</t>
  </si>
  <si>
    <t>Phani Kumar</t>
  </si>
  <si>
    <t>Mangannese Green Sand</t>
  </si>
  <si>
    <t>C2010119</t>
  </si>
  <si>
    <t>R Avinash</t>
  </si>
  <si>
    <t>Reslling purpose</t>
  </si>
  <si>
    <t>260M</t>
  </si>
  <si>
    <t>C2010118</t>
  </si>
  <si>
    <t>Dimethyi Formamide</t>
  </si>
  <si>
    <t>251M</t>
  </si>
  <si>
    <t>C2010117</t>
  </si>
  <si>
    <t>Anshu Dixit</t>
  </si>
  <si>
    <t>254M</t>
  </si>
  <si>
    <t>C2010116</t>
  </si>
  <si>
    <t>Manuu</t>
  </si>
  <si>
    <t>253M</t>
  </si>
  <si>
    <t>C2010115</t>
  </si>
  <si>
    <t>2100KG(S)</t>
  </si>
  <si>
    <t>Technical purpose</t>
  </si>
  <si>
    <t>252M</t>
  </si>
  <si>
    <t>C2010114</t>
  </si>
  <si>
    <t>Om Verma</t>
  </si>
  <si>
    <t>Nursery purpose</t>
  </si>
  <si>
    <t>228K</t>
  </si>
  <si>
    <t>C2010113</t>
  </si>
  <si>
    <t>Suvarna</t>
  </si>
  <si>
    <t>C2010112</t>
  </si>
  <si>
    <t>C2010111</t>
  </si>
  <si>
    <t>Sri Ramani</t>
  </si>
  <si>
    <t>C2010110</t>
  </si>
  <si>
    <t>Vikshit</t>
  </si>
  <si>
    <t>245M</t>
  </si>
  <si>
    <t>C2010109</t>
  </si>
  <si>
    <t>Reselling  purpose</t>
  </si>
  <si>
    <t>232K</t>
  </si>
  <si>
    <t>C2010108</t>
  </si>
  <si>
    <t>Mohi Mohi</t>
  </si>
  <si>
    <t>Potassium chloride</t>
  </si>
  <si>
    <t>C2010107</t>
  </si>
  <si>
    <t>Aarif Shaikh</t>
  </si>
  <si>
    <t>Steel Factory purpose</t>
  </si>
  <si>
    <t>249M</t>
  </si>
  <si>
    <t>C2010106</t>
  </si>
  <si>
    <t>Tulesh Patel</t>
  </si>
  <si>
    <t>Palari</t>
  </si>
  <si>
    <t>C2010105</t>
  </si>
  <si>
    <t>Dheeraj Sisodiya</t>
  </si>
  <si>
    <t>Glass Media</t>
  </si>
  <si>
    <t>C2010104</t>
  </si>
  <si>
    <t xml:space="preserve">Amit </t>
  </si>
  <si>
    <t>Jagaddal</t>
  </si>
  <si>
    <t>76/-KG(S)</t>
  </si>
  <si>
    <t>320K</t>
  </si>
  <si>
    <t>C2010103</t>
  </si>
  <si>
    <t>Eureka Khong</t>
  </si>
  <si>
    <t>Quick Lime Koli Chuna</t>
  </si>
  <si>
    <t>Construction purpose</t>
  </si>
  <si>
    <t>277/-KG(S)</t>
  </si>
  <si>
    <t>230K</t>
  </si>
  <si>
    <t>C2010102</t>
  </si>
  <si>
    <t>Ranjiv Kumar</t>
  </si>
  <si>
    <t>Automotive Industries</t>
  </si>
  <si>
    <t>241M</t>
  </si>
  <si>
    <t>C2010101</t>
  </si>
  <si>
    <t>233K</t>
  </si>
  <si>
    <t>C2010100</t>
  </si>
  <si>
    <t>Partha Sarathi</t>
  </si>
  <si>
    <t>Fish culture</t>
  </si>
  <si>
    <t>236K</t>
  </si>
  <si>
    <t>C2010099</t>
  </si>
  <si>
    <t>Ashok Bhai</t>
  </si>
  <si>
    <t>259M</t>
  </si>
  <si>
    <t>C2010098</t>
  </si>
  <si>
    <t>Mohan Raj</t>
  </si>
  <si>
    <t>sodium chlorite31%,Hydrochloric Acid30%,Sulphuric Acid 98%</t>
  </si>
  <si>
    <t>Each 2 tanker</t>
  </si>
  <si>
    <t>265/-KG(S),6/-KG(S)</t>
  </si>
  <si>
    <t>255M</t>
  </si>
  <si>
    <t>C2010097</t>
  </si>
  <si>
    <t>Gyalaraljal</t>
  </si>
  <si>
    <t>Bhadrak,Odisha</t>
  </si>
  <si>
    <t>284/-KG(S)</t>
  </si>
  <si>
    <t>234K</t>
  </si>
  <si>
    <t>C2010096</t>
  </si>
  <si>
    <t>Akhil Sharma</t>
  </si>
  <si>
    <t>Maize Strach IP Grade</t>
  </si>
  <si>
    <t>Pharma purpose</t>
  </si>
  <si>
    <t>C2010095</t>
  </si>
  <si>
    <t xml:space="preserve">Nikunj  </t>
  </si>
  <si>
    <t>C2010094</t>
  </si>
  <si>
    <t>C Jagannath</t>
  </si>
  <si>
    <t>240M</t>
  </si>
  <si>
    <t>C2010093</t>
  </si>
  <si>
    <t>Deepak Disa</t>
  </si>
  <si>
    <t>242M</t>
  </si>
  <si>
    <t>C2010092</t>
  </si>
  <si>
    <t>Rajesh Chaudhary</t>
  </si>
  <si>
    <t>Loundry purpose</t>
  </si>
  <si>
    <t>283/-KG(S)</t>
  </si>
  <si>
    <t>239M</t>
  </si>
  <si>
    <t>C2010091</t>
  </si>
  <si>
    <t>Rajendra Kharche</t>
  </si>
  <si>
    <t>27TON(S)</t>
  </si>
  <si>
    <t>238M</t>
  </si>
  <si>
    <t>C2010090</t>
  </si>
  <si>
    <t>YR Bhatla</t>
  </si>
  <si>
    <t>Sorbitol liquid</t>
  </si>
  <si>
    <t>237M</t>
  </si>
  <si>
    <t>C2010089</t>
  </si>
  <si>
    <t>Reshmi</t>
  </si>
  <si>
    <t xml:space="preserve">Candelilla Wax </t>
  </si>
  <si>
    <t>Experiment purpose</t>
  </si>
  <si>
    <t>C2010088</t>
  </si>
  <si>
    <t>Anand Babu</t>
  </si>
  <si>
    <t>374/-KG(S)</t>
  </si>
  <si>
    <t>235M</t>
  </si>
  <si>
    <t>C2010087</t>
  </si>
  <si>
    <t>Nagaraj</t>
  </si>
  <si>
    <t>Rubber component purpose</t>
  </si>
  <si>
    <t>236M</t>
  </si>
  <si>
    <t>C2010086</t>
  </si>
  <si>
    <t>Rahul Bopade</t>
  </si>
  <si>
    <t>Chocolate Molasses</t>
  </si>
  <si>
    <t>C2010085</t>
  </si>
  <si>
    <t>Imtiaz</t>
  </si>
  <si>
    <t>C2010084</t>
  </si>
  <si>
    <t xml:space="preserve">Sanjay  </t>
  </si>
  <si>
    <t>310M</t>
  </si>
  <si>
    <t>C2010083</t>
  </si>
  <si>
    <t>Deep</t>
  </si>
  <si>
    <t>Calcite Powder,Sodium Silicate</t>
  </si>
  <si>
    <t>2TON(S),2TON(S)</t>
  </si>
  <si>
    <t>7/-KG(S),63/-KG(S)</t>
  </si>
  <si>
    <t>226K</t>
  </si>
  <si>
    <t>C2010082</t>
  </si>
  <si>
    <t>Picnic Garden,Kolkata</t>
  </si>
  <si>
    <t>C2010081</t>
  </si>
  <si>
    <t>Fazal</t>
  </si>
  <si>
    <t xml:space="preserve"> Molasses</t>
  </si>
  <si>
    <t>Vidisha,Madhya Pradesh</t>
  </si>
  <si>
    <t>Animal food  purpose</t>
  </si>
  <si>
    <t>231M</t>
  </si>
  <si>
    <t>C2010080</t>
  </si>
  <si>
    <t>Shadav</t>
  </si>
  <si>
    <t>333M</t>
  </si>
  <si>
    <t>C2010079</t>
  </si>
  <si>
    <t>Subrata Chattaraj</t>
  </si>
  <si>
    <t>215K</t>
  </si>
  <si>
    <t>C2010078</t>
  </si>
  <si>
    <t>Susanta Jana</t>
  </si>
  <si>
    <t>100GM</t>
  </si>
  <si>
    <t>C2010077</t>
  </si>
  <si>
    <t>Anish Khan</t>
  </si>
  <si>
    <t>Kota,Rajasthan</t>
  </si>
  <si>
    <t>229M</t>
  </si>
  <si>
    <t>C2010076</t>
  </si>
  <si>
    <t>S.Suresh</t>
  </si>
  <si>
    <t>C2010075</t>
  </si>
  <si>
    <t>Murali</t>
  </si>
  <si>
    <t>C2010074</t>
  </si>
  <si>
    <t>Sankar Adhikary</t>
  </si>
  <si>
    <t>Liquid Rectified Spirit</t>
  </si>
  <si>
    <t>1500LTR(S)</t>
  </si>
  <si>
    <t>68/-LTR(S)</t>
  </si>
  <si>
    <t>220K</t>
  </si>
  <si>
    <t>C2010073</t>
  </si>
  <si>
    <t>Soumik Mondal</t>
  </si>
  <si>
    <t>247/-KG(S)</t>
  </si>
  <si>
    <t>216K</t>
  </si>
  <si>
    <t>C2010072</t>
  </si>
  <si>
    <t>C2010071</t>
  </si>
  <si>
    <t>Vivek Shah</t>
  </si>
  <si>
    <t>Kandla</t>
  </si>
  <si>
    <t>business purpose</t>
  </si>
  <si>
    <t>234M</t>
  </si>
  <si>
    <t>C2010070</t>
  </si>
  <si>
    <t>Subrata Patra</t>
  </si>
  <si>
    <t>400KG(S),200KG(S)</t>
  </si>
  <si>
    <t>14/-KG(S),51/-KG(S)</t>
  </si>
  <si>
    <t>221K</t>
  </si>
  <si>
    <t>C2010069</t>
  </si>
  <si>
    <t>Satish Devmane</t>
  </si>
  <si>
    <t>Personal purpose</t>
  </si>
  <si>
    <t>299/-KG(S)</t>
  </si>
  <si>
    <t>217K</t>
  </si>
  <si>
    <t>C2010068</t>
  </si>
  <si>
    <t>Tanmoy Singha</t>
  </si>
  <si>
    <t>C2010067</t>
  </si>
  <si>
    <t>Fish farming purpose</t>
  </si>
  <si>
    <t>233M</t>
  </si>
  <si>
    <t>C2010066</t>
  </si>
  <si>
    <t>Sanjoy Dev</t>
  </si>
  <si>
    <t>90TON(S)</t>
  </si>
  <si>
    <t>219K</t>
  </si>
  <si>
    <t>C2010065</t>
  </si>
  <si>
    <t>Abdul</t>
  </si>
  <si>
    <t>Dhubri,Assam</t>
  </si>
  <si>
    <t>218K</t>
  </si>
  <si>
    <t>C2010064</t>
  </si>
  <si>
    <t>S.Mariswaran</t>
  </si>
  <si>
    <t>C2010063</t>
  </si>
  <si>
    <t>Piyush M Fultariya</t>
  </si>
  <si>
    <t>Zinc Hidroxide</t>
  </si>
  <si>
    <t>Factory purpose</t>
  </si>
  <si>
    <t>232M</t>
  </si>
  <si>
    <t>C2010062</t>
  </si>
  <si>
    <t>Sadik</t>
  </si>
  <si>
    <t>C2010061</t>
  </si>
  <si>
    <t>Balaraman</t>
  </si>
  <si>
    <t>C2010060</t>
  </si>
  <si>
    <t>230M</t>
  </si>
  <si>
    <t>C2010059</t>
  </si>
  <si>
    <t>Biraj Datta</t>
  </si>
  <si>
    <t>C2010058</t>
  </si>
  <si>
    <t xml:space="preserve">Sandeep  </t>
  </si>
  <si>
    <t>Ferric Alum(Lump And Powder)</t>
  </si>
  <si>
    <t>5TON(S),5TON(S)</t>
  </si>
  <si>
    <t>Panipat,Haryana</t>
  </si>
  <si>
    <t>216M</t>
  </si>
  <si>
    <t>C2010057</t>
  </si>
  <si>
    <t>Renukeshwaraswamy.S.R</t>
  </si>
  <si>
    <t>Zinc Sulphate 21%,Mnso4,Cuso4,Feso4,Mgso4</t>
  </si>
  <si>
    <t>Each 100TON(S)</t>
  </si>
  <si>
    <t>44/-KG(S),144/-KG(S),12/-KG(S),11/-KG(S)</t>
  </si>
  <si>
    <t>228M</t>
  </si>
  <si>
    <t>C2010056</t>
  </si>
  <si>
    <t>DCDA,Ammonium Chloride,Formaldehyde</t>
  </si>
  <si>
    <t>1500kgs,500kgs,2000kgs</t>
  </si>
  <si>
    <t>Haryayna</t>
  </si>
  <si>
    <t>17/-KG(S),28/-KG(S)</t>
  </si>
  <si>
    <t>217M</t>
  </si>
  <si>
    <t>C2010055</t>
  </si>
  <si>
    <t>Shiv Kumar</t>
  </si>
  <si>
    <t>C2010054</t>
  </si>
  <si>
    <t>Sangeet Agarwal</t>
  </si>
  <si>
    <t>Animal feed purpose</t>
  </si>
  <si>
    <t>257/-KG(S)</t>
  </si>
  <si>
    <t>226M</t>
  </si>
  <si>
    <t>C2010053</t>
  </si>
  <si>
    <t>Sanu</t>
  </si>
  <si>
    <t>Coloured Glass Powder</t>
  </si>
  <si>
    <t>C2010052</t>
  </si>
  <si>
    <t>Lalit Periwal</t>
  </si>
  <si>
    <t>225M</t>
  </si>
  <si>
    <t>C2010051</t>
  </si>
  <si>
    <t>1 bottle</t>
  </si>
  <si>
    <t>C2010050</t>
  </si>
  <si>
    <t>Sajid Anwar</t>
  </si>
  <si>
    <t xml:space="preserve">Slack Wax </t>
  </si>
  <si>
    <t>213K</t>
  </si>
  <si>
    <t>C2010049</t>
  </si>
  <si>
    <t>Prabhakar Mishra</t>
  </si>
  <si>
    <t>209K</t>
  </si>
  <si>
    <t>C2010048</t>
  </si>
  <si>
    <t>Jawad Raza</t>
  </si>
  <si>
    <t>C2010047</t>
  </si>
  <si>
    <t>Lalith Kumar</t>
  </si>
  <si>
    <t>147/-KG(S)</t>
  </si>
  <si>
    <t>223M</t>
  </si>
  <si>
    <t>C2010046</t>
  </si>
  <si>
    <t>Madhvi</t>
  </si>
  <si>
    <t>218M</t>
  </si>
  <si>
    <t>C2010045</t>
  </si>
  <si>
    <t>Noor Mohammad</t>
  </si>
  <si>
    <t>224M</t>
  </si>
  <si>
    <t>C2010044</t>
  </si>
  <si>
    <t>Prakash Dabhade</t>
  </si>
  <si>
    <t>Jalgaon,Bhusawal</t>
  </si>
  <si>
    <t>Pot Glazing Purpose</t>
  </si>
  <si>
    <t>222M</t>
  </si>
  <si>
    <t>C2010043</t>
  </si>
  <si>
    <t>Jigar Dhalawat</t>
  </si>
  <si>
    <t>205K</t>
  </si>
  <si>
    <t>C2010042</t>
  </si>
  <si>
    <t>Swati</t>
  </si>
  <si>
    <t>C2010041</t>
  </si>
  <si>
    <t>Sam</t>
  </si>
  <si>
    <t>Chlorine Dioxide(20gm and 200gm)</t>
  </si>
  <si>
    <t>256/-KG(S)</t>
  </si>
  <si>
    <t>207K</t>
  </si>
  <si>
    <t>C2010040</t>
  </si>
  <si>
    <t>204K</t>
  </si>
  <si>
    <t>C2010039</t>
  </si>
  <si>
    <t>Ghanshyam</t>
  </si>
  <si>
    <t>Green oxide,Red Oxide,Black Oxide</t>
  </si>
  <si>
    <t>25kgs,5kgs,5kgs</t>
  </si>
  <si>
    <t>Stone Filling Purpose</t>
  </si>
  <si>
    <t>403/-KG(S)</t>
  </si>
  <si>
    <t>211K</t>
  </si>
  <si>
    <t>C2010038</t>
  </si>
  <si>
    <t>Debasish</t>
  </si>
  <si>
    <t>Manganese Dioxide,Raisin</t>
  </si>
  <si>
    <t>Each 50KG(S)</t>
  </si>
  <si>
    <t>Aquariam Purpose</t>
  </si>
  <si>
    <t>C2010037</t>
  </si>
  <si>
    <t>Sreenath</t>
  </si>
  <si>
    <t>C2010036</t>
  </si>
  <si>
    <t>1kg</t>
  </si>
  <si>
    <t>C2010035</t>
  </si>
  <si>
    <t>Suresh Kumar</t>
  </si>
  <si>
    <t>266/-KG(S)</t>
  </si>
  <si>
    <t>221M</t>
  </si>
  <si>
    <t>C2010034</t>
  </si>
  <si>
    <t xml:space="preserve">CJ THE </t>
  </si>
  <si>
    <t>C2010033</t>
  </si>
  <si>
    <t>Heera lal Khatri</t>
  </si>
  <si>
    <t>Pipe making purpose</t>
  </si>
  <si>
    <t>C2010032</t>
  </si>
  <si>
    <t>Hamza Bhai</t>
  </si>
  <si>
    <t>Guajarat</t>
  </si>
  <si>
    <t>1451/-KG(S)</t>
  </si>
  <si>
    <t>210K</t>
  </si>
  <si>
    <t>C2010031</t>
  </si>
  <si>
    <t>Rishi Vij</t>
  </si>
  <si>
    <t>Soda ASh</t>
  </si>
  <si>
    <t>219M</t>
  </si>
  <si>
    <t>C2010030</t>
  </si>
  <si>
    <t>Ashish Shah</t>
  </si>
  <si>
    <t>800KG(S)</t>
  </si>
  <si>
    <t>206K</t>
  </si>
  <si>
    <t>C2010029</t>
  </si>
  <si>
    <t>Nilesh Jhaveri</t>
  </si>
  <si>
    <t>220M</t>
  </si>
  <si>
    <t>C2010028</t>
  </si>
  <si>
    <t>Avnd Kumari</t>
  </si>
  <si>
    <t>C2010027</t>
  </si>
  <si>
    <t>Candelilla wax,carnauba wax,Bees wax,Pigments organic(Red,Maroon)</t>
  </si>
  <si>
    <t>Hariyana</t>
  </si>
  <si>
    <t>Lipstick making purpose</t>
  </si>
  <si>
    <t>856/-KG(S),218/-KG(S)</t>
  </si>
  <si>
    <t>227M</t>
  </si>
  <si>
    <t>C2010026</t>
  </si>
  <si>
    <t>Pintu Das</t>
  </si>
  <si>
    <t>Slack Wax(DAO grade)</t>
  </si>
  <si>
    <t>18TON(S)</t>
  </si>
  <si>
    <t>Lubricating plant purpose</t>
  </si>
  <si>
    <t>214K</t>
  </si>
  <si>
    <t>C2010025</t>
  </si>
  <si>
    <t>Jeet Sarkar</t>
  </si>
  <si>
    <t>Chlorine Dioxide(20gm)</t>
  </si>
  <si>
    <t>208K</t>
  </si>
  <si>
    <t>C2010024</t>
  </si>
  <si>
    <t>Chetan Agarwal</t>
  </si>
  <si>
    <t>202K</t>
  </si>
  <si>
    <t>C2010023</t>
  </si>
  <si>
    <t>Rahul Phapale</t>
  </si>
  <si>
    <t>C2010022</t>
  </si>
  <si>
    <t>Toilet cleaner making purpose</t>
  </si>
  <si>
    <t>210M</t>
  </si>
  <si>
    <t>C2010021</t>
  </si>
  <si>
    <t>Nikunj Parmar</t>
  </si>
  <si>
    <t>209M</t>
  </si>
  <si>
    <t>C2010020</t>
  </si>
  <si>
    <t>Hemal Shah</t>
  </si>
  <si>
    <t>Thane,Maharashtra</t>
  </si>
  <si>
    <t>111/-KG(S)</t>
  </si>
  <si>
    <t>212M</t>
  </si>
  <si>
    <t>C2010019</t>
  </si>
  <si>
    <t>Abukalam</t>
  </si>
  <si>
    <t>198K</t>
  </si>
  <si>
    <t>C2010018</t>
  </si>
  <si>
    <t>Silvi</t>
  </si>
  <si>
    <t>Copper Sulfate</t>
  </si>
  <si>
    <t>211M</t>
  </si>
  <si>
    <t>C2010017</t>
  </si>
  <si>
    <t>Sankar Das</t>
  </si>
  <si>
    <t>Surfix Zn 602 Chemical</t>
  </si>
  <si>
    <t>C2010016</t>
  </si>
  <si>
    <t>C2010015</t>
  </si>
  <si>
    <t>Sandip Roy</t>
  </si>
  <si>
    <t>200K</t>
  </si>
  <si>
    <t>C2010014</t>
  </si>
  <si>
    <t>Sanjay Tiwari</t>
  </si>
  <si>
    <t>199K</t>
  </si>
  <si>
    <t>C2010013</t>
  </si>
  <si>
    <t>201K</t>
  </si>
  <si>
    <t>C2010012</t>
  </si>
  <si>
    <t>C2010011</t>
  </si>
  <si>
    <t>Vishal Kulkarni</t>
  </si>
  <si>
    <t>C2010010</t>
  </si>
  <si>
    <t>Prathamesh</t>
  </si>
  <si>
    <t>C2010009</t>
  </si>
  <si>
    <t>Susanta Ghosh</t>
  </si>
  <si>
    <t>Anti Scale</t>
  </si>
  <si>
    <t>C2010008</t>
  </si>
  <si>
    <t>208M</t>
  </si>
  <si>
    <t>C2010007</t>
  </si>
  <si>
    <t>Arijit Ghosh</t>
  </si>
  <si>
    <t>Hydroponic Perlite</t>
  </si>
  <si>
    <t>Own Garden Purpose</t>
  </si>
  <si>
    <t>C2010006</t>
  </si>
  <si>
    <t>Radhey Shyam Verma</t>
  </si>
  <si>
    <t>250TON(S)</t>
  </si>
  <si>
    <t>213M</t>
  </si>
  <si>
    <t>C2010005</t>
  </si>
  <si>
    <t>Krishna Acharya</t>
  </si>
  <si>
    <t>294/-KG(S),Revise Rate 80/-kg(s)</t>
  </si>
  <si>
    <t>214M</t>
  </si>
  <si>
    <t>C2010004</t>
  </si>
  <si>
    <t>Amarjeet Kumar</t>
  </si>
  <si>
    <t>C2010003</t>
  </si>
  <si>
    <t>Kishan Singh</t>
  </si>
  <si>
    <t>Beleghata</t>
  </si>
  <si>
    <t>197K</t>
  </si>
  <si>
    <t>C2010001</t>
  </si>
  <si>
    <t>Vamsidhar Reddy</t>
  </si>
  <si>
    <t>215M</t>
  </si>
  <si>
    <t>Date</t>
  </si>
  <si>
    <t>Contacy Person</t>
  </si>
  <si>
    <t>Qty in Kgs</t>
  </si>
  <si>
    <t>Hot Leads</t>
  </si>
  <si>
    <t>1St. Follow up</t>
  </si>
  <si>
    <t>2nd Follow up Date</t>
  </si>
  <si>
    <t>2nd Follow up</t>
  </si>
  <si>
    <t>F2200010100145</t>
  </si>
  <si>
    <t>F2200010100144</t>
  </si>
  <si>
    <t>F2200010100143</t>
  </si>
  <si>
    <t>F2200010100142</t>
  </si>
  <si>
    <t>F2200010100141</t>
  </si>
  <si>
    <t>F2200010100140</t>
  </si>
  <si>
    <t>F2200010100139</t>
  </si>
  <si>
    <t>F2200010100138</t>
  </si>
  <si>
    <t>F2200010100137</t>
  </si>
  <si>
    <t>18-04-2023</t>
  </si>
  <si>
    <t>F2200010100136</t>
  </si>
  <si>
    <t>DAtTa SHiNdE</t>
  </si>
  <si>
    <t>shindedattashinde06@gmail.com</t>
  </si>
  <si>
    <t>Agarbatti Perfume</t>
  </si>
  <si>
    <t>F2200010100135</t>
  </si>
  <si>
    <t>Harshal Savaliya</t>
  </si>
  <si>
    <t xml:space="preserve">
Navjyot Industrise</t>
  </si>
  <si>
    <t>info.navjyotindustries@gmail.com</t>
  </si>
  <si>
    <t>Green Apple Prestige Detergent Fragrance</t>
  </si>
  <si>
    <t>F2200010100134</t>
  </si>
  <si>
    <t>Pooja Sharma Das</t>
  </si>
  <si>
    <t>Teeyaansh</t>
  </si>
  <si>
    <t>puja02312@gmail.com</t>
  </si>
  <si>
    <t xml:space="preserve"> Rajasthan</t>
  </si>
  <si>
    <t>Phenyl Concentrate</t>
  </si>
  <si>
    <t>F2200010100131</t>
  </si>
  <si>
    <t xml:space="preserve">Sheetal International
</t>
  </si>
  <si>
    <t>Maharashtra,</t>
  </si>
  <si>
    <t>Shish Mohammad</t>
  </si>
  <si>
    <t>Muslim Book Depot</t>
  </si>
  <si>
    <t>shish1701kck@gmail.com</t>
  </si>
  <si>
    <t>White Musk Fragrance</t>
  </si>
  <si>
    <t>Sikha</t>
  </si>
  <si>
    <t>Onij Beauty Parlour</t>
  </si>
  <si>
    <t>Lyca Tea Tree Oil</t>
  </si>
  <si>
    <t>F2200010100130</t>
  </si>
  <si>
    <t>RANJAN</t>
  </si>
  <si>
    <t>Mahanti Enterprises</t>
  </si>
  <si>
    <t>mohanty_40@rediffmail.com</t>
  </si>
  <si>
    <t xml:space="preserve"> Odisha,</t>
  </si>
  <si>
    <t>Cosmetic Fragrances.</t>
  </si>
  <si>
    <t>F2200010100129</t>
  </si>
  <si>
    <t>Biplob Badshah</t>
  </si>
  <si>
    <t>Shib Sankar Feeds</t>
  </si>
  <si>
    <t>biplabbachar89260@gmail.com</t>
  </si>
  <si>
    <t xml:space="preserve">Gobardanga, </t>
  </si>
  <si>
    <t>Lemon Oil</t>
  </si>
  <si>
    <t>Order Placed</t>
  </si>
  <si>
    <t>F2200010100128</t>
  </si>
  <si>
    <t>Amit Kumar Dhali</t>
  </si>
  <si>
    <t>24 Parganas</t>
  </si>
  <si>
    <t>17-04-2023</t>
  </si>
  <si>
    <t>F2200010100127</t>
  </si>
  <si>
    <t xml:space="preserve">
Shabbir</t>
  </si>
  <si>
    <t>Royal Enterprises</t>
  </si>
  <si>
    <t>shabbeerroyal@gmail.com</t>
  </si>
  <si>
    <t>Sandal Fragrance</t>
  </si>
  <si>
    <t>F2200010100126</t>
  </si>
  <si>
    <t>Argha Pal</t>
  </si>
  <si>
    <t>Pal And Co</t>
  </si>
  <si>
    <t xml:space="preserve">arghapal95@gmail.com
</t>
  </si>
  <si>
    <t xml:space="preserve">Jamshedpur </t>
  </si>
  <si>
    <t>Lemon Fragrance</t>
  </si>
  <si>
    <t>F2200010100125</t>
  </si>
  <si>
    <t>Kavya</t>
  </si>
  <si>
    <t>Ganesh Agency</t>
  </si>
  <si>
    <t xml:space="preserve"> Chhattisgarh,</t>
  </si>
  <si>
    <t xml:space="preserve"> Sticks Fragrances</t>
  </si>
  <si>
    <t>F2200010100124</t>
  </si>
  <si>
    <t>Damayanti</t>
  </si>
  <si>
    <t xml:space="preserve">
RY dishwash</t>
  </si>
  <si>
    <t xml:space="preserve">damayantipatra223@gmail.com
</t>
  </si>
  <si>
    <t>Odisha,</t>
  </si>
  <si>
    <t>Dishwash Thickener</t>
  </si>
  <si>
    <t>F2200010100123</t>
  </si>
  <si>
    <t xml:space="preserve">
Ishwar</t>
  </si>
  <si>
    <t xml:space="preserve">nshundekar489@gmail.com
</t>
  </si>
  <si>
    <t>Vijayapura</t>
  </si>
  <si>
    <t>Agarbatti Perfumes</t>
  </si>
  <si>
    <t>F2200010100122</t>
  </si>
  <si>
    <t>MD Shakil</t>
  </si>
  <si>
    <t>National Trading</t>
  </si>
  <si>
    <t>ks1316175@gmail.com</t>
  </si>
  <si>
    <t>Bihar,</t>
  </si>
  <si>
    <t>Issue</t>
  </si>
  <si>
    <t>AGARBATTI POUCH LAGBE</t>
  </si>
  <si>
    <t>F2200010100121</t>
  </si>
  <si>
    <t>Amol Paymode</t>
  </si>
  <si>
    <t>amolpaymode11@gmail.com</t>
  </si>
  <si>
    <t>Fragrance Oil</t>
  </si>
  <si>
    <t>Wrong Number</t>
  </si>
  <si>
    <t>F2200010100120</t>
  </si>
  <si>
    <t>Bonita Kataria</t>
  </si>
  <si>
    <t>p15bontiak@iimidr.ac.in</t>
  </si>
  <si>
    <t>Madhya Pradesh,</t>
  </si>
  <si>
    <t>Perfume and Fragrances</t>
  </si>
  <si>
    <t>F2200010100119</t>
  </si>
  <si>
    <t>Muthu Muthu</t>
  </si>
  <si>
    <t>muthuapj@gmail.com</t>
  </si>
  <si>
    <t>FRAGRANCE</t>
  </si>
  <si>
    <t>Follow Up needed</t>
  </si>
  <si>
    <t>FRAGRANCE PRICE LIST SEND</t>
  </si>
  <si>
    <t>F2200010100118</t>
  </si>
  <si>
    <t>A.C. P</t>
  </si>
  <si>
    <t xml:space="preserve">asmitachavan.025@gmail.com
</t>
  </si>
  <si>
    <t>Perfume Fragrances</t>
  </si>
  <si>
    <t>F2200010100117</t>
  </si>
  <si>
    <t>Tonmoy Nayak</t>
  </si>
  <si>
    <t>Fragrance Perfume</t>
  </si>
  <si>
    <t>ATTAR PRICE LIST SEND</t>
  </si>
  <si>
    <t>F2200010100116</t>
  </si>
  <si>
    <t>Taraknath Das</t>
  </si>
  <si>
    <t>Gosai Ji Agarbatti</t>
  </si>
  <si>
    <t>das449902@gmail.com</t>
  </si>
  <si>
    <t xml:space="preserve">Midnapore, </t>
  </si>
  <si>
    <t>Rajnigandha Fragrance Perfume.</t>
  </si>
  <si>
    <t>F2200010100115</t>
  </si>
  <si>
    <t>Melaniehynniewta</t>
  </si>
  <si>
    <t>melanie.riyana03@gmail.com</t>
  </si>
  <si>
    <t>Meghalaya</t>
  </si>
  <si>
    <t xml:space="preserve"> Fragrances</t>
  </si>
  <si>
    <t>COSMATICS FRAGRANCE PRICE SEND</t>
  </si>
  <si>
    <t>F2200010100114</t>
  </si>
  <si>
    <t>Hamdan Haque</t>
  </si>
  <si>
    <t>nahid perfumery</t>
  </si>
  <si>
    <t>Cosmetics Air Care ETC</t>
  </si>
  <si>
    <t>F2200010100113</t>
  </si>
  <si>
    <t>Sambit Ku Mohanty</t>
  </si>
  <si>
    <t xml:space="preserve"> Mogra White Phenyl Concentrate.</t>
  </si>
  <si>
    <t>F2200010100112</t>
  </si>
  <si>
    <t>Rana</t>
  </si>
  <si>
    <t xml:space="preserve">Krishnanagar, </t>
  </si>
  <si>
    <t xml:space="preserve"> Fragrance Perfume.</t>
  </si>
  <si>
    <t>BODY PERFUME CHAI</t>
  </si>
  <si>
    <t>15-04-2023</t>
  </si>
  <si>
    <t>F2200010100111</t>
  </si>
  <si>
    <t>FyreFli</t>
  </si>
  <si>
    <t>FyreFli MBS</t>
  </si>
  <si>
    <t>firefliesonmoon@gmail.com</t>
  </si>
  <si>
    <t xml:space="preserve"> Karnataka</t>
  </si>
  <si>
    <t>Fruit Joy Cosmetic Fragrance</t>
  </si>
  <si>
    <t>F2200010100110</t>
  </si>
  <si>
    <t>Kanal</t>
  </si>
  <si>
    <t>Expert Engineering Company</t>
  </si>
  <si>
    <t>info@experteng.com</t>
  </si>
  <si>
    <t>F2200010100109</t>
  </si>
  <si>
    <t xml:space="preserve">Vijay  </t>
  </si>
  <si>
    <t>Nisha Products Agarbatti Compound</t>
  </si>
  <si>
    <t>F2200010100108</t>
  </si>
  <si>
    <t>Ashitosh</t>
  </si>
  <si>
    <t xml:space="preserve">
Earthly Joy Global Private Limited</t>
  </si>
  <si>
    <t>ashitosh.ghule01@gmail.com</t>
  </si>
  <si>
    <t>FLAVOUR CHAI</t>
  </si>
  <si>
    <t>F2200010100107</t>
  </si>
  <si>
    <t>Deepa</t>
  </si>
  <si>
    <t>nathedeepa@gmail.com</t>
  </si>
  <si>
    <t xml:space="preserve"> Maharashtra,</t>
  </si>
  <si>
    <t>AGARBATTI PERFUME PRICE LIST SEND</t>
  </si>
  <si>
    <t>F2200010100106</t>
  </si>
  <si>
    <t>Nirmal Kumar</t>
  </si>
  <si>
    <t>kamdhenu biofertilizer</t>
  </si>
  <si>
    <t>knirmal64@yahoo.com</t>
  </si>
  <si>
    <t>F2200010100105</t>
  </si>
  <si>
    <t>arkorej34@gmail.com</t>
  </si>
  <si>
    <t xml:space="preserve">Kolkata, </t>
  </si>
  <si>
    <t>Thickeners</t>
  </si>
  <si>
    <t>F2200010100104</t>
  </si>
  <si>
    <t>Kamal K. Chowdhury</t>
  </si>
  <si>
    <t>Jyoti Waterproof Works Private Limited</t>
  </si>
  <si>
    <t xml:space="preserve"> Thickeners</t>
  </si>
  <si>
    <t>F2200010100103</t>
  </si>
  <si>
    <t>Petagram Facility Services</t>
  </si>
  <si>
    <t>pentagramfacilityservices@gmail.com</t>
  </si>
  <si>
    <t>F2200010100102</t>
  </si>
  <si>
    <t>Navnish Kumar</t>
  </si>
  <si>
    <t>Lakhdatar Marketing Co.</t>
  </si>
  <si>
    <t>nvi.grg4@gmail.com</t>
  </si>
  <si>
    <t xml:space="preserve">Jasmine Oil </t>
  </si>
  <si>
    <t>ADBL OIL GRATE CHAI</t>
  </si>
  <si>
    <t>F2200010100101</t>
  </si>
  <si>
    <t>Milan Sarkar</t>
  </si>
  <si>
    <t>sarkarmilan990@gmail.com</t>
  </si>
  <si>
    <t>Jasmine Incense Sticks Fragrance Oil</t>
  </si>
  <si>
    <t>F2000101001100</t>
  </si>
  <si>
    <t>Riddhi Katoch</t>
  </si>
  <si>
    <t>riddhikatoch16@gmail.com</t>
  </si>
  <si>
    <t>CANDLE PERFUME PRICE LIST SEND</t>
  </si>
  <si>
    <t>F2200010100199</t>
  </si>
  <si>
    <t>Suparna Banerjee</t>
  </si>
  <si>
    <t>suparnabanerjeemomo@gmail.com</t>
  </si>
  <si>
    <t>Citonella Oil</t>
  </si>
  <si>
    <t>CITRONELLA PRICE SEND</t>
  </si>
  <si>
    <t>F2200010100198</t>
  </si>
  <si>
    <t>F2200010100197</t>
  </si>
  <si>
    <t>Prashant Bhosle</t>
  </si>
  <si>
    <t xml:space="preserve">Siddhi Enterprises
</t>
  </si>
  <si>
    <t xml:space="preserve">
prashant_bhosle76@yahoo.co.in</t>
  </si>
  <si>
    <t>Microscope Encapsulated Fragrance</t>
  </si>
  <si>
    <t>F2200010100196</t>
  </si>
  <si>
    <t>Lara</t>
  </si>
  <si>
    <t>Perfume Cosmetic</t>
  </si>
  <si>
    <t>14-04-2023</t>
  </si>
  <si>
    <t>F2200010100195</t>
  </si>
  <si>
    <t>PARIMAL MONDAL</t>
  </si>
  <si>
    <t>DETERGENT FRAGRANCE</t>
  </si>
  <si>
    <t xml:space="preserve">4 KG TINOPAL, 4 KG JASMINE NIEYCHEN </t>
  </si>
  <si>
    <t>F2200010100194</t>
  </si>
  <si>
    <t>Subrata Pal</t>
  </si>
  <si>
    <t>Pal Agarbatti</t>
  </si>
  <si>
    <t xml:space="preserve">supriyapal28562@gmail.com
</t>
  </si>
  <si>
    <t>Perfumes Dev Sandal Fragrances</t>
  </si>
  <si>
    <t>F2200010100193</t>
  </si>
  <si>
    <t>Oxys Beauty Pvt. Ltd</t>
  </si>
  <si>
    <t>aaradhya.naturalcare@gmail.com</t>
  </si>
  <si>
    <t>Uttar Pradesh,</t>
  </si>
  <si>
    <t>Industrial Fragrance</t>
  </si>
  <si>
    <t>F2200010100192</t>
  </si>
  <si>
    <t>Vishal Mute</t>
  </si>
  <si>
    <t>Subna Poultry Farm</t>
  </si>
  <si>
    <t>vishalmute@gmail.com</t>
  </si>
  <si>
    <t>Aromatic Chemicals Sf Incense Sticks Fragrance</t>
  </si>
  <si>
    <t>F2200010100191</t>
  </si>
  <si>
    <t xml:space="preserve">
Deepika Gurjar</t>
  </si>
  <si>
    <t>Kacchi Chameli Fragrance Oil</t>
  </si>
  <si>
    <t>F2200010100190</t>
  </si>
  <si>
    <t>Maurya Store</t>
  </si>
  <si>
    <t>PHENYL RAW MATRIELS PRICE LIST SEND</t>
  </si>
  <si>
    <t>F2200010100189</t>
  </si>
  <si>
    <t>H.S. SODHI</t>
  </si>
  <si>
    <t>New Delhi,</t>
  </si>
  <si>
    <t>sodhiharinder9901@gmail.com</t>
  </si>
  <si>
    <t>Concentrated White Finyle Concentrate</t>
  </si>
  <si>
    <t>F2200010100188</t>
  </si>
  <si>
    <t>Murtaza Attarwala</t>
  </si>
  <si>
    <t>Burhani Mini Market</t>
  </si>
  <si>
    <t xml:space="preserve">
murtazajawad5253@gmail.com</t>
  </si>
  <si>
    <t xml:space="preserve"> Madhya Pradesh,</t>
  </si>
  <si>
    <t>Fine Fragrances</t>
  </si>
  <si>
    <t>COSMATICS ER JANNO 500 GRAM KORE PEARS 85, PONDS 121NIEYCHEN</t>
  </si>
  <si>
    <t>F2200010100187</t>
  </si>
  <si>
    <t>Maha Madhu</t>
  </si>
  <si>
    <t>snowball2355@gmail.com</t>
  </si>
  <si>
    <t>Tamil Nadu,</t>
  </si>
  <si>
    <t>Natural Soap Fragrance</t>
  </si>
  <si>
    <t>SOAP FRAGRANCE PRICE LIST SEND</t>
  </si>
  <si>
    <t>F2200010100186</t>
  </si>
  <si>
    <t>Jeetol Group</t>
  </si>
  <si>
    <t>somnathball.sab@gmail.com</t>
  </si>
  <si>
    <t>Phenyl Fragrance Perfume</t>
  </si>
  <si>
    <t>PHENYL RAW MATERIALS PRICE SEND</t>
  </si>
  <si>
    <t>F2200010100185</t>
  </si>
  <si>
    <t>Subhash Dj</t>
  </si>
  <si>
    <t>Dass s compani</t>
  </si>
  <si>
    <t>subhashkumar08260@gmail.com</t>
  </si>
  <si>
    <t>F2200010100184</t>
  </si>
  <si>
    <t>Faizan</t>
  </si>
  <si>
    <t>F Enterprises</t>
  </si>
  <si>
    <t>Rose Perfumes,</t>
  </si>
  <si>
    <t>F2200010100183</t>
  </si>
  <si>
    <t xml:space="preserve">
Selva Kumar</t>
  </si>
  <si>
    <t>Pearl Home Care</t>
  </si>
  <si>
    <t>info@pearlhomecare.in</t>
  </si>
  <si>
    <t>Sandal First Fragrance Toilet Soap</t>
  </si>
  <si>
    <t xml:space="preserve">SOAP FRAGRANCE PRICE LIST SEND </t>
  </si>
  <si>
    <t>F2200010100182</t>
  </si>
  <si>
    <t>Jaganmohan.N</t>
  </si>
  <si>
    <t>Home made products</t>
  </si>
  <si>
    <t>jaganmohannagarajan240667@gmail.com</t>
  </si>
  <si>
    <t>F2200010100181</t>
  </si>
  <si>
    <t>KRISHDEEP SINGH</t>
  </si>
  <si>
    <t>Baba Agarbatti</t>
  </si>
  <si>
    <t>krishdeepsingh64@gmail.com</t>
  </si>
  <si>
    <t xml:space="preserve"> Agarbatti Perfume</t>
  </si>
  <si>
    <t>F2200010100180</t>
  </si>
  <si>
    <t>Somesh Wasdev</t>
  </si>
  <si>
    <t>frontline retail india pvt ltd</t>
  </si>
  <si>
    <t>someshwasdev@gmail.com</t>
  </si>
  <si>
    <t xml:space="preserve">Delhi, </t>
  </si>
  <si>
    <t xml:space="preserve"> Perfume Fragrance For Attar</t>
  </si>
  <si>
    <t>F2200010100179</t>
  </si>
  <si>
    <t>kuldevi sewa samiti</t>
  </si>
  <si>
    <t>fzdbms@gmail.com</t>
  </si>
  <si>
    <t>Agarbati Perfume</t>
  </si>
  <si>
    <t>13-04-2023</t>
  </si>
  <si>
    <t>F2200010100178</t>
  </si>
  <si>
    <t>Mukesh Kumar</t>
  </si>
  <si>
    <t>Mukesh Chemical</t>
  </si>
  <si>
    <t xml:space="preserve">kumaridolly01234@gmail.com
</t>
  </si>
  <si>
    <t>Lavender Fragrance</t>
  </si>
  <si>
    <t>PHENYL FRAGRANCE PRICE LIST SEND</t>
  </si>
  <si>
    <t>F2200010100177</t>
  </si>
  <si>
    <t>Nilesh Badave</t>
  </si>
  <si>
    <t xml:space="preserve">shree bhagwant laxmi agarbatti
</t>
  </si>
  <si>
    <t xml:space="preserve">badave30@gmail.com
</t>
  </si>
  <si>
    <t>Incense Stick Perfume</t>
  </si>
  <si>
    <t>F2200010100176</t>
  </si>
  <si>
    <t>Javed Pathan</t>
  </si>
  <si>
    <t xml:space="preserve">JK Industries
</t>
  </si>
  <si>
    <t xml:space="preserve">lalitkose05@gmail.com
</t>
  </si>
  <si>
    <t xml:space="preserve"> Maharashtra</t>
  </si>
  <si>
    <t>Detergent Perfume</t>
  </si>
  <si>
    <t>DETERGENT PERFUME PRICE LIST SEND</t>
  </si>
  <si>
    <t>F2200010100175</t>
  </si>
  <si>
    <t>Rose Petal Aromatic Fragrance</t>
  </si>
  <si>
    <t>F2200010100174</t>
  </si>
  <si>
    <t>Arochem Agarbatti Perfumes</t>
  </si>
  <si>
    <t>F2200010100173</t>
  </si>
  <si>
    <t>Vadhiya Mahesh</t>
  </si>
  <si>
    <t xml:space="preserve">provision general store
</t>
  </si>
  <si>
    <t>vadhiyamahesh39@gmail.com</t>
  </si>
  <si>
    <t>F2200010100172</t>
  </si>
  <si>
    <t>Sanjay Singh Tomar</t>
  </si>
  <si>
    <t>Incense Sticks Fragrances</t>
  </si>
  <si>
    <t>AGARBATTI CHAI</t>
  </si>
  <si>
    <t>F2200010100171</t>
  </si>
  <si>
    <t xml:space="preserve">
Dev Gupta</t>
  </si>
  <si>
    <t xml:space="preserve">rp industry
</t>
  </si>
  <si>
    <t>devgupta1379@gmail.com</t>
  </si>
  <si>
    <t xml:space="preserve"> Uttar Pradesh,</t>
  </si>
  <si>
    <t>Custom Fragrance Perfume</t>
  </si>
  <si>
    <t>F2200010100170</t>
  </si>
  <si>
    <t>Poonaram NCP</t>
  </si>
  <si>
    <t>prpncp8@gmail.com</t>
  </si>
  <si>
    <t>F2200010100169</t>
  </si>
  <si>
    <t xml:space="preserve">
Sunil Kshirsagar</t>
  </si>
  <si>
    <t>Suravi packing and trading ENTERPRICE</t>
  </si>
  <si>
    <t>sunil.kshirsagar18@gmail.com</t>
  </si>
  <si>
    <t xml:space="preserve"> Maharashtra, </t>
  </si>
  <si>
    <t>Industrial Detergent Perfume</t>
  </si>
  <si>
    <t>DETERGENT FRAGRANCE PRICE LIST SEND</t>
  </si>
  <si>
    <t>F2200010100168</t>
  </si>
  <si>
    <t>Diya</t>
  </si>
  <si>
    <t xml:space="preserve">Uttar Pradesh, </t>
  </si>
  <si>
    <t>F2200010100167</t>
  </si>
  <si>
    <t>Bhavani Ambing</t>
  </si>
  <si>
    <t>bhavani.ambig@gmail.com</t>
  </si>
  <si>
    <t>Flower Fragrance Oil</t>
  </si>
  <si>
    <t>CANDLE FRAGRANCE PRICE SEND</t>
  </si>
  <si>
    <t>F2200010100166</t>
  </si>
  <si>
    <t>Megha</t>
  </si>
  <si>
    <t>Rose Fragrance</t>
  </si>
  <si>
    <t>F2200010100165</t>
  </si>
  <si>
    <t>Sabuj Enterprise</t>
  </si>
  <si>
    <t xml:space="preserve">
samaradak175@gmail.com</t>
  </si>
  <si>
    <t>Kolkata -</t>
  </si>
  <si>
    <t>Encapsulated Fragrance Lavender</t>
  </si>
  <si>
    <t>DETERGENT FRAGRANCE PRICE SEND</t>
  </si>
  <si>
    <t>F2200010100164</t>
  </si>
  <si>
    <t>Vinoth</t>
  </si>
  <si>
    <t>Sky Own Product</t>
  </si>
  <si>
    <t>vinothkarthi5555@gmail.com</t>
  </si>
  <si>
    <t>Pink Jasmine Soap Fragrance</t>
  </si>
  <si>
    <t>F2200010100163</t>
  </si>
  <si>
    <t>Pabitra Budek</t>
  </si>
  <si>
    <t xml:space="preserve">Pabitra Budek Enterprices
</t>
  </si>
  <si>
    <t>pabitrabudek69@gmail.com</t>
  </si>
  <si>
    <t>AGARBATTI FRAGRANCE PRICE SEND</t>
  </si>
  <si>
    <t>F2200010100162</t>
  </si>
  <si>
    <t>Raju Pramanick</t>
  </si>
  <si>
    <t xml:space="preserve">Saheli Enterprises
</t>
  </si>
  <si>
    <t>sureshpramanicksureshpramanick@gmail.com</t>
  </si>
  <si>
    <t>F2200010100161</t>
  </si>
  <si>
    <t>Bhargav Mehta</t>
  </si>
  <si>
    <t>prolate</t>
  </si>
  <si>
    <t>bhargavmehta5014@gmail.com</t>
  </si>
  <si>
    <t>Gujarat,</t>
  </si>
  <si>
    <t>Micro Encapsulated Fragrance</t>
  </si>
  <si>
    <t>F2200010100160</t>
  </si>
  <si>
    <t>Akash Samanth</t>
  </si>
  <si>
    <t>P &amp; P Chemical</t>
  </si>
  <si>
    <t xml:space="preserve">akashsamanta939@gmail.com
</t>
  </si>
  <si>
    <t>Skincare &amp; Cosmetic Product Fragrances</t>
  </si>
  <si>
    <t>F2200010100159</t>
  </si>
  <si>
    <t>Bhagyamma</t>
  </si>
  <si>
    <t>limpiador21@gmail.com</t>
  </si>
  <si>
    <t>Jasmine Encapsulated Fragrance</t>
  </si>
  <si>
    <t>F2200010100158</t>
  </si>
  <si>
    <t>Rajesh Kumar Raout</t>
  </si>
  <si>
    <t>rawatrajesh457@gmail.com</t>
  </si>
  <si>
    <t xml:space="preserve">ROSE PERFUME PRICE LIST SEND </t>
  </si>
  <si>
    <t>F2200010100157</t>
  </si>
  <si>
    <t>Siva</t>
  </si>
  <si>
    <t>starzshiv@gmail.com</t>
  </si>
  <si>
    <t>Shikakai Perfume Fragrance For Shampoo</t>
  </si>
  <si>
    <t>F2200010100156</t>
  </si>
  <si>
    <t>Bhargava Phytolab Pvt ltd</t>
  </si>
  <si>
    <t>g.verma@ghargavaphytolab.com</t>
  </si>
  <si>
    <t>Delhi, India</t>
  </si>
  <si>
    <t xml:space="preserve"> Ponds Perfume Fragrance</t>
  </si>
  <si>
    <t>F2200010100155</t>
  </si>
  <si>
    <t>Srinu Niwas</t>
  </si>
  <si>
    <t>Electronic Business</t>
  </si>
  <si>
    <t>m2668470@gmail.com</t>
  </si>
  <si>
    <t>Sandal 940 Fragrances.</t>
  </si>
  <si>
    <t>F2200010100154</t>
  </si>
  <si>
    <t xml:space="preserve">Rose Fragrance
</t>
  </si>
  <si>
    <t>PERSONAL USE</t>
  </si>
  <si>
    <t>F2200010100153</t>
  </si>
  <si>
    <t>Suranjan Gogoi</t>
  </si>
  <si>
    <t>Gogoi Bricks</t>
  </si>
  <si>
    <t>suranjan.gogoi@gmail.com</t>
  </si>
  <si>
    <t xml:space="preserve"> Assam</t>
  </si>
  <si>
    <t>Diamond Agarbatti Perfume</t>
  </si>
  <si>
    <t>F2200010100152</t>
  </si>
  <si>
    <t>Santosh Pokharkar</t>
  </si>
  <si>
    <t>maptron household product</t>
  </si>
  <si>
    <t>pokharkarsantosh41@gmail.com</t>
  </si>
  <si>
    <t>White Phenyl Thickener</t>
  </si>
  <si>
    <t>F2200010100151</t>
  </si>
  <si>
    <t>Tulaan</t>
  </si>
  <si>
    <t>Rainbow Agarbatti</t>
  </si>
  <si>
    <t xml:space="preserve">
tulandas66@gmail.com
</t>
  </si>
  <si>
    <t xml:space="preserve"> Assam, </t>
  </si>
  <si>
    <t>Agarbatti Fragrance</t>
  </si>
  <si>
    <t>F2200010100150</t>
  </si>
  <si>
    <t>Shashikant Gupta</t>
  </si>
  <si>
    <t xml:space="preserve">Shashikant Mens Wear
</t>
  </si>
  <si>
    <t>shashikant.gupta.984@gmail.com</t>
  </si>
  <si>
    <t>F2200010100149</t>
  </si>
  <si>
    <t>Patham</t>
  </si>
  <si>
    <t>Super Wellness</t>
  </si>
  <si>
    <t>thefashionrayne@gmail.com</t>
  </si>
  <si>
    <t xml:space="preserve"> Delhi, </t>
  </si>
  <si>
    <t xml:space="preserve"> Vanilla Sugar Fine Fragrance</t>
  </si>
  <si>
    <t>VANILLA FLAVOUR CHAI</t>
  </si>
  <si>
    <t>F2200010100148</t>
  </si>
  <si>
    <t>Jayanthi</t>
  </si>
  <si>
    <t xml:space="preserve">
jayanthidevi62@gmail.com</t>
  </si>
  <si>
    <t xml:space="preserve"> Tamil Nadu,</t>
  </si>
  <si>
    <t>Agarbatti Fragrance Oil</t>
  </si>
  <si>
    <t>F2200010100147</t>
  </si>
  <si>
    <t>Vikky</t>
  </si>
  <si>
    <t xml:space="preserve">Telangana, </t>
  </si>
  <si>
    <t>Citronella Oil</t>
  </si>
  <si>
    <t>OUT OF SERVICE</t>
  </si>
  <si>
    <t>F2200010100146</t>
  </si>
  <si>
    <t>Ilavarasan</t>
  </si>
  <si>
    <t>Dhiya Cottage Industries</t>
  </si>
  <si>
    <t>ilavarasanvel12@gmail.com</t>
  </si>
  <si>
    <t>Mysore Sandal Agarbatti Perfume</t>
  </si>
  <si>
    <t>Mateen Ahmed</t>
  </si>
  <si>
    <t>Saahil</t>
  </si>
  <si>
    <t>1974mateenahmed@gmail.com</t>
  </si>
  <si>
    <t>Agarbatti Incense Perfume</t>
  </si>
  <si>
    <t>Shekh</t>
  </si>
  <si>
    <t>Asish Nayak</t>
  </si>
  <si>
    <t xml:space="preserve">
maa tarini agarvati supply</t>
  </si>
  <si>
    <t>asish8645@gmail.com</t>
  </si>
  <si>
    <t>Sugandhi Perfume for Agarbatti</t>
  </si>
  <si>
    <t>Hitali Dholariya</t>
  </si>
  <si>
    <t>Fragrance Oil.</t>
  </si>
  <si>
    <t>SOAP FRAGRANCR PRICE SEND</t>
  </si>
  <si>
    <t>Avadhut</t>
  </si>
  <si>
    <t>avadhut tulaskar</t>
  </si>
  <si>
    <t>tulaskaravadhut@gmail.com</t>
  </si>
  <si>
    <t>Maharashtra, India</t>
  </si>
  <si>
    <t>Perfumed White Phenyl</t>
  </si>
  <si>
    <t xml:space="preserve">Om Sai General Store
</t>
  </si>
  <si>
    <t>01031991dkumar@gmail.com</t>
  </si>
  <si>
    <t xml:space="preserve">Bihar, </t>
  </si>
  <si>
    <t>Gaytri Enterprise</t>
  </si>
  <si>
    <t>dk44396@gmail.com</t>
  </si>
  <si>
    <t>Lemongrass oil</t>
  </si>
  <si>
    <t>Julie Mary Phawa</t>
  </si>
  <si>
    <t>unique fashion</t>
  </si>
  <si>
    <t>juliemaryphawa8@gmail.com</t>
  </si>
  <si>
    <t>Shillong, Meghalaya,</t>
  </si>
  <si>
    <t>Jasmine Perfume.</t>
  </si>
  <si>
    <t>OUT OF NET WORK</t>
  </si>
  <si>
    <t>Kalyan Kar</t>
  </si>
  <si>
    <t>KKM MEDSOLUTIONS LLP</t>
  </si>
  <si>
    <t>kkalyankar@gmail.com</t>
  </si>
  <si>
    <t>Citronella Essential Oil</t>
  </si>
  <si>
    <t>CITRONELLA  2 KG NIEYCHEN</t>
  </si>
  <si>
    <t>Janmejay</t>
  </si>
  <si>
    <t>Pravu darsan agarbatti</t>
  </si>
  <si>
    <t>hanumanjaya004@gmail.com</t>
  </si>
  <si>
    <t xml:space="preserve"> Odisha</t>
  </si>
  <si>
    <t>Musk Aakar Incense Stick Parfume</t>
  </si>
  <si>
    <t>Shivam Soni</t>
  </si>
  <si>
    <t xml:space="preserve">
Ss Perfume Giri</t>
  </si>
  <si>
    <t>Musk Agarbatti Perfume</t>
  </si>
  <si>
    <t>F2200010100133</t>
  </si>
  <si>
    <t>Shahul Hameed</t>
  </si>
  <si>
    <t>Taj Apparels</t>
  </si>
  <si>
    <t>tajapparels234@gmail.com</t>
  </si>
  <si>
    <t>Tester Perfumes</t>
  </si>
  <si>
    <t>JUST  FOT ENQUIRY</t>
  </si>
  <si>
    <t>F2200010100132</t>
  </si>
  <si>
    <t>Bhargavjyoti Sarma</t>
  </si>
  <si>
    <t>bhargavjyotisarma4017325@gmail.com</t>
  </si>
  <si>
    <t>Harshada</t>
  </si>
  <si>
    <t>rand</t>
  </si>
  <si>
    <t>harshadas@randpoly.com</t>
  </si>
  <si>
    <t>Thickners</t>
  </si>
  <si>
    <t>THICKENER PRICE LIST SEND</t>
  </si>
  <si>
    <t>A Shajudeen</t>
  </si>
  <si>
    <t>Bawa Kungudai Plastic Goods</t>
  </si>
  <si>
    <t>shajudeen887@gmail.com</t>
  </si>
  <si>
    <t>Fragrances Perfume</t>
  </si>
  <si>
    <t>Aashish Pratap Singh</t>
  </si>
  <si>
    <t>ABS COMPANY</t>
  </si>
  <si>
    <t>oficalaashishkumarsingh1998@gmail.com</t>
  </si>
  <si>
    <t>Bihar, India</t>
  </si>
  <si>
    <t>Perfume for Agarbatti</t>
  </si>
  <si>
    <t>Delhi,</t>
  </si>
  <si>
    <t>Transparent Lemon Fragrance</t>
  </si>
  <si>
    <t xml:space="preserve">Rajesh  </t>
  </si>
  <si>
    <t>Yauatcha</t>
  </si>
  <si>
    <t xml:space="preserve">rkrajeshkumarengg0@gmail.com
</t>
  </si>
  <si>
    <t>Mix Pure Diffuser Essential Fragrance Oil</t>
  </si>
  <si>
    <t>Ram Mohan Saxena</t>
  </si>
  <si>
    <t>Complete Enterprise</t>
  </si>
  <si>
    <t>ram.saxena1951@gmail.com</t>
  </si>
  <si>
    <t>PHENYL  RAW MATERIELS PRICE SEND</t>
  </si>
  <si>
    <t>Mr. Paul</t>
  </si>
  <si>
    <t>T4 TATTOO INN</t>
  </si>
  <si>
    <t>info.t4tattooinn@gmail.com</t>
  </si>
  <si>
    <t xml:space="preserve">Tea Tree Oil </t>
  </si>
  <si>
    <t>TEA TREE OIL PRICE LIST SEND</t>
  </si>
  <si>
    <t>Indranil Majumder</t>
  </si>
  <si>
    <t>Kripa Industries</t>
  </si>
  <si>
    <t>indranilmazumder6@gmail.com</t>
  </si>
  <si>
    <t>Stick Sandal Fragrance</t>
  </si>
  <si>
    <t>Ratnadeep Saha</t>
  </si>
  <si>
    <t>sahaenterprise@hotmail.com</t>
  </si>
  <si>
    <t>black phenyl concentrate</t>
  </si>
  <si>
    <t>Gangadhar</t>
  </si>
  <si>
    <t>Beheras</t>
  </si>
  <si>
    <t>Lemon Grass</t>
  </si>
  <si>
    <t>khane ke liey chahiey</t>
  </si>
  <si>
    <t>Janudin</t>
  </si>
  <si>
    <t>Fragrance Work</t>
  </si>
  <si>
    <t>Mr. Rupendra</t>
  </si>
  <si>
    <t>Mr. Rupendra.</t>
  </si>
  <si>
    <t>Spa Fragrance Oil</t>
  </si>
  <si>
    <t>PRICE LIST SEND FRAGRANCE</t>
  </si>
  <si>
    <t>Subhash</t>
  </si>
  <si>
    <t>Telangana,</t>
  </si>
  <si>
    <t>Woody Sealed Perfumes</t>
  </si>
  <si>
    <t>PARIS PERFUME CHAI</t>
  </si>
  <si>
    <t>Kapil</t>
  </si>
  <si>
    <t>JUST FOR ENQUIRY</t>
  </si>
  <si>
    <t>Ramshaw</t>
  </si>
  <si>
    <t xml:space="preserve">
Anamika Agency</t>
  </si>
  <si>
    <t>ramshaw@gmail.com</t>
  </si>
  <si>
    <t>PHENYL RAW MATERIALS PRISE SEND</t>
  </si>
  <si>
    <t>Concentrated White Phenyl Gel</t>
  </si>
  <si>
    <t>Mohit Lodha</t>
  </si>
  <si>
    <t>mohitlodha98@gmail.com</t>
  </si>
  <si>
    <t>Bhavesh Mera</t>
  </si>
  <si>
    <t xml:space="preserve">Balaji SuperMarket
</t>
  </si>
  <si>
    <t>bhaveshmera33@gmail.com</t>
  </si>
  <si>
    <t xml:space="preserve"> Gujarat</t>
  </si>
  <si>
    <t>Pamidimarri Sharath</t>
  </si>
  <si>
    <t>pamidimarrisharath487@gmail.com</t>
  </si>
  <si>
    <t xml:space="preserve"> Andhra Pradesh</t>
  </si>
  <si>
    <t>Fragrances</t>
  </si>
  <si>
    <t>GANESH DAS</t>
  </si>
  <si>
    <t>ganeshdas109@gmail.com</t>
  </si>
  <si>
    <t>Agarbatti Perfumes.</t>
  </si>
  <si>
    <t>Mayuri</t>
  </si>
  <si>
    <t>Mayuri Enterprise</t>
  </si>
  <si>
    <t>mitramayuri1@gmail.com</t>
  </si>
  <si>
    <t>Perfumes.</t>
  </si>
  <si>
    <t>Ishiqka</t>
  </si>
  <si>
    <t>Celespe</t>
  </si>
  <si>
    <t>ishiikasharma111@gmail.com</t>
  </si>
  <si>
    <t>Rose Fragrance Oil</t>
  </si>
  <si>
    <t>dassurajit0407@gmail.com</t>
  </si>
  <si>
    <t>SUMAN DEY</t>
  </si>
  <si>
    <t>suman.sd165@gmail.com</t>
  </si>
  <si>
    <t>Concentrate Phenyl.</t>
  </si>
  <si>
    <t>5 LITR CONCENTRATE, 1KG LEMON LIME SC NIEYCHEN</t>
  </si>
  <si>
    <t>Ambience Garment Shop</t>
  </si>
  <si>
    <t>robindembls28@gmail.com</t>
  </si>
  <si>
    <t>Cosmetic Product Fragrances</t>
  </si>
  <si>
    <t>Waswani</t>
  </si>
  <si>
    <t>mananwaswani@gmail.com</t>
  </si>
  <si>
    <t xml:space="preserve">Maharashtra, </t>
  </si>
  <si>
    <t>Carbon Black Fragrances</t>
  </si>
  <si>
    <t>Ehtesham</t>
  </si>
  <si>
    <t>Al Zayaan Perfumes &amp; fragrance</t>
  </si>
  <si>
    <t>ehteshamhussain24@gmail.com</t>
  </si>
  <si>
    <t>purchase Perfumes</t>
  </si>
  <si>
    <t>sm362995@gmail.com</t>
  </si>
  <si>
    <t>Phenyl Thickener</t>
  </si>
  <si>
    <t>Sbprabat Madal</t>
  </si>
  <si>
    <t>Yathish M S</t>
  </si>
  <si>
    <t>Dynamic</t>
  </si>
  <si>
    <t>yathishms4@gmail.com</t>
  </si>
  <si>
    <t>Karnataka,</t>
  </si>
  <si>
    <t>Phenyl Compound</t>
  </si>
  <si>
    <t>Amjad Ulla Khan</t>
  </si>
  <si>
    <t>amjadullakhang@gmail.com</t>
  </si>
  <si>
    <t>Perfume</t>
  </si>
  <si>
    <t>F2200010100100</t>
  </si>
  <si>
    <t xml:space="preserve">
Megha</t>
  </si>
  <si>
    <t>F220001010099</t>
  </si>
  <si>
    <t>Shekhar</t>
  </si>
  <si>
    <t>Jagravi Tradings</t>
  </si>
  <si>
    <t>shekhar.sharma5432@gmail.com</t>
  </si>
  <si>
    <t>F220001010098</t>
  </si>
  <si>
    <t>Shyam Sundar</t>
  </si>
  <si>
    <t>Own Use</t>
  </si>
  <si>
    <t>Detergent Fragrance.</t>
  </si>
  <si>
    <t>F220001010097</t>
  </si>
  <si>
    <t>VISHAL DUBEY</t>
  </si>
  <si>
    <t>VD enterprise</t>
  </si>
  <si>
    <t>vijayprasad382@gmail.com</t>
  </si>
  <si>
    <t>Lemon Perfumed Floor Cleaner.</t>
  </si>
  <si>
    <t>F220001010096</t>
  </si>
  <si>
    <t>Golam Mohammad</t>
  </si>
  <si>
    <t>sp3197670@gmail.com</t>
  </si>
  <si>
    <t>Attar Fragrance</t>
  </si>
  <si>
    <t>F220001010095</t>
  </si>
  <si>
    <t>OINDRILA DUTTA</t>
  </si>
  <si>
    <t>HOME</t>
  </si>
  <si>
    <t>dattaoindrila0@gmail.com</t>
  </si>
  <si>
    <t>Kharagpur,</t>
  </si>
  <si>
    <t xml:space="preserve">SINAMOR by WPC </t>
  </si>
  <si>
    <t>F220001010094</t>
  </si>
  <si>
    <t>KHANK HANDEAR</t>
  </si>
  <si>
    <t>KALYANI PRODUCTS</t>
  </si>
  <si>
    <t>HYDERABAD</t>
  </si>
  <si>
    <t>SOAP FRAGRANCE</t>
  </si>
  <si>
    <t>1 KG KORE VANILLA,LEMONGRASS, HARBAL 557 NIEYCHEN</t>
  </si>
  <si>
    <t>F220001010093</t>
  </si>
  <si>
    <t>Prasenjit Das</t>
  </si>
  <si>
    <t>n e w</t>
  </si>
  <si>
    <t>dasp52971@gmail.com</t>
  </si>
  <si>
    <t>Phenyl Concentrate Compound</t>
  </si>
  <si>
    <t>PHENYL FRAGRANCE PRICE SEND</t>
  </si>
  <si>
    <t>F220001010092</t>
  </si>
  <si>
    <t>Mr. Db Sinha</t>
  </si>
  <si>
    <t>plastic jar</t>
  </si>
  <si>
    <t>db_1963@rediffmail.com</t>
  </si>
  <si>
    <t>Muzaffarpur,</t>
  </si>
  <si>
    <t>White Phenyl Concentrate</t>
  </si>
  <si>
    <t>PORE JANABEN</t>
  </si>
  <si>
    <t>F220001010091</t>
  </si>
  <si>
    <t>Pradeep M Kekatpure</t>
  </si>
  <si>
    <t>Evergreen Technologies Private Limited</t>
  </si>
  <si>
    <t xml:space="preserve">
pkekatpure@evergreenindia.com</t>
  </si>
  <si>
    <t>F220001010090</t>
  </si>
  <si>
    <t>Ranjit Mondol</t>
  </si>
  <si>
    <t xml:space="preserve">Midnapore </t>
  </si>
  <si>
    <t>F220001010089</t>
  </si>
  <si>
    <t xml:space="preserve">
Mohammad</t>
  </si>
  <si>
    <t>alihs786@gmail.com</t>
  </si>
  <si>
    <t>F220001010087</t>
  </si>
  <si>
    <t>Ajeet Kumar</t>
  </si>
  <si>
    <t>Rojana Greeh Udyog</t>
  </si>
  <si>
    <t>ajit.kumar.mauar@gmail.com</t>
  </si>
  <si>
    <t>PRICE LIST SEND PHENYL  RAW MATERIALS</t>
  </si>
  <si>
    <t>F220001010086</t>
  </si>
  <si>
    <t>Farzil</t>
  </si>
  <si>
    <t>Munni Sound</t>
  </si>
  <si>
    <t>farzul786@gmail.com</t>
  </si>
  <si>
    <t>Tehatta,</t>
  </si>
  <si>
    <t>F220001010085</t>
  </si>
  <si>
    <t>Dipankar Swain</t>
  </si>
  <si>
    <t>MAA SHITLA ENTERPRISES</t>
  </si>
  <si>
    <t>swiandeepakgaud@gmail.com</t>
  </si>
  <si>
    <t xml:space="preserve"> Lemon Grass Oil.</t>
  </si>
  <si>
    <t>F220001010084</t>
  </si>
  <si>
    <t>ARITRA SINHA</t>
  </si>
  <si>
    <t>Bardhaman,</t>
  </si>
  <si>
    <t>Phenyl.</t>
  </si>
  <si>
    <t>F220001010083</t>
  </si>
  <si>
    <t>Ashfiya</t>
  </si>
  <si>
    <t>Kanpur,</t>
  </si>
  <si>
    <t>Lavender Essential Oil.</t>
  </si>
  <si>
    <t>F220001010082</t>
  </si>
  <si>
    <t>Mohd Irfan</t>
  </si>
  <si>
    <t>Meher chemical</t>
  </si>
  <si>
    <t>Denim Agarbatti Fragrance</t>
  </si>
  <si>
    <t>F220001010081</t>
  </si>
  <si>
    <t>Ashutosh Mishra</t>
  </si>
  <si>
    <t>chandrashekharm547@gmail.com</t>
  </si>
  <si>
    <t>Cap Fragrance Perfume, for Aromatic</t>
  </si>
  <si>
    <t>KALKAR PERFUME CHAI</t>
  </si>
  <si>
    <t>F220001010080</t>
  </si>
  <si>
    <t>Ram Kumar</t>
  </si>
  <si>
    <t>Purgo Hygiene Industry</t>
  </si>
  <si>
    <t>srk2ramkumar@gmail.com</t>
  </si>
  <si>
    <t>Encapsulated Fragrance Jasmine</t>
  </si>
  <si>
    <t>F220001010079</t>
  </si>
  <si>
    <t>RIZWAN</t>
  </si>
  <si>
    <t>F220001010078</t>
  </si>
  <si>
    <t>Priya Prasanajeet</t>
  </si>
  <si>
    <t>Pragya Enterprises</t>
  </si>
  <si>
    <t>priyaprasanajeet1999@gmail.com</t>
  </si>
  <si>
    <t>F220001010077</t>
  </si>
  <si>
    <t xml:space="preserve">
Shyam Sundar</t>
  </si>
  <si>
    <t xml:space="preserve">Tamil Nadu, </t>
  </si>
  <si>
    <t>Detergent Fragrance</t>
  </si>
  <si>
    <t>F220001010076</t>
  </si>
  <si>
    <t>Vinayak S Gawade</t>
  </si>
  <si>
    <t>Om Trading</t>
  </si>
  <si>
    <t>vinoo.gawade@gmail.com</t>
  </si>
  <si>
    <t>LAVENDER , ROSE KA PRICE SEND</t>
  </si>
  <si>
    <t>F220001010075</t>
  </si>
  <si>
    <t xml:space="preserve">
Mohammed Yasir</t>
  </si>
  <si>
    <t xml:space="preserve">Fragrance PerfumeFragrance </t>
  </si>
  <si>
    <t>F220001010074</t>
  </si>
  <si>
    <t>Vijay Tinwala</t>
  </si>
  <si>
    <t>Mahalaxami Enterprises</t>
  </si>
  <si>
    <t>vjmendon@gmail.com</t>
  </si>
  <si>
    <t>F220001010073</t>
  </si>
  <si>
    <t>Jayalakshmi</t>
  </si>
  <si>
    <t>Risha Home Remedies</t>
  </si>
  <si>
    <t>jayasd13@gmail.com</t>
  </si>
  <si>
    <t>Phenyl Fragrance</t>
  </si>
  <si>
    <t>F220001010072</t>
  </si>
  <si>
    <t>KIRDAR</t>
  </si>
  <si>
    <t>Kirdar Industries</t>
  </si>
  <si>
    <t>prajapatiatul032@gmail.com</t>
  </si>
  <si>
    <t>, Gujarat,</t>
  </si>
  <si>
    <t>Chocolate Fragrance Oil</t>
  </si>
  <si>
    <t>F220001010071</t>
  </si>
  <si>
    <t>Lakshminarayan Ram</t>
  </si>
  <si>
    <t xml:space="preserve">
vyaslaxminarayan03@gmail.com</t>
  </si>
  <si>
    <t>SHAVING Cream Fragrance</t>
  </si>
  <si>
    <t>F220001010070</t>
  </si>
  <si>
    <t>Rajmata Enterprises</t>
  </si>
  <si>
    <t>amitgupta4a@gmail.com</t>
  </si>
  <si>
    <t>Punjab,</t>
  </si>
  <si>
    <t>Liquid Hand Wash Perfumery Compound</t>
  </si>
  <si>
    <t>PERFUME PRICE LIST SEND</t>
  </si>
  <si>
    <t>F220001010069</t>
  </si>
  <si>
    <t>Sumit Majumdar</t>
  </si>
  <si>
    <t>Fragrance Concentrate</t>
  </si>
  <si>
    <t>F220001010068</t>
  </si>
  <si>
    <t>Sohel Khan</t>
  </si>
  <si>
    <t>sohelkhan0219@gmail.com</t>
  </si>
  <si>
    <t>Candle Perfume Fragrance</t>
  </si>
  <si>
    <t>F220001010067</t>
  </si>
  <si>
    <t>R Vasu</t>
  </si>
  <si>
    <t>radhavr@hotmail.com</t>
  </si>
  <si>
    <t>Sandle Fragrance</t>
  </si>
  <si>
    <t>F220001010066</t>
  </si>
  <si>
    <t>MD Ayub</t>
  </si>
  <si>
    <t>Ahmed Attar Is Perfumes And Ahmed Cap Mart</t>
  </si>
  <si>
    <t>mdayub77318@gmail.com</t>
  </si>
  <si>
    <t>Perfume Spray Fragrance</t>
  </si>
  <si>
    <t>F220001010065</t>
  </si>
  <si>
    <t>Kartik Gohil</t>
  </si>
  <si>
    <t xml:space="preserve">
bhakti agarbatti</t>
  </si>
  <si>
    <t xml:space="preserve">
kartikgohil4750@gmail.com</t>
  </si>
  <si>
    <t>Aakar Incense Stick Parfume</t>
  </si>
  <si>
    <t>F220001010064</t>
  </si>
  <si>
    <t>Farzana Pachu</t>
  </si>
  <si>
    <t>farzanahariszaim@gmail.com</t>
  </si>
  <si>
    <t>Kerala,</t>
  </si>
  <si>
    <t>Soap Perfume</t>
  </si>
  <si>
    <t>F220001010063</t>
  </si>
  <si>
    <t>Ashwani Chauhan</t>
  </si>
  <si>
    <t>ashwanic0000@gmail.com</t>
  </si>
  <si>
    <t>Mushk Cosmetic Perfumes</t>
  </si>
  <si>
    <t>F220001010062</t>
  </si>
  <si>
    <t>Md Noman</t>
  </si>
  <si>
    <t>nomanmohammad212@gmail.com</t>
  </si>
  <si>
    <t>Fragrance Toilet Soap</t>
  </si>
  <si>
    <t>F220001010061</t>
  </si>
  <si>
    <t>Ankush</t>
  </si>
  <si>
    <t>goyalankushca@gmail.com</t>
  </si>
  <si>
    <t>Skin Care Fragrances</t>
  </si>
  <si>
    <t>F220001010060</t>
  </si>
  <si>
    <t>anish56sharma67@gmail.com</t>
  </si>
  <si>
    <t xml:space="preserve">Punjab, </t>
  </si>
  <si>
    <t>Jasmine Natural Fragrance</t>
  </si>
  <si>
    <t>F220001010059</t>
  </si>
  <si>
    <t>Shiva</t>
  </si>
  <si>
    <t>F220001010058</t>
  </si>
  <si>
    <t>Nitai</t>
  </si>
  <si>
    <t xml:space="preserve">
Maity Enterprises</t>
  </si>
  <si>
    <t>mnitai110@gmail.com</t>
  </si>
  <si>
    <t>Basha Salma Industrial Fragrance</t>
  </si>
  <si>
    <t>F220001010056</t>
  </si>
  <si>
    <t>Prajna Paramita Dash</t>
  </si>
  <si>
    <t>prajnadash4402@gmail.com</t>
  </si>
  <si>
    <t>Sandal Incense Sticks Perfumes</t>
  </si>
  <si>
    <t>F220001010055</t>
  </si>
  <si>
    <t>WASHING POWDER</t>
  </si>
  <si>
    <t>mauryagroup163@gmail.com</t>
  </si>
  <si>
    <t>Lemon Detergent Fragrance</t>
  </si>
  <si>
    <t>F220001010054</t>
  </si>
  <si>
    <t>Mukesh Kesharwani</t>
  </si>
  <si>
    <t>Online Shopping Store</t>
  </si>
  <si>
    <t xml:space="preserve">mukeshkesharwani51@gmail.com
</t>
  </si>
  <si>
    <t>F220001010053</t>
  </si>
  <si>
    <t>Mahesh C</t>
  </si>
  <si>
    <t>mahesh.chandrashekar10@gmail.com</t>
  </si>
  <si>
    <t>Jasmine Kamala Hara.</t>
  </si>
  <si>
    <t>F220001010052</t>
  </si>
  <si>
    <t xml:space="preserve">Divya  </t>
  </si>
  <si>
    <t>Interior And Architect</t>
  </si>
  <si>
    <t>sshwetarya@gmail.com</t>
  </si>
  <si>
    <t>F220001010051</t>
  </si>
  <si>
    <t>Kishore Kumar Rokkala</t>
  </si>
  <si>
    <t xml:space="preserve">JONAS CHEMICALS </t>
  </si>
  <si>
    <t>kishoreiict1984@gmail.com</t>
  </si>
  <si>
    <t>Shikakai Perfume Fragrance</t>
  </si>
  <si>
    <t>F220001010050</t>
  </si>
  <si>
    <t>Sonu</t>
  </si>
  <si>
    <t>M/s Tejal Homecare Products</t>
  </si>
  <si>
    <t>preetsonusaini016@gmail.com</t>
  </si>
  <si>
    <t>Haryana,</t>
  </si>
  <si>
    <t>Lime Fragrance</t>
  </si>
  <si>
    <t>F220001010049</t>
  </si>
  <si>
    <t>SRM Thoi</t>
  </si>
  <si>
    <t>slaisrm@gmail.com</t>
  </si>
  <si>
    <t>Agarbatti Fragrance (pineapple)</t>
  </si>
  <si>
    <t>F220001010048</t>
  </si>
  <si>
    <t>Souvik Bhowmik</t>
  </si>
  <si>
    <t>souvikbhowmik481@gmail.com</t>
  </si>
  <si>
    <t>Koch Bihar</t>
  </si>
  <si>
    <t>Rose Agarbatti Fragrances</t>
  </si>
  <si>
    <t>F220001010047</t>
  </si>
  <si>
    <t>Arvind Saxena</t>
  </si>
  <si>
    <t>Sanitary Shop</t>
  </si>
  <si>
    <t xml:space="preserve">arvindsaxena201@gmail.com
</t>
  </si>
  <si>
    <t>F220001010046</t>
  </si>
  <si>
    <t>Vicky Bhai</t>
  </si>
  <si>
    <t>Mummy International</t>
  </si>
  <si>
    <t>mummyy555@gmail.com</t>
  </si>
  <si>
    <t>White Encapsulated Fragrance Jasmine, for Industrial</t>
  </si>
  <si>
    <t>F220001010045</t>
  </si>
  <si>
    <t>Bidyut Pal</t>
  </si>
  <si>
    <t>Rami Chandidas Agarbatti</t>
  </si>
  <si>
    <t>F220001010044</t>
  </si>
  <si>
    <t>Mil Madhav</t>
  </si>
  <si>
    <t>Multicure Pharma Private Limited</t>
  </si>
  <si>
    <t>Dettol Perfume Fragrance</t>
  </si>
  <si>
    <t>F220001010043</t>
  </si>
  <si>
    <t>Vikas Tayagi</t>
  </si>
  <si>
    <t>Reshamm Life Care</t>
  </si>
  <si>
    <t>reshammlifecare@gmail.com</t>
  </si>
  <si>
    <t xml:space="preserve">Sticks Fragrances.
</t>
  </si>
  <si>
    <t>F220001010042</t>
  </si>
  <si>
    <t>Gagan Monga</t>
  </si>
  <si>
    <t>Prototype Solutions</t>
  </si>
  <si>
    <t>gaganmonga1971@gmail.com</t>
  </si>
  <si>
    <t>Industry Fragrance</t>
  </si>
  <si>
    <t>F220001010041</t>
  </si>
  <si>
    <t>Basei Zamir</t>
  </si>
  <si>
    <t>indiaMART assistant</t>
  </si>
  <si>
    <t>baseizamirkhan@gmail.com</t>
  </si>
  <si>
    <t>Blue Fragrance</t>
  </si>
  <si>
    <t>F220001010040</t>
  </si>
  <si>
    <t>Soustav Ghosh</t>
  </si>
  <si>
    <t>a r industries</t>
  </si>
  <si>
    <t>bukai914@gmail.com</t>
  </si>
  <si>
    <t>F220001010039</t>
  </si>
  <si>
    <t>Kailash Agarwal</t>
  </si>
  <si>
    <t>Jagdamba Enterprises</t>
  </si>
  <si>
    <t>jagdamaenterprise@gmail.com</t>
  </si>
  <si>
    <t>Paint Thickener</t>
  </si>
  <si>
    <t>F220001010038</t>
  </si>
  <si>
    <t>Ashish R. Kayasth</t>
  </si>
  <si>
    <t>Elite Industries Global</t>
  </si>
  <si>
    <t>ark.chemilube@gmail.com</t>
  </si>
  <si>
    <t>Thickener for solvent</t>
  </si>
  <si>
    <t>F220001010037</t>
  </si>
  <si>
    <t>Nirupam</t>
  </si>
  <si>
    <t>Bantara Interprice</t>
  </si>
  <si>
    <t>nirupamde23@gmail.com</t>
  </si>
  <si>
    <t>Agarbatti Dep Oil Perfume.</t>
  </si>
  <si>
    <t>F220001010036</t>
  </si>
  <si>
    <t>HARESH POTLE</t>
  </si>
  <si>
    <t>Pritam Agarbatti Manufacure</t>
  </si>
  <si>
    <t>hareshpotle08@gmail.com</t>
  </si>
  <si>
    <t>Agarbatti Charcoal Powder.</t>
  </si>
  <si>
    <t>F220001010035</t>
  </si>
  <si>
    <t>Danish</t>
  </si>
  <si>
    <t>Jack Sparrow</t>
  </si>
  <si>
    <t>indiajack121@gmail.com</t>
  </si>
  <si>
    <t>F220001010034</t>
  </si>
  <si>
    <t>Kasinath Mandal</t>
  </si>
  <si>
    <t>Mausm Krishi Viponi</t>
  </si>
  <si>
    <t>kasinathmondol@gmail.com</t>
  </si>
  <si>
    <t>Lemon White Phenyl Concentrate.</t>
  </si>
  <si>
    <t>F220001010033</t>
  </si>
  <si>
    <t>Krishnendu</t>
  </si>
  <si>
    <t>sk enterprises</t>
  </si>
  <si>
    <t>Citronella Fragrance Water Soluble Oil.</t>
  </si>
  <si>
    <t>ANNO CAMPANY THEKE NICHHEN PORE JANABEN</t>
  </si>
  <si>
    <t>F220001010032</t>
  </si>
  <si>
    <t>P Tiwari</t>
  </si>
  <si>
    <t>Anand Car Washing Station</t>
  </si>
  <si>
    <t>Boroline Fragrance</t>
  </si>
  <si>
    <t>F220001010031</t>
  </si>
  <si>
    <t>Mithilesh Kumar</t>
  </si>
  <si>
    <t>mithileshjee375@gmail.com</t>
  </si>
  <si>
    <t>Incense Perfume</t>
  </si>
  <si>
    <t>F220001010030</t>
  </si>
  <si>
    <t xml:space="preserve">Rajmata Enterprises
</t>
  </si>
  <si>
    <t>F220001010029</t>
  </si>
  <si>
    <t>Deepak Enterprises</t>
  </si>
  <si>
    <t>deepakwho@gmail.com</t>
  </si>
  <si>
    <t>Dhoop Liquid Fragrance</t>
  </si>
  <si>
    <t>F220001010028</t>
  </si>
  <si>
    <t>Anees Siddique</t>
  </si>
  <si>
    <t>M/S Bombay Generalstore</t>
  </si>
  <si>
    <t>aneessiddiqui2@gmail.com</t>
  </si>
  <si>
    <t>F220001010027</t>
  </si>
  <si>
    <t>Kirti</t>
  </si>
  <si>
    <t>sharmakirti301@gmail.com</t>
  </si>
  <si>
    <t>Room Sprays Fragrances</t>
  </si>
  <si>
    <t>PRICE LIST SEND AIR FRAGRANCE</t>
  </si>
  <si>
    <t>Sunny Kumar</t>
  </si>
  <si>
    <r>
      <rPr/>
      <t xml:space="preserve">
</t>
    </r>
    <r>
      <rPr>
        <color rgb="FF1155CC"/>
        <u/>
      </rPr>
      <t>Mr.kleaner.com</t>
    </r>
  </si>
  <si>
    <t>sunnyroy921100@gmail.com</t>
  </si>
  <si>
    <t>Samastipur</t>
  </si>
  <si>
    <t>F220001010026</t>
  </si>
  <si>
    <t>Mohammad Sakib</t>
  </si>
  <si>
    <t>All In One</t>
  </si>
  <si>
    <t>F220001010025</t>
  </si>
  <si>
    <t>arvindsaxena201@gmail.com</t>
  </si>
  <si>
    <t>F220001010024</t>
  </si>
  <si>
    <t>Liza</t>
  </si>
  <si>
    <t>lizarathi99@gmail.com</t>
  </si>
  <si>
    <t xml:space="preserve"> Perfumes</t>
  </si>
  <si>
    <t>F220001010023</t>
  </si>
  <si>
    <t>LAXMI Narayan</t>
  </si>
  <si>
    <t>Jhargram,</t>
  </si>
  <si>
    <t>F220001010022</t>
  </si>
  <si>
    <t>Sonu Singh</t>
  </si>
  <si>
    <t>Nayak Baba Dal Mill</t>
  </si>
  <si>
    <t>rankitsinhaxxxx@gmail.com</t>
  </si>
  <si>
    <t xml:space="preserve">Fragrances Musk Agarbatti </t>
  </si>
  <si>
    <t>F220001010021</t>
  </si>
  <si>
    <t>Md Hajiqul Alam</t>
  </si>
  <si>
    <t>Alpha</t>
  </si>
  <si>
    <t>hajialam2501@gmail.com</t>
  </si>
  <si>
    <t>Malda,</t>
  </si>
  <si>
    <t>Citronella Oil.</t>
  </si>
  <si>
    <t>F220001010020</t>
  </si>
  <si>
    <t>Amit Patel</t>
  </si>
  <si>
    <t>Gama Gold (Aggarwati Whalesale</t>
  </si>
  <si>
    <t>amitk26058@gmail.com</t>
  </si>
  <si>
    <t>SWASTIKA Agarbatti Oil</t>
  </si>
  <si>
    <t>F220001010019</t>
  </si>
  <si>
    <t>Rashid Khan</t>
  </si>
  <si>
    <t>F220001010018</t>
  </si>
  <si>
    <t>MAMONI KHAN</t>
  </si>
  <si>
    <t>MADNEPOUR</t>
  </si>
  <si>
    <t>F220001010017</t>
  </si>
  <si>
    <t>YASHWANT SINGH</t>
  </si>
  <si>
    <t>F220001010016</t>
  </si>
  <si>
    <t xml:space="preserve">Sharmi  </t>
  </si>
  <si>
    <t>Tulsi Jasmine 344 Industrial Perfume</t>
  </si>
  <si>
    <t>Vinay Balli</t>
  </si>
  <si>
    <t>S.S Enterprises</t>
  </si>
  <si>
    <t>binoy34@gmail.com</t>
  </si>
  <si>
    <t>Jasmine Agarbatti Fragrance</t>
  </si>
  <si>
    <t>Sun Bright</t>
  </si>
  <si>
    <t>hassan776ali12@gmail.com</t>
  </si>
  <si>
    <t>Industrial Aromatic Perfume Fragrance</t>
  </si>
  <si>
    <t>Arpit Agarwal</t>
  </si>
  <si>
    <t>Shyam Perfumer</t>
  </si>
  <si>
    <t>AIR FRESHNER FRAGRANCE PRICE SEND</t>
  </si>
  <si>
    <t>Dharmesh</t>
  </si>
  <si>
    <t>Guru enterprise</t>
  </si>
  <si>
    <t>pdharmesha@gmail.com</t>
  </si>
  <si>
    <t xml:space="preserve">Bengaluru, </t>
  </si>
  <si>
    <t>Rajat Taneja</t>
  </si>
  <si>
    <t>Golden Reps</t>
  </si>
  <si>
    <t>rajat2smartyy@yahoo.com</t>
  </si>
  <si>
    <t>Shampoo Fragrance</t>
  </si>
  <si>
    <t xml:space="preserve">SOAP, COSMATICS FRAGRANCE PRICE SEND </t>
  </si>
  <si>
    <t>Madan Das</t>
  </si>
  <si>
    <t xml:space="preserve">
Ma Tara Enterprice</t>
  </si>
  <si>
    <t>madandas198100@gmail.com</t>
  </si>
  <si>
    <t>Agarbati Fragrance</t>
  </si>
  <si>
    <t>Ramesh Mohapatra</t>
  </si>
  <si>
    <t>Galaxy Perfume</t>
  </si>
  <si>
    <t>ramesh1960mohapatra@gmail.com</t>
  </si>
  <si>
    <t>DETERGENT PRICE LIST SEND</t>
  </si>
  <si>
    <t xml:space="preserve">Rajan      </t>
  </si>
  <si>
    <t>VP Fabrics</t>
  </si>
  <si>
    <t>mobilabzmarketing@gmail.com</t>
  </si>
  <si>
    <t>Industrial Fragrances</t>
  </si>
  <si>
    <t>Bikash Chandra Sahoo</t>
  </si>
  <si>
    <t>personal</t>
  </si>
  <si>
    <t>bikash.kiit@gmail.com</t>
  </si>
  <si>
    <t>Lemon Fragrance Oil.</t>
  </si>
  <si>
    <t>Jrk Enterprise</t>
  </si>
  <si>
    <t>NETWORK NEI</t>
  </si>
  <si>
    <t>F220001010015</t>
  </si>
  <si>
    <t>Mahadhav Maharana</t>
  </si>
  <si>
    <t>Multicare Pharma</t>
  </si>
  <si>
    <t>hydmcppl.prd@gmail.com</t>
  </si>
  <si>
    <t xml:space="preserve">Hyderabad, </t>
  </si>
  <si>
    <t xml:space="preserve">Phenyl Thickner </t>
  </si>
  <si>
    <t>THICKENER, PHENYL PERFUME PRICE SEND</t>
  </si>
  <si>
    <t>F220001010014</t>
  </si>
  <si>
    <t>Tinku Santra</t>
  </si>
  <si>
    <t>santratinku7890@gmail.com</t>
  </si>
  <si>
    <t>BODY  PERFUME LAGBE</t>
  </si>
  <si>
    <t>F220001010013</t>
  </si>
  <si>
    <t>Krrish</t>
  </si>
  <si>
    <t>Jasmine Perfume</t>
  </si>
  <si>
    <t>HOTTEL ER JANNO CHAI</t>
  </si>
  <si>
    <t>F220001010012</t>
  </si>
  <si>
    <t>Rahul Kumar</t>
  </si>
  <si>
    <t>Om Construction</t>
  </si>
  <si>
    <t>rk6222115@gmail.com</t>
  </si>
  <si>
    <t>Jharkhand,</t>
  </si>
  <si>
    <t xml:space="preserve">BHARAT WAASI Fragrance </t>
  </si>
  <si>
    <t>F220001010011</t>
  </si>
  <si>
    <t>Samim</t>
  </si>
  <si>
    <t>F220001010010</t>
  </si>
  <si>
    <t>Love N Light</t>
  </si>
  <si>
    <t>aarkashreed@gmail.com</t>
  </si>
  <si>
    <t>Sandalwood Oil Fragrance.</t>
  </si>
  <si>
    <t>F22000101009</t>
  </si>
  <si>
    <t>Femto House Care Products</t>
  </si>
  <si>
    <t>femtocleaning@gmail.com</t>
  </si>
  <si>
    <t>Rose Detergent Fragrance</t>
  </si>
  <si>
    <t>F22000101008</t>
  </si>
  <si>
    <t>Yog Raj Mahajan</t>
  </si>
  <si>
    <t xml:space="preserve">
inspmahajan@gmail.com
</t>
  </si>
  <si>
    <t>Himachal Pradesh,</t>
  </si>
  <si>
    <t>Incense Stick Oil</t>
  </si>
  <si>
    <t>F22000101007</t>
  </si>
  <si>
    <t>Darshan Cemikals</t>
  </si>
  <si>
    <t>bharat21184prajapati@gmail.com</t>
  </si>
  <si>
    <t>PRICE LIST  DETERGENT FRAGRANCE</t>
  </si>
  <si>
    <t>F22000101006</t>
  </si>
  <si>
    <t>Arava Venkateswararao</t>
  </si>
  <si>
    <t>AVR agarabatti</t>
  </si>
  <si>
    <t xml:space="preserve">venkateswararaoarava9@gmail.com
</t>
  </si>
  <si>
    <t xml:space="preserve"> Andhra Pradesh,</t>
  </si>
  <si>
    <t>F22000101005</t>
  </si>
  <si>
    <t xml:space="preserve">
Ashoksinh Jadeja</t>
  </si>
  <si>
    <t xml:space="preserve">
agjadeja@gmail.com</t>
  </si>
  <si>
    <t xml:space="preserve"> Gujarat, </t>
  </si>
  <si>
    <t>FINE FRAGRANCE PRICE LIST SEND</t>
  </si>
  <si>
    <t>F22000101004</t>
  </si>
  <si>
    <t>Ram Prasad Udaipurwati</t>
  </si>
  <si>
    <t>Dev Trading Company</t>
  </si>
  <si>
    <t>rpmandawara@gmail.com</t>
  </si>
  <si>
    <t>FLAVOUR CHAI ICE CRAEM ER JANOO</t>
  </si>
  <si>
    <t>F22000101003</t>
  </si>
  <si>
    <t>Sharda Setty</t>
  </si>
  <si>
    <t xml:space="preserve">N/A
</t>
  </si>
  <si>
    <t>spsethi1988@gmail.com</t>
  </si>
  <si>
    <t>Phinyl Concentrate</t>
  </si>
  <si>
    <t>F22000101002</t>
  </si>
  <si>
    <t>Shiddat</t>
  </si>
  <si>
    <t xml:space="preserve">
Spandan Foundation</t>
  </si>
  <si>
    <t xml:space="preserve">
Nadia</t>
  </si>
  <si>
    <t>F22000101001</t>
  </si>
  <si>
    <t>Ankit Kumar</t>
  </si>
  <si>
    <t>R M Enetrprises</t>
  </si>
  <si>
    <t>ankit.mate123@gmail.com</t>
  </si>
  <si>
    <t>F22000101000</t>
  </si>
  <si>
    <t>Muthuraman</t>
  </si>
  <si>
    <t>tvmuthuraman28@gmail.com</t>
  </si>
  <si>
    <t>Bharat Darshan Incense Sticks Fragrances</t>
  </si>
  <si>
    <t>F2200010999</t>
  </si>
  <si>
    <t>Shetal</t>
  </si>
  <si>
    <t>Sai Dhan Agarbatti</t>
  </si>
  <si>
    <t>F2200010998</t>
  </si>
  <si>
    <t>Suman Dutta</t>
  </si>
  <si>
    <t xml:space="preserve"> Citronella Oil.</t>
  </si>
  <si>
    <t>MOSQUITO ER JONNO CHAI</t>
  </si>
  <si>
    <t>F2200010997</t>
  </si>
  <si>
    <t>Pooja Maurya</t>
  </si>
  <si>
    <t>poojamauryabst@gmail.com</t>
  </si>
  <si>
    <t xml:space="preserve"> Jasmine Fragrance</t>
  </si>
  <si>
    <t>F2200010996</t>
  </si>
  <si>
    <t>Mr. Ashraf</t>
  </si>
  <si>
    <t>Khandukar Library</t>
  </si>
  <si>
    <t>Edulight@gmail.com</t>
  </si>
  <si>
    <t>F2200010995</t>
  </si>
  <si>
    <t>Jyothi</t>
  </si>
  <si>
    <t>jkperfect@gmail.com</t>
  </si>
  <si>
    <t>F2200010994</t>
  </si>
  <si>
    <t>Sujoy Mondal</t>
  </si>
  <si>
    <t>rajmondal04272003@gmail.com</t>
  </si>
  <si>
    <t>Bakreshwar</t>
  </si>
  <si>
    <t>F2200010993</t>
  </si>
  <si>
    <t>Durth Das</t>
  </si>
  <si>
    <t>Rishra Spandan Foundation</t>
  </si>
  <si>
    <t>devspandan95@gmail.com</t>
  </si>
  <si>
    <t>Chakdaha,</t>
  </si>
  <si>
    <t>31-03-2023</t>
  </si>
  <si>
    <t>F2200010992</t>
  </si>
  <si>
    <t>Jyotshna Mayee Nayak</t>
  </si>
  <si>
    <t>Chandan Incense Sticks Fragrances</t>
  </si>
  <si>
    <t>F2200010991</t>
  </si>
  <si>
    <t>Preethi</t>
  </si>
  <si>
    <t>Manithee Skin Care</t>
  </si>
  <si>
    <t xml:space="preserve">luvlypreethi@gmail.com
</t>
  </si>
  <si>
    <t>White Lemon Fragrance, for Commercial</t>
  </si>
  <si>
    <t>LAGBE NA</t>
  </si>
  <si>
    <t>F2200010990</t>
  </si>
  <si>
    <t>Rithesh</t>
  </si>
  <si>
    <t xml:space="preserve">ritheshrsot@gmail.com
</t>
  </si>
  <si>
    <t>F2200010989</t>
  </si>
  <si>
    <t>Jehangir</t>
  </si>
  <si>
    <t xml:space="preserve">Astha and Anu Shop Factory
</t>
  </si>
  <si>
    <t>jehangirhooda16@gmail.com</t>
  </si>
  <si>
    <t>F2200010988</t>
  </si>
  <si>
    <t>Kaisar</t>
  </si>
  <si>
    <t>Star Enterprises</t>
  </si>
  <si>
    <t>enterprisediamond786@gmail.com</t>
  </si>
  <si>
    <t>F2200010987</t>
  </si>
  <si>
    <t>Fakhruddin Sardharia</t>
  </si>
  <si>
    <t>fakruddinsardariya@gmail.com</t>
  </si>
  <si>
    <t>F2200010986</t>
  </si>
  <si>
    <t>Anupam Ghosh</t>
  </si>
  <si>
    <t>Ghosh Perfumery Works</t>
  </si>
  <si>
    <t>anupamghosh9062@gmail.com</t>
  </si>
  <si>
    <t>Citriodora Oil</t>
  </si>
  <si>
    <t>CITRODORA , EUCALYPUTS 1 KG KORE NIEYCHEN</t>
  </si>
  <si>
    <t>F2200010985</t>
  </si>
  <si>
    <t>F2200010984</t>
  </si>
  <si>
    <t>Priya General Stor</t>
  </si>
  <si>
    <t>manok62022@gmail.com</t>
  </si>
  <si>
    <t>Soap Women's Fragrance</t>
  </si>
  <si>
    <t>30-03-2023</t>
  </si>
  <si>
    <t>F2200010983</t>
  </si>
  <si>
    <t>Navya Rukmini</t>
  </si>
  <si>
    <t>Cornosar Organic</t>
  </si>
  <si>
    <t>navyarukmini20@gmail.com</t>
  </si>
  <si>
    <t>Bengaluru,</t>
  </si>
  <si>
    <t xml:space="preserve"> Soap Fragrances.</t>
  </si>
  <si>
    <t>F2200010982</t>
  </si>
  <si>
    <t>Nand</t>
  </si>
  <si>
    <t xml:space="preserve">
R S Sales Agency</t>
  </si>
  <si>
    <t>nksinghmcd@gmail.com</t>
  </si>
  <si>
    <t>OMTIRTH Sandal Toiletry Soap Fragrance</t>
  </si>
  <si>
    <t>F2200010981</t>
  </si>
  <si>
    <t>Jyoti Rampal</t>
  </si>
  <si>
    <t>jyoti198110@gmail.com</t>
  </si>
  <si>
    <t xml:space="preserve">Kaccha Bela Perfume Fragrance for Agarbatti
</t>
  </si>
  <si>
    <t>AGARBATTI PWERFUME PRICE LIST SEND</t>
  </si>
  <si>
    <t>F2200010980</t>
  </si>
  <si>
    <t>Gupta Ji Gotewale</t>
  </si>
  <si>
    <t>amit312gupta@rediffmail.com</t>
  </si>
  <si>
    <t xml:space="preserve"> Rose Perfume.</t>
  </si>
  <si>
    <t>F2200010979</t>
  </si>
  <si>
    <t>Raja Kumar</t>
  </si>
  <si>
    <t>S.K Manufacturer</t>
  </si>
  <si>
    <t>rajayadav2553@gmail.com</t>
  </si>
  <si>
    <t>Parfum Sanjeev Oudh.</t>
  </si>
  <si>
    <t>F2200010978</t>
  </si>
  <si>
    <t>Agamba Luam</t>
  </si>
  <si>
    <t>eyumdeco@gmail.com</t>
  </si>
  <si>
    <t>Perfume Fragrance for Agarbatti</t>
  </si>
  <si>
    <t>F2200010977</t>
  </si>
  <si>
    <t>F2200010976</t>
  </si>
  <si>
    <t>Priya Das</t>
  </si>
  <si>
    <t>3 PM CALLBACK TO DAY</t>
  </si>
  <si>
    <t>F2200010975</t>
  </si>
  <si>
    <t xml:space="preserve">Sri Mahalaxmi Kirana
</t>
  </si>
  <si>
    <t>F2200010974</t>
  </si>
  <si>
    <t>Suyash</t>
  </si>
  <si>
    <t>Mech Techno Fab</t>
  </si>
  <si>
    <t xml:space="preserve">suyashmane37@gmail.com
</t>
  </si>
  <si>
    <t>Arochem Agarbatti Perfume</t>
  </si>
  <si>
    <t>F2200010973</t>
  </si>
  <si>
    <t>RAHUL Biswas</t>
  </si>
  <si>
    <t>rahulbiswas62979141@gmail.com</t>
  </si>
  <si>
    <t>F2200010972</t>
  </si>
  <si>
    <t>Brightail Infra</t>
  </si>
  <si>
    <t>nitin.kewalramani@yahoo.in</t>
  </si>
  <si>
    <t>F2200010971</t>
  </si>
  <si>
    <t>Saumen Dey</t>
  </si>
  <si>
    <t>S D ENTERPRISE</t>
  </si>
  <si>
    <t>saumen.82@gmail.com</t>
  </si>
  <si>
    <t>29-03-2023</t>
  </si>
  <si>
    <t>F2200010970</t>
  </si>
  <si>
    <t>Paras</t>
  </si>
  <si>
    <t>Paras Agarwal Rui batti</t>
  </si>
  <si>
    <t>parasagarwal21463@gmail.com</t>
  </si>
  <si>
    <t>F2200010969</t>
  </si>
  <si>
    <t>Priyanka</t>
  </si>
  <si>
    <t>Citral Lemongrass Oil</t>
  </si>
  <si>
    <t>COSMETICS FRAGRANCE PRICE SEND</t>
  </si>
  <si>
    <t>F2200010968</t>
  </si>
  <si>
    <t>Abhijit Adhikari</t>
  </si>
  <si>
    <t>Pioleen And Co.</t>
  </si>
  <si>
    <t xml:space="preserve">
abhijitadhikari89@gmail.com</t>
  </si>
  <si>
    <t xml:space="preserve">
Konnagar</t>
  </si>
  <si>
    <t>F2200010967</t>
  </si>
  <si>
    <t>Fragrance for Agarbatti</t>
  </si>
  <si>
    <t>AGARBATTI FRAGRANCE  PRICE SEND</t>
  </si>
  <si>
    <t>F2200010966</t>
  </si>
  <si>
    <t>Ravinder</t>
  </si>
  <si>
    <t>Ravindra And Deependra Company Limited</t>
  </si>
  <si>
    <t>ravindrabajantri0413@gmail.com</t>
  </si>
  <si>
    <t>Perfumed Phenyl Concentrate</t>
  </si>
  <si>
    <t>F2200010965</t>
  </si>
  <si>
    <t>Radhe</t>
  </si>
  <si>
    <t>Dewanshi Product</t>
  </si>
  <si>
    <t>Rose Phenyle Concentrate</t>
  </si>
  <si>
    <t>PRICE BESHI</t>
  </si>
  <si>
    <t>F2200010964</t>
  </si>
  <si>
    <t>Bharadwaj Dubey</t>
  </si>
  <si>
    <t>bharadwajdubey01@gmail.com</t>
  </si>
  <si>
    <t>F2200010963</t>
  </si>
  <si>
    <t>Ablu</t>
  </si>
  <si>
    <t>ashimghosh887@gmail.com</t>
  </si>
  <si>
    <t>F2200010962</t>
  </si>
  <si>
    <t>Rajan Singh</t>
  </si>
  <si>
    <t>Falcon India Chemicals</t>
  </si>
  <si>
    <t>falconindiachem@gmail.com</t>
  </si>
  <si>
    <t>Phenyl Thickner'</t>
  </si>
  <si>
    <t>THICKENER ,FRAGRAMCE PRICE SEND</t>
  </si>
  <si>
    <t>F2200010961</t>
  </si>
  <si>
    <t xml:space="preserve">Madurai Jasmine Essential Oil
</t>
  </si>
  <si>
    <t>F2200010960</t>
  </si>
  <si>
    <t>Somasundaram</t>
  </si>
  <si>
    <t>somasundaram36252@gmail.com</t>
  </si>
  <si>
    <t>Mysore Sandal- Aromatic Fragrance</t>
  </si>
  <si>
    <t>SANDAL PERFUME PRICE LIST SEND</t>
  </si>
  <si>
    <t>F2200010959</t>
  </si>
  <si>
    <t>Manoj Gawande</t>
  </si>
  <si>
    <t>Samarth Agarbatti</t>
  </si>
  <si>
    <t>Geranium Fragrance</t>
  </si>
  <si>
    <t>F2200010958</t>
  </si>
  <si>
    <t>Abdul Hakeem</t>
  </si>
  <si>
    <t>M-mart</t>
  </si>
  <si>
    <t xml:space="preserve">abdulhakeem2158@gmail.com
</t>
  </si>
  <si>
    <t xml:space="preserve"> Karnataka,</t>
  </si>
  <si>
    <t>Detergent Grade Perfume</t>
  </si>
  <si>
    <t>F2200010957</t>
  </si>
  <si>
    <t>Dharmik</t>
  </si>
  <si>
    <t>Dharmik Chauhan Home say</t>
  </si>
  <si>
    <t>only4dharmik@gmail.com</t>
  </si>
  <si>
    <t>Home Fragrance</t>
  </si>
  <si>
    <t>LEMON PRICE LIST SEND</t>
  </si>
  <si>
    <t>F2200010956</t>
  </si>
  <si>
    <t>Cosmetic Fragrances</t>
  </si>
  <si>
    <t>COSMETICS PERFUME PRICE SEND</t>
  </si>
  <si>
    <t>F2200010955</t>
  </si>
  <si>
    <t>Anirudh Sahoo</t>
  </si>
  <si>
    <t>aniruddhasahoo143@gmail.com</t>
  </si>
  <si>
    <t>Arochem Agarbatti Fragrances</t>
  </si>
  <si>
    <t>F2200010954</t>
  </si>
  <si>
    <t>Afzal Mansuri</t>
  </si>
  <si>
    <t xml:space="preserve">smaithjhon00@gmail.com
</t>
  </si>
  <si>
    <t xml:space="preserve"> Gujarat,</t>
  </si>
  <si>
    <t>F2200010953</t>
  </si>
  <si>
    <t>Durgesh Kumar</t>
  </si>
  <si>
    <t>Kajal Cloth Store</t>
  </si>
  <si>
    <t>dagrahari12@gmail.com</t>
  </si>
  <si>
    <t>F2200010952</t>
  </si>
  <si>
    <t>Kurshid</t>
  </si>
  <si>
    <t xml:space="preserve">
Super Wash</t>
  </si>
  <si>
    <t>kurickal2@gmail.com</t>
  </si>
  <si>
    <t xml:space="preserve">Kasaragod, </t>
  </si>
  <si>
    <t>Jasmine Fragrance</t>
  </si>
  <si>
    <t>F2200010951</t>
  </si>
  <si>
    <t>NETWORK PROBLEM</t>
  </si>
  <si>
    <t>F2200010950</t>
  </si>
  <si>
    <t>V.Sairam</t>
  </si>
  <si>
    <t>Himalaya Company.</t>
  </si>
  <si>
    <t xml:space="preserve">sairamvoona5632@gmail.com
</t>
  </si>
  <si>
    <t>Srikakulam</t>
  </si>
  <si>
    <t>Rajni Gandha Agarbatti Perfume</t>
  </si>
  <si>
    <t>28-03-2023</t>
  </si>
  <si>
    <t>F2200010949</t>
  </si>
  <si>
    <t>Mr. Nazim</t>
  </si>
  <si>
    <t>Day Care Marketing</t>
  </si>
  <si>
    <t>nazimkhan1164@gmail.com</t>
  </si>
  <si>
    <t>All Rose Perfumes</t>
  </si>
  <si>
    <t>PRICE LIST SEND</t>
  </si>
  <si>
    <t>F2200010948</t>
  </si>
  <si>
    <t>Lalit Shrivastava</t>
  </si>
  <si>
    <t>lalit1980shrivashtav@gmail.com</t>
  </si>
  <si>
    <t>Agarbatti Oil</t>
  </si>
  <si>
    <t>F2200010947</t>
  </si>
  <si>
    <t>Sudeb</t>
  </si>
  <si>
    <t>ghoshsudeb72@gmail.com</t>
  </si>
  <si>
    <t xml:space="preserve">Bankura </t>
  </si>
  <si>
    <t>Jasmine Nma Detergent Fragrance</t>
  </si>
  <si>
    <t>F2200010946</t>
  </si>
  <si>
    <t>Divya Singh</t>
  </si>
  <si>
    <t xml:space="preserve">
Sahaj Dental Clinic</t>
  </si>
  <si>
    <t>divyarathore17@yahoo.com</t>
  </si>
  <si>
    <t>Cream Soap Fragrance</t>
  </si>
  <si>
    <t>F2200010945</t>
  </si>
  <si>
    <t xml:space="preserve">sandhyakumarichauhan123@gmail.com
</t>
  </si>
  <si>
    <t xml:space="preserve"> Sticks Fragrance</t>
  </si>
  <si>
    <t>F2200010944</t>
  </si>
  <si>
    <t>Khusal</t>
  </si>
  <si>
    <t xml:space="preserve"> Rajasthan,</t>
  </si>
  <si>
    <t>F2200010943</t>
  </si>
  <si>
    <t>A.Vasakan</t>
  </si>
  <si>
    <t>Sri Ayngaran Enterprises</t>
  </si>
  <si>
    <t>vasakanshalini@gmail.com</t>
  </si>
  <si>
    <t xml:space="preserve">
Pondicherry</t>
  </si>
  <si>
    <t>Soap Fragrances</t>
  </si>
  <si>
    <t>PERSONAL USE ,PRICE LIST SEND</t>
  </si>
  <si>
    <t>F2200010942</t>
  </si>
  <si>
    <t>Jitu</t>
  </si>
  <si>
    <t>madhvi traders</t>
  </si>
  <si>
    <t>jainjitu210@gmail.com</t>
  </si>
  <si>
    <t>Veera Agarbatti Fragrances</t>
  </si>
  <si>
    <t>F2200010941</t>
  </si>
  <si>
    <t>Arif Syed</t>
  </si>
  <si>
    <t>Qs 1 Consumer Products</t>
  </si>
  <si>
    <t>consumerproductsqs@gmail.com</t>
  </si>
  <si>
    <t xml:space="preserve"> Telangana,</t>
  </si>
  <si>
    <t>Strawberry Fragrances</t>
  </si>
  <si>
    <t>HAND WASH,DETERGENT FRAGRANCE PRICE LIST SEND</t>
  </si>
  <si>
    <t>F2200010940</t>
  </si>
  <si>
    <t>Sony Enterprises</t>
  </si>
  <si>
    <t>hgshjfsvjfsfh@gmail.com</t>
  </si>
  <si>
    <t>Mogra Fragrance</t>
  </si>
  <si>
    <t>F2200010939</t>
  </si>
  <si>
    <t>alpha and omega</t>
  </si>
  <si>
    <t>arunshylesh@gmail.com</t>
  </si>
  <si>
    <t>Tulsi Rosee Industrial Perfume</t>
  </si>
  <si>
    <t>F2200010938</t>
  </si>
  <si>
    <t xml:space="preserve"> Bathiya Manubha</t>
  </si>
  <si>
    <t>Shop Business</t>
  </si>
  <si>
    <t>manubathiya@gmail.com</t>
  </si>
  <si>
    <t>F2200010937</t>
  </si>
  <si>
    <t>Amrit</t>
  </si>
  <si>
    <t>lusera wax</t>
  </si>
  <si>
    <t>kkamrit01061968@gmail.com</t>
  </si>
  <si>
    <t xml:space="preserve"> Delhi</t>
  </si>
  <si>
    <t>Cream Fragrances</t>
  </si>
  <si>
    <t>F2200010936</t>
  </si>
  <si>
    <t>Rakesh Raushan</t>
  </si>
  <si>
    <t>rraushan.hjp@gmail.com</t>
  </si>
  <si>
    <t xml:space="preserve"> Bihar</t>
  </si>
  <si>
    <t>Chandan Agarbatti Perfume</t>
  </si>
  <si>
    <t>F2200010935</t>
  </si>
  <si>
    <t>Gunjan</t>
  </si>
  <si>
    <t>Vrinsaa And Sons</t>
  </si>
  <si>
    <t>vrinsaa@gmail.com</t>
  </si>
  <si>
    <t>F2200010934</t>
  </si>
  <si>
    <t>VIGNESH</t>
  </si>
  <si>
    <t>arunradan2010@gmail.com</t>
  </si>
  <si>
    <t>S. Excel DETERGENT FRAGRANCE</t>
  </si>
  <si>
    <t>1 KG EXCEL SCO NIEYCHEN</t>
  </si>
  <si>
    <t>27-03-2023</t>
  </si>
  <si>
    <t>F2200010933</t>
  </si>
  <si>
    <t>BHARTI MAM</t>
  </si>
  <si>
    <t>KOLKATA</t>
  </si>
  <si>
    <t>CANDLE FRAGRANCE</t>
  </si>
  <si>
    <t>F2200010932</t>
  </si>
  <si>
    <t>Saya Lavender Fragrance Liquid Soap</t>
  </si>
  <si>
    <t>F2200010931</t>
  </si>
  <si>
    <t xml:space="preserve">
Joobethaa Saree And Collection
</t>
  </si>
  <si>
    <t>deepabsc90@gmail.com</t>
  </si>
  <si>
    <t>Lemon Fresh Fragrance</t>
  </si>
  <si>
    <t>LEMON FRAGRANCE PRICE LIST SEND</t>
  </si>
  <si>
    <t>F2200010930</t>
  </si>
  <si>
    <t>D.N Dubey</t>
  </si>
  <si>
    <t xml:space="preserve">
Krishna Enterprises</t>
  </si>
  <si>
    <t xml:space="preserve">
ankur8090889931@gmail.com</t>
  </si>
  <si>
    <t>SANDAL FRAGRANCE PRICE LIST SEND</t>
  </si>
  <si>
    <t>F2200010929</t>
  </si>
  <si>
    <t>Rupak Rajput</t>
  </si>
  <si>
    <t>Alliance Formulations</t>
  </si>
  <si>
    <t>purchase.alliance31@gmail.com</t>
  </si>
  <si>
    <t>Chandigarh</t>
  </si>
  <si>
    <t>Industrial Use Rose Perfume</t>
  </si>
  <si>
    <t>F2200010928</t>
  </si>
  <si>
    <t>Vinay Chemicals</t>
  </si>
  <si>
    <t>vinodjangel@gmail.com</t>
  </si>
  <si>
    <t>Water Soluble Lemon Fragrance</t>
  </si>
  <si>
    <t>DISH WASH PERFUME PRICE LIST SEND</t>
  </si>
  <si>
    <t>F2200010927</t>
  </si>
  <si>
    <t>Karthick</t>
  </si>
  <si>
    <t>karthicrajaka72@gmail.com</t>
  </si>
  <si>
    <t>F2200010926</t>
  </si>
  <si>
    <t>FCC</t>
  </si>
  <si>
    <t xml:space="preserve"> Bihar,</t>
  </si>
  <si>
    <t>F2200010925</t>
  </si>
  <si>
    <t>Shirish</t>
  </si>
  <si>
    <t>Incense Tradelink</t>
  </si>
  <si>
    <t>incensetradelink511@gmail.com</t>
  </si>
  <si>
    <t>Fragrances for Incense Sticks</t>
  </si>
  <si>
    <t>F2200010924</t>
  </si>
  <si>
    <t>Suresh Gohil</t>
  </si>
  <si>
    <t>Tulsi Eneterprises</t>
  </si>
  <si>
    <t>gohilsm80@gmail.com</t>
  </si>
  <si>
    <t>Soap Fragrances Compound</t>
  </si>
  <si>
    <t>F2200010923</t>
  </si>
  <si>
    <t>Sataywati Enterprise</t>
  </si>
  <si>
    <t>vishnusarma69.vs@gmail.com</t>
  </si>
  <si>
    <t>Rose Fragrance and Sandal Fragrance and Lavender</t>
  </si>
  <si>
    <t>F2200010922</t>
  </si>
  <si>
    <t>Ramgopal Saini</t>
  </si>
  <si>
    <t>ramgopal29051986@gmail.com</t>
  </si>
  <si>
    <t>Rajasthan,</t>
  </si>
  <si>
    <t>Rose Perfume</t>
  </si>
  <si>
    <t>F2200010921</t>
  </si>
  <si>
    <t>Kalyani Chemicals</t>
  </si>
  <si>
    <t>div.cool24@gmail.com</t>
  </si>
  <si>
    <t>neem fragrance</t>
  </si>
  <si>
    <t>F2200010920</t>
  </si>
  <si>
    <t>Neetu</t>
  </si>
  <si>
    <t>neetuumesh36@gmail.com</t>
  </si>
  <si>
    <t>Perfume Fragrance</t>
  </si>
  <si>
    <t>25-03-2023</t>
  </si>
  <si>
    <t>F2200010919</t>
  </si>
  <si>
    <t>M PADMAJA</t>
  </si>
  <si>
    <t>PUNE</t>
  </si>
  <si>
    <t>PINE FRAGRANCE</t>
  </si>
  <si>
    <t>1 KG PINE FRAGRANCE NIEYCHEN</t>
  </si>
  <si>
    <t>F2200010918</t>
  </si>
  <si>
    <t>F2200010917</t>
  </si>
  <si>
    <t>Rajeev Chander</t>
  </si>
  <si>
    <t>Bhartiya lala</t>
  </si>
  <si>
    <t>singhchander18@yahoo.com</t>
  </si>
  <si>
    <t xml:space="preserve"> perfume.</t>
  </si>
  <si>
    <t>F2200010916</t>
  </si>
  <si>
    <t>Neha MALEKAR</t>
  </si>
  <si>
    <t>nehamalekar81@gmail.com</t>
  </si>
  <si>
    <t>Goa, India</t>
  </si>
  <si>
    <t>Drakkar Perfume Fragrance for Agarbatti</t>
  </si>
  <si>
    <t>F2200010915</t>
  </si>
  <si>
    <t>Akhilesh Singh</t>
  </si>
  <si>
    <t>S.R Health Product</t>
  </si>
  <si>
    <t>srhalthproducts@gmail.com</t>
  </si>
  <si>
    <t>Fragrance Phenyl</t>
  </si>
  <si>
    <t xml:space="preserve">PRICE LIST SEND PHENYL PERFUME </t>
  </si>
  <si>
    <t>F2200010914</t>
  </si>
  <si>
    <t>Sharmistha</t>
  </si>
  <si>
    <t>sharmisthamishra42@gmail.com</t>
  </si>
  <si>
    <t>Phenyl Perfume</t>
  </si>
  <si>
    <t>F2200010913</t>
  </si>
  <si>
    <t>Mahesh Enterprise</t>
  </si>
  <si>
    <t xml:space="preserve">
akash1234774@gmail.com</t>
  </si>
  <si>
    <t>Lavender Sandal Soap Fragrance</t>
  </si>
  <si>
    <t>F2200010912</t>
  </si>
  <si>
    <t>Sk Khatri</t>
  </si>
  <si>
    <t>Sk Trading Company</t>
  </si>
  <si>
    <t>skkhatri505@gmail.com</t>
  </si>
  <si>
    <t>F2200010911</t>
  </si>
  <si>
    <t>Pritesh Gadiya</t>
  </si>
  <si>
    <t>priteshgad.777@gmail.com</t>
  </si>
  <si>
    <t>Jasmine Fragnance Detergent Powder</t>
  </si>
  <si>
    <t>DETERGENT LAGBE</t>
  </si>
  <si>
    <t>F2200010910</t>
  </si>
  <si>
    <t>Shah Abdullah</t>
  </si>
  <si>
    <t>education1749@gmail.com</t>
  </si>
  <si>
    <t>Jasmine Soap Fragrance</t>
  </si>
  <si>
    <t>F2200010909</t>
  </si>
  <si>
    <t>Meeravali</t>
  </si>
  <si>
    <t>Meera cool drinks</t>
  </si>
  <si>
    <t>mvali4553@gmail.com</t>
  </si>
  <si>
    <t xml:space="preserve">Andhra Pradesh, </t>
  </si>
  <si>
    <t>F2200010908</t>
  </si>
  <si>
    <t>Sneha</t>
  </si>
  <si>
    <t>Morning Vibe</t>
  </si>
  <si>
    <t>imsnehaedward@gmail.com</t>
  </si>
  <si>
    <t>Mahogany Fragrance</t>
  </si>
  <si>
    <t>candle PERFUME PRICE LIST SEND</t>
  </si>
  <si>
    <t>F2200010907</t>
  </si>
  <si>
    <t>Dr. Deshraj Tripathi</t>
  </si>
  <si>
    <t>DRT Enterprises</t>
  </si>
  <si>
    <t>dr.d.r.tripathi51@gmail.com</t>
  </si>
  <si>
    <t>F2200010906</t>
  </si>
  <si>
    <t>Sudalaikasi Kumaralingaraja</t>
  </si>
  <si>
    <t>S K K Builders And Cement Bricks</t>
  </si>
  <si>
    <t>kumaralingaraja.sy@gmail.com</t>
  </si>
  <si>
    <t>Lamp Fragrance Oil</t>
  </si>
  <si>
    <t>F2200010905</t>
  </si>
  <si>
    <t>Sanjit</t>
  </si>
  <si>
    <t>mithu enterprise</t>
  </si>
  <si>
    <t>Pine White Phenyl Concentrate</t>
  </si>
  <si>
    <t>F2200010904</t>
  </si>
  <si>
    <t>F2200010903</t>
  </si>
  <si>
    <t xml:space="preserve">
vp1332524@gmail.com</t>
  </si>
  <si>
    <t>F2200010902</t>
  </si>
  <si>
    <t>priyankamandal79@gmail.com</t>
  </si>
  <si>
    <t>Chittaranjan,</t>
  </si>
  <si>
    <t xml:space="preserve">Lemon Fragrance
</t>
  </si>
  <si>
    <t>4 TYPE FRAGRANCE NIEYCHEN LEMON LIME, NEEM,ORANGE.VANILLA</t>
  </si>
  <si>
    <t>24-03-2023</t>
  </si>
  <si>
    <t>F2200010901</t>
  </si>
  <si>
    <t>Kayal Kayalvizhi</t>
  </si>
  <si>
    <t>kayalkutty1609@gmail.com</t>
  </si>
  <si>
    <t>Pondicherry</t>
  </si>
  <si>
    <t>Concentrate White Phenyl</t>
  </si>
  <si>
    <t>F2200010900</t>
  </si>
  <si>
    <t>Brajraj Kushwaha</t>
  </si>
  <si>
    <t xml:space="preserve">brajrajkushwaha@gmail.com
</t>
  </si>
  <si>
    <t>F2200010899</t>
  </si>
  <si>
    <t xml:space="preserve">
Narayan</t>
  </si>
  <si>
    <t>F2200010898</t>
  </si>
  <si>
    <t>Khalid Khan</t>
  </si>
  <si>
    <t xml:space="preserve">Sahil Reparing Center
</t>
  </si>
  <si>
    <t>sahilkhan078695@gmail.com</t>
  </si>
  <si>
    <t>Perfumes</t>
  </si>
  <si>
    <t>F2200010897</t>
  </si>
  <si>
    <t xml:space="preserve">
Nagaraj</t>
  </si>
  <si>
    <t>Sunflower Traders</t>
  </si>
  <si>
    <t xml:space="preserve">
happy172012@gmail.com</t>
  </si>
  <si>
    <t>F2200010896</t>
  </si>
  <si>
    <t>Sonu Kumar</t>
  </si>
  <si>
    <t>Power House</t>
  </si>
  <si>
    <t>sonu.adecco@gmail.com</t>
  </si>
  <si>
    <t>Patna, Bihar</t>
  </si>
  <si>
    <t>F2200010895</t>
  </si>
  <si>
    <t>Manas Nanda</t>
  </si>
  <si>
    <t>Madanmohan Agency</t>
  </si>
  <si>
    <t>manasn27@gmail.com</t>
  </si>
  <si>
    <t>F2200010894</t>
  </si>
  <si>
    <t>Ranjit Patra</t>
  </si>
  <si>
    <t>ranjitpatra922@gmail.com</t>
  </si>
  <si>
    <t>F2200010893</t>
  </si>
  <si>
    <t>Keshav Rao</t>
  </si>
  <si>
    <t>Ozone Chemicals</t>
  </si>
  <si>
    <t>bhubaneswarichemicals@gmail.com</t>
  </si>
  <si>
    <t>Andhra Pradesh,</t>
  </si>
  <si>
    <t>Based Fragrance</t>
  </si>
  <si>
    <t>F2200010892</t>
  </si>
  <si>
    <t>MASOOD MOHAMMED</t>
  </si>
  <si>
    <t>Sain Enterprises</t>
  </si>
  <si>
    <t>Mangalore,</t>
  </si>
  <si>
    <t>Green Phenyl.</t>
  </si>
  <si>
    <t>REAT BVESHI</t>
  </si>
  <si>
    <t>F2200010891</t>
  </si>
  <si>
    <t>Mrityunjaya</t>
  </si>
  <si>
    <t>Rian Rani Apparel Perfume.</t>
  </si>
  <si>
    <t>BODY PERFUME LAGBE</t>
  </si>
  <si>
    <t>F2200010890</t>
  </si>
  <si>
    <t>Madan Sarkar</t>
  </si>
  <si>
    <t>madangobinda8@gmail.com</t>
  </si>
  <si>
    <t>Green Champa</t>
  </si>
  <si>
    <t>23-03-2023</t>
  </si>
  <si>
    <t>chandanmahapatra111@gmail.com</t>
  </si>
  <si>
    <t>F2200010889</t>
  </si>
  <si>
    <t>Amri Traders</t>
  </si>
  <si>
    <t>Dakshin Dinajpur,</t>
  </si>
  <si>
    <t>Phenyl Thickner</t>
  </si>
  <si>
    <t>F2200010887</t>
  </si>
  <si>
    <t>Dharmadas Sarkar</t>
  </si>
  <si>
    <t>dharmamalda@gmail.com</t>
  </si>
  <si>
    <t>Milky White Phenyl Thickner.</t>
  </si>
  <si>
    <t>1 KG NEW THICKENER NIEYCHEN</t>
  </si>
  <si>
    <t>F2200010886</t>
  </si>
  <si>
    <t>Rahul Singh</t>
  </si>
  <si>
    <t>R.J. Smiles</t>
  </si>
  <si>
    <t>rahulabrbls@gmail.com</t>
  </si>
  <si>
    <t xml:space="preserve"> White Phenyl Concentrate </t>
  </si>
  <si>
    <t>PHENYL MATERELIES PRICE SEND</t>
  </si>
  <si>
    <t>F2200010885</t>
  </si>
  <si>
    <t>S Kannan</t>
  </si>
  <si>
    <t>Omega Chemicals</t>
  </si>
  <si>
    <t>permacal@gmail.com</t>
  </si>
  <si>
    <t>F2200010884</t>
  </si>
  <si>
    <t>Debashis H</t>
  </si>
  <si>
    <t>Raghunath Taders</t>
  </si>
  <si>
    <t>debashish1@gmail.com</t>
  </si>
  <si>
    <t xml:space="preserve">Odisha, </t>
  </si>
  <si>
    <t xml:space="preserve">Pineapple Agarbatti Perfume.
</t>
  </si>
  <si>
    <t>F2200010883</t>
  </si>
  <si>
    <t>lakhanmunda25@gmail.com</t>
  </si>
  <si>
    <t xml:space="preserve"> Lemongrass</t>
  </si>
  <si>
    <t>1 KG LEMONGRASS NIEYCHEN</t>
  </si>
  <si>
    <t>F2200010882</t>
  </si>
  <si>
    <t>Vikas Rai</t>
  </si>
  <si>
    <t>daukibilash12@gmail.com</t>
  </si>
  <si>
    <t>RESELLEING KORBEN</t>
  </si>
  <si>
    <t>F2200010881</t>
  </si>
  <si>
    <t xml:space="preserve">Rahul  </t>
  </si>
  <si>
    <t>Rahul Industries</t>
  </si>
  <si>
    <t>rahul.shakya10@gmail.com</t>
  </si>
  <si>
    <t xml:space="preserve">Fragrances
</t>
  </si>
  <si>
    <t>F2200010880</t>
  </si>
  <si>
    <t>Praggya</t>
  </si>
  <si>
    <t>praggya.ghosh@gmail.com</t>
  </si>
  <si>
    <t>Butterscotch Fragrance</t>
  </si>
  <si>
    <t>F2200010879</t>
  </si>
  <si>
    <t>MRP Gift And Printing Solution</t>
  </si>
  <si>
    <t>ramlal.suthar41@gmail.com</t>
  </si>
  <si>
    <t>RAJNIGANDHA</t>
  </si>
  <si>
    <t>F2200010878</t>
  </si>
  <si>
    <t>sraheman191@gmail.com</t>
  </si>
  <si>
    <t>Rose Attar Perfume</t>
  </si>
  <si>
    <t>F2200010877</t>
  </si>
  <si>
    <t>Azan</t>
  </si>
  <si>
    <t>F2200010876</t>
  </si>
  <si>
    <t>Aastha</t>
  </si>
  <si>
    <t>kumararunima05@yahoo.co.uk</t>
  </si>
  <si>
    <t>Fragrance Perfume for Shampoo</t>
  </si>
  <si>
    <t>SUNSILICK , PENTIN EI FRAGRANCE CHI</t>
  </si>
  <si>
    <t>F2200010875</t>
  </si>
  <si>
    <t>Hawan Perfume Fragrance for Agarbatti</t>
  </si>
  <si>
    <t>F2200010874</t>
  </si>
  <si>
    <t>Neeraj Singh Kachhwah</t>
  </si>
  <si>
    <t>Kachhwah Capital Group</t>
  </si>
  <si>
    <t>kachhwahneeraj@gmail.com</t>
  </si>
  <si>
    <t>Dhoop Fragrance Scent</t>
  </si>
  <si>
    <t>F2200010873</t>
  </si>
  <si>
    <t>Mohit Garg</t>
  </si>
  <si>
    <t>blooming high</t>
  </si>
  <si>
    <t xml:space="preserve">
mohit.987664321@gmail.com</t>
  </si>
  <si>
    <t>Fragrances for Candle Making</t>
  </si>
  <si>
    <t>22-03-2023</t>
  </si>
  <si>
    <t>F2200010872</t>
  </si>
  <si>
    <t>AVIK BANARJEE</t>
  </si>
  <si>
    <t>CONCENTRATE</t>
  </si>
  <si>
    <t>SUTTARDAY GODOWN E ASBEN</t>
  </si>
  <si>
    <t>F2200010871</t>
  </si>
  <si>
    <t>RAMESH SUTHAR</t>
  </si>
  <si>
    <t>F2200010870</t>
  </si>
  <si>
    <t>Mohan Lal Sahu</t>
  </si>
  <si>
    <t>Shri Kanchan Traders</t>
  </si>
  <si>
    <t>mohansahu610@gmail.com</t>
  </si>
  <si>
    <t>Fragrance for Detergent Powder</t>
  </si>
  <si>
    <t>F2200010869</t>
  </si>
  <si>
    <t>nirankari</t>
  </si>
  <si>
    <t>gaonkarsonam33@gmail.com</t>
  </si>
  <si>
    <t xml:space="preserve">Goa, </t>
  </si>
  <si>
    <t>Incense Sticks Perfume</t>
  </si>
  <si>
    <t>F2200010868</t>
  </si>
  <si>
    <t>Transparent Lavender Fragrance</t>
  </si>
  <si>
    <t>TOMOROW CALL BACK</t>
  </si>
  <si>
    <t>F2200010867</t>
  </si>
  <si>
    <t>Sukhwinder</t>
  </si>
  <si>
    <t>Cobra Brand Fragrance</t>
  </si>
  <si>
    <t>COBRA BRAND LAGBE</t>
  </si>
  <si>
    <t>F2200010866</t>
  </si>
  <si>
    <t>Aarti Sharma</t>
  </si>
  <si>
    <t>Laber Friends</t>
  </si>
  <si>
    <t>aarti.sharma570@yahoo.com</t>
  </si>
  <si>
    <t>Versace Fragrance</t>
  </si>
  <si>
    <t>F2200010865</t>
  </si>
  <si>
    <t>Vikaram Singh Rathore</t>
  </si>
  <si>
    <t>Rp Agarbatti</t>
  </si>
  <si>
    <t>vicky.narnot@gmail.com</t>
  </si>
  <si>
    <t>PHENYL PERFUME PRICE LIST SEND</t>
  </si>
  <si>
    <t>F2200010864</t>
  </si>
  <si>
    <t>Praveen Raja K</t>
  </si>
  <si>
    <t>Fashion Atelier</t>
  </si>
  <si>
    <t>fashionatelier6@gmail.com</t>
  </si>
  <si>
    <t xml:space="preserve"> Tamil Nadu</t>
  </si>
  <si>
    <t>SOPA FRAGERANCE PRICE SEND</t>
  </si>
  <si>
    <t>F2200010863</t>
  </si>
  <si>
    <t>Gandhimathi</t>
  </si>
  <si>
    <t xml:space="preserve">
Kaligambal Traders</t>
  </si>
  <si>
    <t>sasigandhi363@gmail.com</t>
  </si>
  <si>
    <t>Fabric Softener Fragrances</t>
  </si>
  <si>
    <t>F2200010862</t>
  </si>
  <si>
    <t>Jeevan</t>
  </si>
  <si>
    <t xml:space="preserve">jeevanlal.7830@gmail.com
</t>
  </si>
  <si>
    <t>Agarbatti Dhoop Batti Perfumes</t>
  </si>
  <si>
    <t>F2200010861</t>
  </si>
  <si>
    <t>Gopal Shah</t>
  </si>
  <si>
    <t>LAXMI ENTERPRICES</t>
  </si>
  <si>
    <t>Industrial Fragrance Perfume</t>
  </si>
  <si>
    <t>F2200010860</t>
  </si>
  <si>
    <t>Vibha Saini</t>
  </si>
  <si>
    <t>Dream Craafter</t>
  </si>
  <si>
    <t>dreamcraafter@gmail.com</t>
  </si>
  <si>
    <t>Attar</t>
  </si>
  <si>
    <t>21-03-2023</t>
  </si>
  <si>
    <t>F2200010859</t>
  </si>
  <si>
    <t>Shaik Kalesha Masthan</t>
  </si>
  <si>
    <t xml:space="preserve">
masthansk46@gmail.com</t>
  </si>
  <si>
    <t>ROOM ER JONNO, EKHON R LAGBE NA.</t>
  </si>
  <si>
    <t>F2200010858</t>
  </si>
  <si>
    <t>ARJUN</t>
  </si>
  <si>
    <t>spkeshari1939@gmail.com</t>
  </si>
  <si>
    <t>Dettol Type Fresh Fragrance</t>
  </si>
  <si>
    <t>REAT BESHI</t>
  </si>
  <si>
    <t>F2200010857</t>
  </si>
  <si>
    <t>Jamil</t>
  </si>
  <si>
    <t>jllansari@gmail.com</t>
  </si>
  <si>
    <t>PRICE LIST SEND DETERGENT FRAGRANCE</t>
  </si>
  <si>
    <t>F2200010856</t>
  </si>
  <si>
    <t>Nilesh Sarjerao Patil</t>
  </si>
  <si>
    <t>Morya Mobile Gallery</t>
  </si>
  <si>
    <t>nilesh.mobile7@gmail.com</t>
  </si>
  <si>
    <t>F2200010855</t>
  </si>
  <si>
    <t>Navin Chandra.k.Joshi</t>
  </si>
  <si>
    <t>Naksha Agarbatti Udyog</t>
  </si>
  <si>
    <t>Incense Stick Fragrance</t>
  </si>
  <si>
    <t>F2200010854</t>
  </si>
  <si>
    <t>Bindesh Naik</t>
  </si>
  <si>
    <t>naikbindesh1@gmail.com</t>
  </si>
  <si>
    <t xml:space="preserve"> Goa</t>
  </si>
  <si>
    <t>Fragrance for Liquid Hand Wash</t>
  </si>
  <si>
    <t>HAND WASH PERFUME PRICE LIST SEND</t>
  </si>
  <si>
    <t>F2200010853</t>
  </si>
  <si>
    <t>Addi Enterprise</t>
  </si>
  <si>
    <t>ravihalvadiya311@gmail.com</t>
  </si>
  <si>
    <t>Air Fragrances</t>
  </si>
  <si>
    <t>F2200010852</t>
  </si>
  <si>
    <t>Ali Anwar</t>
  </si>
  <si>
    <t>ali.indica@gmail.com</t>
  </si>
  <si>
    <t xml:space="preserve">
Bengaluru</t>
  </si>
  <si>
    <t>F2200010851</t>
  </si>
  <si>
    <t>Sunil Kumar Pradhan My</t>
  </si>
  <si>
    <t>Phenyle &amp; Bleaching Powder</t>
  </si>
  <si>
    <t>sunildharitri@gmail.com</t>
  </si>
  <si>
    <t>Sun Aromatics Sun Jasmine</t>
  </si>
  <si>
    <t>F2200010850</t>
  </si>
  <si>
    <t>Chiranjit Guin</t>
  </si>
  <si>
    <t xml:space="preserve">Health , Beauty , Agro &amp; Fmcg
</t>
  </si>
  <si>
    <t xml:space="preserve">chiranjit96.guin@gmail.com
</t>
  </si>
  <si>
    <t>Lavender Agarbatti Fragrance</t>
  </si>
  <si>
    <t>F2200010849</t>
  </si>
  <si>
    <t>Gaurav Kumar Pal</t>
  </si>
  <si>
    <t>Voda Chemicals Private Limited</t>
  </si>
  <si>
    <t xml:space="preserve">vodachemicals@yahoo.com
</t>
  </si>
  <si>
    <t>Shampoo Perfume</t>
  </si>
  <si>
    <t>LOCAL THEKE NEBEN</t>
  </si>
  <si>
    <t>20-03-2023</t>
  </si>
  <si>
    <t>F2200010848</t>
  </si>
  <si>
    <t>DENESH PANDAY</t>
  </si>
  <si>
    <t>HAWRAH</t>
  </si>
  <si>
    <t>PRICE LIST SENA</t>
  </si>
  <si>
    <t>F2200010847</t>
  </si>
  <si>
    <t>Ashish Patel</t>
  </si>
  <si>
    <t>Tithi Texofab</t>
  </si>
  <si>
    <t xml:space="preserve">
mgenterpriseindia@gmail.com</t>
  </si>
  <si>
    <t>OMTIRTH Soap Fragrance</t>
  </si>
  <si>
    <t>F2200010846</t>
  </si>
  <si>
    <t>Divya</t>
  </si>
  <si>
    <t>chemical shop</t>
  </si>
  <si>
    <t>dharshinid39@gmail.com</t>
  </si>
  <si>
    <t>Liquid Detergent Fragrance</t>
  </si>
  <si>
    <t>F2200010845</t>
  </si>
  <si>
    <t>Sumit Kumar</t>
  </si>
  <si>
    <t>Jasmine Fc Fragrance for Floor Cleaner</t>
  </si>
  <si>
    <t>FLOOR CLEANER PERFUME PRICE SEND</t>
  </si>
  <si>
    <t>F2200010844</t>
  </si>
  <si>
    <t>ASHRAF</t>
  </si>
  <si>
    <t>F2200010843</t>
  </si>
  <si>
    <t xml:space="preserve">
mohanbhat678@gmail.com</t>
  </si>
  <si>
    <t>F2200010842</t>
  </si>
  <si>
    <t>Shamshi</t>
  </si>
  <si>
    <t xml:space="preserve">Holy Center
</t>
  </si>
  <si>
    <t xml:space="preserve">
Bolpur,</t>
  </si>
  <si>
    <t>F2200010841</t>
  </si>
  <si>
    <t>Bamniya Ramesh Babubhai</t>
  </si>
  <si>
    <t>F2200010840</t>
  </si>
  <si>
    <t>Vishakha Ravindra Kamble</t>
  </si>
  <si>
    <t>hola scrunchie</t>
  </si>
  <si>
    <t>kvishu1993@gmail.com</t>
  </si>
  <si>
    <t>F2200010839</t>
  </si>
  <si>
    <t>Pratik Unagar</t>
  </si>
  <si>
    <t>my home</t>
  </si>
  <si>
    <t>unagarpratik@gmail.com</t>
  </si>
  <si>
    <t>F2200010838</t>
  </si>
  <si>
    <t>Hanif Khan</t>
  </si>
  <si>
    <t>Shah Multitreds</t>
  </si>
  <si>
    <t>shahmultitrades@gmail.com</t>
  </si>
  <si>
    <t>Jasmine Hair Oil Fragrances</t>
  </si>
  <si>
    <t>1 KG ROSE 77 RAW NIEYCHEN</t>
  </si>
  <si>
    <t>F2200010837</t>
  </si>
  <si>
    <t>Mohd Saleem</t>
  </si>
  <si>
    <t xml:space="preserve">Yasmeen Trading
</t>
  </si>
  <si>
    <t>F2200010836</t>
  </si>
  <si>
    <t>Dr Ragheesh</t>
  </si>
  <si>
    <t>veda pvt ltd</t>
  </si>
  <si>
    <t>mail@vedaayurvedics.com</t>
  </si>
  <si>
    <t xml:space="preserve">Kerala, </t>
  </si>
  <si>
    <t>Mix Fruit Fragrance</t>
  </si>
  <si>
    <t>EKBAR ALPO KORE PERFUME NIEYCHEN</t>
  </si>
  <si>
    <t>F2200010835</t>
  </si>
  <si>
    <t>Animesh Chauhan</t>
  </si>
  <si>
    <t>Self</t>
  </si>
  <si>
    <t xml:space="preserve">animeshchauhan33@gmail.com
</t>
  </si>
  <si>
    <t>Liquid Fragrances</t>
  </si>
  <si>
    <t>F2200010834</t>
  </si>
  <si>
    <t>Preeti Chauhan</t>
  </si>
  <si>
    <t>F2200010833</t>
  </si>
  <si>
    <t>Sachin Gupta</t>
  </si>
  <si>
    <t xml:space="preserve">Shri Krishna Masala Company
</t>
  </si>
  <si>
    <t>sachin27me@gmail.com</t>
  </si>
  <si>
    <t>F2200010832</t>
  </si>
  <si>
    <t>Madhu</t>
  </si>
  <si>
    <t>Meghana Enterprises</t>
  </si>
  <si>
    <t>madhu.riper18@gmail.com</t>
  </si>
  <si>
    <t>Hyderabad,</t>
  </si>
  <si>
    <t xml:space="preserve"> Papaya Perfume</t>
  </si>
  <si>
    <t>F2200010831</t>
  </si>
  <si>
    <t>Vijay Chouhan</t>
  </si>
  <si>
    <t>F2200010830</t>
  </si>
  <si>
    <t>Ajoy</t>
  </si>
  <si>
    <t>Fragrance Perfume.</t>
  </si>
  <si>
    <t>18-03-2023</t>
  </si>
  <si>
    <t>F2200010829</t>
  </si>
  <si>
    <t>Jk</t>
  </si>
  <si>
    <t>Thahaar Liquid Phenyl Compound,</t>
  </si>
  <si>
    <t>F2200010828</t>
  </si>
  <si>
    <t>Anuj Jha</t>
  </si>
  <si>
    <t>anujjha9631@gmail.com</t>
  </si>
  <si>
    <t>Lemon Scented Phenyl Concentrate</t>
  </si>
  <si>
    <t>F2200010827</t>
  </si>
  <si>
    <t>Nasir Ali</t>
  </si>
  <si>
    <t>F2200010826</t>
  </si>
  <si>
    <t>Sarfaraj</t>
  </si>
  <si>
    <t>Aazad Furniture &amp; Wood Work</t>
  </si>
  <si>
    <t>skhan7037222777@gmail.com</t>
  </si>
  <si>
    <t>ROSE FRAGRANCE CHAI</t>
  </si>
  <si>
    <t>F2200010825</t>
  </si>
  <si>
    <t>Karthik Selvam</t>
  </si>
  <si>
    <t>karthik21ct@gmail.com</t>
  </si>
  <si>
    <t>Tulsi Lemon 808 Industrial Perfume</t>
  </si>
  <si>
    <t>F2200010824</t>
  </si>
  <si>
    <t>SHIVANJAY GOUR</t>
  </si>
  <si>
    <t>shivanjaythakur.7753@gmail.com</t>
  </si>
  <si>
    <t>Rose Kacha Gulab Fragrance</t>
  </si>
  <si>
    <t>F2200010823</t>
  </si>
  <si>
    <t>Sizal Kumar</t>
  </si>
  <si>
    <t>Chapra, Bihar,</t>
  </si>
  <si>
    <t>F2200010822</t>
  </si>
  <si>
    <t>Birbal Kumar</t>
  </si>
  <si>
    <t xml:space="preserve"> Agarbatti Fragrances</t>
  </si>
  <si>
    <t>F2200010821</t>
  </si>
  <si>
    <t>Mama Parchun</t>
  </si>
  <si>
    <t xml:space="preserve">ka074107@gmail.com
</t>
  </si>
  <si>
    <t>F2200010820</t>
  </si>
  <si>
    <t>Tanu Priya</t>
  </si>
  <si>
    <t>patakakudhi366@gmail.com</t>
  </si>
  <si>
    <t>Tulsi Chandan Agarbatti Fragrance</t>
  </si>
  <si>
    <t>F2200010819</t>
  </si>
  <si>
    <t xml:space="preserve">      </t>
  </si>
  <si>
    <t>F2200010818</t>
  </si>
  <si>
    <t xml:space="preserve">
Abdul Gafoor Shaikh</t>
  </si>
  <si>
    <t xml:space="preserve">
gaffshaikh@gmail.com</t>
  </si>
  <si>
    <t>Ajmal Perfumes</t>
  </si>
  <si>
    <t>F2200010817</t>
  </si>
  <si>
    <t>Gurunath S Markal</t>
  </si>
  <si>
    <t>Fragrances, for Agarbatti</t>
  </si>
  <si>
    <t>F2200010816</t>
  </si>
  <si>
    <t>Rajwinder Kaur</t>
  </si>
  <si>
    <t xml:space="preserve"> Punjab</t>
  </si>
  <si>
    <t>Fragrance For Agarbatti</t>
  </si>
  <si>
    <t>F2200010815</t>
  </si>
  <si>
    <t>Mohit Pansari</t>
  </si>
  <si>
    <t>Mohit Pansari Store</t>
  </si>
  <si>
    <t>01mohit.sharma03@gmail.com</t>
  </si>
  <si>
    <t xml:space="preserve">Muzaffarnagar, </t>
  </si>
  <si>
    <t>17-03-2023</t>
  </si>
  <si>
    <t>F2200010814</t>
  </si>
  <si>
    <t>pgbcayear@gmail.com</t>
  </si>
  <si>
    <t>PRICE LIST SEND PHENYL FRAGRANCE</t>
  </si>
  <si>
    <t>F2200010813</t>
  </si>
  <si>
    <t>Ramachandran K</t>
  </si>
  <si>
    <t>Porna Pooja Oil with Sandle Fragrance</t>
  </si>
  <si>
    <t>F2200010812</t>
  </si>
  <si>
    <t>Karamjeet</t>
  </si>
  <si>
    <t>Karam Kirayana Store</t>
  </si>
  <si>
    <t>karamjit998866@gmail.com</t>
  </si>
  <si>
    <t>Denim Fragrance Room Freshener</t>
  </si>
  <si>
    <t>F2200010811</t>
  </si>
  <si>
    <t>Raj Mega mart</t>
  </si>
  <si>
    <t>rajmegamartmtr@gmail.com</t>
  </si>
  <si>
    <t>Fragrance</t>
  </si>
  <si>
    <t>F2200010810</t>
  </si>
  <si>
    <t>Roshan</t>
  </si>
  <si>
    <t>Murari Paradise Candles</t>
  </si>
  <si>
    <t>roshan22offical@gmail.com</t>
  </si>
  <si>
    <t xml:space="preserve"> Candle Ocean Breeze Fragrance</t>
  </si>
  <si>
    <t>DERI ACHE FRAGRANCE NITE</t>
  </si>
  <si>
    <t>F2200010809</t>
  </si>
  <si>
    <t>Hotel</t>
  </si>
  <si>
    <t>Rose Agarbatti Perfume</t>
  </si>
  <si>
    <t>F2200010808</t>
  </si>
  <si>
    <t>Radha Sharma</t>
  </si>
  <si>
    <t>Amrit Creations</t>
  </si>
  <si>
    <t>radhasharmajoshi@gmail.com</t>
  </si>
  <si>
    <t>Laddu Gopal Perfume / Fragrance</t>
  </si>
  <si>
    <t>F2200010807</t>
  </si>
  <si>
    <t>Mallikarjuna Naidu</t>
  </si>
  <si>
    <t>Padmavathi Chemicals</t>
  </si>
  <si>
    <t>padmavathichemicals5@gmail.com</t>
  </si>
  <si>
    <t>Mmx Ssnt Jasmin Perfumes</t>
  </si>
  <si>
    <t>F2200010806</t>
  </si>
  <si>
    <t>Hari Om Shop Center</t>
  </si>
  <si>
    <t>Liquid Incense Sticks Fragrance</t>
  </si>
  <si>
    <t>F2200010805</t>
  </si>
  <si>
    <t>Sachin Purushottam</t>
  </si>
  <si>
    <t>Ragvendra Enterprises</t>
  </si>
  <si>
    <t>jalisatgisachin22@yahoo.com</t>
  </si>
  <si>
    <t>Uttara Kannada</t>
  </si>
  <si>
    <t>Hand Sanitizer Perfume</t>
  </si>
  <si>
    <t>F2200010804</t>
  </si>
  <si>
    <t>Althaf Nazeer</t>
  </si>
  <si>
    <t>Customized Fragrance</t>
  </si>
  <si>
    <t>F2200010803</t>
  </si>
  <si>
    <t>vyaslaxminarayan03@gmail.com</t>
  </si>
  <si>
    <t>F2200010802</t>
  </si>
  <si>
    <t>Inderdeep Singh</t>
  </si>
  <si>
    <t>dimpledimple6384@gmail.com</t>
  </si>
  <si>
    <t>F2200010801</t>
  </si>
  <si>
    <t>Rabin</t>
  </si>
  <si>
    <t>Soni Deve Agarbati</t>
  </si>
  <si>
    <t>Howrah,</t>
  </si>
  <si>
    <t>Priya Nandita Fragrance</t>
  </si>
  <si>
    <t>F2200010800</t>
  </si>
  <si>
    <t>Dayanandkuna</t>
  </si>
  <si>
    <t>Ss Spriral Binding</t>
  </si>
  <si>
    <t>Sandal Industrial Fragrance</t>
  </si>
  <si>
    <t>FLOOR CLEANER FRAGRANCE PRICE SEND</t>
  </si>
  <si>
    <t>F2200010799</t>
  </si>
  <si>
    <t>Pankaj Verma</t>
  </si>
  <si>
    <t>gopi enterprise</t>
  </si>
  <si>
    <t>pankajv01990@gmail.com</t>
  </si>
  <si>
    <t>F2200010798</t>
  </si>
  <si>
    <t>Ansif</t>
  </si>
  <si>
    <t>ansifnk353@gmail.com</t>
  </si>
  <si>
    <t xml:space="preserve"> Kerala</t>
  </si>
  <si>
    <t>Cool Water Perfume Fragrance For Shampoo</t>
  </si>
  <si>
    <t>16-03-2023</t>
  </si>
  <si>
    <t>F2200010797</t>
  </si>
  <si>
    <t>Srikanth Patnaik</t>
  </si>
  <si>
    <t>srikanthpatnaik704@gmail.com</t>
  </si>
  <si>
    <t>Phenyl Raw Materia</t>
  </si>
  <si>
    <t>F2200010796</t>
  </si>
  <si>
    <t>Ramesh Mahendrakar</t>
  </si>
  <si>
    <t>Yash Enterprises</t>
  </si>
  <si>
    <t>ravimahendrakar@907.com</t>
  </si>
  <si>
    <t>F2200010795</t>
  </si>
  <si>
    <t>Rajesh Jain</t>
  </si>
  <si>
    <t>Maa pitambari</t>
  </si>
  <si>
    <t>rajeshjain9261417@gmail.com</t>
  </si>
  <si>
    <t>White Phenyl Compound Concentrate</t>
  </si>
  <si>
    <t>PHENYL CONCENTRATE ,FRAGRANCE PRICE SEND</t>
  </si>
  <si>
    <t>F2200010794</t>
  </si>
  <si>
    <t>Jaswal Store</t>
  </si>
  <si>
    <t>Citronella Herbal Incense Stick</t>
  </si>
  <si>
    <t>JANABEN</t>
  </si>
  <si>
    <t>F2200010793</t>
  </si>
  <si>
    <t>V.k.mahajan &amp; Sons</t>
  </si>
  <si>
    <t>karan.mahajan77@gmail.com</t>
  </si>
  <si>
    <t>Mosquito Citronella Incense Stick</t>
  </si>
  <si>
    <t>MOSQUITO AGARBATTI CHAI</t>
  </si>
  <si>
    <t>F2200010792</t>
  </si>
  <si>
    <t>Seeyotey</t>
  </si>
  <si>
    <t>Citronella And Lemon AGARBATTI</t>
  </si>
  <si>
    <t>F2200010791</t>
  </si>
  <si>
    <t>Rambha</t>
  </si>
  <si>
    <t>rambha2097@gmail.com</t>
  </si>
  <si>
    <t>EKHON NEBEN NA , PORE JANABEN</t>
  </si>
  <si>
    <t>F2200010790</t>
  </si>
  <si>
    <t>Krishna Traders</t>
  </si>
  <si>
    <t>sunilsikarwar741@gmail.com</t>
  </si>
  <si>
    <t>F2200010789</t>
  </si>
  <si>
    <t xml:space="preserve">
Kolkata</t>
  </si>
  <si>
    <t>Encapsulated Fragrance</t>
  </si>
  <si>
    <t>F2200010788</t>
  </si>
  <si>
    <t>Prashant Bhavsar</t>
  </si>
  <si>
    <t>P.M. Chemicals</t>
  </si>
  <si>
    <t>tanmaybhavsar35@gmail.com</t>
  </si>
  <si>
    <t>Unisex Omtirth Angelina Perfume Fragrance</t>
  </si>
  <si>
    <t>F2200010787</t>
  </si>
  <si>
    <t>Palanisamy</t>
  </si>
  <si>
    <t>palanisamy2101995@gmail.com</t>
  </si>
  <si>
    <t>Kewra 61 Fragrances</t>
  </si>
  <si>
    <t>AGARBATI PERFUME PRICE LIST SEND</t>
  </si>
  <si>
    <t>F2200010786</t>
  </si>
  <si>
    <t>Vignesh</t>
  </si>
  <si>
    <t>vigneshmurugaraj24@gmail.com</t>
  </si>
  <si>
    <t>F2200010785</t>
  </si>
  <si>
    <t>AK Sharma</t>
  </si>
  <si>
    <t>Hindustan Mercantile Corporation</t>
  </si>
  <si>
    <t>anilsharma1959@icloud.com</t>
  </si>
  <si>
    <t>F2200010784</t>
  </si>
  <si>
    <t>Manish Joshi</t>
  </si>
  <si>
    <t>Shree Jee Ayurved</t>
  </si>
  <si>
    <t>shreejeeayurved63@gmail.com</t>
  </si>
  <si>
    <t>Ponds Fragrance</t>
  </si>
  <si>
    <t>C0SMATICS PERFUME PRICE LIST SEND</t>
  </si>
  <si>
    <t>F2200010783</t>
  </si>
  <si>
    <t xml:space="preserve">
Dinendu Ray</t>
  </si>
  <si>
    <t>Uttarakhand,</t>
  </si>
  <si>
    <t>Agarbatti Perfume,</t>
  </si>
  <si>
    <t>200GRAM KORA  5 TYPE PERFUME NIEYCHEN</t>
  </si>
  <si>
    <t xml:space="preserve">
Mukesh Mittal</t>
  </si>
  <si>
    <t>mflysports@gmail.com</t>
  </si>
  <si>
    <t xml:space="preserve">AGARBATTI PERFUME PRICE LIST SEND  </t>
  </si>
  <si>
    <t>15-03-2023</t>
  </si>
  <si>
    <t>F2200010782</t>
  </si>
  <si>
    <t>Shaikh Corporate</t>
  </si>
  <si>
    <t>Gift And Prin</t>
  </si>
  <si>
    <t>sumaiyafehmina29@gmail.com</t>
  </si>
  <si>
    <t>Sandal Fragrances</t>
  </si>
  <si>
    <t>online link dieychi</t>
  </si>
  <si>
    <t>F2200010781</t>
  </si>
  <si>
    <t>Sunil Pawara</t>
  </si>
  <si>
    <t>Ultra Cool Cream Rose Fragrance</t>
  </si>
  <si>
    <t>F2200010780</t>
  </si>
  <si>
    <t>Baba Loke Nath Enterprises</t>
  </si>
  <si>
    <t xml:space="preserve">
madhuovi1@gmail.com</t>
  </si>
  <si>
    <t>F2200010779</t>
  </si>
  <si>
    <t>Natarajan Shanmugam</t>
  </si>
  <si>
    <t>Smr Enterprises</t>
  </si>
  <si>
    <t xml:space="preserve">
nshanmugamsurveyor@gmail.com</t>
  </si>
  <si>
    <t>Perfume Rose Fragrance</t>
  </si>
  <si>
    <t>F2200010778</t>
  </si>
  <si>
    <t>Alimudin</t>
  </si>
  <si>
    <t>F2200010777</t>
  </si>
  <si>
    <t>Vandana Kukreja</t>
  </si>
  <si>
    <t>Varija</t>
  </si>
  <si>
    <t>vachani.kukreja55@gmail.com</t>
  </si>
  <si>
    <t xml:space="preserve">Karnataka, </t>
  </si>
  <si>
    <t>F2200010776</t>
  </si>
  <si>
    <t>ArsadRaza</t>
  </si>
  <si>
    <t>rasadraza75@gmail.com</t>
  </si>
  <si>
    <t>Fragrance Perfume for Agarbatti</t>
  </si>
  <si>
    <t>F2200010775</t>
  </si>
  <si>
    <t>sureshbtsuresh@yahoo.co.in</t>
  </si>
  <si>
    <t>SUPARI TE MILIEY KHAOUR JANNO</t>
  </si>
  <si>
    <t>F2200010774</t>
  </si>
  <si>
    <t>Jvr Enterprises</t>
  </si>
  <si>
    <t>rshringi65@gmail.com</t>
  </si>
  <si>
    <t>F2200010773</t>
  </si>
  <si>
    <t>Rama Murthy</t>
  </si>
  <si>
    <t>Sanam Sweet Supari</t>
  </si>
  <si>
    <t>ramamurthy874@gmail.com</t>
  </si>
  <si>
    <t>F2200010772</t>
  </si>
  <si>
    <t>Sreejith Sugathan</t>
  </si>
  <si>
    <t>sreejith2@gmail.com</t>
  </si>
  <si>
    <t>Fragrance for Soap</t>
  </si>
  <si>
    <t>PRICE LIST SEND SOAP FRAGRAANCE</t>
  </si>
  <si>
    <t>F2200010771</t>
  </si>
  <si>
    <t>Randhir Singh</t>
  </si>
  <si>
    <t>Rexzen Ayurvedic Industries</t>
  </si>
  <si>
    <t>rexzenayurvedicindustries@gmail.com</t>
  </si>
  <si>
    <t>Fragrance for Hair Oil</t>
  </si>
  <si>
    <t>F2200010770</t>
  </si>
  <si>
    <t>Nikhilesh</t>
  </si>
  <si>
    <t>Nikhilesh56@gmail.com</t>
  </si>
  <si>
    <t>Kacha Mogra Fragrance</t>
  </si>
  <si>
    <t>PHENYL FREGRENCE PRICE LIST SEND</t>
  </si>
  <si>
    <t>F2200010769</t>
  </si>
  <si>
    <t>Koushik</t>
  </si>
  <si>
    <t>mkoushik93@gmail.com</t>
  </si>
  <si>
    <t>Uluberia</t>
  </si>
  <si>
    <t>F2200010768</t>
  </si>
  <si>
    <t>Tanuja Parmar</t>
  </si>
  <si>
    <t>Sri Lakshmi Venkata Sai Agency</t>
  </si>
  <si>
    <t>slvs2005@hotmail.com</t>
  </si>
  <si>
    <t xml:space="preserve"> Fragrance Attar </t>
  </si>
  <si>
    <t>14-03-2023</t>
  </si>
  <si>
    <t>F2200010767</t>
  </si>
  <si>
    <t>Sajid</t>
  </si>
  <si>
    <t>Greenex enterprises</t>
  </si>
  <si>
    <t>sajidvktdr2018@gmail.com</t>
  </si>
  <si>
    <t>Perfume for Making Soap</t>
  </si>
  <si>
    <t>1K PEARS 85, 9 TYPE FRAGRANCE SAMPLE NIEYCHEN</t>
  </si>
  <si>
    <t>F2200010766</t>
  </si>
  <si>
    <t>Mohammed Khan</t>
  </si>
  <si>
    <t>mehfuz.cs@gmail.com</t>
  </si>
  <si>
    <t>Mysore Sandal Fragrance</t>
  </si>
  <si>
    <t>EMNI CHACK KORCHILEN</t>
  </si>
  <si>
    <t>F2200010765</t>
  </si>
  <si>
    <t>Geeta Priya</t>
  </si>
  <si>
    <t>Bright Product</t>
  </si>
  <si>
    <t xml:space="preserve"> Pondicherry</t>
  </si>
  <si>
    <t>F2200010764</t>
  </si>
  <si>
    <t>Murtuja</t>
  </si>
  <si>
    <t>Ajarbatti Trades</t>
  </si>
  <si>
    <t>murtujhonyal123@gmail.com</t>
  </si>
  <si>
    <t>Liquid Musk Arochem Agarbatti Fragrances</t>
  </si>
  <si>
    <t>F2200010763</t>
  </si>
  <si>
    <t>Shital</t>
  </si>
  <si>
    <t xml:space="preserve">
masheetal1998@gmail.com</t>
  </si>
  <si>
    <t>Perfume for Incense Stick</t>
  </si>
  <si>
    <t>F2200010762</t>
  </si>
  <si>
    <t>DR PRAVEEN KUMAR SINGH</t>
  </si>
  <si>
    <t>Bracing Infra Developers Private Limited</t>
  </si>
  <si>
    <t>drpraveensingh1986@gmail.com</t>
  </si>
  <si>
    <t>AGARBATTI FRAGERENCE PRICE SEND</t>
  </si>
  <si>
    <t>F2200010761</t>
  </si>
  <si>
    <t>Prasanna Suresh Darekar</t>
  </si>
  <si>
    <t>Darekar Construction Co</t>
  </si>
  <si>
    <t>prasannadarekar7@gmail.com</t>
  </si>
  <si>
    <t>LOCAL THEKE CHAI</t>
  </si>
  <si>
    <t>F2200010760</t>
  </si>
  <si>
    <t>Shaik Shoaib</t>
  </si>
  <si>
    <t xml:space="preserve"> Hussain</t>
  </si>
  <si>
    <t>F2200010759</t>
  </si>
  <si>
    <t xml:space="preserve">
Aryan</t>
  </si>
  <si>
    <t>aryanaaru21@gmail.com</t>
  </si>
  <si>
    <t>F2200010758</t>
  </si>
  <si>
    <t xml:space="preserve">
Natarajan Shanmugam</t>
  </si>
  <si>
    <t xml:space="preserve">
Smr Enterprises</t>
  </si>
  <si>
    <t>nshanmugamsurveyor@gmail.com</t>
  </si>
  <si>
    <t>F2200010757</t>
  </si>
  <si>
    <t>Dipanker Bose</t>
  </si>
  <si>
    <t>dipankerbose000@gmail.com</t>
  </si>
  <si>
    <t xml:space="preserve">Ranchi, </t>
  </si>
  <si>
    <t>Fresh Lemon</t>
  </si>
  <si>
    <t>LABU CHAI</t>
  </si>
  <si>
    <t>F2200010756</t>
  </si>
  <si>
    <t>Yaswant Singh</t>
  </si>
  <si>
    <t>Dashmesh Agency</t>
  </si>
  <si>
    <t>yashwantsingh4620@gmail.com</t>
  </si>
  <si>
    <t>Liquid Detergent</t>
  </si>
  <si>
    <t>DETERGENT FRAGRENCE PRICE SEND</t>
  </si>
  <si>
    <t>F2200010755</t>
  </si>
  <si>
    <t>IMDADUL KHAN</t>
  </si>
  <si>
    <t>Rai enterprise</t>
  </si>
  <si>
    <t>imdadul2025@gmail.com</t>
  </si>
  <si>
    <t>PHENYL RAW ,FRAGRANCE PRICE SEND</t>
  </si>
  <si>
    <t>F2200010754</t>
  </si>
  <si>
    <t>Indro Gaming</t>
  </si>
  <si>
    <t>surajitduya31@gmail.com</t>
  </si>
  <si>
    <t xml:space="preserve">Kolaghat, </t>
  </si>
  <si>
    <t xml:space="preserve">Chocolate Musk Fragrance </t>
  </si>
  <si>
    <t>F2200010753</t>
  </si>
  <si>
    <t>Abul Hasan</t>
  </si>
  <si>
    <t>Lashkar Enterprise</t>
  </si>
  <si>
    <t>abulhassanlas@gmail.com</t>
  </si>
  <si>
    <t>Rose Water Perfume</t>
  </si>
  <si>
    <t>FOOD ER JANNO CHAI</t>
  </si>
  <si>
    <t>13-03-2023</t>
  </si>
  <si>
    <t>F2200010752</t>
  </si>
  <si>
    <t>Nirmal Kr. Pramanik</t>
  </si>
  <si>
    <t>labisly Bio-Food Science opc pvt ltd</t>
  </si>
  <si>
    <t>nirmalsaha2583@gmail.com</t>
  </si>
  <si>
    <t>Balurghat,</t>
  </si>
  <si>
    <t>Fenyle Concentrate.</t>
  </si>
  <si>
    <t>F2200010751</t>
  </si>
  <si>
    <t>Suvankar Santra</t>
  </si>
  <si>
    <t>Dk Enterprise</t>
  </si>
  <si>
    <t>suvankarsantra28@gmail.com</t>
  </si>
  <si>
    <t>Incense Sticks Fragrances.</t>
  </si>
  <si>
    <t>F2200010750</t>
  </si>
  <si>
    <t>Vivek Jaiswal</t>
  </si>
  <si>
    <t>R.J International</t>
  </si>
  <si>
    <t>rjinternational99@gmail.com</t>
  </si>
  <si>
    <t>Mogra Essential Oil.</t>
  </si>
  <si>
    <t>F2200010749</t>
  </si>
  <si>
    <t>Krishmee</t>
  </si>
  <si>
    <t>sinhgaurav@gmail.com</t>
  </si>
  <si>
    <t>Gilli Mitti Fragrance Oil</t>
  </si>
  <si>
    <t>F2200010748</t>
  </si>
  <si>
    <t>Lemongrass Essential Oil</t>
  </si>
  <si>
    <t>F2200010747</t>
  </si>
  <si>
    <t>As KUMAR</t>
  </si>
  <si>
    <t>Water Soluble Fragrance</t>
  </si>
  <si>
    <t>COSMATICS PERFUME PRICE LIST SEND</t>
  </si>
  <si>
    <t>F2200010746</t>
  </si>
  <si>
    <t>nagle.kumar.nagle@gmail.com</t>
  </si>
  <si>
    <t>F2200010745</t>
  </si>
  <si>
    <t>Khalid</t>
  </si>
  <si>
    <t xml:space="preserve">
Rehan Garment</t>
  </si>
  <si>
    <t>samkhalid8808@gmail.com</t>
  </si>
  <si>
    <t>RADEY AIR FRESHENER CHAI</t>
  </si>
  <si>
    <t>F2200010744</t>
  </si>
  <si>
    <t>Nidhi Bardia</t>
  </si>
  <si>
    <t>harshh_jain@yahoo.in</t>
  </si>
  <si>
    <t>English Rose Premium Fragrance</t>
  </si>
  <si>
    <t>ENGLISH ROSE FRAGRANCE PRICE SEND</t>
  </si>
  <si>
    <t>F2200010743</t>
  </si>
  <si>
    <t xml:space="preserve">
Shivam Tyagi</t>
  </si>
  <si>
    <t>priyanka27tyagi@gmail.com</t>
  </si>
  <si>
    <t>Candle Making Fragrance</t>
  </si>
  <si>
    <t>CANDALE PARFUME PRICE LIST SEND</t>
  </si>
  <si>
    <t>F2200010742</t>
  </si>
  <si>
    <t>David</t>
  </si>
  <si>
    <t>KVR machinery</t>
  </si>
  <si>
    <t>surender.bansd@gmail.com</t>
  </si>
  <si>
    <t xml:space="preserve">
Hyderabad,</t>
  </si>
  <si>
    <t>F2200010741</t>
  </si>
  <si>
    <t>Papaya Perfume</t>
  </si>
  <si>
    <t>F2200010740</t>
  </si>
  <si>
    <t>Rahul Kumar Sharma</t>
  </si>
  <si>
    <t>Chirag India Chemicals</t>
  </si>
  <si>
    <t>chiragchemicalsindia@gmail.com</t>
  </si>
  <si>
    <t xml:space="preserve"> Lemon Fragrance Perfume</t>
  </si>
  <si>
    <t>F2200010739</t>
  </si>
  <si>
    <t>Lapak Food Products</t>
  </si>
  <si>
    <t>lapaktea@yahoo.in</t>
  </si>
  <si>
    <t>3 DAYS PORE CALL KORTE HOBE</t>
  </si>
  <si>
    <t>F2200010738</t>
  </si>
  <si>
    <t>Kunalbhalla639@gmail.com</t>
  </si>
  <si>
    <t>F2200010737</t>
  </si>
  <si>
    <t>Abhisek Upadhayay</t>
  </si>
  <si>
    <t>Yashoda Nandan Shringar Emporium</t>
  </si>
  <si>
    <t>au06951@gmail.com</t>
  </si>
  <si>
    <t>F2200010736</t>
  </si>
  <si>
    <t xml:space="preserve">
Raj Kumar</t>
  </si>
  <si>
    <t>Raghav Gift Gallery</t>
  </si>
  <si>
    <t>goyalrajkumar404@gmail.com</t>
  </si>
  <si>
    <t xml:space="preserve"> Haryana</t>
  </si>
  <si>
    <t>Villain Perfume</t>
  </si>
  <si>
    <t>F2200010735</t>
  </si>
  <si>
    <t>Barakha</t>
  </si>
  <si>
    <t>barkhanagar1995@gmail.com</t>
  </si>
  <si>
    <t>Menage Fragrance Perfume</t>
  </si>
  <si>
    <t>F2200010734</t>
  </si>
  <si>
    <t>Govind Kumar Chaurasia</t>
  </si>
  <si>
    <t>Venus Aromatic Perfumes</t>
  </si>
  <si>
    <t>govindkumarchaurasia6@gmail.com</t>
  </si>
  <si>
    <t xml:space="preserve"> Uttar Pradesh</t>
  </si>
  <si>
    <t>Fougere Fragrance Oil</t>
  </si>
  <si>
    <t>F2200010733</t>
  </si>
  <si>
    <t>Parbhat</t>
  </si>
  <si>
    <t>prabhatknl@gmail.com</t>
  </si>
  <si>
    <t xml:space="preserve">, Delhi, </t>
  </si>
  <si>
    <t>BODY PERFUME BANABE</t>
  </si>
  <si>
    <t>F2200010732</t>
  </si>
  <si>
    <t>Aakash</t>
  </si>
  <si>
    <t>katariyaaakash509@gmail.com</t>
  </si>
  <si>
    <t>ROSE WATER ER JANOO LAGBE</t>
  </si>
  <si>
    <t>F2200010731</t>
  </si>
  <si>
    <t xml:space="preserve">
Nikhil</t>
  </si>
  <si>
    <t xml:space="preserve">
Star Shine</t>
  </si>
  <si>
    <t>AIR FRESHNER PRICE LIST SEND</t>
  </si>
  <si>
    <t>F2200010730</t>
  </si>
  <si>
    <t>SANDAL WOOD PRICE  SEND</t>
  </si>
  <si>
    <t>F2200010729</t>
  </si>
  <si>
    <t>Mohd Sameem</t>
  </si>
  <si>
    <t>Seema Soap</t>
  </si>
  <si>
    <t>mohdsaleem68755@gmail.com</t>
  </si>
  <si>
    <t>F2200010728</t>
  </si>
  <si>
    <t>Chinmaya Sahu</t>
  </si>
  <si>
    <t xml:space="preserve">
Sahu Digital</t>
  </si>
  <si>
    <t>lchinmayasahu311@gmail.com</t>
  </si>
  <si>
    <t>Jasmine Agarbatti Chemical</t>
  </si>
  <si>
    <t>AGARBATTI PRICE LIST SEND</t>
  </si>
  <si>
    <t>F2200010727</t>
  </si>
  <si>
    <t>Sukanta Bhattacharjee</t>
  </si>
  <si>
    <t xml:space="preserve">
MDCPL</t>
  </si>
  <si>
    <t>sukanta@aynaritha.com</t>
  </si>
  <si>
    <t>Siliguri -</t>
  </si>
  <si>
    <t>Perfume Detergent Clean</t>
  </si>
  <si>
    <t>F2200010726</t>
  </si>
  <si>
    <t>Subhamoy</t>
  </si>
  <si>
    <t xml:space="preserve">
Subhamoy Enterprise</t>
  </si>
  <si>
    <t>subhamoykushari6@gmail.com</t>
  </si>
  <si>
    <t xml:space="preserve">
Konnagar </t>
  </si>
  <si>
    <t>1 KG RAJNIGANDHA T  NIEYCHEN</t>
  </si>
  <si>
    <t>F2200010725</t>
  </si>
  <si>
    <t>Kelvin Joseph</t>
  </si>
  <si>
    <t>coin seller</t>
  </si>
  <si>
    <t>kelvinjoseph909@gmail.com</t>
  </si>
  <si>
    <t>CANDLE PERFUME PRICE SEND</t>
  </si>
  <si>
    <t>F2200010724</t>
  </si>
  <si>
    <t>Shyam Kalu</t>
  </si>
  <si>
    <t>Mathrymurthi Agarbatti</t>
  </si>
  <si>
    <t>shyamkalubehara@gmail.com</t>
  </si>
  <si>
    <t>F2200010723</t>
  </si>
  <si>
    <t>Amarjeet Dahiya</t>
  </si>
  <si>
    <t>amardahiya1234@gmail.com</t>
  </si>
  <si>
    <t xml:space="preserve">Synthetic Thickener
</t>
  </si>
  <si>
    <t>PHENYL THICKENER , FRAGRANCE PRICE SEND</t>
  </si>
  <si>
    <t>F2200010722</t>
  </si>
  <si>
    <t>Mayur Guna</t>
  </si>
  <si>
    <t>meera enterprise</t>
  </si>
  <si>
    <t>mayurguna89@gmail.com</t>
  </si>
  <si>
    <t>COSMETIC PRICE LIST SEND</t>
  </si>
  <si>
    <t>F2200010721</t>
  </si>
  <si>
    <t>Anilkumar Mayengbam</t>
  </si>
  <si>
    <t>home use</t>
  </si>
  <si>
    <t xml:space="preserve">
anilkumarmayengbam513@gmail.com</t>
  </si>
  <si>
    <t xml:space="preserve"> Manipur</t>
  </si>
  <si>
    <t>F2200010720</t>
  </si>
  <si>
    <t>Ramachandran R</t>
  </si>
  <si>
    <t>P Y Cottage</t>
  </si>
  <si>
    <t>ecoram_ttl@yahoo.co.in</t>
  </si>
  <si>
    <t>F2200010719</t>
  </si>
  <si>
    <t>Ragesh</t>
  </si>
  <si>
    <t>Avalanche controls</t>
  </si>
  <si>
    <t>rageshnew@gmail.com</t>
  </si>
  <si>
    <t xml:space="preserve"> Kerala,</t>
  </si>
  <si>
    <t>Floor Cleaning Fragrances</t>
  </si>
  <si>
    <t>F2200010718</t>
  </si>
  <si>
    <t>Dhiraj Das</t>
  </si>
  <si>
    <t>LG Bulb Manufacturing</t>
  </si>
  <si>
    <t>raginidas06@gmail.com</t>
  </si>
  <si>
    <t>SOAP  FRAGRANCE PRICE LIST SEND</t>
  </si>
  <si>
    <t>F2200010717</t>
  </si>
  <si>
    <t>Ram Ji Dubey</t>
  </si>
  <si>
    <t>Rajsi Masala Or Queen Touch</t>
  </si>
  <si>
    <t>ramjid77@gmail.com</t>
  </si>
  <si>
    <t>Hand Wash Fragrances</t>
  </si>
  <si>
    <t>F2200010716</t>
  </si>
  <si>
    <t>Pushpender</t>
  </si>
  <si>
    <t>Mancind Pharmaceutical Private Limited</t>
  </si>
  <si>
    <t>pushpendrasinghr208@gmail.com</t>
  </si>
  <si>
    <t>Rose Fragranc</t>
  </si>
  <si>
    <t xml:space="preserve">COSMATICES </t>
  </si>
  <si>
    <t>F2200010715</t>
  </si>
  <si>
    <t>Aamir</t>
  </si>
  <si>
    <t>Mogra Attar Fragrance</t>
  </si>
  <si>
    <t>F2200010714</t>
  </si>
  <si>
    <t>ROHIT</t>
  </si>
  <si>
    <t>behl.rohit@ymail.com</t>
  </si>
  <si>
    <t>Rose Vrindavan Perfume Fragrance</t>
  </si>
  <si>
    <t>VRINDVAN BRAND KA CHAI</t>
  </si>
  <si>
    <t>F2200010713</t>
  </si>
  <si>
    <t>agg_deepak1980@yahoo.com</t>
  </si>
  <si>
    <t>F2200010712</t>
  </si>
  <si>
    <t>Jitendra Yadav</t>
  </si>
  <si>
    <t xml:space="preserve">
jitendrasinghyadav643@gmail.com</t>
  </si>
  <si>
    <t>Liquid Incense Sticks Jasmine Fragrance</t>
  </si>
  <si>
    <t>F2200010711</t>
  </si>
  <si>
    <t>Tapan Kar</t>
  </si>
  <si>
    <t>Trisha agarbatti</t>
  </si>
  <si>
    <t xml:space="preserve"> Hawan Perfume Fragrance for Agarbatti</t>
  </si>
  <si>
    <t>AGARBATTI PERFUME PRICE SEND</t>
  </si>
  <si>
    <t>F2200010710</t>
  </si>
  <si>
    <t>Vaastu Point</t>
  </si>
  <si>
    <t>myvaastupoint@gmail.com</t>
  </si>
  <si>
    <t>F2200010709</t>
  </si>
  <si>
    <t>Shreya</t>
  </si>
  <si>
    <t>F2200010708</t>
  </si>
  <si>
    <t>Gnanaprakasam P</t>
  </si>
  <si>
    <t xml:space="preserve">gnanaprakasamp333@gmail.com
</t>
  </si>
  <si>
    <t xml:space="preserve"> Aromatic Fragrance</t>
  </si>
  <si>
    <t>F2200010707</t>
  </si>
  <si>
    <t>Aishwarya</t>
  </si>
  <si>
    <t>sugar whip</t>
  </si>
  <si>
    <t>Candle Lotus Fragrance</t>
  </si>
  <si>
    <t>F2200010706</t>
  </si>
  <si>
    <t>Logeswari</t>
  </si>
  <si>
    <t>Jay &amp; Jai Enterprises</t>
  </si>
  <si>
    <t xml:space="preserve">
loges.jk@gmail.com</t>
  </si>
  <si>
    <t>Water Dissolvable Fragrance</t>
  </si>
  <si>
    <t>F2200010705</t>
  </si>
  <si>
    <t>Sri Ram Kolavennu</t>
  </si>
  <si>
    <t>KPS Multiflora</t>
  </si>
  <si>
    <t>ganeshkolavennu123@gmail.com</t>
  </si>
  <si>
    <t xml:space="preserve"> Incense Sticks Perfumes</t>
  </si>
  <si>
    <t>F2200010704</t>
  </si>
  <si>
    <t xml:space="preserve">Prakas </t>
  </si>
  <si>
    <t>BUDDHESHWAR GENERAL STORE</t>
  </si>
  <si>
    <t>budheswar.g.store@gmail.com</t>
  </si>
  <si>
    <t>F2200010703</t>
  </si>
  <si>
    <t>Abdullah Ahmed</t>
  </si>
  <si>
    <t>Alfalah Kitab Ghar</t>
  </si>
  <si>
    <t>aa1909777@gmail.com</t>
  </si>
  <si>
    <t xml:space="preserve"> Assam,</t>
  </si>
  <si>
    <t>Soap Fragrance</t>
  </si>
  <si>
    <t>F2200010702</t>
  </si>
  <si>
    <t>Preeti</t>
  </si>
  <si>
    <t>blissful skin</t>
  </si>
  <si>
    <t>pranpreet55@gmail.com</t>
  </si>
  <si>
    <t>F2200010701</t>
  </si>
  <si>
    <t>Milan Jee</t>
  </si>
  <si>
    <t xml:space="preserve">
milanjee22@gmail.com</t>
  </si>
  <si>
    <t>F2200010700</t>
  </si>
  <si>
    <t>Rk Lubana</t>
  </si>
  <si>
    <t>Lubana Brothers</t>
  </si>
  <si>
    <t>lubanabrothers1@gmail.com</t>
  </si>
  <si>
    <t>F2200010699</t>
  </si>
  <si>
    <t>Parul</t>
  </si>
  <si>
    <t xml:space="preserve">
Fascinating World</t>
  </si>
  <si>
    <t>pjain1044@gmail.com</t>
  </si>
  <si>
    <t>Chocolate Dairy with Chocolate Fragrance</t>
  </si>
  <si>
    <t>F2200010698</t>
  </si>
  <si>
    <t>ravi jain.</t>
  </si>
  <si>
    <t>ravijainravijain7196@gmail.com</t>
  </si>
  <si>
    <t>F2200010697</t>
  </si>
  <si>
    <t>Ramanath Jha</t>
  </si>
  <si>
    <t>ramanath.jha1234@gmail.com</t>
  </si>
  <si>
    <t>PORE LAGLE JANBEN</t>
  </si>
  <si>
    <t>F2200010696</t>
  </si>
  <si>
    <t>Sunil Chaudhary</t>
  </si>
  <si>
    <t>sunilchaudhary01984@gmail.com</t>
  </si>
  <si>
    <t>Bharatwasi Perfume</t>
  </si>
  <si>
    <t>F2200010695</t>
  </si>
  <si>
    <t>Kanta Devi</t>
  </si>
  <si>
    <t>Gulab and Chandan</t>
  </si>
  <si>
    <t>F2200010694</t>
  </si>
  <si>
    <t>Himanshu Yadav</t>
  </si>
  <si>
    <t xml:space="preserve">
monurao9942@gmail.com</t>
  </si>
  <si>
    <t>F2200010693</t>
  </si>
  <si>
    <t>Sunita Bhatia</t>
  </si>
  <si>
    <t>Bhumee Roots</t>
  </si>
  <si>
    <t>sunita.bhatia@rohanika.com</t>
  </si>
  <si>
    <t>COSMATICES FRAGRANCE PRICE SEND</t>
  </si>
  <si>
    <t>F2200010692</t>
  </si>
  <si>
    <t>Saji Abrs</t>
  </si>
  <si>
    <t>matha soaps</t>
  </si>
  <si>
    <t>abrahamsaji234@gmail.com</t>
  </si>
  <si>
    <t>Fresh Lime Perfume Fragrance For Detergent</t>
  </si>
  <si>
    <t>DETERGENT FREGRENCE PRICE SEND</t>
  </si>
  <si>
    <t>F2200010691</t>
  </si>
  <si>
    <t>BAPI KAR</t>
  </si>
  <si>
    <t>Mogra Perfume</t>
  </si>
  <si>
    <t>F2200010690</t>
  </si>
  <si>
    <t>AFTAB ALAM</t>
  </si>
  <si>
    <t>A STAR &amp;GROUP PVT. LTD</t>
  </si>
  <si>
    <t>BIHAR</t>
  </si>
  <si>
    <t>F2200010689</t>
  </si>
  <si>
    <t>AKSHIT</t>
  </si>
  <si>
    <t>MUMBAI</t>
  </si>
  <si>
    <t>VANILA FRAGRANCE CANDLE</t>
  </si>
  <si>
    <t>1 KG VANILLA FRAGRANCE NIEYCHEN</t>
  </si>
  <si>
    <t>Rohit Satya Nagar</t>
  </si>
  <si>
    <t xml:space="preserve">
rohitkumarg222@gmail.com</t>
  </si>
  <si>
    <t>Rose Fragrance Perfume</t>
  </si>
  <si>
    <t>F2200010688</t>
  </si>
  <si>
    <t xml:space="preserve">Raju  </t>
  </si>
  <si>
    <t>chutiabeby@gmail.com</t>
  </si>
  <si>
    <t>Musk Incense Stick Fragrance</t>
  </si>
  <si>
    <t>F2200010687</t>
  </si>
  <si>
    <t>Selva M</t>
  </si>
  <si>
    <t>Muthu Steels</t>
  </si>
  <si>
    <t>mponselvam27@gmail.com</t>
  </si>
  <si>
    <t>Hair Fragrance</t>
  </si>
  <si>
    <t>HAIR OIL FRAGRANCE PRICE LIST SEND</t>
  </si>
  <si>
    <t>F2200010686</t>
  </si>
  <si>
    <t>Seneritha</t>
  </si>
  <si>
    <t>Akshaya Herbals</t>
  </si>
  <si>
    <t>akshyaherbalssalem@gmail.com</t>
  </si>
  <si>
    <t>F2200010685</t>
  </si>
  <si>
    <t>Enalraj</t>
  </si>
  <si>
    <t>Nasa Chemical Shop</t>
  </si>
  <si>
    <t>enalraj2005@yahoo.co.in</t>
  </si>
  <si>
    <t>F2200010684</t>
  </si>
  <si>
    <t>Manshi Dalmia</t>
  </si>
  <si>
    <t>Shivalik Packaging Industries</t>
  </si>
  <si>
    <t>mansee_ad@yahoo.com</t>
  </si>
  <si>
    <t>F2200010683</t>
  </si>
  <si>
    <t>Mukesh Lohan</t>
  </si>
  <si>
    <t>Rise Technology Private Limited</t>
  </si>
  <si>
    <t>bishnoimukesh770@gmail.com</t>
  </si>
  <si>
    <t>F2200010682</t>
  </si>
  <si>
    <t>Charanjeet Kaur</t>
  </si>
  <si>
    <t xml:space="preserve">
CNG Home Frockey Bubbles</t>
  </si>
  <si>
    <t>charanjitkaur238139@gmail.com</t>
  </si>
  <si>
    <t xml:space="preserve"> Perfume and Fragrance</t>
  </si>
  <si>
    <t>F2200010681</t>
  </si>
  <si>
    <t>Nagendra Kumar</t>
  </si>
  <si>
    <t>Raj Traders</t>
  </si>
  <si>
    <t>nagendra333kumar@gmail.com</t>
  </si>
  <si>
    <t>Fragrance For Detergent</t>
  </si>
  <si>
    <t>F2200010680</t>
  </si>
  <si>
    <t>Satyanaraya</t>
  </si>
  <si>
    <t>Ujjawal Export</t>
  </si>
  <si>
    <t>ujalakushwaha54805480@gmail.com</t>
  </si>
  <si>
    <t>Pears Soap Perfume Fragrance</t>
  </si>
  <si>
    <t>F2200010679</t>
  </si>
  <si>
    <t>Prakash Solanki</t>
  </si>
  <si>
    <t>J. M Agarbatti</t>
  </si>
  <si>
    <t>prakashthakor96248@gmail.com</t>
  </si>
  <si>
    <t>Jasmine Perfumes Fragrance for Agarbatti</t>
  </si>
  <si>
    <t>F2200010678</t>
  </si>
  <si>
    <t xml:space="preserve">Sures </t>
  </si>
  <si>
    <t>Shiv Nandi</t>
  </si>
  <si>
    <t>rr7044656@gmail.com</t>
  </si>
  <si>
    <t>F2200010677</t>
  </si>
  <si>
    <t>Jitendra Kumar Thakur</t>
  </si>
  <si>
    <t>jbhai41029@gmail.com</t>
  </si>
  <si>
    <t>Fresh Strawberry.</t>
  </si>
  <si>
    <t>KHANEWALA STRAWBERRY CHAI</t>
  </si>
  <si>
    <t>F2200010676</t>
  </si>
  <si>
    <t>Ashutosh</t>
  </si>
  <si>
    <t>farmonics</t>
  </si>
  <si>
    <t>supriyaverma04242@gmail.com</t>
  </si>
  <si>
    <t xml:space="preserve">Attar </t>
  </si>
  <si>
    <t>F2200010675</t>
  </si>
  <si>
    <t>Tabrez.khan</t>
  </si>
  <si>
    <t>tabrezkhan9176@gmail.com</t>
  </si>
  <si>
    <t>Synthetic Thickener</t>
  </si>
  <si>
    <t>F2200010674</t>
  </si>
  <si>
    <t>ADDA</t>
  </si>
  <si>
    <t>deep2ak@gmail.com</t>
  </si>
  <si>
    <t>F2200010673</t>
  </si>
  <si>
    <t>vvipuser13@gmail.com</t>
  </si>
  <si>
    <t>Khreedhdaari</t>
  </si>
  <si>
    <t>Cobra Perfume.</t>
  </si>
  <si>
    <t>BODY PERFUME</t>
  </si>
  <si>
    <t>F2200010672</t>
  </si>
  <si>
    <t>Rohit Jain</t>
  </si>
  <si>
    <t>R J Enterprises</t>
  </si>
  <si>
    <t>rjrohitjain@yahoo.co.in</t>
  </si>
  <si>
    <t>Bella Vita Luxury Perfume</t>
  </si>
  <si>
    <t>F2200010671</t>
  </si>
  <si>
    <t>AYAN DEBNATH</t>
  </si>
  <si>
    <t>KHARDAHA</t>
  </si>
  <si>
    <t>THICKENER</t>
  </si>
  <si>
    <t>5 LITR CONCENTRATE, 1 KG NEW THICKENER, 1 KG LEMON LIME NIEYCHEN</t>
  </si>
  <si>
    <t>F2200010670</t>
  </si>
  <si>
    <t>SOHEL AHMAD</t>
  </si>
  <si>
    <t>DHANBAD</t>
  </si>
  <si>
    <t>AGARBATTI PERFUME</t>
  </si>
  <si>
    <t>1 KG CITRONELLA  NIEYCHEN</t>
  </si>
  <si>
    <t>F2200010669</t>
  </si>
  <si>
    <t>Jignesh</t>
  </si>
  <si>
    <t>Shreenathji Agarbatti</t>
  </si>
  <si>
    <t>shreenathjiagarbatti772@gmail.com</t>
  </si>
  <si>
    <t>Agarbatti Compound</t>
  </si>
  <si>
    <t>F2200010668</t>
  </si>
  <si>
    <t>Sasmita Sethi</t>
  </si>
  <si>
    <t>sukanaa jejana</t>
  </si>
  <si>
    <t>sethisasmita10628@gmail.com</t>
  </si>
  <si>
    <t>Concentrate</t>
  </si>
  <si>
    <t>F2200010667</t>
  </si>
  <si>
    <t>Misraf</t>
  </si>
  <si>
    <t>F2200010666</t>
  </si>
  <si>
    <t>AGARBATTI  PERFUME PRICE SEND</t>
  </si>
  <si>
    <t>F2200010665</t>
  </si>
  <si>
    <t>Rizwan Ahamed</t>
  </si>
  <si>
    <t>Custom Street</t>
  </si>
  <si>
    <t>rizy.mani@gmail.com</t>
  </si>
  <si>
    <t xml:space="preserve">Phenyl Thickener. </t>
  </si>
  <si>
    <t>F2200010664</t>
  </si>
  <si>
    <t>F2200010663</t>
  </si>
  <si>
    <t xml:space="preserve">
Oriya</t>
  </si>
  <si>
    <t>restaurants</t>
  </si>
  <si>
    <t>F2200010662</t>
  </si>
  <si>
    <t>Jitendra</t>
  </si>
  <si>
    <t>jituram41328@gmail.com</t>
  </si>
  <si>
    <t>F2200010661</t>
  </si>
  <si>
    <t>Dhanjoy Hajong</t>
  </si>
  <si>
    <t>cosmetics</t>
  </si>
  <si>
    <t>dhanjoyhajong8@gmail.com</t>
  </si>
  <si>
    <t>Attarfull Perfume.</t>
  </si>
  <si>
    <t>F2200010660</t>
  </si>
  <si>
    <t>Kavi</t>
  </si>
  <si>
    <t>phillphill873@gmail.com</t>
  </si>
  <si>
    <t>Vanilla Fragrance Oil</t>
  </si>
  <si>
    <t>1 kg vanilla nieychen candele er jonno</t>
  </si>
  <si>
    <t>F2200010659</t>
  </si>
  <si>
    <t>Raju Roy</t>
  </si>
  <si>
    <t>Shree Enterprise</t>
  </si>
  <si>
    <t>royr08736@gmail.com</t>
  </si>
  <si>
    <t xml:space="preserve"> White Phenyl Compound</t>
  </si>
  <si>
    <t>F2200010658</t>
  </si>
  <si>
    <t>Riya</t>
  </si>
  <si>
    <t>Lemon Fragrance Oil</t>
  </si>
  <si>
    <t>CANDLE PERFUME PEICE LIST SEND</t>
  </si>
  <si>
    <t>F2200010657</t>
  </si>
  <si>
    <t>Jds</t>
  </si>
  <si>
    <t xml:space="preserve"> Agarbatti Perfumes</t>
  </si>
  <si>
    <t>F2200010656</t>
  </si>
  <si>
    <t>Nalin</t>
  </si>
  <si>
    <t>F2200010655</t>
  </si>
  <si>
    <t>Sajal</t>
  </si>
  <si>
    <t>kwgdjf6253916</t>
  </si>
  <si>
    <t>dubeysajal2005@gmail.com</t>
  </si>
  <si>
    <t>F2200010654</t>
  </si>
  <si>
    <t xml:space="preserve">
Shani</t>
  </si>
  <si>
    <t>F2200010653</t>
  </si>
  <si>
    <t>Irfan Khan</t>
  </si>
  <si>
    <t>Adilabad</t>
  </si>
  <si>
    <t>F2200010652</t>
  </si>
  <si>
    <t xml:space="preserve">
Kolkata,</t>
  </si>
  <si>
    <t>Sealed Agarbatti Perfume</t>
  </si>
  <si>
    <t>F2200010651</t>
  </si>
  <si>
    <t>Bhola Ram</t>
  </si>
  <si>
    <t>F2200010650</t>
  </si>
  <si>
    <t>Kedar gurav</t>
  </si>
  <si>
    <t>guravkedar8@gmail.com</t>
  </si>
  <si>
    <t>Water Based Perfume</t>
  </si>
  <si>
    <t>F2200010649</t>
  </si>
  <si>
    <t>Shaikh</t>
  </si>
  <si>
    <t>shaikhmohammedy@gmail.com</t>
  </si>
  <si>
    <t>F2200010648</t>
  </si>
  <si>
    <t>Sushil Singh</t>
  </si>
  <si>
    <t>Oceanspring Edibles Private Limited</t>
  </si>
  <si>
    <t>sushilmeb2005@gmail.com</t>
  </si>
  <si>
    <t>Pine Fragnance Oil</t>
  </si>
  <si>
    <t>F2200010647</t>
  </si>
  <si>
    <t>B.K Mallick</t>
  </si>
  <si>
    <t>MACHCO INSTRUMENTATION &amp; CONSTRUCTIONS PVT LTD</t>
  </si>
  <si>
    <t>machco@rediffmail.com</t>
  </si>
  <si>
    <t xml:space="preserve">Lemongrass oil </t>
  </si>
  <si>
    <t>F2200010646</t>
  </si>
  <si>
    <t>Sekh Alam Girali</t>
  </si>
  <si>
    <t>KESE ENTERPRISES</t>
  </si>
  <si>
    <t>a90467409@gmail.com</t>
  </si>
  <si>
    <t>RAJNIGANDHA Perfume</t>
  </si>
  <si>
    <t>DETERGENT ER RAW MATERIALS LAGBE</t>
  </si>
  <si>
    <t>F2200010645</t>
  </si>
  <si>
    <t>Arnab Chamuah</t>
  </si>
  <si>
    <t>arnabchamuah601@gmail.com</t>
  </si>
  <si>
    <t>F2200010644</t>
  </si>
  <si>
    <t>Fam</t>
  </si>
  <si>
    <t>ami.deathangel@gmail.com</t>
  </si>
  <si>
    <t>Candle Fragrances</t>
  </si>
  <si>
    <t>F2200010643</t>
  </si>
  <si>
    <t>Jayanta Roychowdhury</t>
  </si>
  <si>
    <t>Jrc Infoline</t>
  </si>
  <si>
    <t>hrikroy@yahoo.co.in</t>
  </si>
  <si>
    <t>28-02-2023</t>
  </si>
  <si>
    <t>F2200010642</t>
  </si>
  <si>
    <t>Simarnjeet</t>
  </si>
  <si>
    <t>STICK CHAI EKHON</t>
  </si>
  <si>
    <t>F2200010641</t>
  </si>
  <si>
    <t>New M.R Medical &amp; Surgical center</t>
  </si>
  <si>
    <t>LOCAL E CHAI</t>
  </si>
  <si>
    <t>F2200010640</t>
  </si>
  <si>
    <t>F2200010639</t>
  </si>
  <si>
    <t>Zyka Company</t>
  </si>
  <si>
    <t>anandreddychetkuri@gmail.com</t>
  </si>
  <si>
    <t>F2200010638</t>
  </si>
  <si>
    <t xml:space="preserve">
Mohi Enterprises</t>
  </si>
  <si>
    <t>manchalrajesh14@gmail.com</t>
  </si>
  <si>
    <t>F2200010637</t>
  </si>
  <si>
    <t>Jeans Pants</t>
  </si>
  <si>
    <t>Rajnigandha Perfume</t>
  </si>
  <si>
    <t>F2200010636</t>
  </si>
  <si>
    <t>Jitendra Sahoo</t>
  </si>
  <si>
    <t>jituscareer2016@gmail.com</t>
  </si>
  <si>
    <t>Phenyl Concentrate Harbala</t>
  </si>
  <si>
    <t>F2200010635</t>
  </si>
  <si>
    <t>Nishanth</t>
  </si>
  <si>
    <t>Ajantha Agarbatti</t>
  </si>
  <si>
    <t>mailtonishu@gmail.com</t>
  </si>
  <si>
    <t>F2200010634</t>
  </si>
  <si>
    <t>Surendra Singh</t>
  </si>
  <si>
    <t>Narad Trading Company</t>
  </si>
  <si>
    <t>customercareyouwin@gmail.com</t>
  </si>
  <si>
    <t>F2200010633</t>
  </si>
  <si>
    <t>Ramat</t>
  </si>
  <si>
    <t>Jasmine Oil</t>
  </si>
  <si>
    <t>F2200010632</t>
  </si>
  <si>
    <t>Muaz Jan</t>
  </si>
  <si>
    <t>Muhammed Muaz Jan</t>
  </si>
  <si>
    <t>F2200010631</t>
  </si>
  <si>
    <t>Lemon Perfume Detergent Fragrance.</t>
  </si>
  <si>
    <t>27-02-2023</t>
  </si>
  <si>
    <t>F2200010630</t>
  </si>
  <si>
    <t>how
Lavalesh Singh</t>
  </si>
  <si>
    <t>KmalaMilk Udyog</t>
  </si>
  <si>
    <t>F2200010629</t>
  </si>
  <si>
    <t>Manasi Ghoshhajra</t>
  </si>
  <si>
    <t>greatmotivation2022@gmail.com</t>
  </si>
  <si>
    <t>Suri - 731101</t>
  </si>
  <si>
    <t>Candle Fragrance Oil</t>
  </si>
  <si>
    <t>1 KG KORE ORANGE, LAVENDER 77, ROSE 77, SANDAL 212,WATER MELON 101 CANDLE ER JANNO NIEYCHEN</t>
  </si>
  <si>
    <t>F2200010628</t>
  </si>
  <si>
    <t>PRADEEP ROUT</t>
  </si>
  <si>
    <t>pradeeprout028@gmail.com</t>
  </si>
  <si>
    <t>F2200010627</t>
  </si>
  <si>
    <t>Maruti Shinde</t>
  </si>
  <si>
    <t>smaruti906@gmail.com</t>
  </si>
  <si>
    <t>Strawberry Agarbatti Fragrance</t>
  </si>
  <si>
    <t>F2200010626</t>
  </si>
  <si>
    <t xml:space="preserve">
Velvet Flowers Artificial</t>
  </si>
  <si>
    <t>deepak799466@gmail.com</t>
  </si>
  <si>
    <t>LOCAL THEKE NABEN</t>
  </si>
  <si>
    <t>F2200010625</t>
  </si>
  <si>
    <t xml:space="preserve">Suha </t>
  </si>
  <si>
    <t>F2200010624</t>
  </si>
  <si>
    <t>F2200010623</t>
  </si>
  <si>
    <t>Dilip Somaiya</t>
  </si>
  <si>
    <t>Taurus Ent</t>
  </si>
  <si>
    <t>dsomaiya@rigvedindia.com</t>
  </si>
  <si>
    <t>Ratrani Perfume</t>
  </si>
  <si>
    <t>FRAGRANCE PRICE SEN</t>
  </si>
  <si>
    <t>F2200010622</t>
  </si>
  <si>
    <t xml:space="preserve">Dk Multisolution Group </t>
  </si>
  <si>
    <t>dhananjay.subham@gmail.com</t>
  </si>
  <si>
    <t>Personal Care Fragrances.</t>
  </si>
  <si>
    <t>AMADER THEKE FRAGRANCE NIEYCHE</t>
  </si>
  <si>
    <t>F2200010621</t>
  </si>
  <si>
    <t>Rokibul Hussain</t>
  </si>
  <si>
    <t>Refa Chemicals</t>
  </si>
  <si>
    <t>rokibulhussain7915@gmail.com</t>
  </si>
  <si>
    <t xml:space="preserve">Toilet Cleane </t>
  </si>
  <si>
    <t>F2200010620</t>
  </si>
  <si>
    <t>Masi Ur Rahman</t>
  </si>
  <si>
    <t>Home based</t>
  </si>
  <si>
    <t>masee.inc@gmail.com</t>
  </si>
  <si>
    <t>Tea Tree Essential Oil</t>
  </si>
  <si>
    <t>COSMATICS FRAGRANCE PRISE SEND</t>
  </si>
  <si>
    <t>F2200010619</t>
  </si>
  <si>
    <t>Papri Das</t>
  </si>
  <si>
    <t>Jasmine Chameli Oil.</t>
  </si>
  <si>
    <t>25-02-2023</t>
  </si>
  <si>
    <t>F2200010618</t>
  </si>
  <si>
    <t>Vipul Parjapati</t>
  </si>
  <si>
    <t>Aryan pharmacy</t>
  </si>
  <si>
    <t>v.don182@gmail.com</t>
  </si>
  <si>
    <t>Lavender Oil Based Perfume</t>
  </si>
  <si>
    <t>HAIR CARE  PERFUME PRICE LIST SEND</t>
  </si>
  <si>
    <t>F2200010617</t>
  </si>
  <si>
    <t>Jitendra SIngh</t>
  </si>
  <si>
    <t>Trbex Impex Private Limited</t>
  </si>
  <si>
    <t>project7@trbex.com</t>
  </si>
  <si>
    <t>F2200010616</t>
  </si>
  <si>
    <t>Bikram Biswas</t>
  </si>
  <si>
    <t>2 Sisters Chemical</t>
  </si>
  <si>
    <t>biswalbikram307@gmail.com</t>
  </si>
  <si>
    <t>F2200010615</t>
  </si>
  <si>
    <t>Tuhin Saha</t>
  </si>
  <si>
    <t>Maa Kali Perfumery Works</t>
  </si>
  <si>
    <t>tuhinsaha311@gmail.com</t>
  </si>
  <si>
    <t>F2200010614</t>
  </si>
  <si>
    <t>rajeshkubalpro@gmail.com</t>
  </si>
  <si>
    <t>Cosmetic Fragrance</t>
  </si>
  <si>
    <t>F2200010613</t>
  </si>
  <si>
    <t>Ritu</t>
  </si>
  <si>
    <t>Ritu Traders</t>
  </si>
  <si>
    <t>F2200010612</t>
  </si>
  <si>
    <t xml:space="preserve">
rambha2097@gmail.com</t>
  </si>
  <si>
    <t>Lemon Perfume Detergent Fragrance</t>
  </si>
  <si>
    <t>DETERGENT FRAGRANCE PRICE SEND , POREJODI LAGE JANABEN</t>
  </si>
  <si>
    <t>F2200010611</t>
  </si>
  <si>
    <t>Safwan</t>
  </si>
  <si>
    <t>AL FIRDPUSE</t>
  </si>
  <si>
    <t>loriyasafwan94@gmail.com</t>
  </si>
  <si>
    <t>Mumbai,</t>
  </si>
  <si>
    <t>F2200010610</t>
  </si>
  <si>
    <t>Pronobesh</t>
  </si>
  <si>
    <t>sp enterprise</t>
  </si>
  <si>
    <t>parnobasghorai@gmail.com</t>
  </si>
  <si>
    <t>agarbatti</t>
  </si>
  <si>
    <t>F2200010609</t>
  </si>
  <si>
    <t>Subhankar Dutta</t>
  </si>
  <si>
    <t>Remedix Home Care Solution</t>
  </si>
  <si>
    <t>subhankar.dutta1990@gmail.com</t>
  </si>
  <si>
    <t>F2200010608</t>
  </si>
  <si>
    <t>Chaman Shankar</t>
  </si>
  <si>
    <t>chamanshankar1999@gmail.com</t>
  </si>
  <si>
    <t>BHARAT WAASI Fragrance</t>
  </si>
  <si>
    <t>F2200010607</t>
  </si>
  <si>
    <t>Suddhadip</t>
  </si>
  <si>
    <t>DIP Rasayan</t>
  </si>
  <si>
    <t>dassuddhadip@gmail.com</t>
  </si>
  <si>
    <t>Toilet Cleaner Concentrate</t>
  </si>
  <si>
    <t>24-02-2023</t>
  </si>
  <si>
    <t>F2200010606</t>
  </si>
  <si>
    <t>MA Khan</t>
  </si>
  <si>
    <t>F2200010605</t>
  </si>
  <si>
    <t>Mahitoj Varman</t>
  </si>
  <si>
    <t>F2200010604</t>
  </si>
  <si>
    <t>Shikha Aggarwal</t>
  </si>
  <si>
    <t>Kraft Artefacto Haus</t>
  </si>
  <si>
    <t>kraftartefactohaus2@gmail.com</t>
  </si>
  <si>
    <t>Nag Champa Fragrance Oil</t>
  </si>
  <si>
    <t xml:space="preserve">. </t>
  </si>
  <si>
    <t>F2200010603</t>
  </si>
  <si>
    <t xml:space="preserve">
Papa Vai</t>
  </si>
  <si>
    <t xml:space="preserve">Malda, </t>
  </si>
  <si>
    <t>F2200010602</t>
  </si>
  <si>
    <t>Sanjay Nemade</t>
  </si>
  <si>
    <t>Shri Gruh Udyog</t>
  </si>
  <si>
    <t>sanjaynemade12@gmail.com</t>
  </si>
  <si>
    <t>Fantasia Perfume Fragrance</t>
  </si>
  <si>
    <t>F2200010601</t>
  </si>
  <si>
    <t>kchandan971@gmail.com</t>
  </si>
  <si>
    <t>PORE JADI LAGE TABE JANABEN</t>
  </si>
  <si>
    <t>F2200010600</t>
  </si>
  <si>
    <t>Umakanta</t>
  </si>
  <si>
    <t>subhadra furniture</t>
  </si>
  <si>
    <t>umakantaojha4498@gmail.com</t>
  </si>
  <si>
    <t>Sandalwood Scented Phenyl Concentrate</t>
  </si>
  <si>
    <t>F2200010599</t>
  </si>
  <si>
    <t>Rosalia Rastus Perfumes Ltd.</t>
  </si>
  <si>
    <t>anuragbhasin29@gmail.com</t>
  </si>
  <si>
    <t xml:space="preserve"> Delhi,</t>
  </si>
  <si>
    <t>Fragrance Perfume Strip</t>
  </si>
  <si>
    <t>F2200010598</t>
  </si>
  <si>
    <t xml:space="preserve">
Mukesh</t>
  </si>
  <si>
    <t>dhamalmukesh@gmail.com</t>
  </si>
  <si>
    <t>F2200010597</t>
  </si>
  <si>
    <t>kunalbhoir04@gmail.com</t>
  </si>
  <si>
    <t xml:space="preserve"> Phenyl Thickener Gel</t>
  </si>
  <si>
    <t>2 KG NEW THICKENAR NIEYCHEN</t>
  </si>
  <si>
    <t>F2200010596</t>
  </si>
  <si>
    <t>Tilotama Mohanty</t>
  </si>
  <si>
    <t>tilothmamohanty@gmail.com</t>
  </si>
  <si>
    <t>Pine Oil.</t>
  </si>
  <si>
    <t>23-02-2023</t>
  </si>
  <si>
    <t>F2200010595</t>
  </si>
  <si>
    <t>Nirmal Chandra Sinha</t>
  </si>
  <si>
    <t>Vani Industries</t>
  </si>
  <si>
    <t>nirmalchandra.sinha@gmail.com</t>
  </si>
  <si>
    <t>F2200010594</t>
  </si>
  <si>
    <t>deborata MAHATO</t>
  </si>
  <si>
    <t>MUSHIRDABAD</t>
  </si>
  <si>
    <t xml:space="preserve">ER AGE PERFUME NIEYCHEN </t>
  </si>
  <si>
    <t>F2200010593</t>
  </si>
  <si>
    <t>S R Ranganath</t>
  </si>
  <si>
    <t>Praksons Extracts India Pvt Ltd</t>
  </si>
  <si>
    <t>ranganathvsl@gmail.com</t>
  </si>
  <si>
    <t xml:space="preserve">White Phenyl Thickene </t>
  </si>
  <si>
    <t>THICKNER R FRAGRANCE PRICE SEND</t>
  </si>
  <si>
    <t>F2200010592</t>
  </si>
  <si>
    <t xml:space="preserve">
Abu</t>
  </si>
  <si>
    <t>MRR Universal Herbal Oil</t>
  </si>
  <si>
    <t>abu224040@gmail.com</t>
  </si>
  <si>
    <t>F2200010591</t>
  </si>
  <si>
    <t xml:space="preserve">
Kino</t>
  </si>
  <si>
    <t>Kino Factory</t>
  </si>
  <si>
    <t>kinohomes@gmail.com</t>
  </si>
  <si>
    <t>Agarbatti Making Perfume</t>
  </si>
  <si>
    <t>F2200010590</t>
  </si>
  <si>
    <t>Sunkara Babu</t>
  </si>
  <si>
    <t>sivab5260@gmail.com</t>
  </si>
  <si>
    <t>F2200010589</t>
  </si>
  <si>
    <t>Juned Mahida</t>
  </si>
  <si>
    <t xml:space="preserve">
My Self</t>
  </si>
  <si>
    <t>junedmahida98@gmail.com</t>
  </si>
  <si>
    <t>PORE KONO SAMAY LAGLE JANABEN</t>
  </si>
  <si>
    <t>F2200010588</t>
  </si>
  <si>
    <t>Khan</t>
  </si>
  <si>
    <t>Zayyans</t>
  </si>
  <si>
    <t>zayyansperfume@gmail.com</t>
  </si>
  <si>
    <t>Fine Perfume Fragrance</t>
  </si>
  <si>
    <t>ALL FRAGERANCE PRICE LIST SEND</t>
  </si>
  <si>
    <t>F2200010587</t>
  </si>
  <si>
    <t>aritraa.dass@gmail.com</t>
  </si>
  <si>
    <t>F2200010586</t>
  </si>
  <si>
    <t>Akash Pakhira</t>
  </si>
  <si>
    <t>nitish udyog</t>
  </si>
  <si>
    <t>akash02pakhira@gmail.com</t>
  </si>
  <si>
    <t>22-02-2023</t>
  </si>
  <si>
    <t>F2200010585</t>
  </si>
  <si>
    <t xml:space="preserve"> Bihar, </t>
  </si>
  <si>
    <t xml:space="preserve">Phenyl Concentrate </t>
  </si>
  <si>
    <t>F2200010584</t>
  </si>
  <si>
    <t>Mohan Kumawat</t>
  </si>
  <si>
    <t>Ishan Agarbatti</t>
  </si>
  <si>
    <t>Mohini Agarbatti Fragrances</t>
  </si>
  <si>
    <t>F2200010583</t>
  </si>
  <si>
    <t>Debasis</t>
  </si>
  <si>
    <t>dkoley337@gmail.com</t>
  </si>
  <si>
    <t>F2200010582</t>
  </si>
  <si>
    <t>Kalpesh</t>
  </si>
  <si>
    <t>Badiyani Enterprise</t>
  </si>
  <si>
    <t>kalpesh.775@rediffmail.com</t>
  </si>
  <si>
    <t>White Phenyl Thickene</t>
  </si>
  <si>
    <t>F2200010581</t>
  </si>
  <si>
    <t>Narendra Lenka</t>
  </si>
  <si>
    <t>narendrakumarlenka7890@gmail.com</t>
  </si>
  <si>
    <t>F2200010580</t>
  </si>
  <si>
    <t>Manish Ranjan</t>
  </si>
  <si>
    <t>ranjan.rgpv@gmail.com</t>
  </si>
  <si>
    <t>F2200010579</t>
  </si>
  <si>
    <t>LAXMI NARAYAN</t>
  </si>
  <si>
    <t>Panda Stuff</t>
  </si>
  <si>
    <t>lnpanda18@gmail.com</t>
  </si>
  <si>
    <t>F2200010578</t>
  </si>
  <si>
    <t>Prithwish NarayanShah</t>
  </si>
  <si>
    <t>Aladdin Textile Group</t>
  </si>
  <si>
    <t>p.k.saha12saha@gmail.com</t>
  </si>
  <si>
    <t>Deodrant Fragnance Perfumes</t>
  </si>
  <si>
    <t>F2200010577</t>
  </si>
  <si>
    <t>Satyendra Suman</t>
  </si>
  <si>
    <t>Agarbatti Manufacturing</t>
  </si>
  <si>
    <t>satyendrasuman05@gmail.com</t>
  </si>
  <si>
    <t>21-02-2023</t>
  </si>
  <si>
    <t>F2200010576</t>
  </si>
  <si>
    <t>MANAS DAS</t>
  </si>
  <si>
    <t>Vivekananda Mission High School</t>
  </si>
  <si>
    <t>dasmanas838@gmail.com</t>
  </si>
  <si>
    <t xml:space="preserve"> Phenyl Thickener.</t>
  </si>
  <si>
    <t>SCHOOL ER JANNO NEBEN</t>
  </si>
  <si>
    <t>F2200010575</t>
  </si>
  <si>
    <t>Shubham Melana</t>
  </si>
  <si>
    <t>amrutchemical@gmail.com</t>
  </si>
  <si>
    <t>F2200010574</t>
  </si>
  <si>
    <t xml:space="preserve">Pears Soap Perfume </t>
  </si>
  <si>
    <t>F2200010573</t>
  </si>
  <si>
    <t>F2200010572</t>
  </si>
  <si>
    <t>F2200010571</t>
  </si>
  <si>
    <t>Mrs. Bajaj</t>
  </si>
  <si>
    <t>Ekspresiomm</t>
  </si>
  <si>
    <t>slesha.bajaj@gmail.com</t>
  </si>
  <si>
    <t>F2200010570</t>
  </si>
  <si>
    <t>Kamax Beauty Private Limited</t>
  </si>
  <si>
    <t>contactlafs@gmail.com</t>
  </si>
  <si>
    <t>F2200010569</t>
  </si>
  <si>
    <t>Soumen Sahu</t>
  </si>
  <si>
    <t>F2200010568</t>
  </si>
  <si>
    <t xml:space="preserve">Adity </t>
  </si>
  <si>
    <t>F2200010567</t>
  </si>
  <si>
    <t>Purama Seshu Balaji</t>
  </si>
  <si>
    <t>Divya Sai Balaji Industries</t>
  </si>
  <si>
    <t>dsbsi2014@gmail.com</t>
  </si>
  <si>
    <t>THICKENER R FRAGRENCE PRICE SEND</t>
  </si>
  <si>
    <t>F2200010566</t>
  </si>
  <si>
    <t>F2200010565</t>
  </si>
  <si>
    <t>Anoop Kumar</t>
  </si>
  <si>
    <t>anoop09872@gmail.com</t>
  </si>
  <si>
    <t>California Perfume</t>
  </si>
  <si>
    <t>F2200010564</t>
  </si>
  <si>
    <t>Shubham Kumar</t>
  </si>
  <si>
    <t>F2200010563</t>
  </si>
  <si>
    <t>Laxmikanta Naik</t>
  </si>
  <si>
    <t>Laxmi Agarabati</t>
  </si>
  <si>
    <t>laxmikantanaik73@gmail.com</t>
  </si>
  <si>
    <t>Pure Rose Agarbatti Fragrance</t>
  </si>
  <si>
    <t>F2200010562</t>
  </si>
  <si>
    <t>Shubham Soni</t>
  </si>
  <si>
    <t>shubhamsoni58749@gmail.com</t>
  </si>
  <si>
    <t>F2200010561</t>
  </si>
  <si>
    <t>VIMAL</t>
  </si>
  <si>
    <t>shopping</t>
  </si>
  <si>
    <t>vimalmechtktr@gmail.com</t>
  </si>
  <si>
    <t>Soap Fragrance Oil</t>
  </si>
  <si>
    <t>F2200010560</t>
  </si>
  <si>
    <t>Joshua</t>
  </si>
  <si>
    <t>Vox Vision Enterprises</t>
  </si>
  <si>
    <t>getme.joshua@gmail.com</t>
  </si>
  <si>
    <t>F2200010559</t>
  </si>
  <si>
    <t>AH Banerjee</t>
  </si>
  <si>
    <t>A.J.Construction</t>
  </si>
  <si>
    <t>ramakrishna333999@gmail.com</t>
  </si>
  <si>
    <t>20-02-2023</t>
  </si>
  <si>
    <t>F2200010558</t>
  </si>
  <si>
    <t>NUR ALAM</t>
  </si>
  <si>
    <t>HOM CHEMITECH INDIA PVT.LTD</t>
  </si>
  <si>
    <t>MALDHA</t>
  </si>
  <si>
    <t>2 KK KORE THICKENERE , LEMON LIME NIEYCHEN</t>
  </si>
  <si>
    <t>F2200010557</t>
  </si>
  <si>
    <t>PRICE LIST SEND AGARBATTI</t>
  </si>
  <si>
    <t>F2200010556</t>
  </si>
  <si>
    <t>Tanzil Sayyes</t>
  </si>
  <si>
    <t>Perfumed Wonder</t>
  </si>
  <si>
    <t>tanzilsayed786@gmail.com</t>
  </si>
  <si>
    <t>Rasasi Blue Fragrance Oil</t>
  </si>
  <si>
    <t>F2200010555</t>
  </si>
  <si>
    <t>Deependra Singh</t>
  </si>
  <si>
    <t>ds973316@gmail.com</t>
  </si>
  <si>
    <t>Passion Rose Agarbatti Fragrance</t>
  </si>
  <si>
    <t>F2200010554</t>
  </si>
  <si>
    <t>Nagmani</t>
  </si>
  <si>
    <t>habit dabit limited</t>
  </si>
  <si>
    <t>nagmaniroy2015@gmail.com</t>
  </si>
  <si>
    <t>F2200010553</t>
  </si>
  <si>
    <t>F2200010552</t>
  </si>
  <si>
    <t>Susant Das</t>
  </si>
  <si>
    <t>susantadas1604@gmail.com</t>
  </si>
  <si>
    <t>Lemon Fragrance Perfume</t>
  </si>
  <si>
    <t>F2200010551</t>
  </si>
  <si>
    <t>Santosh Debnath</t>
  </si>
  <si>
    <t>deb agarbatti</t>
  </si>
  <si>
    <t>santoshdebnath328@gmail.com</t>
  </si>
  <si>
    <t>F2200010550</t>
  </si>
  <si>
    <t>Suman Kumar</t>
  </si>
  <si>
    <t>us74384@gmail.com</t>
  </si>
  <si>
    <t>F2200010549</t>
  </si>
  <si>
    <t>Ijaj</t>
  </si>
  <si>
    <t>Bajaji Construction</t>
  </si>
  <si>
    <t>21ijajkhan@gmail.com</t>
  </si>
  <si>
    <t>Black Phenyl Concentrate</t>
  </si>
  <si>
    <t>BLACK PHENYL CONCENTRATE LAGBE</t>
  </si>
  <si>
    <t>F2200010548</t>
  </si>
  <si>
    <t>Arjun Das</t>
  </si>
  <si>
    <t>arjundasindian3@gmail.com</t>
  </si>
  <si>
    <t>JASMIN Perfume</t>
  </si>
  <si>
    <t>LEMON LIME SC 1 KG NIEYCHEN</t>
  </si>
  <si>
    <t>18-02-2023</t>
  </si>
  <si>
    <t>F2200010547</t>
  </si>
  <si>
    <t>Grace</t>
  </si>
  <si>
    <t>debarchanamohapatra1@gmail.com</t>
  </si>
  <si>
    <t>F2200010546</t>
  </si>
  <si>
    <t xml:space="preserve">
Love Kumar</t>
  </si>
  <si>
    <t>ldodiyar92@gmail.com</t>
  </si>
  <si>
    <t>F2200010545</t>
  </si>
  <si>
    <t>Rajesh Mandal</t>
  </si>
  <si>
    <t>pinkip098098@gmail.com</t>
  </si>
  <si>
    <t>Agarbatti Dep Oil Perfume</t>
  </si>
  <si>
    <t>F2200010544</t>
  </si>
  <si>
    <t>Sourab Mallick</t>
  </si>
  <si>
    <t>F2200010543</t>
  </si>
  <si>
    <t>oyester agarbati and pvt.ltd</t>
  </si>
  <si>
    <t>agarbatti perfume.</t>
  </si>
  <si>
    <t>F2200010542</t>
  </si>
  <si>
    <t>Slexo Natural</t>
  </si>
  <si>
    <t>Paint Thickner</t>
  </si>
  <si>
    <t>F2200010541</t>
  </si>
  <si>
    <t>Goutam Nayak</t>
  </si>
  <si>
    <t>goutamkumarnayak.9853360600@gmail.com</t>
  </si>
  <si>
    <t>White Phenyl. Dish Wash</t>
  </si>
  <si>
    <t>17-02-2023</t>
  </si>
  <si>
    <t>Pramanand</t>
  </si>
  <si>
    <t>AGARBATTI PERFUM PRICE LIST SEND</t>
  </si>
  <si>
    <t>F2200010540</t>
  </si>
  <si>
    <t>Sanjay R Shah</t>
  </si>
  <si>
    <t xml:space="preserve">
Dolly Enterprises</t>
  </si>
  <si>
    <t>shahajit056@gmail.com</t>
  </si>
  <si>
    <t>White Phenyl Compound</t>
  </si>
  <si>
    <t>1 kg lemon nieychen</t>
  </si>
  <si>
    <t>F2200010539</t>
  </si>
  <si>
    <t>Subhash Dixit</t>
  </si>
  <si>
    <t xml:space="preserve">
Sarthi Trader</t>
  </si>
  <si>
    <t>dixitdeepak441@gmail.com</t>
  </si>
  <si>
    <t>Citronella Tops</t>
  </si>
  <si>
    <t>RATE BESHI</t>
  </si>
  <si>
    <t>F2200010538</t>
  </si>
  <si>
    <t>Sambhu Nath Maity</t>
  </si>
  <si>
    <t>F2200010537</t>
  </si>
  <si>
    <t>F2200010536</t>
  </si>
  <si>
    <t>Hasit</t>
  </si>
  <si>
    <t>Bhav Nagar</t>
  </si>
  <si>
    <t>harrymak146@gmail.com</t>
  </si>
  <si>
    <t>, Gujarat</t>
  </si>
  <si>
    <t>F2200010535</t>
  </si>
  <si>
    <t>Ajay S Kamboya</t>
  </si>
  <si>
    <t>ajaykamboya@gmail.com</t>
  </si>
  <si>
    <t>F2200010534</t>
  </si>
  <si>
    <t>Sk Sharma</t>
  </si>
  <si>
    <t>Amg Enterprises</t>
  </si>
  <si>
    <t xml:space="preserve">New Delhi </t>
  </si>
  <si>
    <t>F2200010533</t>
  </si>
  <si>
    <t>Shameel Ahmed</t>
  </si>
  <si>
    <t>Sale from Home</t>
  </si>
  <si>
    <t>shameelsms7@gmail.com</t>
  </si>
  <si>
    <t>F2200010532</t>
  </si>
  <si>
    <t xml:space="preserve">
Madan Ruidas</t>
  </si>
  <si>
    <t xml:space="preserve">
Aradhana Agarbatti</t>
  </si>
  <si>
    <t>Agarbatti Fragrances</t>
  </si>
  <si>
    <t>OFFICE E ASBEN</t>
  </si>
  <si>
    <t>F2200010531</t>
  </si>
  <si>
    <t xml:space="preserve">
Asiya</t>
  </si>
  <si>
    <t>F2200010530</t>
  </si>
  <si>
    <t>Souvik Chongdar</t>
  </si>
  <si>
    <t>Souvik Agarbatti</t>
  </si>
  <si>
    <t>schongdar8597558099@gmail.com</t>
  </si>
  <si>
    <t>F2200010529</t>
  </si>
  <si>
    <t>Poornima</t>
  </si>
  <si>
    <t>poornima.jolly@gmail.com</t>
  </si>
  <si>
    <t>Natural Candle Fragrances</t>
  </si>
  <si>
    <t>F2200010528</t>
  </si>
  <si>
    <t>Arnov Paul</t>
  </si>
  <si>
    <t>Champdani,</t>
  </si>
  <si>
    <t>Perfume for Phenyl.</t>
  </si>
  <si>
    <t>F2200010527</t>
  </si>
  <si>
    <t>Mehulshah</t>
  </si>
  <si>
    <t>housework</t>
  </si>
  <si>
    <t>mehulshahmehul44@gmail.com</t>
  </si>
  <si>
    <t>PHENYL RAW MATERIAL PRICE SEND</t>
  </si>
  <si>
    <t>F2200010526</t>
  </si>
  <si>
    <t>Udaan Foundation</t>
  </si>
  <si>
    <t>iammrrajeshroy@gmail.co</t>
  </si>
  <si>
    <t>White Phenyl Thickener Powder</t>
  </si>
  <si>
    <t>PHENYL THICKNER PRICE LIST SEND</t>
  </si>
  <si>
    <t>F2200010525</t>
  </si>
  <si>
    <t>Rajesh Kumar Agarhari</t>
  </si>
  <si>
    <t>kagrahari24@gmail.com</t>
  </si>
  <si>
    <t>F2200010524</t>
  </si>
  <si>
    <t>Iren Abedin</t>
  </si>
  <si>
    <t>riatanishamahek@gmail.com</t>
  </si>
  <si>
    <t>Baby Breath Fragrance Oil</t>
  </si>
  <si>
    <t>F2200010523</t>
  </si>
  <si>
    <t>Samiram</t>
  </si>
  <si>
    <t xml:space="preserve"> Fragrance Oil</t>
  </si>
  <si>
    <t>16-02-2023</t>
  </si>
  <si>
    <t>F2200010522</t>
  </si>
  <si>
    <t>VISHWA RANJAN SINGH</t>
  </si>
  <si>
    <t>PATNA</t>
  </si>
  <si>
    <t>2 KG PHENYL THICKENER NIEYCHEN</t>
  </si>
  <si>
    <t>F2200010521</t>
  </si>
  <si>
    <t>Subhendu</t>
  </si>
  <si>
    <t>Arna Herbal</t>
  </si>
  <si>
    <t>subhenduchatterjee099@gmail.com</t>
  </si>
  <si>
    <t>Soap Making Fragrance Oil</t>
  </si>
  <si>
    <t>F2200010520</t>
  </si>
  <si>
    <t>Athira</t>
  </si>
  <si>
    <t>nancyreginajenny@gmail.com</t>
  </si>
  <si>
    <t>Blue Water Perfume</t>
  </si>
  <si>
    <t>F2200010519</t>
  </si>
  <si>
    <t>Babita Das</t>
  </si>
  <si>
    <t>somadas24@gmail.com</t>
  </si>
  <si>
    <t>Phenly Concentrate</t>
  </si>
  <si>
    <t>F2200010518</t>
  </si>
  <si>
    <t>Utpalkumarsaha</t>
  </si>
  <si>
    <t>M/s Maa Tara Food Indrustries</t>
  </si>
  <si>
    <t>sahautpalkumar42@gmail.com</t>
  </si>
  <si>
    <t>F2200010517</t>
  </si>
  <si>
    <t>lChandan Das</t>
  </si>
  <si>
    <t>F2200010516</t>
  </si>
  <si>
    <t>Richa Mehta</t>
  </si>
  <si>
    <t>Butterscotch Fragrance Oil</t>
  </si>
  <si>
    <t>F2200010515</t>
  </si>
  <si>
    <t>Silpa Suman</t>
  </si>
  <si>
    <t>F2200010514</t>
  </si>
  <si>
    <t>Md Raihan</t>
  </si>
  <si>
    <t>Rehen Detegent</t>
  </si>
  <si>
    <t>mdraihanakhtar88218@gmail.com</t>
  </si>
  <si>
    <t>15-02-2023</t>
  </si>
  <si>
    <t>F2200010513</t>
  </si>
  <si>
    <t>Sushanta Mandal</t>
  </si>
  <si>
    <t>Aryan Enterprise</t>
  </si>
  <si>
    <t>sushantam572@gmail.com</t>
  </si>
  <si>
    <t>Phenyl Compound Concentrate</t>
  </si>
  <si>
    <t>FRAGRANCE NIEYCHEN</t>
  </si>
  <si>
    <t>F2200010512</t>
  </si>
  <si>
    <t xml:space="preserve">
Dipun Sahu</t>
  </si>
  <si>
    <t>dipunsahu525@gmail.com</t>
  </si>
  <si>
    <t>F2200010511</t>
  </si>
  <si>
    <t>F2200010510</t>
  </si>
  <si>
    <t>Tanusri Bhattacharyya</t>
  </si>
  <si>
    <t>Shree Collection And Accessories</t>
  </si>
  <si>
    <t>tanusribhattacharyya746@gmail.com</t>
  </si>
  <si>
    <t>AMADER THEKE MATERIIALS NIEYCHEN</t>
  </si>
  <si>
    <t>F2200010509</t>
  </si>
  <si>
    <t xml:space="preserve">
Munna</t>
  </si>
  <si>
    <t>F2200010508</t>
  </si>
  <si>
    <t>R</t>
  </si>
  <si>
    <t>F2200010507</t>
  </si>
  <si>
    <t>Pritam Saha</t>
  </si>
  <si>
    <t>F2200010506</t>
  </si>
  <si>
    <t>Chakulia</t>
  </si>
  <si>
    <t>Lemon Grass (1kg)</t>
  </si>
  <si>
    <t>F2200010505</t>
  </si>
  <si>
    <t>Saumendra Kumar Mohanty</t>
  </si>
  <si>
    <t>Lavender Fragnance Oil'</t>
  </si>
  <si>
    <t>F2200010504</t>
  </si>
  <si>
    <t>Dal Chini Shop</t>
  </si>
  <si>
    <t>rahulkumargupta8140@gmail.com</t>
  </si>
  <si>
    <t>, Bihar</t>
  </si>
  <si>
    <t>SOAP FRAGRANCE  PRICE LIST SEND</t>
  </si>
  <si>
    <t>F2200010503</t>
  </si>
  <si>
    <t>Dilip Surana</t>
  </si>
  <si>
    <t>J.s chemical and traders</t>
  </si>
  <si>
    <t>dilipsurana108@gmail.com</t>
  </si>
  <si>
    <t xml:space="preserve"> Nepal</t>
  </si>
  <si>
    <t xml:space="preserve"> Phenyl Thickner</t>
  </si>
  <si>
    <t>CALL HOCHHE NA</t>
  </si>
  <si>
    <t>F2200010502</t>
  </si>
  <si>
    <t>N Kumar</t>
  </si>
  <si>
    <t>Kumar Health Care</t>
  </si>
  <si>
    <t>arogyaindia2015@gmail.com</t>
  </si>
  <si>
    <t xml:space="preserve">Arunachal Pradesh, </t>
  </si>
  <si>
    <t>F2200010501</t>
  </si>
  <si>
    <t>Sindhu</t>
  </si>
  <si>
    <t>Light Up</t>
  </si>
  <si>
    <t>sindhucacs@gmail.com</t>
  </si>
  <si>
    <t>Lavender Fragrance Oil</t>
  </si>
  <si>
    <t>F2200010500</t>
  </si>
  <si>
    <t>Shahrukh Ahmad</t>
  </si>
  <si>
    <t>S J Packaging</t>
  </si>
  <si>
    <t xml:space="preserve"> Asansol, </t>
  </si>
  <si>
    <t>ATTAR FRAGRANCE LAGBE</t>
  </si>
  <si>
    <t>F2200010499</t>
  </si>
  <si>
    <t>DiNeSh DiNo</t>
  </si>
  <si>
    <t>Dinesh kandulna</t>
  </si>
  <si>
    <t>dinesh.dino393@gmail.com</t>
  </si>
  <si>
    <t>South Andaman</t>
  </si>
  <si>
    <t>14-02-2023</t>
  </si>
  <si>
    <t>F2200010498</t>
  </si>
  <si>
    <t xml:space="preserve">
Kavitha S</t>
  </si>
  <si>
    <t>malnad</t>
  </si>
  <si>
    <t>kavithashashi2014@gmail.com</t>
  </si>
  <si>
    <t>F2200010497</t>
  </si>
  <si>
    <t xml:space="preserve">
Parminder</t>
  </si>
  <si>
    <t>Chandigarh,</t>
  </si>
  <si>
    <t>F2200010496</t>
  </si>
  <si>
    <t>Anju Chouhan</t>
  </si>
  <si>
    <t>F2200010495</t>
  </si>
  <si>
    <t xml:space="preserve">
Abhinav</t>
  </si>
  <si>
    <t>Satyajeet Kumar</t>
  </si>
  <si>
    <t>rjabhinav956@gmail.com</t>
  </si>
  <si>
    <t xml:space="preserve">a, Bihar, </t>
  </si>
  <si>
    <t>F2200010494</t>
  </si>
  <si>
    <t>s
Bharat</t>
  </si>
  <si>
    <t>Namo Enterprises</t>
  </si>
  <si>
    <t>raskarb420@gmail.com</t>
  </si>
  <si>
    <t>Liquid White Phenyl</t>
  </si>
  <si>
    <t>F2200010493</t>
  </si>
  <si>
    <t xml:space="preserve">
Rajesh</t>
  </si>
  <si>
    <t>rajesh.kumar.9354348134@gmail.com</t>
  </si>
  <si>
    <t>Camal Phenyl Concentrate</t>
  </si>
  <si>
    <t>F2200010492</t>
  </si>
  <si>
    <t>Shree Vinayak Sales And Service</t>
  </si>
  <si>
    <t>aum2379@gmail.com</t>
  </si>
  <si>
    <t>F2200010491</t>
  </si>
  <si>
    <t>Avidas</t>
  </si>
  <si>
    <t xml:space="preserve">
Maa Annapurna Agarbatti</t>
  </si>
  <si>
    <t>anudas9542@gmail.com</t>
  </si>
  <si>
    <t>Chanorllos Incense Sticks Fragrances</t>
  </si>
  <si>
    <t>F2200010490</t>
  </si>
  <si>
    <t>Bablu Borah</t>
  </si>
  <si>
    <t>Arnav Enterprises</t>
  </si>
  <si>
    <t>bborah0999@gmail.com</t>
  </si>
  <si>
    <t>PRICE LIST SEND ALL FRAGRANCE</t>
  </si>
  <si>
    <t>F2200010489</t>
  </si>
  <si>
    <t>Ibadat</t>
  </si>
  <si>
    <t>scream_kawaii</t>
  </si>
  <si>
    <t>workibadat@gmail.com</t>
  </si>
  <si>
    <t>CANDALE PERFUME PRICE LIST SEND</t>
  </si>
  <si>
    <t>F2200010488</t>
  </si>
  <si>
    <t>Mohammad Taslim</t>
  </si>
  <si>
    <t>mohammadtasleem201@gmail.com</t>
  </si>
  <si>
    <t>KHAG ATTAR CHAI</t>
  </si>
  <si>
    <t>F2200010487</t>
  </si>
  <si>
    <t>Gold Enterprise</t>
  </si>
  <si>
    <t>FRAGRANCE PERFUME</t>
  </si>
  <si>
    <t>F2200010486</t>
  </si>
  <si>
    <t>Sonu Mishra</t>
  </si>
  <si>
    <t>Grey Stat</t>
  </si>
  <si>
    <t>13-02-2023</t>
  </si>
  <si>
    <t>F2200010485</t>
  </si>
  <si>
    <t>RAJESH KUMAR</t>
  </si>
  <si>
    <t>2 KG THICKENER NIEYCHEN</t>
  </si>
  <si>
    <t>F2200010484</t>
  </si>
  <si>
    <t>Shel Ahmad</t>
  </si>
  <si>
    <t>Citronella Essential Oil.</t>
  </si>
  <si>
    <t>1 KG CITRONELLA NIEYCHEN</t>
  </si>
  <si>
    <t>F2200010483</t>
  </si>
  <si>
    <t>Maruti</t>
  </si>
  <si>
    <t>Ganga Sagar Enterprises</t>
  </si>
  <si>
    <t>F2200010482</t>
  </si>
  <si>
    <t>F2200010481</t>
  </si>
  <si>
    <t xml:space="preserve">
Lavanya</t>
  </si>
  <si>
    <t>lavnyalavnya811@gmail.com</t>
  </si>
  <si>
    <t>PHENYUEL FRAGRANCE PRICE SEND</t>
  </si>
  <si>
    <t>F2200010480</t>
  </si>
  <si>
    <t>Suresh Prajapati</t>
  </si>
  <si>
    <t>sureshprajapati882766@gmail.com</t>
  </si>
  <si>
    <t xml:space="preserve"> Chhattisgarh</t>
  </si>
  <si>
    <t>F2200010479</t>
  </si>
  <si>
    <t>Riddhi siddi enterprise</t>
  </si>
  <si>
    <t xml:space="preserve">shubham2.saxena@gmail.com
</t>
  </si>
  <si>
    <t>F2200010478</t>
  </si>
  <si>
    <t>SWETHAMALA</t>
  </si>
  <si>
    <t xml:space="preserve">swethamalap2002@gmail.com
</t>
  </si>
  <si>
    <t>F2200010477</t>
  </si>
  <si>
    <t>Nandhini</t>
  </si>
  <si>
    <t xml:space="preserve">nanthubscit@gmail.com
</t>
  </si>
  <si>
    <t>F2200010476</t>
  </si>
  <si>
    <t>Raj Kamal Sayal</t>
  </si>
  <si>
    <t>R K &amp; Co</t>
  </si>
  <si>
    <t>rj3766@rediffmail.com</t>
  </si>
  <si>
    <t xml:space="preserve"> Phenyl Concentrate,</t>
  </si>
  <si>
    <t xml:space="preserve">RATE JADA </t>
  </si>
  <si>
    <t>F2200010475</t>
  </si>
  <si>
    <t>S Chakrabarty</t>
  </si>
  <si>
    <t>schakrabarty10071974@gmail.com</t>
  </si>
  <si>
    <t>Asansol,</t>
  </si>
  <si>
    <t>Rosemary Essential oil</t>
  </si>
  <si>
    <t>ROSE ESSENTIAL OIL NEBEN</t>
  </si>
  <si>
    <t>F2200010474</t>
  </si>
  <si>
    <t>Biplab Dutta</t>
  </si>
  <si>
    <t>M B J Enterprise</t>
  </si>
  <si>
    <t>ombiplabdutta2016@gmail.com</t>
  </si>
  <si>
    <t>Water Soluble Citronella</t>
  </si>
  <si>
    <t>1 KG CITRONELL NIEYCHEN</t>
  </si>
  <si>
    <t>F2200010473</t>
  </si>
  <si>
    <t xml:space="preserve">Howrah </t>
  </si>
  <si>
    <t xml:space="preserve"> Perfumes.</t>
  </si>
  <si>
    <t>F2200010472</t>
  </si>
  <si>
    <t>GYANA RANJAN DAS</t>
  </si>
  <si>
    <t>Roshine Chemicals</t>
  </si>
  <si>
    <t>gyanaranjandas81@gmail.com</t>
  </si>
  <si>
    <t>Perfume Lavender</t>
  </si>
  <si>
    <t>F2200010471</t>
  </si>
  <si>
    <t>SAMARENDRA BISWAS</t>
  </si>
  <si>
    <t>S.B Enterprise</t>
  </si>
  <si>
    <t>samarbiswas332@gmail.com</t>
  </si>
  <si>
    <t>Belghoria, Kolkata</t>
  </si>
  <si>
    <t>F2200010470</t>
  </si>
  <si>
    <t>Nirala Enetrprises</t>
  </si>
  <si>
    <t>shawamit306@gmail.com</t>
  </si>
  <si>
    <t>F2200010469</t>
  </si>
  <si>
    <t>Abhishek Mukherjee</t>
  </si>
  <si>
    <t>Fena Jasmine Perfect Wash Detergent</t>
  </si>
  <si>
    <t>DETERGENT POWDER LAGBE</t>
  </si>
  <si>
    <t>F2200010468</t>
  </si>
  <si>
    <t>Rahman</t>
  </si>
  <si>
    <t>Nirmal Agarbatti</t>
  </si>
  <si>
    <t>Mogra Fragrance Oil</t>
  </si>
  <si>
    <t>F2200010467</t>
  </si>
  <si>
    <t>Abhijit Ghosh</t>
  </si>
  <si>
    <t>avijitghosh2019@gmail.com</t>
  </si>
  <si>
    <t>F2200010466</t>
  </si>
  <si>
    <t>Tapas Paul</t>
  </si>
  <si>
    <t>Koyel Enterprise</t>
  </si>
  <si>
    <t>tapaspaul1981@gmail.com</t>
  </si>
  <si>
    <t xml:space="preserve">Barasat </t>
  </si>
  <si>
    <t>fragrance agarbatti</t>
  </si>
  <si>
    <t>F2200010465</t>
  </si>
  <si>
    <t>Vinay Karan</t>
  </si>
  <si>
    <t>Houston &amp; Kenn</t>
  </si>
  <si>
    <t>kumarjsr4@gmail.com</t>
  </si>
  <si>
    <t>JAMSHEDPUR</t>
  </si>
  <si>
    <t>F2200010464</t>
  </si>
  <si>
    <t>Pynieidlang Syiem</t>
  </si>
  <si>
    <t>pynieidsyiem@gmail.com</t>
  </si>
  <si>
    <t xml:space="preserve">Meghalaya, </t>
  </si>
  <si>
    <t>EVEINING WEAR PERFUME</t>
  </si>
  <si>
    <t>F2200010463</t>
  </si>
  <si>
    <t>Ananda Ghosh</t>
  </si>
  <si>
    <t>anandaghosh1995@gmail.com</t>
  </si>
  <si>
    <t>F2200010462</t>
  </si>
  <si>
    <t>F2200010461</t>
  </si>
  <si>
    <t>Shubham Upadhyay</t>
  </si>
  <si>
    <t xml:space="preserve">
shubhamuupadhyay.55@gmail.com</t>
  </si>
  <si>
    <t>Balurghat -</t>
  </si>
  <si>
    <t>F2200010460</t>
  </si>
  <si>
    <t>Wasim Akram Molla</t>
  </si>
  <si>
    <t>Kainaaz Perfumes</t>
  </si>
  <si>
    <t>wa6159800@gmail.com</t>
  </si>
  <si>
    <t>F2200010459</t>
  </si>
  <si>
    <t>Sujan</t>
  </si>
  <si>
    <t>F2200010458</t>
  </si>
  <si>
    <t>dk8305044@gmail.com</t>
  </si>
  <si>
    <t>Midnapore,</t>
  </si>
  <si>
    <t>F2200010457</t>
  </si>
  <si>
    <t>Subhankar Podder</t>
  </si>
  <si>
    <t>Poddar Enterprises</t>
  </si>
  <si>
    <t>poddersubhankar93@gmail.com</t>
  </si>
  <si>
    <t>Black Cherry Perfum</t>
  </si>
  <si>
    <t>F2200010456</t>
  </si>
  <si>
    <t>Dwijen Das</t>
  </si>
  <si>
    <t>Hosiery Centre</t>
  </si>
  <si>
    <t>dasdwijen006@gmail.com</t>
  </si>
  <si>
    <t>F2200010455</t>
  </si>
  <si>
    <t>SUHAS YUVARAJ CHAUDHARI</t>
  </si>
  <si>
    <t>NEEM OIL EMULSIFIER</t>
  </si>
  <si>
    <t>2 LITR NEEM OIL EMULSIFIER NIEYCHEN</t>
  </si>
  <si>
    <t>F2200010454</t>
  </si>
  <si>
    <t>attrinitesh3@gmail.com</t>
  </si>
  <si>
    <t>F2200010453</t>
  </si>
  <si>
    <t>Amar Jeet</t>
  </si>
  <si>
    <t>5 Liter Concentrated White Phenyl</t>
  </si>
  <si>
    <t>DAM BESHI</t>
  </si>
  <si>
    <t>F2200010452</t>
  </si>
  <si>
    <t>Laxmidhar Sahoo</t>
  </si>
  <si>
    <t>Mukta Agarbatti</t>
  </si>
  <si>
    <t>Incense Sticks Fragrances for Commercial</t>
  </si>
  <si>
    <t>F2200010451</t>
  </si>
  <si>
    <t>Anish Kumar</t>
  </si>
  <si>
    <t>crystal</t>
  </si>
  <si>
    <t>anishkumaram2016@gmail.com</t>
  </si>
  <si>
    <t>Pathanamthitta</t>
  </si>
  <si>
    <t>DETERGENT PRICE  LIST SEND</t>
  </si>
  <si>
    <t>F2200010450</t>
  </si>
  <si>
    <t>R P Singh Singh</t>
  </si>
  <si>
    <t>raghvendrapals@yahoo.com</t>
  </si>
  <si>
    <t>Red Rose Incence Stike Fragrance Oil</t>
  </si>
  <si>
    <t>F2200010449</t>
  </si>
  <si>
    <t>Alok Industries</t>
  </si>
  <si>
    <t>bhaveshjadv@gmail.com</t>
  </si>
  <si>
    <t>F2200010448</t>
  </si>
  <si>
    <t>Dipu Halder</t>
  </si>
  <si>
    <t>Saraswati Enterprise</t>
  </si>
  <si>
    <t>dipuh665@gmail.com</t>
  </si>
  <si>
    <t xml:space="preserve">Krishnanagar </t>
  </si>
  <si>
    <t>Mango Liquid Fragrance</t>
  </si>
  <si>
    <t>F2200010447</t>
  </si>
  <si>
    <t>Gurukrupa Agarbatti Bhandar</t>
  </si>
  <si>
    <t>shewaleyogesh274@gmail.com</t>
  </si>
  <si>
    <t>F2200010446</t>
  </si>
  <si>
    <t>AR Yumale Convent</t>
  </si>
  <si>
    <t>bhushanumale@gmail.com</t>
  </si>
  <si>
    <t>BALACK PHENYL CONCENTRATE CHAI</t>
  </si>
  <si>
    <t>F2200010445</t>
  </si>
  <si>
    <t>Blackberry Platinum Perfume</t>
  </si>
  <si>
    <t>F2200010444</t>
  </si>
  <si>
    <t>Kamran</t>
  </si>
  <si>
    <t>F2200010443</t>
  </si>
  <si>
    <t xml:space="preserve">Manish Singh </t>
  </si>
  <si>
    <t>manishsinghgandhi85@gmail.com</t>
  </si>
  <si>
    <t>CAR PERFUME LAGBE</t>
  </si>
  <si>
    <t>F2200010442</t>
  </si>
  <si>
    <t xml:space="preserve">
Shraddha</t>
  </si>
  <si>
    <t>cshraddhas@gmail.com</t>
  </si>
  <si>
    <t>F2200010441</t>
  </si>
  <si>
    <t xml:space="preserve">
Manoj</t>
  </si>
  <si>
    <t>manoj2006kaushik@yahoo.co.in</t>
  </si>
  <si>
    <t>F2200010440</t>
  </si>
  <si>
    <t>Brijesh Kumar</t>
  </si>
  <si>
    <t>Zoetic Polymers</t>
  </si>
  <si>
    <t xml:space="preserve">
zoeticpolymers@gmail.com</t>
  </si>
  <si>
    <t>F2200010439</t>
  </si>
  <si>
    <t>Yadesh</t>
  </si>
  <si>
    <t>Cream Fragrance Oil</t>
  </si>
  <si>
    <t>F2200010438</t>
  </si>
  <si>
    <t>Rajveer Singh</t>
  </si>
  <si>
    <t>Rashika</t>
  </si>
  <si>
    <t>rvcompany0109@gmail.com</t>
  </si>
  <si>
    <t>, Delhi</t>
  </si>
  <si>
    <t>Vedanum Organic Multipurpose Pure Essential Oils</t>
  </si>
  <si>
    <t>FRAGRANCE PERFUME PRICE SEND</t>
  </si>
  <si>
    <t>F2200010437</t>
  </si>
  <si>
    <t xml:space="preserve">
Prajwal</t>
  </si>
  <si>
    <t>prajwalnavghane0@gmail.com</t>
  </si>
  <si>
    <t>Lemongrass Oil</t>
  </si>
  <si>
    <t>F2200010436</t>
  </si>
  <si>
    <t>Shakti S Rout</t>
  </si>
  <si>
    <t>shaktisomadutt@gmail.com</t>
  </si>
  <si>
    <t>F2200010435</t>
  </si>
  <si>
    <t>MD Jani Basha</t>
  </si>
  <si>
    <t>Am Organic Homecare &amp; Beauty Product</t>
  </si>
  <si>
    <t>jamaluddeenmd@gmail.com</t>
  </si>
  <si>
    <t>LAVENDER77, NEEM BEST, ROSSE 77 1KG,1KG,500GRAM</t>
  </si>
  <si>
    <t>F2200010434</t>
  </si>
  <si>
    <t>F2200010433</t>
  </si>
  <si>
    <t>Rizvi</t>
  </si>
  <si>
    <t xml:space="preserve">RAJNIGANDHA </t>
  </si>
  <si>
    <t>F2200010432</t>
  </si>
  <si>
    <t>Bhanupriya Sahu</t>
  </si>
  <si>
    <t>bpriyasahu5@gmail.com</t>
  </si>
  <si>
    <t xml:space="preserve">Lavender Essential Oil </t>
  </si>
  <si>
    <t>F2200010431</t>
  </si>
  <si>
    <t>Meenakshi Jain</t>
  </si>
  <si>
    <t xml:space="preserve">meenumangjain@gmail.com
</t>
  </si>
  <si>
    <t>F2200010430</t>
  </si>
  <si>
    <t>Deepak Sahu Dipu</t>
  </si>
  <si>
    <t>dipudeepaksahu99@gmail.com</t>
  </si>
  <si>
    <t>F2200010429</t>
  </si>
  <si>
    <t>NANJUNDASWAMYK</t>
  </si>
  <si>
    <t>nanjundaswamyk9@gmail.com</t>
  </si>
  <si>
    <t xml:space="preserve">Phenyl Compoun </t>
  </si>
  <si>
    <t>F2200010428</t>
  </si>
  <si>
    <t>V Suresh Kumar</t>
  </si>
  <si>
    <t>Vaishnavi Jewellers</t>
  </si>
  <si>
    <t>sureshvysh@gmail.com</t>
  </si>
  <si>
    <t>BLACK PHENYL CONCENTRATE CHAI</t>
  </si>
  <si>
    <t>F2200010427</t>
  </si>
  <si>
    <t>Prashant</t>
  </si>
  <si>
    <t>sunhareprashant123@gmail.com</t>
  </si>
  <si>
    <t>F2200010426</t>
  </si>
  <si>
    <t xml:space="preserve">
Amir</t>
  </si>
  <si>
    <t>Black Phenyl Thickener Powder</t>
  </si>
  <si>
    <t>BANARASH THEKE NEBEN</t>
  </si>
  <si>
    <t>F2200010425</t>
  </si>
  <si>
    <t>Zaheer Khan</t>
  </si>
  <si>
    <t>green wash</t>
  </si>
  <si>
    <t>zaheerhasan.k@gmail.com</t>
  </si>
  <si>
    <t>ARIEL Type Detergent Perfume</t>
  </si>
  <si>
    <t>DETERGENT PRICELIST SEND</t>
  </si>
  <si>
    <t>F2200010424</t>
  </si>
  <si>
    <t>Kamal Arora</t>
  </si>
  <si>
    <t>Balkam India</t>
  </si>
  <si>
    <t>electrickamal@gmail.com</t>
  </si>
  <si>
    <t>F2200010423</t>
  </si>
  <si>
    <t xml:space="preserve">
Bishnu Prasad</t>
  </si>
  <si>
    <t>mishra enterprises</t>
  </si>
  <si>
    <t>bishnuprasad8658@gmail.com</t>
  </si>
  <si>
    <t>F2200010422</t>
  </si>
  <si>
    <t>Samyutha Ravindran</t>
  </si>
  <si>
    <t>r.samyutha@gmail.com</t>
  </si>
  <si>
    <t>F2200010421</t>
  </si>
  <si>
    <t>Shambhu</t>
  </si>
  <si>
    <t>Shubham Ujala LED</t>
  </si>
  <si>
    <t>Nalanda</t>
  </si>
  <si>
    <t xml:space="preserve"> White Phenyl Concentrate</t>
  </si>
  <si>
    <t>PARASTOO SULTANI</t>
  </si>
  <si>
    <t>MAHARASTRA</t>
  </si>
  <si>
    <t>F2200010420</t>
  </si>
  <si>
    <t>Pradeep Rawat</t>
  </si>
  <si>
    <t>Bharat Sales Corporation</t>
  </si>
  <si>
    <t>F2200010419</t>
  </si>
  <si>
    <t>Lakhan Soni</t>
  </si>
  <si>
    <t>luckysoni34@gmail.com</t>
  </si>
  <si>
    <t>Night Jasmine Fragrance Oil</t>
  </si>
  <si>
    <t>COSMATICS FRAGRANCE PRICE LIST SEND</t>
  </si>
  <si>
    <t>F2200010418</t>
  </si>
  <si>
    <t>Vinayak Takkekar</t>
  </si>
  <si>
    <t>Tata Tv Service</t>
  </si>
  <si>
    <t>vinayaktakkekar92@gmail.com</t>
  </si>
  <si>
    <t>F2200010417</t>
  </si>
  <si>
    <t xml:space="preserve">
jituscareer2016@gmail.com</t>
  </si>
  <si>
    <t>Green Phenyl Concentrate</t>
  </si>
  <si>
    <t>PHENYL RAW MATERIALS PRICE LIST SEND</t>
  </si>
  <si>
    <t>F2200010416</t>
  </si>
  <si>
    <t>mdisteyakmintu3@gmail.com</t>
  </si>
  <si>
    <t>F2200010415</t>
  </si>
  <si>
    <t>F2200010414</t>
  </si>
  <si>
    <t>Bhavik Mahendru</t>
  </si>
  <si>
    <t xml:space="preserve">
bhaviksales@gmail.com</t>
  </si>
  <si>
    <t>Chocolate Perfume</t>
  </si>
  <si>
    <t>F2200010413</t>
  </si>
  <si>
    <t>Nilesh Chalak</t>
  </si>
  <si>
    <t>nileshchalak7@gmail.com</t>
  </si>
  <si>
    <t>F2200010412</t>
  </si>
  <si>
    <t>Neha Parmar</t>
  </si>
  <si>
    <t>please find suppliers first</t>
  </si>
  <si>
    <t>nparmar488@gmail.com</t>
  </si>
  <si>
    <t xml:space="preserve">Uttarakhand, </t>
  </si>
  <si>
    <t>F2200010411</t>
  </si>
  <si>
    <t>Tarik</t>
  </si>
  <si>
    <t>Modern Dry Cleaning</t>
  </si>
  <si>
    <t>tarikmallik4@gmail.com</t>
  </si>
  <si>
    <t>DETERGENT Fragnance</t>
  </si>
  <si>
    <t xml:space="preserve">DETERGENT FRAGRENCE PRICE LIST SEND </t>
  </si>
  <si>
    <t>F2200010410</t>
  </si>
  <si>
    <t>K.Neelima</t>
  </si>
  <si>
    <t xml:space="preserve">Lemon and Honey Fragrance </t>
  </si>
  <si>
    <t>500 ML KORE SANDAL, TEA TREE,LAVENDER, STRAWBERRY NIEYCHEN</t>
  </si>
  <si>
    <t>F2200010409</t>
  </si>
  <si>
    <t>Bhaskar K G</t>
  </si>
  <si>
    <t>bhaskarkg5754@gmail.com</t>
  </si>
  <si>
    <t>Phenyl</t>
  </si>
  <si>
    <t>TISHU PEPAR LAGBE</t>
  </si>
  <si>
    <t>F2200010408</t>
  </si>
  <si>
    <t>Raju Nayek</t>
  </si>
  <si>
    <t>Maa Agarbatti</t>
  </si>
  <si>
    <t>rajunayek70@gmail.com</t>
  </si>
  <si>
    <t>, Howrah</t>
  </si>
  <si>
    <t>Agarbatti Fragrance Perfume.</t>
  </si>
  <si>
    <t>F2200010407</t>
  </si>
  <si>
    <t>SP Bhagalpur Bhagalpur</t>
  </si>
  <si>
    <t xml:space="preserve">Lavender Agarbatti </t>
  </si>
  <si>
    <t>F2200010406</t>
  </si>
  <si>
    <t>Suddhadeb Roy</t>
  </si>
  <si>
    <t>F2200010405</t>
  </si>
  <si>
    <t>Rishbh</t>
  </si>
  <si>
    <t>F2200010404</t>
  </si>
  <si>
    <t>SANJEEVI.L</t>
  </si>
  <si>
    <t>Unimart Exports</t>
  </si>
  <si>
    <t>unimartexports@yahoo.com</t>
  </si>
  <si>
    <t xml:space="preserve">Strawberry Cream Fragrance </t>
  </si>
  <si>
    <t>1 KG STRAWBERRY SHORT RAW NIEYCHE</t>
  </si>
  <si>
    <t>F2200010403</t>
  </si>
  <si>
    <t>Shifar</t>
  </si>
  <si>
    <t>B.t. Enterprises</t>
  </si>
  <si>
    <t>sifaruddin715@gmail.com</t>
  </si>
  <si>
    <t>F2200010402</t>
  </si>
  <si>
    <t>Suva</t>
  </si>
  <si>
    <t>F2200010401</t>
  </si>
  <si>
    <t>Santhosh</t>
  </si>
  <si>
    <t>Kcs Enterprices</t>
  </si>
  <si>
    <t>Transparent Lemon Fragrance Perfume</t>
  </si>
  <si>
    <t>F2200010400</t>
  </si>
  <si>
    <t xml:space="preserve">
Keshav Chandra Ghosh</t>
  </si>
  <si>
    <t>SKS Enterprise</t>
  </si>
  <si>
    <t>silpiadvertising@gmail.com</t>
  </si>
  <si>
    <t xml:space="preserve">Hooghly, </t>
  </si>
  <si>
    <t>F2200010399</t>
  </si>
  <si>
    <t xml:space="preserve">
Bardhaman</t>
  </si>
  <si>
    <t>F2200010398</t>
  </si>
  <si>
    <t>Subhjasis Paul</t>
  </si>
  <si>
    <t xml:space="preserve">
T.M.I. Enterprise</t>
  </si>
  <si>
    <t>subhasispaul10@gmail.com</t>
  </si>
  <si>
    <t>White Phenyl Thickner</t>
  </si>
  <si>
    <t>F2200010397</t>
  </si>
  <si>
    <t>Yamuna</t>
  </si>
  <si>
    <t>Jb Gargance</t>
  </si>
  <si>
    <t>yamu.sweetpie@gmail.com</t>
  </si>
  <si>
    <t>F2200010396</t>
  </si>
  <si>
    <t>Bhavna</t>
  </si>
  <si>
    <t>Royal Ambrosial</t>
  </si>
  <si>
    <t>F2200010395</t>
  </si>
  <si>
    <t xml:space="preserve">
Pratik Malap</t>
  </si>
  <si>
    <t>Karma solutions</t>
  </si>
  <si>
    <t>malappratik89@gmail.com</t>
  </si>
  <si>
    <t>Industrial Fragrance Oil Base Scent</t>
  </si>
  <si>
    <t>F2200010394</t>
  </si>
  <si>
    <t>Dattatray Bhoyar</t>
  </si>
  <si>
    <t>Kadambari Line Work</t>
  </si>
  <si>
    <t>dattatray.bhoyar09@gmail.com</t>
  </si>
  <si>
    <t>Talcum Powder Fragrances</t>
  </si>
  <si>
    <t>F2200010393</t>
  </si>
  <si>
    <t>Aditya Newar</t>
  </si>
  <si>
    <t>Newar Chemicals</t>
  </si>
  <si>
    <t>newarchemicals@gmail.com</t>
  </si>
  <si>
    <t>PHENYL FRAGRANCE PREICE LIST SEND</t>
  </si>
  <si>
    <t>F2200010392</t>
  </si>
  <si>
    <t>Sushmita</t>
  </si>
  <si>
    <t xml:space="preserve"> Agarbatti and Fragrance</t>
  </si>
  <si>
    <t>F2200010391</t>
  </si>
  <si>
    <t>Tannistha Majumder</t>
  </si>
  <si>
    <t>itannistha@gmail.com</t>
  </si>
  <si>
    <t>Cosmetic Grade Fragrance</t>
  </si>
  <si>
    <t>PRICE LIST SEND , COSMATICES</t>
  </si>
  <si>
    <t>F2200010390</t>
  </si>
  <si>
    <t>Tanisha Kothari</t>
  </si>
  <si>
    <t>tanishakothari505@gmail.com</t>
  </si>
  <si>
    <t>Organic Fragrance Oil</t>
  </si>
  <si>
    <t>CANDLE FRAGRANCE PRICE LIST SEND</t>
  </si>
  <si>
    <t>F2200010389</t>
  </si>
  <si>
    <t>Sandhya</t>
  </si>
  <si>
    <t>sandhya</t>
  </si>
  <si>
    <t xml:space="preserve">
sandhya.vandana06@gmail.com</t>
  </si>
  <si>
    <t xml:space="preserve">Lemon Oil </t>
  </si>
  <si>
    <t>F2200010388</t>
  </si>
  <si>
    <t>Subya</t>
  </si>
  <si>
    <t>F2200010387</t>
  </si>
  <si>
    <t>Arindom Mohanto</t>
  </si>
  <si>
    <t>F2200010386</t>
  </si>
  <si>
    <t xml:space="preserve">Somanath </t>
  </si>
  <si>
    <t>Balasaheb Devakate</t>
  </si>
  <si>
    <t>devakatesomanath96@gmail.com</t>
  </si>
  <si>
    <t xml:space="preserve">French Perfume Oil/ Fine Perfume </t>
  </si>
  <si>
    <t>F2200010385</t>
  </si>
  <si>
    <t>F2200010384</t>
  </si>
  <si>
    <t>Ashok Kumar Das</t>
  </si>
  <si>
    <t>Sky Blue Fragrance Perfume</t>
  </si>
  <si>
    <t>PHENYL FRAGRENCE PRICE LIST SEND</t>
  </si>
  <si>
    <t>F2200010383</t>
  </si>
  <si>
    <t>Tana Ji Patil</t>
  </si>
  <si>
    <t>AGARBATTI FRAGRANCE PRICE LIST SEND</t>
  </si>
  <si>
    <t>F2200010382</t>
  </si>
  <si>
    <t>F2200010381</t>
  </si>
  <si>
    <t>Sriparna</t>
  </si>
  <si>
    <t>Chandras Chemical Enterprises Pvt Ltd</t>
  </si>
  <si>
    <t>sriparna.mazumder1995@gmail.com</t>
  </si>
  <si>
    <t>FLOOR CLENEAR FRAGRANCE PRICE LIST SEND</t>
  </si>
  <si>
    <t>F2200010380</t>
  </si>
  <si>
    <t>Anisha</t>
  </si>
  <si>
    <t>swizelfernandes24@gmail.com</t>
  </si>
  <si>
    <t>South Goa</t>
  </si>
  <si>
    <t>F2200010379</t>
  </si>
  <si>
    <t>RAMKAILASHMAJHI</t>
  </si>
  <si>
    <t>ramakailasamajhiramakailasamaj@gmail.com</t>
  </si>
  <si>
    <t xml:space="preserve">Perfume Lemon </t>
  </si>
  <si>
    <t>F2200010378</t>
  </si>
  <si>
    <t>Abdullah Siddiquu</t>
  </si>
  <si>
    <t>Vishkarma Trader</t>
  </si>
  <si>
    <t>F2200010377</t>
  </si>
  <si>
    <t>Shri Hari Traders</t>
  </si>
  <si>
    <t>F2200010376</t>
  </si>
  <si>
    <t>Skinprotector</t>
  </si>
  <si>
    <t>Bhadorya Enterprises</t>
  </si>
  <si>
    <t>raghavsingh7777777@gmail.com</t>
  </si>
  <si>
    <t>F2200010375</t>
  </si>
  <si>
    <t>Jagannath Traders</t>
  </si>
  <si>
    <t>samgadge88@gmail.com</t>
  </si>
  <si>
    <t>F2200010374</t>
  </si>
  <si>
    <t>R D Chakravarty</t>
  </si>
  <si>
    <t>National co.&amp; sons</t>
  </si>
  <si>
    <t>akramji186@gmail.com</t>
  </si>
  <si>
    <t>F2200010373</t>
  </si>
  <si>
    <t>Vishvnath</t>
  </si>
  <si>
    <t>vishvnatht@gmail.com</t>
  </si>
  <si>
    <t>Liquid Sarusil Fragrances</t>
  </si>
  <si>
    <t>F2200010372</t>
  </si>
  <si>
    <t>Ujjawal Prasad</t>
  </si>
  <si>
    <t>Blue Water Apparel Perfumes</t>
  </si>
  <si>
    <t>F2200010371</t>
  </si>
  <si>
    <t>Saurabh Jaiswal</t>
  </si>
  <si>
    <t>Vishnu Traders</t>
  </si>
  <si>
    <t xml:space="preserve">
saurabhjaiswal5634@gmail.com</t>
  </si>
  <si>
    <t>DUPLICUTE MAL LAGBE</t>
  </si>
  <si>
    <t>F2200010370</t>
  </si>
  <si>
    <t>sandeepkumaraz81@gmail.com</t>
  </si>
  <si>
    <t xml:space="preserve">Jharkhand, </t>
  </si>
  <si>
    <t xml:space="preserve">White Phenyl Concentrate </t>
  </si>
  <si>
    <t>F2200010369</t>
  </si>
  <si>
    <t>sales@ransonmultitech.com</t>
  </si>
  <si>
    <t>F2200010368</t>
  </si>
  <si>
    <t>Kaziajim</t>
  </si>
  <si>
    <t>Yaas Enterprises</t>
  </si>
  <si>
    <t>kaziajim.786@gmail.com</t>
  </si>
  <si>
    <t>F2200010367</t>
  </si>
  <si>
    <t>Gurudev Kumar</t>
  </si>
  <si>
    <t>Mahadev phenail</t>
  </si>
  <si>
    <t>kumargurudev24@gmail.com</t>
  </si>
  <si>
    <t>F2200010362</t>
  </si>
  <si>
    <t>Nikita Khandelwal</t>
  </si>
  <si>
    <t>nikurabbit@gmail.com</t>
  </si>
  <si>
    <t xml:space="preserve">Dhanbad
</t>
  </si>
  <si>
    <t>Tea Tree Natural Essential Oil</t>
  </si>
  <si>
    <t>ROSE FRAGRANCE NIEYCHEN 1 KG</t>
  </si>
  <si>
    <t>31-01-2023</t>
  </si>
  <si>
    <t xml:space="preserve">
Ali</t>
  </si>
  <si>
    <t>F2200010361</t>
  </si>
  <si>
    <t>F2200010360</t>
  </si>
  <si>
    <t>Raj Singh</t>
  </si>
  <si>
    <t>Sri Ram Traders</t>
  </si>
  <si>
    <t>F2200010359</t>
  </si>
  <si>
    <t>Ashrafali</t>
  </si>
  <si>
    <t xml:space="preserve">, Kerala, </t>
  </si>
  <si>
    <t>Fragrance Oil for Face Cream</t>
  </si>
  <si>
    <t>F2200010358</t>
  </si>
  <si>
    <t>Syed</t>
  </si>
  <si>
    <t xml:space="preserve">
syedh0448@gmail.com</t>
  </si>
  <si>
    <t>F2200010357</t>
  </si>
  <si>
    <t>Lemongrass Essential Oil.</t>
  </si>
  <si>
    <t>F2200010356</t>
  </si>
  <si>
    <t>J.D. Trading Co</t>
  </si>
  <si>
    <t xml:space="preserve"> Lavender Essential Oil
</t>
  </si>
  <si>
    <t>30-01-2023</t>
  </si>
  <si>
    <t>F2200010355</t>
  </si>
  <si>
    <t>Brajesh</t>
  </si>
  <si>
    <t>Vasutech Future</t>
  </si>
  <si>
    <t>efvytechnologies@gmail.com</t>
  </si>
  <si>
    <t>F2200010354</t>
  </si>
  <si>
    <t>Sanjay Sable</t>
  </si>
  <si>
    <t>Shri Gajanan Agarbatti Center</t>
  </si>
  <si>
    <t>Sandal Agarbatti Perfume</t>
  </si>
  <si>
    <t>F2200010353</t>
  </si>
  <si>
    <t>Diksha</t>
  </si>
  <si>
    <t>1 KG KORE SANDAL 212, EIGHT O CLOCK811, VANILLA 2010</t>
  </si>
  <si>
    <t>F2200010352</t>
  </si>
  <si>
    <t>Chotu</t>
  </si>
  <si>
    <t>abhishekjha225@gmail.com</t>
  </si>
  <si>
    <t>F2200010351</t>
  </si>
  <si>
    <t>F2200010350</t>
  </si>
  <si>
    <t>Mukesh Lohar</t>
  </si>
  <si>
    <t>mukeshlohar253@gmail.com</t>
  </si>
  <si>
    <t>White Concentrate Phenyl</t>
  </si>
  <si>
    <t>F2200010349</t>
  </si>
  <si>
    <t>AJAY SHARMA</t>
  </si>
  <si>
    <t>Krishna Enterprises</t>
  </si>
  <si>
    <t>ajayksha0@gmail.com</t>
  </si>
  <si>
    <t>F2200010348</t>
  </si>
  <si>
    <t xml:space="preserve">
omguddu.jha987@gmail.com</t>
  </si>
  <si>
    <t>price list send</t>
  </si>
  <si>
    <t>F2200010347</t>
  </si>
  <si>
    <t xml:space="preserve">
Swati</t>
  </si>
  <si>
    <t>Ganraj Agarbatti</t>
  </si>
  <si>
    <t>ncense Sticks Fragrances</t>
  </si>
  <si>
    <t>F2200010346</t>
  </si>
  <si>
    <t>Dr. Yaqoob Nadwi</t>
  </si>
  <si>
    <t>Ilajulashab Alhind</t>
  </si>
  <si>
    <t>yaqoobmdunani@gmail.com</t>
  </si>
  <si>
    <t>F2200010345</t>
  </si>
  <si>
    <t>Ananya Das</t>
  </si>
  <si>
    <t>ananyadas664@gmail.com</t>
  </si>
  <si>
    <t xml:space="preserve">Kolkata </t>
  </si>
  <si>
    <t>Lemon Essential Oil</t>
  </si>
  <si>
    <t>COSMATICES PERFUME PRICE SEND</t>
  </si>
  <si>
    <t>F2200010344</t>
  </si>
  <si>
    <t>Rohit Photography</t>
  </si>
  <si>
    <t>rohit.silswal94@gmail.com</t>
  </si>
  <si>
    <t>28-01-2023</t>
  </si>
  <si>
    <t>F2200010343</t>
  </si>
  <si>
    <t>Abhishek Pradhan</t>
  </si>
  <si>
    <t>pradhanabhishek93@gmail.com</t>
  </si>
  <si>
    <t>Water Soluble Perfume</t>
  </si>
  <si>
    <t>F2200010342</t>
  </si>
  <si>
    <t>Krushna Chandra Nayak</t>
  </si>
  <si>
    <t>Organic Aroma Gramudyog pvt.ltd</t>
  </si>
  <si>
    <t>iobkrishna3050@gmail.com</t>
  </si>
  <si>
    <t>, Odisha</t>
  </si>
  <si>
    <t>F2200010341</t>
  </si>
  <si>
    <t xml:space="preserve">Prakash Chiman </t>
  </si>
  <si>
    <t>PHENYL FRAGRENCE PRICE SEND</t>
  </si>
  <si>
    <t>F2200010340</t>
  </si>
  <si>
    <t>Shiv Shankar</t>
  </si>
  <si>
    <t>KMG</t>
  </si>
  <si>
    <t>kmg.kalyani14@gmail.com</t>
  </si>
  <si>
    <t>Kalyani,</t>
  </si>
  <si>
    <t>Green Phenyl</t>
  </si>
  <si>
    <t>1 KG KORE LEMONGRASS, LEMON LIME NIEYCHEN</t>
  </si>
  <si>
    <t>F2200010339</t>
  </si>
  <si>
    <t>PRINCE SINGH</t>
  </si>
  <si>
    <t>Swasti Agarbatti</t>
  </si>
  <si>
    <t>prince.singh149@gmail.com</t>
  </si>
  <si>
    <t>F2200010338</t>
  </si>
  <si>
    <t>Buyer</t>
  </si>
  <si>
    <t>India</t>
  </si>
  <si>
    <t>Perfume Rose</t>
  </si>
  <si>
    <t>F2200010337</t>
  </si>
  <si>
    <t>Dipak Kumar</t>
  </si>
  <si>
    <t>ddas88877@gmail.com</t>
  </si>
  <si>
    <t>Himalayan Drop</t>
  </si>
  <si>
    <t>BODY PERFUME CHEMICALS LAGBE</t>
  </si>
  <si>
    <t>F2200010336</t>
  </si>
  <si>
    <t>Raveendra N</t>
  </si>
  <si>
    <t>raveedran44@gmail.com</t>
  </si>
  <si>
    <t>Concentrated</t>
  </si>
  <si>
    <t>F2200010335</t>
  </si>
  <si>
    <t>Taha</t>
  </si>
  <si>
    <t>Taha Ferozie</t>
  </si>
  <si>
    <t>tahaferozie70@gmail.com</t>
  </si>
  <si>
    <t>27-01-2023</t>
  </si>
  <si>
    <t>F2200010334</t>
  </si>
  <si>
    <t>Sivananda Rout</t>
  </si>
  <si>
    <t>Joshna Aasociate Wholesale</t>
  </si>
  <si>
    <t>sivananda.7377@gmail.com</t>
  </si>
  <si>
    <t>PHENYL RAW MATARIAL PRICE SEND</t>
  </si>
  <si>
    <t>F2200010333</t>
  </si>
  <si>
    <t>Karthik</t>
  </si>
  <si>
    <t>Titan</t>
  </si>
  <si>
    <t>karthikeyan.titan@gmail.com</t>
  </si>
  <si>
    <t>Lemongrass and Vanilla Fragrance</t>
  </si>
  <si>
    <t>F2200010332</t>
  </si>
  <si>
    <t>Jatin Yadav</t>
  </si>
  <si>
    <t>BODY PERFRUM</t>
  </si>
  <si>
    <t>F2200010331</t>
  </si>
  <si>
    <t>The
monu enterprises</t>
  </si>
  <si>
    <t>manmohan.ueiglobal@gmail.com</t>
  </si>
  <si>
    <t xml:space="preserve">Agarbatti Perfume </t>
  </si>
  <si>
    <t>F2200010330</t>
  </si>
  <si>
    <t>K Vipin</t>
  </si>
  <si>
    <t>Shree Krishna machinery</t>
  </si>
  <si>
    <t>vipin.rajitha@gmail.com</t>
  </si>
  <si>
    <t>Dark Mogra Perfume</t>
  </si>
  <si>
    <t>F2200010329</t>
  </si>
  <si>
    <t>Debanand Sahoo</t>
  </si>
  <si>
    <t>Deba Enterprises</t>
  </si>
  <si>
    <t>debanandsahoo8@gmail.com</t>
  </si>
  <si>
    <t>F2200010328</t>
  </si>
  <si>
    <t>Srijita</t>
  </si>
  <si>
    <t>srijita.bhowal61@gmail.com</t>
  </si>
  <si>
    <t>F2200010327</t>
  </si>
  <si>
    <t>Khalid Ansari</t>
  </si>
  <si>
    <t>Haskoningdhv Consulting Pvt Ltd</t>
  </si>
  <si>
    <t>khalid.ishrat.ansari@rhdhv.com</t>
  </si>
  <si>
    <t>Aroma Oil Lemongrass</t>
  </si>
  <si>
    <t>F2200010326</t>
  </si>
  <si>
    <t>Yaseen</t>
  </si>
  <si>
    <t>Rudraroyal Star Hotel</t>
  </si>
  <si>
    <t>yaseen9946.ahmed@gmail.com</t>
  </si>
  <si>
    <t>5Litre Liquid Phenyl</t>
  </si>
  <si>
    <t>F2200010325</t>
  </si>
  <si>
    <t>Murugan</t>
  </si>
  <si>
    <t>M.Lakshmi civil contractor</t>
  </si>
  <si>
    <t>muruganhuawei@gmail.com</t>
  </si>
  <si>
    <t>Jasmine 74 Fragrance</t>
  </si>
  <si>
    <t>F2200010324</t>
  </si>
  <si>
    <t>Koulik Maity</t>
  </si>
  <si>
    <t>maitykoulik2003@gmail.com</t>
  </si>
  <si>
    <t>F2200010323</t>
  </si>
  <si>
    <t>Kb. Rajeevan</t>
  </si>
  <si>
    <t>mahalakshmiindus3@gmail.com</t>
  </si>
  <si>
    <t xml:space="preserve">Phenyl Thickne </t>
  </si>
  <si>
    <t>THICKENER , FRAGRANCE PRICE SEND</t>
  </si>
  <si>
    <t>F2200010322</t>
  </si>
  <si>
    <t>sathi pmart</t>
  </si>
  <si>
    <t>dassantanu154@gmail.com</t>
  </si>
  <si>
    <t>F2200010321</t>
  </si>
  <si>
    <t>Tejas Sir</t>
  </si>
  <si>
    <t>Fortune Enterprises</t>
  </si>
  <si>
    <t>reachout.fortune@gmail.com</t>
  </si>
  <si>
    <t>25-01-2023</t>
  </si>
  <si>
    <t>F2200010320</t>
  </si>
  <si>
    <t>DEBOROTO BHATTACHRYA</t>
  </si>
  <si>
    <t>DS INTERNATIONAL</t>
  </si>
  <si>
    <t>5 KG THICKENER NIEYCHEN</t>
  </si>
  <si>
    <t>F2200010319</t>
  </si>
  <si>
    <t xml:space="preserve">ATUNU MONDOL </t>
  </si>
  <si>
    <t>DIMONDHAEBAR</t>
  </si>
  <si>
    <t>F2200010318</t>
  </si>
  <si>
    <t>F2200010317</t>
  </si>
  <si>
    <t>Surender</t>
  </si>
  <si>
    <t>R. K. Chemicals</t>
  </si>
  <si>
    <t>Phenly Compound</t>
  </si>
  <si>
    <t>F2200010316</t>
  </si>
  <si>
    <t>Lemon Grass Oil</t>
  </si>
  <si>
    <t>PORE CALL KORTE HOBE</t>
  </si>
  <si>
    <t>F2200010315</t>
  </si>
  <si>
    <t>Guddu</t>
  </si>
  <si>
    <t>F2200010314</t>
  </si>
  <si>
    <t>Prasanna</t>
  </si>
  <si>
    <t>Home work</t>
  </si>
  <si>
    <t>pmanjul12@gmail.com</t>
  </si>
  <si>
    <t>Vanilla Mint Agarbatti Fragrance</t>
  </si>
  <si>
    <t>ER AGE THICKENER NIEYCHEN</t>
  </si>
  <si>
    <t>F2200010313</t>
  </si>
  <si>
    <t>Birendra Dasz</t>
  </si>
  <si>
    <t>BARIR JANNO</t>
  </si>
  <si>
    <t>F2200010312</t>
  </si>
  <si>
    <t>Ganesh Menkudale</t>
  </si>
  <si>
    <t>gcmenkudale888@gmail.com</t>
  </si>
  <si>
    <t>F2200010311</t>
  </si>
  <si>
    <t>Sk Abdus Salam</t>
  </si>
  <si>
    <t>skabdussalam.ckm@gmail.com</t>
  </si>
  <si>
    <t>Phenyl Floor Cleaner</t>
  </si>
  <si>
    <t>READY PHENYL CHAI</t>
  </si>
  <si>
    <t>24-01-2023</t>
  </si>
  <si>
    <t>F2200010310</t>
  </si>
  <si>
    <t>Shanu Priya</t>
  </si>
  <si>
    <t>, Biha</t>
  </si>
  <si>
    <t>F2200010309</t>
  </si>
  <si>
    <t>Shree Sales Services</t>
  </si>
  <si>
    <t>Liquid Phenyl Thickener</t>
  </si>
  <si>
    <t>F2200010308</t>
  </si>
  <si>
    <t>Aswini Kumar</t>
  </si>
  <si>
    <t>Digital Canvas</t>
  </si>
  <si>
    <t>am977754@gmail.com</t>
  </si>
  <si>
    <t>F2200010307</t>
  </si>
  <si>
    <t>Sanjay Kumar Behura</t>
  </si>
  <si>
    <t>Eli Product</t>
  </si>
  <si>
    <t>F2200010306</t>
  </si>
  <si>
    <t>Guneet</t>
  </si>
  <si>
    <t xml:space="preserve">guneetiknoor11@gmail.com
</t>
  </si>
  <si>
    <t>F2200010305</t>
  </si>
  <si>
    <t>Surojit Pal</t>
  </si>
  <si>
    <t>Whit Phenyl Concentrate</t>
  </si>
  <si>
    <t>F2200010304</t>
  </si>
  <si>
    <t>Devi</t>
  </si>
  <si>
    <t>Devi Bala Enterprises</t>
  </si>
  <si>
    <t>ks6439796@gmail.com</t>
  </si>
  <si>
    <t>F2200010303</t>
  </si>
  <si>
    <t>AGARBATI FRAGRENCE PRIC LIST SEND</t>
  </si>
  <si>
    <t>F2200010302</t>
  </si>
  <si>
    <t>Pritam Gaikwad</t>
  </si>
  <si>
    <t>Mahadev Enterprises pvt. ltd</t>
  </si>
  <si>
    <t xml:space="preserve">mahadeventerprisesofficial12@gmail.com
</t>
  </si>
  <si>
    <t>Perfume Fresh Lime</t>
  </si>
  <si>
    <t>F2200010301</t>
  </si>
  <si>
    <t>Soumya Ranjan Pradhan</t>
  </si>
  <si>
    <t xml:space="preserve">
Dhr Groups</t>
  </si>
  <si>
    <t xml:space="preserve">samthecoolguy.srp@gmail.com
</t>
  </si>
  <si>
    <t>F2200010300</t>
  </si>
  <si>
    <t>Chetna Gor</t>
  </si>
  <si>
    <t>chetnasam333@gmail.com</t>
  </si>
  <si>
    <t>F2200010299</t>
  </si>
  <si>
    <t>F2200010298</t>
  </si>
  <si>
    <t xml:space="preserve">dasdwijen006@gmail.com
</t>
  </si>
  <si>
    <t>Phenyl Concentrate.</t>
  </si>
  <si>
    <t>23-01-2023</t>
  </si>
  <si>
    <t>F2200010297</t>
  </si>
  <si>
    <t>SOUGATA ROY</t>
  </si>
  <si>
    <t>TARAKESWER</t>
  </si>
  <si>
    <t>5 LITE CONCENTRATE, 1 KG LEMON</t>
  </si>
  <si>
    <t>F2200010296</t>
  </si>
  <si>
    <t>ASC Private Limited</t>
  </si>
  <si>
    <t>F2200010295</t>
  </si>
  <si>
    <t>Shiv</t>
  </si>
  <si>
    <t xml:space="preserve">Laxmi Enterprises
</t>
  </si>
  <si>
    <t>SURF EXCEL LAGBE</t>
  </si>
  <si>
    <t>F2200010294</t>
  </si>
  <si>
    <t>Nanidita Dutta</t>
  </si>
  <si>
    <t>Aegis Services</t>
  </si>
  <si>
    <t>junainandiata@rediffmail.com</t>
  </si>
  <si>
    <t>F2200010293</t>
  </si>
  <si>
    <t>Evangelin</t>
  </si>
  <si>
    <t>evangelin8816@gmail.com</t>
  </si>
  <si>
    <t>F2200010292</t>
  </si>
  <si>
    <t>Debasis Paik</t>
  </si>
  <si>
    <t>s.s.p enterprise</t>
  </si>
  <si>
    <t>dpaik3872@gmail.com</t>
  </si>
  <si>
    <t>F2200010291</t>
  </si>
  <si>
    <t>Pooja Enterprise</t>
  </si>
  <si>
    <t>goutam198455@gmail.com</t>
  </si>
  <si>
    <t xml:space="preserve">Lavender Fragrance </t>
  </si>
  <si>
    <t>F2200010290</t>
  </si>
  <si>
    <t>R Krishna Murti</t>
  </si>
  <si>
    <t>Annapurna Herbal Products</t>
  </si>
  <si>
    <t xml:space="preserve">rachapudikrishnamurti@gmail.com
</t>
  </si>
  <si>
    <t>F2200010289</t>
  </si>
  <si>
    <t>Sangita Kaudi</t>
  </si>
  <si>
    <t xml:space="preserve">sangitakaudi91@gmail.com
</t>
  </si>
  <si>
    <t>Thickener</t>
  </si>
  <si>
    <t>F2200010287</t>
  </si>
  <si>
    <t>tulandas66@gmail.com</t>
  </si>
  <si>
    <t xml:space="preserve">Agarbatti </t>
  </si>
  <si>
    <t>PRICE LIST SEND AGARBATI PERFUME</t>
  </si>
  <si>
    <t>F2200010286</t>
  </si>
  <si>
    <t>Akshat</t>
  </si>
  <si>
    <t>sanjayeiil2008@gmail.com</t>
  </si>
  <si>
    <t>KICHUDIN PORE</t>
  </si>
  <si>
    <t>F2200010285</t>
  </si>
  <si>
    <t>Md Rizwan</t>
  </si>
  <si>
    <t>NOVA</t>
  </si>
  <si>
    <t>novacarac@gmail.com</t>
  </si>
  <si>
    <t>Detergent Thickner</t>
  </si>
  <si>
    <t>21-01-2023</t>
  </si>
  <si>
    <t>F2200010284</t>
  </si>
  <si>
    <t>F2200010283</t>
  </si>
  <si>
    <t>F2200010282</t>
  </si>
  <si>
    <t>Mohtsaim</t>
  </si>
  <si>
    <t xml:space="preserve">
Zailsa max</t>
  </si>
  <si>
    <t>F2200010281</t>
  </si>
  <si>
    <t>Yadav</t>
  </si>
  <si>
    <t>F2200010280</t>
  </si>
  <si>
    <t>A Sarkar</t>
  </si>
  <si>
    <t xml:space="preserve">ashutosh667@gmail.com
</t>
  </si>
  <si>
    <t xml:space="preserve"> Kolkata</t>
  </si>
  <si>
    <t>PRICE LEST SEND</t>
  </si>
  <si>
    <t>F2200010279</t>
  </si>
  <si>
    <t>OUT OT SERVICE</t>
  </si>
  <si>
    <t>F2200010278</t>
  </si>
  <si>
    <t>Ashok Kumar Pareek</t>
  </si>
  <si>
    <t>Baby Chemical</t>
  </si>
  <si>
    <t>Thickeners Powder.</t>
  </si>
  <si>
    <t>1 KG THICKENER NIEYCHEN</t>
  </si>
  <si>
    <t>F2200010277</t>
  </si>
  <si>
    <t>Shankar Mohanty</t>
  </si>
  <si>
    <t>dipumohanty1111@gmail.com</t>
  </si>
  <si>
    <t xml:space="preserve"> Odisha, </t>
  </si>
  <si>
    <t xml:space="preserve">MOGRA Perfume
</t>
  </si>
  <si>
    <t>3 TYPE FRAGRANCE NIEYCHEN. ROSE, LEMONGRASS, JASMINE</t>
  </si>
  <si>
    <t>F2200010276</t>
  </si>
  <si>
    <t>NCD Enterprise</t>
  </si>
  <si>
    <t>F2200010275</t>
  </si>
  <si>
    <t>DEBASISH DAS</t>
  </si>
  <si>
    <t xml:space="preserve">JK INDUSTRIES
</t>
  </si>
  <si>
    <t>debasishdas3999@gmail.com</t>
  </si>
  <si>
    <t>HASNABAD</t>
  </si>
  <si>
    <t>3 KG LEMON FRAGRANCE NIEYCHEN</t>
  </si>
  <si>
    <t>20-01-2023</t>
  </si>
  <si>
    <t>F2200010274</t>
  </si>
  <si>
    <t>RANJEET CHOWDHARY</t>
  </si>
  <si>
    <t>Anjali Grih Udyog</t>
  </si>
  <si>
    <t xml:space="preserve">ranjeetchoudhary516@gmail.com
</t>
  </si>
  <si>
    <t>5 LITR CONCENTRATE NIEYCHEN</t>
  </si>
  <si>
    <t>Raghashree K</t>
  </si>
  <si>
    <t>AJ Wellness</t>
  </si>
  <si>
    <t>arks@outlook.com</t>
  </si>
  <si>
    <t>F2200010273</t>
  </si>
  <si>
    <t>F2200010272</t>
  </si>
  <si>
    <t>Shubham Choudhary</t>
  </si>
  <si>
    <t>HRC Home Production</t>
  </si>
  <si>
    <t>shubhamchaudhari903@gmail.com</t>
  </si>
  <si>
    <t xml:space="preserve"> Madhya Pradesh</t>
  </si>
  <si>
    <t>F2200010271</t>
  </si>
  <si>
    <t>Altaf Shaikh</t>
  </si>
  <si>
    <t>National Medical &amp; General Store</t>
  </si>
  <si>
    <t>national.medical2000@gmail.com</t>
  </si>
  <si>
    <t>READY BODY GEL CHI</t>
  </si>
  <si>
    <t>F2200010270</t>
  </si>
  <si>
    <t>Sakharam Game</t>
  </si>
  <si>
    <t>Sakha Game</t>
  </si>
  <si>
    <t>sakharamgame143@gmail.com</t>
  </si>
  <si>
    <t>F2200010269</t>
  </si>
  <si>
    <t>Pranab Saha</t>
  </si>
  <si>
    <t>pranabsaha960@gmail.com</t>
  </si>
  <si>
    <t xml:space="preserve">Alipur Duar, </t>
  </si>
  <si>
    <t>Phynel Raw Material.</t>
  </si>
  <si>
    <t>PHENYL REW MATERIALS PRICE LIST SEND</t>
  </si>
  <si>
    <t>F2200010268</t>
  </si>
  <si>
    <t>Ankita</t>
  </si>
  <si>
    <t xml:space="preserve">ankita2dec@gmail.com
</t>
  </si>
  <si>
    <t>Shikakai Oil.</t>
  </si>
  <si>
    <t>SHIKAKAI POWDER CHI</t>
  </si>
  <si>
    <t>F2200010267</t>
  </si>
  <si>
    <t>Vaibhav Kumar Mishra</t>
  </si>
  <si>
    <t>Bss Acme Industries Privated Lim</t>
  </si>
  <si>
    <t xml:space="preserve">Jamshedpur, </t>
  </si>
  <si>
    <t>lemon geass</t>
  </si>
  <si>
    <t>F2200010265</t>
  </si>
  <si>
    <t>Nikhilesh Mondal</t>
  </si>
  <si>
    <t>MONDAL &amp; CO</t>
  </si>
  <si>
    <t>nikhilesh1965@gmail.com</t>
  </si>
  <si>
    <t>Floor Cleaner.</t>
  </si>
  <si>
    <t>BARIR JANNO LAGBE</t>
  </si>
  <si>
    <t>19-01-2023</t>
  </si>
  <si>
    <t>F2200010264</t>
  </si>
  <si>
    <t>VENKATA MAHESH</t>
  </si>
  <si>
    <t>Mr Talajia</t>
  </si>
  <si>
    <t>sutalajia@gmail.com</t>
  </si>
  <si>
    <t>F2200010263</t>
  </si>
  <si>
    <t>Ramnath Bhadra</t>
  </si>
  <si>
    <t>Arati Agarbatti</t>
  </si>
  <si>
    <t xml:space="preserve">ramnathbhadra@gmail.com
</t>
  </si>
  <si>
    <t xml:space="preserve">
Alipur Duar</t>
  </si>
  <si>
    <t>Cobra Fragrance Perfume</t>
  </si>
  <si>
    <t>F2200010262</t>
  </si>
  <si>
    <t>akr2006.16@gmail.com</t>
  </si>
  <si>
    <t>F2200010261</t>
  </si>
  <si>
    <t>Chandan Laskar</t>
  </si>
  <si>
    <t>Durga Traders</t>
  </si>
  <si>
    <t>lr_chandan@yahoo.com</t>
  </si>
  <si>
    <t xml:space="preserve">Dankuni </t>
  </si>
  <si>
    <t>F2200010260</t>
  </si>
  <si>
    <t>Akash Hiremath</t>
  </si>
  <si>
    <t>Swastik Chemical</t>
  </si>
  <si>
    <t>akashhiremath73@gmail.com</t>
  </si>
  <si>
    <t>PHENYAL FRAGRANCE PRICE SEND</t>
  </si>
  <si>
    <t>F2200010259</t>
  </si>
  <si>
    <t>Nk Sharma</t>
  </si>
  <si>
    <t>nikeshsharma1978@gmail.com</t>
  </si>
  <si>
    <t>white phenyl</t>
  </si>
  <si>
    <t>F2200010258</t>
  </si>
  <si>
    <t>Smaily</t>
  </si>
  <si>
    <t>Concentrated Fragrance Perfume</t>
  </si>
  <si>
    <t>F2200010257</t>
  </si>
  <si>
    <t>deepakkumar.l.r@gmail.com</t>
  </si>
  <si>
    <t>F2200010256</t>
  </si>
  <si>
    <t>Kailash Das</t>
  </si>
  <si>
    <t xml:space="preserve">Sibani Computer Solution
</t>
  </si>
  <si>
    <t>kailashdas7@gmail.com</t>
  </si>
  <si>
    <t>phenyl concentrate</t>
  </si>
  <si>
    <t>F2200010255</t>
  </si>
  <si>
    <t>Bucho Thakur</t>
  </si>
  <si>
    <t>PRANA STORE</t>
  </si>
  <si>
    <t>18-01-2023</t>
  </si>
  <si>
    <t>F2200010254</t>
  </si>
  <si>
    <t>SOURAV SAHA</t>
  </si>
  <si>
    <t>PHENYL RAW MATERIALS</t>
  </si>
  <si>
    <t>1KG THICKENAR,1KG CITRONELLA, 1KG LEMONGRASS NIEYCHEN</t>
  </si>
  <si>
    <t>F2200010253</t>
  </si>
  <si>
    <t>aniketpatil181578@gmail.com</t>
  </si>
  <si>
    <t>Rajlaxmi Incense Sticks Fragrances</t>
  </si>
  <si>
    <t>F2200010252</t>
  </si>
  <si>
    <t>Rakeshh</t>
  </si>
  <si>
    <t xml:space="preserve">ryadav7896@gmail.com
</t>
  </si>
  <si>
    <t>Attar Perfume</t>
  </si>
  <si>
    <t>F2200010251</t>
  </si>
  <si>
    <t>Kuldeep Rajwat</t>
  </si>
  <si>
    <t>Jasmine Nma Flavour Fragrance</t>
  </si>
  <si>
    <t>F2200010250</t>
  </si>
  <si>
    <t>Mamtha</t>
  </si>
  <si>
    <t>h.jsurya@gmail.com</t>
  </si>
  <si>
    <t>2 MANTH POR</t>
  </si>
  <si>
    <t>F2200010249</t>
  </si>
  <si>
    <t>M. Yakub</t>
  </si>
  <si>
    <t>Huma Trading Company</t>
  </si>
  <si>
    <t xml:space="preserve">yakub.sh@gmail.com
</t>
  </si>
  <si>
    <t>Kachcha Bella Perfume</t>
  </si>
  <si>
    <t>EKHON NIEY NIEYCHE , PORE NEBEN</t>
  </si>
  <si>
    <t>F2200010248</t>
  </si>
  <si>
    <t>RK Singh</t>
  </si>
  <si>
    <t xml:space="preserve">Annapurna Traders
</t>
  </si>
  <si>
    <t>rs3894245@gmail.com</t>
  </si>
  <si>
    <t>Agarbatti Perfume Low Price</t>
  </si>
  <si>
    <t>F2200010247</t>
  </si>
  <si>
    <t>Shashikant Patil</t>
  </si>
  <si>
    <t>Vipra Expo</t>
  </si>
  <si>
    <t>Liquid Dishwash Thickener</t>
  </si>
  <si>
    <t>F2200010246</t>
  </si>
  <si>
    <t>Sunil Das</t>
  </si>
  <si>
    <t>Vinodini Enterprises</t>
  </si>
  <si>
    <t>F2200010245</t>
  </si>
  <si>
    <t>Fathima K N</t>
  </si>
  <si>
    <t>Ojas To Aura</t>
  </si>
  <si>
    <t>fathimakn1999@gmail.com</t>
  </si>
  <si>
    <t>Basil Natural Fragrance Oil</t>
  </si>
  <si>
    <t>FREE SAMPLE CHAI SOB COSMATICS</t>
  </si>
  <si>
    <t>F2200010244</t>
  </si>
  <si>
    <t>Tushar Das</t>
  </si>
  <si>
    <t>Glowing Indian Enterprise</t>
  </si>
  <si>
    <t>ER AGEO MATERIALS NIEYCHEN</t>
  </si>
  <si>
    <t>F2200010243</t>
  </si>
  <si>
    <t>Ritumoni Baglari</t>
  </si>
  <si>
    <t>Cosmos In You</t>
  </si>
  <si>
    <t>madhubaglari33@gmail.com</t>
  </si>
  <si>
    <t>, Assam</t>
  </si>
  <si>
    <t xml:space="preserve">Rose Fragrance </t>
  </si>
  <si>
    <t>F2200010242</t>
  </si>
  <si>
    <t>F2200010241</t>
  </si>
  <si>
    <t xml:space="preserve">
Balaraman</t>
  </si>
  <si>
    <t>Villupuram</t>
  </si>
  <si>
    <t>PHENYL THICKENER GEL</t>
  </si>
  <si>
    <t>17-01-2023</t>
  </si>
  <si>
    <t>F2200010240</t>
  </si>
  <si>
    <t>Pradip Pandey</t>
  </si>
  <si>
    <t xml:space="preserve">Priyanshi Cosmetic
</t>
  </si>
  <si>
    <t>pandeypradip391@gmail.com</t>
  </si>
  <si>
    <t>F2200010239</t>
  </si>
  <si>
    <t>Neha</t>
  </si>
  <si>
    <t>SOAP FRAGANCE PRICE LIST SEND</t>
  </si>
  <si>
    <t>F2200010238</t>
  </si>
  <si>
    <t>F2200010237</t>
  </si>
  <si>
    <t xml:space="preserve">
Ashfaq</t>
  </si>
  <si>
    <t>Ashfaq Ansar</t>
  </si>
  <si>
    <t>ashfaqansari519@gmail.com</t>
  </si>
  <si>
    <t>ATTAR FRAGRANCE PRICE LIST SEND</t>
  </si>
  <si>
    <t>F2200010236</t>
  </si>
  <si>
    <t>Santosh Tikone</t>
  </si>
  <si>
    <t>F2200010235</t>
  </si>
  <si>
    <t>Pinky Sahoo</t>
  </si>
  <si>
    <t xml:space="preserve">gayatrisahoo309@gmail.com
</t>
  </si>
  <si>
    <t>F2200010234</t>
  </si>
  <si>
    <t>Mahesh Kodwani</t>
  </si>
  <si>
    <t>mkodwani70@gmail.com</t>
  </si>
  <si>
    <t xml:space="preserve">Phulwari Fragrance, </t>
  </si>
  <si>
    <t>F2200010233</t>
  </si>
  <si>
    <t>Jai Jaiswal</t>
  </si>
  <si>
    <t xml:space="preserve">Bharat Paint
</t>
  </si>
  <si>
    <t xml:space="preserve">
Synthetic Thickener</t>
  </si>
  <si>
    <t>F2200010232</t>
  </si>
  <si>
    <t>Rakhi Roy</t>
  </si>
  <si>
    <t>roydasrakhi532@gmail.com</t>
  </si>
  <si>
    <t>Persona Fabric Perfume.</t>
  </si>
  <si>
    <t>F2200010231</t>
  </si>
  <si>
    <t>Debangshu Majunder</t>
  </si>
  <si>
    <t xml:space="preserve">Sree Guru Enterprise
</t>
  </si>
  <si>
    <t>debangshumajunder161@gmail.com</t>
  </si>
  <si>
    <t>agarbatti fragrance</t>
  </si>
  <si>
    <t>F2200010230</t>
  </si>
  <si>
    <t>F2200010229</t>
  </si>
  <si>
    <t>Bijay Kumar</t>
  </si>
  <si>
    <t>fm.hexagon@psipl.co.in</t>
  </si>
  <si>
    <t>16-01-2023</t>
  </si>
  <si>
    <t>F2200010228</t>
  </si>
  <si>
    <t>SOMNATH SARKAR</t>
  </si>
  <si>
    <t>BIRNAGAR</t>
  </si>
  <si>
    <t>AGARBATTI FRAGRANCE</t>
  </si>
  <si>
    <t>PINEAPPLE, SANDAL, LEMON, ROSE,KACCHA BELA, RAJNIGANDHA 1 KG KORE NIEYCHEN</t>
  </si>
  <si>
    <t>F2200010227</t>
  </si>
  <si>
    <t>arochem</t>
  </si>
  <si>
    <t>gayatrisahoo309@gmail.com</t>
  </si>
  <si>
    <t>PRICE LIST SEND AGARBATTI PERFUME</t>
  </si>
  <si>
    <t>F2200010226</t>
  </si>
  <si>
    <t>ashokkumarchowdhary5@gmail.com</t>
  </si>
  <si>
    <t>Pears Fragrance Oil,  soap</t>
  </si>
  <si>
    <t>KICHUDIN PORE CALL KORTE HOBE</t>
  </si>
  <si>
    <t>F2200010225</t>
  </si>
  <si>
    <t>Phenyl Thickner Powder</t>
  </si>
  <si>
    <t>F2200010224</t>
  </si>
  <si>
    <t>Srihari Ghosh</t>
  </si>
  <si>
    <t>sriharighosh1990@gmail.com</t>
  </si>
  <si>
    <t xml:space="preserve">Bardhaman </t>
  </si>
  <si>
    <t>F2200010223</t>
  </si>
  <si>
    <t>Solo Chem</t>
  </si>
  <si>
    <t>koushalraj94@gmail.com</t>
  </si>
  <si>
    <t>F2200010222</t>
  </si>
  <si>
    <t>Mali</t>
  </si>
  <si>
    <t>allijahur786@gmail.com</t>
  </si>
  <si>
    <t>Magnet - A - Fragrance</t>
  </si>
  <si>
    <t>F2200010221</t>
  </si>
  <si>
    <t>Anjali Maity</t>
  </si>
  <si>
    <t>anjpra1991yahoo.com@gmail.com</t>
  </si>
  <si>
    <t xml:space="preserve">Lemon Fragrance Detergent </t>
  </si>
  <si>
    <t>DETERGENT POWDER CHAI</t>
  </si>
  <si>
    <t>F2200010220</t>
  </si>
  <si>
    <t>Uttam Bankar</t>
  </si>
  <si>
    <t>uttamvittalbankar@yahoo.co.in</t>
  </si>
  <si>
    <t>F2200010219</t>
  </si>
  <si>
    <t>Astha and Anu Shop Factory</t>
  </si>
  <si>
    <t>F2200010218</t>
  </si>
  <si>
    <t>Shubham Bhutada</t>
  </si>
  <si>
    <t>Mohini Collection</t>
  </si>
  <si>
    <t>cashubhambhutada1994@gmail.com</t>
  </si>
  <si>
    <t>Pavitra Agarbatti Perfume</t>
  </si>
  <si>
    <t>F2200010217</t>
  </si>
  <si>
    <t>SURF EXCEL CHAI</t>
  </si>
  <si>
    <t>F2200010216</t>
  </si>
  <si>
    <t xml:space="preserve">DHEERAJ ENTERPRISES </t>
  </si>
  <si>
    <t>mohan.balaji.blr@gmail.com</t>
  </si>
  <si>
    <t>RAMANGALA</t>
  </si>
  <si>
    <t>F2200010215</t>
  </si>
  <si>
    <t>Milesh Yadav</t>
  </si>
  <si>
    <t>nileshjadhav1919@gmail.com</t>
  </si>
  <si>
    <t>ATTAR PARFUME PRICE LIST SEND</t>
  </si>
  <si>
    <t>14-01-2023</t>
  </si>
  <si>
    <t>F2200010214</t>
  </si>
  <si>
    <t>SARFAZ</t>
  </si>
  <si>
    <t>saahilchunara19@gmail.com</t>
  </si>
  <si>
    <t>F2200010213</t>
  </si>
  <si>
    <t>Sk Singh</t>
  </si>
  <si>
    <t>S&amp;S Entrerprises</t>
  </si>
  <si>
    <t>suryasg44@gmail.com</t>
  </si>
  <si>
    <t xml:space="preserve">Asansol </t>
  </si>
  <si>
    <t>F2200010212</t>
  </si>
  <si>
    <t>Tapas Basak</t>
  </si>
  <si>
    <t>jharna agarbatti</t>
  </si>
  <si>
    <t xml:space="preserve">taposbasak94@gmail.com
</t>
  </si>
  <si>
    <t>Mogra Incense Sticks Fragrances</t>
  </si>
  <si>
    <t>F2200010211</t>
  </si>
  <si>
    <t>Lina</t>
  </si>
  <si>
    <t>F2200010210</t>
  </si>
  <si>
    <t>fragrance perfume</t>
  </si>
  <si>
    <t>F2200010209</t>
  </si>
  <si>
    <t xml:space="preserve">
Vinod Sharma</t>
  </si>
  <si>
    <t>Satgure Persunery Inustry</t>
  </si>
  <si>
    <t>ibinodsharma10@gmail.com</t>
  </si>
  <si>
    <t>Agarbatti Perfume Rattan Mala</t>
  </si>
  <si>
    <t>F2200010208</t>
  </si>
  <si>
    <t>Hasheeb</t>
  </si>
  <si>
    <t>hashi.rocking@gmail.com</t>
  </si>
  <si>
    <t>F2200010207</t>
  </si>
  <si>
    <t>Hybrid</t>
  </si>
  <si>
    <t>ppandya218@gmail.com</t>
  </si>
  <si>
    <t>Fragrance cosmatics</t>
  </si>
  <si>
    <t>13-01-2023</t>
  </si>
  <si>
    <t>F2200010206</t>
  </si>
  <si>
    <t>Shamsuddin Shaikh</t>
  </si>
  <si>
    <t>Welcome Stores</t>
  </si>
  <si>
    <t>www.saifshaikh111@gmail.com</t>
  </si>
  <si>
    <t>F2200010205</t>
  </si>
  <si>
    <t>Manjusha Satpute</t>
  </si>
  <si>
    <t>Ayush Herbal</t>
  </si>
  <si>
    <t xml:space="preserve">satputemanjusha8@gmail.com
</t>
  </si>
  <si>
    <t>Citronella Soap Oil</t>
  </si>
  <si>
    <t>SOAP PRICE LIST SEND</t>
  </si>
  <si>
    <t>F2200010204</t>
  </si>
  <si>
    <t>Nishid</t>
  </si>
  <si>
    <t>nisith.banerjee95@gmail.com</t>
  </si>
  <si>
    <t>F2200010203</t>
  </si>
  <si>
    <t>Aslam</t>
  </si>
  <si>
    <t>mybusiness4790@gmail.com</t>
  </si>
  <si>
    <t>Papaya Fragrance Oil</t>
  </si>
  <si>
    <t>F2200010202</t>
  </si>
  <si>
    <t>Santanu</t>
  </si>
  <si>
    <t>santanumajhi420@gmail.com</t>
  </si>
  <si>
    <t xml:space="preserve">Kolkata
</t>
  </si>
  <si>
    <t>Purple Perfume</t>
  </si>
  <si>
    <t>F2200010201</t>
  </si>
  <si>
    <t>Neeraj</t>
  </si>
  <si>
    <t xml:space="preserve">
singlaneeraj47@gmail.com</t>
  </si>
  <si>
    <t>F2200010200</t>
  </si>
  <si>
    <t>Tanmayi Raorane</t>
  </si>
  <si>
    <t xml:space="preserve">tanmayiraorane@gmail.com
</t>
  </si>
  <si>
    <t>F2200010199</t>
  </si>
  <si>
    <t>Dr. B Choudhury</t>
  </si>
  <si>
    <t>F2200010198</t>
  </si>
  <si>
    <t>Vicky Melge</t>
  </si>
  <si>
    <t xml:space="preserve">Gajvandan Production
</t>
  </si>
  <si>
    <t>melgevicky8@gmail.com</t>
  </si>
  <si>
    <t xml:space="preserve">Fine Fragrances
</t>
  </si>
  <si>
    <t>F2200010197</t>
  </si>
  <si>
    <t>Elizabeth Vasanthi</t>
  </si>
  <si>
    <t>vasben5560@gmail.com</t>
  </si>
  <si>
    <t xml:space="preserve">Lemongrass Essential Oil </t>
  </si>
  <si>
    <t>F2200010196</t>
  </si>
  <si>
    <t>Nagalakshmi</t>
  </si>
  <si>
    <t>nagak6@gmail.com</t>
  </si>
  <si>
    <t>Surf Excel Fragrance</t>
  </si>
  <si>
    <t>F2200010195</t>
  </si>
  <si>
    <t>S S Awasthi</t>
  </si>
  <si>
    <t xml:space="preserve">awasthis312@gmail.com
</t>
  </si>
  <si>
    <t>F2200010194</t>
  </si>
  <si>
    <t>Anup Singh</t>
  </si>
  <si>
    <t>F2200010193</t>
  </si>
  <si>
    <t>Tirupati Verma</t>
  </si>
  <si>
    <t xml:space="preserve">Kumar Enterprises
</t>
  </si>
  <si>
    <t>Green Phenyle</t>
  </si>
  <si>
    <t>F2200010192</t>
  </si>
  <si>
    <t>Baljeet Clinic Products</t>
  </si>
  <si>
    <t>dashmesh09@rediffmail.com</t>
  </si>
  <si>
    <t>F2200010191</t>
  </si>
  <si>
    <t>Atul Subhash Mulik</t>
  </si>
  <si>
    <t>Shivam Agro</t>
  </si>
  <si>
    <t>atulmulik15290@gmail.com</t>
  </si>
  <si>
    <t>, Maharashtra</t>
  </si>
  <si>
    <t>F2200010190</t>
  </si>
  <si>
    <t>Sourav Paul</t>
  </si>
  <si>
    <t>Onlinebabu</t>
  </si>
  <si>
    <t>paulrakhi975@gmail.com</t>
  </si>
  <si>
    <t>Gobardanga</t>
  </si>
  <si>
    <t>F2200010189</t>
  </si>
  <si>
    <t>DROTCA</t>
  </si>
  <si>
    <t>satishkumarpatel990@gmail.com</t>
  </si>
  <si>
    <t>5L Perfumed White Phenyl</t>
  </si>
  <si>
    <t>BOHOT DUR HAI</t>
  </si>
  <si>
    <t>F2200010188</t>
  </si>
  <si>
    <t>Amisha</t>
  </si>
  <si>
    <t xml:space="preserve">Heer Cake And Decor Food
</t>
  </si>
  <si>
    <t>baraiyabhumi45@gmail.com</t>
  </si>
  <si>
    <t>Candle Perfume</t>
  </si>
  <si>
    <t xml:space="preserve">PRICE LIST SEND  </t>
  </si>
  <si>
    <t>F2200010187</t>
  </si>
  <si>
    <t>Kunal Sawant</t>
  </si>
  <si>
    <t>Sanjeevan Biometric</t>
  </si>
  <si>
    <t>mukti00025@gmail.com</t>
  </si>
  <si>
    <t>Omtirth Angelina Perfume Fragrance</t>
  </si>
  <si>
    <t>F2200010186</t>
  </si>
  <si>
    <t>Sonu Mourya</t>
  </si>
  <si>
    <t xml:space="preserve">spmourya20@gmail.com
</t>
  </si>
  <si>
    <t>Perfume For Agarbatti</t>
  </si>
  <si>
    <t>F2200010185</t>
  </si>
  <si>
    <t>Krushna</t>
  </si>
  <si>
    <t xml:space="preserve">
harekrushnabindhani544@gmail.com</t>
  </si>
  <si>
    <t>Msb Agarbatti Perfume</t>
  </si>
  <si>
    <t>F2200010184</t>
  </si>
  <si>
    <t>Namrata Dharmadhikari</t>
  </si>
  <si>
    <t xml:space="preserve">Knleo Cosmetics
</t>
  </si>
  <si>
    <t>kleocosmetics22@gmail.com</t>
  </si>
  <si>
    <t>Cosmetics Fragrance</t>
  </si>
  <si>
    <t>F2200010183</t>
  </si>
  <si>
    <t>Anadipatra</t>
  </si>
  <si>
    <t xml:space="preserve">
gitanjalipatra035@gmail.com</t>
  </si>
  <si>
    <t>Liquid Agarbatti Fragrance</t>
  </si>
  <si>
    <t>F2200010182</t>
  </si>
  <si>
    <t>Rupender Bhagat</t>
  </si>
  <si>
    <t>F2200010181</t>
  </si>
  <si>
    <t xml:space="preserve">Fragrance Perfume </t>
  </si>
  <si>
    <t>F2200010180</t>
  </si>
  <si>
    <t>Kunal Chaudhari</t>
  </si>
  <si>
    <t xml:space="preserve">khqibw54844@gmail.com
</t>
  </si>
  <si>
    <t>F2200010179</t>
  </si>
  <si>
    <t>Srimant Giri</t>
  </si>
  <si>
    <t>srimant1990@gmail.com</t>
  </si>
  <si>
    <t>Concentrated Liquid -phenyl.</t>
  </si>
  <si>
    <t>F2200010178</t>
  </si>
  <si>
    <t>M PRAVEENA MUTYALA</t>
  </si>
  <si>
    <t xml:space="preserve">
mutyalahemanth@gmail.com
</t>
  </si>
  <si>
    <t>PRICE LIST SEND COSMETIC FRAGRANCE</t>
  </si>
  <si>
    <t>F2200010177</t>
  </si>
  <si>
    <t>Mohd Naved</t>
  </si>
  <si>
    <t>W.A. And Brothers</t>
  </si>
  <si>
    <t xml:space="preserve">ccsmv786mnknj@gmail.com
</t>
  </si>
  <si>
    <t>749 Fragrance Perfume</t>
  </si>
  <si>
    <t>F2200010176</t>
  </si>
  <si>
    <t>Sourav Panday</t>
  </si>
  <si>
    <t>souravpandey19185@gmail.com</t>
  </si>
  <si>
    <t xml:space="preserve">Purulia </t>
  </si>
  <si>
    <t>F2200010175</t>
  </si>
  <si>
    <t>Gore Ganesh</t>
  </si>
  <si>
    <t>Ganesh Companys</t>
  </si>
  <si>
    <t>goreganesh734@gmail.com</t>
  </si>
  <si>
    <t>F2200010174</t>
  </si>
  <si>
    <t xml:space="preserve">Anand Maurya
</t>
  </si>
  <si>
    <t xml:space="preserve">
home uses
</t>
  </si>
  <si>
    <t>ananadmaurya8793@gmail.com</t>
  </si>
  <si>
    <t>F2200010173</t>
  </si>
  <si>
    <t>Sudhir Kumar Verma</t>
  </si>
  <si>
    <t>Vayu Organic</t>
  </si>
  <si>
    <t>raviv371@gmail.com</t>
  </si>
  <si>
    <t>F2200010172</t>
  </si>
  <si>
    <t>Suneer</t>
  </si>
  <si>
    <t>computer Lab</t>
  </si>
  <si>
    <t>computerscrap1806@gmail.com</t>
  </si>
  <si>
    <t>Ernakulam,</t>
  </si>
  <si>
    <t>Aarav Cap Palmoliva Industrial Perfume</t>
  </si>
  <si>
    <t>F2200010171</t>
  </si>
  <si>
    <t>Mahendra Singh</t>
  </si>
  <si>
    <t xml:space="preserve">
Bn Agarbatti</t>
  </si>
  <si>
    <t xml:space="preserve">ms023298@gmail.com
</t>
  </si>
  <si>
    <t>Dorma Make Rose Perfume</t>
  </si>
  <si>
    <t>F2200010170</t>
  </si>
  <si>
    <t>Nipun Chopra</t>
  </si>
  <si>
    <t xml:space="preserve">CHOPRA COSMETICS
</t>
  </si>
  <si>
    <t>F2200010169</t>
  </si>
  <si>
    <t>Arjun Morya</t>
  </si>
  <si>
    <t>vishwabagur001@gmail.com</t>
  </si>
  <si>
    <t>F2200010168</t>
  </si>
  <si>
    <t>DHEERAJ ENTERPRISES (MDC FOODS)</t>
  </si>
  <si>
    <t>THICKEER , FRAGRANCE PRICE SEND</t>
  </si>
  <si>
    <t>F2200010167</t>
  </si>
  <si>
    <t>Pratim</t>
  </si>
  <si>
    <t>pratim.b1997@gmail.com</t>
  </si>
  <si>
    <t>Phulia, Nadia</t>
  </si>
  <si>
    <t>RESALLING</t>
  </si>
  <si>
    <t>F2200010166</t>
  </si>
  <si>
    <t>Sukhendas</t>
  </si>
  <si>
    <t xml:space="preserve">sukhend264@gmail.com
</t>
  </si>
  <si>
    <t xml:space="preserve">Phenyl </t>
  </si>
  <si>
    <t>F2200010165</t>
  </si>
  <si>
    <t>RAJ KISHOR SINGH</t>
  </si>
  <si>
    <t>UTTAR PRADESH</t>
  </si>
  <si>
    <t>HAND  WASH FRAGRANCE</t>
  </si>
  <si>
    <t>4TYPE FRAGRANCE NIEYCHEN DETTOL, LEMON, LEMON SHINE SC, MOGRA 77</t>
  </si>
  <si>
    <t>F2200010164</t>
  </si>
  <si>
    <t>Arti</t>
  </si>
  <si>
    <t>arti.rastogi1993@gmail.com</t>
  </si>
  <si>
    <t>Kacha Gulab Fragrance</t>
  </si>
  <si>
    <t>F2200010163</t>
  </si>
  <si>
    <t>rsonkalihari120396@gmail.com</t>
  </si>
  <si>
    <t>ATTAR BASE ROSE</t>
  </si>
  <si>
    <t>F2200010162</t>
  </si>
  <si>
    <t>Atul Ghodekar</t>
  </si>
  <si>
    <t>Fragnance Oil</t>
  </si>
  <si>
    <t>F2200010161</t>
  </si>
  <si>
    <t>Sahithi</t>
  </si>
  <si>
    <t>sahithi.2186@gmail.com</t>
  </si>
  <si>
    <t>F2200010160</t>
  </si>
  <si>
    <t>Naman Jain</t>
  </si>
  <si>
    <t>F2200010159</t>
  </si>
  <si>
    <t>Red Maple Communications</t>
  </si>
  <si>
    <t>ashish.purav@yahoo.com</t>
  </si>
  <si>
    <t>F2200010158</t>
  </si>
  <si>
    <t>Niranjan</t>
  </si>
  <si>
    <t>Attar Perfume Field</t>
  </si>
  <si>
    <t>25 ML KORE LAGBE</t>
  </si>
  <si>
    <t>F2200010157</t>
  </si>
  <si>
    <t>Suresh Haldar</t>
  </si>
  <si>
    <t>Haldar Enteprise</t>
  </si>
  <si>
    <t>haldarsuresh217@gmail.com</t>
  </si>
  <si>
    <t xml:space="preserve"> Malda</t>
  </si>
  <si>
    <t xml:space="preserve"> Lime Oil
</t>
  </si>
  <si>
    <t>F2200010156</t>
  </si>
  <si>
    <t xml:space="preserve">Subhankar Dutta
</t>
  </si>
  <si>
    <t xml:space="preserve">Remedix Home Care Solution
</t>
  </si>
  <si>
    <t>DETERGENT, HANDWASH, DISH WASH, PHENYAL FRAGRANCE PRICE LIST SEND</t>
  </si>
  <si>
    <t>F2200010155</t>
  </si>
  <si>
    <t>Sudip Sarkar</t>
  </si>
  <si>
    <t>Nexun Enterprises</t>
  </si>
  <si>
    <t>F2200010154</t>
  </si>
  <si>
    <t>Ritan Jali</t>
  </si>
  <si>
    <t>ritanj083@gmail.com</t>
  </si>
  <si>
    <t>Lavender Floor Cleaner</t>
  </si>
  <si>
    <t>F2200010153</t>
  </si>
  <si>
    <t>Phenyle Perfume,</t>
  </si>
  <si>
    <t xml:space="preserve">PRICE LIST SEND FRAGRENCE </t>
  </si>
  <si>
    <t>F2200010152</t>
  </si>
  <si>
    <t>Synthetic Thickener.</t>
  </si>
  <si>
    <t>F2200010151</t>
  </si>
  <si>
    <t xml:space="preserve">Mohit  </t>
  </si>
  <si>
    <t>Muzaffarnagar</t>
  </si>
  <si>
    <t>Chameli Perfume.</t>
  </si>
  <si>
    <t>F2200010150</t>
  </si>
  <si>
    <t>Raja Gupta</t>
  </si>
  <si>
    <t>soumengupta410@gmail.com</t>
  </si>
  <si>
    <t>AGARBATTI  PRICE LIST SEND</t>
  </si>
  <si>
    <t>F2200010149</t>
  </si>
  <si>
    <t>Prabhakar Swami</t>
  </si>
  <si>
    <t>Annapurna</t>
  </si>
  <si>
    <t xml:space="preserve">prabhakarp.swami@gmail.com
</t>
  </si>
  <si>
    <t>BUSTER LAGBE</t>
  </si>
  <si>
    <t>F2200010148</t>
  </si>
  <si>
    <t>RAVINDRA CHANDAK</t>
  </si>
  <si>
    <t>chandakenterprises.ngp@gmail.com</t>
  </si>
  <si>
    <t>F2200010147</t>
  </si>
  <si>
    <t xml:space="preserve">Sonali  </t>
  </si>
  <si>
    <t>sonalitripathi50@gmail.com</t>
  </si>
  <si>
    <t>Soap Ingredients</t>
  </si>
  <si>
    <t>F2200010146</t>
  </si>
  <si>
    <t>MURARI SHARMA</t>
  </si>
  <si>
    <t>Madhavi Dairy</t>
  </si>
  <si>
    <t>murarisharma1305msa@gmail.com</t>
  </si>
  <si>
    <t>BARDHAMAN</t>
  </si>
  <si>
    <t>RAJANIGANDHA PERFUME</t>
  </si>
  <si>
    <t>1 KG RAJANIGANDHA T BARIR  JANNO</t>
  </si>
  <si>
    <t>F2200010145</t>
  </si>
  <si>
    <t>S.S. Enterprise</t>
  </si>
  <si>
    <t>somnathdas779@gmail.com</t>
  </si>
  <si>
    <t>Bally, Howrah</t>
  </si>
  <si>
    <t>Tea Tree Oil.</t>
  </si>
  <si>
    <t>F2200010144</t>
  </si>
  <si>
    <t xml:space="preserve">Jayan </t>
  </si>
  <si>
    <t>jayantkumbhare52@gmail.com</t>
  </si>
  <si>
    <t>Thickner</t>
  </si>
  <si>
    <t>F2200010143</t>
  </si>
  <si>
    <t xml:space="preserve"> Jharkhand, </t>
  </si>
  <si>
    <t>Sticks Fragrances</t>
  </si>
  <si>
    <t>F2200010142</t>
  </si>
  <si>
    <t>Mohit Yadav</t>
  </si>
  <si>
    <t>Attar Fragrance Perfume</t>
  </si>
  <si>
    <t>F2200010141</t>
  </si>
  <si>
    <t>Suvam Sharma</t>
  </si>
  <si>
    <t xml:space="preserve">
LS Masala</t>
  </si>
  <si>
    <t>sharmasuvam4@gmail.com</t>
  </si>
  <si>
    <t>F2200010140</t>
  </si>
  <si>
    <t>Kehar Koba</t>
  </si>
  <si>
    <t>Concentrated White Phenyl</t>
  </si>
  <si>
    <t>F2200010139</t>
  </si>
  <si>
    <t>Nitika</t>
  </si>
  <si>
    <t>Small Unique Gallery</t>
  </si>
  <si>
    <t>nitikatakkar28@gmail.com</t>
  </si>
  <si>
    <t>F2200010138</t>
  </si>
  <si>
    <t>Piyush</t>
  </si>
  <si>
    <t>Akshita Enterprise</t>
  </si>
  <si>
    <t>piyugandhi06@yahoo.com</t>
  </si>
  <si>
    <t>F2200010137</t>
  </si>
  <si>
    <t>Sanjay Totre</t>
  </si>
  <si>
    <t>Yashica Pharmaceuticals Private Limited</t>
  </si>
  <si>
    <t>sales@yashicapharma.com</t>
  </si>
  <si>
    <t>F2200010136</t>
  </si>
  <si>
    <t>Monica Neogi</t>
  </si>
  <si>
    <t>monicakol1986@gmail.com</t>
  </si>
  <si>
    <t>Lemon White Phenyl</t>
  </si>
  <si>
    <t>F2200010135</t>
  </si>
  <si>
    <t>Pradeep Kumar Reddy</t>
  </si>
  <si>
    <t>pradeepkumarreddysareddy@gmail.com</t>
  </si>
  <si>
    <t>JASMIN 74 Fragrance</t>
  </si>
  <si>
    <t>F2200010134</t>
  </si>
  <si>
    <t>N.Murali Smiley</t>
  </si>
  <si>
    <t>muralirohitsharma92@gmail.com</t>
  </si>
  <si>
    <t>F2200010133</t>
  </si>
  <si>
    <t>Jai Prakash Verma</t>
  </si>
  <si>
    <t xml:space="preserve">
Geeta Industries</t>
  </si>
  <si>
    <t>jaiprakashverma221@gmail.com</t>
  </si>
  <si>
    <t>Lotion Fragrance</t>
  </si>
  <si>
    <t>PEST LAGBE</t>
  </si>
  <si>
    <t>F2200010132</t>
  </si>
  <si>
    <t>Jaswant Kumar</t>
  </si>
  <si>
    <t>JK Agarbatti</t>
  </si>
  <si>
    <t>F2200010131</t>
  </si>
  <si>
    <t>evangelinej@rediffmail.com</t>
  </si>
  <si>
    <t>CANDLE PRICE LIST SEND</t>
  </si>
  <si>
    <t>F2200010130</t>
  </si>
  <si>
    <t xml:space="preserve">Bittu Cafe
</t>
  </si>
  <si>
    <t>F2200010129</t>
  </si>
  <si>
    <t>Praful Kumar Chauhan</t>
  </si>
  <si>
    <t>M/s.vimal Agency</t>
  </si>
  <si>
    <t>vimalagency1974@gmail.com</t>
  </si>
  <si>
    <t>PHENYL</t>
  </si>
  <si>
    <t>F2200010128</t>
  </si>
  <si>
    <t>Abdul Hameed Karuvantavida</t>
  </si>
  <si>
    <t>hameeden@gmail.com</t>
  </si>
  <si>
    <t>vanilla fragrances oil</t>
  </si>
  <si>
    <t>F2200010127</t>
  </si>
  <si>
    <t>Bhaskar Nath</t>
  </si>
  <si>
    <t>LAKHIMI.GRIHA UDYOG</t>
  </si>
  <si>
    <t xml:space="preserve">bhaskar.nath8219@gmail.com
</t>
  </si>
  <si>
    <t>Floor Cleaner Fragrance</t>
  </si>
  <si>
    <t>F2200010126</t>
  </si>
  <si>
    <t>ABHISHEK DAS</t>
  </si>
  <si>
    <t>dasabhishek246@gmail.com</t>
  </si>
  <si>
    <t>CONCENTRATE PHENYL</t>
  </si>
  <si>
    <t>F2200010125</t>
  </si>
  <si>
    <t>F2200010124</t>
  </si>
  <si>
    <t>Pintu Patra</t>
  </si>
  <si>
    <t>KT enterprise</t>
  </si>
  <si>
    <t>pintupatra574@gmail.com</t>
  </si>
  <si>
    <t>Rose Incense Stick Perfume</t>
  </si>
  <si>
    <t>F2200010123</t>
  </si>
  <si>
    <t>K.p Enterprises</t>
  </si>
  <si>
    <t>Flower Rose Agarbatti</t>
  </si>
  <si>
    <t>F2200010122</t>
  </si>
  <si>
    <t>Ashwas Lemongrass Oil</t>
  </si>
  <si>
    <t>F2200010121</t>
  </si>
  <si>
    <t>Nishant</t>
  </si>
  <si>
    <t>NS Chemical</t>
  </si>
  <si>
    <t xml:space="preserve">nishant.audi@gmail.com
</t>
  </si>
  <si>
    <t>F2200010120</t>
  </si>
  <si>
    <t>Mohd Usman</t>
  </si>
  <si>
    <t>Dil Bahar Agarbatti-</t>
  </si>
  <si>
    <t>mohdusman5524@gmail.com</t>
  </si>
  <si>
    <t>F2200010119</t>
  </si>
  <si>
    <t>TECHNOSYS</t>
  </si>
  <si>
    <t>technosyspatna@gmail.com</t>
  </si>
  <si>
    <t>Jasmine Liquid Floor Cleaners</t>
  </si>
  <si>
    <t>F2200010118</t>
  </si>
  <si>
    <t>Dayandihi</t>
  </si>
  <si>
    <t>M/S Maa Biraja Traders</t>
  </si>
  <si>
    <t>birajamaa.2011@gmail.com</t>
  </si>
  <si>
    <t>ISI MAREK KA PHENYAL CHAI</t>
  </si>
  <si>
    <t>F2200010117</t>
  </si>
  <si>
    <t>Sourav Chaaterjee</t>
  </si>
  <si>
    <t>souravchatterjee240@gmail.com</t>
  </si>
  <si>
    <t>Phenyl Concentrat</t>
  </si>
  <si>
    <t>PORE KOTHA BOLBEN</t>
  </si>
  <si>
    <t>F2200010116</t>
  </si>
  <si>
    <t>Waris Ali</t>
  </si>
  <si>
    <t>waris347@gmail.com</t>
  </si>
  <si>
    <t>17/10 Toksia Road</t>
  </si>
  <si>
    <t xml:space="preserve">Soap Making Fragrance </t>
  </si>
  <si>
    <t>ACID SLURRY NEBEN</t>
  </si>
  <si>
    <t>F2200010115</t>
  </si>
  <si>
    <t>Sudip</t>
  </si>
  <si>
    <t>F2200010114</t>
  </si>
  <si>
    <t>Sayed Dilshad Ali</t>
  </si>
  <si>
    <t xml:space="preserve">
My Home
</t>
  </si>
  <si>
    <t>sayedguna@gmail.com</t>
  </si>
  <si>
    <t>F2200010113</t>
  </si>
  <si>
    <t>Lakshman K</t>
  </si>
  <si>
    <t>Laxmi Padmavati Chemicals</t>
  </si>
  <si>
    <t>katragaddalakshmanarao@gmail.com</t>
  </si>
  <si>
    <t>Sandal and Jasmine Toiletry Soap Fragrance</t>
  </si>
  <si>
    <t>F2200010112</t>
  </si>
  <si>
    <t>Dheeraj Ruhela</t>
  </si>
  <si>
    <t>Dheeraj Gram Udyog</t>
  </si>
  <si>
    <t>infoadobright@gmail.com</t>
  </si>
  <si>
    <t>Liquid Detergent Thickener</t>
  </si>
  <si>
    <t>F2200010111</t>
  </si>
  <si>
    <t>Loganayaki</t>
  </si>
  <si>
    <t>lokiloganayaki8526@gmail.com</t>
  </si>
  <si>
    <t xml:space="preserve"> Rose Fragrance</t>
  </si>
  <si>
    <t>F2200010110</t>
  </si>
  <si>
    <t xml:space="preserve">
Madhu Srinivas</t>
  </si>
  <si>
    <t>M M Group</t>
  </si>
  <si>
    <t>madu80839@gmail.com</t>
  </si>
  <si>
    <t>LAVENDER Perfume</t>
  </si>
  <si>
    <t>F2200010109</t>
  </si>
  <si>
    <t xml:space="preserve">
Santosh</t>
  </si>
  <si>
    <t>Ms Sanitail</t>
  </si>
  <si>
    <t>F2200010108</t>
  </si>
  <si>
    <t>Anbarasu</t>
  </si>
  <si>
    <t xml:space="preserve">Maaruti Coach
</t>
  </si>
  <si>
    <t xml:space="preserve">anbusvab@gmail.com
</t>
  </si>
  <si>
    <t>F2200010107</t>
  </si>
  <si>
    <t>Sunil Kumar</t>
  </si>
  <si>
    <t>Smart It Solution</t>
  </si>
  <si>
    <t>ersunilkumar199@gmail.com</t>
  </si>
  <si>
    <t xml:space="preserve">Floor Cleaner Fragrances </t>
  </si>
  <si>
    <t>F2200010106</t>
  </si>
  <si>
    <t>Shrabani Das</t>
  </si>
  <si>
    <t>shrabanidas99@gmail.com</t>
  </si>
  <si>
    <t>F2200010105</t>
  </si>
  <si>
    <t>Rajkumar Chalraborty</t>
  </si>
  <si>
    <t>rajkumarchakraborty295@gmail.com</t>
  </si>
  <si>
    <t xml:space="preserve"> Phenyl Concentrate</t>
  </si>
  <si>
    <t>F2200010104</t>
  </si>
  <si>
    <t>Jayanta Mukherjee</t>
  </si>
  <si>
    <t>F2200010103</t>
  </si>
  <si>
    <t xml:space="preserve">
Samarth Agarbatti</t>
  </si>
  <si>
    <t xml:space="preserve">Vanilla Lemon Agarbatti </t>
  </si>
  <si>
    <t>PRICE LEST SEND AGARBATTI</t>
  </si>
  <si>
    <t>F2200010102</t>
  </si>
  <si>
    <t>RANJIT PADHI</t>
  </si>
  <si>
    <t xml:space="preserve">rkpadhi1990@gmail.com
</t>
  </si>
  <si>
    <t>Caboon Fragrance Oil</t>
  </si>
  <si>
    <t>F2200010101</t>
  </si>
  <si>
    <t>Ganesh</t>
  </si>
  <si>
    <t>Ganesh Trading System</t>
  </si>
  <si>
    <t xml:space="preserve">
mcxganesh2@gmail.com</t>
  </si>
  <si>
    <t>Green Apple Fragrance Oil</t>
  </si>
  <si>
    <t>F2200010100</t>
  </si>
  <si>
    <t>Bilal Khan</t>
  </si>
  <si>
    <t>M. H. K. Interior)</t>
  </si>
  <si>
    <t>bilalkhanlakdawala65@gmail.com</t>
  </si>
  <si>
    <t>F220001099</t>
  </si>
  <si>
    <t>Shakeel</t>
  </si>
  <si>
    <t>shakeel.gm@yahoo.com</t>
  </si>
  <si>
    <t xml:space="preserve">Mangalore
</t>
  </si>
  <si>
    <t>F220001098</t>
  </si>
  <si>
    <t>Mnas</t>
  </si>
  <si>
    <t>manasghosh369@gmail.com</t>
  </si>
  <si>
    <t>F220001097</t>
  </si>
  <si>
    <t>Abdul Aziz</t>
  </si>
  <si>
    <t>azizpollachi@yahoo.com</t>
  </si>
  <si>
    <t xml:space="preserve">Pollachi
</t>
  </si>
  <si>
    <t>Lemon Grass Fragrance</t>
  </si>
  <si>
    <t>F220001096</t>
  </si>
  <si>
    <t>Ranjan Kumar Behera</t>
  </si>
  <si>
    <t>sipu2014bapu@gmail.com</t>
  </si>
  <si>
    <t xml:space="preserve">Balasore
</t>
  </si>
  <si>
    <t xml:space="preserve"> French Lavender Fragrance</t>
  </si>
  <si>
    <t>AGARBATTI PEICE LIST SEND</t>
  </si>
  <si>
    <t>F220001095</t>
  </si>
  <si>
    <t>Amrinal</t>
  </si>
  <si>
    <t>shilpib002@gmail.com</t>
  </si>
  <si>
    <t xml:space="preserve">JASMIN Perfume
</t>
  </si>
  <si>
    <t>F220001094</t>
  </si>
  <si>
    <t>Linish Antony</t>
  </si>
  <si>
    <t>linish.antony@gmail.com</t>
  </si>
  <si>
    <t>Bhavnagar</t>
  </si>
  <si>
    <t>5 TYPE SANDAL SAMPLE SEND</t>
  </si>
  <si>
    <t>F220001093</t>
  </si>
  <si>
    <t>Nalli Ramya</t>
  </si>
  <si>
    <t>nalliramya26@gmail.com</t>
  </si>
  <si>
    <t>31-12-2022</t>
  </si>
  <si>
    <t>s
Moti</t>
  </si>
  <si>
    <t>Dhanusha Marketing</t>
  </si>
  <si>
    <t xml:space="preserve">
Kanchipuram</t>
  </si>
  <si>
    <t>Violet Fragrance Oil,</t>
  </si>
  <si>
    <t>F220001092</t>
  </si>
  <si>
    <t>Laziz Pizza</t>
  </si>
  <si>
    <t xml:space="preserve">Mangalore </t>
  </si>
  <si>
    <t>F220001091</t>
  </si>
  <si>
    <t>Prakash H Jethani</t>
  </si>
  <si>
    <t>rpjethani@gmail.com</t>
  </si>
  <si>
    <t>F220001089</t>
  </si>
  <si>
    <t>Karttik Kumar Binat</t>
  </si>
  <si>
    <t>OSBS CAMICALS</t>
  </si>
  <si>
    <t>binat129@gmail.com</t>
  </si>
  <si>
    <t xml:space="preserve">, Odisha, </t>
  </si>
  <si>
    <t xml:space="preserve">Phenyl Concentrate, </t>
  </si>
  <si>
    <t>F220001090</t>
  </si>
  <si>
    <t>Pushpita Goswami</t>
  </si>
  <si>
    <t xml:space="preserve">
Chandni Overseas Pvt. Ltd.</t>
  </si>
  <si>
    <t>tradingcorp@live.com</t>
  </si>
  <si>
    <t>Industrial Perfume Fragrance</t>
  </si>
  <si>
    <t>F220001087</t>
  </si>
  <si>
    <t>Jaganath Mahalik</t>
  </si>
  <si>
    <t xml:space="preserve">Mayurbhanj
</t>
  </si>
  <si>
    <t>PHENYL CONCENTRATE ROSE</t>
  </si>
  <si>
    <t>30-12-2022</t>
  </si>
  <si>
    <t>F220001086</t>
  </si>
  <si>
    <t>ajaykhandagale263@gmail.com</t>
  </si>
  <si>
    <t>Sandal toiletry Soap Fragrance</t>
  </si>
  <si>
    <t>F220001085</t>
  </si>
  <si>
    <t>Sanjay Bhukania</t>
  </si>
  <si>
    <t>Matrix System</t>
  </si>
  <si>
    <t>sanjay@bhukania.in</t>
  </si>
  <si>
    <t>Rose Cosmetic Fragrances</t>
  </si>
  <si>
    <t>10 TYPE FRAGRANCE SAMPLE NIEYCHEN</t>
  </si>
  <si>
    <t>F220001084</t>
  </si>
  <si>
    <t xml:space="preserve">Rashmi Ranjan </t>
  </si>
  <si>
    <t>rashmiranjanmuhki@gmail.com</t>
  </si>
  <si>
    <t xml:space="preserve">Fragrances Bharat Darshan Agarbatti </t>
  </si>
  <si>
    <t>F220001083</t>
  </si>
  <si>
    <t>Prince</t>
  </si>
  <si>
    <t>F220001082</t>
  </si>
  <si>
    <t>Ms SPS</t>
  </si>
  <si>
    <t>3 TYPE FRAGRANCE NIEYCHEN . ROSE ,JASMINE , LEMONGRASS</t>
  </si>
  <si>
    <t>F220001081</t>
  </si>
  <si>
    <t>Kanhaiya</t>
  </si>
  <si>
    <t>Lucky Shine</t>
  </si>
  <si>
    <t>kanhaiyanke7@gmail.com</t>
  </si>
  <si>
    <t>Patna,</t>
  </si>
  <si>
    <t>2 KG LEMON NIEYCHEN DISH WASH</t>
  </si>
  <si>
    <t>F220001080</t>
  </si>
  <si>
    <t>glanerwoodcock5@gmail.com</t>
  </si>
  <si>
    <t>F220001079</t>
  </si>
  <si>
    <t xml:space="preserve">Master Signer
</t>
  </si>
  <si>
    <t>F220001078</t>
  </si>
  <si>
    <t>Santo Bagchi</t>
  </si>
  <si>
    <t>sushanta_bagchi@rediffmail.com</t>
  </si>
  <si>
    <t>29-12-2022</t>
  </si>
  <si>
    <t>F220001077</t>
  </si>
  <si>
    <t>Jahangir Alam</t>
  </si>
  <si>
    <t>hitechjahangir@gmail.com</t>
  </si>
  <si>
    <t>F220001076</t>
  </si>
  <si>
    <t>Ashwani Mishra</t>
  </si>
  <si>
    <t xml:space="preserve">Sivanya Enterprises
</t>
  </si>
  <si>
    <t xml:space="preserve">
ashwanimishravns987@gmail.com</t>
  </si>
  <si>
    <t>F220001075</t>
  </si>
  <si>
    <t>S N Sahoo</t>
  </si>
  <si>
    <t>F220001074</t>
  </si>
  <si>
    <t>Ashish Singh</t>
  </si>
  <si>
    <t>Indian Attar Fragrance Perfume</t>
  </si>
  <si>
    <t>F220001073</t>
  </si>
  <si>
    <t>draju4150@gmail.com</t>
  </si>
  <si>
    <t>F220001072</t>
  </si>
  <si>
    <t>Rupa Nag</t>
  </si>
  <si>
    <t>rajunag11march@gmail.com</t>
  </si>
  <si>
    <t>Rose and Jasmine Perfume</t>
  </si>
  <si>
    <t>F220001071</t>
  </si>
  <si>
    <t>PORE KOTHA BOLBE</t>
  </si>
  <si>
    <t>F220001070</t>
  </si>
  <si>
    <t>Devender</t>
  </si>
  <si>
    <t>Vaishnavi Industries</t>
  </si>
  <si>
    <t>vaishnaviindustries65@gmail.com</t>
  </si>
  <si>
    <t>F220001069</t>
  </si>
  <si>
    <t>Gopal Biswas</t>
  </si>
  <si>
    <t>Biswas Bhaban</t>
  </si>
  <si>
    <t>gopalbiswas.dgp@gmail.com</t>
  </si>
  <si>
    <t xml:space="preserve"> Purba Bardhaman</t>
  </si>
  <si>
    <t>F220001068</t>
  </si>
  <si>
    <t>Khageswar Nayak</t>
  </si>
  <si>
    <t>khageswar1992nayak@gmail.com</t>
  </si>
  <si>
    <t xml:space="preserve">Dhoop Fragrances </t>
  </si>
  <si>
    <t>F220001067</t>
  </si>
  <si>
    <t>Sudalai Mani</t>
  </si>
  <si>
    <t>suryasudalaimani@gmail.com</t>
  </si>
  <si>
    <t>Tirunelveli,</t>
  </si>
  <si>
    <t>F220001066</t>
  </si>
  <si>
    <t>harshkhatri4557@gmail.com</t>
  </si>
  <si>
    <t>28-12-2022</t>
  </si>
  <si>
    <t>F220001065</t>
  </si>
  <si>
    <t>GitaNayak</t>
  </si>
  <si>
    <t>nayakgita267@gmail.com</t>
  </si>
  <si>
    <t>Phenyl Phenyl</t>
  </si>
  <si>
    <t>F220001064</t>
  </si>
  <si>
    <t>Sadam Ansari</t>
  </si>
  <si>
    <t xml:space="preserve">janta soap
</t>
  </si>
  <si>
    <t>sadamansari49293@gmail.com</t>
  </si>
  <si>
    <t>Neem Fragrance</t>
  </si>
  <si>
    <t>tapashkrdey90@gmail.com</t>
  </si>
  <si>
    <t xml:space="preserve"> Lavender</t>
  </si>
  <si>
    <t>F220001063</t>
  </si>
  <si>
    <t xml:space="preserve">
Soniaa</t>
  </si>
  <si>
    <t>h.soniah@yahoo.in</t>
  </si>
  <si>
    <t>F220001062</t>
  </si>
  <si>
    <t>Mustak</t>
  </si>
  <si>
    <t>Gray Elixir</t>
  </si>
  <si>
    <t>mustakmdminhajuddin@gmail.com</t>
  </si>
  <si>
    <t>Detergent Fragrance Encapsulated</t>
  </si>
  <si>
    <t>F220001061</t>
  </si>
  <si>
    <t>Kishor</t>
  </si>
  <si>
    <t>kishorcct@gmail.com</t>
  </si>
  <si>
    <t>Vizianagaram</t>
  </si>
  <si>
    <t>Phenyl Compound Pine Base</t>
  </si>
  <si>
    <t>F220001060</t>
  </si>
  <si>
    <t>Rafat Jahan</t>
  </si>
  <si>
    <t>rafatjahan90@gmail.com</t>
  </si>
  <si>
    <t>Japanese Cherry Blossom Fragrance Oil.</t>
  </si>
  <si>
    <t>COSMATICS PRICE LIST SEND</t>
  </si>
  <si>
    <t>Subroto Saha</t>
  </si>
  <si>
    <t>subroto62@gmail.com</t>
  </si>
  <si>
    <t>27-12-2022</t>
  </si>
  <si>
    <t>F220001059</t>
  </si>
  <si>
    <t>Sritharar</t>
  </si>
  <si>
    <t>IKFS</t>
  </si>
  <si>
    <t>srithararikfsceo@gmail.com</t>
  </si>
  <si>
    <t>F220001058</t>
  </si>
  <si>
    <t xml:space="preserve">
Bablu</t>
  </si>
  <si>
    <t>Afoota Spice Pvt Limited</t>
  </si>
  <si>
    <t>bablubera552@gmail.com</t>
  </si>
  <si>
    <t>DISH WASH ER JONNO 1 KG LEMON NIEYCHEN</t>
  </si>
  <si>
    <t>F220001057</t>
  </si>
  <si>
    <t>Dhiraj</t>
  </si>
  <si>
    <t xml:space="preserve">Manpasand Beverage Ltd.
</t>
  </si>
  <si>
    <t>dhiraj.sisodia@icloud.com</t>
  </si>
  <si>
    <t>Rutaceae Liquid Lemon Oil</t>
  </si>
  <si>
    <t>F220001056</t>
  </si>
  <si>
    <t>Nellai Kumar</t>
  </si>
  <si>
    <t xml:space="preserve">Aasskaar House Cleaning </t>
  </si>
  <si>
    <t>balamanikandanm@gmail.com</t>
  </si>
  <si>
    <t>Lemon Pulp Perfume</t>
  </si>
  <si>
    <t>F220001055</t>
  </si>
  <si>
    <t>Shaan</t>
  </si>
  <si>
    <t xml:space="preserve">Lucky Pastries
</t>
  </si>
  <si>
    <t>TRADING KORE</t>
  </si>
  <si>
    <t>F220001054</t>
  </si>
  <si>
    <t>Akatoachumi</t>
  </si>
  <si>
    <t>ajadzuvichu@gmail.com</t>
  </si>
  <si>
    <t>Brut Fragrance Perfume</t>
  </si>
  <si>
    <t>Need to Discuss</t>
  </si>
  <si>
    <t>F220001053</t>
  </si>
  <si>
    <t>Trisha</t>
  </si>
  <si>
    <t>trisha13k@gmail.com</t>
  </si>
  <si>
    <t>CANDLE PRICE LEST SEND</t>
  </si>
  <si>
    <t>F220001052</t>
  </si>
  <si>
    <t>Rupali</t>
  </si>
  <si>
    <t xml:space="preserve">
Librianrupali@gmail.com</t>
  </si>
  <si>
    <t>F220001051</t>
  </si>
  <si>
    <t xml:space="preserve">anilbehera9937894663@gmail.com
</t>
  </si>
  <si>
    <t>F220001050</t>
  </si>
  <si>
    <t>s
Prat</t>
  </si>
  <si>
    <t>TIFOREA</t>
  </si>
  <si>
    <t>F220001049</t>
  </si>
  <si>
    <t>Venkatesh</t>
  </si>
  <si>
    <t>V K Industries</t>
  </si>
  <si>
    <t>venkateshbm685@gmail.com</t>
  </si>
  <si>
    <t>F220001048</t>
  </si>
  <si>
    <t>Palash Roy</t>
  </si>
  <si>
    <t>palashroy.bkp@gmail.com</t>
  </si>
  <si>
    <t xml:space="preserve"> Perfume Lemon </t>
  </si>
  <si>
    <t>F220001047</t>
  </si>
  <si>
    <t>Koushik Naskar</t>
  </si>
  <si>
    <t>naskarrimpa1@gmail.com</t>
  </si>
  <si>
    <t>Rajarhat Gopalpur</t>
  </si>
  <si>
    <t>1 KG KORE STRAWBERRY, ZEAL,RAJNIGANDHA, BHARAT WAASI</t>
  </si>
  <si>
    <t>26-12-2022</t>
  </si>
  <si>
    <t>F220001046</t>
  </si>
  <si>
    <t>Salimuddin Siddiqui</t>
  </si>
  <si>
    <t>Sulaiman Arabian Perfumes</t>
  </si>
  <si>
    <t>siddiqui795@gmail.com</t>
  </si>
  <si>
    <t>French Imported Fragrance Oils</t>
  </si>
  <si>
    <t>F220001045</t>
  </si>
  <si>
    <t>Rasid. Sekh</t>
  </si>
  <si>
    <t>shobnam28khatun2006@gmail.com</t>
  </si>
  <si>
    <t xml:space="preserve">
Howrah</t>
  </si>
  <si>
    <t>F220001044</t>
  </si>
  <si>
    <t>Loganatgan Ganesan</t>
  </si>
  <si>
    <t>loganathan11188@gmail.com</t>
  </si>
  <si>
    <t>F220001043</t>
  </si>
  <si>
    <t xml:space="preserve">Arumugam K
</t>
  </si>
  <si>
    <t xml:space="preserve">
SAS Herbals &amp;nursery</t>
  </si>
  <si>
    <t>arumugamk999@gmail.com</t>
  </si>
  <si>
    <t>F220001042</t>
  </si>
  <si>
    <t>Binu</t>
  </si>
  <si>
    <t>poulamdas111@gmail.com</t>
  </si>
  <si>
    <t>F220001041</t>
  </si>
  <si>
    <t>Shahid Akhtar</t>
  </si>
  <si>
    <t>akhtarshahidindia@gmail.com</t>
  </si>
  <si>
    <t>Katihar</t>
  </si>
  <si>
    <t>ER AGE 1 KG ROSE NIEYCHEN</t>
  </si>
  <si>
    <t>F220001040</t>
  </si>
  <si>
    <t>L.M Gupta</t>
  </si>
  <si>
    <t>credencecompany@gmail.com</t>
  </si>
  <si>
    <t>F220001039</t>
  </si>
  <si>
    <t>Mathew Joseph</t>
  </si>
  <si>
    <t>sjvhandicrafts@gmail.com</t>
  </si>
  <si>
    <t>Kottayam</t>
  </si>
  <si>
    <t>F220001038</t>
  </si>
  <si>
    <t xml:space="preserve">Kewal Krishna
</t>
  </si>
  <si>
    <t>kewalkrishnakapoor@gmail.com</t>
  </si>
  <si>
    <t xml:space="preserve">Varanasi
</t>
  </si>
  <si>
    <t>24-12-2022</t>
  </si>
  <si>
    <t>F220001037</t>
  </si>
  <si>
    <t>Mahesh Jore</t>
  </si>
  <si>
    <t>ashwamedhagri@yahoo.co.in</t>
  </si>
  <si>
    <t>inAhmednagar</t>
  </si>
  <si>
    <t>F220001036</t>
  </si>
  <si>
    <t>Sourav Banerjee</t>
  </si>
  <si>
    <t>banerjee.sourav82@gmail.com</t>
  </si>
  <si>
    <t xml:space="preserve">Kolkata
</t>
  </si>
  <si>
    <t>PHENYL CONCENTRATE,</t>
  </si>
  <si>
    <t>PURSONAL USE ER JANNO PJENYL</t>
  </si>
  <si>
    <t>F220001035</t>
  </si>
  <si>
    <t>Sukanta</t>
  </si>
  <si>
    <t>sukantabhadrakpa@gmail.com</t>
  </si>
  <si>
    <t>F220001034</t>
  </si>
  <si>
    <t>DR. RAGEESH</t>
  </si>
  <si>
    <t>VEDA AYURVEDICS PVT.LTD</t>
  </si>
  <si>
    <t>drrageesh2011@gmail.com</t>
  </si>
  <si>
    <t>KAKKODI</t>
  </si>
  <si>
    <t>FRUIT FRAGRANCE</t>
  </si>
  <si>
    <t>Sample Sent</t>
  </si>
  <si>
    <t>ORANGE, WATER MELON MASSAGE</t>
  </si>
  <si>
    <t>F220001033</t>
  </si>
  <si>
    <t xml:space="preserve">Belora Cosmetics
</t>
  </si>
  <si>
    <t xml:space="preserve">
jakhar.deepak0101@gmail.com
</t>
  </si>
  <si>
    <t xml:space="preserve">Fragrance Filling
</t>
  </si>
  <si>
    <t>PERFUME BANABEN</t>
  </si>
  <si>
    <t>F220001032</t>
  </si>
  <si>
    <t xml:space="preserve">
Kesari Chemicals
</t>
  </si>
  <si>
    <t xml:space="preserve">ravigkesarwani@gmail.com
</t>
  </si>
  <si>
    <t xml:space="preserve">Ghaziabad </t>
  </si>
  <si>
    <t>F220001031</t>
  </si>
  <si>
    <t>Jigar Sinh Parmar</t>
  </si>
  <si>
    <t>shreenkchemicals@gmail.com</t>
  </si>
  <si>
    <t>Panoli INA</t>
  </si>
  <si>
    <t>F220001030</t>
  </si>
  <si>
    <t>Shuchita Multani</t>
  </si>
  <si>
    <t>shuchitamultani31@gmail.com</t>
  </si>
  <si>
    <t>Citronella-s</t>
  </si>
  <si>
    <t>F220001029</t>
  </si>
  <si>
    <t>Naresh</t>
  </si>
  <si>
    <t>F220001028</t>
  </si>
  <si>
    <t>Manas Ranjan Mishra</t>
  </si>
  <si>
    <t>mishramanas1968@gmail.com</t>
  </si>
  <si>
    <t xml:space="preserve">Baripada
</t>
  </si>
  <si>
    <t xml:space="preserve">Lemongrass Oil </t>
  </si>
  <si>
    <t>LEMONGRASS NEJEI SELL KOREN</t>
  </si>
  <si>
    <t>F220001027</t>
  </si>
  <si>
    <t>AMIT KUMAR</t>
  </si>
  <si>
    <t xml:space="preserve">Ranchi
</t>
  </si>
  <si>
    <t>F220001026</t>
  </si>
  <si>
    <t>Saravanan</t>
  </si>
  <si>
    <t>saravanan7614@gmail.com</t>
  </si>
  <si>
    <t xml:space="preserve">Tiruvannamalai
</t>
  </si>
  <si>
    <t>Neem Aloe Fragrance Oii</t>
  </si>
  <si>
    <t>23-12-2022</t>
  </si>
  <si>
    <t xml:space="preserve">
Priyanka</t>
  </si>
  <si>
    <t>Himanshu Devgan</t>
  </si>
  <si>
    <t xml:space="preserve">inbox2himanshu@gmail.com
</t>
  </si>
  <si>
    <t>F220001025</t>
  </si>
  <si>
    <t>Nishant Jaiswa</t>
  </si>
  <si>
    <t>F220001024</t>
  </si>
  <si>
    <t>Kewal Krishna</t>
  </si>
  <si>
    <t xml:space="preserve">
kewalkrishnakapoor@gmail.com
</t>
  </si>
  <si>
    <t>F220001023</t>
  </si>
  <si>
    <t>Devchani Roy Chowdhury</t>
  </si>
  <si>
    <t>rc_deb@yahoo.com</t>
  </si>
  <si>
    <t>Coco Chanel Fragrance Oil</t>
  </si>
  <si>
    <t>PERFUME</t>
  </si>
  <si>
    <t>F220001022</t>
  </si>
  <si>
    <t>Sadiq</t>
  </si>
  <si>
    <t>mohammed.sadiq88@gmail.com</t>
  </si>
  <si>
    <t>F220001021</t>
  </si>
  <si>
    <t>Miin</t>
  </si>
  <si>
    <t xml:space="preserve">
Ahmedabad</t>
  </si>
  <si>
    <t>F220001020</t>
  </si>
  <si>
    <t>Raman</t>
  </si>
  <si>
    <t>F220001019</t>
  </si>
  <si>
    <t>Ashok Das</t>
  </si>
  <si>
    <t>adas12767@gmail.com</t>
  </si>
  <si>
    <t xml:space="preserve">Agarbatti fragrance </t>
  </si>
  <si>
    <t>F220001018</t>
  </si>
  <si>
    <t>Arindam Paul</t>
  </si>
  <si>
    <t xml:space="preserve">Sandal Agarbatti </t>
  </si>
  <si>
    <t>22-12-2022</t>
  </si>
  <si>
    <t>F220001017</t>
  </si>
  <si>
    <t>Anil Kumar</t>
  </si>
  <si>
    <t xml:space="preserve">Lala Ji Sels
</t>
  </si>
  <si>
    <t>anilkumar0007an@gmail.com</t>
  </si>
  <si>
    <t>AGARBATTI</t>
  </si>
  <si>
    <t>F220001016</t>
  </si>
  <si>
    <t>Sayesha</t>
  </si>
  <si>
    <t>sayesharahman652@gmail.com</t>
  </si>
  <si>
    <t>F220001015</t>
  </si>
  <si>
    <t>Pratibha Bhujbal</t>
  </si>
  <si>
    <t>Hanix hygiene chemical products</t>
  </si>
  <si>
    <t xml:space="preserve">
pratibhabhujbal.13@gmail.com</t>
  </si>
  <si>
    <t>F220001014</t>
  </si>
  <si>
    <t>Jyoti G Pujari</t>
  </si>
  <si>
    <t xml:space="preserve">
G-Soil Agro India Private Limited
</t>
  </si>
  <si>
    <t>gsoilagroindiapvtltd@gmail.com</t>
  </si>
  <si>
    <t>Honey Fragrance Oil</t>
  </si>
  <si>
    <t>AGRICULTURE E USE HOBE</t>
  </si>
  <si>
    <t>F220001013</t>
  </si>
  <si>
    <t>NGanguly</t>
  </si>
  <si>
    <t>nganguly@bsnl.in</t>
  </si>
  <si>
    <t xml:space="preserve">Eucalyptus Oil </t>
  </si>
  <si>
    <t>1KG EUCALYPTUS NIEYCHEN BARIR JANNO</t>
  </si>
  <si>
    <t>F220001012</t>
  </si>
  <si>
    <t>Satyajitmohanty</t>
  </si>
  <si>
    <t>www.satyajitmohanty143@gmail.com</t>
  </si>
  <si>
    <t>Chandbali</t>
  </si>
  <si>
    <t>PONDS Premium Agarbatti Perfume.</t>
  </si>
  <si>
    <t>F220001011</t>
  </si>
  <si>
    <t>Dr. Pinku Nath</t>
  </si>
  <si>
    <t>pinkunath200@gmail.com</t>
  </si>
  <si>
    <t xml:space="preserve">Mangaldai
</t>
  </si>
  <si>
    <t xml:space="preserve"> Phenyl Thickener</t>
  </si>
  <si>
    <t>21-12-2022</t>
  </si>
  <si>
    <t>Mahesh Darekar</t>
  </si>
  <si>
    <t>professional tank cleaning services</t>
  </si>
  <si>
    <t>darekarmd59@gmailcom</t>
  </si>
  <si>
    <t>F220001010</t>
  </si>
  <si>
    <t>Galaxy Kasturi Agarbatti Perfume</t>
  </si>
  <si>
    <t>F220001009</t>
  </si>
  <si>
    <t>ShubhamRana</t>
  </si>
  <si>
    <t>Divyanshu Industries</t>
  </si>
  <si>
    <t>thakurshubhamrana014@gmail.com</t>
  </si>
  <si>
    <t>F220001008</t>
  </si>
  <si>
    <t>Perkash</t>
  </si>
  <si>
    <t>F220001007</t>
  </si>
  <si>
    <t>Wasim</t>
  </si>
  <si>
    <t>wasimkhan84153@gmail.com</t>
  </si>
  <si>
    <t>F220001006</t>
  </si>
  <si>
    <t>Abhinandan Enterprises</t>
  </si>
  <si>
    <t>24 Parganas,</t>
  </si>
  <si>
    <t>F220001005</t>
  </si>
  <si>
    <t>anujm0192@gmail.com</t>
  </si>
  <si>
    <t>F220001004</t>
  </si>
  <si>
    <t>Sarthak</t>
  </si>
  <si>
    <t>official.malhotra03@gmail.com</t>
  </si>
  <si>
    <t>F220001003</t>
  </si>
  <si>
    <t>Shobhana</t>
  </si>
  <si>
    <t>F220001002</t>
  </si>
  <si>
    <t>F220001001</t>
  </si>
  <si>
    <t>Vaishali</t>
  </si>
  <si>
    <t>vaishalikhodke.vk@gmail.com</t>
  </si>
  <si>
    <t>F220001000</t>
  </si>
  <si>
    <t>Garima Vasudev</t>
  </si>
  <si>
    <t xml:space="preserve">garima.vasudev56@gmail.com
</t>
  </si>
  <si>
    <t>F22000999</t>
  </si>
  <si>
    <t>Arindam Sarkar</t>
  </si>
  <si>
    <t xml:space="preserve">
Anwesha agarbatti</t>
  </si>
  <si>
    <t>sarkararindam075@gmail.com</t>
  </si>
  <si>
    <t>Agarbatti Tulip Fragrance Oil</t>
  </si>
  <si>
    <t>INCOMEING CALL NOT ABULABUL</t>
  </si>
  <si>
    <t>F22000998</t>
  </si>
  <si>
    <t>Rizan Khan</t>
  </si>
  <si>
    <t>sanrise kirana and janrel</t>
  </si>
  <si>
    <t xml:space="preserve">mohdrizwan1403@gmail.com
</t>
  </si>
  <si>
    <t>F22000997</t>
  </si>
  <si>
    <t xml:space="preserve">Sandip  </t>
  </si>
  <si>
    <t>sandipbag9537@gmail.com</t>
  </si>
  <si>
    <t>F22000996</t>
  </si>
  <si>
    <t>Sonali Anantha</t>
  </si>
  <si>
    <t>sonalianantha@gmail.com</t>
  </si>
  <si>
    <t xml:space="preserve"> Fragrances for Candle </t>
  </si>
  <si>
    <t>20-12-2022</t>
  </si>
  <si>
    <t>F22000995</t>
  </si>
  <si>
    <t>Sk Rafiqul Islam</t>
  </si>
  <si>
    <t>RUHINAENTERPRICE</t>
  </si>
  <si>
    <t xml:space="preserve">
rafiqul89593@gmail.com
</t>
  </si>
  <si>
    <t>Midnapore -</t>
  </si>
  <si>
    <t>White Micro Encapsulated Fragrance</t>
  </si>
  <si>
    <t>F22000994</t>
  </si>
  <si>
    <t>Avishek Mukherjee</t>
  </si>
  <si>
    <t>AGARBATTI LAGBE</t>
  </si>
  <si>
    <t>F22000993</t>
  </si>
  <si>
    <t>Asadulla Nayia</t>
  </si>
  <si>
    <t>asadullanayia@gmail.com</t>
  </si>
  <si>
    <t>Detergent Booster Perfume</t>
  </si>
  <si>
    <t>F22000992</t>
  </si>
  <si>
    <t>Mr Ajay Gupta</t>
  </si>
  <si>
    <t>Balaji Innovvative Solutions</t>
  </si>
  <si>
    <t xml:space="preserve">ajayguptabalajihygine@gmail.com
</t>
  </si>
  <si>
    <t>Hand Wash Liquid Soap</t>
  </si>
  <si>
    <t>READY HAND WASH CHAI</t>
  </si>
  <si>
    <t>F22000991</t>
  </si>
  <si>
    <t>Narendra Baghel</t>
  </si>
  <si>
    <t>baghelmonendra@gmail.com</t>
  </si>
  <si>
    <t>Neem Soap Perfume</t>
  </si>
  <si>
    <t>F22000990</t>
  </si>
  <si>
    <t>Balwinder Sharma</t>
  </si>
  <si>
    <t>balwindersharma0164@gmail.com</t>
  </si>
  <si>
    <t>F22000989</t>
  </si>
  <si>
    <t xml:space="preserve">Vidhanta Traders
</t>
  </si>
  <si>
    <t xml:space="preserve">vedantatraderslmp@gmail.com
</t>
  </si>
  <si>
    <t>PHENYL ER JONNO FRAGRANCE NEBEN</t>
  </si>
  <si>
    <t>F22000988</t>
  </si>
  <si>
    <t>irshadchoudhary07860786@gmail.com</t>
  </si>
  <si>
    <t>ONLINE SHOPING LINK DIEYCHI</t>
  </si>
  <si>
    <t>19-12-2022</t>
  </si>
  <si>
    <t>F22000987</t>
  </si>
  <si>
    <t>Subhashbhai GokalbhaiJiyani</t>
  </si>
  <si>
    <t>Lonesta Cosmetic</t>
  </si>
  <si>
    <t>lonestacosmetics@gmail.com</t>
  </si>
  <si>
    <t>F22000986</t>
  </si>
  <si>
    <t>Vijay</t>
  </si>
  <si>
    <t xml:space="preserve">Sri Sakthi Agarbathies
</t>
  </si>
  <si>
    <t xml:space="preserve">
slovevijay@gmail.com</t>
  </si>
  <si>
    <t>F22000985</t>
  </si>
  <si>
    <t>Shahul</t>
  </si>
  <si>
    <t>shameedsk@gmail.com</t>
  </si>
  <si>
    <t>F22000984</t>
  </si>
  <si>
    <t>Haris</t>
  </si>
  <si>
    <t>hariscttgi@gmail.com</t>
  </si>
  <si>
    <t>F22000983</t>
  </si>
  <si>
    <t>F22000982</t>
  </si>
  <si>
    <t>Mohd Hasan</t>
  </si>
  <si>
    <t xml:space="preserve">Hindustan Nails
</t>
  </si>
  <si>
    <t>ATTAR PERFUME</t>
  </si>
  <si>
    <t>CASH  ON DELHIVERY CHAYCHE</t>
  </si>
  <si>
    <t>F22000981</t>
  </si>
  <si>
    <t>Seemanta Bordoloo</t>
  </si>
  <si>
    <t>seemantabordoloi55@gmail.com</t>
  </si>
  <si>
    <t xml:space="preserve">Nagaon
</t>
  </si>
  <si>
    <t>F22000980</t>
  </si>
  <si>
    <t>Rajinder Prasad</t>
  </si>
  <si>
    <t>rajenderprasad007@gmail.com</t>
  </si>
  <si>
    <t>Lavender Fragnance Oil'.</t>
  </si>
  <si>
    <t>CANDY KE LIEY</t>
  </si>
  <si>
    <t>F22000979</t>
  </si>
  <si>
    <t>Saurav Saha</t>
  </si>
  <si>
    <t>1989sauravsaha@gmail.com</t>
  </si>
  <si>
    <t>17-12-2022</t>
  </si>
  <si>
    <t>F22000978</t>
  </si>
  <si>
    <t xml:space="preserve">
Dakshin Dinajpur</t>
  </si>
  <si>
    <t>F22000977</t>
  </si>
  <si>
    <t>RAJNEESH SAINI</t>
  </si>
  <si>
    <t>Lemon grass products private limited</t>
  </si>
  <si>
    <t xml:space="preserve">rajneeshsaini15051998@gmail.com
</t>
  </si>
  <si>
    <t>F22000976</t>
  </si>
  <si>
    <t xml:space="preserve">
tanzilsayed786@gmail.com</t>
  </si>
  <si>
    <t>Cosmetic Fragrance Perfume</t>
  </si>
  <si>
    <t>F22000975</t>
  </si>
  <si>
    <t>Gul</t>
  </si>
  <si>
    <t>gulfishan5@rediffmail.com</t>
  </si>
  <si>
    <t>F22000974</t>
  </si>
  <si>
    <t>Mohdusman Haroon Khan</t>
  </si>
  <si>
    <t>Faiz Agencies</t>
  </si>
  <si>
    <t xml:space="preserve">
mvakarnus@gmail.com</t>
  </si>
  <si>
    <t>F22000973</t>
  </si>
  <si>
    <t>Kumar</t>
  </si>
  <si>
    <t>Gold Sandal Agarbatti Fragrance</t>
  </si>
  <si>
    <t>F22000972</t>
  </si>
  <si>
    <t>Surendra Kumar Dash</t>
  </si>
  <si>
    <t>Samrnek Kap Dhoop Bati</t>
  </si>
  <si>
    <t>16-12-2022</t>
  </si>
  <si>
    <t>F22000971</t>
  </si>
  <si>
    <t>MUMUN SAHA</t>
  </si>
  <si>
    <t>SHRIJA AGARBATTI</t>
  </si>
  <si>
    <t>F22000970</t>
  </si>
  <si>
    <t>CANDLE</t>
  </si>
  <si>
    <t>1 KG LAVENDER, 7 TYPE SAMPLE SAMPLE NIEYCHEN</t>
  </si>
  <si>
    <t>F22000969</t>
  </si>
  <si>
    <t>Info Solution</t>
  </si>
  <si>
    <t xml:space="preserve">
i_nfosolutions@hotmail.com</t>
  </si>
  <si>
    <t xml:space="preserve">
Kolkata </t>
  </si>
  <si>
    <t>FRAGRANCE OR THICKENER LAGBE</t>
  </si>
  <si>
    <t>F22000968</t>
  </si>
  <si>
    <t>SOURAV PAUL</t>
  </si>
  <si>
    <t>F22000967</t>
  </si>
  <si>
    <t>Dileep</t>
  </si>
  <si>
    <t>Dileep Store</t>
  </si>
  <si>
    <t xml:space="preserve">2011sumansingh@gmail.com
</t>
  </si>
  <si>
    <t>F22000966</t>
  </si>
  <si>
    <t>anwarrockz70@gmail.com</t>
  </si>
  <si>
    <t>Fragrance.</t>
  </si>
  <si>
    <t>LOCAL THEKE  NIEYCHEN</t>
  </si>
  <si>
    <t>F22000965</t>
  </si>
  <si>
    <t>Ajeet Singh</t>
  </si>
  <si>
    <t>aajeetsingh@gmail.com</t>
  </si>
  <si>
    <t>BODY SPRAY LAGBE</t>
  </si>
  <si>
    <t>15-12-2022</t>
  </si>
  <si>
    <t>Halti And Ongs</t>
  </si>
  <si>
    <t>Lemongrass Fragnance</t>
  </si>
  <si>
    <t>Vikas Jain</t>
  </si>
  <si>
    <t>Vardhaman Steel Centre</t>
  </si>
  <si>
    <t xml:space="preserve">Ponds Perfume Fragrance </t>
  </si>
  <si>
    <t>F22000964</t>
  </si>
  <si>
    <t>maheshprasanka1@gmail.com</t>
  </si>
  <si>
    <t>Blue Water Perfume Fragrance</t>
  </si>
  <si>
    <t>F22000963</t>
  </si>
  <si>
    <t>Feroz Alam</t>
  </si>
  <si>
    <t>feroz664@gmail.com</t>
  </si>
  <si>
    <t xml:space="preserve">Delhi
</t>
  </si>
  <si>
    <t>F22000962</t>
  </si>
  <si>
    <t>Yellow Detergent Fragrance</t>
  </si>
  <si>
    <t>F22000961</t>
  </si>
  <si>
    <t>Mohit Panday</t>
  </si>
  <si>
    <t>mohitpandey64098@gmail.com</t>
  </si>
  <si>
    <t>Greater Noida</t>
  </si>
  <si>
    <t xml:space="preserve"> Rose Perfume Fragrance</t>
  </si>
  <si>
    <t>AGARBATTI PRIC LIST SEND</t>
  </si>
  <si>
    <t>F22000960</t>
  </si>
  <si>
    <t>Sk Sahin</t>
  </si>
  <si>
    <t>sahin8513@gmail.com</t>
  </si>
  <si>
    <t>Lemon</t>
  </si>
  <si>
    <t>DETERGENT POWDAR LAGBE</t>
  </si>
  <si>
    <t>14-12-2022</t>
  </si>
  <si>
    <t>F22000959</t>
  </si>
  <si>
    <t xml:space="preserve">Takshi </t>
  </si>
  <si>
    <t xml:space="preserve">Takshi Multichemicals
</t>
  </si>
  <si>
    <t>takshimultichemicals@gmail.com</t>
  </si>
  <si>
    <t>Citronella Java Oil</t>
  </si>
  <si>
    <t>F22000958</t>
  </si>
  <si>
    <t xml:space="preserve">SHYAMRENU </t>
  </si>
  <si>
    <t>SHYAMRENU ENTERPRISE LLP</t>
  </si>
  <si>
    <t>PHENYL CONCENTRATE</t>
  </si>
  <si>
    <t>F22000957</t>
  </si>
  <si>
    <t>Nikita</t>
  </si>
  <si>
    <t>murilikhitha@gmail.com</t>
  </si>
  <si>
    <t>CANDLE , PRICE LIST SEND</t>
  </si>
  <si>
    <t>F22000956</t>
  </si>
  <si>
    <t>Pavan Kumar</t>
  </si>
  <si>
    <t>PINE OIL PHENYL CONCENTRATE</t>
  </si>
  <si>
    <t>F22000955</t>
  </si>
  <si>
    <t>Pulak Patel</t>
  </si>
  <si>
    <t>smileghanshyam5@gmail.com</t>
  </si>
  <si>
    <t xml:space="preserve">Bargarh
</t>
  </si>
  <si>
    <t>White Phenyl Concentrate.</t>
  </si>
  <si>
    <t>PINE OIL NEBEN</t>
  </si>
  <si>
    <t>F22000954</t>
  </si>
  <si>
    <t>Geetima</t>
  </si>
  <si>
    <t>geetimadeka73@gmail.com</t>
  </si>
  <si>
    <t xml:space="preserve">Guwahati
</t>
  </si>
  <si>
    <t xml:space="preserve"> Soap Making Fragrance</t>
  </si>
  <si>
    <t>ROSE77,RAJANIGANDHA T, CHAMPA 77,LAVENDER77</t>
  </si>
  <si>
    <t>F22000953</t>
  </si>
  <si>
    <t>Jhuma Dey</t>
  </si>
  <si>
    <t>revivalnursinghome2015@gmail.com</t>
  </si>
  <si>
    <t xml:space="preserve"> Floor Cleaner</t>
  </si>
  <si>
    <t>13-12-2022</t>
  </si>
  <si>
    <t>F22000952</t>
  </si>
  <si>
    <t>SREE GURU ENTERPRISE</t>
  </si>
  <si>
    <t>F22000951</t>
  </si>
  <si>
    <t xml:space="preserve"> Jharkhand</t>
  </si>
  <si>
    <t>Clear Phenyl Concentrate</t>
  </si>
  <si>
    <t>F22000950</t>
  </si>
  <si>
    <t xml:space="preserve">Sizzle India Pvt Ltd
</t>
  </si>
  <si>
    <t>itsritukadian@gmail.com</t>
  </si>
  <si>
    <t>DETTERGENT FRAGRANCE PRICE LIST SEND</t>
  </si>
  <si>
    <t>F22000949</t>
  </si>
  <si>
    <t>Vandana Jha</t>
  </si>
  <si>
    <t>jhav1411@gmail.com</t>
  </si>
  <si>
    <t>Candle Rose Fragrance</t>
  </si>
  <si>
    <t>F22000948</t>
  </si>
  <si>
    <t>Gautam Gadhiya</t>
  </si>
  <si>
    <t>Highfield Life Care</t>
  </si>
  <si>
    <t xml:space="preserve">
highfieldlifecare@gmail.com</t>
  </si>
  <si>
    <t>F22000947</t>
  </si>
  <si>
    <t>Ajay Paul Chaudhary</t>
  </si>
  <si>
    <t>ajay.paulchowdhury@rediffmail.com</t>
  </si>
  <si>
    <t>F22000946</t>
  </si>
  <si>
    <t>Md Ekhlaq Khan</t>
  </si>
  <si>
    <t>veerkhan260@gmail.com</t>
  </si>
  <si>
    <t>Yellow Jasmine Jasmin 74</t>
  </si>
  <si>
    <t>F22000945</t>
  </si>
  <si>
    <t>Jagannath Sahoo</t>
  </si>
  <si>
    <t>jagannathsahoo1986@gmail.com</t>
  </si>
  <si>
    <t>F22000944</t>
  </si>
  <si>
    <t>Deepak Choudhary</t>
  </si>
  <si>
    <t>dhmn001@rediffmail.com</t>
  </si>
  <si>
    <t>Haridwar</t>
  </si>
  <si>
    <t xml:space="preserve">Lavender Fragnance </t>
  </si>
  <si>
    <t>F22000943</t>
  </si>
  <si>
    <t>HUSIUN</t>
  </si>
  <si>
    <t>F22000942</t>
  </si>
  <si>
    <t>Sarag Moni Deori</t>
  </si>
  <si>
    <t>SNEHTIRTHA INTERNATIONAL OPC PVT. LTD.</t>
  </si>
  <si>
    <t>contactusmass@gmail.com</t>
  </si>
  <si>
    <t>F22000941</t>
  </si>
  <si>
    <t xml:space="preserve">
Honesty Machinery Company</t>
  </si>
  <si>
    <t>honman1011@yahoo.co.in</t>
  </si>
  <si>
    <t>F22000940</t>
  </si>
  <si>
    <t>Duryodhan Nayk</t>
  </si>
  <si>
    <t>GARGI INCENSE INDUSTRIES</t>
  </si>
  <si>
    <t>duryodhannayak58@gmail.com</t>
  </si>
  <si>
    <t>Musk Kesar Chandan Agarbatti Fragrance</t>
  </si>
  <si>
    <t>F22000939</t>
  </si>
  <si>
    <t>Ajay Kumar Mahto</t>
  </si>
  <si>
    <t>Agarbatti Perfume &amp; D.e.p Oil</t>
  </si>
  <si>
    <t>F22000938</t>
  </si>
  <si>
    <t xml:space="preserve">
Chandan</t>
  </si>
  <si>
    <t>F22000937</t>
  </si>
  <si>
    <t>Shivadas</t>
  </si>
  <si>
    <t>Jasmine 74 Agarbathi Compound</t>
  </si>
  <si>
    <t>F22000936</t>
  </si>
  <si>
    <t>Amarnath Banerjee</t>
  </si>
  <si>
    <t>F22000935</t>
  </si>
  <si>
    <t>Bhabatosh Parida</t>
  </si>
  <si>
    <t>bhbatoshparida@gmail.com</t>
  </si>
  <si>
    <t>F22000934</t>
  </si>
  <si>
    <t>Ranjeet Mondal</t>
  </si>
  <si>
    <t>F22000933</t>
  </si>
  <si>
    <t xml:space="preserve">Jatin
</t>
  </si>
  <si>
    <t>divyamgupta170@gmail.com</t>
  </si>
  <si>
    <t>F22000932</t>
  </si>
  <si>
    <t>ZEP MAHOMAD</t>
  </si>
  <si>
    <t>NEWTOWN</t>
  </si>
  <si>
    <t>6 RAKOM FRAGRANCE , 5 ROKOM SAMPLE NIEYCHEN</t>
  </si>
  <si>
    <t>F22000931</t>
  </si>
  <si>
    <t>SUNIL KUMAR</t>
  </si>
  <si>
    <t>JAMSADPUR</t>
  </si>
  <si>
    <t>F22000930</t>
  </si>
  <si>
    <t>A.R ENTERPRICE</t>
  </si>
  <si>
    <t>JUICE PERFUME</t>
  </si>
  <si>
    <t>MANGO, ORANGE, LITCHI, STRAWBERY, PINEAPPLE, PRESERVATIVE</t>
  </si>
  <si>
    <t>F22000929</t>
  </si>
  <si>
    <t>Subhra</t>
  </si>
  <si>
    <t>subhrasutradhar75@gmail.com</t>
  </si>
  <si>
    <t xml:space="preserve">Mal Bazar, </t>
  </si>
  <si>
    <t>F22000928</t>
  </si>
  <si>
    <t>Samir Barik</t>
  </si>
  <si>
    <t>saicartridgecare@gmail.com</t>
  </si>
  <si>
    <t>F22000927</t>
  </si>
  <si>
    <t>Nitesh Kumar</t>
  </si>
  <si>
    <t>Dharma Powerfull</t>
  </si>
  <si>
    <t>niteshkumarwork@gmail.com</t>
  </si>
  <si>
    <t>Phenyl Thickners</t>
  </si>
  <si>
    <t>F22000926</t>
  </si>
  <si>
    <t>Arbas Patel</t>
  </si>
  <si>
    <t>ATTTR LAGBE ,</t>
  </si>
  <si>
    <t>F22000925</t>
  </si>
  <si>
    <t>Jasleen Chawla</t>
  </si>
  <si>
    <t>jazz.chawla09@gmail.com</t>
  </si>
  <si>
    <t>Natural Organic Fragrance Oil</t>
  </si>
  <si>
    <t>F22000924</t>
  </si>
  <si>
    <t>Priya Samant</t>
  </si>
  <si>
    <t>priyasamant2002@gmail.com</t>
  </si>
  <si>
    <t xml:space="preserve">Noida
</t>
  </si>
  <si>
    <t>F22000923</t>
  </si>
  <si>
    <t>Venu Gopalan</t>
  </si>
  <si>
    <t>venugopalan29@rediffmail.com</t>
  </si>
  <si>
    <t>Kochi</t>
  </si>
  <si>
    <t>F22000922</t>
  </si>
  <si>
    <t>Ravi Bushan Varma</t>
  </si>
  <si>
    <t>mukeshverma449@gmail.com</t>
  </si>
  <si>
    <t>Motihari</t>
  </si>
  <si>
    <t>Phenyl Concentrate or Fargnence</t>
  </si>
  <si>
    <t>F22000921</t>
  </si>
  <si>
    <t>A.Biswas</t>
  </si>
  <si>
    <t>sa.communication2017@gmail.com</t>
  </si>
  <si>
    <t>F22000920</t>
  </si>
  <si>
    <t>Aryan Singh</t>
  </si>
  <si>
    <t xml:space="preserve">Pragtisheel Mhela Self Help Group
</t>
  </si>
  <si>
    <t xml:space="preserve">
balaji.sply1@gmail.com
</t>
  </si>
  <si>
    <t>Soap and Shampoo Fragrances</t>
  </si>
  <si>
    <t>F22000919</t>
  </si>
  <si>
    <t>Smriti Verma</t>
  </si>
  <si>
    <t xml:space="preserve">
smriti.jsr15@gmail.com
</t>
  </si>
  <si>
    <t>Duves Fragrance</t>
  </si>
  <si>
    <t>10 MLLAGBE</t>
  </si>
  <si>
    <t>F22000918</t>
  </si>
  <si>
    <t>ASWIN CS</t>
  </si>
  <si>
    <t>Shlaimar Shop</t>
  </si>
  <si>
    <t>aswincs792@gmail.com</t>
  </si>
  <si>
    <t xml:space="preserve"> Kerala, </t>
  </si>
  <si>
    <t>Fragrance Lotion Perfume</t>
  </si>
  <si>
    <t>F22000917</t>
  </si>
  <si>
    <t>Abhijeet Ramteke</t>
  </si>
  <si>
    <t>Hexa Clean</t>
  </si>
  <si>
    <t>abhijeetramteke10@gmail.com</t>
  </si>
  <si>
    <t>F22000916</t>
  </si>
  <si>
    <t>JAVED</t>
  </si>
  <si>
    <t>KICHUDIN POR JANABEN</t>
  </si>
  <si>
    <t>F22000915</t>
  </si>
  <si>
    <t>OM SHRI ENTERPRISE</t>
  </si>
  <si>
    <t>F22000914</t>
  </si>
  <si>
    <t>Hafijul Mondal</t>
  </si>
  <si>
    <t>Phynile Concentrate.</t>
  </si>
  <si>
    <t>F22000913</t>
  </si>
  <si>
    <t>Arthaanttrik</t>
  </si>
  <si>
    <t xml:space="preserve">Gimex
</t>
  </si>
  <si>
    <t>arthaanttrik@gmail.com</t>
  </si>
  <si>
    <t>F22000912</t>
  </si>
  <si>
    <t xml:space="preserve">RamA </t>
  </si>
  <si>
    <t xml:space="preserve">National Environment </t>
  </si>
  <si>
    <t>F22000911</t>
  </si>
  <si>
    <t>Asa</t>
  </si>
  <si>
    <t>asharaghav546@gmail.com</t>
  </si>
  <si>
    <t xml:space="preserve">Gurugram
</t>
  </si>
  <si>
    <t>F22000910</t>
  </si>
  <si>
    <t>Shailendra Yadav</t>
  </si>
  <si>
    <t>ACHE PORE JANABEN</t>
  </si>
  <si>
    <t>F22000909</t>
  </si>
  <si>
    <t>Jay Raval</t>
  </si>
  <si>
    <t>Jay Traders</t>
  </si>
  <si>
    <t>F22000908</t>
  </si>
  <si>
    <t>Abdul Shaikh</t>
  </si>
  <si>
    <t xml:space="preserve">abdul.kuddus1970@gmail.com
</t>
  </si>
  <si>
    <t>F22000907</t>
  </si>
  <si>
    <t>Aslel</t>
  </si>
  <si>
    <t>F22000906</t>
  </si>
  <si>
    <t>F22000905</t>
  </si>
  <si>
    <t>Kirana</t>
  </si>
  <si>
    <t>kirana9kirana9@gmail.com</t>
  </si>
  <si>
    <t>Lavender Perfume</t>
  </si>
  <si>
    <t>F22000904</t>
  </si>
  <si>
    <t>Maruthi</t>
  </si>
  <si>
    <t>priyadili.143@gmail.com</t>
  </si>
  <si>
    <t>Tumkur</t>
  </si>
  <si>
    <t xml:space="preserve">Shikakai Perfume </t>
  </si>
  <si>
    <t>F22000903</t>
  </si>
  <si>
    <t>green phenyal</t>
  </si>
  <si>
    <t>20%CHANCE</t>
  </si>
  <si>
    <t>F22000902</t>
  </si>
  <si>
    <t>SUSMITA</t>
  </si>
  <si>
    <t>BENGOLAR</t>
  </si>
  <si>
    <t>ROSE R LAVENDAR NIEYCHEN</t>
  </si>
  <si>
    <t>F22000901</t>
  </si>
  <si>
    <t>Phenyle Concentrate</t>
  </si>
  <si>
    <t>DAM BESHI HOCHHE</t>
  </si>
  <si>
    <t>F22000900</t>
  </si>
  <si>
    <t>Dillip Kumar Behera</t>
  </si>
  <si>
    <t>Total Solution</t>
  </si>
  <si>
    <t xml:space="preserve">
beherad516@yahoo.com</t>
  </si>
  <si>
    <t>F22000899</t>
  </si>
  <si>
    <t xml:space="preserve">Raju
</t>
  </si>
  <si>
    <t>Dustu Misti Agarbatti</t>
  </si>
  <si>
    <t>rajubarai1049@gmail.com</t>
  </si>
  <si>
    <t xml:space="preserve">
Kalna</t>
  </si>
  <si>
    <t>F22000898</t>
  </si>
  <si>
    <t>Hariom</t>
  </si>
  <si>
    <t>Lemongrass Oil Machine</t>
  </si>
  <si>
    <t>F22000897</t>
  </si>
  <si>
    <t>Ankit</t>
  </si>
  <si>
    <t>kumaranuragji01@gmail.com</t>
  </si>
  <si>
    <t>Cometic Capsule Fragrance</t>
  </si>
  <si>
    <t>F22000896</t>
  </si>
  <si>
    <t>SOUMYADIP RAKSHIT</t>
  </si>
  <si>
    <t>soumyadiprakshit007@gmail.com</t>
  </si>
  <si>
    <t xml:space="preserve">RAJNIGANDHA Perfume </t>
  </si>
  <si>
    <t>F22000895</t>
  </si>
  <si>
    <t>Aquib</t>
  </si>
  <si>
    <t>sabiharahmani80@gmail.com</t>
  </si>
  <si>
    <t>F22000894</t>
  </si>
  <si>
    <t>Vedant</t>
  </si>
  <si>
    <t>vedantgogia1@gmail.com</t>
  </si>
  <si>
    <t xml:space="preserve">Noida
</t>
  </si>
  <si>
    <t xml:space="preserve"> Lime Oil</t>
  </si>
  <si>
    <t>F22000893</t>
  </si>
  <si>
    <t>MANISH</t>
  </si>
  <si>
    <t>F22000892</t>
  </si>
  <si>
    <t xml:space="preserve">AkaSH  </t>
  </si>
  <si>
    <t xml:space="preserve">	Cosmetic Fragrances</t>
  </si>
  <si>
    <t>F22000891</t>
  </si>
  <si>
    <t>Vishal Singh</t>
  </si>
  <si>
    <t>Acoustika India Private Limited</t>
  </si>
  <si>
    <t xml:space="preserve">Rajnigandha Perfume </t>
  </si>
  <si>
    <t>BODY PERFUME BANABEN</t>
  </si>
  <si>
    <t>F22000890</t>
  </si>
  <si>
    <t>sumit@stargarments.in</t>
  </si>
  <si>
    <t>perfume</t>
  </si>
  <si>
    <t>F22000889</t>
  </si>
  <si>
    <t xml:space="preserve">
Sana</t>
  </si>
  <si>
    <t>sanajena.15@gmail.com</t>
  </si>
  <si>
    <t>White Phenyl Raw Materials</t>
  </si>
  <si>
    <t>F22000888</t>
  </si>
  <si>
    <t>Sadaf Wali</t>
  </si>
  <si>
    <t>bhatsadaf111@gmail.com</t>
  </si>
  <si>
    <t>Srinagar</t>
  </si>
  <si>
    <t>Soap Making Fragrance</t>
  </si>
  <si>
    <t>F22000887</t>
  </si>
  <si>
    <t>Ramiz Lone</t>
  </si>
  <si>
    <t>ramizkhan2006@gmail.com</t>
  </si>
  <si>
    <t>Anantnag</t>
  </si>
  <si>
    <t>Lavender Fragnance Oil</t>
  </si>
  <si>
    <t>F22000886</t>
  </si>
  <si>
    <t>Srinivasa Rao</t>
  </si>
  <si>
    <t>srinivasaraobehara66@gmail.com</t>
  </si>
  <si>
    <t>Parvatipuram</t>
  </si>
  <si>
    <t xml:space="preserve"> Citronella Java Essential</t>
  </si>
  <si>
    <t>F22000885</t>
  </si>
  <si>
    <t>F22000884</t>
  </si>
  <si>
    <t>Nb Abhishek</t>
  </si>
  <si>
    <t>babhishek107@gmail.com</t>
  </si>
  <si>
    <t>SANDAL WOOD CANDLE</t>
  </si>
  <si>
    <t>F22000883</t>
  </si>
  <si>
    <t>Hiteshpatel Patel</t>
  </si>
  <si>
    <t>UMA tyre lunawada</t>
  </si>
  <si>
    <t xml:space="preserve">ramanihitesh596@gmail.com
</t>
  </si>
  <si>
    <t>Thickener Chemical</t>
  </si>
  <si>
    <t>F22000882</t>
  </si>
  <si>
    <t>ankitgaur2017@gmail.com</t>
  </si>
  <si>
    <t>F22000881</t>
  </si>
  <si>
    <t>Shivansh</t>
  </si>
  <si>
    <t>kumarshiv92775@gmail.com</t>
  </si>
  <si>
    <t>F22000880</t>
  </si>
  <si>
    <t>Khem Chand</t>
  </si>
  <si>
    <t>Royal Home Care Products</t>
  </si>
  <si>
    <t xml:space="preserve">khemchandgahane@gmail.com
</t>
  </si>
  <si>
    <t>Aarav Power Wash Perfume</t>
  </si>
  <si>
    <t>F22000879</t>
  </si>
  <si>
    <t>Satyanarayana</t>
  </si>
  <si>
    <t>Jeypore</t>
  </si>
  <si>
    <t xml:space="preserve">Synthetic Thickener. </t>
  </si>
  <si>
    <t>ER AGE CONCENTRATE R FRAGRANCE NIEYCHEN</t>
  </si>
  <si>
    <t>F22000878</t>
  </si>
  <si>
    <t>Prabhleen</t>
  </si>
  <si>
    <t>prabhleen.kaur1306@gmail.com</t>
  </si>
  <si>
    <t>F22000877</t>
  </si>
  <si>
    <t>Gora Chand Maity</t>
  </si>
  <si>
    <t>khakurda.bca@gmail.com</t>
  </si>
  <si>
    <t>Perfumed Floor Cleaner</t>
  </si>
  <si>
    <t>F22000876</t>
  </si>
  <si>
    <t>Pabitra Bairagi</t>
  </si>
  <si>
    <t>pabitrabairagi315@gmail.com</t>
  </si>
  <si>
    <t xml:space="preserve">Howrah
</t>
  </si>
  <si>
    <t>F22000875</t>
  </si>
  <si>
    <t>Jayant</t>
  </si>
  <si>
    <t xml:space="preserve">
jayantkumbhare52@gmail.com</t>
  </si>
  <si>
    <t>F22000874</t>
  </si>
  <si>
    <t>Tanvi</t>
  </si>
  <si>
    <t>Be Safe</t>
  </si>
  <si>
    <t xml:space="preserve">
tanvichopra120@yahoo.com</t>
  </si>
  <si>
    <t>Candles Essential Oil</t>
  </si>
  <si>
    <t>F22000873</t>
  </si>
  <si>
    <t>Krishna Panda</t>
  </si>
  <si>
    <t>krishnapanda4444@gmail.com</t>
  </si>
  <si>
    <t>F22000872</t>
  </si>
  <si>
    <t>Prity Pattnaik</t>
  </si>
  <si>
    <t>mamaprity1234@yahoo.co.in</t>
  </si>
  <si>
    <t>Fragrance Incense Sticks</t>
  </si>
  <si>
    <t>PERSONUL USE ER JANNO AGARBATTI LAGBE</t>
  </si>
  <si>
    <t>F22000871</t>
  </si>
  <si>
    <t xml:space="preserve">Rajesh Rawani
</t>
  </si>
  <si>
    <t>Rose Sent Perfume</t>
  </si>
  <si>
    <t>F22000870</t>
  </si>
  <si>
    <t>RAJAN</t>
  </si>
  <si>
    <t>rajankrsoni123455@gmail.com</t>
  </si>
  <si>
    <t xml:space="preserve">Sherghati
</t>
  </si>
  <si>
    <t>Soap Aloe Vera</t>
  </si>
  <si>
    <t>F22000869</t>
  </si>
  <si>
    <t xml:space="preserve">Raju
</t>
  </si>
  <si>
    <t>sekhraju755@gmail.com</t>
  </si>
  <si>
    <t>CHAMPA Perfume</t>
  </si>
  <si>
    <t>GODOWN E ASBEN</t>
  </si>
  <si>
    <t>F22000868</t>
  </si>
  <si>
    <t>Rohit Agarwal</t>
  </si>
  <si>
    <t>purchase@cordageandtwine.com</t>
  </si>
  <si>
    <t>JUTE ER JANNO LAGBE</t>
  </si>
  <si>
    <t>F22000867</t>
  </si>
  <si>
    <t>Raja Mete</t>
  </si>
  <si>
    <t xml:space="preserve">
Anupana Perfume Work</t>
  </si>
  <si>
    <t>rajamete335@gmail.com</t>
  </si>
  <si>
    <t>Ghatal -</t>
  </si>
  <si>
    <t>F22000866</t>
  </si>
  <si>
    <t>Vaghasiya Kalpeshkumar</t>
  </si>
  <si>
    <t xml:space="preserve">Gujarat Narmada </t>
  </si>
  <si>
    <t>F22000865</t>
  </si>
  <si>
    <t>HRITHIK RAJ</t>
  </si>
  <si>
    <t xml:space="preserve">Ami Fregrance </t>
  </si>
  <si>
    <t>F22000864</t>
  </si>
  <si>
    <t>Amliin</t>
  </si>
  <si>
    <t xml:space="preserve">contact.amliin@gmail.com
</t>
  </si>
  <si>
    <t>F22000863</t>
  </si>
  <si>
    <t>BATAKRUSHNA PANDA</t>
  </si>
  <si>
    <t xml:space="preserve">
SWATI ENTERPRISES</t>
  </si>
  <si>
    <t>bkpanda103@gmail.com</t>
  </si>
  <si>
    <t>Pine Oil ( White Phenyl )</t>
  </si>
  <si>
    <t>F22000862</t>
  </si>
  <si>
    <t>Tamaliarusu</t>
  </si>
  <si>
    <t>tamikarasud1985@gmail.com</t>
  </si>
  <si>
    <t xml:space="preserve">Vellore
</t>
  </si>
  <si>
    <t>F22000861</t>
  </si>
  <si>
    <t>MOSIBUL RAHAMAN</t>
  </si>
  <si>
    <t xml:space="preserve"> Detergent Fragrance</t>
  </si>
  <si>
    <t>5 KG EXCEL</t>
  </si>
  <si>
    <t>F22000860</t>
  </si>
  <si>
    <t>Dipayan Datta Choudhury</t>
  </si>
  <si>
    <t>dipayandattachoudhury@gmail.com</t>
  </si>
  <si>
    <t>JASMINE R GOLD CHAMPA NIEYCHEN</t>
  </si>
  <si>
    <t>NANCY DHAWAN</t>
  </si>
  <si>
    <t>DELHI</t>
  </si>
  <si>
    <t>F22000859</t>
  </si>
  <si>
    <t xml:space="preserve">
Shivam</t>
  </si>
  <si>
    <t>Bhasin Event</t>
  </si>
  <si>
    <t>shivambhasin63@gmail.com</t>
  </si>
  <si>
    <t>F22000858</t>
  </si>
  <si>
    <t>CHOUDHURY KARAKARIA</t>
  </si>
  <si>
    <t>ONARA MANUFACCTER KOREN</t>
  </si>
  <si>
    <t>F22000857</t>
  </si>
  <si>
    <t>Bhabani Shankar</t>
  </si>
  <si>
    <t xml:space="preserve">PHENYL </t>
  </si>
  <si>
    <t>F22000856</t>
  </si>
  <si>
    <t>PRADIP Sutradhar</t>
  </si>
  <si>
    <t>pradipsutradhar749@gmail.com</t>
  </si>
  <si>
    <t xml:space="preserve"> Neem Phenyl</t>
  </si>
  <si>
    <t>30-11-2022</t>
  </si>
  <si>
    <t>F22000855</t>
  </si>
  <si>
    <t>Shubham Agarwal</t>
  </si>
  <si>
    <t>Pine Oil and Phenyl Concentrate</t>
  </si>
  <si>
    <t>F22000854</t>
  </si>
  <si>
    <t xml:space="preserve">DIVINE Industries </t>
  </si>
  <si>
    <t>F22000853</t>
  </si>
  <si>
    <t>Ovi Ovi</t>
  </si>
  <si>
    <t>mirajulsupersmart@gmail.com</t>
  </si>
  <si>
    <t xml:space="preserve">Fatellapur
</t>
  </si>
  <si>
    <t>F22000852</t>
  </si>
  <si>
    <t>Kallu</t>
  </si>
  <si>
    <t>shobhit.patel998@gmail.com</t>
  </si>
  <si>
    <t>Hand Wash Perfumes.</t>
  </si>
  <si>
    <t>F22000851</t>
  </si>
  <si>
    <t>Rajesh Rawani</t>
  </si>
  <si>
    <t>F22000850</t>
  </si>
  <si>
    <t>suvankarmondal135@gmail.com</t>
  </si>
  <si>
    <t>Phenyl Concentrate Drum.</t>
  </si>
  <si>
    <t>F22000849</t>
  </si>
  <si>
    <t>Aparna Wadhiwa</t>
  </si>
  <si>
    <t>aparnawadhiwa@gmail.com</t>
  </si>
  <si>
    <t xml:space="preserve">Mumbai
</t>
  </si>
  <si>
    <t>Creamy Peach Fragrance Oil</t>
  </si>
  <si>
    <t>29-11-2022</t>
  </si>
  <si>
    <t>F22000848</t>
  </si>
  <si>
    <t>BTS AGARBATTI</t>
  </si>
  <si>
    <t>F22000847</t>
  </si>
  <si>
    <t>Sourav Gunin</t>
  </si>
  <si>
    <t>gunins92@gmail.com</t>
  </si>
  <si>
    <t>Agarbatti fragrance</t>
  </si>
  <si>
    <t>F22000846</t>
  </si>
  <si>
    <t>jhasandeep011@gmail.com</t>
  </si>
  <si>
    <t xml:space="preserve">Shower Gel Fragrance </t>
  </si>
  <si>
    <t>F22000845</t>
  </si>
  <si>
    <t>Rajesh Kr Sharma</t>
  </si>
  <si>
    <t>trishul32@gmail.com</t>
  </si>
  <si>
    <t xml:space="preserve">Phenyl Thickner
</t>
  </si>
  <si>
    <t>KICHUDIN POR CALL BACK</t>
  </si>
  <si>
    <t>F22000844</t>
  </si>
  <si>
    <t>Rajesh Gupta</t>
  </si>
  <si>
    <t>rohit4rocks@gmail.com</t>
  </si>
  <si>
    <t>28-11-2022</t>
  </si>
  <si>
    <t>F22000843</t>
  </si>
  <si>
    <t xml:space="preserve">LAVANDER </t>
  </si>
  <si>
    <t>F22000842</t>
  </si>
  <si>
    <t>P.K Tiwari</t>
  </si>
  <si>
    <t xml:space="preserve">tiwarikislay@yahoo.in
</t>
  </si>
  <si>
    <t>F22000841</t>
  </si>
  <si>
    <t>subhambehera4@gmail.com</t>
  </si>
  <si>
    <t>F22000840</t>
  </si>
  <si>
    <t xml:space="preserve">
Srinivas Rao</t>
  </si>
  <si>
    <t>F22000839</t>
  </si>
  <si>
    <t>Sumanta</t>
  </si>
  <si>
    <t>F22000838</t>
  </si>
  <si>
    <t>Sandip Kumar Pradhan</t>
  </si>
  <si>
    <t>sandip_basanti@yahoo.com</t>
  </si>
  <si>
    <t xml:space="preserve">Cuttack
</t>
  </si>
  <si>
    <t>F22000837</t>
  </si>
  <si>
    <t>Munmun Saha</t>
  </si>
  <si>
    <t>saha.mun@gmail.com</t>
  </si>
  <si>
    <t>F22000836</t>
  </si>
  <si>
    <t>Rajib</t>
  </si>
  <si>
    <t>F22000835</t>
  </si>
  <si>
    <t>Sk Sanas</t>
  </si>
  <si>
    <t>sksanasksana87@gmail.com</t>
  </si>
  <si>
    <t>F22000834</t>
  </si>
  <si>
    <t>Roopa</t>
  </si>
  <si>
    <t>Hassan</t>
  </si>
  <si>
    <t xml:space="preserve">Green Apple Fragrance </t>
  </si>
  <si>
    <t>F22000833</t>
  </si>
  <si>
    <t>Shaikher Sain</t>
  </si>
  <si>
    <t>shekharsain42@gmail.com</t>
  </si>
  <si>
    <t>Alwar</t>
  </si>
  <si>
    <t>26-11-2022</t>
  </si>
  <si>
    <t>F22000832</t>
  </si>
  <si>
    <t>rajesh.mdl2010@gmail.com</t>
  </si>
  <si>
    <t>Lemongrass</t>
  </si>
  <si>
    <t>PLANT LAGBE</t>
  </si>
  <si>
    <t>F22000831</t>
  </si>
  <si>
    <t>Nita Bakshi</t>
  </si>
  <si>
    <t>nitabakshi30@gmail.com</t>
  </si>
  <si>
    <t>Uttarpara KotrunG</t>
  </si>
  <si>
    <t xml:space="preserve">Mosquito Agarbatti </t>
  </si>
  <si>
    <t>F22000830</t>
  </si>
  <si>
    <t>Mihir Sardar</t>
  </si>
  <si>
    <t>mihirsardar80@gmail.com</t>
  </si>
  <si>
    <t xml:space="preserve">Kolkata
</t>
  </si>
  <si>
    <t>Sticks Fragrance Perfume</t>
  </si>
  <si>
    <t>F22000829</t>
  </si>
  <si>
    <t>Sowmya</t>
  </si>
  <si>
    <t>marsharich04@gmail.com</t>
  </si>
  <si>
    <t>Fragrance Oil Candle Making</t>
  </si>
  <si>
    <t>F22000828</t>
  </si>
  <si>
    <t>Lemon Grass Hair Oil</t>
  </si>
  <si>
    <t>F22000827</t>
  </si>
  <si>
    <t>Mehtab Ali</t>
  </si>
  <si>
    <t>Kgn Electrical</t>
  </si>
  <si>
    <t>ali.kit65@gmail.com</t>
  </si>
  <si>
    <t>F22000826</t>
  </si>
  <si>
    <t xml:space="preserve">
mehulshahmehul44@gmail.com</t>
  </si>
  <si>
    <t>concentrate</t>
  </si>
  <si>
    <t>F22000825</t>
  </si>
  <si>
    <t>Subasish Paul</t>
  </si>
  <si>
    <t>Sts Enterprises</t>
  </si>
  <si>
    <t>subhash.aachi@gmail.com</t>
  </si>
  <si>
    <t xml:space="preserve">Citronellyl </t>
  </si>
  <si>
    <t>F22000824</t>
  </si>
  <si>
    <t>AMARESH CHANDRA</t>
  </si>
  <si>
    <t>amareshchandra007@gmail.com</t>
  </si>
  <si>
    <t>F22000823</t>
  </si>
  <si>
    <t>Rumi Borah</t>
  </si>
  <si>
    <t>rumi.borah@gmail.com</t>
  </si>
  <si>
    <t>25-11-2022</t>
  </si>
  <si>
    <t>F22000822</t>
  </si>
  <si>
    <t>ASIF</t>
  </si>
  <si>
    <t>JEEBAN SURABHI CONSTRUCTION PVT.LTD</t>
  </si>
  <si>
    <t>jeebansurabhi@gmail.com</t>
  </si>
  <si>
    <t>FRAGRENCE</t>
  </si>
  <si>
    <t>F22000821</t>
  </si>
  <si>
    <t>Udit</t>
  </si>
  <si>
    <t>ujena17@gmail.com</t>
  </si>
  <si>
    <t>Baripada</t>
  </si>
  <si>
    <t>LemonGrass Oil</t>
  </si>
  <si>
    <t>F22000820</t>
  </si>
  <si>
    <t>VENKATESH VENKY</t>
  </si>
  <si>
    <t xml:space="preserve">venkateshasadi6@gmail.com
</t>
  </si>
  <si>
    <t>Essential Lemongrass Oil</t>
  </si>
  <si>
    <t>F22000819</t>
  </si>
  <si>
    <t>Mohamed Adam</t>
  </si>
  <si>
    <t>adams777333@gmail.com</t>
  </si>
  <si>
    <t>Passion Fruit Perfume</t>
  </si>
  <si>
    <t>F22000818</t>
  </si>
  <si>
    <t>Faiyaz Shaikh</t>
  </si>
  <si>
    <t>F22000817</t>
  </si>
  <si>
    <t>Sweet Tone</t>
  </si>
  <si>
    <t>sweetton6@gmail.com</t>
  </si>
  <si>
    <t>F22000816</t>
  </si>
  <si>
    <t>Amit Pandit</t>
  </si>
  <si>
    <t>amitpandit6341@gmail.com</t>
  </si>
  <si>
    <t>24-11-2022</t>
  </si>
  <si>
    <t>F22000815</t>
  </si>
  <si>
    <t>C. M.LEE</t>
  </si>
  <si>
    <t>TOPSIYA</t>
  </si>
  <si>
    <t>F22000814</t>
  </si>
  <si>
    <t>dinesh.bvis86@gmail.com</t>
  </si>
  <si>
    <t>ROSE PERFUME LENGE</t>
  </si>
  <si>
    <t>F22000813</t>
  </si>
  <si>
    <t>Gaganpreet</t>
  </si>
  <si>
    <t>Avtrar Twice</t>
  </si>
  <si>
    <t>pgagan@gmail.com</t>
  </si>
  <si>
    <t>Rose Attar</t>
  </si>
  <si>
    <t>ROSE, ATTTARFUL, RAJANIGANDHA NIEYCHEN</t>
  </si>
  <si>
    <t>F22000812</t>
  </si>
  <si>
    <t>Mahes</t>
  </si>
  <si>
    <t>Veer Books And Stationery</t>
  </si>
  <si>
    <t xml:space="preserve">mesaramdevasi6@gmail.com
</t>
  </si>
  <si>
    <t xml:space="preserve"> Karnataka, </t>
  </si>
  <si>
    <t xml:space="preserve">Citronella Mosquito Stick </t>
  </si>
  <si>
    <t>F22000811</t>
  </si>
  <si>
    <t>Uttam Sahu</t>
  </si>
  <si>
    <t xml:space="preserve">sahuuttam3456@gmail.com
</t>
  </si>
  <si>
    <t>Sanital Perfumed Phenyl</t>
  </si>
  <si>
    <t>F22000810</t>
  </si>
  <si>
    <t>Jamaaloddin</t>
  </si>
  <si>
    <t>wasimraza31m3@gmail.co</t>
  </si>
  <si>
    <t>Jasmine Attar</t>
  </si>
  <si>
    <t>F22000809</t>
  </si>
  <si>
    <t>Tara</t>
  </si>
  <si>
    <t xml:space="preserve">Samroti Enterprises
</t>
  </si>
  <si>
    <t>F22000807</t>
  </si>
  <si>
    <t>Kapil Gupta</t>
  </si>
  <si>
    <t>kapilgupta2101@yahoo.co.in</t>
  </si>
  <si>
    <t xml:space="preserve">Rajasthan, </t>
  </si>
  <si>
    <t>Pine Fragrance</t>
  </si>
  <si>
    <t>F22000806</t>
  </si>
  <si>
    <t xml:space="preserve">
Akash Sankre</t>
  </si>
  <si>
    <t>Ak Cosmetic</t>
  </si>
  <si>
    <t>akashhankare123@yahoo.com</t>
  </si>
  <si>
    <t>SOAP ER JANNO</t>
  </si>
  <si>
    <t>F22000805</t>
  </si>
  <si>
    <t>Bhumi Shukla</t>
  </si>
  <si>
    <t xml:space="preserve">
shuklabhumi9643@gmail.com</t>
  </si>
  <si>
    <t>Black Edge Perfume</t>
  </si>
  <si>
    <t>BODY SENT LAGBE</t>
  </si>
  <si>
    <t>F22000804</t>
  </si>
  <si>
    <t>Shalini Dutta</t>
  </si>
  <si>
    <t>Siligui</t>
  </si>
  <si>
    <t>23-11-2022</t>
  </si>
  <si>
    <t>F22000803</t>
  </si>
  <si>
    <t>Manas</t>
  </si>
  <si>
    <t xml:space="preserve">Maa Morena Industries
</t>
  </si>
  <si>
    <t>manaspenthoi22@gmail.com</t>
  </si>
  <si>
    <t>F22000802</t>
  </si>
  <si>
    <t>GOURISANKAR MUKHARJEE</t>
  </si>
  <si>
    <t>LEMONGRASS</t>
  </si>
  <si>
    <t>F22000801</t>
  </si>
  <si>
    <t>BASUDEB PAUL</t>
  </si>
  <si>
    <t>SILIGURI</t>
  </si>
  <si>
    <t>F22000800</t>
  </si>
  <si>
    <t>Suneel Dike</t>
  </si>
  <si>
    <t>Pratap Organics Private Limited</t>
  </si>
  <si>
    <t>suneeldike@prataporganics.com</t>
  </si>
  <si>
    <t>SAMPLE DIEYCHI CITRONELLA</t>
  </si>
  <si>
    <t>F22000799</t>
  </si>
  <si>
    <t>PRAKAS</t>
  </si>
  <si>
    <t>Shivam Agarbati And Perfumer</t>
  </si>
  <si>
    <t>belvankiprakash@gmail.com</t>
  </si>
  <si>
    <t>Dish Wash Perfume</t>
  </si>
  <si>
    <t>F22000798</t>
  </si>
  <si>
    <t xml:space="preserve">
Ramesh Ram</t>
  </si>
  <si>
    <t>rameshram2733@gmail.com</t>
  </si>
  <si>
    <t>F22000797</t>
  </si>
  <si>
    <t>Shibu</t>
  </si>
  <si>
    <t>Permanik Enterprises</t>
  </si>
  <si>
    <t>shibupramanik1993@gmail.com</t>
  </si>
  <si>
    <t>F22000796</t>
  </si>
  <si>
    <t>Sharad Pandya</t>
  </si>
  <si>
    <t>abxd</t>
  </si>
  <si>
    <t>5 kg</t>
  </si>
  <si>
    <t>RECELL</t>
  </si>
  <si>
    <t>F22000795</t>
  </si>
  <si>
    <t>Shreeshail</t>
  </si>
  <si>
    <t>shreeshailg123@gmail.com</t>
  </si>
  <si>
    <t>DETERGENT</t>
  </si>
  <si>
    <t>F22000794</t>
  </si>
  <si>
    <t>Abhishek Das</t>
  </si>
  <si>
    <t>das.abhishek246@gmail.com</t>
  </si>
  <si>
    <t>F22000793</t>
  </si>
  <si>
    <t>Vivek Kumar Shah</t>
  </si>
  <si>
    <t>beingvivek420@gmail.com</t>
  </si>
  <si>
    <t>F22000792</t>
  </si>
  <si>
    <t>F22000791</t>
  </si>
  <si>
    <t>Priyanka Modak</t>
  </si>
  <si>
    <t>priyankamodak017@gmail.com</t>
  </si>
  <si>
    <t xml:space="preserve">Apparel Perfume, </t>
  </si>
  <si>
    <t>F22000790</t>
  </si>
  <si>
    <t>Totan Chall</t>
  </si>
  <si>
    <t>challtotan@gmail.com</t>
  </si>
  <si>
    <t>Mosquito Agarbatti</t>
  </si>
  <si>
    <t>22-11-2022</t>
  </si>
  <si>
    <t>F22000789</t>
  </si>
  <si>
    <t>ADITYA BASU</t>
  </si>
  <si>
    <t>RUBI</t>
  </si>
  <si>
    <t>F22000788</t>
  </si>
  <si>
    <t>SHARIF Mohmmed</t>
  </si>
  <si>
    <t>Gulab Agarbatti Perfume</t>
  </si>
  <si>
    <t>F22000787</t>
  </si>
  <si>
    <t>Vamsi</t>
  </si>
  <si>
    <t>NETE PAREN</t>
  </si>
  <si>
    <t>F22000786</t>
  </si>
  <si>
    <t>Namdeo Deshmane</t>
  </si>
  <si>
    <t>namdeodeshmane512@gmail.com</t>
  </si>
  <si>
    <t>F22000785</t>
  </si>
  <si>
    <t>Bapan Das</t>
  </si>
  <si>
    <t>Loknath Agaarbatti</t>
  </si>
  <si>
    <t>bapanillambazar@gmail.com</t>
  </si>
  <si>
    <t xml:space="preserve">Bolpur </t>
  </si>
  <si>
    <t>F22000784</t>
  </si>
  <si>
    <t>Somanath</t>
  </si>
  <si>
    <t>skllsmbb@gmail.com</t>
  </si>
  <si>
    <t>F22000783</t>
  </si>
  <si>
    <t>Aditya Mishra</t>
  </si>
  <si>
    <t>F22000782</t>
  </si>
  <si>
    <t>Amit Sahoo</t>
  </si>
  <si>
    <t>Balugaon</t>
  </si>
  <si>
    <t>F22000781</t>
  </si>
  <si>
    <t>Mohd Saddam Hussain</t>
  </si>
  <si>
    <t>saddam.h4212@gmail.com</t>
  </si>
  <si>
    <t>F22000780</t>
  </si>
  <si>
    <t>B.s.PANIGRAHY</t>
  </si>
  <si>
    <t>panigrahy.bhabani@gmail.com</t>
  </si>
  <si>
    <t>F22000779</t>
  </si>
  <si>
    <t>Debika</t>
  </si>
  <si>
    <t xml:space="preserve"> Musky Rose Perfume </t>
  </si>
  <si>
    <t>F22000778</t>
  </si>
  <si>
    <t>Kartick Chandra Mond</t>
  </si>
  <si>
    <t>kartickchandramondal2019@gmail.com</t>
  </si>
  <si>
    <t>Parag Fragrances</t>
  </si>
  <si>
    <t>21-11-2022</t>
  </si>
  <si>
    <t>F22000777</t>
  </si>
  <si>
    <t>Anand Gabani</t>
  </si>
  <si>
    <t>AARG INFRA &amp; MINRALS</t>
  </si>
  <si>
    <t>aadi0649@yahoo.com</t>
  </si>
  <si>
    <t>F22000676</t>
  </si>
  <si>
    <t>Shashikant Pol</t>
  </si>
  <si>
    <t>shashikantpol57@gmail.com</t>
  </si>
  <si>
    <t>F22000675</t>
  </si>
  <si>
    <t>Bina Sehgal</t>
  </si>
  <si>
    <t>Banaras Beauty</t>
  </si>
  <si>
    <t>F22000674</t>
  </si>
  <si>
    <t>Nivaran Singh</t>
  </si>
  <si>
    <t>F22000673</t>
  </si>
  <si>
    <t>Mohdip Rana</t>
  </si>
  <si>
    <t>ranamahadev3@gmail.com</t>
  </si>
  <si>
    <t>Balichak</t>
  </si>
  <si>
    <t>F22000672</t>
  </si>
  <si>
    <t>F22000671</t>
  </si>
  <si>
    <t>Tanima Das</t>
  </si>
  <si>
    <t xml:space="preserve"> Phenyle.</t>
  </si>
  <si>
    <t>F22000670</t>
  </si>
  <si>
    <t>Shrawan</t>
  </si>
  <si>
    <t>shrawankumar4344@gmail.com</t>
  </si>
  <si>
    <t xml:space="preserve">Kanpur
</t>
  </si>
  <si>
    <t>F22000669</t>
  </si>
  <si>
    <t>Raza</t>
  </si>
  <si>
    <t>mdrajiulla6296@gmail.com</t>
  </si>
  <si>
    <t>F22000668</t>
  </si>
  <si>
    <t>Karim</t>
  </si>
  <si>
    <t>19-11-2022</t>
  </si>
  <si>
    <t>F22000667</t>
  </si>
  <si>
    <t>Karale Santosh</t>
  </si>
  <si>
    <t>Tavis Industries</t>
  </si>
  <si>
    <t xml:space="preserve">karalessk123@gmail.com
</t>
  </si>
  <si>
    <t>Colin Fragrance</t>
  </si>
  <si>
    <t>F22000666</t>
  </si>
  <si>
    <t>Dhananjay Baroi</t>
  </si>
  <si>
    <t>M/S Narayani Enterprises</t>
  </si>
  <si>
    <t xml:space="preserve">
dhananjaybaroi123@gmail.com</t>
  </si>
  <si>
    <t>5 L Rose Phenyl Concentrate</t>
  </si>
  <si>
    <t>F22000665</t>
  </si>
  <si>
    <t>BISWANATH MANNA</t>
  </si>
  <si>
    <t>manna.biswanath0@gmail.com</t>
  </si>
  <si>
    <t>F22000664</t>
  </si>
  <si>
    <t>Rajesh Kumar Singh</t>
  </si>
  <si>
    <t xml:space="preserve"> White Phenyl</t>
  </si>
  <si>
    <t>F22000663</t>
  </si>
  <si>
    <t>Roshan Singh</t>
  </si>
  <si>
    <t>pranavkumarsingh123@gmail.com</t>
  </si>
  <si>
    <t>Supaul</t>
  </si>
  <si>
    <t>Dhoop Stick Fragrance</t>
  </si>
  <si>
    <t>F22000662</t>
  </si>
  <si>
    <t>kmohapatra.kashi16@gmail.com</t>
  </si>
  <si>
    <t>UNI NEJEI MANUFACATTER KOREN</t>
  </si>
  <si>
    <t>F22000661</t>
  </si>
  <si>
    <t>SarojKumar</t>
  </si>
  <si>
    <t>psarojkumarachary361@gmail.com</t>
  </si>
  <si>
    <t xml:space="preserve">ROSE PERFUME   </t>
  </si>
  <si>
    <t>18-11-2022</t>
  </si>
  <si>
    <t>F22000660</t>
  </si>
  <si>
    <t>SHUBANKAR PAUL</t>
  </si>
  <si>
    <t>Sandal Agarbatti Fragrance</t>
  </si>
  <si>
    <t>F22000652</t>
  </si>
  <si>
    <t>Ankur Agrwal</t>
  </si>
  <si>
    <t>5KG</t>
  </si>
  <si>
    <t>bombaygreensmanager@gmail.com</t>
  </si>
  <si>
    <t xml:space="preserve">Bhayandar
</t>
  </si>
  <si>
    <t>Lemongrass oIL</t>
  </si>
  <si>
    <t>F22000651</t>
  </si>
  <si>
    <t>SANDIP PATIL</t>
  </si>
  <si>
    <t>F22000650</t>
  </si>
  <si>
    <t xml:space="preserve">BAPI  </t>
  </si>
  <si>
    <t>S N HARDWEAR</t>
  </si>
  <si>
    <t>CITRONELLA MOSQUITO</t>
  </si>
  <si>
    <t>F22000649</t>
  </si>
  <si>
    <t xml:space="preserve">
Ranjana</t>
  </si>
  <si>
    <t>ranjnag@gmail.com</t>
  </si>
  <si>
    <t>Rose Petal Perfume</t>
  </si>
  <si>
    <t>F22000648</t>
  </si>
  <si>
    <t>Mahesh Poli</t>
  </si>
  <si>
    <t xml:space="preserve">
mvs chemicals</t>
  </si>
  <si>
    <t xml:space="preserve">
maheshpolib.d.s@gmail.com</t>
  </si>
  <si>
    <t xml:space="preserve">Citrus Citronella Phenyl </t>
  </si>
  <si>
    <t>F22000647</t>
  </si>
  <si>
    <t xml:space="preserve">
Bikki</t>
  </si>
  <si>
    <t>Kalimpong</t>
  </si>
  <si>
    <t>Aroma Oil</t>
  </si>
  <si>
    <t>F22000646</t>
  </si>
  <si>
    <t>Akash Kumar Nayak</t>
  </si>
  <si>
    <t>stylinakash01@gmail.com</t>
  </si>
  <si>
    <t xml:space="preserve">Bhubaneswar
</t>
  </si>
  <si>
    <t xml:space="preserve">Lavender, Rose and Jasmine </t>
  </si>
  <si>
    <t xml:space="preserve">BODY SPREY  </t>
  </si>
  <si>
    <t>F22000645</t>
  </si>
  <si>
    <t>Sk Shabbir Ali</t>
  </si>
  <si>
    <t xml:space="preserve">Fruit Fragrance </t>
  </si>
  <si>
    <t>PORSONAL USE</t>
  </si>
  <si>
    <t>17-11-2022</t>
  </si>
  <si>
    <t>F22000644</t>
  </si>
  <si>
    <t>Sm Pasha</t>
  </si>
  <si>
    <t>Loban ,Rose and Jasmine Perfume</t>
  </si>
  <si>
    <t>F22000643</t>
  </si>
  <si>
    <t>BAPI CHATTERJEE</t>
  </si>
  <si>
    <t>Kandi,</t>
  </si>
  <si>
    <t>60% NETEPAREN</t>
  </si>
  <si>
    <t>F22000642</t>
  </si>
  <si>
    <t xml:space="preserve">New Bombay Cutelury Store
</t>
  </si>
  <si>
    <t>amitbhatiya980@gmail.com</t>
  </si>
  <si>
    <t>CONCENTRATE RAW MATERIAL LAGBE,FRAGRANCE NITE PAREN</t>
  </si>
  <si>
    <t>F22000641</t>
  </si>
  <si>
    <t>Avinash Somkuwar</t>
  </si>
  <si>
    <t>FRAGRANCE NITE PAREN</t>
  </si>
  <si>
    <t>F22000640</t>
  </si>
  <si>
    <t>Ramachandran</t>
  </si>
  <si>
    <t>Kpr</t>
  </si>
  <si>
    <t xml:space="preserve">Concentrated Raw Phenyl </t>
  </si>
  <si>
    <t>F22000639</t>
  </si>
  <si>
    <t>siva7401335222@gmail.com</t>
  </si>
  <si>
    <t xml:space="preserve">Darjeeling
</t>
  </si>
  <si>
    <t>Tulsi Rose 74 Industrial Perfume</t>
  </si>
  <si>
    <t>F22000638</t>
  </si>
  <si>
    <t>Yogesh Goenka</t>
  </si>
  <si>
    <t>yogeshkgoenka@gmail.com</t>
  </si>
  <si>
    <t>F22000637</t>
  </si>
  <si>
    <t>Sagorika Bhattacharya</t>
  </si>
  <si>
    <t xml:space="preserve">Uttarpara Kotrung
</t>
  </si>
  <si>
    <t>EKHONO SURU KORENI , PORE JANABEN</t>
  </si>
  <si>
    <t>F22000636</t>
  </si>
  <si>
    <t>Pinto Sardar</t>
  </si>
  <si>
    <t xml:space="preserve">Jamshedpur
</t>
  </si>
  <si>
    <t xml:space="preserve"> Raw Mosquito Agarbatti.</t>
  </si>
  <si>
    <t>F22000635</t>
  </si>
  <si>
    <t>Vikas Kumar Neta</t>
  </si>
  <si>
    <t>PORE HOLE JANABEN</t>
  </si>
  <si>
    <t>F22000634</t>
  </si>
  <si>
    <t>Kapil Arora</t>
  </si>
  <si>
    <t>kapilrobotics@gmail.com</t>
  </si>
  <si>
    <t xml:space="preserve">Rose Perfum </t>
  </si>
  <si>
    <t>PARSONEL USE</t>
  </si>
  <si>
    <t>F22000633</t>
  </si>
  <si>
    <t>BABU</t>
  </si>
  <si>
    <t>16-11-2022</t>
  </si>
  <si>
    <t>F22000632</t>
  </si>
  <si>
    <t>PRITI SHARMA</t>
  </si>
  <si>
    <t>HARYANA</t>
  </si>
  <si>
    <t>SANDAL FRAGRANCE CALDEL</t>
  </si>
  <si>
    <t>SAMPLE DIEYCHI CANDLE , SANDAL, ROSE, LEMONGRASS,VANILLA,LAVENDER</t>
  </si>
  <si>
    <t>F22000631</t>
  </si>
  <si>
    <t xml:space="preserve">SACHIN  </t>
  </si>
  <si>
    <t>PRICE LIST DIEYCHI</t>
  </si>
  <si>
    <t>F22000630</t>
  </si>
  <si>
    <t>CHANDRA PRAKASH</t>
  </si>
  <si>
    <t>CITRONELL</t>
  </si>
  <si>
    <t>REAT DIEYCHI UNI PORE JANBEN</t>
  </si>
  <si>
    <t>F22000629</t>
  </si>
  <si>
    <t>US Dandriyal</t>
  </si>
  <si>
    <t>shauryabunny2050@gmail.com</t>
  </si>
  <si>
    <t>Dehradun,</t>
  </si>
  <si>
    <t>Torch Fuel Citronella Oil</t>
  </si>
  <si>
    <t>MASHAL JALABAR JANNO LAGBE</t>
  </si>
  <si>
    <t>F22000628</t>
  </si>
  <si>
    <t>Gautam Chauhan</t>
  </si>
  <si>
    <t>chandan</t>
  </si>
  <si>
    <t xml:space="preserve">bc070038@gmail.com
</t>
  </si>
  <si>
    <t>100ml Rhino Citronella Oil</t>
  </si>
  <si>
    <t>F22000627</t>
  </si>
  <si>
    <t>Prasant Pathak</t>
  </si>
  <si>
    <t xml:space="preserve">KAMAKHYA AROMATICS
</t>
  </si>
  <si>
    <t>F22000626</t>
  </si>
  <si>
    <t>Satya Ranjan</t>
  </si>
  <si>
    <t xml:space="preserve">Annapurna
</t>
  </si>
  <si>
    <t xml:space="preserve">srjena0505@gmail.com
</t>
  </si>
  <si>
    <t>FRAGRENCE NITE PAREN</t>
  </si>
  <si>
    <t>F22000625</t>
  </si>
  <si>
    <t>Mohit</t>
  </si>
  <si>
    <t>Will Come to Office</t>
  </si>
  <si>
    <t>KOLKATA ASLE OFFICE ASBEN</t>
  </si>
  <si>
    <t>F22000624</t>
  </si>
  <si>
    <t>Sankar Prasad Das</t>
  </si>
  <si>
    <t xml:space="preserve">Bankura
</t>
  </si>
  <si>
    <t xml:space="preserve">Almond Oil
</t>
  </si>
  <si>
    <t>15-11-2022</t>
  </si>
  <si>
    <t>F22000623</t>
  </si>
  <si>
    <t>Debabrata Dutta</t>
  </si>
  <si>
    <t>debabrataduttamw@gmail.com</t>
  </si>
  <si>
    <t>F22000622</t>
  </si>
  <si>
    <t>Suhail</t>
  </si>
  <si>
    <t>Plastic Packaging</t>
  </si>
  <si>
    <t>pabdulsalam25@gmail.com</t>
  </si>
  <si>
    <t>LEMONGRASS OIL</t>
  </si>
  <si>
    <t>F22000621</t>
  </si>
  <si>
    <t>Ocean Trade Liunk</t>
  </si>
  <si>
    <t>muhummadnavas@gmail.com</t>
  </si>
  <si>
    <t>White Phenyl Cutting Oil</t>
  </si>
  <si>
    <t>F22000620</t>
  </si>
  <si>
    <t>Ajith Ram</t>
  </si>
  <si>
    <t>JANABEN PORE</t>
  </si>
  <si>
    <t>14-11-2022</t>
  </si>
  <si>
    <t>F22000619</t>
  </si>
  <si>
    <t>Laxmi Aditya Swayamsahayak Sumeksha</t>
  </si>
  <si>
    <t>rajesh9554772903@gmail.com</t>
  </si>
  <si>
    <t xml:space="preserve">Akbarpur
</t>
  </si>
  <si>
    <t>F22000618</t>
  </si>
  <si>
    <t>Shanuyadav</t>
  </si>
  <si>
    <t xml:space="preserve">shanuyadav81150@gmail.com
</t>
  </si>
  <si>
    <t>Lemon Grass Essential Oil</t>
  </si>
  <si>
    <t>F22000617</t>
  </si>
  <si>
    <t>F22000616</t>
  </si>
  <si>
    <t xml:space="preserve">Ashok </t>
  </si>
  <si>
    <t>2 Way Impex Pvt Ltd</t>
  </si>
  <si>
    <t xml:space="preserve">asj.488@gmail.com
</t>
  </si>
  <si>
    <t>Citronella Java Essential Oil</t>
  </si>
  <si>
    <t>70% NITE PAREN</t>
  </si>
  <si>
    <t>F22000615</t>
  </si>
  <si>
    <t xml:space="preserve">Goyal Steel Corporations
</t>
  </si>
  <si>
    <t>kharkia@gmail.com</t>
  </si>
  <si>
    <t>F22000614</t>
  </si>
  <si>
    <t>Debasis Mandal</t>
  </si>
  <si>
    <t xml:space="preserve">Sonalika Agarbatti
</t>
  </si>
  <si>
    <t>debasismandal436@gmail.com</t>
  </si>
  <si>
    <t>Jb Agarbatti Perfumes</t>
  </si>
  <si>
    <t>F22000613</t>
  </si>
  <si>
    <t>Dhasarathan Palani</t>
  </si>
  <si>
    <t xml:space="preserve">SRV Global Service
</t>
  </si>
  <si>
    <t>srvglobalservice@gmail.com</t>
  </si>
  <si>
    <t>Lemongrass Oil.</t>
  </si>
  <si>
    <t>WP KORECHI , KOTHA BUJTE PARCHI NA</t>
  </si>
  <si>
    <t>F22000612</t>
  </si>
  <si>
    <t xml:space="preserve"> Water Soluble Neem Oil</t>
  </si>
  <si>
    <t>F22000611</t>
  </si>
  <si>
    <t>Santanu Roy</t>
  </si>
  <si>
    <t>roysantanu344@gmail.com</t>
  </si>
  <si>
    <t xml:space="preserve">Contai
</t>
  </si>
  <si>
    <t>Natural Jasmin Oil</t>
  </si>
  <si>
    <t>F22000610</t>
  </si>
  <si>
    <t>roshankumar3324@gmail.com</t>
  </si>
  <si>
    <t>Chirkunda</t>
  </si>
  <si>
    <t>Mysore Sandal phenyl</t>
  </si>
  <si>
    <t>F22000609</t>
  </si>
  <si>
    <t>ckumar08797@gmail.com</t>
  </si>
  <si>
    <t>Chhatapur</t>
  </si>
  <si>
    <t>F22000608</t>
  </si>
  <si>
    <t>Mrityunjoy Sen</t>
  </si>
  <si>
    <t>senmrityunjoy576@gmail.com</t>
  </si>
  <si>
    <t xml:space="preserve">Hooghly
</t>
  </si>
  <si>
    <t>F22000607</t>
  </si>
  <si>
    <t>Digvijay</t>
  </si>
  <si>
    <t>linkshort9@gmail.com</t>
  </si>
  <si>
    <t xml:space="preserve">Pune
</t>
  </si>
  <si>
    <t>Dior Fragrance</t>
  </si>
  <si>
    <t>F22000604</t>
  </si>
  <si>
    <t>prabhat goswami</t>
  </si>
  <si>
    <t>fragranceFloral Aromas Industrial Fragrance</t>
  </si>
  <si>
    <t>500 ml kasturi nieychen</t>
  </si>
  <si>
    <t>F22000603</t>
  </si>
  <si>
    <t>F22000602</t>
  </si>
  <si>
    <t xml:space="preserve">Akshita Enterprise
</t>
  </si>
  <si>
    <t>Butter Scotch Fragrance Oi</t>
  </si>
  <si>
    <t>F22000601</t>
  </si>
  <si>
    <t>Sachin Ranjan</t>
  </si>
  <si>
    <t xml:space="preserve">B Rainware
</t>
  </si>
  <si>
    <t>rsachin93@gmail.com</t>
  </si>
  <si>
    <t>F22000600</t>
  </si>
  <si>
    <t>Mathesh</t>
  </si>
  <si>
    <t>thalamathesh288@gmail.com</t>
  </si>
  <si>
    <t xml:space="preserve">Dindigul
</t>
  </si>
  <si>
    <t xml:space="preserve">Jasmin 74 Fragrance </t>
  </si>
  <si>
    <t>F22000599</t>
  </si>
  <si>
    <t xml:space="preserve">Vicky Kumar And Sons
</t>
  </si>
  <si>
    <t>vickymodi57@gmail.com</t>
  </si>
  <si>
    <t>F22000598</t>
  </si>
  <si>
    <t>Prakash Nayak</t>
  </si>
  <si>
    <t>Prakash Distributor Point</t>
  </si>
  <si>
    <t>prakashchandra1983y@gmail.com</t>
  </si>
  <si>
    <t>VALO PERFUME CHAI</t>
  </si>
  <si>
    <t>F22000597</t>
  </si>
  <si>
    <t>Arti Mandurke</t>
  </si>
  <si>
    <t>AMI ANANO PERFUME ER KOTHA BOLECHI</t>
  </si>
  <si>
    <t>F22000596</t>
  </si>
  <si>
    <t>Tuhin Subha Banerjee</t>
  </si>
  <si>
    <t xml:space="preserve">tuhinsubhrabanerjee13@gmail.com
</t>
  </si>
  <si>
    <t xml:space="preserve"> Agarbatti Fragrance</t>
  </si>
  <si>
    <t>F22000595</t>
  </si>
  <si>
    <t>Amit Mohanty</t>
  </si>
  <si>
    <t>Mohanty Store</t>
  </si>
  <si>
    <t xml:space="preserve">amitmohanty505@gmail.com
</t>
  </si>
  <si>
    <t>F22000594</t>
  </si>
  <si>
    <t>Saroj</t>
  </si>
  <si>
    <t>F22000593</t>
  </si>
  <si>
    <t>Ashish Jena</t>
  </si>
  <si>
    <t>ashishjena.1984@gmail.com</t>
  </si>
  <si>
    <t>HOYEGECHE ; R LAGBE NA</t>
  </si>
  <si>
    <t>F22000592</t>
  </si>
  <si>
    <t xml:space="preserve">Saibrahmanivirothi </t>
  </si>
  <si>
    <t>Virothi</t>
  </si>
  <si>
    <t xml:space="preserve">saibrahmanivirothi@gmail.com
</t>
  </si>
  <si>
    <t>Detergent Soap Fragrance</t>
  </si>
  <si>
    <t>F22000591</t>
  </si>
  <si>
    <t>Ajaykarthi</t>
  </si>
  <si>
    <t>Java Citronella Oil</t>
  </si>
  <si>
    <t>F22000590</t>
  </si>
  <si>
    <t>Purusottama Sahu</t>
  </si>
  <si>
    <t>purusottamasahu@gmail.com</t>
  </si>
  <si>
    <t>F22000589</t>
  </si>
  <si>
    <t>Mr. Siraj</t>
  </si>
  <si>
    <t>smartteksiraj@gmail.com</t>
  </si>
  <si>
    <t>Kamalpur</t>
  </si>
  <si>
    <t>Perfume.</t>
  </si>
  <si>
    <t>F22000588</t>
  </si>
  <si>
    <t xml:space="preserve">Dusmantapaida </t>
  </si>
  <si>
    <t>shashikantasethy4@gmail.com</t>
  </si>
  <si>
    <t xml:space="preserve">Karanjia
</t>
  </si>
  <si>
    <t>FRAGRANCE E INTERESTED</t>
  </si>
  <si>
    <t>F22000587</t>
  </si>
  <si>
    <t>Sumit Bhatia</t>
  </si>
  <si>
    <t>F22000586</t>
  </si>
  <si>
    <t>sbpb101209@gmail.com</t>
  </si>
  <si>
    <t>Rajpur Sonarpur</t>
  </si>
  <si>
    <t>Natural Essential Oil</t>
  </si>
  <si>
    <t>F22000585</t>
  </si>
  <si>
    <t>Mr.Mahendra Saha</t>
  </si>
  <si>
    <t>OFFICE E ASBEN BOLECHEN</t>
  </si>
  <si>
    <t>F22000584</t>
  </si>
  <si>
    <t>Sanket Shah</t>
  </si>
  <si>
    <t>sanketvarsha1623@gmail.com</t>
  </si>
  <si>
    <t xml:space="preserve">Jhabua
</t>
  </si>
  <si>
    <t>Mysore Sandal Freshnol Phenyl.</t>
  </si>
  <si>
    <t>SOB SANDEL ER PRICE LIST SEND KORECHI</t>
  </si>
  <si>
    <t>F22000583</t>
  </si>
  <si>
    <t>Anil Bishoyi</t>
  </si>
  <si>
    <t>anilbishoyia@gmail.com</t>
  </si>
  <si>
    <t xml:space="preserve">Rayagada
</t>
  </si>
  <si>
    <t>F22000582</t>
  </si>
  <si>
    <t>Sirsendu Das</t>
  </si>
  <si>
    <t xml:space="preserve">Bhadreswar
</t>
  </si>
  <si>
    <t>Aroma Agarbatti Perfumes</t>
  </si>
  <si>
    <t>AGARBATI PERFUME</t>
  </si>
  <si>
    <t>F22000581</t>
  </si>
  <si>
    <t>S Bayan</t>
  </si>
  <si>
    <t>sumonbayan571@gmail.com</t>
  </si>
  <si>
    <t>F22000580</t>
  </si>
  <si>
    <t>Shiv Shankar Kundu</t>
  </si>
  <si>
    <t>kundushibsankar25@gmail.com</t>
  </si>
  <si>
    <t xml:space="preserve">Asansol
</t>
  </si>
  <si>
    <t xml:space="preserve">Fragrance Oil Row Material. </t>
  </si>
  <si>
    <t>F22000579</t>
  </si>
  <si>
    <t>Yogita Dhangar</t>
  </si>
  <si>
    <t>yogitadhangar1999@gmail.com</t>
  </si>
  <si>
    <t>F22000578</t>
  </si>
  <si>
    <t>Shib Malllic</t>
  </si>
  <si>
    <t>shibsankarmallick2002@yahoo.com</t>
  </si>
  <si>
    <t>F22000577</t>
  </si>
  <si>
    <t>Swetha</t>
  </si>
  <si>
    <t>Trj Jewellers</t>
  </si>
  <si>
    <t>swethachakkaravarthi09@gmail.com</t>
  </si>
  <si>
    <t>PHONE LAGCHE NA</t>
  </si>
  <si>
    <t>F22000576</t>
  </si>
  <si>
    <t>Basheer</t>
  </si>
  <si>
    <t>shiekbasheer@gmail.com</t>
  </si>
  <si>
    <t>F22000575</t>
  </si>
  <si>
    <t xml:space="preserve">official.malhotra03@gmail.com
</t>
  </si>
  <si>
    <t>F22000574</t>
  </si>
  <si>
    <t>Thanseer</t>
  </si>
  <si>
    <t>Visda</t>
  </si>
  <si>
    <t xml:space="preserve">thanseerts@gmail.com
</t>
  </si>
  <si>
    <t>Rose Perfume Compound</t>
  </si>
  <si>
    <t>F22000573</t>
  </si>
  <si>
    <t>Upendra Kumar</t>
  </si>
  <si>
    <t>kupendra63@gmail.com</t>
  </si>
  <si>
    <t>Neem Aloe Fragrance</t>
  </si>
  <si>
    <t>F22000572</t>
  </si>
  <si>
    <t>Vikram Singh</t>
  </si>
  <si>
    <t>ksentps@gmail.com</t>
  </si>
  <si>
    <t xml:space="preserve">Lemon Grass. </t>
  </si>
  <si>
    <t>F22000571</t>
  </si>
  <si>
    <t>CHAITHRA</t>
  </si>
  <si>
    <t>chaithra.salian2010@gmail.com</t>
  </si>
  <si>
    <t>Mangalore</t>
  </si>
  <si>
    <t>F22000570</t>
  </si>
  <si>
    <t>KONIKA MAHAJON</t>
  </si>
  <si>
    <t>HIMACHAL PRADESH</t>
  </si>
  <si>
    <t>ROSE FRAGRANCE   CANDLE</t>
  </si>
  <si>
    <t>1LITR ROSE NIEYCHEN</t>
  </si>
  <si>
    <t>F22000569</t>
  </si>
  <si>
    <t>Arijit Das</t>
  </si>
  <si>
    <t>arijit.unico@gmail.com</t>
  </si>
  <si>
    <t xml:space="preserve">Citronella Phenyl Concentrate. </t>
  </si>
  <si>
    <t>F22000568</t>
  </si>
  <si>
    <t>ARUNAVA BANERJEE</t>
  </si>
  <si>
    <t>iarunavabanerjee@gmail.com</t>
  </si>
  <si>
    <t>CITRONELLA</t>
  </si>
  <si>
    <t>F22000567</t>
  </si>
  <si>
    <t>Sacred heart Church</t>
  </si>
  <si>
    <t>princejune14@gmail.com</t>
  </si>
  <si>
    <t>F22000566</t>
  </si>
  <si>
    <t>Navdeep Bakshi</t>
  </si>
  <si>
    <t xml:space="preserve">nsbakshi1271@gmail.com
</t>
  </si>
  <si>
    <t>F22000565</t>
  </si>
  <si>
    <t>Ambarish</t>
  </si>
  <si>
    <t xml:space="preserve">
ambarishmeher0@gmail.com</t>
  </si>
  <si>
    <t>F22000564</t>
  </si>
  <si>
    <t>HP Dharamendraiah</t>
  </si>
  <si>
    <t>hpdharanendraiah@gmail.com</t>
  </si>
  <si>
    <t>F22000563</t>
  </si>
  <si>
    <t>DGP Enterprises</t>
  </si>
  <si>
    <t>sanjay.938.938@gmail.com</t>
  </si>
  <si>
    <t>F22000562</t>
  </si>
  <si>
    <t>Ganesh Chaudhari</t>
  </si>
  <si>
    <t>M/s Ganesh Chaudhari</t>
  </si>
  <si>
    <t>01sdchaudhari@gmail.com</t>
  </si>
  <si>
    <t>F22000561</t>
  </si>
  <si>
    <t>Alpesh Shah</t>
  </si>
  <si>
    <t xml:space="preserve">Navkar Stone
</t>
  </si>
  <si>
    <t>navkarstone9@gmail.com</t>
  </si>
  <si>
    <t>Lotus Oil</t>
  </si>
  <si>
    <t>F22000560</t>
  </si>
  <si>
    <t>RAHUL DAS</t>
  </si>
  <si>
    <t>ganpti colction</t>
  </si>
  <si>
    <t xml:space="preserve">shubhum9988@gmail.com
</t>
  </si>
  <si>
    <t>F22000559</t>
  </si>
  <si>
    <t>Roushan Kumar</t>
  </si>
  <si>
    <t>Mosquito Repellent Incense Sticks</t>
  </si>
  <si>
    <t>F22000558</t>
  </si>
  <si>
    <t>Sarojini Chandran</t>
  </si>
  <si>
    <t xml:space="preserve">chandransarojini960@gmail.com
</t>
  </si>
  <si>
    <t>F22000557</t>
  </si>
  <si>
    <t>Sanchit Manghani</t>
  </si>
  <si>
    <t>sanchitmanghani1@gmail.com</t>
  </si>
  <si>
    <t>F22000556</t>
  </si>
  <si>
    <t>Hitbb Associated</t>
  </si>
  <si>
    <t xml:space="preserve"> Liquid Lemon Oil</t>
  </si>
  <si>
    <t>F22000555</t>
  </si>
  <si>
    <t>Probity Chrmicals Ltd</t>
  </si>
  <si>
    <t>dominionryt2@gmail.com</t>
  </si>
  <si>
    <t>Jasmine Agarbatti Perfume</t>
  </si>
  <si>
    <t>F22000554</t>
  </si>
  <si>
    <t>ShovanChakravarty</t>
  </si>
  <si>
    <t>shovanchakravarty@gmail.com</t>
  </si>
  <si>
    <t>CITRONELLA OIL</t>
  </si>
  <si>
    <t>F22000553</t>
  </si>
  <si>
    <t>Senthilkumaran</t>
  </si>
  <si>
    <t>periasamysenthil1981@gmail.com</t>
  </si>
  <si>
    <t>F22000552</t>
  </si>
  <si>
    <t>MD AFSAR</t>
  </si>
  <si>
    <t>ATTAR</t>
  </si>
  <si>
    <t>F22000551</t>
  </si>
  <si>
    <t>AJEET KUMAR</t>
  </si>
  <si>
    <t>F22000550</t>
  </si>
  <si>
    <t>Abuthahir</t>
  </si>
  <si>
    <t>abuthahirazim@gmail.com</t>
  </si>
  <si>
    <t>F22000549</t>
  </si>
  <si>
    <t xml:space="preserve">SK   </t>
  </si>
  <si>
    <t xml:space="preserve">Bidhan Nagar
</t>
  </si>
  <si>
    <t>F22000548</t>
  </si>
  <si>
    <t>Tarun</t>
  </si>
  <si>
    <t>F22000547</t>
  </si>
  <si>
    <t>Life Communication</t>
  </si>
  <si>
    <t xml:space="preserve">
abuthahirazim@gmail.com</t>
  </si>
  <si>
    <t>KOTHA BUJTE PARCHI NA</t>
  </si>
  <si>
    <t>F22000546</t>
  </si>
  <si>
    <t>Sankar Kadrak</t>
  </si>
  <si>
    <t>F22000545</t>
  </si>
  <si>
    <t>Krish Bansal</t>
  </si>
  <si>
    <t>bubble bliss</t>
  </si>
  <si>
    <t>krishbansal088@gmail.com</t>
  </si>
  <si>
    <t>Lavender Soap Fragrance</t>
  </si>
  <si>
    <t>SOAP AND DISHWASH PERFUME</t>
  </si>
  <si>
    <t>F22000544</t>
  </si>
  <si>
    <t>Jeetendra Dalei</t>
  </si>
  <si>
    <t xml:space="preserve">jagsarafmcg@gmail.com
</t>
  </si>
  <si>
    <t>F22000543</t>
  </si>
  <si>
    <t>Anil Menon</t>
  </si>
  <si>
    <t>Narayaneeya Yejna Samithi</t>
  </si>
  <si>
    <t>astroscan4u@gmail.com</t>
  </si>
  <si>
    <t>Javadhu Fragrance Oil</t>
  </si>
  <si>
    <t>F22000542</t>
  </si>
  <si>
    <t>mmanuel</t>
  </si>
  <si>
    <t xml:space="preserve">Phenyl Compound </t>
  </si>
  <si>
    <t>F22000541</t>
  </si>
  <si>
    <t>Bharat</t>
  </si>
  <si>
    <t xml:space="preserve">Candle Making Fragrance </t>
  </si>
  <si>
    <t>F22000540</t>
  </si>
  <si>
    <t>Radhakant Mishra</t>
  </si>
  <si>
    <t>radhakant.anku@gmail.com</t>
  </si>
  <si>
    <t xml:space="preserve">Deodorant Fragrance </t>
  </si>
  <si>
    <t>F22000539</t>
  </si>
  <si>
    <t xml:space="preserve">Ravi  </t>
  </si>
  <si>
    <t>REAT JADA</t>
  </si>
  <si>
    <t>F22000538</t>
  </si>
  <si>
    <t>Ajay Saraiya</t>
  </si>
  <si>
    <t>ajaysaraiya25@gmail.com</t>
  </si>
  <si>
    <t>F22000537</t>
  </si>
  <si>
    <t>Harsh Pandey</t>
  </si>
  <si>
    <t>hp8455462@gmail.com</t>
  </si>
  <si>
    <t>F22000536</t>
  </si>
  <si>
    <t>teacher_jai@hotmail.com</t>
  </si>
  <si>
    <t>F22000535</t>
  </si>
  <si>
    <t>AJU BHARAT</t>
  </si>
  <si>
    <t>ODISHA</t>
  </si>
  <si>
    <t>PORE CALL KORBEN</t>
  </si>
  <si>
    <t>F22000534</t>
  </si>
  <si>
    <t>Mahipal</t>
  </si>
  <si>
    <t>jat08214@gmail.com</t>
  </si>
  <si>
    <t xml:space="preserve">Maha Shakti Detergent </t>
  </si>
  <si>
    <t>F22000533</t>
  </si>
  <si>
    <t>Kanha collection</t>
  </si>
  <si>
    <t>nishantmakhija92@gmail.com</t>
  </si>
  <si>
    <t>F22000532</t>
  </si>
  <si>
    <t>Younus</t>
  </si>
  <si>
    <t>mohammedyounus78@gmail.com</t>
  </si>
  <si>
    <t>F22000531</t>
  </si>
  <si>
    <t>A LAVANYA</t>
  </si>
  <si>
    <t>ikebana</t>
  </si>
  <si>
    <t>avaarumugam04@gmail.com</t>
  </si>
  <si>
    <t>KOTHA BUJTE PARCHE NA</t>
  </si>
  <si>
    <t>F22000530</t>
  </si>
  <si>
    <t>Ishika</t>
  </si>
  <si>
    <t>ishikajswal.slb@gmail.com</t>
  </si>
  <si>
    <t>Fragrance for Body Wash</t>
  </si>
  <si>
    <t>NITEPAREN</t>
  </si>
  <si>
    <t>F22000529</t>
  </si>
  <si>
    <t>Manoj Kumar Nayak</t>
  </si>
  <si>
    <t xml:space="preserve">
M/S Shree Krushna Agency</t>
  </si>
  <si>
    <t>shreekrushnaagency49@gmail.com</t>
  </si>
  <si>
    <t>754029, Odisha,</t>
  </si>
  <si>
    <t>F22000528</t>
  </si>
  <si>
    <t>Remesh Mondal</t>
  </si>
  <si>
    <t>Lock Key</t>
  </si>
  <si>
    <t>Flavoured Perfume</t>
  </si>
  <si>
    <t>1 KG KORE LEMON R BHARAT WASI NIEYCHEN</t>
  </si>
  <si>
    <t>F22000527</t>
  </si>
  <si>
    <t>Nagaphanidra Annem</t>
  </si>
  <si>
    <t>nagaphanindraannem@gmail.com</t>
  </si>
  <si>
    <t>Narasaraopet</t>
  </si>
  <si>
    <t xml:space="preserve">Jasmine Fragrance Oil </t>
  </si>
  <si>
    <t>DETERGENT PERFUME PRICE SEND</t>
  </si>
  <si>
    <t>F22000526</t>
  </si>
  <si>
    <t xml:space="preserve">Abhijee </t>
  </si>
  <si>
    <t>kabhijeet2403@gmail.com</t>
  </si>
  <si>
    <t>F22000525</t>
  </si>
  <si>
    <t>VICKKY ROY</t>
  </si>
  <si>
    <t>Sonapur Gaon</t>
  </si>
  <si>
    <t xml:space="preserve"> Perfume.</t>
  </si>
  <si>
    <t>F22000524</t>
  </si>
  <si>
    <t>PRASANTA KUMAR JENA</t>
  </si>
  <si>
    <t>pjena5160@gmail.com</t>
  </si>
  <si>
    <t>INCOMEING CALL NOT ABAULABUL</t>
  </si>
  <si>
    <t>F22000523</t>
  </si>
  <si>
    <t>Suprobhat Mukherjee</t>
  </si>
  <si>
    <t>suprobhat87593@gmail.com</t>
  </si>
  <si>
    <t>F22000522</t>
  </si>
  <si>
    <t>Shanu Memon</t>
  </si>
  <si>
    <t>Lamba Agency</t>
  </si>
  <si>
    <t>shahnawazmemon8390@gmail.com</t>
  </si>
  <si>
    <t>F22000521</t>
  </si>
  <si>
    <t>V R Enterprises</t>
  </si>
  <si>
    <t xml:space="preserve">
kumarashwray001@gmail.com</t>
  </si>
  <si>
    <t xml:space="preserve">Gujarat, </t>
  </si>
  <si>
    <t>Resin Orange Agarbatti Perfume</t>
  </si>
  <si>
    <t>F22000520</t>
  </si>
  <si>
    <t>Sandip Nagdeote</t>
  </si>
  <si>
    <t>sandip_nagdeote@yahoo.co.in</t>
  </si>
  <si>
    <t>Lemongrass Perfume Water Soluble</t>
  </si>
  <si>
    <t>F22000519</t>
  </si>
  <si>
    <t>Ashwin</t>
  </si>
  <si>
    <t>Guitar Lemon Oil</t>
  </si>
  <si>
    <t>F22000518</t>
  </si>
  <si>
    <t>DIVINE Industries Agarbatti</t>
  </si>
  <si>
    <t>manashazra4444@gmail.com</t>
  </si>
  <si>
    <t>Citronella</t>
  </si>
  <si>
    <t>F22000517</t>
  </si>
  <si>
    <t>Sathish</t>
  </si>
  <si>
    <t>sathishkumarrcj@gmail.com</t>
  </si>
  <si>
    <t xml:space="preserve">Namakkal
</t>
  </si>
  <si>
    <t>Drilling Detergent</t>
  </si>
  <si>
    <t>F22000516</t>
  </si>
  <si>
    <t>Raja Mohamed</t>
  </si>
  <si>
    <t>Faazah</t>
  </si>
  <si>
    <t>jufm.jufm@gmail.com</t>
  </si>
  <si>
    <t>Detergent Powder Fragrance</t>
  </si>
  <si>
    <t>F22000515</t>
  </si>
  <si>
    <t>Srinivas</t>
  </si>
  <si>
    <t xml:space="preserve">Santosh Mata Medical General </t>
  </si>
  <si>
    <t>rmclsrinu@gmail.com</t>
  </si>
  <si>
    <t xml:space="preserve">Fine Fragrance Hopen Matic Detergent </t>
  </si>
  <si>
    <t>SWCHT OF</t>
  </si>
  <si>
    <t>F22000514</t>
  </si>
  <si>
    <t>Pramod Kumar Gupta</t>
  </si>
  <si>
    <t>pkgupta.irctc@gmail.com</t>
  </si>
  <si>
    <t>F22000513</t>
  </si>
  <si>
    <t>shaileshtaunk136@gmail.com</t>
  </si>
  <si>
    <t>Rose Flavors Fragrance</t>
  </si>
  <si>
    <t>F22000512</t>
  </si>
  <si>
    <t>Keshav Murthy</t>
  </si>
  <si>
    <t>ssnthoshs59@gmail.com</t>
  </si>
  <si>
    <t>F22000511</t>
  </si>
  <si>
    <t>abhijitdassamrat@gmail.com</t>
  </si>
  <si>
    <t>Agarbati Booster</t>
  </si>
  <si>
    <t>PERFUME ER KOTHA BOLECHI</t>
  </si>
  <si>
    <t>F22000510</t>
  </si>
  <si>
    <t>Kiran Kumar</t>
  </si>
  <si>
    <t>kkcompany02@gmail.com</t>
  </si>
  <si>
    <t>F22000509</t>
  </si>
  <si>
    <t>Gourang</t>
  </si>
  <si>
    <t>gsmajhi86@gmail.com</t>
  </si>
  <si>
    <t>F22000508</t>
  </si>
  <si>
    <t>Ashok Kumar Jena</t>
  </si>
  <si>
    <t>Basudebpur</t>
  </si>
  <si>
    <t>F22000507</t>
  </si>
  <si>
    <t>Debashis Barik</t>
  </si>
  <si>
    <t>Happy Enterprises</t>
  </si>
  <si>
    <t xml:space="preserve">
debashisbarik9583@gmail.com
</t>
  </si>
  <si>
    <t>F22000506</t>
  </si>
  <si>
    <t>Sanjib Biswal</t>
  </si>
  <si>
    <t>Uro Bright</t>
  </si>
  <si>
    <t>sanjib.architect@gmail.com</t>
  </si>
  <si>
    <t>DETERGENT PERFUME</t>
  </si>
  <si>
    <t>F22000505</t>
  </si>
  <si>
    <t>Suhaib</t>
  </si>
  <si>
    <t>M/s New Design Exports</t>
  </si>
  <si>
    <t>shamsi.suhaib@yahoo.com</t>
  </si>
  <si>
    <t>CANDAL PERFUME</t>
  </si>
  <si>
    <t>F22000504</t>
  </si>
  <si>
    <t>Bhumika Solanki</t>
  </si>
  <si>
    <t>kkalyanisolutions@gmail.com</t>
  </si>
  <si>
    <t>F22000503</t>
  </si>
  <si>
    <t>Ramkumar Anamdeo</t>
  </si>
  <si>
    <t>nramkumarh@yahoo.com</t>
  </si>
  <si>
    <t>F22000502</t>
  </si>
  <si>
    <t>Rajni</t>
  </si>
  <si>
    <t>Trendz Bedsheets</t>
  </si>
  <si>
    <t>rajni.bajaj202@gmail.com</t>
  </si>
  <si>
    <t>Essential Oils</t>
  </si>
  <si>
    <t>S0AP PERFUME</t>
  </si>
  <si>
    <t>F22000501</t>
  </si>
  <si>
    <t>Raju Miniaka</t>
  </si>
  <si>
    <t>rajuminiaka06@gmail.com</t>
  </si>
  <si>
    <t>F22000500</t>
  </si>
  <si>
    <t>aakumar2395@gmail.com</t>
  </si>
  <si>
    <t>Naiti</t>
  </si>
  <si>
    <t>F22000499</t>
  </si>
  <si>
    <t>byahutindustries@gmail.com</t>
  </si>
  <si>
    <t>Adityapur</t>
  </si>
  <si>
    <t>F22000498</t>
  </si>
  <si>
    <t>Ganesh Janne</t>
  </si>
  <si>
    <t>ganeshjanne@gmail.com</t>
  </si>
  <si>
    <t>Tirupati</t>
  </si>
  <si>
    <t>F22000497</t>
  </si>
  <si>
    <t xml:space="preserve">AGNIMAY </t>
  </si>
  <si>
    <t>HM ENTERPRISE</t>
  </si>
  <si>
    <t>agarbati PERFUME</t>
  </si>
  <si>
    <t>F22000496</t>
  </si>
  <si>
    <t>F22000495</t>
  </si>
  <si>
    <t>NARESH ANCHAL</t>
  </si>
  <si>
    <t>Varenyam Universal</t>
  </si>
  <si>
    <t>varenyamuniversal@gmail.com</t>
  </si>
  <si>
    <t>110009, Delhi,</t>
  </si>
  <si>
    <t>DISHWASH PERFUME</t>
  </si>
  <si>
    <t>F22000494</t>
  </si>
  <si>
    <t>Amulia</t>
  </si>
  <si>
    <t>amulia.jaligam19@gmail.com</t>
  </si>
  <si>
    <t xml:space="preserve">
Hyderabad</t>
  </si>
  <si>
    <t>DUR BOLE NEBEN NA</t>
  </si>
  <si>
    <t>F22000493</t>
  </si>
  <si>
    <t>Liya Candles</t>
  </si>
  <si>
    <t>liyacandles@gmail.com</t>
  </si>
  <si>
    <t>Lemongrass Agarbathy Perfume</t>
  </si>
  <si>
    <t>F22000492</t>
  </si>
  <si>
    <t>Ajay Anpat</t>
  </si>
  <si>
    <t>F22000491</t>
  </si>
  <si>
    <t>S. P. Asha Shinde</t>
  </si>
  <si>
    <t>spashashinde@yahoo.com</t>
  </si>
  <si>
    <t>SOAP PERFUME</t>
  </si>
  <si>
    <t>F22000490</t>
  </si>
  <si>
    <t>Md Mostafijur Rahaman</t>
  </si>
  <si>
    <t>mostafijurkeya@gmail.com</t>
  </si>
  <si>
    <t>Phenyl Cmpound</t>
  </si>
  <si>
    <t>F22000489</t>
  </si>
  <si>
    <t>Bishnu</t>
  </si>
  <si>
    <t>bishnurajak410@gmail.com</t>
  </si>
  <si>
    <t>Magnum Perfume.</t>
  </si>
  <si>
    <t>F22000488</t>
  </si>
  <si>
    <t>Debasis Saha</t>
  </si>
  <si>
    <t>ARITRA TRADING CORPORATION</t>
  </si>
  <si>
    <t>aritrainc@gmail.com</t>
  </si>
  <si>
    <t>Rose Kasturi Chandan Jasmine</t>
  </si>
  <si>
    <t>31-10-2022</t>
  </si>
  <si>
    <t>F22000487</t>
  </si>
  <si>
    <t>Subarnapur</t>
  </si>
  <si>
    <t>GARLIC OIL, OR LEMONGRASS</t>
  </si>
  <si>
    <t>F22000486</t>
  </si>
  <si>
    <t>Bhupendra</t>
  </si>
  <si>
    <t>bhupendrarjs@gmail.com</t>
  </si>
  <si>
    <t>5 Litre Torch Fuel Citronella</t>
  </si>
  <si>
    <t>MASHAL JALABAR JONNO LAGBE</t>
  </si>
  <si>
    <t>F22000485</t>
  </si>
  <si>
    <t>Baljit Singh</t>
  </si>
  <si>
    <t>Future Life</t>
  </si>
  <si>
    <t xml:space="preserve">
baljitsingh077@gmail.com</t>
  </si>
  <si>
    <t>F22000484</t>
  </si>
  <si>
    <t>Shiva Rama Reddy</t>
  </si>
  <si>
    <t>sivappm1@gmail.com</t>
  </si>
  <si>
    <t xml:space="preserve"> Andhra Pradesh, </t>
  </si>
  <si>
    <t>F22000483</t>
  </si>
  <si>
    <t xml:space="preserve">
rajatrajat6312@gmail.com</t>
  </si>
  <si>
    <t xml:space="preserve"> 759021, Odisha</t>
  </si>
  <si>
    <t xml:space="preserve">Hyco Phenyl Concentrate </t>
  </si>
  <si>
    <t>F22000482</t>
  </si>
  <si>
    <t>Rehan Salim Shaikh</t>
  </si>
  <si>
    <t>A To Z Soap Center</t>
  </si>
  <si>
    <t xml:space="preserve">Jasmine Fragnance Detergent </t>
  </si>
  <si>
    <t>INVALID NUMBAR</t>
  </si>
  <si>
    <t>F22000481</t>
  </si>
  <si>
    <t>Abhijeet Taware</t>
  </si>
  <si>
    <t>Shriya Traders.</t>
  </si>
  <si>
    <t>abhijeettaware10@gmail.com</t>
  </si>
  <si>
    <t>F22000480</t>
  </si>
  <si>
    <t>Shruthi</t>
  </si>
  <si>
    <t>swathiarasi14@gmail.com</t>
  </si>
  <si>
    <t>F22000479</t>
  </si>
  <si>
    <t>mordexplus@gmail.com</t>
  </si>
  <si>
    <t>1 LITR PERFUME NIEYCHEN</t>
  </si>
  <si>
    <t>F22000478</t>
  </si>
  <si>
    <t>S. Banerjee</t>
  </si>
  <si>
    <t>firstocation66@gmail.com</t>
  </si>
  <si>
    <t>F22000477</t>
  </si>
  <si>
    <t>RATRANI Perfume Fragnance</t>
  </si>
  <si>
    <t>F22000476</t>
  </si>
  <si>
    <t>Ekramul</t>
  </si>
  <si>
    <t>29-10-2022</t>
  </si>
  <si>
    <t>F22000475</t>
  </si>
  <si>
    <t>Suryakant</t>
  </si>
  <si>
    <t>Sai Ram Innovative</t>
  </si>
  <si>
    <t>surjyakanta81.pradhan@gmail.com</t>
  </si>
  <si>
    <t>Herbal Phenyl Concentrate</t>
  </si>
  <si>
    <t>F22000474</t>
  </si>
  <si>
    <t>Jeewandeep Lab</t>
  </si>
  <si>
    <t xml:space="preserve">rajkumarmondal9434@gmail.com
</t>
  </si>
  <si>
    <t>Rampur Hat</t>
  </si>
  <si>
    <t>F22000473</t>
  </si>
  <si>
    <t>Prasan Kambli</t>
  </si>
  <si>
    <t>SS Clean And Fresh</t>
  </si>
  <si>
    <t>Water Based Fragrance Perfume</t>
  </si>
  <si>
    <t>DUR HOCHHE TAI LAGBE NA</t>
  </si>
  <si>
    <t>F22000472</t>
  </si>
  <si>
    <t>Mohammed Wajid</t>
  </si>
  <si>
    <t>Champion Traders</t>
  </si>
  <si>
    <t xml:space="preserve">
wajidshamsi5414@gmail.com</t>
  </si>
  <si>
    <t>Rose Attar Perfume, for Fragrance</t>
  </si>
  <si>
    <t>ONLINE LINK DIEYCHI</t>
  </si>
  <si>
    <t>F22000471</t>
  </si>
  <si>
    <t>Kishor Kumar</t>
  </si>
  <si>
    <t>kisukumar8875@gmail.com</t>
  </si>
  <si>
    <t xml:space="preserve">
Patna, Bihar</t>
  </si>
  <si>
    <t>F22000470</t>
  </si>
  <si>
    <t>Rahul Das</t>
  </si>
  <si>
    <t>rdrahul1214121@gmail.com</t>
  </si>
  <si>
    <t xml:space="preserve">PORE   JANABEN </t>
  </si>
  <si>
    <t>F22000469</t>
  </si>
  <si>
    <t xml:space="preserve">
Keshav Bharadwaj</t>
  </si>
  <si>
    <t>SR Techno Graph</t>
  </si>
  <si>
    <t>Keshavsbharadwaj@gmail.com</t>
  </si>
  <si>
    <t>Fresh Lemon Water Soluble Fragrance</t>
  </si>
  <si>
    <t>F22000468</t>
  </si>
  <si>
    <t>Soumen Panda</t>
  </si>
  <si>
    <t>soumenkumarpanda@gmail.com</t>
  </si>
  <si>
    <t xml:space="preserve">Lemon Scented Phenyl </t>
  </si>
  <si>
    <t>CONCENTRATE RAW MATERIALS LAGBE</t>
  </si>
  <si>
    <t>F22000467</t>
  </si>
  <si>
    <t>Iman Paul</t>
  </si>
  <si>
    <t>imanpaul27@gmail.com</t>
  </si>
  <si>
    <t xml:space="preserve">3 in 1 Fragrance Charcoal </t>
  </si>
  <si>
    <t>28-10-2022</t>
  </si>
  <si>
    <t>F22000466</t>
  </si>
  <si>
    <t>Suvichem</t>
  </si>
  <si>
    <t>suvichemsk@gmail.com</t>
  </si>
  <si>
    <t>Liquid Phenyl Thickener Gel</t>
  </si>
  <si>
    <t>INVALIED</t>
  </si>
  <si>
    <t>F22000465</t>
  </si>
  <si>
    <t>Golam Sadaruddin</t>
  </si>
  <si>
    <t>golamsadar786@gmail.com</t>
  </si>
  <si>
    <t>Rampur Hat,</t>
  </si>
  <si>
    <t>SAMPLE ROSE , LEMON</t>
  </si>
  <si>
    <t>F22000464</t>
  </si>
  <si>
    <t>Dhwani Jain</t>
  </si>
  <si>
    <t>M/s Dhwani Jain</t>
  </si>
  <si>
    <t>monica.jain1992.mj@gmail.com</t>
  </si>
  <si>
    <t xml:space="preserve">Ensens Kesar Chandan </t>
  </si>
  <si>
    <t>F22000463</t>
  </si>
  <si>
    <t>Md Afroz</t>
  </si>
  <si>
    <t>SAROZ Candles</t>
  </si>
  <si>
    <t>mdafroj1726874@gmail.com</t>
  </si>
  <si>
    <t>F22000462</t>
  </si>
  <si>
    <t xml:space="preserve">Motihari
</t>
  </si>
  <si>
    <t>F22000461</t>
  </si>
  <si>
    <t>Surajeet Pal</t>
  </si>
  <si>
    <t>surajitpal573@gmail.com</t>
  </si>
  <si>
    <t>CAP MANUFACUTTER KOREN</t>
  </si>
  <si>
    <t>F22000460</t>
  </si>
  <si>
    <t>Ekta Gupta</t>
  </si>
  <si>
    <t>ektacara@hotmail.com</t>
  </si>
  <si>
    <t>26-10-2022</t>
  </si>
  <si>
    <t>F22000459</t>
  </si>
  <si>
    <t>Mahi Biswas</t>
  </si>
  <si>
    <t xml:space="preserve">lipibiswas1998@gmail.com </t>
  </si>
  <si>
    <t>F22000458</t>
  </si>
  <si>
    <t>Sanjay Rathore</t>
  </si>
  <si>
    <t>Rajdeep Enterprises</t>
  </si>
  <si>
    <t>sanjay.fineindia@gmail.com</t>
  </si>
  <si>
    <t>, Chhattisgarh</t>
  </si>
  <si>
    <t>F22000457</t>
  </si>
  <si>
    <t>dineshsapkotta69@gmail.com</t>
  </si>
  <si>
    <t>F22000456</t>
  </si>
  <si>
    <t>Chillis Trading</t>
  </si>
  <si>
    <t xml:space="preserve">sivashankar508@gmail.com </t>
  </si>
  <si>
    <t>KARLA</t>
  </si>
  <si>
    <t>Agarbatti Fragnance.</t>
  </si>
  <si>
    <t>F22000455</t>
  </si>
  <si>
    <t>Malemsana</t>
  </si>
  <si>
    <t>malemsanakhuman810027@gmail.com</t>
  </si>
  <si>
    <t xml:space="preserve">Imphal
</t>
  </si>
  <si>
    <t>F22000454</t>
  </si>
  <si>
    <t>owaisqarni@yahoomail.com</t>
  </si>
  <si>
    <t xml:space="preserve">Rajnigandha Floor </t>
  </si>
  <si>
    <t>F22000453</t>
  </si>
  <si>
    <t>Sujeet Sardar</t>
  </si>
  <si>
    <t>sujitsardar2013@gmail.com</t>
  </si>
  <si>
    <t>F22000452</t>
  </si>
  <si>
    <t>Farhan Ali</t>
  </si>
  <si>
    <t xml:space="preserve"> S.n. Fragrances</t>
  </si>
  <si>
    <t>KOTHA HOYCHE</t>
  </si>
  <si>
    <t>F22000451</t>
  </si>
  <si>
    <t>Chayan Pratihar</t>
  </si>
  <si>
    <t>chayanpratihar72@gmail.com</t>
  </si>
  <si>
    <t>F22000450</t>
  </si>
  <si>
    <t>Hemanta Kumar Moharana</t>
  </si>
  <si>
    <t>hemantmaharana100@gmail.com</t>
  </si>
  <si>
    <t xml:space="preserve"> White Phenyl Compound </t>
  </si>
  <si>
    <t>F22000449</t>
  </si>
  <si>
    <t>SANDIP AGENCY</t>
  </si>
  <si>
    <t>F22000448</t>
  </si>
  <si>
    <t>Vinej Pal</t>
  </si>
  <si>
    <t>psldinesh2@gmail.com</t>
  </si>
  <si>
    <t xml:space="preserve">Sandal Chandan </t>
  </si>
  <si>
    <t>24-10-2022</t>
  </si>
  <si>
    <t>F22000447</t>
  </si>
  <si>
    <t>Tanu Yadav</t>
  </si>
  <si>
    <t>tanuyadav834@gmail.com</t>
  </si>
  <si>
    <t>Fena Detergent Powder</t>
  </si>
  <si>
    <t>F22000446</t>
  </si>
  <si>
    <t>S.D Nawale</t>
  </si>
  <si>
    <t xml:space="preserve">
Siddheshwar Enterprises
</t>
  </si>
  <si>
    <t>nawale111@gmail.com</t>
  </si>
  <si>
    <t>F22000445</t>
  </si>
  <si>
    <t>Md Abdus Salam</t>
  </si>
  <si>
    <t>asalam081@gmail.com</t>
  </si>
  <si>
    <t>F22000444</t>
  </si>
  <si>
    <t>Rekha Gupta</t>
  </si>
  <si>
    <t>pramodrekha8286@gmail.com</t>
  </si>
  <si>
    <t>Lavender Natural Essential Oil</t>
  </si>
  <si>
    <t>F22000443</t>
  </si>
  <si>
    <t>N.murugan</t>
  </si>
  <si>
    <t>nandhimurugan10@gmail.com</t>
  </si>
  <si>
    <t>F22000442</t>
  </si>
  <si>
    <t>Fragrance Sticks</t>
  </si>
  <si>
    <t>F22000441</t>
  </si>
  <si>
    <t>Arbind Shaw</t>
  </si>
  <si>
    <t>Mosquito Repellent Stick</t>
  </si>
  <si>
    <t>F22000440</t>
  </si>
  <si>
    <t>Goldy Thakur</t>
  </si>
  <si>
    <t>tgoldythakur@gmail.com</t>
  </si>
  <si>
    <t>Saharanpur</t>
  </si>
  <si>
    <t>F22000439</t>
  </si>
  <si>
    <t>Pratima Chakervarti</t>
  </si>
  <si>
    <t>F22000438</t>
  </si>
  <si>
    <t xml:space="preserve"> black phenyl concentrate</t>
  </si>
  <si>
    <t>FRAGRANCE ER REAT DIEYCHI</t>
  </si>
  <si>
    <t>22-10-2022</t>
  </si>
  <si>
    <t>F22000437</t>
  </si>
  <si>
    <t>Shanti Enterprises</t>
  </si>
  <si>
    <t>sales.shantient@gmail.com</t>
  </si>
  <si>
    <t>F22000436</t>
  </si>
  <si>
    <t>4 kg</t>
  </si>
  <si>
    <t>White Liquid Phenyl Thickener</t>
  </si>
  <si>
    <t>F22000435</t>
  </si>
  <si>
    <t xml:space="preserve">	2 Litre</t>
  </si>
  <si>
    <t>F22000434</t>
  </si>
  <si>
    <t>Prajjval Pate</t>
  </si>
  <si>
    <t>kmpcorporations@gmail.com</t>
  </si>
  <si>
    <t>Rajkot</t>
  </si>
  <si>
    <t xml:space="preserve"> Lime Oil </t>
  </si>
  <si>
    <t xml:space="preserve">NEEM OIL </t>
  </si>
  <si>
    <t>F22000433</t>
  </si>
  <si>
    <t>SWASTIK MANDAL</t>
  </si>
  <si>
    <t>swastikmandal017@gmail.com</t>
  </si>
  <si>
    <t>Fragrance Oil Soluble</t>
  </si>
  <si>
    <t>F22000432</t>
  </si>
  <si>
    <t>SHARMISTHA</t>
  </si>
  <si>
    <t>sbiswass860@gmail.com</t>
  </si>
  <si>
    <t>Water Soluble Neem Oil</t>
  </si>
  <si>
    <t>NEEM OIL</t>
  </si>
  <si>
    <t>21-10-2022</t>
  </si>
  <si>
    <t>F22000431</t>
  </si>
  <si>
    <t>F22000430</t>
  </si>
  <si>
    <t>Prajjval Patel</t>
  </si>
  <si>
    <t>KMP Exports</t>
  </si>
  <si>
    <t>F22000429</t>
  </si>
  <si>
    <t>Sakib</t>
  </si>
  <si>
    <t>ansarisakib578@gmail.com</t>
  </si>
  <si>
    <t>F22000428</t>
  </si>
  <si>
    <t>Jay Hanuman</t>
  </si>
  <si>
    <t>mamunisahu2002@gmail.com</t>
  </si>
  <si>
    <t>F22000427</t>
  </si>
  <si>
    <t>Ajeesh</t>
  </si>
  <si>
    <t xml:space="preserve">
m.t.ajeesh@gmail.com</t>
  </si>
  <si>
    <t>F22000426</t>
  </si>
  <si>
    <t>tapasgloball@gmail.com</t>
  </si>
  <si>
    <t>Bhatpara</t>
  </si>
  <si>
    <t>Neem Phenyl</t>
  </si>
  <si>
    <t>F22000425</t>
  </si>
  <si>
    <t>Anup Basak</t>
  </si>
  <si>
    <t>LAXMI AGARBATTI ENTERPRISES</t>
  </si>
  <si>
    <t>anupbasak487@gmail.com</t>
  </si>
  <si>
    <t>F22000424</t>
  </si>
  <si>
    <t>Aditya Kumar</t>
  </si>
  <si>
    <t>Phenyl Emulsifier</t>
  </si>
  <si>
    <t>20-10-2022</t>
  </si>
  <si>
    <t>F22000423</t>
  </si>
  <si>
    <t>Biju Mohan</t>
  </si>
  <si>
    <t>bijumohandas@hotmail.com</t>
  </si>
  <si>
    <t>Lemon Grass Aroma Oil</t>
  </si>
  <si>
    <t>F22000422</t>
  </si>
  <si>
    <t>SUSHANT KUNDU</t>
  </si>
  <si>
    <t xml:space="preserve">
suman9851848922@gmail.com</t>
  </si>
  <si>
    <t xml:space="preserve">
Malda - 732142, </t>
  </si>
  <si>
    <t>AMADER THEKE MATERIALS NIEYCHEN</t>
  </si>
  <si>
    <t>F22000421</t>
  </si>
  <si>
    <t>Ahmad</t>
  </si>
  <si>
    <t>mohdahmed34508@gmail.com</t>
  </si>
  <si>
    <t>F22000420</t>
  </si>
  <si>
    <t>sona</t>
  </si>
  <si>
    <t>F22000419</t>
  </si>
  <si>
    <t>Basit</t>
  </si>
  <si>
    <t>anask685@gmail.com</t>
  </si>
  <si>
    <t>F22000418</t>
  </si>
  <si>
    <t>Punam</t>
  </si>
  <si>
    <t>sainipoonam14@gmail.com</t>
  </si>
  <si>
    <t>Torch Fuel Citronella</t>
  </si>
  <si>
    <t>F22000417</t>
  </si>
  <si>
    <t>BISWAJIT</t>
  </si>
  <si>
    <t>biswajitpanda631@gmail.com</t>
  </si>
  <si>
    <t>Mango Perfume</t>
  </si>
  <si>
    <t>F22000416</t>
  </si>
  <si>
    <t>Md Shabbir Uddin</t>
  </si>
  <si>
    <t>mdimranuddin1213@gmail.com</t>
  </si>
  <si>
    <t xml:space="preserve"> Attar</t>
  </si>
  <si>
    <t>19-10-2022</t>
  </si>
  <si>
    <t>F22000415</t>
  </si>
  <si>
    <t>NewAbhi Rout</t>
  </si>
  <si>
    <t>abhilashrout21@gmail.com</t>
  </si>
  <si>
    <t>Thrissur</t>
  </si>
  <si>
    <t>F22000414</t>
  </si>
  <si>
    <t>suhasyejare9@gmail.com</t>
  </si>
  <si>
    <t>F22000413</t>
  </si>
  <si>
    <t>Gajanan Chemicals</t>
  </si>
  <si>
    <t>bhaveshnaik727@gmail.com</t>
  </si>
  <si>
    <t>Detergrnt Perfume</t>
  </si>
  <si>
    <t>F22000412</t>
  </si>
  <si>
    <t>Chandra Kant</t>
  </si>
  <si>
    <t>M/S Bhawani Construction</t>
  </si>
  <si>
    <t xml:space="preserve">
chandrakantujjaini140@gmail.com</t>
  </si>
  <si>
    <t>F22000411</t>
  </si>
  <si>
    <t>SantoshKumarBehera</t>
  </si>
  <si>
    <t xml:space="preserve">	5 Litre</t>
  </si>
  <si>
    <t>F22000410</t>
  </si>
  <si>
    <t>Pawan Antique Coin</t>
  </si>
  <si>
    <t>mogalrajpavan@gmail.com</t>
  </si>
  <si>
    <t>Limon Grass</t>
  </si>
  <si>
    <t>F22000409</t>
  </si>
  <si>
    <t>Santosh Kumar</t>
  </si>
  <si>
    <t>santoshsantosh1210@gmail.com</t>
  </si>
  <si>
    <t>F22000408</t>
  </si>
  <si>
    <t>Abhijit Adhikary</t>
  </si>
  <si>
    <t>adhikarya904@gmail.com</t>
  </si>
  <si>
    <t>F22000407</t>
  </si>
  <si>
    <t>Priyamvada</t>
  </si>
  <si>
    <t>priyamvadapratihast@gmail.com</t>
  </si>
  <si>
    <t>Essential Oil</t>
  </si>
  <si>
    <t>COSMATIC</t>
  </si>
  <si>
    <t>F22000406</t>
  </si>
  <si>
    <t>Khamam And Enterprises</t>
  </si>
  <si>
    <t>srinivasallu.666@gmail.com</t>
  </si>
  <si>
    <t>18-10-2022</t>
  </si>
  <si>
    <t>F22000405</t>
  </si>
  <si>
    <t>SUDEEP TANTI</t>
  </si>
  <si>
    <t>ASSAM</t>
  </si>
  <si>
    <t>FRAGRANCE CANDAL</t>
  </si>
  <si>
    <t>CASE ON DELIVERY HOBE</t>
  </si>
  <si>
    <t>F22000404</t>
  </si>
  <si>
    <t>DILIP DAS</t>
  </si>
  <si>
    <t>KHIDDERPUR</t>
  </si>
  <si>
    <t>F22000403</t>
  </si>
  <si>
    <t>SUJAN RUDRA PAUL</t>
  </si>
  <si>
    <t>TIPURA</t>
  </si>
  <si>
    <t>10 KG THICKENER, 2LITR FRAGRENCE</t>
  </si>
  <si>
    <t>F22000402</t>
  </si>
  <si>
    <t>Safeeq</t>
  </si>
  <si>
    <t>FLOURITE MARKETING</t>
  </si>
  <si>
    <t>emeraldgrouptirur@gmail.com</t>
  </si>
  <si>
    <t>F22000401</t>
  </si>
  <si>
    <t>Devarajan</t>
  </si>
  <si>
    <t>laxmi cottage works</t>
  </si>
  <si>
    <t>devarajan051984@gmail.com</t>
  </si>
  <si>
    <t>Ensens Silk Rose Fragrance Oil</t>
  </si>
  <si>
    <t>AGARBATTI PICE LIST SEND</t>
  </si>
  <si>
    <t>F22000400</t>
  </si>
  <si>
    <t>Nitesh Gupta</t>
  </si>
  <si>
    <t>vpnbhilai@gmail.com</t>
  </si>
  <si>
    <t>Organic Citronella Oil</t>
  </si>
  <si>
    <t>F22000399</t>
  </si>
  <si>
    <t>Manjula</t>
  </si>
  <si>
    <t>ISHA PILES&amp;GYNECHEALTH CLINI</t>
  </si>
  <si>
    <t>mbshpkmonalisa13@gmail.com</t>
  </si>
  <si>
    <t>Water Soluble Natural Citronella Oil</t>
  </si>
  <si>
    <t>F22000398</t>
  </si>
  <si>
    <t>Jasoda Raut</t>
  </si>
  <si>
    <t>jasodaraut3@gmail.com</t>
  </si>
  <si>
    <t>Dharamgarh</t>
  </si>
  <si>
    <t>F22000397</t>
  </si>
  <si>
    <t>F22000396</t>
  </si>
  <si>
    <t>Aojy</t>
  </si>
  <si>
    <t>murmuajoy571@gmail.com</t>
  </si>
  <si>
    <t>F22000395</t>
  </si>
  <si>
    <t>Tulika Sarkar</t>
  </si>
  <si>
    <t>aritra.thakurta89@gmail.com</t>
  </si>
  <si>
    <t>Bharat Darshan Sun Fragrance</t>
  </si>
  <si>
    <t>F22000394</t>
  </si>
  <si>
    <t>Sourav Das</t>
  </si>
  <si>
    <t>das527813@gmail.com</t>
  </si>
  <si>
    <t>Bhadrak</t>
  </si>
  <si>
    <t>17-10-2022</t>
  </si>
  <si>
    <t>F22000393</t>
  </si>
  <si>
    <t xml:space="preserve">
Sanjay</t>
  </si>
  <si>
    <t>Melorse Bio Technology</t>
  </si>
  <si>
    <t xml:space="preserve">
sanjay.melrose@gmail.com</t>
  </si>
  <si>
    <t>F22000392</t>
  </si>
  <si>
    <t>krishan</t>
  </si>
  <si>
    <t>F22000391</t>
  </si>
  <si>
    <t>Anjay Shah</t>
  </si>
  <si>
    <t>abhayrinkishah@gmail.com</t>
  </si>
  <si>
    <t>Dibrugarh</t>
  </si>
  <si>
    <t>Tea Tree Oil</t>
  </si>
  <si>
    <t>F22000390</t>
  </si>
  <si>
    <t>Beauty Dash</t>
  </si>
  <si>
    <t>beautydash6829@gmail.com</t>
  </si>
  <si>
    <t>F22000389</t>
  </si>
  <si>
    <t>Meeran Mydeen</t>
  </si>
  <si>
    <t>SHARMI CHEMICALS</t>
  </si>
  <si>
    <t>sharmilabanu80988@gmail.com</t>
  </si>
  <si>
    <t>Lime Orange Fragrance Oil</t>
  </si>
  <si>
    <t>F22000388</t>
  </si>
  <si>
    <t>Debashis Das</t>
  </si>
  <si>
    <t>SHOPYING CONSUMER PRODUCTS</t>
  </si>
  <si>
    <t>debashismail78@gmail.com</t>
  </si>
  <si>
    <t xml:space="preserve"> Fragnance for white phenyle</t>
  </si>
  <si>
    <t>1 LITR LEMON NIEYCHEN 10-17-2022</t>
  </si>
  <si>
    <t>F22000387</t>
  </si>
  <si>
    <t>Sajan Tripathy</t>
  </si>
  <si>
    <t>subhadratripathy76@gmail.com</t>
  </si>
  <si>
    <t>Jajpur</t>
  </si>
  <si>
    <t>Phynile Manufacture</t>
  </si>
  <si>
    <t>F22000386</t>
  </si>
  <si>
    <t>Satadal Maity</t>
  </si>
  <si>
    <t>maitysatu@yahoo.co.in</t>
  </si>
  <si>
    <t xml:space="preserve">Lemongrass Essential Oil. </t>
  </si>
  <si>
    <t>15-10-2022</t>
  </si>
  <si>
    <t>F22000385</t>
  </si>
  <si>
    <t>SK Samsur Rahaman</t>
  </si>
  <si>
    <t>modernpackagingmachinery@gmail.com</t>
  </si>
  <si>
    <t>Floor Cleaner Fragrances</t>
  </si>
  <si>
    <t>F22000384</t>
  </si>
  <si>
    <t>mahatobijoy314@gmail.com</t>
  </si>
  <si>
    <t>Price List Sent</t>
  </si>
  <si>
    <t>F22000383</t>
  </si>
  <si>
    <t>Ghasiram Kumar</t>
  </si>
  <si>
    <t xml:space="preserve">White Rose Loose Detergent </t>
  </si>
  <si>
    <t xml:space="preserve"> JANABE</t>
  </si>
  <si>
    <t>F22000382</t>
  </si>
  <si>
    <t>K.Kannan</t>
  </si>
  <si>
    <t>kannankmsc@gmail.com</t>
  </si>
  <si>
    <t>Sunrise Detergent Fragrances</t>
  </si>
  <si>
    <t>F22000381</t>
  </si>
  <si>
    <t>manivannan3020@gmail.com</t>
  </si>
  <si>
    <t xml:space="preserve">Lime First Detergent </t>
  </si>
  <si>
    <t>TAMIL BUJTE PARCHI NA</t>
  </si>
  <si>
    <t>F22000380</t>
  </si>
  <si>
    <t>Sheikh Yasin</t>
  </si>
  <si>
    <t>sheikhyasin1974@gmail.com</t>
  </si>
  <si>
    <t xml:space="preserve"> Jammu </t>
  </si>
  <si>
    <t xml:space="preserve">Rose Fragrance Detergent </t>
  </si>
  <si>
    <t>F22000379</t>
  </si>
  <si>
    <t>Chandrakant Kirtane</t>
  </si>
  <si>
    <t>kirtanemasale17@gmail.com</t>
  </si>
  <si>
    <t>Lemongrass Hydrosol</t>
  </si>
  <si>
    <t>LEMONGRASS POWDER LAGBE</t>
  </si>
  <si>
    <t>F22000378</t>
  </si>
  <si>
    <t>Nagaraju</t>
  </si>
  <si>
    <t xml:space="preserve"> Telangana</t>
  </si>
  <si>
    <t>STICK LAGEGA</t>
  </si>
  <si>
    <t>F22000377</t>
  </si>
  <si>
    <t>Nikitha</t>
  </si>
  <si>
    <t>nikitha.rudrangi02@gmail.com</t>
  </si>
  <si>
    <t xml:space="preserve"> Torch Fuel Citronella</t>
  </si>
  <si>
    <t>F22000376</t>
  </si>
  <si>
    <t>Jyoti Ranjan Nayak</t>
  </si>
  <si>
    <t>njyotiranjan149@gmail.com</t>
  </si>
  <si>
    <t>POR CALL KORTE HOBE</t>
  </si>
  <si>
    <t>F22000375</t>
  </si>
  <si>
    <t>F22000374</t>
  </si>
  <si>
    <t>NewVENKAT RAGHAVA REDDY</t>
  </si>
  <si>
    <t>vraghava07@gmail.com</t>
  </si>
  <si>
    <t>Bell Patra Agarbatti</t>
  </si>
  <si>
    <t>F22000373</t>
  </si>
  <si>
    <t>Ptaderp Kumar Mishra</t>
  </si>
  <si>
    <t>Bargarh</t>
  </si>
  <si>
    <t>F22000372</t>
  </si>
  <si>
    <t>14-10-2022</t>
  </si>
  <si>
    <t>F22000371</t>
  </si>
  <si>
    <t>Kadesh</t>
  </si>
  <si>
    <t>kadesh48@gmail.com</t>
  </si>
  <si>
    <t>500 LITR CONCENTRATE REAT NICHHEN</t>
  </si>
  <si>
    <t>F22000370</t>
  </si>
  <si>
    <t>Md Arshad</t>
  </si>
  <si>
    <t xml:space="preserve">mohamedarshad987654@gmail.com
</t>
  </si>
  <si>
    <t>F22000369</t>
  </si>
  <si>
    <t>Pooja Pandya</t>
  </si>
  <si>
    <t>poojapnd580@gmail.com</t>
  </si>
  <si>
    <t>Fragrances candale</t>
  </si>
  <si>
    <t>100 ML LAGBE</t>
  </si>
  <si>
    <t>F22000368</t>
  </si>
  <si>
    <t>Himmat Singh</t>
  </si>
  <si>
    <t>himmatsingh.ktr@gmail.com</t>
  </si>
  <si>
    <t>GREEN PHENYL</t>
  </si>
  <si>
    <t>F22000367</t>
  </si>
  <si>
    <t>mrsuvamparida@gmail.com</t>
  </si>
  <si>
    <t>F22000366</t>
  </si>
  <si>
    <t>SUMAN</t>
  </si>
  <si>
    <t xml:space="preserve">Hyderabad
</t>
  </si>
  <si>
    <t>F22000365</t>
  </si>
  <si>
    <t>Nayan Chakraborty</t>
  </si>
  <si>
    <t>nayanchak76@gmail.com</t>
  </si>
  <si>
    <t>F22000364</t>
  </si>
  <si>
    <t>mamta</t>
  </si>
  <si>
    <t>odisha</t>
  </si>
  <si>
    <t>F22000363</t>
  </si>
  <si>
    <t>13-10-2022</t>
  </si>
  <si>
    <t>F22000362</t>
  </si>
  <si>
    <t>Sinu</t>
  </si>
  <si>
    <t>Lemongrass Oil Happytop.</t>
  </si>
  <si>
    <t>F22000361</t>
  </si>
  <si>
    <t>Suneet Khurana</t>
  </si>
  <si>
    <t>NARAYAN AGRO FOODS LTD</t>
  </si>
  <si>
    <t>Rajpura</t>
  </si>
  <si>
    <t>F22000360</t>
  </si>
  <si>
    <t>sujeet7977721@gmail.com</t>
  </si>
  <si>
    <t xml:space="preserve"> Jharkhand,</t>
  </si>
  <si>
    <t>Chemical Jb Agarbatti Perfumes</t>
  </si>
  <si>
    <t>RIDHIM  PERFUME LAGBE</t>
  </si>
  <si>
    <t>F22000359</t>
  </si>
  <si>
    <t>Kumar Sawnata</t>
  </si>
  <si>
    <t>kumareshsamanta2012@gmail.com</t>
  </si>
  <si>
    <t>F22000358</t>
  </si>
  <si>
    <t>M Bojjaiiah</t>
  </si>
  <si>
    <t>manepa.bojja@gmail.com</t>
  </si>
  <si>
    <t>F22000357</t>
  </si>
  <si>
    <t>Samaresh Das</t>
  </si>
  <si>
    <t>samareshdas626@gmail.com</t>
  </si>
  <si>
    <t xml:space="preserve">South 24 Parganas
</t>
  </si>
  <si>
    <t xml:space="preserve">Agarbatti Fragrances </t>
  </si>
  <si>
    <t>FOLLOWUP, PRICE LIST SEND</t>
  </si>
  <si>
    <t>F22000356</t>
  </si>
  <si>
    <t>aditya23kmr@gmail.com</t>
  </si>
  <si>
    <t xml:space="preserve">Deoghar
</t>
  </si>
  <si>
    <t>F22000355</t>
  </si>
  <si>
    <t xml:space="preserve">Malda
</t>
  </si>
  <si>
    <t>F22000354</t>
  </si>
  <si>
    <t>hajimastanbaap@gmail.com</t>
  </si>
  <si>
    <t>VOLA ZARDA PERFUME LAGBE</t>
  </si>
  <si>
    <t>F22000353</t>
  </si>
  <si>
    <t>AGARBATTI Fragrances</t>
  </si>
  <si>
    <t>AGARBATTI ,PRICE LIST SEND</t>
  </si>
  <si>
    <t>F22000352</t>
  </si>
  <si>
    <t>PARTHA CHATTERJEE</t>
  </si>
  <si>
    <t>bimalatraders@yahoo.co.in</t>
  </si>
  <si>
    <t>SODPUR</t>
  </si>
  <si>
    <t>FOLLOWUP</t>
  </si>
  <si>
    <t>F22000351</t>
  </si>
  <si>
    <t>Satabdi Maity</t>
  </si>
  <si>
    <t>FACK CALL</t>
  </si>
  <si>
    <t>F22000350</t>
  </si>
  <si>
    <t>tvo.arak@gmail.com</t>
  </si>
  <si>
    <t>Buxar</t>
  </si>
  <si>
    <t>followup</t>
  </si>
  <si>
    <t>F22000349</t>
  </si>
  <si>
    <t>Hanuman Pratap</t>
  </si>
  <si>
    <t>prakhardubey1211@gmail.com</t>
  </si>
  <si>
    <t>Azamgarh</t>
  </si>
  <si>
    <t xml:space="preserve">Concentrate White Phenyl </t>
  </si>
  <si>
    <t>F22000348</t>
  </si>
  <si>
    <t>Aparna Maity</t>
  </si>
  <si>
    <t>maityaparna264@gmail.com</t>
  </si>
  <si>
    <t>NO CALL, PERSONAL USE</t>
  </si>
  <si>
    <t>F22000347</t>
  </si>
  <si>
    <t>Janak</t>
  </si>
  <si>
    <t>janakmondal14@gmail.com</t>
  </si>
  <si>
    <t xml:space="preserve">Rian Rain Affair Apparel Perfume. </t>
  </si>
  <si>
    <t>F22000346</t>
  </si>
  <si>
    <t>DILIP BANIK</t>
  </si>
  <si>
    <t>dilip_ranaghat@yahoo.com</t>
  </si>
  <si>
    <t xml:space="preserve"> Phenyl Concentrate.</t>
  </si>
  <si>
    <t>LAGBENA</t>
  </si>
  <si>
    <t>F22000345</t>
  </si>
  <si>
    <t>DUBEY POLISH</t>
  </si>
  <si>
    <t>FOIIOWUP</t>
  </si>
  <si>
    <t>F22000344</t>
  </si>
  <si>
    <t>Vivek Chowdhary</t>
  </si>
  <si>
    <t>feathertouch_in@yahoo.com</t>
  </si>
  <si>
    <t>RUBEY</t>
  </si>
  <si>
    <t>LADHER TANAREY JONNO FRAGRENCE LAGBE</t>
  </si>
  <si>
    <t>LADHER TANAREY JONNO FRAGRENCE LAGBE. We don't have</t>
  </si>
  <si>
    <t>F22000343</t>
  </si>
  <si>
    <t>SUDHANGSU PATRA</t>
  </si>
  <si>
    <t>FRAGRANCE OIL</t>
  </si>
  <si>
    <t>ORANGE FRAGRANCE NIEYCHEN</t>
  </si>
  <si>
    <t>F22000342</t>
  </si>
  <si>
    <t>Mayurika Limbachiya</t>
  </si>
  <si>
    <t>d11she@yahoo.co.in</t>
  </si>
  <si>
    <t>Jasmine 74 Agarbatti Compound</t>
  </si>
  <si>
    <t>F22000341</t>
  </si>
  <si>
    <t>Muzaffar Khan</t>
  </si>
  <si>
    <t xml:space="preserve">muzaffar.khan162@gmail.com
</t>
  </si>
  <si>
    <t>F22000340</t>
  </si>
  <si>
    <t>Rose Incense Stick Fragrance</t>
  </si>
  <si>
    <t>SWCHT OFF</t>
  </si>
  <si>
    <t>F22000339</t>
  </si>
  <si>
    <t xml:space="preserve">priyamvadapratihast@gmail.com
</t>
  </si>
  <si>
    <t xml:space="preserve">essential oil </t>
  </si>
  <si>
    <t>EKHON LAGBENA</t>
  </si>
  <si>
    <t>F22000338</t>
  </si>
  <si>
    <t>Amir</t>
  </si>
  <si>
    <t>aamir_shaikh9001@yahoo.co.in</t>
  </si>
  <si>
    <t>F22000337</t>
  </si>
  <si>
    <t>Murgan</t>
  </si>
  <si>
    <t>murugan2472006@gmail.com</t>
  </si>
  <si>
    <t>Neem Aloe Fragrance Oil</t>
  </si>
  <si>
    <t>F22000336</t>
  </si>
  <si>
    <t>Priya Ranjan Das</t>
  </si>
  <si>
    <t>priyaranjandas318@gmail.com</t>
  </si>
  <si>
    <t>F22000335</t>
  </si>
  <si>
    <t>Mk</t>
  </si>
  <si>
    <t>mkm69542@gmail.com</t>
  </si>
  <si>
    <t xml:space="preserve"> Neem Oil</t>
  </si>
  <si>
    <t>F22000334</t>
  </si>
  <si>
    <t>F22000333</t>
  </si>
  <si>
    <t>Durgesh Prasad Mishra</t>
  </si>
  <si>
    <t>dkmishraindustries@gmail.com</t>
  </si>
  <si>
    <t>Chitrakoot</t>
  </si>
  <si>
    <t>NO CALL</t>
  </si>
  <si>
    <t>F22000332</t>
  </si>
  <si>
    <t>Bimal Mudi</t>
  </si>
  <si>
    <t>Penis Enhancement Oil,</t>
  </si>
  <si>
    <t>PERSONAL USE, NO CALL</t>
  </si>
  <si>
    <t>F22000331</t>
  </si>
  <si>
    <t>arunkuma31918@gmail.com</t>
  </si>
  <si>
    <t>Lohardaga</t>
  </si>
  <si>
    <t>F22000330</t>
  </si>
  <si>
    <t>traders.ankit20@gmail.com</t>
  </si>
  <si>
    <t>LEMONGRASS NIEYCHEN</t>
  </si>
  <si>
    <t>F22000329</t>
  </si>
  <si>
    <t>youthcompanysumit@gmail.com</t>
  </si>
  <si>
    <t>RAJNIGANDHA Agarbatti</t>
  </si>
  <si>
    <t>F22000328</t>
  </si>
  <si>
    <t xml:space="preserve">Kadak Mogra Agarbatti </t>
  </si>
  <si>
    <t>RINGING</t>
  </si>
  <si>
    <t>F22000327</t>
  </si>
  <si>
    <t>Kiran Pradhan</t>
  </si>
  <si>
    <t>km7478569113@gmail.com</t>
  </si>
  <si>
    <t>F22000326</t>
  </si>
  <si>
    <t>AGARBATTI Sticks Fragrances</t>
  </si>
  <si>
    <t>AGARBATTI , PRICE LIST SEND</t>
  </si>
  <si>
    <t>F22000325</t>
  </si>
  <si>
    <t>F22000324</t>
  </si>
  <si>
    <t xml:space="preserve">
Aniket Gupta</t>
  </si>
  <si>
    <t xml:space="preserve">Forest Natural Fragrance </t>
  </si>
  <si>
    <t>RADEYMEAD AGARBATTI CHAI</t>
  </si>
  <si>
    <t>F22000323</t>
  </si>
  <si>
    <t>Aparajoy Chandi Bose</t>
  </si>
  <si>
    <t>0chandi.charan@gmail.com</t>
  </si>
  <si>
    <t>F22000322</t>
  </si>
  <si>
    <t>Ramlagin Tanti</t>
  </si>
  <si>
    <t>AGARBATTI Fragrance Perfume</t>
  </si>
  <si>
    <t>F22000321</t>
  </si>
  <si>
    <t>Hemant Tripathi</t>
  </si>
  <si>
    <t>tripathyhemanta6@gmail.com</t>
  </si>
  <si>
    <t xml:space="preserve">Bhadrak
</t>
  </si>
  <si>
    <t>AGARBATTI Sandal, Mogra Fragrance Sticks.</t>
  </si>
  <si>
    <t>F22000320</t>
  </si>
  <si>
    <t>Rohit Kumar</t>
  </si>
  <si>
    <t>rohitkrb15911@gmail.com</t>
  </si>
  <si>
    <t>Ranch</t>
  </si>
  <si>
    <t>Toilet Cleaners.</t>
  </si>
  <si>
    <t>F22000319</t>
  </si>
  <si>
    <t>ANUJ AGARWAL</t>
  </si>
  <si>
    <t>J.K. ENTERPRISES</t>
  </si>
  <si>
    <t>F22000318</t>
  </si>
  <si>
    <t>Sukhda</t>
  </si>
  <si>
    <t>sukhada.vakatkar@gmail.com</t>
  </si>
  <si>
    <t xml:space="preserve">Mumbai
</t>
  </si>
  <si>
    <t>JUNAHI PARBERI ESSENTIAL OIL LAGBE. We don't have</t>
  </si>
  <si>
    <t>F22000317</t>
  </si>
  <si>
    <t>F22000316</t>
  </si>
  <si>
    <t>p.phani1113@gmail.com</t>
  </si>
  <si>
    <t>LOCAL SE LIEY</t>
  </si>
  <si>
    <t>F22000315</t>
  </si>
  <si>
    <t xml:space="preserve">INVALIED </t>
  </si>
  <si>
    <t>F22000314</t>
  </si>
  <si>
    <t>Brigesh Nawariya</t>
  </si>
  <si>
    <t>F22000313</t>
  </si>
  <si>
    <t>F22000312</t>
  </si>
  <si>
    <t>Sanjana Laha</t>
  </si>
  <si>
    <t>sanjana.laha@gmail.com</t>
  </si>
  <si>
    <t xml:space="preserve">Rosemary Essential Oil </t>
  </si>
  <si>
    <t>ROSEMARY OIL LAGBE</t>
  </si>
  <si>
    <t>F22000311</t>
  </si>
  <si>
    <t>Amjad Medicos</t>
  </si>
  <si>
    <t>arman_pharma786@yahoo.com</t>
  </si>
  <si>
    <t xml:space="preserve">Thoubal
</t>
  </si>
  <si>
    <t xml:space="preserve"> Fragrance Perfume</t>
  </si>
  <si>
    <t>F22000310</t>
  </si>
  <si>
    <t>Chandan Das</t>
  </si>
  <si>
    <t>CHANDAN.DAS770@GMAIL.COM</t>
  </si>
  <si>
    <t xml:space="preserve">White Phenyl </t>
  </si>
  <si>
    <t>F22000309</t>
  </si>
  <si>
    <t>HEALTH CITY HOSPITAL</t>
  </si>
  <si>
    <t>LEMONGRASS&amp; CITRONELLA</t>
  </si>
  <si>
    <t>F22000308</t>
  </si>
  <si>
    <t>DEBASISH MONDOL</t>
  </si>
  <si>
    <t>AGARBATTI FRAGRENCE</t>
  </si>
  <si>
    <t>AGARBATTI, PRICE LIST SEND</t>
  </si>
  <si>
    <t>F22000307</t>
  </si>
  <si>
    <t>TASTE BUDS</t>
  </si>
  <si>
    <t>F22000306</t>
  </si>
  <si>
    <t>swetasharma2351@gmail.com</t>
  </si>
  <si>
    <t>Rayagada</t>
  </si>
  <si>
    <t xml:space="preserve"> Rose Fragrance Oil</t>
  </si>
  <si>
    <t>F22000305</t>
  </si>
  <si>
    <t>Dibyajyoti Pati</t>
  </si>
  <si>
    <t>dibyajyoti.pati@gmail.com</t>
  </si>
  <si>
    <t>Neem Oil</t>
  </si>
  <si>
    <t>F22000304</t>
  </si>
  <si>
    <t>Bikash Singh</t>
  </si>
  <si>
    <t>singhbikash139@gmail.com</t>
  </si>
  <si>
    <t>FOLLOWUP, OFFICE E ASBEN</t>
  </si>
  <si>
    <t>F22000303</t>
  </si>
  <si>
    <t>Ajaz Parvaiz</t>
  </si>
  <si>
    <t xml:space="preserve"> 50 ML LAGEGA , NO CALL</t>
  </si>
  <si>
    <t>F22000302</t>
  </si>
  <si>
    <t>Nandan Panda</t>
  </si>
  <si>
    <t>nandanpanda.egra@gmail.com</t>
  </si>
  <si>
    <t xml:space="preserve">Egra
</t>
  </si>
  <si>
    <t>F22000301</t>
  </si>
  <si>
    <t>Arif Rahamn</t>
  </si>
  <si>
    <t>iamarifrahman007@gmail.com</t>
  </si>
  <si>
    <t>F22000300</t>
  </si>
  <si>
    <t>ujjwalmaity.um@gmail.com</t>
  </si>
  <si>
    <t xml:space="preserve">Phenyl Thickener, </t>
  </si>
  <si>
    <t>F22000299</t>
  </si>
  <si>
    <t>ROSHANI LOCHAN</t>
  </si>
  <si>
    <t>F22000298</t>
  </si>
  <si>
    <t>Surinder</t>
  </si>
  <si>
    <t xml:space="preserve"> White Concentrate</t>
  </si>
  <si>
    <t>GORAM ER SAMAY LAGBE</t>
  </si>
  <si>
    <t>F22000297</t>
  </si>
  <si>
    <t>Mithlesh</t>
  </si>
  <si>
    <t xml:space="preserve">Ghazipur
</t>
  </si>
  <si>
    <t>Detergent</t>
  </si>
  <si>
    <t xml:space="preserve">SUPPLIER </t>
  </si>
  <si>
    <t>F22000296</t>
  </si>
  <si>
    <t>Naren Biswal</t>
  </si>
  <si>
    <t>loyaltycommercialcorporation98@gmailBhadrak</t>
  </si>
  <si>
    <t>LEMONGRASS PALANT CHAI</t>
  </si>
  <si>
    <t>F22000295</t>
  </si>
  <si>
    <t>F22000294</t>
  </si>
  <si>
    <t>Dilip Bera</t>
  </si>
  <si>
    <t>AGARBATTI, Jasmine Perfume.</t>
  </si>
  <si>
    <t>F22000293</t>
  </si>
  <si>
    <t>Kalam Choudhury</t>
  </si>
  <si>
    <t>kalamchoudhry97@gmail.com</t>
  </si>
  <si>
    <t xml:space="preserve"> Magnum Perfume.</t>
  </si>
  <si>
    <t>F22000292</t>
  </si>
  <si>
    <t>Naseem</t>
  </si>
  <si>
    <t xml:space="preserve">Murshidabad
</t>
  </si>
  <si>
    <t>F22000291</t>
  </si>
  <si>
    <t>BONAS PHENYL CHAI</t>
  </si>
  <si>
    <t>F22000290</t>
  </si>
  <si>
    <t>sureshpramanicksureshpramanick@gmail</t>
  </si>
  <si>
    <t xml:space="preserve">AGARBATTI, Kelkar Cap Fragrance </t>
  </si>
  <si>
    <t>F22000289</t>
  </si>
  <si>
    <t>Rajat Bera</t>
  </si>
  <si>
    <t>rajatbera1230@gmail.com</t>
  </si>
  <si>
    <t xml:space="preserve"> Parfume.</t>
  </si>
  <si>
    <t>F22000288</t>
  </si>
  <si>
    <t>Babu Ravindra Surve</t>
  </si>
  <si>
    <t>Agarbatti Fragrance.</t>
  </si>
  <si>
    <t>REQURMANT NEHI</t>
  </si>
  <si>
    <t>F22000287</t>
  </si>
  <si>
    <t xml:space="preserve">White Phenyl Compound </t>
  </si>
  <si>
    <t>F22000286</t>
  </si>
  <si>
    <t>surbhit yadav</t>
  </si>
  <si>
    <t>surbhityadav.denish@gmail.com</t>
  </si>
  <si>
    <t>F22000285</t>
  </si>
  <si>
    <t>Yashwant Kumar</t>
  </si>
  <si>
    <t>yashwantykr@gmail.com</t>
  </si>
  <si>
    <t>Lemongrass Liquid Perfume</t>
  </si>
  <si>
    <t>F22000284</t>
  </si>
  <si>
    <t>Satish Kumar</t>
  </si>
  <si>
    <t>sunsetspm25@gmail.com</t>
  </si>
  <si>
    <t>MATERIAL NIEYCHEN</t>
  </si>
  <si>
    <t>F22000283</t>
  </si>
  <si>
    <t>NEHI CHAHIY ABHI</t>
  </si>
  <si>
    <t>F22000282</t>
  </si>
  <si>
    <t>SANTOSH KUMAR</t>
  </si>
  <si>
    <t>F22000281</t>
  </si>
  <si>
    <t>Meena</t>
  </si>
  <si>
    <t>F22000280</t>
  </si>
  <si>
    <t>pisoteakshay555@gmail.com</t>
  </si>
  <si>
    <t xml:space="preserve">Pune
</t>
  </si>
  <si>
    <t>ADVANCED PAYMENT KORTE PARBEN NA</t>
  </si>
  <si>
    <t>F22000279</t>
  </si>
  <si>
    <t>Satinder Kumar</t>
  </si>
  <si>
    <t xml:space="preserve">Agarbatti Fragrance </t>
  </si>
  <si>
    <t xml:space="preserve">PUJAR POR </t>
  </si>
  <si>
    <t>F22000278</t>
  </si>
  <si>
    <t>Anak</t>
  </si>
  <si>
    <t>, Jharkhand</t>
  </si>
  <si>
    <t>Rajnigandha Agarbatti</t>
  </si>
  <si>
    <t>KUCH NEHI CHAHIYE</t>
  </si>
  <si>
    <t>F22000277</t>
  </si>
  <si>
    <t>Kausani Seth</t>
  </si>
  <si>
    <t xml:space="preserve">Fragrance Oil. </t>
  </si>
  <si>
    <t>F22000276</t>
  </si>
  <si>
    <t>SOAP, PRICE LIST SEND</t>
  </si>
  <si>
    <t>30-09-2022</t>
  </si>
  <si>
    <t>F22000275</t>
  </si>
  <si>
    <t>MANJIT</t>
  </si>
  <si>
    <t>ROSE FRAGRENCE</t>
  </si>
  <si>
    <t>OUT OF NETWORK</t>
  </si>
  <si>
    <t>30-09-20222</t>
  </si>
  <si>
    <t>Kacha Bela Perfume</t>
  </si>
  <si>
    <t>F22000274</t>
  </si>
  <si>
    <t>D.L. Kumar</t>
  </si>
  <si>
    <t>jeyanthikumar64@gmail.com</t>
  </si>
  <si>
    <t>NOT AVALAVL</t>
  </si>
  <si>
    <t>F22000273</t>
  </si>
  <si>
    <t>Mukesh Gupta</t>
  </si>
  <si>
    <t>mgupta081@gmail.com</t>
  </si>
  <si>
    <t>White Phenyl.</t>
  </si>
  <si>
    <t>F22000272</t>
  </si>
  <si>
    <t xml:space="preserve">
Birendra</t>
  </si>
  <si>
    <t>F22000271</t>
  </si>
  <si>
    <t>Sitabul</t>
  </si>
  <si>
    <t>PHENYL FRAGRANCE</t>
  </si>
  <si>
    <t>FOLLOWUP , PHENYL FRAGRANCE</t>
  </si>
  <si>
    <t>F22000270</t>
  </si>
  <si>
    <t>Phenyl Chemical.</t>
  </si>
  <si>
    <t>29-09-2022</t>
  </si>
  <si>
    <t>F22000269</t>
  </si>
  <si>
    <t>Arnab Bhattacharjee</t>
  </si>
  <si>
    <t>arnav.bha67@gmail.com</t>
  </si>
  <si>
    <t>Assam,</t>
  </si>
  <si>
    <t>Essential Oil 10 M</t>
  </si>
  <si>
    <t>F22000268</t>
  </si>
  <si>
    <t>Hiranya</t>
  </si>
  <si>
    <t>kishore.hiranya@gmail.com</t>
  </si>
  <si>
    <t>F22000267</t>
  </si>
  <si>
    <t>Phenyl Raw Material</t>
  </si>
  <si>
    <t>F22000265</t>
  </si>
  <si>
    <t>Madan</t>
  </si>
  <si>
    <t>phenyl</t>
  </si>
  <si>
    <t>FOLLOUP PRICE LIST SEND</t>
  </si>
  <si>
    <t>F22000264</t>
  </si>
  <si>
    <t>Diali Choudhury</t>
  </si>
  <si>
    <t>LEMONGARESS PLANT CHAHIY</t>
  </si>
  <si>
    <t>F22000263</t>
  </si>
  <si>
    <t>Sonali</t>
  </si>
  <si>
    <t>F22000262</t>
  </si>
  <si>
    <t>Suraj Singh Chohana</t>
  </si>
  <si>
    <t>F22000261</t>
  </si>
  <si>
    <t>Sarang</t>
  </si>
  <si>
    <t>yogasales@yogaenterprises.com</t>
  </si>
  <si>
    <t>F22000260</t>
  </si>
  <si>
    <t>Debashish Mukherjee</t>
  </si>
  <si>
    <t>mukherjeedebashish352@gmail.com</t>
  </si>
  <si>
    <t>F22000259</t>
  </si>
  <si>
    <t>Selim Ali</t>
  </si>
  <si>
    <t>alisalim.ckt@gmail.com</t>
  </si>
  <si>
    <t xml:space="preserve"> Ratnmala Agarbatti Perfumes. </t>
  </si>
  <si>
    <t>F22000258</t>
  </si>
  <si>
    <t>F22000257</t>
  </si>
  <si>
    <t>akashok0506@gmail.com</t>
  </si>
  <si>
    <t xml:space="preserve">Chocolate Oil. </t>
  </si>
  <si>
    <t>28-09-2022</t>
  </si>
  <si>
    <t>F22000256</t>
  </si>
  <si>
    <t xml:space="preserve">deepakmahajan3464@gmail.com
</t>
  </si>
  <si>
    <t>Phinayal Compound</t>
  </si>
  <si>
    <t>F22000254</t>
  </si>
  <si>
    <t>AMRUT KUMAR</t>
  </si>
  <si>
    <t>AGARBATTI , PRICE SEND</t>
  </si>
  <si>
    <t>F22000253</t>
  </si>
  <si>
    <t>Revansiddhi</t>
  </si>
  <si>
    <t>ajit.yamagar428@gmail.com</t>
  </si>
  <si>
    <t>DETERGENT, PRICE LIST SEND</t>
  </si>
  <si>
    <t>F22000252</t>
  </si>
  <si>
    <t>Divyam</t>
  </si>
  <si>
    <t>divyamjain275@gmail.com</t>
  </si>
  <si>
    <t xml:space="preserve">Natural Rose </t>
  </si>
  <si>
    <t>F22000251</t>
  </si>
  <si>
    <t xml:space="preserve">MANISH </t>
  </si>
  <si>
    <t>avbusiness2478@gmail.com</t>
  </si>
  <si>
    <t xml:space="preserve">New Delhi
</t>
  </si>
  <si>
    <t>Phenyl Concentrate Drum</t>
  </si>
  <si>
    <t>FO LLOUP  PRICE LIST SEND</t>
  </si>
  <si>
    <t>F22000250</t>
  </si>
  <si>
    <t xml:space="preserve">biplabpramanik87@gmail.com
</t>
  </si>
  <si>
    <t>F22000249</t>
  </si>
  <si>
    <t>Agnimoy</t>
  </si>
  <si>
    <t>agnimoy006@gmail.com</t>
  </si>
  <si>
    <t xml:space="preserve">Agarbatti / Dhoop Fragrance </t>
  </si>
  <si>
    <t>F22000248</t>
  </si>
  <si>
    <t>Danish Zafa</t>
  </si>
  <si>
    <t>danish786jafar@gmail.com</t>
  </si>
  <si>
    <t>F22000247</t>
  </si>
  <si>
    <t>Nishtha Gupta</t>
  </si>
  <si>
    <t>delvearoma@gmail.com</t>
  </si>
  <si>
    <t>MAGNET - K - Fragrance</t>
  </si>
  <si>
    <t>KAL BAT KARANGE</t>
  </si>
  <si>
    <t>F22000246</t>
  </si>
  <si>
    <t>Md Sabir Ali</t>
  </si>
  <si>
    <t>sabirali021966@gmail.com</t>
  </si>
  <si>
    <t>Sandalwood Agarbatti Perfume.</t>
  </si>
  <si>
    <t>F22000245</t>
  </si>
  <si>
    <t>Abdul Goni</t>
  </si>
  <si>
    <t>abdulgoni045@gmail.com</t>
  </si>
  <si>
    <t>Beldanga</t>
  </si>
  <si>
    <t>Chanel Attar</t>
  </si>
  <si>
    <t>F22000244</t>
  </si>
  <si>
    <t>Paresh Chandra Mondal</t>
  </si>
  <si>
    <t>pareshmondal2013@gmail.com</t>
  </si>
  <si>
    <t xml:space="preserve"> Citronella Oil</t>
  </si>
  <si>
    <t>FOLLOWUP,PRICE LIST SEND, PUJAR POR NEBEN</t>
  </si>
  <si>
    <t>F22000243</t>
  </si>
  <si>
    <t>Hare Krishna Das</t>
  </si>
  <si>
    <t>BALAJI CHANDAN ATTAR</t>
  </si>
  <si>
    <t>MYSORE SANDAL NIEYCHEN</t>
  </si>
  <si>
    <t>27-09-2022</t>
  </si>
  <si>
    <t>F22000242</t>
  </si>
  <si>
    <t xml:space="preserve">
Jehangir</t>
  </si>
  <si>
    <t>F22000241</t>
  </si>
  <si>
    <t>Alpesh Gogri</t>
  </si>
  <si>
    <t>alpeshgogri@gmail.com</t>
  </si>
  <si>
    <t>F22000240</t>
  </si>
  <si>
    <t>Manish Patil</t>
  </si>
  <si>
    <t>manipatil9879@gmail.com</t>
  </si>
  <si>
    <t>Dish Wash Fragrance,</t>
  </si>
  <si>
    <t>F22000239</t>
  </si>
  <si>
    <t>Mind Majid</t>
  </si>
  <si>
    <t xml:space="preserve">ATTAR LAGEGA , 1500/  </t>
  </si>
  <si>
    <t>F22000238</t>
  </si>
  <si>
    <t>memonfiroz130@gmail.com</t>
  </si>
  <si>
    <t>Musk Fragrances</t>
  </si>
  <si>
    <t>PERSONAL USE , NO CALL</t>
  </si>
  <si>
    <t>F22000237</t>
  </si>
  <si>
    <t>Omer Mohammed</t>
  </si>
  <si>
    <t>mohdomer123@yahoo.co.in</t>
  </si>
  <si>
    <t>F22000236</t>
  </si>
  <si>
    <t>Thakur Radheshyam</t>
  </si>
  <si>
    <t>F22000235</t>
  </si>
  <si>
    <t>Afsar</t>
  </si>
  <si>
    <t>F22000234</t>
  </si>
  <si>
    <t>AKASH</t>
  </si>
  <si>
    <t>akashchaudharykld2002@gmail.com</t>
  </si>
  <si>
    <t>Khalilabad</t>
  </si>
  <si>
    <t>RAJANIGANDHA</t>
  </si>
  <si>
    <t>RAJANIGANDHA PERFUME NIEYCHEN</t>
  </si>
  <si>
    <t>F22000233</t>
  </si>
  <si>
    <t>Jagannath Barik</t>
  </si>
  <si>
    <t>barik75jagannath@gmail.com</t>
  </si>
  <si>
    <t xml:space="preserve">Bhubaneswar
</t>
  </si>
  <si>
    <t>AGARBATTI PERFUME, PRICE LIST SEND</t>
  </si>
  <si>
    <t>26-09-2022</t>
  </si>
  <si>
    <t>F22000232</t>
  </si>
  <si>
    <t>Mani Mittal</t>
  </si>
  <si>
    <t xml:space="preserve">
manimittal701@gmail.com</t>
  </si>
  <si>
    <t>Rose Hydrosol</t>
  </si>
  <si>
    <t>F22000231</t>
  </si>
  <si>
    <t>Ashwini Nirmal</t>
  </si>
  <si>
    <t>ashwininirmal.an@gmail.com</t>
  </si>
  <si>
    <t>ROSE WATER LAGEGA</t>
  </si>
  <si>
    <t>F22000230</t>
  </si>
  <si>
    <t>Kumar Raushan</t>
  </si>
  <si>
    <t>kmr2raushan@gmail.com</t>
  </si>
  <si>
    <t>AGARBATTI, Rose Perfume</t>
  </si>
  <si>
    <t>PRICE LIST SEND , AGARBATTI</t>
  </si>
  <si>
    <t>F22000229</t>
  </si>
  <si>
    <t xml:space="preserve">kundanmehta050195@gmail.com
</t>
  </si>
  <si>
    <t>Mogra Fragrance Perfumes</t>
  </si>
  <si>
    <t>F22000228</t>
  </si>
  <si>
    <t>Anil Mishra</t>
  </si>
  <si>
    <t>gayatriagarbatti77@gmail.com</t>
  </si>
  <si>
    <t>F22000227</t>
  </si>
  <si>
    <t>Gulab Agarbatti Fragrance</t>
  </si>
  <si>
    <t>F22000226</t>
  </si>
  <si>
    <t>Sushil</t>
  </si>
  <si>
    <t>SOAP</t>
  </si>
  <si>
    <t>F22000225</t>
  </si>
  <si>
    <t>razaanish19@gmail.com</t>
  </si>
  <si>
    <t>F22000224</t>
  </si>
  <si>
    <t>Syed Naseem Sarvar</t>
  </si>
  <si>
    <t>naseem@biotenichealthcare.com</t>
  </si>
  <si>
    <t>INVALIED NUMBAR</t>
  </si>
  <si>
    <t>F22000223</t>
  </si>
  <si>
    <t>Gopal Kumar</t>
  </si>
  <si>
    <t xml:space="preserve">gopal.kumaraa@gmail.com
</t>
  </si>
  <si>
    <t>F22000222</t>
  </si>
  <si>
    <t>sandeepsharmag32@gmail.com</t>
  </si>
  <si>
    <t xml:space="preserve"> Mogra Agarbatti Perfume</t>
  </si>
  <si>
    <t>F22000221</t>
  </si>
  <si>
    <t>Sourabh</t>
  </si>
  <si>
    <t>sourabhrs1234@gmail.com</t>
  </si>
  <si>
    <t>Parag Doshi</t>
  </si>
  <si>
    <t xml:space="preserve">
doshiparag60@gmail.com</t>
  </si>
  <si>
    <t>F22000220</t>
  </si>
  <si>
    <t>Anil Patel</t>
  </si>
  <si>
    <t>deepmalaenterprises58@gmail.com</t>
  </si>
  <si>
    <t>F22000219</t>
  </si>
  <si>
    <t xml:space="preserve">
Apu</t>
  </si>
  <si>
    <t>apupushy2000@gmail.com</t>
  </si>
  <si>
    <t>F22000218</t>
  </si>
  <si>
    <t>Anil Sharma</t>
  </si>
  <si>
    <t>sharmaaniljsr@gmail.com</t>
  </si>
  <si>
    <t xml:space="preserve"> White Phenyl Thickener,</t>
  </si>
  <si>
    <t>FOLLOWUP ,PRICE LIST SEND</t>
  </si>
  <si>
    <t>F22000217</t>
  </si>
  <si>
    <t>Tapas Parui</t>
  </si>
  <si>
    <t>tapasparui94@gmail.com</t>
  </si>
  <si>
    <t>Chandrakona</t>
  </si>
  <si>
    <t>Dishwasher Perfume.</t>
  </si>
  <si>
    <t>F22000216</t>
  </si>
  <si>
    <t>Rajesh Das</t>
  </si>
  <si>
    <t>rajeshindustries59@gmail.com</t>
  </si>
  <si>
    <t>Liquid White Phenyl.</t>
  </si>
  <si>
    <t>FOLLL0WP</t>
  </si>
  <si>
    <t>F22000215</t>
  </si>
  <si>
    <t>Basantmuduli</t>
  </si>
  <si>
    <t>basanmuduli1981@gmail.com</t>
  </si>
  <si>
    <t>Floor Cleaners</t>
  </si>
  <si>
    <t>F22000214</t>
  </si>
  <si>
    <t>Devi Agarabatti Works</t>
  </si>
  <si>
    <t>deviagarabattiworks@gmail.com</t>
  </si>
  <si>
    <t>F22000213</t>
  </si>
  <si>
    <t>Joly Biswas</t>
  </si>
  <si>
    <t>F22000212</t>
  </si>
  <si>
    <t>Sushanta Mondal</t>
  </si>
  <si>
    <t>sushantamondal69@gmail.com</t>
  </si>
  <si>
    <t>Phnyle and Sanitizer</t>
  </si>
  <si>
    <t>FOLLOWUP, PUJAR POR</t>
  </si>
  <si>
    <t>24-09-2022</t>
  </si>
  <si>
    <t>F22000211</t>
  </si>
  <si>
    <t>Deena Ram</t>
  </si>
  <si>
    <t>dineshpatel@gmail.com</t>
  </si>
  <si>
    <t xml:space="preserve"> Lavender Perfume</t>
  </si>
  <si>
    <t xml:space="preserve">AGARBATTI PRICE LIST SEND </t>
  </si>
  <si>
    <t>F22000210</t>
  </si>
  <si>
    <t>Dharmendra Ambare</t>
  </si>
  <si>
    <t xml:space="preserve">	24 Bottle</t>
  </si>
  <si>
    <t xml:space="preserve">Madhya Pradesh, </t>
  </si>
  <si>
    <t>F22000209</t>
  </si>
  <si>
    <t>Moin Mansuri</t>
  </si>
  <si>
    <t>mojnmansuri221@gmail.com</t>
  </si>
  <si>
    <t>for Aromatic</t>
  </si>
  <si>
    <t xml:space="preserve"> PRICE LIST SEND, KELKAR CHICHE</t>
  </si>
  <si>
    <t>F22000208</t>
  </si>
  <si>
    <t>Yogendra Belsare</t>
  </si>
  <si>
    <t xml:space="preserve">
yongendrebelsare24@gmail.com</t>
  </si>
  <si>
    <t>Incense Stick Henna Perfume</t>
  </si>
  <si>
    <t>F22000207</t>
  </si>
  <si>
    <t>Monu</t>
  </si>
  <si>
    <t>Fabric Perfume</t>
  </si>
  <si>
    <t>F22000206</t>
  </si>
  <si>
    <t>sahithi.dakamarri2000@gmail.com</t>
  </si>
  <si>
    <t>F22000205</t>
  </si>
  <si>
    <t>Debraj Das</t>
  </si>
  <si>
    <t>debraj.911@gmail.com</t>
  </si>
  <si>
    <t>F22000204</t>
  </si>
  <si>
    <t>Mohammed Siraj</t>
  </si>
  <si>
    <t>hoor32003@gmail.com</t>
  </si>
  <si>
    <t>Cosmetic Perfume.</t>
  </si>
  <si>
    <t>F22000203</t>
  </si>
  <si>
    <t>Putheri</t>
  </si>
  <si>
    <t>NEHI LAGEGA</t>
  </si>
  <si>
    <t>F22000202</t>
  </si>
  <si>
    <t>Prasanta Roy</t>
  </si>
  <si>
    <t>roy.prasanta2050@gmail.com</t>
  </si>
  <si>
    <t xml:space="preserve"> Nimyle Phenyl.</t>
  </si>
  <si>
    <t>23-09-2022</t>
  </si>
  <si>
    <t>F22000201</t>
  </si>
  <si>
    <t>SUDIP PAUL</t>
  </si>
  <si>
    <t>sudip987mondal@gmail.com</t>
  </si>
  <si>
    <t>F22000200</t>
  </si>
  <si>
    <t>TARUN MAL</t>
  </si>
  <si>
    <t>READY PHENYL</t>
  </si>
  <si>
    <t>F22000199</t>
  </si>
  <si>
    <t xml:space="preserve">MANAS   </t>
  </si>
  <si>
    <t>BAD MEY LENGE</t>
  </si>
  <si>
    <t>F22000198</t>
  </si>
  <si>
    <t>Manas Pal</t>
  </si>
  <si>
    <t>manabp108@gmail.com</t>
  </si>
  <si>
    <t>F22000197</t>
  </si>
  <si>
    <t>Biyadri Chakraborty</t>
  </si>
  <si>
    <t>biadridas@gmail.com</t>
  </si>
  <si>
    <t>-Majilpur</t>
  </si>
  <si>
    <t>F22000196</t>
  </si>
  <si>
    <t>Gowardhan Lal Saini</t>
  </si>
  <si>
    <t>B Plus Lemon Grass Oil</t>
  </si>
  <si>
    <t>F22000195</t>
  </si>
  <si>
    <t>Ajay Bansal</t>
  </si>
  <si>
    <t>ajaykumarbansal1976@gmail.com</t>
  </si>
  <si>
    <t>Nardus Citronella Oil</t>
  </si>
  <si>
    <t>F22000194</t>
  </si>
  <si>
    <t>Jesmina Khatun</t>
  </si>
  <si>
    <t>mondaljanbir65@gmail.com</t>
  </si>
  <si>
    <t>Beauty Soap</t>
  </si>
  <si>
    <t>F22000193</t>
  </si>
  <si>
    <t>Baban Biswas</t>
  </si>
  <si>
    <t>babanbaiwas@gmail.com</t>
  </si>
  <si>
    <t xml:space="preserve">Nadia
</t>
  </si>
  <si>
    <t xml:space="preserve"> Fregnece.</t>
  </si>
  <si>
    <t>AGARBATTI , OFFICE ASBEN</t>
  </si>
  <si>
    <t>F22000192</t>
  </si>
  <si>
    <t>Mayur Parmar</t>
  </si>
  <si>
    <t>mp0797760@gmail.com</t>
  </si>
  <si>
    <t>F22000191</t>
  </si>
  <si>
    <t>UNAVILAVIL</t>
  </si>
  <si>
    <t>F22000190</t>
  </si>
  <si>
    <t xml:space="preserve">MANI </t>
  </si>
  <si>
    <t>jagdish.finishinghouse@gmail.com</t>
  </si>
  <si>
    <t>GOA</t>
  </si>
  <si>
    <t>Perfume Lemon</t>
  </si>
  <si>
    <t>F22000189</t>
  </si>
  <si>
    <t>kr.gaurav10@gmail.com</t>
  </si>
  <si>
    <t xml:space="preserve">Giridih
</t>
  </si>
  <si>
    <t>LEMON R THICKNER NIEYCHEN</t>
  </si>
  <si>
    <t>22-09-2022</t>
  </si>
  <si>
    <t>F22000187</t>
  </si>
  <si>
    <t>Parteek</t>
  </si>
  <si>
    <t>5 TO 10</t>
  </si>
  <si>
    <t>F22000186</t>
  </si>
  <si>
    <t>AKASH BASAK</t>
  </si>
  <si>
    <t>F22000185</t>
  </si>
  <si>
    <t xml:space="preserve">
Amit Mohanty</t>
  </si>
  <si>
    <t>amitmohanty505@gmail.com</t>
  </si>
  <si>
    <t>Phenyl Thickner,</t>
  </si>
  <si>
    <t>FACKCALL</t>
  </si>
  <si>
    <t>F22000184</t>
  </si>
  <si>
    <t>Susanta Biswa</t>
  </si>
  <si>
    <t>susantsobha@gmail.com</t>
  </si>
  <si>
    <t>F22000183</t>
  </si>
  <si>
    <t>Sunil Pawar</t>
  </si>
  <si>
    <t xml:space="preserve">
procurement.sanoja@gmail.com</t>
  </si>
  <si>
    <t>Herbal Fragrance</t>
  </si>
  <si>
    <t>COSMATIC PRICE LIST SEND</t>
  </si>
  <si>
    <t>F22000182</t>
  </si>
  <si>
    <t>Shikha</t>
  </si>
  <si>
    <t>NEHI CHHIYA</t>
  </si>
  <si>
    <t>F22000181</t>
  </si>
  <si>
    <t>Thin Chakrabarty</t>
  </si>
  <si>
    <t>GODWAN E ASBEN</t>
  </si>
  <si>
    <t>F22000180</t>
  </si>
  <si>
    <t>F22000179</t>
  </si>
  <si>
    <t>Laxmi</t>
  </si>
  <si>
    <t>READY PERFUME CHAHIEY</t>
  </si>
  <si>
    <t>21-09-2022</t>
  </si>
  <si>
    <t>F22000178</t>
  </si>
  <si>
    <t>Sunil Sen</t>
  </si>
  <si>
    <t>sunilsen065@gmail.com</t>
  </si>
  <si>
    <t>SWITCHED OFF</t>
  </si>
  <si>
    <t>F22000177</t>
  </si>
  <si>
    <t>Vivek Patil</t>
  </si>
  <si>
    <t>vapatil18@gmail.com</t>
  </si>
  <si>
    <t>FOLLOWUP, KICH DIN BAD LENA HAI</t>
  </si>
  <si>
    <t>F22000176</t>
  </si>
  <si>
    <t>Madhusmita Jena</t>
  </si>
  <si>
    <t>madhumitabadajena@gmail.com</t>
  </si>
  <si>
    <t xml:space="preserve">FOLLOWP </t>
  </si>
  <si>
    <t>F22000175</t>
  </si>
  <si>
    <t>Bittu</t>
  </si>
  <si>
    <t>PERSONAL USE , BODY SEND</t>
  </si>
  <si>
    <t>F22000174</t>
  </si>
  <si>
    <t>maniktapan2@gmail.com</t>
  </si>
  <si>
    <t>F22000173</t>
  </si>
  <si>
    <t>Rekha</t>
  </si>
  <si>
    <t>rekhahada9@gmail.com</t>
  </si>
  <si>
    <t>F22000172</t>
  </si>
  <si>
    <t>Narayana Murthy</t>
  </si>
  <si>
    <t>info@molwaysourcing.com</t>
  </si>
  <si>
    <t xml:space="preserve">Narayana Murthy
</t>
  </si>
  <si>
    <t>F22000171</t>
  </si>
  <si>
    <t xml:space="preserve">Citronella Oil </t>
  </si>
  <si>
    <t>F22000170</t>
  </si>
  <si>
    <t>Anand Sharma</t>
  </si>
  <si>
    <t>andandas62@gmail.com</t>
  </si>
  <si>
    <t>Athena Fragrance,</t>
  </si>
  <si>
    <t>AGARBATTI FOLLOWUP</t>
  </si>
  <si>
    <t>20-09-2022</t>
  </si>
  <si>
    <t>F22000169</t>
  </si>
  <si>
    <t>Naitik Chotai</t>
  </si>
  <si>
    <t>indiamart@fundoolabs.in</t>
  </si>
  <si>
    <t>Water Soluble Cosmetic Kiwi Fragrance</t>
  </si>
  <si>
    <t>F22000168</t>
  </si>
  <si>
    <t>Naresh Kumar</t>
  </si>
  <si>
    <t>nareshatta@gmail.com</t>
  </si>
  <si>
    <t>F22000167</t>
  </si>
  <si>
    <t>S Joshi</t>
  </si>
  <si>
    <t xml:space="preserve">
ganu46896@gmail.com</t>
  </si>
  <si>
    <t>INVALID</t>
  </si>
  <si>
    <t>F22000166</t>
  </si>
  <si>
    <t>Laxmi Nandan</t>
  </si>
  <si>
    <t>WHIT PHENYL</t>
  </si>
  <si>
    <t>F22000165</t>
  </si>
  <si>
    <t>Haresh Kumar</t>
  </si>
  <si>
    <t>hareshkumarnanwani@gmail.com</t>
  </si>
  <si>
    <t>FRAGRANCE, PRICE LIST SEND</t>
  </si>
  <si>
    <t>F22000164</t>
  </si>
  <si>
    <t>Arush</t>
  </si>
  <si>
    <t>22 Litre</t>
  </si>
  <si>
    <t>F0LL0WUP</t>
  </si>
  <si>
    <t>F22000163</t>
  </si>
  <si>
    <t>rajfly788@gmail.com</t>
  </si>
  <si>
    <t>BOHOT DUR HOJAREHE</t>
  </si>
  <si>
    <t>F22000162</t>
  </si>
  <si>
    <t>25-50</t>
  </si>
  <si>
    <t xml:space="preserve">Phenyl Compound Concentrate, </t>
  </si>
  <si>
    <t>F22000161</t>
  </si>
  <si>
    <t>Nagraj</t>
  </si>
  <si>
    <t>25-30</t>
  </si>
  <si>
    <t>nagrajmadival109@gmail.com</t>
  </si>
  <si>
    <t>F22000160</t>
  </si>
  <si>
    <t>Rehan</t>
  </si>
  <si>
    <t xml:space="preserve">
rehankhansuribirbhum@gmail.com</t>
  </si>
  <si>
    <t>Suri,</t>
  </si>
  <si>
    <t>F22000159</t>
  </si>
  <si>
    <t>rk12100556@gmail.com</t>
  </si>
  <si>
    <t>Purnia, Bihar</t>
  </si>
  <si>
    <t>Lemongrass Oil and DEP Oil</t>
  </si>
  <si>
    <t>F22000158</t>
  </si>
  <si>
    <t>Salim</t>
  </si>
  <si>
    <t>F22000157</t>
  </si>
  <si>
    <t xml:space="preserve">Lemon Grass </t>
  </si>
  <si>
    <t>F22000156</t>
  </si>
  <si>
    <t>Aasu</t>
  </si>
  <si>
    <t>Patna, Bihar,</t>
  </si>
  <si>
    <t>F22000155</t>
  </si>
  <si>
    <t>PAWAN Burman</t>
  </si>
  <si>
    <t>ajitburman22118@gmail.com</t>
  </si>
  <si>
    <t>ASANSOL</t>
  </si>
  <si>
    <t>BIKE PALISH FRAGRANCE, Perfume Lemon</t>
  </si>
  <si>
    <t>LEMON 1 LITR NIEYCHEN 28-10-2022</t>
  </si>
  <si>
    <t>F22000154</t>
  </si>
  <si>
    <t>Simuti Mulika Goshani</t>
  </si>
  <si>
    <t xml:space="preserve">Hooghly
</t>
  </si>
  <si>
    <t>AGARBATI</t>
  </si>
  <si>
    <t>8-00 AM CALL BACK 21-09-2022</t>
  </si>
  <si>
    <t>F22000153</t>
  </si>
  <si>
    <t>Subhajit Guha Roy</t>
  </si>
  <si>
    <t>maxcarehygiene@gmail.com</t>
  </si>
  <si>
    <t>19-09-2022</t>
  </si>
  <si>
    <t>F22000152</t>
  </si>
  <si>
    <t xml:space="preserve">
Swati Shingne</t>
  </si>
  <si>
    <t>swatishingne38@gmail.com</t>
  </si>
  <si>
    <t>BUSEY</t>
  </si>
  <si>
    <t>F22000151</t>
  </si>
  <si>
    <t>Aditya Bashu</t>
  </si>
  <si>
    <t>, Delhi,</t>
  </si>
  <si>
    <t>F22000150</t>
  </si>
  <si>
    <t>BibariDaimaryMedhi</t>
  </si>
  <si>
    <t>trolakhyad@gmail.com</t>
  </si>
  <si>
    <t>F22000149</t>
  </si>
  <si>
    <t>thefdesign796@gmail.com</t>
  </si>
  <si>
    <t>F22000148</t>
  </si>
  <si>
    <t>Nihar Patra</t>
  </si>
  <si>
    <t>nrpatra@gmail.com</t>
  </si>
  <si>
    <t xml:space="preserve"> 751012, Odisha, </t>
  </si>
  <si>
    <t>DETERGANT</t>
  </si>
  <si>
    <t>NO REQUERD</t>
  </si>
  <si>
    <t>F22000147</t>
  </si>
  <si>
    <t>Sekh Raaz</t>
  </si>
  <si>
    <t>skr410549@gmail.com</t>
  </si>
  <si>
    <t>24 PARGANAS</t>
  </si>
  <si>
    <t>Atom Bomb Fragrance</t>
  </si>
  <si>
    <t>PURSONAL USE BODY PERFUME</t>
  </si>
  <si>
    <t>F22000146</t>
  </si>
  <si>
    <t xml:space="preserve">Tushar Kanti Das
</t>
  </si>
  <si>
    <t>Phenyl and Floor Cleaner</t>
  </si>
  <si>
    <t>F22000145</t>
  </si>
  <si>
    <t>Manoj Pakhar</t>
  </si>
  <si>
    <t>manojpakhar8@gmail.com</t>
  </si>
  <si>
    <t>Fantasia Agarbatti</t>
  </si>
  <si>
    <t>PRICE LIST SEND ,BRUT MUSK,FANTASIA SPL,MANMOHINI LAGBE</t>
  </si>
  <si>
    <t>F22000144</t>
  </si>
  <si>
    <t>Rakib Chaudhary</t>
  </si>
  <si>
    <t>rakibchoudhury@gmail.com</t>
  </si>
  <si>
    <t>UINI ASBEN KONO JAYGAEY VALO FRAGRANCE PAINI</t>
  </si>
  <si>
    <t>F22000143</t>
  </si>
  <si>
    <t>Silambarasan</t>
  </si>
  <si>
    <t>silambarasan888@gmail.com</t>
  </si>
  <si>
    <t>Nilgiris</t>
  </si>
  <si>
    <t>1 KG KORE LAVENDER 77, LEMONGRASS, TEA TREE OIL NIEYCHEN</t>
  </si>
  <si>
    <t>F22000142</t>
  </si>
  <si>
    <t>Joydeep Dutta</t>
  </si>
  <si>
    <t>indochemagrovet.joydeep@gmail.com</t>
  </si>
  <si>
    <t>detergent</t>
  </si>
  <si>
    <t>Ringing</t>
  </si>
  <si>
    <t>F22000141</t>
  </si>
  <si>
    <t>Alamgir Kabir</t>
  </si>
  <si>
    <t>hkemt365@gmail.com</t>
  </si>
  <si>
    <t>Cosmetic Soaps</t>
  </si>
  <si>
    <t>RADY SOAP LAGBE</t>
  </si>
  <si>
    <t>17-09-2022</t>
  </si>
  <si>
    <t>F22000140</t>
  </si>
  <si>
    <t>Subodhkumar</t>
  </si>
  <si>
    <t>subodhkukma706555545848@gmail.com</t>
  </si>
  <si>
    <t xml:space="preserve"> 110034, Delhi,</t>
  </si>
  <si>
    <t>LEMON</t>
  </si>
  <si>
    <t>F22000139</t>
  </si>
  <si>
    <t>F22000138</t>
  </si>
  <si>
    <t>Ranka Jewellers</t>
  </si>
  <si>
    <t>shinder609@gmail.com</t>
  </si>
  <si>
    <t>F22000137</t>
  </si>
  <si>
    <t>Mahendar</t>
  </si>
  <si>
    <t xml:space="preserve"> PRICE LIST SEND</t>
  </si>
  <si>
    <t>16-09-2022</t>
  </si>
  <si>
    <t>F22000136</t>
  </si>
  <si>
    <t xml:space="preserve">
Chipa Samir</t>
  </si>
  <si>
    <t>chipa.samir9409@gmail.com</t>
  </si>
  <si>
    <t>Chipa Samir
Same Fragrance</t>
  </si>
  <si>
    <t>F22000135</t>
  </si>
  <si>
    <t>NIHAR</t>
  </si>
  <si>
    <t>IMIDEAT LAGBE NA, FOLLOWUP</t>
  </si>
  <si>
    <t>F2200134</t>
  </si>
  <si>
    <t xml:space="preserve">
Venu Gopal</t>
  </si>
  <si>
    <t>kattoju_venu@yahoo.com</t>
  </si>
  <si>
    <t>F22000132</t>
  </si>
  <si>
    <t xml:space="preserve">
Janaki</t>
  </si>
  <si>
    <t>janakiganesh100@gmail.com</t>
  </si>
  <si>
    <t>F22000131</t>
  </si>
  <si>
    <t>Abir Mondal</t>
  </si>
  <si>
    <t>sumonkumarabir232@gmail.com</t>
  </si>
  <si>
    <t>PORE JANACHHE</t>
  </si>
  <si>
    <t>15-09-2022</t>
  </si>
  <si>
    <t>F22000130</t>
  </si>
  <si>
    <t>F22000129</t>
  </si>
  <si>
    <t>Ladda Pavan</t>
  </si>
  <si>
    <t>laddapvn@gmail.com</t>
  </si>
  <si>
    <t>FERN Lavender Fragrance</t>
  </si>
  <si>
    <t>FACE PACK KE LIEY, FOLLOWUP</t>
  </si>
  <si>
    <t>F22000128</t>
  </si>
  <si>
    <t>Abu Saqib</t>
  </si>
  <si>
    <t>abusaqibraza786@gmail.com</t>
  </si>
  <si>
    <t>AGARBATTI, RAV Phenyl Fragrance</t>
  </si>
  <si>
    <t>FOLL 0WUP PRICE SEND AGARBATTI</t>
  </si>
  <si>
    <t>F22000127</t>
  </si>
  <si>
    <t>Davinder</t>
  </si>
  <si>
    <t>JHARKHAND</t>
  </si>
  <si>
    <t>F22000126</t>
  </si>
  <si>
    <t>Indrajeet Kumar</t>
  </si>
  <si>
    <t>ndrajeetk854@gmail.com</t>
  </si>
  <si>
    <t>F22000125</t>
  </si>
  <si>
    <t>akashk45461@gmail.com</t>
  </si>
  <si>
    <t>Citronella Perfume</t>
  </si>
  <si>
    <t xml:space="preserve">INCAMMING CALL NOT </t>
  </si>
  <si>
    <t>F22000124</t>
  </si>
  <si>
    <t>Rajiv Kumar Daware</t>
  </si>
  <si>
    <t>rajivkumar.dakave@gmail.com</t>
  </si>
  <si>
    <t>Floral Aromatic Fragrances</t>
  </si>
  <si>
    <t>F22000123</t>
  </si>
  <si>
    <t>Harsh Wardhan Gandhi</t>
  </si>
  <si>
    <t>harshwardhangandhi22@gmail.com</t>
  </si>
  <si>
    <t>Apparel Perfumes</t>
  </si>
  <si>
    <t>F22000122</t>
  </si>
  <si>
    <t>Dr Lakhvinder</t>
  </si>
  <si>
    <t>luckygure2@gmail.com</t>
  </si>
  <si>
    <t>F22000121</t>
  </si>
  <si>
    <t>Lusa Narayan Murmu</t>
  </si>
  <si>
    <t>alexmurmu109@gmail.com</t>
  </si>
  <si>
    <t>F22000120</t>
  </si>
  <si>
    <t>SivagamiVinothkum</t>
  </si>
  <si>
    <t>sivavin2008@gmail.com</t>
  </si>
  <si>
    <t>Natural Fragrances</t>
  </si>
  <si>
    <t>F22000119</t>
  </si>
  <si>
    <t>Pratiksurve552@gmail.com</t>
  </si>
  <si>
    <t xml:space="preserve">Peace Agarbatti </t>
  </si>
  <si>
    <t>F22000118</t>
  </si>
  <si>
    <t>Amin GaI</t>
  </si>
  <si>
    <t>F22000117</t>
  </si>
  <si>
    <t>Mo Jeeshan</t>
  </si>
  <si>
    <t>aahilkhan78678600@gmail.com</t>
  </si>
  <si>
    <t xml:space="preserve">	For Reselling</t>
  </si>
  <si>
    <t>F22000116</t>
  </si>
  <si>
    <t>Mohammed Imran</t>
  </si>
  <si>
    <t>imran9789786229@gmail.com</t>
  </si>
  <si>
    <t>F22000115</t>
  </si>
  <si>
    <t>Prashant Kumar Maji</t>
  </si>
  <si>
    <t>majib0061@gmail.com</t>
  </si>
  <si>
    <t>Personal Care Fragrance.</t>
  </si>
  <si>
    <t>14-09-2022</t>
  </si>
  <si>
    <t xml:space="preserve"> F22000114</t>
  </si>
  <si>
    <t>SNDIP PAN</t>
  </si>
  <si>
    <t>K0LKATA</t>
  </si>
  <si>
    <t>HOTEL PERPASS PHENYL</t>
  </si>
  <si>
    <t>HOTEL PERPASS FOLLOWUP</t>
  </si>
  <si>
    <t xml:space="preserve"> F22000113</t>
  </si>
  <si>
    <t>SABYASACHI PANDAY</t>
  </si>
  <si>
    <t>LEMONGRASS TEA PATTI</t>
  </si>
  <si>
    <t>F22000112</t>
  </si>
  <si>
    <t>MAA ENTERPRICE</t>
  </si>
  <si>
    <t>F22000111</t>
  </si>
  <si>
    <t xml:space="preserve">
Ch Satish</t>
  </si>
  <si>
    <t>satishchelluboyina97@gmail.com</t>
  </si>
  <si>
    <t>F22000110</t>
  </si>
  <si>
    <t>HOME USE Fragrance Perfume</t>
  </si>
  <si>
    <t>TEMTATION PERFUME</t>
  </si>
  <si>
    <t>F22000109</t>
  </si>
  <si>
    <t>Tushar Bhatt</t>
  </si>
  <si>
    <t>tusmit1982@gmail.com</t>
  </si>
  <si>
    <t>ROSE PHENYL</t>
  </si>
  <si>
    <t>RONG INQUIRY</t>
  </si>
  <si>
    <t>F22000108</t>
  </si>
  <si>
    <t xml:space="preserve">
Arun Kumar</t>
  </si>
  <si>
    <t>kalavathithangam1963@gmail.com</t>
  </si>
  <si>
    <t xml:space="preserve">
Chennai, </t>
  </si>
  <si>
    <t>F22000107</t>
  </si>
  <si>
    <t>V.venkatesan</t>
  </si>
  <si>
    <t>venkatdhashi@gmail.com</t>
  </si>
  <si>
    <t xml:space="preserve">
Chennai</t>
  </si>
  <si>
    <t>F22000106</t>
  </si>
  <si>
    <t>Amol KANASE</t>
  </si>
  <si>
    <t>amolkanse2010@gmail.com</t>
  </si>
  <si>
    <t>MITHAIL SALECELIT</t>
  </si>
  <si>
    <t>F22000105</t>
  </si>
  <si>
    <t>Priyanka Shaw</t>
  </si>
  <si>
    <t>FEBRIK PERFUME. We don't have</t>
  </si>
  <si>
    <t>F22000104</t>
  </si>
  <si>
    <t>Medeasy</t>
  </si>
  <si>
    <t>medeasyworld@gmail.com</t>
  </si>
  <si>
    <t>PINE OIL LAGBE</t>
  </si>
  <si>
    <t>F22000103</t>
  </si>
  <si>
    <t>ranjitbarua35@gmail.com</t>
  </si>
  <si>
    <t>ER AGE METERIAL NIEYCHEN</t>
  </si>
  <si>
    <t>F22000102</t>
  </si>
  <si>
    <t>Sukdeb Saha</t>
  </si>
  <si>
    <t>dhuaruby@gmail.com</t>
  </si>
  <si>
    <t>ALL REAT SENDING</t>
  </si>
  <si>
    <t>13-09-2022</t>
  </si>
  <si>
    <t>F22000101</t>
  </si>
  <si>
    <t>CHINMAY JANA</t>
  </si>
  <si>
    <t>F22000100</t>
  </si>
  <si>
    <t>Rajat Das</t>
  </si>
  <si>
    <t>F2200099</t>
  </si>
  <si>
    <t>Chitta Rui Das</t>
  </si>
  <si>
    <t>sottod410@gmail.com</t>
  </si>
  <si>
    <t>LAGBE PORE NEBEN</t>
  </si>
  <si>
    <t>F2200098</t>
  </si>
  <si>
    <t>TAPAS Badyakar</t>
  </si>
  <si>
    <t>bibekbadyakar.bb@gmail.com</t>
  </si>
  <si>
    <t>Kendra Khottamdi</t>
  </si>
  <si>
    <t>REDAY PARFUME, PERSONAL USE</t>
  </si>
  <si>
    <t>F2200097</t>
  </si>
  <si>
    <t xml:space="preserve">SUNEET </t>
  </si>
  <si>
    <t>kundukennel123@gmail.com</t>
  </si>
  <si>
    <t xml:space="preserve">Krishnanagar
</t>
  </si>
  <si>
    <t>Citronella Java Essential Oil.</t>
  </si>
  <si>
    <t>1 LITE CITRONELL NIEYCHEN. MIF COLD PROCESSED ORGANIC EXTRAVIRGIN COCONUT OIL FOR FOOD</t>
  </si>
  <si>
    <t>F2200096</t>
  </si>
  <si>
    <t>Suman Sarkarl</t>
  </si>
  <si>
    <t>sumansarkar02910@gmail.com</t>
  </si>
  <si>
    <t>Torch Fuel Citronella.</t>
  </si>
  <si>
    <t>F2200095</t>
  </si>
  <si>
    <t>Shreekant</t>
  </si>
  <si>
    <t>shreekant2012@rediffmail.com</t>
  </si>
  <si>
    <t>Lime Oil</t>
  </si>
  <si>
    <t>F2200094</t>
  </si>
  <si>
    <t>Tartihasarathi</t>
  </si>
  <si>
    <t>F2200093</t>
  </si>
  <si>
    <t>ANKITA ROY</t>
  </si>
  <si>
    <t>royankita368@gmail.com</t>
  </si>
  <si>
    <t>F2200092</t>
  </si>
  <si>
    <t>AVIJIT SOU</t>
  </si>
  <si>
    <t>ULUBAREA</t>
  </si>
  <si>
    <t>F2200091</t>
  </si>
  <si>
    <t>Aruph Alkar</t>
  </si>
  <si>
    <t>mr.aruphalder@gmail.com</t>
  </si>
  <si>
    <t>F2200090</t>
  </si>
  <si>
    <t>Ramesh Chandra</t>
  </si>
  <si>
    <t>rameshpaltasingh9@gmail.com</t>
  </si>
  <si>
    <t>Bhubaneswar,</t>
  </si>
  <si>
    <t xml:space="preserve">Flower Rose Agarbatti </t>
  </si>
  <si>
    <t>FLOOWUP</t>
  </si>
  <si>
    <t>F2200089</t>
  </si>
  <si>
    <t>F2200088</t>
  </si>
  <si>
    <t>Radha Govind Chandra</t>
  </si>
  <si>
    <t>radhagobindachandra43@gmail.com</t>
  </si>
  <si>
    <t xml:space="preserve">
Bardhaman </t>
  </si>
  <si>
    <t>F2200087</t>
  </si>
  <si>
    <t xml:space="preserve">
Sunit</t>
  </si>
  <si>
    <t xml:space="preserve">
phooli35@yahoo.com</t>
  </si>
  <si>
    <t>110019, Delhi</t>
  </si>
  <si>
    <t>ANAVIAL TO TACK YOUR CALL</t>
  </si>
  <si>
    <t>F2200086</t>
  </si>
  <si>
    <t>Virender</t>
  </si>
  <si>
    <t>EKHON LAGBE NA</t>
  </si>
  <si>
    <t>F2200085</t>
  </si>
  <si>
    <t>Guduchi Marketing</t>
  </si>
  <si>
    <t>myguduchi@gmail.com</t>
  </si>
  <si>
    <t>F2200084</t>
  </si>
  <si>
    <t xml:space="preserve">
Ranjit Kumar Mondal</t>
  </si>
  <si>
    <t>ranjitkr.mondal@gmail.com</t>
  </si>
  <si>
    <t>Agarbatt</t>
  </si>
  <si>
    <t>F2200083</t>
  </si>
  <si>
    <t>Ajmal Qureshi</t>
  </si>
  <si>
    <t>ajmalq197@gmail.com</t>
  </si>
  <si>
    <t xml:space="preserve"> 110032, Delhi, </t>
  </si>
  <si>
    <t>F2200082</t>
  </si>
  <si>
    <t>Sanjib Paul</t>
  </si>
  <si>
    <t>sanjupal2806@gmail.com</t>
  </si>
  <si>
    <t xml:space="preserve"> Fragrance Sticks. </t>
  </si>
  <si>
    <t>F2200081</t>
  </si>
  <si>
    <t>Sanbid Golui</t>
  </si>
  <si>
    <t>designlipi@gmail.com</t>
  </si>
  <si>
    <t xml:space="preserve">Howrah
</t>
  </si>
  <si>
    <t>Candle Fragrances.</t>
  </si>
  <si>
    <t>2 LITR ROSE PATEL R 6 TYPE FRAGNENCE NIEYCHEN. REPET ORDE 10 LITR PERFUME, 5 TYPE</t>
  </si>
  <si>
    <t>F2200080</t>
  </si>
  <si>
    <t xml:space="preserve">Asit Kumar Paul
</t>
  </si>
  <si>
    <t>F2200079</t>
  </si>
  <si>
    <t>Sujeet Malakar</t>
  </si>
  <si>
    <t>malakar74@gmail.com</t>
  </si>
  <si>
    <t>F2200078</t>
  </si>
  <si>
    <t>Abhinay Kumar</t>
  </si>
  <si>
    <t>, Bihar,</t>
  </si>
  <si>
    <t>F2200077</t>
  </si>
  <si>
    <t>rashmipujari1987@gmail.com</t>
  </si>
  <si>
    <t>CANDAL</t>
  </si>
  <si>
    <t>F2200076</t>
  </si>
  <si>
    <t xml:space="preserve">
Trupti Das</t>
  </si>
  <si>
    <t>dastrupti263@gmail.com</t>
  </si>
  <si>
    <t xml:space="preserve">Jajpur </t>
  </si>
  <si>
    <t>Phenyl Chemical</t>
  </si>
  <si>
    <t>F2200075</t>
  </si>
  <si>
    <t xml:space="preserve">
Swathi</t>
  </si>
  <si>
    <t>Liquid Floor Cleaner</t>
  </si>
  <si>
    <t>F2200074</t>
  </si>
  <si>
    <t>Vishwajeet</t>
  </si>
  <si>
    <t>biswojitsethy2570@gmail.com</t>
  </si>
  <si>
    <t>Royllin Sangma</t>
  </si>
  <si>
    <t>F2200073</t>
  </si>
  <si>
    <t>Prasad Nagmoti</t>
  </si>
  <si>
    <t>prasadnagmoti14@gmail.com</t>
  </si>
  <si>
    <t>FEBRICK PERFUME. We don't have</t>
  </si>
  <si>
    <t>F2200072</t>
  </si>
  <si>
    <t>Chandra Chakrabarti</t>
  </si>
  <si>
    <t xml:space="preserve">
chandra.chakrabarti@gmail.com</t>
  </si>
  <si>
    <t>EKHON CHUTITE ACHEN, PORE JANABEN</t>
  </si>
  <si>
    <t>F2200071</t>
  </si>
  <si>
    <t>F2200070</t>
  </si>
  <si>
    <t xml:space="preserve">VIJAY </t>
  </si>
  <si>
    <t xml:space="preserve">Fragerances. </t>
  </si>
  <si>
    <t>F2200069</t>
  </si>
  <si>
    <t>Sujani Devi Golla</t>
  </si>
  <si>
    <t xml:space="preserve">
kankadurgaenterprises@gmail.com</t>
  </si>
  <si>
    <t>F2200068</t>
  </si>
  <si>
    <t>Abhijit Manda</t>
  </si>
  <si>
    <t>30 KG</t>
  </si>
  <si>
    <t>abhijitmandal1139@gmail.com</t>
  </si>
  <si>
    <t xml:space="preserve">Ranchi </t>
  </si>
  <si>
    <t xml:space="preserve">Thickeners
</t>
  </si>
  <si>
    <t>F2200067</t>
  </si>
  <si>
    <t xml:space="preserve">
Deepak Gupta</t>
  </si>
  <si>
    <t>deepakg.enterprises@gmail.com</t>
  </si>
  <si>
    <t xml:space="preserve">ashutosh19091999@gmail.com
</t>
  </si>
  <si>
    <t>NOT RESPONDING</t>
  </si>
  <si>
    <t>B. Shanmuga Sundaram</t>
  </si>
  <si>
    <t xml:space="preserve">
jayyesr24@gmail.com</t>
  </si>
  <si>
    <t>F2200066</t>
  </si>
  <si>
    <t>F2200065</t>
  </si>
  <si>
    <t>Swapan Kumar</t>
  </si>
  <si>
    <t xml:space="preserve">Jasmine Phenyl </t>
  </si>
  <si>
    <t>F2200064</t>
  </si>
  <si>
    <t>Asmitsh</t>
  </si>
  <si>
    <t>NEHI LENA HAI TREE</t>
  </si>
  <si>
    <t>F2200063</t>
  </si>
  <si>
    <t>Swagato Roy</t>
  </si>
  <si>
    <t>swagatoroy66@gmail.com</t>
  </si>
  <si>
    <t>Gucci Perfumes</t>
  </si>
  <si>
    <t>F2200062</t>
  </si>
  <si>
    <t>Jahangir Khan</t>
  </si>
  <si>
    <t>kjahangir808@gmail.com</t>
  </si>
  <si>
    <t>HOOGHLY</t>
  </si>
  <si>
    <t>F2200061</t>
  </si>
  <si>
    <t>Satya Ranjan Das</t>
  </si>
  <si>
    <t>dsatya.sel@gmail.com</t>
  </si>
  <si>
    <t>Mogra Agarbatti Perfume,</t>
  </si>
  <si>
    <t>F2200060</t>
  </si>
  <si>
    <t>JHUMA GHASH</t>
  </si>
  <si>
    <t>PERSONALUSE ,REDAY PHENYL</t>
  </si>
  <si>
    <t>F2200059</t>
  </si>
  <si>
    <t xml:space="preserve">AMIT </t>
  </si>
  <si>
    <t>MADHYAMGRAM</t>
  </si>
  <si>
    <t>SAMPLE DIEYCHI</t>
  </si>
  <si>
    <t>F2200058</t>
  </si>
  <si>
    <t>SHUBHAMAY KARAK</t>
  </si>
  <si>
    <t>MEDNAPOUR</t>
  </si>
  <si>
    <t>F2200057</t>
  </si>
  <si>
    <t>SWAPAN KUMAR</t>
  </si>
  <si>
    <t>READY PHENYL LAGBE 5 LITR</t>
  </si>
  <si>
    <t>F2200056</t>
  </si>
  <si>
    <t>adityasanfui61@gmail.com</t>
  </si>
  <si>
    <t xml:space="preserve">FOLLOWUP </t>
  </si>
  <si>
    <t>F2200055</t>
  </si>
  <si>
    <t>Saha</t>
  </si>
  <si>
    <t>promakeup2014@gmail.com</t>
  </si>
  <si>
    <t>Lavender Essential Oil</t>
  </si>
  <si>
    <t>FOLLOWUP COSMATIC</t>
  </si>
  <si>
    <t>F2200054</t>
  </si>
  <si>
    <t>Harishankar Kar</t>
  </si>
  <si>
    <t>harishankarkar87@gmail.com</t>
  </si>
  <si>
    <t>Nilagiri</t>
  </si>
  <si>
    <t>F2200053</t>
  </si>
  <si>
    <t>S K Patro</t>
  </si>
  <si>
    <t>JAMSADPOUR</t>
  </si>
  <si>
    <t>F2200052</t>
  </si>
  <si>
    <t>Amal Chandra Dey</t>
  </si>
  <si>
    <t>amaldey957@gmail.com</t>
  </si>
  <si>
    <t>N0 CALL</t>
  </si>
  <si>
    <t>F2200051</t>
  </si>
  <si>
    <t>ruchigoel.7@gmail.com</t>
  </si>
  <si>
    <t>BAD MEY PHONE KORENGE</t>
  </si>
  <si>
    <t>F2200050</t>
  </si>
  <si>
    <t xml:space="preserve">
Balaji</t>
  </si>
  <si>
    <t>PERFUME CHEMIST</t>
  </si>
  <si>
    <t>F2200049</t>
  </si>
  <si>
    <t>JP Sarkar</t>
  </si>
  <si>
    <t>F2200048</t>
  </si>
  <si>
    <t>Cosmetic Shoor</t>
  </si>
  <si>
    <t>Hyderabad -</t>
  </si>
  <si>
    <t>Cosmetic Perfume</t>
  </si>
  <si>
    <t>F2200047</t>
  </si>
  <si>
    <t>Mhatre Sagar Ramesh</t>
  </si>
  <si>
    <t>sgr.mhtre@rediffmail.com</t>
  </si>
  <si>
    <t>F2200046</t>
  </si>
  <si>
    <t>F2200045</t>
  </si>
  <si>
    <t>Manisha Chemical Industries</t>
  </si>
  <si>
    <t>manishachemicalind2018@gmail.com</t>
  </si>
  <si>
    <t>F2200044</t>
  </si>
  <si>
    <t>Jazz</t>
  </si>
  <si>
    <t>jasmeetkaur207@gmail.com</t>
  </si>
  <si>
    <t>Potpourri Fragrances</t>
  </si>
  <si>
    <t>ABHI NEHI</t>
  </si>
  <si>
    <t>F2200043</t>
  </si>
  <si>
    <t>F2200042</t>
  </si>
  <si>
    <t>Apu</t>
  </si>
  <si>
    <t>F2200041</t>
  </si>
  <si>
    <t>Niraj Kumar</t>
  </si>
  <si>
    <t>nirajkumar65542@gmail.com</t>
  </si>
  <si>
    <t>Black Phenyl Thickener</t>
  </si>
  <si>
    <t>LOCAL MARKET</t>
  </si>
  <si>
    <t>F2200040</t>
  </si>
  <si>
    <t>VISHAL THAKUR</t>
  </si>
  <si>
    <t>KASHIPUR</t>
  </si>
  <si>
    <t>F2200039</t>
  </si>
  <si>
    <t>Vijay Kumar Shuklas</t>
  </si>
  <si>
    <t>vshuklas@yahoo.com</t>
  </si>
  <si>
    <t>F2200038</t>
  </si>
  <si>
    <t>telltosan@gmail.com</t>
  </si>
  <si>
    <t>F2200037</t>
  </si>
  <si>
    <t>Brindha</t>
  </si>
  <si>
    <t>brindha.dhanagopalan@gmail.com</t>
  </si>
  <si>
    <t>F2200036</t>
  </si>
  <si>
    <t>gangarriya9@gmail.com</t>
  </si>
  <si>
    <t>F2200035</t>
  </si>
  <si>
    <t>Gurunath Kumbhar</t>
  </si>
  <si>
    <t xml:space="preserve"> info@aksharexim.com</t>
  </si>
  <si>
    <t>F2200034</t>
  </si>
  <si>
    <t>more 
Joshua Pachuau</t>
  </si>
  <si>
    <t xml:space="preserve">
jonaupach@gmail.com</t>
  </si>
  <si>
    <t>, Mizoram,</t>
  </si>
  <si>
    <t>F2200033</t>
  </si>
  <si>
    <t>deepakmicro2010@gmail.com</t>
  </si>
  <si>
    <t>Personal use</t>
  </si>
  <si>
    <t>NEHI HAI</t>
  </si>
  <si>
    <t>F2200032</t>
  </si>
  <si>
    <t xml:space="preserve">
vivek.sharma1598@gmail.com</t>
  </si>
  <si>
    <t>Fragrance in N Varanasi</t>
  </si>
  <si>
    <t>F2200031</t>
  </si>
  <si>
    <t>Soni Singh</t>
  </si>
  <si>
    <t>kumarmanoj15031984@gmail.com</t>
  </si>
  <si>
    <t xml:space="preserve">
Buxar, Bihar</t>
  </si>
  <si>
    <t>F2200030</t>
  </si>
  <si>
    <t>Lenny Dcryz</t>
  </si>
  <si>
    <t>lennydcruz@gmail.com</t>
  </si>
  <si>
    <t xml:space="preserve">Citronella </t>
  </si>
  <si>
    <t>F2200029</t>
  </si>
  <si>
    <t>Isha Ostwal</t>
  </si>
  <si>
    <t>MAHAASTRO</t>
  </si>
  <si>
    <t>F2200028</t>
  </si>
  <si>
    <t>Vicky Singh</t>
  </si>
  <si>
    <t>chandavickysingh32562@gmail.com</t>
  </si>
  <si>
    <t>RANCHI</t>
  </si>
  <si>
    <t>F2200027</t>
  </si>
  <si>
    <t>KK Vishwas</t>
  </si>
  <si>
    <t>F2200026</t>
  </si>
  <si>
    <t>Shristi Sarkar</t>
  </si>
  <si>
    <t>shristi03032001@gmail.com</t>
  </si>
  <si>
    <t>F2200025</t>
  </si>
  <si>
    <t>Subrata Samanta</t>
  </si>
  <si>
    <t>samantasubrata476@gmail.com</t>
  </si>
  <si>
    <t>hawrah</t>
  </si>
  <si>
    <t>F2200024</t>
  </si>
  <si>
    <t>RUPA</t>
  </si>
  <si>
    <t>PHENYL RAW MATERIELS</t>
  </si>
  <si>
    <t>SRADDHA BANERJEE</t>
  </si>
  <si>
    <t xml:space="preserve"> PRICE LIST SEND , KELKAR</t>
  </si>
  <si>
    <t>F2200023</t>
  </si>
  <si>
    <t>BISWANTH SANTRA</t>
  </si>
  <si>
    <t>F2200022</t>
  </si>
  <si>
    <t>SASWATA DAS</t>
  </si>
  <si>
    <t>FALLOWUP</t>
  </si>
  <si>
    <t>F2200021</t>
  </si>
  <si>
    <t>ANIRUDHO ROY</t>
  </si>
  <si>
    <t>arobindoroy91@gmail.com</t>
  </si>
  <si>
    <t>RING HOCHHE NA</t>
  </si>
  <si>
    <t>F2200020</t>
  </si>
  <si>
    <t>Tarun Pal</t>
  </si>
  <si>
    <t>INCOMEING CALL NOT</t>
  </si>
  <si>
    <t>F2200019</t>
  </si>
  <si>
    <t>tarunpal7890@gmail.com</t>
  </si>
  <si>
    <t>F2200018</t>
  </si>
  <si>
    <t>Amit Shit</t>
  </si>
  <si>
    <t>amitshit5274@gmail.com</t>
  </si>
  <si>
    <t>F2200017</t>
  </si>
  <si>
    <t>TUSHAR CHOK</t>
  </si>
  <si>
    <t>F2200016</t>
  </si>
  <si>
    <t>rainpankaj@gmail.com</t>
  </si>
  <si>
    <t>HAJIPOUR</t>
  </si>
  <si>
    <t>F2200015</t>
  </si>
  <si>
    <t>VISHAL</t>
  </si>
  <si>
    <t>F2200014</t>
  </si>
  <si>
    <t>Kriti Mondal</t>
  </si>
  <si>
    <t>mondalkriti8585@gmail.com</t>
  </si>
  <si>
    <t>COLCENTRATE</t>
  </si>
  <si>
    <t>F2200013</t>
  </si>
  <si>
    <t>Ejaz Qureshi</t>
  </si>
  <si>
    <t>ejazqureshi208@gmail.com</t>
  </si>
  <si>
    <t>ROSE FRAGRANCE</t>
  </si>
  <si>
    <t>F2200012</t>
  </si>
  <si>
    <t>SANTANU DASGUPTA</t>
  </si>
  <si>
    <t>PUJA KE BAD</t>
  </si>
  <si>
    <t>F2200011</t>
  </si>
  <si>
    <t>Tarun Dutta</t>
  </si>
  <si>
    <t>tarundutta654@gmail.com</t>
  </si>
  <si>
    <t>MALDAHA</t>
  </si>
  <si>
    <t>OFFICE ME AYAGA</t>
  </si>
  <si>
    <t>F2200010</t>
  </si>
  <si>
    <t>MD SADAAM ANSARI</t>
  </si>
  <si>
    <t>mashaallahdigital@gmail.com</t>
  </si>
  <si>
    <t>F220009</t>
  </si>
  <si>
    <t>PRASANTA DAS</t>
  </si>
  <si>
    <t>ODHISHA</t>
  </si>
  <si>
    <t>KAPOOR KACHARI OIL</t>
  </si>
  <si>
    <t>NEHI MILEGA</t>
  </si>
  <si>
    <t>F220008</t>
  </si>
  <si>
    <t>Raj Mukut</t>
  </si>
  <si>
    <t>rajmukut.das3@gmail.com</t>
  </si>
  <si>
    <t>BLACK LAGBE</t>
  </si>
  <si>
    <t>F220007</t>
  </si>
  <si>
    <t>RATAN GOUR</t>
  </si>
  <si>
    <t>ratans822@gmail.com</t>
  </si>
  <si>
    <t>HOWRAH</t>
  </si>
  <si>
    <t>F220006</t>
  </si>
  <si>
    <t>AKSHAY MALLA</t>
  </si>
  <si>
    <t>REAT HIGH</t>
  </si>
  <si>
    <t>F220005</t>
  </si>
  <si>
    <t>SUPRIYO</t>
  </si>
  <si>
    <t>F220004</t>
  </si>
  <si>
    <t>LITAN SARKAR</t>
  </si>
  <si>
    <t>NODIA</t>
  </si>
  <si>
    <t>JANABE</t>
  </si>
  <si>
    <t>F220003</t>
  </si>
  <si>
    <t>Yogita</t>
  </si>
  <si>
    <t>F220002</t>
  </si>
  <si>
    <t>Sandip Pharma</t>
  </si>
  <si>
    <t>sandipkewate1@gmail.com</t>
  </si>
  <si>
    <t>F220001</t>
  </si>
  <si>
    <t>OFFICE AYNGE</t>
  </si>
  <si>
    <t>https://www.leadsquared.com/what-is-lead-funnel/</t>
  </si>
  <si>
    <t>Company Name/ Client Name</t>
  </si>
  <si>
    <t>Price</t>
  </si>
  <si>
    <t xml:space="preserve">Usage </t>
  </si>
  <si>
    <t xml:space="preserve"> Dolphin AQUA</t>
  </si>
  <si>
    <t>Mineral Water</t>
  </si>
  <si>
    <t xml:space="preserve"> suvoadhikary60@gmail.com</t>
  </si>
  <si>
    <t xml:space="preserve">Alkaline Coil </t>
  </si>
  <si>
    <t>kundanchazxcvb@gmail.com</t>
  </si>
  <si>
    <t>Not Reachable.</t>
  </si>
  <si>
    <t>Mamta</t>
  </si>
  <si>
    <t>Dcda Chemical</t>
  </si>
  <si>
    <t>Prerit Agarwal</t>
  </si>
  <si>
    <t>Zirconium Silicate Powder</t>
  </si>
  <si>
    <t>a.prerit@gmail.com</t>
  </si>
  <si>
    <t>Call Not Connnected.</t>
  </si>
  <si>
    <t>Nishant Rao</t>
  </si>
  <si>
    <t>Disinfectant Fog Liquid</t>
  </si>
  <si>
    <t>nishantrao30@gmail.com</t>
  </si>
  <si>
    <t>Fumigation Purpose</t>
  </si>
  <si>
    <t>140/-Kg(s)</t>
  </si>
  <si>
    <t>Party Target Price 76/-Kg(s)</t>
  </si>
  <si>
    <t>Bidyut Das</t>
  </si>
  <si>
    <t>Silvox 150 Fumed</t>
  </si>
  <si>
    <t>bidyut.pcs2019@gmail.com</t>
  </si>
  <si>
    <t>MI Virucibe 256 Disinfectant</t>
  </si>
  <si>
    <t>12 Ltr</t>
  </si>
  <si>
    <t>jagannath03.ja@gmail.com</t>
  </si>
  <si>
    <t>Office Use.</t>
  </si>
  <si>
    <t>Omm Aqua Solutions</t>
  </si>
  <si>
    <t>Antioxidant Dptidp Di Phenyl Tris Isodecyl Phosphite</t>
  </si>
  <si>
    <t xml:space="preserve"> debashish.indian@gmail.com</t>
  </si>
  <si>
    <t>Dikesh Mishra</t>
  </si>
  <si>
    <t>Water External Polymer</t>
  </si>
  <si>
    <t>Bacillocid Special Disinfectant</t>
  </si>
  <si>
    <t xml:space="preserve"> anishkumardas222@gmail.com</t>
  </si>
  <si>
    <t>Piyush Bajaj</t>
  </si>
  <si>
    <t>Preservatives</t>
  </si>
  <si>
    <t xml:space="preserve"> piyushbj1@gmail.com</t>
  </si>
  <si>
    <t>Aurio Pharma Labs</t>
  </si>
  <si>
    <t>Proparyl Chloride</t>
  </si>
  <si>
    <t>aditi.aurio@gmail.com</t>
  </si>
  <si>
    <t xml:space="preserve"> Activated Carbon Filter Media</t>
  </si>
  <si>
    <t>50 Kg</t>
  </si>
  <si>
    <t xml:space="preserve"> boroma7890@gmail.com</t>
  </si>
  <si>
    <t>U.D engineering</t>
  </si>
  <si>
    <t>Growel Degreasing Chemical</t>
  </si>
  <si>
    <t>singhkamalkumar9@gmail.com</t>
  </si>
  <si>
    <t>SKYPEEN AGRO INDUSTRIES</t>
  </si>
  <si>
    <t>190/- per kg</t>
  </si>
  <si>
    <t>Silicone Oil Emulsifier</t>
  </si>
  <si>
    <t>10 Kg</t>
  </si>
  <si>
    <t xml:space="preserve"> rkexportcareer2016@gmail.com</t>
  </si>
  <si>
    <t>9619052567/ 8928745214</t>
  </si>
  <si>
    <t>Sheikh Muntazir Azam</t>
  </si>
  <si>
    <t>Cyclohexene Oxide</t>
  </si>
  <si>
    <t xml:space="preserve"> sheikhmuntazir2@gmail.com
</t>
  </si>
  <si>
    <t>inpchen</t>
  </si>
  <si>
    <t>Caluanie Pasteurize</t>
  </si>
  <si>
    <t>5 Kg</t>
  </si>
  <si>
    <t xml:space="preserve"> impchemonly@hotmail.com</t>
  </si>
  <si>
    <t>Jhantu Nandy</t>
  </si>
  <si>
    <t>Solar Panel Cleaning Chemical</t>
  </si>
  <si>
    <t>10 Ltr</t>
  </si>
  <si>
    <t xml:space="preserve"> jhantunandy@gmail.com</t>
  </si>
  <si>
    <t xml:space="preserve">Biswajit Kumar </t>
  </si>
  <si>
    <t>Cake Shelf Life Enhancer</t>
  </si>
  <si>
    <t>15 Kg</t>
  </si>
  <si>
    <t xml:space="preserve"> cpo.dreamoven@gmail.com</t>
  </si>
  <si>
    <t>Amar Equipment</t>
  </si>
  <si>
    <t>Gamma Alumina Catalyst</t>
  </si>
  <si>
    <t>1 Kg</t>
  </si>
  <si>
    <t xml:space="preserve"> prashantp@amarequip.com</t>
  </si>
  <si>
    <t>MS Sashi Enterprises</t>
  </si>
  <si>
    <t>Nausadar Powder</t>
  </si>
  <si>
    <t>akhandbharatvars@gmail.com</t>
  </si>
  <si>
    <t>Seth Sales Corporation</t>
  </si>
  <si>
    <t>2.5 Dimethyl 2.5 Di Tert Butylperoxy Hexane</t>
  </si>
  <si>
    <t>20 Kg</t>
  </si>
  <si>
    <t xml:space="preserve"> Kingajayaryan007@gmail.com</t>
  </si>
  <si>
    <t>PRASHANT KUMAR</t>
  </si>
  <si>
    <t>Rust Remover Sika</t>
  </si>
  <si>
    <t>1 Ltr</t>
  </si>
  <si>
    <t>Bishu Vishal Refactory Ltd</t>
  </si>
  <si>
    <t>Ammonium Borax</t>
  </si>
  <si>
    <t>saienterprise216@gmail.com</t>
  </si>
  <si>
    <t>Sahu Automobile</t>
  </si>
  <si>
    <t>Coolant Thickener</t>
  </si>
  <si>
    <t>samarthsahu74@gmail.com</t>
  </si>
  <si>
    <t>Vasudev Kaur Mosquito And Pest Control</t>
  </si>
  <si>
    <t>Aldecide Antiseptic And Disinfectant</t>
  </si>
  <si>
    <t>2 Brl</t>
  </si>
  <si>
    <t>Nitrovision Pvt Ltd</t>
  </si>
  <si>
    <t>Nitrovision Chemical</t>
  </si>
  <si>
    <t>1 Brl</t>
  </si>
  <si>
    <t xml:space="preserve"> binodkumarpatna824@gmail.com</t>
  </si>
  <si>
    <t>Roy International</t>
  </si>
  <si>
    <t>Muelear Oxidize</t>
  </si>
  <si>
    <t>pulakroy021970@gmail.com</t>
  </si>
  <si>
    <t>bihani polymer</t>
  </si>
  <si>
    <t>Melamine Phosphate</t>
  </si>
  <si>
    <t xml:space="preserve"> himadri.bera1987@yahoo.com</t>
  </si>
  <si>
    <t>India Phosphate Chemicals</t>
  </si>
  <si>
    <t>Polyethylene Imine</t>
  </si>
  <si>
    <t>sanatkatta@gmail.com</t>
  </si>
  <si>
    <t>SK WASIM RAJ</t>
  </si>
  <si>
    <t>Dimethylformamide</t>
  </si>
  <si>
    <t>sagarskpku786@gmail.com</t>
  </si>
  <si>
    <t>Guaiacol Powder</t>
  </si>
  <si>
    <t xml:space="preserve"> somexam11@gmail.com</t>
  </si>
  <si>
    <t>Kirit</t>
  </si>
  <si>
    <t>Caluanie Muelear Oxidize</t>
  </si>
  <si>
    <t>2 Kg</t>
  </si>
  <si>
    <t>Kpanchmia@gmail.com</t>
  </si>
  <si>
    <t>ANTIFREEZE</t>
  </si>
  <si>
    <t>25 Ltr</t>
  </si>
  <si>
    <t xml:space="preserve"> itmallccu@gmail.com</t>
  </si>
  <si>
    <t>Arvindam</t>
  </si>
  <si>
    <t>Erasd Alam</t>
  </si>
  <si>
    <t>Biosar Grovita Plant Growth</t>
  </si>
  <si>
    <t>5 Ltr</t>
  </si>
  <si>
    <t xml:space="preserve"> ersadalam101@gmail.com</t>
  </si>
  <si>
    <t>Novacide</t>
  </si>
  <si>
    <t>djdurgapur2005@gmail.com</t>
  </si>
  <si>
    <t>Paint Mixing</t>
  </si>
  <si>
    <t>Arham Chemicals</t>
  </si>
  <si>
    <t>Cremophor Rh 40</t>
  </si>
  <si>
    <t>bhavinparekh2009@rediffmail.com</t>
  </si>
  <si>
    <t>Prasanta</t>
  </si>
  <si>
    <t>WINSKY Sls Foam Booster</t>
  </si>
  <si>
    <t xml:space="preserve"> prasantapanda.saldiha@gmail.com</t>
  </si>
  <si>
    <t>sungreen.amc@gmail.com</t>
  </si>
  <si>
    <t>Aswini Das</t>
  </si>
  <si>
    <t>150/- per kg</t>
  </si>
  <si>
    <t>Anti Caking Agents</t>
  </si>
  <si>
    <t>chefaswini@gmail.com</t>
  </si>
  <si>
    <t>Mahalaxi Petro Chemical</t>
  </si>
  <si>
    <t>V2 Special Chemicals</t>
  </si>
  <si>
    <t xml:space="preserve"> kailashmaharana168@gmail.com</t>
  </si>
  <si>
    <t>Mrityunjoy Roy</t>
  </si>
  <si>
    <t>Posaconazole Intermediate</t>
  </si>
  <si>
    <t>roymrityun1987@gmail.com</t>
  </si>
  <si>
    <t>BK Udyog</t>
  </si>
  <si>
    <t>ANTIFOAM</t>
  </si>
  <si>
    <t>Blau Lamm Industries</t>
  </si>
  <si>
    <t xml:space="preserve">Cbgen Nl </t>
  </si>
  <si>
    <t>100 Ml</t>
  </si>
  <si>
    <t xml:space="preserve"> asranjan2018@gmail.com</t>
  </si>
  <si>
    <t>Dipanjali Fish Farm</t>
  </si>
  <si>
    <t>17-alpha-Methyltestosterone</t>
  </si>
  <si>
    <t>dilipfishery@gmail.com</t>
  </si>
  <si>
    <t>Osman Ali</t>
  </si>
  <si>
    <t>Dacotech Chemical</t>
  </si>
  <si>
    <t>25 Ml</t>
  </si>
  <si>
    <t>Plant Purification</t>
  </si>
  <si>
    <t>190/- Per Kg</t>
  </si>
  <si>
    <t>Silicone Oil Emulsifiers</t>
  </si>
  <si>
    <t>prasantapanda.saldiha@gmail.com</t>
  </si>
  <si>
    <t>Car Polish</t>
  </si>
  <si>
    <t>Piyanshu Chemicals Private Limited</t>
  </si>
  <si>
    <t>Potassium Oxide Powder</t>
  </si>
  <si>
    <t xml:space="preserve"> sdamani@krishirasayan.com</t>
  </si>
  <si>
    <t>Bio Pesticide</t>
  </si>
  <si>
    <t>Bijay BIKRAM SAMAL</t>
  </si>
  <si>
    <t>Polylactic Acid</t>
  </si>
  <si>
    <t>bijaybikram@iitkgp.ac.in</t>
  </si>
  <si>
    <t>3D Printing</t>
  </si>
  <si>
    <t>Smriti</t>
  </si>
  <si>
    <t>Shampoo Thickening Agent</t>
  </si>
  <si>
    <t>500 G</t>
  </si>
  <si>
    <t>smritibarman015@gmail.com</t>
  </si>
  <si>
    <t>Casting Powder</t>
  </si>
  <si>
    <t xml:space="preserve"> debasish.ghosal18@gmail.com</t>
  </si>
  <si>
    <t>Jaju Chem Drops Pvt. Ltd</t>
  </si>
  <si>
    <t>Zinc Stabilizer</t>
  </si>
  <si>
    <t xml:space="preserve"> vikramjaju@gmail.com</t>
  </si>
  <si>
    <t>M/s Falcon Export Enterprise</t>
  </si>
  <si>
    <t>Silicone Oil</t>
  </si>
  <si>
    <t xml:space="preserve"> falcon.export2020@gmail.com</t>
  </si>
  <si>
    <t>Aurafia Pharmaceuticals</t>
  </si>
  <si>
    <t>Periodic Acid</t>
  </si>
  <si>
    <t>500 Ml</t>
  </si>
  <si>
    <t>Hospital Use</t>
  </si>
  <si>
    <t>sunbright industries</t>
  </si>
  <si>
    <t>benzaldehyde</t>
  </si>
  <si>
    <t>sunbrightchemicals1@gmail.com</t>
  </si>
  <si>
    <t>Electroplating Use</t>
  </si>
  <si>
    <t>Sanjeev Kumar Singh</t>
  </si>
  <si>
    <t>Lamigamid</t>
  </si>
  <si>
    <t>20 Pcs</t>
  </si>
  <si>
    <t xml:space="preserve"> eskaysingh@yahoo.com</t>
  </si>
  <si>
    <t>Prodipta</t>
  </si>
  <si>
    <t>Infrollin Chemical</t>
  </si>
  <si>
    <t>100 G</t>
  </si>
  <si>
    <t>Bansbaria</t>
  </si>
  <si>
    <t>Susanta Samanta</t>
  </si>
  <si>
    <t>Chromium Nitride</t>
  </si>
  <si>
    <t xml:space="preserve"> adakmetcasttulsiberia@gmail.com</t>
  </si>
  <si>
    <t>Steel Casting</t>
  </si>
  <si>
    <t>Sukhen Chandra Paul</t>
  </si>
  <si>
    <t>Viscosity Modifiers for Lubricants</t>
  </si>
  <si>
    <t xml:space="preserve"> mousumi9434@gmail.com</t>
  </si>
  <si>
    <t>Grease Making</t>
  </si>
  <si>
    <t>P.K.B. Enterprise</t>
  </si>
  <si>
    <t>pkburman32@gmail.com</t>
  </si>
  <si>
    <t>Textile Printing</t>
  </si>
  <si>
    <t>Eshita Biswas</t>
  </si>
  <si>
    <t>R155 Intensive Cleaner</t>
  </si>
  <si>
    <t>1 Pc</t>
  </si>
  <si>
    <t xml:space="preserve"> biswaseshita8@gmail.com</t>
  </si>
  <si>
    <t>Bapi Electronics</t>
  </si>
  <si>
    <t>Piperonyl Butoxide Pbo</t>
  </si>
  <si>
    <t xml:space="preserve"> annadaprasadcuttack@gmail.com</t>
  </si>
  <si>
    <t>Metal Polish Liquid, Metal Shining Gel &amp; Powder</t>
  </si>
  <si>
    <t>Metal Related Product Manufacturing</t>
  </si>
  <si>
    <t>M.K. Casto Grades</t>
  </si>
  <si>
    <t>Bromoform</t>
  </si>
  <si>
    <t>300 Ltr(s)</t>
  </si>
  <si>
    <t>rishabhjain0726@gmail.com</t>
  </si>
  <si>
    <t>Dhanbad - 826001</t>
  </si>
  <si>
    <t>Ahmed</t>
  </si>
  <si>
    <t>Coolant Additives</t>
  </si>
  <si>
    <t xml:space="preserve"> ateeqk1969@gmail.com</t>
  </si>
  <si>
    <t>Chatterjee and Poddar Enterprise</t>
  </si>
  <si>
    <t>Orange G Sc</t>
  </si>
  <si>
    <t>10 Kg(s)</t>
  </si>
  <si>
    <t>poddaranirban22@gmail.com</t>
  </si>
  <si>
    <t>M.J Creations</t>
  </si>
  <si>
    <t>Twiga Glass Wools 1.5 Mtr</t>
  </si>
  <si>
    <t>chandrakantamohanty6@gmail.com</t>
  </si>
  <si>
    <t>9337743635, 7077303674</t>
  </si>
  <si>
    <t>Container Insulation</t>
  </si>
  <si>
    <t>Dibakar Manna</t>
  </si>
  <si>
    <t>Clinzex - DS</t>
  </si>
  <si>
    <t xml:space="preserve"> dibakarmanna122@gmail.com</t>
  </si>
  <si>
    <t>Pritish Ranjan Gayali</t>
  </si>
  <si>
    <t>Chemical Grade Miraculan</t>
  </si>
  <si>
    <t>50 Ltr</t>
  </si>
  <si>
    <t>prgayali@yahoo.co.in</t>
  </si>
  <si>
    <t>Rajendra Sharma</t>
  </si>
  <si>
    <t>Diaspore Powder(d-1)</t>
  </si>
  <si>
    <t>Brick Making</t>
  </si>
  <si>
    <t>Vindhu Das</t>
  </si>
  <si>
    <t>Soil Conditioner</t>
  </si>
  <si>
    <t>Basaka</t>
  </si>
  <si>
    <t>Yarav Enterprises</t>
  </si>
  <si>
    <t>pH Testing Liquid</t>
  </si>
  <si>
    <t>shabberpasha973169@gmail.com</t>
  </si>
  <si>
    <t>Nezamuddin Ji</t>
  </si>
  <si>
    <t>S V Slag Conditioner</t>
  </si>
  <si>
    <t xml:space="preserve"> nizamuddin2518@gmail.com</t>
  </si>
  <si>
    <t>Ras International</t>
  </si>
  <si>
    <t>Chlorhexidine Gluconate</t>
  </si>
  <si>
    <t>Saksham Casting</t>
  </si>
  <si>
    <t>Redex ladle cover</t>
  </si>
  <si>
    <t>kks.besco@gmail.com</t>
  </si>
  <si>
    <t>Kundu Enterprices</t>
  </si>
  <si>
    <t>Ethylene Brassylate</t>
  </si>
  <si>
    <t xml:space="preserve"> kundushibsankar25@gmail.com</t>
  </si>
  <si>
    <t>Shree Balaji Enterprise</t>
  </si>
  <si>
    <t>Descaling Chemical</t>
  </si>
  <si>
    <t xml:space="preserve"> vishalmundhra261@gmail.com</t>
  </si>
  <si>
    <t>8240501039, 9030820948</t>
  </si>
  <si>
    <t>Emsurg Healthcare India Private Limited</t>
  </si>
  <si>
    <t>Filter Aid Powder</t>
  </si>
  <si>
    <t xml:space="preserve"> kunal@emsurg.com</t>
  </si>
  <si>
    <t>Omega International</t>
  </si>
  <si>
    <t>Carbon Raiser Graphite</t>
  </si>
  <si>
    <t>shyamlalchangia@gmail.com</t>
  </si>
  <si>
    <t>Chemex Global</t>
  </si>
  <si>
    <t>Methyl 3-oxo-4</t>
  </si>
  <si>
    <t xml:space="preserve"> rnd@chemex.global</t>
  </si>
  <si>
    <t>Kashinuddin Sarkar</t>
  </si>
  <si>
    <t>Cymoxanil 50% WP</t>
  </si>
  <si>
    <t>6 Kg</t>
  </si>
  <si>
    <t>sarkarnajira786@gmail.com</t>
  </si>
  <si>
    <t>print intex pvt .ltd</t>
  </si>
  <si>
    <t>Glutaraldehyde Disinfectant</t>
  </si>
  <si>
    <t xml:space="preserve"> pperiwal@gmail.com</t>
  </si>
  <si>
    <t>Avijit Singha</t>
  </si>
  <si>
    <t>Grease Cleaner</t>
  </si>
  <si>
    <t>avijitsingha164@gmail.com</t>
  </si>
  <si>
    <t>induja food industries</t>
  </si>
  <si>
    <t>Flavour Enhancers</t>
  </si>
  <si>
    <t xml:space="preserve"> devesh.bharucha01@gmail.com</t>
  </si>
  <si>
    <t>Sujit Pal</t>
  </si>
  <si>
    <t>Conchem Damposeal Liquid</t>
  </si>
  <si>
    <t>Sadhan Enterprises</t>
  </si>
  <si>
    <t>Rotenone Chemical Compound</t>
  </si>
  <si>
    <t xml:space="preserve"> sadhandhibar1986@gmail.com</t>
  </si>
  <si>
    <t xml:space="preserve"> Dubrajpur</t>
  </si>
  <si>
    <t>Biswas Enterprises</t>
  </si>
  <si>
    <t>Methyl Cocoyl Taurate</t>
  </si>
  <si>
    <t>sudiptakumardas43@gmail.com</t>
  </si>
  <si>
    <t>S K MONDAL</t>
  </si>
  <si>
    <t>Teepol</t>
  </si>
  <si>
    <t xml:space="preserve"> swapan@zettasystems.net</t>
  </si>
  <si>
    <t>Sristi Construction</t>
  </si>
  <si>
    <t>4-methylmorpholine N-oxide</t>
  </si>
  <si>
    <t xml:space="preserve"> sankargupta815@gmail.com</t>
  </si>
  <si>
    <t>Demineralised Water</t>
  </si>
  <si>
    <t>Prosenjit Ghosh</t>
  </si>
  <si>
    <t>Phytosterol</t>
  </si>
  <si>
    <t xml:space="preserve"> jsprosenjit@gmail.com</t>
  </si>
  <si>
    <t>Baptu das</t>
  </si>
  <si>
    <t>Hexanal Aldehyde Liquid</t>
  </si>
  <si>
    <t xml:space="preserve">baptudasandi@gmail.com
</t>
  </si>
  <si>
    <t>Shamik Kumar Dhar</t>
  </si>
  <si>
    <t>Liquid Cyclopentasiloxane (DC 245)</t>
  </si>
  <si>
    <t>shamik.dhar@gmail.com</t>
  </si>
  <si>
    <t>Das Fertilizer</t>
  </si>
  <si>
    <t>Gold-soil Conditioner Sulphur</t>
  </si>
  <si>
    <t>Ak Trading</t>
  </si>
  <si>
    <t>Synthetic Thickner</t>
  </si>
  <si>
    <t xml:space="preserve"> lalikumaribanti@gmail.com</t>
  </si>
  <si>
    <t>Devendra Choudhary</t>
  </si>
  <si>
    <t>Radiator Flush Cleaner</t>
  </si>
  <si>
    <t>purchase.akso@grinfra.com</t>
  </si>
  <si>
    <t>Mizanur</t>
  </si>
  <si>
    <t>ACRIFLAVINE POWDER</t>
  </si>
  <si>
    <t>Sambil Akhtar</t>
  </si>
  <si>
    <t xml:space="preserve"> Wetting Agents</t>
  </si>
  <si>
    <t xml:space="preserve"> akhtershambil1234@gmail.com</t>
  </si>
  <si>
    <t>Babu Shinda Dera</t>
  </si>
  <si>
    <t>Silvicon Latex</t>
  </si>
  <si>
    <t xml:space="preserve"> bhabasindhubera995@gmail.com</t>
  </si>
  <si>
    <t>Jaju Petrochemical Private Limited</t>
  </si>
  <si>
    <t>Erucamide Chemical</t>
  </si>
  <si>
    <t>info@jajupetro.com</t>
  </si>
  <si>
    <t>9830041605, 9830941605</t>
  </si>
  <si>
    <t>Sujay Enterprises</t>
  </si>
  <si>
    <t xml:space="preserve"> Anti Settling Agent</t>
  </si>
  <si>
    <t>sales@sujayenterprises.co.in</t>
  </si>
  <si>
    <t>9850074511, 9373556368</t>
  </si>
  <si>
    <t>Imran Khan</t>
  </si>
  <si>
    <t xml:space="preserve"> ik702471@gmail.com</t>
  </si>
  <si>
    <t>Mahesh Laboratory Pvt Ltd</t>
  </si>
  <si>
    <t>Calcium Thioglycolate</t>
  </si>
  <si>
    <t xml:space="preserve"> chemistgautam@gmail.com</t>
  </si>
  <si>
    <t>Satyajit Das</t>
  </si>
  <si>
    <t>pH Indicators</t>
  </si>
  <si>
    <t>Deepali Medical Centre</t>
  </si>
  <si>
    <t xml:space="preserve"> Acriflavine Hydrochloride BPC 63</t>
  </si>
  <si>
    <t>palashhosenkalna2021@gmail.com</t>
  </si>
  <si>
    <t>Mangalam Accessories Group</t>
  </si>
  <si>
    <t>Plasticizing Concrete Admixture</t>
  </si>
  <si>
    <t xml:space="preserve"> mangeshmorkande@gmail.com</t>
  </si>
  <si>
    <t>Butyl Carbitol</t>
  </si>
  <si>
    <t xml:space="preserve"> pmgapat@gmail.com</t>
  </si>
  <si>
    <t>Ghanshyam Mahida</t>
  </si>
  <si>
    <t>polyphosphate crystal</t>
  </si>
  <si>
    <t xml:space="preserve"> gnmahida@gmail.com</t>
  </si>
  <si>
    <t>Tally Kolkata Price</t>
  </si>
  <si>
    <t xml:space="preserve">Loading Point </t>
  </si>
  <si>
    <t>Tally Mumbai Price</t>
  </si>
  <si>
    <t>Last 15 days price</t>
  </si>
  <si>
    <t>Updated Price Kolkata</t>
  </si>
  <si>
    <t>Mumbai Price</t>
  </si>
  <si>
    <t>Updated Price other places</t>
  </si>
  <si>
    <t>AOS POWDER (25 Kg Bag)</t>
  </si>
  <si>
    <t xml:space="preserve">K K Chemical </t>
  </si>
  <si>
    <t>188/-</t>
  </si>
  <si>
    <t>02.01.2022</t>
  </si>
  <si>
    <t>AOS Liquid  38 %</t>
  </si>
  <si>
    <t>K K Chemical (ARK)</t>
  </si>
  <si>
    <t>65/-( Godraj) 50 Kg Drum</t>
  </si>
  <si>
    <t>02.05.2023</t>
  </si>
  <si>
    <t>44 (Liquid)</t>
  </si>
  <si>
    <t>24-08-2020</t>
  </si>
  <si>
    <t>SJ CHEM</t>
  </si>
  <si>
    <t>57/-(GODRAJ)</t>
  </si>
  <si>
    <t>11.09.2025</t>
  </si>
  <si>
    <t>Acetic Acid(GACL)  (30 Kg Packing)</t>
  </si>
  <si>
    <t>Mahindra Shaw</t>
  </si>
  <si>
    <t>66/-</t>
  </si>
  <si>
    <t xml:space="preserve">Acid Slurry 50 KG DRUM </t>
  </si>
  <si>
    <t xml:space="preserve"> S J Chem </t>
  </si>
  <si>
    <t>132/-</t>
  </si>
  <si>
    <t>17.07.2025</t>
  </si>
  <si>
    <t xml:space="preserve">ARK </t>
  </si>
  <si>
    <t>102/- (250 Kg Drum)                                                    109/- (50 Kg Drum)</t>
  </si>
  <si>
    <t>23.12.2023                                             06.01.2025</t>
  </si>
  <si>
    <t>15-09-2020</t>
  </si>
  <si>
    <t>Anthracite Coal (0-5 mm)</t>
  </si>
  <si>
    <t>Vedant Aquachem Corporation</t>
  </si>
  <si>
    <t xml:space="preserve">11.25/-+ gst                            450/- per Bag   40 Kg Bag </t>
  </si>
  <si>
    <t>07.09.2024</t>
  </si>
  <si>
    <t>Acetic Acid (Jubilent)  (30 kg Packing)</t>
  </si>
  <si>
    <t>69/-</t>
  </si>
  <si>
    <t>61/- (Gujarat)</t>
  </si>
  <si>
    <t>15.12..2021</t>
  </si>
  <si>
    <t>62.50/-</t>
  </si>
  <si>
    <t>11.08.2023</t>
  </si>
  <si>
    <t xml:space="preserve">COSSIPORE </t>
  </si>
  <si>
    <t>Activated Alumina ( 2-5 mm)</t>
  </si>
  <si>
    <t>Chemical India Co</t>
  </si>
  <si>
    <t>85/-</t>
  </si>
  <si>
    <t>02.06.2025</t>
  </si>
  <si>
    <t>Activated Alumina ( 3-5 mm)</t>
  </si>
  <si>
    <t>26.05.2024</t>
  </si>
  <si>
    <t>Activated Alumina ( 5-8 mm)</t>
  </si>
  <si>
    <t>88/-</t>
  </si>
  <si>
    <t>16.07.2025</t>
  </si>
  <si>
    <t>9331326433 Santosh ji</t>
  </si>
  <si>
    <t xml:space="preserve">Activated Carbon (Harvesting Water)                                       Size 8-16mm 25kg Packing </t>
  </si>
  <si>
    <t>VEDANT AQUACHEM CORPORATION</t>
  </si>
  <si>
    <t>05.06.2023</t>
  </si>
  <si>
    <t xml:space="preserve">Activated Carbon (Harvesting Water)                                                    Size 2-5mm 25kg Packing 600 per bag </t>
  </si>
  <si>
    <t>ACTIVATED CARBON 10 Gram</t>
  </si>
  <si>
    <t>ACTIVATED CARBON 5 Gram</t>
  </si>
  <si>
    <t xml:space="preserve">Chemical India </t>
  </si>
  <si>
    <t>100/-</t>
  </si>
  <si>
    <t>Acrylamide Powder</t>
  </si>
  <si>
    <t>Alphox-200                         210 kg Drum</t>
  </si>
  <si>
    <t>S.J Chemicals</t>
  </si>
  <si>
    <t>161/-</t>
  </si>
  <si>
    <t>08.05.2025</t>
  </si>
  <si>
    <t>Cossipore</t>
  </si>
  <si>
    <t>Alphox-200                         50 kg Drum</t>
  </si>
  <si>
    <t>163/-</t>
  </si>
  <si>
    <t>Alphox-200                         50 kg Drum Indian glycol</t>
  </si>
  <si>
    <t>Aditya Comm</t>
  </si>
  <si>
    <t>165/-</t>
  </si>
  <si>
    <t>13.06.2025</t>
  </si>
  <si>
    <t xml:space="preserve">Acid Thickener(Gujarat make) 45 kgs drum OLI aliami </t>
  </si>
  <si>
    <t>285/-</t>
  </si>
  <si>
    <t>08.11.2024</t>
  </si>
  <si>
    <t>Acid Thickener(IGL make) 45kgs drum Ethoxyate IGSURE</t>
  </si>
  <si>
    <t>313/-</t>
  </si>
  <si>
    <t>11.12.2025</t>
  </si>
  <si>
    <t>Acid Thickener (45 Kg Drum)</t>
  </si>
  <si>
    <t xml:space="preserve">Universal Sales </t>
  </si>
  <si>
    <t>1292/-</t>
  </si>
  <si>
    <t>Liquid Alum</t>
  </si>
  <si>
    <t>3.5/-</t>
  </si>
  <si>
    <t xml:space="preserve">Alum Fitkari </t>
  </si>
  <si>
    <t>ICS Chemical Industries  (Ex-Old Delhi Road Sugandha)</t>
  </si>
  <si>
    <t>18.03.2025</t>
  </si>
  <si>
    <t xml:space="preserve">Aluminium Oxide 200 Mesh (C.W Grade) Use for casting </t>
  </si>
  <si>
    <t>Dev Kumar &amp; Co (Delhi)</t>
  </si>
  <si>
    <t>78.50/-</t>
  </si>
  <si>
    <t>11.05.2023</t>
  </si>
  <si>
    <t>22 (65%)
33 (94%)</t>
  </si>
  <si>
    <t xml:space="preserve">Aluminum Oxide </t>
  </si>
  <si>
    <t>Ramani Mohan</t>
  </si>
  <si>
    <t xml:space="preserve">Aluminium Stearate </t>
  </si>
  <si>
    <t>Rajdoot Chem</t>
  </si>
  <si>
    <t>10.50/-</t>
  </si>
  <si>
    <t>Aluminium Notch Bar 97% Purity</t>
  </si>
  <si>
    <t>Biz hero</t>
  </si>
  <si>
    <t>231/-</t>
  </si>
  <si>
    <t>10.06.2025</t>
  </si>
  <si>
    <t>Ammonium Hydroxide (Liquid Ammonia)</t>
  </si>
  <si>
    <t xml:space="preserve">Discon Sales </t>
  </si>
  <si>
    <t>24.50/-</t>
  </si>
  <si>
    <t>Aluminum Sulphate</t>
  </si>
  <si>
    <t xml:space="preserve">Amino Acid Powder 18% gst </t>
  </si>
  <si>
    <t>KG</t>
  </si>
  <si>
    <t>19.11.2024</t>
  </si>
  <si>
    <t>12.09.2023</t>
  </si>
  <si>
    <t xml:space="preserve">Ammonium Sulphate (White 99 % Tachinical Grade) 50 Kg Packing </t>
  </si>
  <si>
    <t xml:space="preserve">King Chemical </t>
  </si>
  <si>
    <t>Cossipore, Motibazar , opp. Suraj jute press</t>
  </si>
  <si>
    <t>Ammonim Alum (Fitkari)</t>
  </si>
  <si>
    <t>G G Comm</t>
  </si>
  <si>
    <t>17.50/-</t>
  </si>
  <si>
    <t>15.11.2024</t>
  </si>
  <si>
    <t xml:space="preserve">Ammonim Alum </t>
  </si>
  <si>
    <t>01.05.2024</t>
  </si>
  <si>
    <t>25-09-2020</t>
  </si>
  <si>
    <t>14
(Ex Gujarat)</t>
  </si>
  <si>
    <t>AMMONIUM BICARBONATE (Food Grade)</t>
  </si>
  <si>
    <t>Mohan Impex (Sachin Sir)</t>
  </si>
  <si>
    <t>24 (Industrial grade)
27 (Food grade)</t>
  </si>
  <si>
    <t>Ammonia Powder (Ammonium Bicarbonate) China     25 Kg Bag   Mongla Brand</t>
  </si>
  <si>
    <t xml:space="preserve">Mohan Impex </t>
  </si>
  <si>
    <t>25.50/-</t>
  </si>
  <si>
    <t>28.08.2023</t>
  </si>
  <si>
    <t>Ammonia Powder (Ammonium Bicarbonate) China     25 Kg Bag    475/- per bag</t>
  </si>
  <si>
    <t xml:space="preserve">Mohan Impex   </t>
  </si>
  <si>
    <t>09.07.2025</t>
  </si>
  <si>
    <t xml:space="preserve">Cossipore </t>
  </si>
  <si>
    <t>Ammonia Powder (Ammonium Bicarbonate) China     25 Kg Bag    550/- per bag</t>
  </si>
  <si>
    <t>K C Dang</t>
  </si>
  <si>
    <t>???</t>
  </si>
  <si>
    <t xml:space="preserve">Astaxanthin Extract </t>
  </si>
  <si>
    <t>2200/-(U.P)</t>
  </si>
  <si>
    <t>04.08.2021</t>
  </si>
  <si>
    <t>Antiscalant Balls</t>
  </si>
  <si>
    <t>Acuro Organics Ltd</t>
  </si>
  <si>
    <t>Ammonium Chloride(China)</t>
  </si>
  <si>
    <t xml:space="preserve">Aditya COMMERCIAL </t>
  </si>
  <si>
    <t>11.02.2026</t>
  </si>
  <si>
    <t xml:space="preserve">Ammonium Chloride (Amit International) 99.5%  25 kg bag packing </t>
  </si>
  <si>
    <t>AMIT International</t>
  </si>
  <si>
    <t>33/-(White Plane Bag)                                      34/-(Red Square Bag)</t>
  </si>
  <si>
    <t>19.01.2026</t>
  </si>
  <si>
    <t xml:space="preserve">Khidirpore </t>
  </si>
  <si>
    <t>18.50/-</t>
  </si>
  <si>
    <t>Gumandev Minerals</t>
  </si>
  <si>
    <t>BRIGHT GALVANIZERS</t>
  </si>
  <si>
    <t xml:space="preserve">22/- ex our godown </t>
  </si>
  <si>
    <t>15.03.2024</t>
  </si>
  <si>
    <t>Ammonium Chloride(TAC)</t>
  </si>
  <si>
    <t>27.25/-</t>
  </si>
  <si>
    <t>Liluah</t>
  </si>
  <si>
    <t>11.60/-(GJ)</t>
  </si>
  <si>
    <t>Ammonium Chloride (TAC)  Ex-Janglepur</t>
  </si>
  <si>
    <t xml:space="preserve">Dhanraj Chemical Industries </t>
  </si>
  <si>
    <t>32.50/-</t>
  </si>
  <si>
    <t>01.04.2023</t>
  </si>
  <si>
    <t xml:space="preserve">Asbestos Powder </t>
  </si>
  <si>
    <t>06.12.2019</t>
  </si>
  <si>
    <t>ASCORBIC ACID 25 kgs packing China CSPC Brand</t>
  </si>
  <si>
    <t>Arham Chemical</t>
  </si>
  <si>
    <t>21.02.2026</t>
  </si>
  <si>
    <t>ASCORBIC ACID</t>
  </si>
  <si>
    <t>Uma Chemical Corporation</t>
  </si>
  <si>
    <t>700/-(GJ)</t>
  </si>
  <si>
    <t>775 (uncoated)
815 (coted)</t>
  </si>
  <si>
    <t>Acetone  99 % (Standred packing 160 kg )</t>
  </si>
  <si>
    <t>Shalimar Chem</t>
  </si>
  <si>
    <t>22.01.2025</t>
  </si>
  <si>
    <t>Acetone  99 % (50 kg )</t>
  </si>
  <si>
    <t>105/-</t>
  </si>
  <si>
    <t>12.03.2024</t>
  </si>
  <si>
    <t>Maminul</t>
  </si>
  <si>
    <t>1.5 (400 Mesh)
(min 35 Ton)</t>
  </si>
  <si>
    <t xml:space="preserve">Benzoic Acid   25 Kg Bag Packing </t>
  </si>
  <si>
    <t>ADVANCE CHEMICAL CO</t>
  </si>
  <si>
    <t xml:space="preserve">Barytes Powder </t>
  </si>
  <si>
    <t>9/-(Off White)                                                25/-(White)</t>
  </si>
  <si>
    <t>17.10.2023</t>
  </si>
  <si>
    <t>10.50/-(off white)</t>
  </si>
  <si>
    <t>Barium Carbonate  50 kg packing (Make Vishnu)</t>
  </si>
  <si>
    <t>25.01.2024</t>
  </si>
  <si>
    <t xml:space="preserve">Bombay Road godown </t>
  </si>
  <si>
    <t>Barium Sulphate(Precipitated) 98 %</t>
  </si>
  <si>
    <t>Advance Addmine</t>
  </si>
  <si>
    <t>Barium Sulphate (Natural) 96 %</t>
  </si>
  <si>
    <t>41/-</t>
  </si>
  <si>
    <t>36
(1.5m to 5m)</t>
  </si>
  <si>
    <t>17-12-2020</t>
  </si>
  <si>
    <t>Barium Chloride</t>
  </si>
  <si>
    <t>BENTONITE GRANULES    Chai patti size 16-35                                                                                                   Boro bana size 10-20 mm                                                                          Medium dana size  12-25 mm</t>
  </si>
  <si>
    <t>K G Industries</t>
  </si>
  <si>
    <t>9.80/-</t>
  </si>
  <si>
    <t>30.10.2024</t>
  </si>
  <si>
    <t>BENTONITE GRANULES(Unrosted)</t>
  </si>
  <si>
    <t>8.10/-</t>
  </si>
  <si>
    <t>04.10.2023</t>
  </si>
  <si>
    <t xml:space="preserve">Boron 20%     20 Kg (DOT) turkey </t>
  </si>
  <si>
    <t>Indian Borates</t>
  </si>
  <si>
    <t>195/-</t>
  </si>
  <si>
    <t>12.06.2025</t>
  </si>
  <si>
    <t>BENTONITE GRANULES</t>
  </si>
  <si>
    <t>9.60/-</t>
  </si>
  <si>
    <t>20.06.2024</t>
  </si>
  <si>
    <t>7.65
(Double Roasted)</t>
  </si>
  <si>
    <t>3.1
(Double Roasted)</t>
  </si>
  <si>
    <t>2.9
(Double Roasted)</t>
  </si>
  <si>
    <t xml:space="preserve">Bentonite Powder </t>
  </si>
  <si>
    <t>Milon Industries</t>
  </si>
  <si>
    <t>1.10/-</t>
  </si>
  <si>
    <t>Bentonite Powder (Bihar)</t>
  </si>
  <si>
    <t>3.30/-</t>
  </si>
  <si>
    <t>23.02.2024</t>
  </si>
  <si>
    <t>BENTONITE POWDER(Double Packed)</t>
  </si>
  <si>
    <t>6.70/-</t>
  </si>
  <si>
    <t>04.04.2022</t>
  </si>
  <si>
    <t>BENTONITE POWDER</t>
  </si>
  <si>
    <t>6.80/-</t>
  </si>
  <si>
    <t>Bentonite Powder (Neelkanth)</t>
  </si>
  <si>
    <t>22.01.2024</t>
  </si>
  <si>
    <t>21-09-2020</t>
  </si>
  <si>
    <t>Bleaching Powder (Lion)     25 kg bag</t>
  </si>
  <si>
    <t>ARK                                                            Aditya Comm</t>
  </si>
  <si>
    <t>14.40/-( 360 bag)                                        15/- (375/-bag)</t>
  </si>
  <si>
    <t>18.02.2026                                             13.01.2026</t>
  </si>
  <si>
    <t>Bleaching Powder (Orient Paper)     25 kg bag</t>
  </si>
  <si>
    <t>ARK</t>
  </si>
  <si>
    <t>12.4/- (310 bag)</t>
  </si>
  <si>
    <t>18.02.2026</t>
  </si>
  <si>
    <t>Bleaching Powder (Shaktiman)</t>
  </si>
  <si>
    <t>Boiler Bed Material  SIZE:-1.0 TO 2.5 MM</t>
  </si>
  <si>
    <t xml:space="preserve">Meera Minral </t>
  </si>
  <si>
    <t xml:space="preserve">3.50/-Material Rate                  1.50/- FOR Rate </t>
  </si>
  <si>
    <t>18.09.2024</t>
  </si>
  <si>
    <t>Boiler Bed Material   SIZE:-1.0 TO 2.5 MM</t>
  </si>
  <si>
    <t>3.50/-</t>
  </si>
  <si>
    <t>25.09.2023</t>
  </si>
  <si>
    <t xml:space="preserve">Boric ACID(Indian Botres)     50 kg Bag </t>
  </si>
  <si>
    <t>Krishna Associate</t>
  </si>
  <si>
    <t>06.02.2026</t>
  </si>
  <si>
    <t xml:space="preserve">Bagmari </t>
  </si>
  <si>
    <t>108.50/- For 1Ton 04.05.2023</t>
  </si>
  <si>
    <t>92/-</t>
  </si>
  <si>
    <t>22-12-2020</t>
  </si>
  <si>
    <t xml:space="preserve">Boric Acid(Indo Borax)  50 kg packing </t>
  </si>
  <si>
    <t>Broker(Pugalia)</t>
  </si>
  <si>
    <t>143/-</t>
  </si>
  <si>
    <t>06.05.2024</t>
  </si>
  <si>
    <t>152/-</t>
  </si>
  <si>
    <t>13.06.2024</t>
  </si>
  <si>
    <t xml:space="preserve">Boric Acid(Murarji)  50 kg packing </t>
  </si>
  <si>
    <t>154/-</t>
  </si>
  <si>
    <t>17.12.2025</t>
  </si>
  <si>
    <t>Amartolla</t>
  </si>
  <si>
    <t xml:space="preserve">Borax decahydrate(Turkey ) 10.5 boron </t>
  </si>
  <si>
    <t>Bagmari</t>
  </si>
  <si>
    <t>13-10-2020</t>
  </si>
  <si>
    <t xml:space="preserve">Borax Penta hydrate 15 % boron  25KGS Bag </t>
  </si>
  <si>
    <t>03.05.2025</t>
  </si>
  <si>
    <t xml:space="preserve">Borax Penta hydrate (Turkey) </t>
  </si>
  <si>
    <t>Benzalkonium Chloride (BKC 80)</t>
  </si>
  <si>
    <t xml:space="preserve">225/- (Godraj) 50 KG PACKING DRUM </t>
  </si>
  <si>
    <t>20.02.2025</t>
  </si>
  <si>
    <t xml:space="preserve">Benzalkonium Chloride (BKC 80) 50kg Jar </t>
  </si>
  <si>
    <t>S J Chem</t>
  </si>
  <si>
    <t>15.05.2025</t>
  </si>
  <si>
    <t xml:space="preserve">220/-( Alpha) 50 Kg Packing </t>
  </si>
  <si>
    <t xml:space="preserve">Bluton SI Liquid (Maghmani) 60 kgs &amp; Rossari SI Liquid 30 kgs packing </t>
  </si>
  <si>
    <t xml:space="preserve">Todi Trade </t>
  </si>
  <si>
    <t xml:space="preserve">Meghmani 145/-                            Rossari  135/- </t>
  </si>
  <si>
    <t>23.12.2024</t>
  </si>
  <si>
    <t>Barium Sulphate (Natural)                                                                                  Baruim Sulphate (Precipitated)</t>
  </si>
  <si>
    <t xml:space="preserve">Advance Admine </t>
  </si>
  <si>
    <t>18.07.2023</t>
  </si>
  <si>
    <t xml:space="preserve">35/- + gst + freight Ex-Gujarat                                  44/-+gst+ freight  Ex-Gujarat </t>
  </si>
  <si>
    <t>115/-</t>
  </si>
  <si>
    <t>24.01.2022(ex Barrackpore)</t>
  </si>
  <si>
    <t xml:space="preserve">Benzene  200 ltr drum </t>
  </si>
  <si>
    <t>80/- (173 kg.)</t>
  </si>
  <si>
    <t>12.02.2024</t>
  </si>
  <si>
    <t>3.96/-</t>
  </si>
  <si>
    <t>01.12.2018</t>
  </si>
  <si>
    <t>Borax Decahydrate</t>
  </si>
  <si>
    <t>50/-</t>
  </si>
  <si>
    <t xml:space="preserve">Calcium stearate </t>
  </si>
  <si>
    <t>Ajoy Pugalia</t>
  </si>
  <si>
    <t>120/-+ 25 kg packing</t>
  </si>
  <si>
    <t>14.02.2024</t>
  </si>
  <si>
    <t xml:space="preserve">Carboriser </t>
  </si>
  <si>
    <t xml:space="preserve">S B Minerals </t>
  </si>
  <si>
    <t>27.08.2022</t>
  </si>
  <si>
    <t xml:space="preserve">Calcined Magnesite Powder </t>
  </si>
  <si>
    <t>CPC (0-1 mm) Carbon 93 %</t>
  </si>
  <si>
    <t>Indian Minerals</t>
  </si>
  <si>
    <t>02.08.2023</t>
  </si>
  <si>
    <t>CPC (FC-95-97%)Size-0-3mm</t>
  </si>
  <si>
    <t>27.08.2024</t>
  </si>
  <si>
    <t>Carbozy Methyl Cellulose (Detergent Gr)</t>
  </si>
  <si>
    <t xml:space="preserve">Trade Link </t>
  </si>
  <si>
    <t>115/-(25 kg cps 2500-3000)                                               65/- (low grade 50 kg)             325/-(4000-5000cps.)</t>
  </si>
  <si>
    <t>03.12.2024</t>
  </si>
  <si>
    <t>21/-(Gujarat)</t>
  </si>
  <si>
    <t xml:space="preserve">Calcite Powder (100-150 mess) off white  dolomite </t>
  </si>
  <si>
    <t>4.30/-</t>
  </si>
  <si>
    <t>28.11.2025</t>
  </si>
  <si>
    <t>Calcite Powder (300 mess)</t>
  </si>
  <si>
    <t>5.80/-</t>
  </si>
  <si>
    <t>11.09.2024</t>
  </si>
  <si>
    <t>Calcite Powder (500 mess)</t>
  </si>
  <si>
    <t>5.20/-</t>
  </si>
  <si>
    <t xml:space="preserve">Carbon Black Powder     </t>
  </si>
  <si>
    <t xml:space="preserve">Shree Shyam Chemical </t>
  </si>
  <si>
    <t>21.11.2023</t>
  </si>
  <si>
    <t>Philip Carbon powder N330/550</t>
  </si>
  <si>
    <t>10.07.2023</t>
  </si>
  <si>
    <t>Carbon Black Powder (Birla Brand)</t>
  </si>
  <si>
    <t>16.11.2023</t>
  </si>
  <si>
    <t>Carbon Elec Cut Scrap</t>
  </si>
  <si>
    <t xml:space="preserve">CALCIUM CARBIDE (15-25)  50 kg Drum  RM Make </t>
  </si>
  <si>
    <t xml:space="preserve">Shree Ganesh Trading </t>
  </si>
  <si>
    <t>3300/-DRUM</t>
  </si>
  <si>
    <t>20.02.2024</t>
  </si>
  <si>
    <t xml:space="preserve">CALCIUM CARBIDE (25-50)  50 kg Drum  RM Make </t>
  </si>
  <si>
    <t>54.80/-+ gst                                                                        (40/- + gst bill &amp; 14.80/- cash phone pee)</t>
  </si>
  <si>
    <t>20.05.2023</t>
  </si>
  <si>
    <t xml:space="preserve">CALCIUM CARBIDE (25-50)  50 kg Drum  DCM Make </t>
  </si>
  <si>
    <t xml:space="preserve">90/- Including GST </t>
  </si>
  <si>
    <t>10.10.2023</t>
  </si>
  <si>
    <t xml:space="preserve">64/- Including GST </t>
  </si>
  <si>
    <t>CALCIUM CARBIDE (50-80) China 50 kg Drum</t>
  </si>
  <si>
    <t>Abhinav Singh</t>
  </si>
  <si>
    <t xml:space="preserve">5500/- Drum Including GST </t>
  </si>
  <si>
    <t>74/-</t>
  </si>
  <si>
    <t>24.06.202</t>
  </si>
  <si>
    <t>71 (Size - 50-80)
60 (Size - 15-25)</t>
  </si>
  <si>
    <t>19-09-2020</t>
  </si>
  <si>
    <t>73 (Size-50-80)</t>
  </si>
  <si>
    <t>CALCIUM CARBIDE (50-80) DCM 50 kg Drum</t>
  </si>
  <si>
    <t xml:space="preserve">4000/-Including GST </t>
  </si>
  <si>
    <t>CALCIUM CARBIDE (50-80) Bhutan 50 kg Drum</t>
  </si>
  <si>
    <t xml:space="preserve">4500/-Drum Including GST </t>
  </si>
  <si>
    <t>10.05.2023</t>
  </si>
  <si>
    <t xml:space="preserve">CALCIUM CARBIDE (25-50) Bhutan 50 kg Drum  RM Make </t>
  </si>
  <si>
    <t xml:space="preserve">3900/-Drum Including GST </t>
  </si>
  <si>
    <t>Calcium Carbonate (Precipitated)</t>
  </si>
  <si>
    <t xml:space="preserve">Roy Minerals </t>
  </si>
  <si>
    <t>10.01.2026</t>
  </si>
  <si>
    <t xml:space="preserve">B K Paul </t>
  </si>
  <si>
    <t>02.01.2026</t>
  </si>
  <si>
    <t>Calcium Carbonate (Uncoated)</t>
  </si>
  <si>
    <t>07.10.2023</t>
  </si>
  <si>
    <t>Calcium Chloride Granules (Aditya Birla Grasim)  90 -95%   1-5 mm sabu dana</t>
  </si>
  <si>
    <t>Ethical Speciality Chemicals Pvt Ltd</t>
  </si>
  <si>
    <t>21.50/-Ex-Howrah (Plane Bag)</t>
  </si>
  <si>
    <t>31.01.2025</t>
  </si>
  <si>
    <t>Dhulagarh swarasati complex</t>
  </si>
  <si>
    <t>23/- Ex-Horwrah(Grasim)                                                            22/- Ex-Howrah (Plane Bag)</t>
  </si>
  <si>
    <t>20.01.2026</t>
  </si>
  <si>
    <t xml:space="preserve">Calcium Chloride Lupms (Aditya Birla)  </t>
  </si>
  <si>
    <t>14.50/-Ex-Howrah</t>
  </si>
  <si>
    <t xml:space="preserve">Calcium Chloride Lumps (Kuch)  </t>
  </si>
  <si>
    <t>12.50/-Ex-Howrah</t>
  </si>
  <si>
    <t>26.12.2024</t>
  </si>
  <si>
    <t>Calcium Chloride Crystal (Grashim brand)</t>
  </si>
  <si>
    <t xml:space="preserve">Calcium Chloride Fuse/Anhydrous </t>
  </si>
  <si>
    <t xml:space="preserve">Jyoti International </t>
  </si>
  <si>
    <t>18.10.2024</t>
  </si>
  <si>
    <t>Calcium Chloride-Solid</t>
  </si>
  <si>
    <t>25.07.2024</t>
  </si>
  <si>
    <t>Calcium Chloride Granules (Grasim) 1-5mm Size</t>
  </si>
  <si>
    <t>Rajdoot</t>
  </si>
  <si>
    <t>27.50/-</t>
  </si>
  <si>
    <t>04.05.2023</t>
  </si>
  <si>
    <t xml:space="preserve">Calcium Chloride Powder </t>
  </si>
  <si>
    <t>16.50/-</t>
  </si>
  <si>
    <t>Calcium Chloride Powder  80-85%  25 kg bag Rajasthan make</t>
  </si>
  <si>
    <t>07.11.2023</t>
  </si>
  <si>
    <t>Calcium Stearate (Trisul Brand)</t>
  </si>
  <si>
    <t xml:space="preserve">Rajdoot </t>
  </si>
  <si>
    <t>01.08.2024</t>
  </si>
  <si>
    <t xml:space="preserve">Copper Sulphate  Powder  24%    50 kg packing </t>
  </si>
  <si>
    <t>250/-</t>
  </si>
  <si>
    <t>21.04.2025</t>
  </si>
  <si>
    <t>Copper Sulphate  Crystal 24%    50 kg packing</t>
  </si>
  <si>
    <t>355/-</t>
  </si>
  <si>
    <t>07.02.2026</t>
  </si>
  <si>
    <t>Copper Sulphate  Crystal 23-24% 25 kg packing</t>
  </si>
  <si>
    <t>339/-                                                 350/-(Without gst)</t>
  </si>
  <si>
    <t>13.01.2026</t>
  </si>
  <si>
    <t xml:space="preserve">E-Chem </t>
  </si>
  <si>
    <t>11.06.2024</t>
  </si>
  <si>
    <t>247/-</t>
  </si>
  <si>
    <t>05.08.2025</t>
  </si>
  <si>
    <t>Amartola</t>
  </si>
  <si>
    <t>Calcium Silicide</t>
  </si>
  <si>
    <t>Calcium Gluconate</t>
  </si>
  <si>
    <t>Jiaan Biotech</t>
  </si>
  <si>
    <t>125/-(Ex Indore)</t>
  </si>
  <si>
    <t>15.09.2017</t>
  </si>
  <si>
    <t xml:space="preserve">Cream of Tartar </t>
  </si>
  <si>
    <t>Varity Stores</t>
  </si>
  <si>
    <t>172/-</t>
  </si>
  <si>
    <t>26.07.2023</t>
  </si>
  <si>
    <t>Calcium peroxide</t>
  </si>
  <si>
    <t>122
(65-70%)</t>
  </si>
  <si>
    <t>Camphor Powder  (50 kg packing)</t>
  </si>
  <si>
    <t>SAPTAGIR CAMPHOR PVT LTD(Telangana)</t>
  </si>
  <si>
    <t>650/-</t>
  </si>
  <si>
    <t>20.04.2023</t>
  </si>
  <si>
    <t>22-09-2020</t>
  </si>
  <si>
    <t>52/-</t>
  </si>
  <si>
    <t>09.10.2018</t>
  </si>
  <si>
    <t>CALCIUM PROPIONATE</t>
  </si>
  <si>
    <t>105 (Feed Grade)
(Included gst and transportation FOR)
127+GST (Food Grade)
(Included transportation FOR)</t>
  </si>
  <si>
    <t>66/-(grasim)                                                                                                                    60/- (Bangladesh Taslin)</t>
  </si>
  <si>
    <t>11.11.2022                                                        29.11.2022</t>
  </si>
  <si>
    <t>Caustic Soda Flakes  (50 kg Bag)</t>
  </si>
  <si>
    <t>49.50/-(Bangladesh Samuda)                                                                            44.60/- (Grasim)</t>
  </si>
  <si>
    <t>12.04.2025                                                          13.01.2026</t>
  </si>
  <si>
    <t xml:space="preserve">2230/-per bag grasim                                2440/- per bag bangladesh </t>
  </si>
  <si>
    <t>25/- dt14.12</t>
  </si>
  <si>
    <t>Caustic Soda Flakes  (50 kg Bag)  99 %</t>
  </si>
  <si>
    <t>VIP Chem</t>
  </si>
  <si>
    <t>47.50/-(Bangladesh Tasmim )                                                                                                          44.00/- (Grasim 2200 per bag)                                    44.20/-(Srayas make indian)</t>
  </si>
  <si>
    <t>03.05.2025                                        04.02.2026                       30.12.2025</t>
  </si>
  <si>
    <t>2375/-per bag                                                            2475/- per bag                                                     2225/per bag</t>
  </si>
  <si>
    <t>Caustic Soda Flakes  (50 kg Bag)  99 % Grasim</t>
  </si>
  <si>
    <t>Exchem Mercantile Corporation</t>
  </si>
  <si>
    <t>40.10/-</t>
  </si>
  <si>
    <t>2005/- per bag</t>
  </si>
  <si>
    <t>CAUSTIC SODA PRILLS</t>
  </si>
  <si>
    <t>CAUSTIC SODA LYE 25%</t>
  </si>
  <si>
    <t xml:space="preserve">Golden Trading </t>
  </si>
  <si>
    <t>23/-With Drum (20+3)</t>
  </si>
  <si>
    <t>CAUSTIC SODA LYE 47%</t>
  </si>
  <si>
    <t xml:space="preserve">Maa Bindwashini Chemical </t>
  </si>
  <si>
    <t>23/-                                                200 KG DRUM COST 1000/-</t>
  </si>
  <si>
    <t>15.07.2023</t>
  </si>
  <si>
    <t>DHULAGARH</t>
  </si>
  <si>
    <t xml:space="preserve">CAUSTIC SODA LYE 48% (Gramis Brand) 200 Kg Packing 370 kg material under 200 kg </t>
  </si>
  <si>
    <t>Navin Rasayan</t>
  </si>
  <si>
    <t>27.70/-(With Drum)</t>
  </si>
  <si>
    <t>07.12.2024</t>
  </si>
  <si>
    <t>23/-(Without Drum)  27/-(With Drum)</t>
  </si>
  <si>
    <t>18.02.2025</t>
  </si>
  <si>
    <t>Bagmari West Bengal</t>
  </si>
  <si>
    <t>19-08-2020</t>
  </si>
  <si>
    <t xml:space="preserve">Charcoal Chur   </t>
  </si>
  <si>
    <t>Farhan Enterprises</t>
  </si>
  <si>
    <t xml:space="preserve">6.50/-                                                </t>
  </si>
  <si>
    <t>17.01.2026</t>
  </si>
  <si>
    <t>Charcoal Small</t>
  </si>
  <si>
    <t>13/-</t>
  </si>
  <si>
    <t xml:space="preserve">Charcoal Big Size  </t>
  </si>
  <si>
    <t>Charcoal for Earthing(Small)</t>
  </si>
  <si>
    <t>Garg Enterprise</t>
  </si>
  <si>
    <t>04.05.2024</t>
  </si>
  <si>
    <t>5/-(Ex Odisha)</t>
  </si>
  <si>
    <t>Citirc Acid Monohydrate  (Lemon Star  Brand) Choto dana</t>
  </si>
  <si>
    <t>26.02.2024</t>
  </si>
  <si>
    <t>Citirc Acid Monohydrate  (RZBC  Brand) Choto dana</t>
  </si>
  <si>
    <t>67/-</t>
  </si>
  <si>
    <t>27.05.2025</t>
  </si>
  <si>
    <t>Citirc Acid Monohydrate  (Emsng Brand) Boro dana</t>
  </si>
  <si>
    <t>05.06.2025</t>
  </si>
  <si>
    <t xml:space="preserve">Citirc Acid Monohydrate  (Emsng Brand) Choto dana  99%    25 kg packing </t>
  </si>
  <si>
    <t>48/- (Haryana)</t>
  </si>
  <si>
    <t>Citirc Acid Monohydrate  (RZBC Brand) BORO DANA</t>
  </si>
  <si>
    <t>Citirc Acid Monohydrate  (Emsng Brand/RZBC) Boro dana</t>
  </si>
  <si>
    <t>11.12.2024</t>
  </si>
  <si>
    <t>Citirc Acid Monohydrate  (Emsng Brand) Choto dana</t>
  </si>
  <si>
    <t>Mohan Impex</t>
  </si>
  <si>
    <t>05.11.2025</t>
  </si>
  <si>
    <t xml:space="preserve">Citric Acid </t>
  </si>
  <si>
    <t>16.05.2024</t>
  </si>
  <si>
    <t>Citirc Acid Anhydrous   25 Kg Bag (Emsng Brand)</t>
  </si>
  <si>
    <t>Mohan Impex                                                Aditya Comm</t>
  </si>
  <si>
    <t>84/-                                                  80/-</t>
  </si>
  <si>
    <t>21.11.2024</t>
  </si>
  <si>
    <t>Citric Acid (Low Grade)</t>
  </si>
  <si>
    <t>A.Bhattacharjee</t>
  </si>
  <si>
    <t>138/-</t>
  </si>
  <si>
    <t xml:space="preserve">CMC </t>
  </si>
  <si>
    <t>135/-(low grade)                   50 kg bag                                  290/- (medium grade)  50kg bag                            350/- high grade (40 kg bag bill not available)</t>
  </si>
  <si>
    <t>24-09-2020</t>
  </si>
  <si>
    <t>China Clay pmi make</t>
  </si>
  <si>
    <t xml:space="preserve">KG Industries </t>
  </si>
  <si>
    <t>4.80/-</t>
  </si>
  <si>
    <t xml:space="preserve">Chlorine Granules </t>
  </si>
  <si>
    <t>Swan International</t>
  </si>
  <si>
    <t xml:space="preserve">20gm. 157/-                         200gm. @215/- </t>
  </si>
  <si>
    <t>Chlorine Tablets  (200 gram)</t>
  </si>
  <si>
    <t>E CHEM</t>
  </si>
  <si>
    <t>228/-</t>
  </si>
  <si>
    <t xml:space="preserve">Chlorine Dana  50 Kg Packing </t>
  </si>
  <si>
    <t>160/-</t>
  </si>
  <si>
    <t>07.06.2024</t>
  </si>
  <si>
    <t>Chlorine Dana 65-70 %   50 Kg Packing imported</t>
  </si>
  <si>
    <t>05.10.2023</t>
  </si>
  <si>
    <t>Chrome oxide Green</t>
  </si>
  <si>
    <t>DHANRAJ INDUSTRIES</t>
  </si>
  <si>
    <t>Chrome oxide Green (Imported )</t>
  </si>
  <si>
    <t>390/-</t>
  </si>
  <si>
    <t>13.12.2023</t>
  </si>
  <si>
    <t>Bajaj Chemical</t>
  </si>
  <si>
    <t>380/-</t>
  </si>
  <si>
    <t>25.06.2024</t>
  </si>
  <si>
    <t xml:space="preserve">TCCA Granules   50 kg bags </t>
  </si>
  <si>
    <t xml:space="preserve">Chromic Acid (25 Kg or 50 kgs Packing) Bishnu brand </t>
  </si>
  <si>
    <t>20.05.2025</t>
  </si>
  <si>
    <t xml:space="preserve">CHROMIC ACID FLAKES    25 Kg Bag  Make- Bajaj  &amp; Bishnu </t>
  </si>
  <si>
    <t>19-02-2021</t>
  </si>
  <si>
    <t>205
(Imported turkey)</t>
  </si>
  <si>
    <t xml:space="preserve">Calcium Lactate </t>
  </si>
  <si>
    <t>07.01.2023</t>
  </si>
  <si>
    <t>Sukjit Brand 35.20/</t>
  </si>
  <si>
    <t>South Africa 48/-</t>
  </si>
  <si>
    <t>43/-  04.11.2022</t>
  </si>
  <si>
    <t>30
(Indian)</t>
  </si>
  <si>
    <t>30
(South Africa)</t>
  </si>
  <si>
    <t>11.50/-</t>
  </si>
  <si>
    <t>02.12.2024</t>
  </si>
  <si>
    <t>Copper Slag (Small dana black) Gujarat Not Stock Available</t>
  </si>
  <si>
    <t>8-9/-</t>
  </si>
  <si>
    <t>13.03.2025</t>
  </si>
  <si>
    <t>Copper Sulphate pentahydrate powder90%</t>
  </si>
  <si>
    <t>236/-</t>
  </si>
  <si>
    <t>08.04.2022</t>
  </si>
  <si>
    <t>Calcium Hypochlorite Granules  45 kg Drum  65- 70 %</t>
  </si>
  <si>
    <t>128/-</t>
  </si>
  <si>
    <t>Calcium Hypochlorite Granules  45 kg Drum 60 %</t>
  </si>
  <si>
    <t xml:space="preserve">CPC Low sulphur </t>
  </si>
  <si>
    <t xml:space="preserve">Bharat Carbons </t>
  </si>
  <si>
    <t>33.25/-</t>
  </si>
  <si>
    <t>23.05.2025</t>
  </si>
  <si>
    <t>Calcined Petroleum Coke(CPC) FC-95 -+ 1 % S- 1.5 % Size 0-3MM</t>
  </si>
  <si>
    <t>29.50/-</t>
  </si>
  <si>
    <t>17.10.2024</t>
  </si>
  <si>
    <t>Carbolic Acid (Liquid) Phenol 20 kg Jar (Jar cost Extra)</t>
  </si>
  <si>
    <t>Chakrobory Trading</t>
  </si>
  <si>
    <t>180/- (With GST)</t>
  </si>
  <si>
    <t>26.09.2023</t>
  </si>
  <si>
    <t>Cupric Chloride dihydrate (Green colour)</t>
  </si>
  <si>
    <t>22-08-2020</t>
  </si>
  <si>
    <t>Calcium Propionate (20Kg Packing)</t>
  </si>
  <si>
    <t xml:space="preserve">Arham Chemical </t>
  </si>
  <si>
    <t>18.12.2023</t>
  </si>
  <si>
    <t>Distilled Water (Sinthimore)</t>
  </si>
  <si>
    <t>2/-  Ltr                                                    200 Ltr(s) Drum 1200/-</t>
  </si>
  <si>
    <t>Defoamer(Mineral Solvay ) 45 kg Drum</t>
  </si>
  <si>
    <t xml:space="preserve">Peekay Agiancy </t>
  </si>
  <si>
    <t xml:space="preserve">250/- </t>
  </si>
  <si>
    <t>Diethylene Glycol</t>
  </si>
  <si>
    <t>DEP(Diethyal Pthalate)</t>
  </si>
  <si>
    <t>Donex Chemical (8240697169/6291273683)</t>
  </si>
  <si>
    <t>170/- (5ltr Price)                                          132/- (35 ltr Price)</t>
  </si>
  <si>
    <t>02.05.2024</t>
  </si>
  <si>
    <t>DEP Oil (KLJ Silvasa)</t>
  </si>
  <si>
    <t xml:space="preserve">125/-(35kg. jar)+ gst                                                          122/- (240 kg drum bill)                     </t>
  </si>
  <si>
    <t>01.12.2025</t>
  </si>
  <si>
    <t xml:space="preserve">cossipore </t>
  </si>
  <si>
    <t xml:space="preserve">Dextrose Monohydrate </t>
  </si>
  <si>
    <t>55/-(Gujrat Ambuja)</t>
  </si>
  <si>
    <t>19.04.2025</t>
  </si>
  <si>
    <t>52/-( Sukhjit)                                 52/-(Raja Ram)                                                                            51/-(Roquette)</t>
  </si>
  <si>
    <t>01.06.2022                                              25.03.2025                                                        04.09.2024</t>
  </si>
  <si>
    <t>KC Dang</t>
  </si>
  <si>
    <t>48/- Sukjit brand                44/- HL make</t>
  </si>
  <si>
    <t>03.01.2026</t>
  </si>
  <si>
    <t>Dextrose Anhydrous (25 kg bag) Drag License Chara kaj hobe na.</t>
  </si>
  <si>
    <t xml:space="preserve">68/-(Sukjit)                                                 64/-(Ambuja)              </t>
  </si>
  <si>
    <t>03.11.2022                                      16.04.2024</t>
  </si>
  <si>
    <t>Dolomite Powder (Double Packed)</t>
  </si>
  <si>
    <t>Dolomite Powder (300 Mesh)</t>
  </si>
  <si>
    <t>16-01-2021</t>
  </si>
  <si>
    <t>Dolomite Powder (500 Mesh)</t>
  </si>
  <si>
    <t>Dolomite Powder (300 Mesh white )</t>
  </si>
  <si>
    <t>Gupta Dankuni (7980118956)</t>
  </si>
  <si>
    <t>5.5/-</t>
  </si>
  <si>
    <t>02.04.2024</t>
  </si>
  <si>
    <t>Dolomite Powder (300 Mesh off white)</t>
  </si>
  <si>
    <t xml:space="preserve">Double distil turpentine oil (DDT) 200 ltr drum </t>
  </si>
  <si>
    <t>118/-</t>
  </si>
  <si>
    <t>11.03.2024</t>
  </si>
  <si>
    <t>JAIMARUTI POLYCHEM LLP</t>
  </si>
  <si>
    <t>01.04.2022</t>
  </si>
  <si>
    <t>950 Ton
(Size - 2 to 8 mm)
Min - 25 Ton</t>
  </si>
  <si>
    <t>12.34/-</t>
  </si>
  <si>
    <t>EDTA   25 kg bag packing only cash purchase</t>
  </si>
  <si>
    <t>Trade Link (cash)</t>
  </si>
  <si>
    <t>26.08.2023</t>
  </si>
  <si>
    <t>Ethylene Absorber 3gm</t>
  </si>
  <si>
    <t>Ethylene Absorber 5gm</t>
  </si>
  <si>
    <t>Ethylene Glycol ( 230 ltr Drum) Reliance /Mono ethylene glycol same RIL make</t>
  </si>
  <si>
    <t>Ethylene Glycol ( 230 ltr Drum) IOCL / Mono ethylene glycol same</t>
  </si>
  <si>
    <t xml:space="preserve">Sova tell some one party </t>
  </si>
  <si>
    <t xml:space="preserve">S J CHELICAL </t>
  </si>
  <si>
    <t>75/-(IOCL)</t>
  </si>
  <si>
    <t>02.09.2025</t>
  </si>
  <si>
    <t>Ethylene Glycol ( 230 ltr Drum) Reliance /Mono ethylene glycol same</t>
  </si>
  <si>
    <t xml:space="preserve">Ethyl Acetate (200Kg Drum)Distilled </t>
  </si>
  <si>
    <t xml:space="preserve">Sova Chem </t>
  </si>
  <si>
    <t>85/-+</t>
  </si>
  <si>
    <t>09.09.2024</t>
  </si>
  <si>
    <t>Fire Create Super  25 kg Bag packing</t>
  </si>
  <si>
    <t>Mortex India</t>
  </si>
  <si>
    <t>39/-</t>
  </si>
  <si>
    <t xml:space="preserve">Fire Clay </t>
  </si>
  <si>
    <t xml:space="preserve">3.50/- </t>
  </si>
  <si>
    <t>Formic Acid (35 Kg packing) GNFC</t>
  </si>
  <si>
    <t>05.08.2024</t>
  </si>
  <si>
    <t>Formic Acid (35 Kg packing) China 85%</t>
  </si>
  <si>
    <t>27.07.2025</t>
  </si>
  <si>
    <t>Feldspar powder ( Sodium Base)</t>
  </si>
  <si>
    <t>Ramni Mohan</t>
  </si>
  <si>
    <t>10.11.2022</t>
  </si>
  <si>
    <t xml:space="preserve">Feldspar Powder (Potash Base)  Rajasthan </t>
  </si>
  <si>
    <t xml:space="preserve">Ferric Alum Liquid </t>
  </si>
  <si>
    <t xml:space="preserve">V S Corp </t>
  </si>
  <si>
    <t>5.10/-</t>
  </si>
  <si>
    <t>25.03.2023</t>
  </si>
  <si>
    <t>Ferric Alum  Slab  off white</t>
  </si>
  <si>
    <t>26.11.2024</t>
  </si>
  <si>
    <t>Ferric Alum  Slab white grade -4</t>
  </si>
  <si>
    <t xml:space="preserve">15.80/- new Bag packing Charge extr .40/- paisa    </t>
  </si>
  <si>
    <t>Alum  Non feric Grade-4 slab(Weight 17-19 kg )</t>
  </si>
  <si>
    <t>11/-(not bag)                          11.50/- (New Bag packing or labour cost)</t>
  </si>
  <si>
    <t>09.04.2024</t>
  </si>
  <si>
    <t>18.04.2024</t>
  </si>
  <si>
    <t>30-11-2020</t>
  </si>
  <si>
    <t>Ferric Chloride Liquid 50 kg Drum   40-42 %</t>
  </si>
  <si>
    <t>Chemical Traders (New)</t>
  </si>
  <si>
    <t>10.02.2025</t>
  </si>
  <si>
    <t>Ferric Chloride powder 98%  (25kg bag)</t>
  </si>
  <si>
    <t>49/-</t>
  </si>
  <si>
    <t>18.06.2024</t>
  </si>
  <si>
    <t xml:space="preserve">krishna cinama </t>
  </si>
  <si>
    <t xml:space="preserve">Stock Ready for Radiant </t>
  </si>
  <si>
    <t xml:space="preserve">Ferrous Sulphate  50 kg </t>
  </si>
  <si>
    <t>RADIANT SALES</t>
  </si>
  <si>
    <t>17.06.2024</t>
  </si>
  <si>
    <t>Suraj jute prass  Chiria more</t>
  </si>
  <si>
    <t xml:space="preserve">Ferrous Sulphate   crystal 50 kg </t>
  </si>
  <si>
    <t>Mumbai Road</t>
  </si>
  <si>
    <t>Ferrous Sulphate (Manufacture)</t>
  </si>
  <si>
    <t>Sreyans Tulsian</t>
  </si>
  <si>
    <t>9/-+                                                    11/-+</t>
  </si>
  <si>
    <t>FERRIC CHLORIDE HEXAHYDRATE</t>
  </si>
  <si>
    <t>43 (60% LUMPS)</t>
  </si>
  <si>
    <t xml:space="preserve">Flourspar </t>
  </si>
  <si>
    <t>Fluorspar Powder90%+</t>
  </si>
  <si>
    <t>10.12.2025</t>
  </si>
  <si>
    <t>Fluorspar Powder90%</t>
  </si>
  <si>
    <t>13.02.2026</t>
  </si>
  <si>
    <t>Fluorspar Powder96%</t>
  </si>
  <si>
    <t>04.06.2025</t>
  </si>
  <si>
    <t>Kamal jadav</t>
  </si>
  <si>
    <t>26.08.2025</t>
  </si>
  <si>
    <t>Flourspar Briquetts(85-90%)</t>
  </si>
  <si>
    <t>38/-</t>
  </si>
  <si>
    <t>Flourspar Briquetts(90%+)</t>
  </si>
  <si>
    <t>38.50/-</t>
  </si>
  <si>
    <t>18.05.2023</t>
  </si>
  <si>
    <t>Formaldehyde( Kanoria brand)37%  Packing-50kg.</t>
  </si>
  <si>
    <t>Sova Chemical</t>
  </si>
  <si>
    <t>14.08.2023</t>
  </si>
  <si>
    <t xml:space="preserve">Formaldehyde( Kanoria brand)37%  </t>
  </si>
  <si>
    <t>21.07.2023</t>
  </si>
  <si>
    <t>Formaldehyde  36%  Packing-50KG /250kg.</t>
  </si>
  <si>
    <t>E-CHEM</t>
  </si>
  <si>
    <t>Formalin( Kanoria brand)37%  Packing-270kg.</t>
  </si>
  <si>
    <t>29.01.2026</t>
  </si>
  <si>
    <t>12.01.2024</t>
  </si>
  <si>
    <t>Fluorspar Powder(80-85%)</t>
  </si>
  <si>
    <t>12.08.2023</t>
  </si>
  <si>
    <t xml:space="preserve">Fluorspar Powder 75-80% (50 KG Packing) </t>
  </si>
  <si>
    <t>Chemprimo Flourine International Pvt Ltd</t>
  </si>
  <si>
    <t>17.04.2025</t>
  </si>
  <si>
    <t>Fluorspar Powder   95 % (Make China /Viatnam/Mangolia)</t>
  </si>
  <si>
    <t>Flourspar Lumps 85 % (1mt Jumbo Bag)</t>
  </si>
  <si>
    <t>34.50/-</t>
  </si>
  <si>
    <t>14.06.2023</t>
  </si>
  <si>
    <t xml:space="preserve">Ferro Silicon Magnesium </t>
  </si>
  <si>
    <t>S B Minerals</t>
  </si>
  <si>
    <t>215/-</t>
  </si>
  <si>
    <t xml:space="preserve">Fulvic  </t>
  </si>
  <si>
    <t xml:space="preserve">KG </t>
  </si>
  <si>
    <t>09.07.2024</t>
  </si>
  <si>
    <t>Organic F Potassium Fulvic Acid  18%</t>
  </si>
  <si>
    <t>oleyl amine ethoxylate (Acid Thikner) 50 kg Carboys</t>
  </si>
  <si>
    <t xml:space="preserve">S J Chem </t>
  </si>
  <si>
    <t>24.08.2019</t>
  </si>
  <si>
    <t>Ram bahadur</t>
  </si>
  <si>
    <t>6.25/-</t>
  </si>
  <si>
    <t>03.02.2024</t>
  </si>
  <si>
    <t>Rinay Enterprises</t>
  </si>
  <si>
    <t>6.30/-</t>
  </si>
  <si>
    <t>17.04.2024</t>
  </si>
  <si>
    <t>12 (200 Mesh)
11 (80 Mesh)</t>
  </si>
  <si>
    <t xml:space="preserve">Glass wool  25 kg bag </t>
  </si>
  <si>
    <t>Pioneer Refrigeration</t>
  </si>
  <si>
    <t xml:space="preserve">Graphite Granules (FC 95% -+ 1  S- 0.5 % Size 0-3 mm)  50 KG PLANE BAG </t>
  </si>
  <si>
    <t>Bharat Carbon</t>
  </si>
  <si>
    <t>Graphite Granules (99 % Size 0-2 mm)</t>
  </si>
  <si>
    <t>S B MINERAL</t>
  </si>
  <si>
    <t>16.05.2023</t>
  </si>
  <si>
    <t>Graphite Granules (99 % Size 1-2 mm)</t>
  </si>
  <si>
    <t>Graphite Granules (93 % Size 0-3 mm)</t>
  </si>
  <si>
    <t>Graphite Granules (99.2 % Size 1-5 mm)</t>
  </si>
  <si>
    <t>76/-</t>
  </si>
  <si>
    <t>26.10.2023</t>
  </si>
  <si>
    <t>Kona More / Liluah</t>
  </si>
  <si>
    <t>Graphite Granules (98 % Size 1-5 mm)</t>
  </si>
  <si>
    <t xml:space="preserve">Graphite &amp; Minerals </t>
  </si>
  <si>
    <t xml:space="preserve">Graphite Powder  200 Mesh </t>
  </si>
  <si>
    <t xml:space="preserve">Graphite Powder  100 Mesh </t>
  </si>
  <si>
    <t xml:space="preserve">Graphite Powder  (300 Mesh +) 98 % SYNTHETIC GRADE   25KG OR 40 KG BAG </t>
  </si>
  <si>
    <t>Chowdhary Minerals &amp; Chemicals</t>
  </si>
  <si>
    <t>05.05.2025</t>
  </si>
  <si>
    <t xml:space="preserve">Liluah </t>
  </si>
  <si>
    <t>Graphite powder (Natural) 100mesh 92%</t>
  </si>
  <si>
    <t>26.07.2025</t>
  </si>
  <si>
    <t>Graphite Powder  (200 Mesh +) 90%</t>
  </si>
  <si>
    <t>31.05.2024</t>
  </si>
  <si>
    <t>Graphite Powder  (200 Mesh +) 98 %</t>
  </si>
  <si>
    <t>25.09.2024</t>
  </si>
  <si>
    <t>Graphite Powder  (200 Mesh +) 80 %</t>
  </si>
  <si>
    <t xml:space="preserve">Graphite Powder (250 mesh) 80-85 % </t>
  </si>
  <si>
    <t xml:space="preserve">Graphite Powder (200 mesh) 60 % </t>
  </si>
  <si>
    <t xml:space="preserve">Graphite Powder (200 mesh) 40-50 % </t>
  </si>
  <si>
    <t xml:space="preserve">GMS Powder (Datem)  lion brand  Glycerol Mono Sterate Powder     25 Kg Packing </t>
  </si>
  <si>
    <t>193/-</t>
  </si>
  <si>
    <t>Glycerine(Imported Indonasia 250 kg drum)</t>
  </si>
  <si>
    <t>SREEKISAN PANNALALL</t>
  </si>
  <si>
    <t>Low grade-@98/-</t>
  </si>
  <si>
    <t>63
(Technical Grade)
68
(Food Grade)</t>
  </si>
  <si>
    <t>04-11-2020
17-12-2020</t>
  </si>
  <si>
    <t xml:space="preserve">Glycerine(Imported  250 kg drum) technical grade </t>
  </si>
  <si>
    <t>Aditya commercial</t>
  </si>
  <si>
    <t>108/-</t>
  </si>
  <si>
    <t xml:space="preserve">Glycerine(Indian make  250 kg drum) technical grade </t>
  </si>
  <si>
    <t>124/-</t>
  </si>
  <si>
    <t>03.02.2026</t>
  </si>
  <si>
    <t xml:space="preserve">GUAR GUM   5000-5500 CPS Food Grade   25 kg white paper packing </t>
  </si>
  <si>
    <t>Aravally Processed Agrotech Private LTD</t>
  </si>
  <si>
    <t>122/-</t>
  </si>
  <si>
    <t>31.12.2023</t>
  </si>
  <si>
    <t>62 (Industrial grade)
115 (Food grade)</t>
  </si>
  <si>
    <t>70 (Industrial grade)
(Including GST)
115 (Food grade)</t>
  </si>
  <si>
    <t>28-08-2020</t>
  </si>
  <si>
    <t>75 (Food Grade)</t>
  </si>
  <si>
    <t>Guar Gum ( 0 CPS, 25 Packing)</t>
  </si>
  <si>
    <t>44/-                                                                                                                                         54/-</t>
  </si>
  <si>
    <t>06.06.2024</t>
  </si>
  <si>
    <t>Guar Gum (0-100 CPS Agarbatti Grade)</t>
  </si>
  <si>
    <t xml:space="preserve">GYPSUM POWDER(Special) </t>
  </si>
  <si>
    <t>15.04.2022</t>
  </si>
  <si>
    <t xml:space="preserve">Gypsum Granules </t>
  </si>
  <si>
    <t>22.09.21</t>
  </si>
  <si>
    <t xml:space="preserve">Glauber Salt   50 kg packing </t>
  </si>
  <si>
    <t>Krishna International</t>
  </si>
  <si>
    <t>Rajasthan make 6.50/-                                               Gujarat make 7.50/-</t>
  </si>
  <si>
    <t>GYPSUM POWDER</t>
  </si>
  <si>
    <t>2
(off white)</t>
  </si>
  <si>
    <t>5.8 (93%)
(Including GST and Transport)</t>
  </si>
  <si>
    <t>Hydrofloric Acid 60 %  25 kg jar packing  make CHINA</t>
  </si>
  <si>
    <t>134/-</t>
  </si>
  <si>
    <t>27.09.2023</t>
  </si>
  <si>
    <t xml:space="preserve">Hydrofloric Acid 40 %  35 kg jar packing  make FRF </t>
  </si>
  <si>
    <t xml:space="preserve">Chemprime </t>
  </si>
  <si>
    <t>Hydrofloric Acid 30 %  35 kg jar packing make FRF</t>
  </si>
  <si>
    <t>70/-</t>
  </si>
  <si>
    <t>Hexamine Powder  50 KG  GuJARAT (Simalin)</t>
  </si>
  <si>
    <t>P Kumar &amp; Co</t>
  </si>
  <si>
    <t>16.04.2024</t>
  </si>
  <si>
    <t>HYDRAZINE</t>
  </si>
  <si>
    <t>M Sahoo</t>
  </si>
  <si>
    <t xml:space="preserve">Hexamine Powder </t>
  </si>
  <si>
    <t xml:space="preserve">DC Chemical </t>
  </si>
  <si>
    <t>112/-(Imported Saudi), 114/-(Simalin)</t>
  </si>
  <si>
    <t>07.06.2024                                                           30.12.2024</t>
  </si>
  <si>
    <t>95/c cossipore road kol2</t>
  </si>
  <si>
    <t>Humic Acid Flakes   75%</t>
  </si>
  <si>
    <t>24.12.2024</t>
  </si>
  <si>
    <t xml:space="preserve">Humic Acid Flakes </t>
  </si>
  <si>
    <t xml:space="preserve">Jagrit </t>
  </si>
  <si>
    <t xml:space="preserve">110/- </t>
  </si>
  <si>
    <t>Humic Amino Shiny Ball</t>
  </si>
  <si>
    <t>14-12-2020</t>
  </si>
  <si>
    <t>Humic Acid Shiny Ball(Amino Humate Shiny Ball) 50 kg bag</t>
  </si>
  <si>
    <t xml:space="preserve">K G </t>
  </si>
  <si>
    <t>30.07.2025</t>
  </si>
  <si>
    <t>Humic Acid Shiny Ball NPK (China with smell BUT NOT SHINE)  25KG BAG                                                             Humic Acid Shiny Ball NPK (Indian Make without smell BUT SHINE) 50KG BAG</t>
  </si>
  <si>
    <t>35/-                                                      25/-</t>
  </si>
  <si>
    <t>09.04.2025                                                     28.11.2025</t>
  </si>
  <si>
    <t>Humic Acid Shiny Ball (China with smell)                        Humic Acid Shiny Ball(Indian Make without smell)</t>
  </si>
  <si>
    <t>55/-                                                      30/-</t>
  </si>
  <si>
    <t xml:space="preserve">HYDRATED LIME Powder 90 % Purity </t>
  </si>
  <si>
    <t>LIME &amp; LIME (9830017262)</t>
  </si>
  <si>
    <t>M M Marketing (9932128291)</t>
  </si>
  <si>
    <t xml:space="preserve">HYDRATED LIME Powder 90 % Purity  40 KG PACKING </t>
  </si>
  <si>
    <t xml:space="preserve">Peekay Ageincy </t>
  </si>
  <si>
    <t xml:space="preserve">10.50/-WITH Delivery </t>
  </si>
  <si>
    <t>06.08.2024</t>
  </si>
  <si>
    <t xml:space="preserve">HYDRATED LIME Powder 70 Purity </t>
  </si>
  <si>
    <t xml:space="preserve">10.50/-Ex our godown </t>
  </si>
  <si>
    <t>27.05.2023</t>
  </si>
  <si>
    <t>Matsu Lime Co</t>
  </si>
  <si>
    <t>16.01.2026</t>
  </si>
  <si>
    <t xml:space="preserve">BAG BAZAR </t>
  </si>
  <si>
    <t>29-08-2020</t>
  </si>
  <si>
    <t xml:space="preserve">HYDRATED LIME Powder 70-80 % Purity </t>
  </si>
  <si>
    <t>9.30/-</t>
  </si>
  <si>
    <t>25.02.2025</t>
  </si>
  <si>
    <t xml:space="preserve">Hydrazine Hydrate Liquid( 200 ltr Drum)RANK CHEM lab grade </t>
  </si>
  <si>
    <t>AVM</t>
  </si>
  <si>
    <t>10.10.2025</t>
  </si>
  <si>
    <t>JanglePur,Dhulagarh</t>
  </si>
  <si>
    <t xml:space="preserve">Hydrazine Hydrate Liquid( 200 ltr Drum) KSRK Make  puirity 80 % </t>
  </si>
  <si>
    <t>295/-</t>
  </si>
  <si>
    <t>04.09.2024</t>
  </si>
  <si>
    <t>250 (80%)</t>
  </si>
  <si>
    <t xml:space="preserve">Hydrazine Hydrate Liquid( 200 ltr Drum) RKM Make  puirity 80 % </t>
  </si>
  <si>
    <t>Hydrazine Hydrate Liquid( 50 ltr Drum)</t>
  </si>
  <si>
    <t>Mahindra Shaw(AVM)</t>
  </si>
  <si>
    <t>18.02.2023</t>
  </si>
  <si>
    <t>Hydrochloric Acid 32.5 %(HCL)  Grasim Brand</t>
  </si>
  <si>
    <t>10/-(With 50 Kg Jar(300/-) 250 kg drum (980/-)  3/-(Without Jar)                   Ex-Dhulagarh</t>
  </si>
  <si>
    <t>05.06.2024</t>
  </si>
  <si>
    <t>Hydrochloric Acid 32.5 %(HCL)</t>
  </si>
  <si>
    <t>9/-(With Jar) 5/-(Without Jar)  Ex Barrackpore</t>
  </si>
  <si>
    <t>Hydrogen Peroxide 50%   30 kg Packing</t>
  </si>
  <si>
    <t>E-chem Corp</t>
  </si>
  <si>
    <t>29/-(Bangladesh tasmin)                          27.50/-(Bangladesh)</t>
  </si>
  <si>
    <t>28.05.2025                                               23.12.2024</t>
  </si>
  <si>
    <t xml:space="preserve">Dhulagarh                                           Krishna Cinama </t>
  </si>
  <si>
    <t>30/- npl 14.12</t>
  </si>
  <si>
    <t>Hydrogen Peroxide 50% 50 kg Packing</t>
  </si>
  <si>
    <t>E-chem (Cossipore)</t>
  </si>
  <si>
    <t>45/-(indian)</t>
  </si>
  <si>
    <t>07.10.2024</t>
  </si>
  <si>
    <t>Hydrogen Peroxide 50% 30 kg Packing</t>
  </si>
  <si>
    <t xml:space="preserve">Fortune </t>
  </si>
  <si>
    <t xml:space="preserve">Hydrated Lime Lumps (Quick Lime Lump) 40 kg packing </t>
  </si>
  <si>
    <t xml:space="preserve">12/-                                            with dobble packing cost </t>
  </si>
  <si>
    <t>Dankuni Godown  Arambagh Road Chandi Tola</t>
  </si>
  <si>
    <t xml:space="preserve">HEC(Bermocoll EBM 3000 &amp; EBM 8000)25&amp; 20KG PACKING </t>
  </si>
  <si>
    <t>600/-+                                                  625/-+</t>
  </si>
  <si>
    <t>23.08.2024</t>
  </si>
  <si>
    <t xml:space="preserve">Industrial Salt(Non Iodised) Powder </t>
  </si>
  <si>
    <t>4.70/-</t>
  </si>
  <si>
    <t>15.07.2025</t>
  </si>
  <si>
    <t xml:space="preserve">Industrial Salt(Non Iodised) karkat </t>
  </si>
  <si>
    <t>Industrial Salt (Free Flow) Ex Cossipore</t>
  </si>
  <si>
    <t>17.01.2024</t>
  </si>
  <si>
    <t xml:space="preserve">Igtol  50 kg packing </t>
  </si>
  <si>
    <t>S.J Chemical</t>
  </si>
  <si>
    <t>148/-</t>
  </si>
  <si>
    <t>Igtol  200 kg drum packing (APV)</t>
  </si>
  <si>
    <t>144/-</t>
  </si>
  <si>
    <t>16.09.2025</t>
  </si>
  <si>
    <t>ISO (160 KG Drum) taiwan</t>
  </si>
  <si>
    <t>13.10.2025</t>
  </si>
  <si>
    <t>63/-</t>
  </si>
  <si>
    <t>IPA(160 KG Drum)Deepak sil drum.</t>
  </si>
  <si>
    <t>Shalimar</t>
  </si>
  <si>
    <t>IPA(160 KG Drum)Distril</t>
  </si>
  <si>
    <t>04.12.2023</t>
  </si>
  <si>
    <t xml:space="preserve">IPA (160 KG Drum) Original </t>
  </si>
  <si>
    <t>Lime Powder (Viyatnam)</t>
  </si>
  <si>
    <t>06.02.2024</t>
  </si>
  <si>
    <t>LIME POWDER</t>
  </si>
  <si>
    <t>07.04.2022</t>
  </si>
  <si>
    <t>28-07-2020</t>
  </si>
  <si>
    <t>3.60/-</t>
  </si>
  <si>
    <t>06.03.2021</t>
  </si>
  <si>
    <t>Lithopone (China)</t>
  </si>
  <si>
    <t>Lithopone (Germany)</t>
  </si>
  <si>
    <t>300/-</t>
  </si>
  <si>
    <t xml:space="preserve">Lime Stone Lumps </t>
  </si>
  <si>
    <t>3.80/-</t>
  </si>
  <si>
    <t>Lactic Acid-88.2%      make- Corbion Purac</t>
  </si>
  <si>
    <t>Advani  Pvt Ltd</t>
  </si>
  <si>
    <t>185/-</t>
  </si>
  <si>
    <t>12.05.2023</t>
  </si>
  <si>
    <t>Liquid Ammonia  (Loose quentity) 22-23 % (50Kg or 100 Kg Jar packing)</t>
  </si>
  <si>
    <t xml:space="preserve">17/- Material Cost                      6/- jar cost                23/-with Jar </t>
  </si>
  <si>
    <t>16.11.2024</t>
  </si>
  <si>
    <t>Liquid Ammonia  (Loose quentity) 24-25 % (100 Kg Jar packing)</t>
  </si>
  <si>
    <t>24/-(With Jar)</t>
  </si>
  <si>
    <t>20.12.2025</t>
  </si>
  <si>
    <t xml:space="preserve">Liquid Ammonia 25% 50 klg Drum packing </t>
  </si>
  <si>
    <t xml:space="preserve">Swan Internation </t>
  </si>
  <si>
    <t>Liquid Ammonia (Minimum 1 Ton Quentity)</t>
  </si>
  <si>
    <t>21.50/-</t>
  </si>
  <si>
    <t>9748454902  Sandip ghosh</t>
  </si>
  <si>
    <t>Light Liquid Paraffin Heavy colombia asia</t>
  </si>
  <si>
    <t>Binani Wax (Cossipore)</t>
  </si>
  <si>
    <t xml:space="preserve">Light Liquid Paraffin </t>
  </si>
  <si>
    <t xml:space="preserve">Shiv Chemical/Deep Jyoti Chem </t>
  </si>
  <si>
    <t>76/- (IOCL Brand)</t>
  </si>
  <si>
    <t>26.08.2024</t>
  </si>
  <si>
    <t>Chamrail</t>
  </si>
  <si>
    <t>86.50/-(IOCL)</t>
  </si>
  <si>
    <t>28.11.2023</t>
  </si>
  <si>
    <t>Light Liquid Paraffin (Sabita Brand) 210 Ltr</t>
  </si>
  <si>
    <t>17.11.2023</t>
  </si>
  <si>
    <t>Heavy Light Liquid Paraffin (Sabita Brand) 210 Ltr</t>
  </si>
  <si>
    <t>Light Liquid Paraffin (IP Grade)</t>
  </si>
  <si>
    <t>BPL Enterprise</t>
  </si>
  <si>
    <t>92/-(Sabita/Colombia)</t>
  </si>
  <si>
    <t>Liquid Glucose (Raja Ram)</t>
  </si>
  <si>
    <t xml:space="preserve">Liquid Glucose(Sukhjit Brand)  300 Kg Drum  11400/-per drum </t>
  </si>
  <si>
    <t>22.05.2025</t>
  </si>
  <si>
    <t xml:space="preserve">Liquid Glucose(Sukhjit Brand)  300 Kg Drum  11200/-per drum              78% </t>
  </si>
  <si>
    <t>37.33/-</t>
  </si>
  <si>
    <t>Liquid Glucose (Gulshan) 300 kg Drum</t>
  </si>
  <si>
    <t>36.66/-</t>
  </si>
  <si>
    <t>22.04.2023</t>
  </si>
  <si>
    <t xml:space="preserve">Liquid Glucose(Riddhi Siddhi Brand)   300 Kg </t>
  </si>
  <si>
    <t>37.50/-</t>
  </si>
  <si>
    <t>Liquid Glucose(Roquette Mfg)</t>
  </si>
  <si>
    <t>MTO(Light)200 kg Drum</t>
  </si>
  <si>
    <t xml:space="preserve">Budge party </t>
  </si>
  <si>
    <t>22.11.2023</t>
  </si>
  <si>
    <t>Mithanol 97%</t>
  </si>
  <si>
    <t xml:space="preserve">Shalimar </t>
  </si>
  <si>
    <t>03.10.2023</t>
  </si>
  <si>
    <t>Magnesium Chloride powder 98 %</t>
  </si>
  <si>
    <t xml:space="preserve">Tide Sales </t>
  </si>
  <si>
    <t xml:space="preserve">Magnesium Chloride (Flakes) 50 kgs </t>
  </si>
  <si>
    <t>18.01.2024</t>
  </si>
  <si>
    <t>09.01.2024</t>
  </si>
  <si>
    <t>Magnesium Chloride (Flakes)</t>
  </si>
  <si>
    <t>Radiant Sales</t>
  </si>
  <si>
    <t>Mono Ammonium Phosphate (SHMP)</t>
  </si>
  <si>
    <t>26.11.2019</t>
  </si>
  <si>
    <t xml:space="preserve">Mono Ethylene Glycol </t>
  </si>
  <si>
    <t xml:space="preserve">S J Chemical </t>
  </si>
  <si>
    <t xml:space="preserve">77/- Reliance  </t>
  </si>
  <si>
    <t xml:space="preserve">Mono Ethylene Glycol   230 KG DRUM </t>
  </si>
  <si>
    <t>90/-IGL</t>
  </si>
  <si>
    <t>16.12.2024</t>
  </si>
  <si>
    <t xml:space="preserve">MNO2(Chips Size-1-2mm)for water purifair </t>
  </si>
  <si>
    <t>KG Industries</t>
  </si>
  <si>
    <t>Manganese Di Oxide(High Grade) Powder  70 %</t>
  </si>
  <si>
    <t xml:space="preserve">Manganese Di Oxide  (low grade) Powder </t>
  </si>
  <si>
    <t>20.05.2024</t>
  </si>
  <si>
    <t xml:space="preserve">Manganese Di Oxide  (low grade) Gravels </t>
  </si>
  <si>
    <t xml:space="preserve">Magnesium Carbonate  light </t>
  </si>
  <si>
    <t>Advance Chem</t>
  </si>
  <si>
    <t>21.09.2023</t>
  </si>
  <si>
    <t>Magnesium Carbonate Heavy BP (50 Kg HDPE  bags with liners)</t>
  </si>
  <si>
    <t>Rishi Chemical Works Pvt. Ltd.</t>
  </si>
  <si>
    <t>162/-</t>
  </si>
  <si>
    <t>Manganese Carbonate</t>
  </si>
  <si>
    <t>28-10-2020</t>
  </si>
  <si>
    <t>Magnesium Oxide(China)</t>
  </si>
  <si>
    <t>05.11.2024</t>
  </si>
  <si>
    <t>Magnesium Sulphate (Crystal boro dana salam)</t>
  </si>
  <si>
    <t>19.50/-</t>
  </si>
  <si>
    <t>24.01.2026</t>
  </si>
  <si>
    <t>Magnesium Sulphate (Crystal choto dana salam)</t>
  </si>
  <si>
    <t>Magnesium Sulphate (Mota Dana)</t>
  </si>
  <si>
    <t>Magnesium Sulphate(Mixed  Dust Local Make)</t>
  </si>
  <si>
    <t>06.11.2025</t>
  </si>
  <si>
    <t>Magnesium Sulphate(Mixed Local Make) 25 Ton</t>
  </si>
  <si>
    <t>19.04.2024</t>
  </si>
  <si>
    <t>Methanol (Liquid )</t>
  </si>
  <si>
    <t>22.09.2020 (b.j)</t>
  </si>
  <si>
    <t xml:space="preserve">Maltodextrin Powder   25 kg Bag </t>
  </si>
  <si>
    <t>50/-(Roquette)</t>
  </si>
  <si>
    <t>23.04.2025</t>
  </si>
  <si>
    <t>45/- (Gulshin )</t>
  </si>
  <si>
    <t>01.05.2023</t>
  </si>
  <si>
    <t>47/-(Ambuja)</t>
  </si>
  <si>
    <t>50/-(parmesu)</t>
  </si>
  <si>
    <t>24.06.2024</t>
  </si>
  <si>
    <t>Malic Acid 25kgs</t>
  </si>
  <si>
    <t>186/- Delhi</t>
  </si>
  <si>
    <t>K C Dang (1530Bag)</t>
  </si>
  <si>
    <t>Ambuja/ Lion 30/-</t>
  </si>
  <si>
    <t>18.11.2025</t>
  </si>
  <si>
    <t xml:space="preserve">Maize Starch   50 Kg Bag </t>
  </si>
  <si>
    <t>K C Dang (1460 Bag)</t>
  </si>
  <si>
    <t>Sukjit Brand 29.20/-</t>
  </si>
  <si>
    <t>31.01.2026</t>
  </si>
  <si>
    <t>14
(Off White)</t>
  </si>
  <si>
    <t>methanol /Ethanol /solvent same 200 ltr drum normal  grade</t>
  </si>
  <si>
    <t>35/- per ltr</t>
  </si>
  <si>
    <t>methanol /Ethanol /solvent same 200 ltr drum high grade</t>
  </si>
  <si>
    <t>40/- per ltr</t>
  </si>
  <si>
    <t>1798/- Bag (Sukjit)                                                          1783/- Bag (Lion Brand)</t>
  </si>
  <si>
    <t>METHACRYLIC ACID</t>
  </si>
  <si>
    <t>139
(Nippon Japan)</t>
  </si>
  <si>
    <t>18-09-2020</t>
  </si>
  <si>
    <t>Met Coke (Mixed)</t>
  </si>
  <si>
    <t>12.5 (low ash 8-25mm)
15.5 (low ash 12-25mm)</t>
  </si>
  <si>
    <t xml:space="preserve">Mica Powder </t>
  </si>
  <si>
    <t xml:space="preserve">5/-old                                                    6/- new material </t>
  </si>
  <si>
    <t>23.11.2023                02.04.2024</t>
  </si>
  <si>
    <t>Mica Powder  25 kg packing Goldren colour</t>
  </si>
  <si>
    <t>18.04.2025</t>
  </si>
  <si>
    <t>Micro Crystalline Wax (Multi Wax W445 USA Cosmatics Grade)</t>
  </si>
  <si>
    <t>Binani Wax Udyog</t>
  </si>
  <si>
    <t>650/- (25 Kg Packing )</t>
  </si>
  <si>
    <t>Micro Crystalline Wax (Yellow  Industrial Grade)</t>
  </si>
  <si>
    <t>Micro Crystalline Wax(White Industrial Grade)</t>
  </si>
  <si>
    <t>225
(Grade - ACRA 480 24 Kg carton box)
250
(Grade - CEPSA 725D 25 Kg carton box)</t>
  </si>
  <si>
    <t>14-09-2020</t>
  </si>
  <si>
    <t>Marble Chips (4-5mm)</t>
  </si>
  <si>
    <t>13.01.2024</t>
  </si>
  <si>
    <t>Morpholine 200 kg Drum (China)</t>
  </si>
  <si>
    <t xml:space="preserve">Aditya Comm </t>
  </si>
  <si>
    <t>200/-</t>
  </si>
  <si>
    <t>13.09.2024</t>
  </si>
  <si>
    <t>Morpholine 200 kg Drum (Germany)</t>
  </si>
  <si>
    <t>205/-</t>
  </si>
  <si>
    <t>04.11.2023</t>
  </si>
  <si>
    <t>Moleculer Silves   13X   25Kg</t>
  </si>
  <si>
    <t>255/-</t>
  </si>
  <si>
    <t>26.06.2025</t>
  </si>
  <si>
    <t xml:space="preserve">Mono sodium Glutamate/ Ajinomoto (Goldren crown) 25 kg packing under 500 gm /1 kg pouch </t>
  </si>
  <si>
    <t xml:space="preserve">Gourav Marketing </t>
  </si>
  <si>
    <t>164/-</t>
  </si>
  <si>
    <t>26/08/2024</t>
  </si>
  <si>
    <t>Mohit 9831742452</t>
  </si>
  <si>
    <t xml:space="preserve">225/-Including GST </t>
  </si>
  <si>
    <t>12.04.2024</t>
  </si>
  <si>
    <t>30-09-2020</t>
  </si>
  <si>
    <t>Mono sodium Glutamate/ Ajinomoto (Sufan brand 25 kg bag packing)</t>
  </si>
  <si>
    <t>Mono sodium Glutamate/ Ajinomoto (China Make 25 kg bag packing)</t>
  </si>
  <si>
    <t xml:space="preserve">Malt Extract </t>
  </si>
  <si>
    <t>15 (Powder)
9.5 (Lumps)</t>
  </si>
  <si>
    <t>Nitric Acid 69%  50 kg Drum</t>
  </si>
  <si>
    <t>SHALIMAR CHEM INDIA PVT LTD</t>
  </si>
  <si>
    <t>55/-(Including jar)+ gst</t>
  </si>
  <si>
    <t xml:space="preserve">Nitric Acid 59%  50 kg drum </t>
  </si>
  <si>
    <t>42/-(Including Jar)+gst</t>
  </si>
  <si>
    <t xml:space="preserve">                                              </t>
  </si>
  <si>
    <t xml:space="preserve">Nitric Acid 45% </t>
  </si>
  <si>
    <t xml:space="preserve">Nitric Acid 59%  200 kg drum </t>
  </si>
  <si>
    <t>Maa Bindwashni Chemicals</t>
  </si>
  <si>
    <t>48/-+1000 drum charge+ GST</t>
  </si>
  <si>
    <t xml:space="preserve">48/-+ 300 drum charges +GST </t>
  </si>
  <si>
    <t xml:space="preserve">Nitrobenzene   250 Kg Drum </t>
  </si>
  <si>
    <t xml:space="preserve">Aditya Comm                                                            S J Chem </t>
  </si>
  <si>
    <t>115/-                                                         167/-</t>
  </si>
  <si>
    <t>01.01.2026                                                   22.09.2022</t>
  </si>
  <si>
    <t xml:space="preserve">Naptha </t>
  </si>
  <si>
    <t>22.06.2023</t>
  </si>
  <si>
    <t>Non Ferric Alum powder</t>
  </si>
  <si>
    <t>ICS Chemical</t>
  </si>
  <si>
    <t>05.09.2024</t>
  </si>
  <si>
    <t>Non Ferric Alum powder (Alumina Contant 16.5% ,Mash 100-120%)</t>
  </si>
  <si>
    <t xml:space="preserve">V S Corporation </t>
  </si>
  <si>
    <t>23.12.2025</t>
  </si>
  <si>
    <t>Rakshit Chem (Chandan Nagar)</t>
  </si>
  <si>
    <t>25.04.2023</t>
  </si>
  <si>
    <t>Ortho Phosphoric Acid (Taiwan Impoted)</t>
  </si>
  <si>
    <t xml:space="preserve">AVM SALES </t>
  </si>
  <si>
    <t>06.01.2024</t>
  </si>
  <si>
    <t xml:space="preserve">Dhulagarh </t>
  </si>
  <si>
    <t>98/-(22-12)</t>
  </si>
  <si>
    <t>Ortho Phosphoric Acid food grade  GACL</t>
  </si>
  <si>
    <t>07.02.2025</t>
  </si>
  <si>
    <t>Oxygen tablet</t>
  </si>
  <si>
    <t>147/-, 128/- granules.</t>
  </si>
  <si>
    <t xml:space="preserve">Oxalic Acid(Non Crystal )Radient Make </t>
  </si>
  <si>
    <t>01.08.2023</t>
  </si>
  <si>
    <t xml:space="preserve">Oxalic Acid(Non Crystal )Radient Make  50 kg packing </t>
  </si>
  <si>
    <t xml:space="preserve">Oxalic Acid(Non Crystal )China Make 50 kg packing </t>
  </si>
  <si>
    <t>Paraffin Wax Fully Refind Slab (NRL)                                                                                                                                                   Paraffin Wax Fully Refind Slab (IOCL)</t>
  </si>
  <si>
    <t xml:space="preserve">Binani Wax </t>
  </si>
  <si>
    <t>115/-                                                                                                                                                                      121/-</t>
  </si>
  <si>
    <t>23.03.2023                                                                                                                                                                                                 20.12.2023</t>
  </si>
  <si>
    <t>92
(Refined NRL Brand Including GST 25 Kg)
69
(Semi refined  175 Kg)</t>
  </si>
  <si>
    <t>21-12-2020</t>
  </si>
  <si>
    <t>72
(Refined NRL Brand)
56
(Semi refined Iran)</t>
  </si>
  <si>
    <t>18-08-2020</t>
  </si>
  <si>
    <t>Paraffin Wax Fully Refind Dana  (IOCL)</t>
  </si>
  <si>
    <t xml:space="preserve">132/-Including GST </t>
  </si>
  <si>
    <t>30.12.2023</t>
  </si>
  <si>
    <t>Light Liquid Paraffin(IOCL)</t>
  </si>
  <si>
    <t>@66/-(24/2)</t>
  </si>
  <si>
    <t>Peacock Blue</t>
  </si>
  <si>
    <t xml:space="preserve">Pine Oil  32 %  200 ltr Drum Our Godown delivery Price </t>
  </si>
  <si>
    <t>Peekay Agencies Pvt Ltd</t>
  </si>
  <si>
    <t>Pine Oil 32% (200 ltr Drum)</t>
  </si>
  <si>
    <t>Universal Sales Corporation</t>
  </si>
  <si>
    <t>156/-</t>
  </si>
  <si>
    <t>26.04.2025</t>
  </si>
  <si>
    <t>Pine Oil 32% (50 ltr Drum)</t>
  </si>
  <si>
    <t xml:space="preserve">Pine Oil 22% </t>
  </si>
  <si>
    <t>11.07.2025</t>
  </si>
  <si>
    <t>03.04.2025</t>
  </si>
  <si>
    <t xml:space="preserve">Pine Oil 32% </t>
  </si>
  <si>
    <t>146/-</t>
  </si>
  <si>
    <t>118/-(XXX Brand)</t>
  </si>
  <si>
    <t>Phosphoric Acid (Aditya Birla)</t>
  </si>
  <si>
    <t>AVM Sales</t>
  </si>
  <si>
    <t>102/-+</t>
  </si>
  <si>
    <t>10.04.2025</t>
  </si>
  <si>
    <t xml:space="preserve">Potassium humate Super </t>
  </si>
  <si>
    <t xml:space="preserve">94/- </t>
  </si>
  <si>
    <t>Phosphoric Acid (Food Grade)   Swarasati Complex (Bankra)</t>
  </si>
  <si>
    <t>108/-(Vietnam)</t>
  </si>
  <si>
    <t xml:space="preserve">Phosphoric Acid (Technical Grade)  50 KG packing </t>
  </si>
  <si>
    <t>Rajdoot Specialities Ltd.</t>
  </si>
  <si>
    <t>99/-(GACL)</t>
  </si>
  <si>
    <t>Phosphoric Acid (Technical Grade)</t>
  </si>
  <si>
    <t>103/-(Adityabirla)</t>
  </si>
  <si>
    <t>99/- (Taiwan)</t>
  </si>
  <si>
    <t>Phosphoric Acid (Industrial Grade)</t>
  </si>
  <si>
    <t>Pharmachem Traders</t>
  </si>
  <si>
    <t>140/-(Nirma)</t>
  </si>
  <si>
    <t>68/-(Gujarat)</t>
  </si>
  <si>
    <t>122/-(China)</t>
  </si>
  <si>
    <t xml:space="preserve">Potassium Silicate Powder  25 kg Bag packing </t>
  </si>
  <si>
    <t xml:space="preserve">Shree Saibaba Chemical Industries </t>
  </si>
  <si>
    <t>175/-(Ankaleswar)</t>
  </si>
  <si>
    <t>05.07.2024</t>
  </si>
  <si>
    <t>Poly Aluminium Chloride (Powder) Grasim brand  25 Kg Bag</t>
  </si>
  <si>
    <t>Rakshit &amp; Co</t>
  </si>
  <si>
    <t>38/-+</t>
  </si>
  <si>
    <t>23.08.2023</t>
  </si>
  <si>
    <t xml:space="preserve">Chandan Nagar </t>
  </si>
  <si>
    <t>Poly Aluminium Chloride (Powder) GACL  25 Kg Bag</t>
  </si>
  <si>
    <t>26.10.22</t>
  </si>
  <si>
    <t>Poly Aluminium Chloride (Powder) For Water Treatment</t>
  </si>
  <si>
    <t xml:space="preserve">Arun Chemicals                               Tide Sales </t>
  </si>
  <si>
    <t>36/-                                             32/-</t>
  </si>
  <si>
    <t>13.09.2022                          24.11.2025</t>
  </si>
  <si>
    <t xml:space="preserve">Poly Aluminium Chloride (Liquid)   250 kg Drum </t>
  </si>
  <si>
    <t xml:space="preserve">Arun Chemicals </t>
  </si>
  <si>
    <t xml:space="preserve">Poly Aluminium Chloride (Liquid)  16 %  250 kg Drum </t>
  </si>
  <si>
    <t xml:space="preserve">12.50/-                                              13/- </t>
  </si>
  <si>
    <t>poly vinyl acetate</t>
  </si>
  <si>
    <t>Poly Electrolyte Anionic</t>
  </si>
  <si>
    <t>190/-Kg(s) Ex Delhi</t>
  </si>
  <si>
    <t>Poly Phosphoric Acid</t>
  </si>
  <si>
    <t>8.54/-</t>
  </si>
  <si>
    <t xml:space="preserve">Polyvinyl Alcohol (20 Kg Bag Packing) Cold </t>
  </si>
  <si>
    <t>27.01.2024</t>
  </si>
  <si>
    <t>Polyvinyl Alcohol (20 Kg Bag Packing) BF-17E</t>
  </si>
  <si>
    <t>Polyvinyl Alcohol (20 Kg Bag Packing) Hot  1799</t>
  </si>
  <si>
    <t>225/-( Mongolia)</t>
  </si>
  <si>
    <t>12.07.2024</t>
  </si>
  <si>
    <t>Polyvinyl Alcohol (20 Kg Bag Cold BP20) China Make</t>
  </si>
  <si>
    <t>19.02.2026</t>
  </si>
  <si>
    <t xml:space="preserve">PEG4000 Flakes (Indian Glycol) </t>
  </si>
  <si>
    <t>S.J.Chem</t>
  </si>
  <si>
    <t>162/-(25kg. packing)</t>
  </si>
  <si>
    <t>18.08.2023</t>
  </si>
  <si>
    <t>PEG 400 Liquid 230 kg drum (Clariant IGL)</t>
  </si>
  <si>
    <t>17.08.2023</t>
  </si>
  <si>
    <t>PEG 400 Liquid 55 kg drum (Clariant IGL)</t>
  </si>
  <si>
    <t xml:space="preserve">STDM Foods </t>
  </si>
  <si>
    <t>85/-EX-Indore (Vispocity 1000 view)Modified</t>
  </si>
  <si>
    <t>19.06.2024</t>
  </si>
  <si>
    <t>45/-EX-Indore (Vispocity 800 view)Non modified</t>
  </si>
  <si>
    <t>01.07.2023</t>
  </si>
  <si>
    <t>21-01-2021</t>
  </si>
  <si>
    <t xml:space="preserve">Pectin Powder </t>
  </si>
  <si>
    <t>1000/-</t>
  </si>
  <si>
    <t>Polymer</t>
  </si>
  <si>
    <t>Propylene Glycol</t>
  </si>
  <si>
    <t xml:space="preserve">Drug Chem </t>
  </si>
  <si>
    <t xml:space="preserve">200/-+gst with Drum                        194/- +gst with out drum </t>
  </si>
  <si>
    <t>25.09.2025</t>
  </si>
  <si>
    <t>182/-Dow (Imported) Industrial Grade</t>
  </si>
  <si>
    <t xml:space="preserve">potassium alginate food grade 25 kg drum packing </t>
  </si>
  <si>
    <t>SRK</t>
  </si>
  <si>
    <t>2100/-</t>
  </si>
  <si>
    <t>07.08.2023</t>
  </si>
  <si>
    <t>Potassium Chloride 98%</t>
  </si>
  <si>
    <t>32/-(Ex-Gujarat)</t>
  </si>
  <si>
    <t xml:space="preserve">Shark Chemical </t>
  </si>
  <si>
    <t>31.50/-</t>
  </si>
  <si>
    <t>09.02.2024</t>
  </si>
  <si>
    <t>Sale P- 45/-</t>
  </si>
  <si>
    <t>Potassium Chloride 80%</t>
  </si>
  <si>
    <t>Sale P- 40/-</t>
  </si>
  <si>
    <t>16-10-2020</t>
  </si>
  <si>
    <t xml:space="preserve">Potassium Hydroxide Flakes(Coustic Potash) rayalseema 25 Kg Bag  Indian make </t>
  </si>
  <si>
    <t>04.11.2025</t>
  </si>
  <si>
    <t>Potassium Hydroxide</t>
  </si>
  <si>
    <t>VISHNU TRADE CENTRE     50 Kg Packing (Raisina Brand)</t>
  </si>
  <si>
    <t>158/-</t>
  </si>
  <si>
    <t>70/- 14.12</t>
  </si>
  <si>
    <t>Potassium Bitartrate (Cream Of Tartar)</t>
  </si>
  <si>
    <t>14-01-2021</t>
  </si>
  <si>
    <t>Potassium Carbonate ( 22 kg Packing) USA</t>
  </si>
  <si>
    <t>10.06.2023</t>
  </si>
  <si>
    <t>Potassium Bicarbonate</t>
  </si>
  <si>
    <t>Potassium Hydroxide (Caustic Potash)</t>
  </si>
  <si>
    <t>79/-(Rayal seema)</t>
  </si>
  <si>
    <t>14.09.2024</t>
  </si>
  <si>
    <t>Potassium Dihydrogen Phosphate (Cas No. - 7778-77-0)</t>
  </si>
  <si>
    <t xml:space="preserve">Polyelacholyte (Liquid)  50kg packing </t>
  </si>
  <si>
    <t>75/-(Without Bill or Bill 85/-)</t>
  </si>
  <si>
    <t>15.09.2023</t>
  </si>
  <si>
    <t>Polyelacholyte (Low Grade) Reshib Anionic</t>
  </si>
  <si>
    <t>26.05.2025</t>
  </si>
  <si>
    <t>Polyelacholyte (Medium  Grade) amionic</t>
  </si>
  <si>
    <t xml:space="preserve">Polyelacholyte (High Grade)Reshib amionic </t>
  </si>
  <si>
    <t>29.05.2024</t>
  </si>
  <si>
    <t xml:space="preserve">Polyelacholyte (High Grade)Reshib cationic </t>
  </si>
  <si>
    <t>325/-</t>
  </si>
  <si>
    <t>04.12.2024</t>
  </si>
  <si>
    <t xml:space="preserve">Polyelacholyte (low Grade)Reshib cationic </t>
  </si>
  <si>
    <t>Potassium Permanganate (Powder Organic Brand)  50 KG Drum Packing   Star Brand</t>
  </si>
  <si>
    <t>168/-</t>
  </si>
  <si>
    <t>15.04.2025</t>
  </si>
  <si>
    <t>Potassium Permanganate (Medium Crystal Organic Brand) Star Brand</t>
  </si>
  <si>
    <t>184/-</t>
  </si>
  <si>
    <t>Potassium Permanganate (Gold Crystal Organic Brand) Star Brand</t>
  </si>
  <si>
    <t>30.11.2023</t>
  </si>
  <si>
    <t>Potassium Permanganate (Crystal Organic Brand)</t>
  </si>
  <si>
    <t>300/-(Ex-Dhulagarh)</t>
  </si>
  <si>
    <t>Potassium Permanganate (Powder Organic Brand)</t>
  </si>
  <si>
    <t>190/-(Ex-Dhulagarh)</t>
  </si>
  <si>
    <t>P.P. powder form-175/- per kg</t>
  </si>
  <si>
    <t>Rajdoot speci.</t>
  </si>
  <si>
    <t>145 (Granular)
165 (Crystal Size 3to 4 mm)
175 (Bold crystal)
195 (Size 6to7mm)</t>
  </si>
  <si>
    <t>17-11-2020</t>
  </si>
  <si>
    <t>Potassium Sorbate  25kg cartoon</t>
  </si>
  <si>
    <t>Arham Chem</t>
  </si>
  <si>
    <t>04.02.2026</t>
  </si>
  <si>
    <t>Potassium Sulphate</t>
  </si>
  <si>
    <t>precipitated calcium carbonate</t>
  </si>
  <si>
    <t>Shri Shyam Chemical</t>
  </si>
  <si>
    <t>08.09.2023</t>
  </si>
  <si>
    <t xml:space="preserve">Precipitated Silica Powder </t>
  </si>
  <si>
    <t>Shiv Silica</t>
  </si>
  <si>
    <t>76/-(Ex Ankleshwar)</t>
  </si>
  <si>
    <t>Quartz Sand (8-10mm)</t>
  </si>
  <si>
    <t>Quartz Powder/Silica Powder (300 mess)</t>
  </si>
  <si>
    <t>Quick Lime Lumps 70 %  40 kg packing</t>
  </si>
  <si>
    <t>Mastu Lime</t>
  </si>
  <si>
    <t xml:space="preserve">12/- Double Packing </t>
  </si>
  <si>
    <t>07.05.2025</t>
  </si>
  <si>
    <t xml:space="preserve">Quick Lime Powder </t>
  </si>
  <si>
    <t>8.20/-</t>
  </si>
  <si>
    <t>08.01.2018</t>
  </si>
  <si>
    <t xml:space="preserve">Quick Lime    </t>
  </si>
  <si>
    <t>Karnani Minerals Private Limited</t>
  </si>
  <si>
    <t>12/- (With Loading)</t>
  </si>
  <si>
    <t>Quartz Powder (16-30)</t>
  </si>
  <si>
    <t>Quartz Powder (80-100)</t>
  </si>
  <si>
    <t>Quartz Powder (500 Mess)</t>
  </si>
  <si>
    <t>Quartz Powder (200 Mess)</t>
  </si>
  <si>
    <t>08.05.2024</t>
  </si>
  <si>
    <t>Quartz Powder (250 Mess)</t>
  </si>
  <si>
    <t>Quartz Powder(AIR Double Packing)</t>
  </si>
  <si>
    <t>Quartz Powder (300 Mess) Double Packing</t>
  </si>
  <si>
    <t>Quick Lime For Drinking Water</t>
  </si>
  <si>
    <t xml:space="preserve">Matsu Lime </t>
  </si>
  <si>
    <t>Quartz Silica Sand  16-30</t>
  </si>
  <si>
    <t>10.12.2024</t>
  </si>
  <si>
    <t>2.8
(Ex Ramgarh)</t>
  </si>
  <si>
    <t>Rab Salabat (Molasses)</t>
  </si>
  <si>
    <t>Satyanarayan Ramakant</t>
  </si>
  <si>
    <t>21.52/-</t>
  </si>
  <si>
    <t>20-08-2020</t>
  </si>
  <si>
    <t>9.5 (93%)
(Iran Imported)</t>
  </si>
  <si>
    <t xml:space="preserve">Ramming Mass Silica </t>
  </si>
  <si>
    <t>Rubber Granules</t>
  </si>
  <si>
    <t>31.01.2020</t>
  </si>
  <si>
    <t>13-08-2020</t>
  </si>
  <si>
    <t>Refined Glycerin</t>
  </si>
  <si>
    <t xml:space="preserve">Red Oxide Powder </t>
  </si>
  <si>
    <t>16-08-2020</t>
  </si>
  <si>
    <t xml:space="preserve">Seaweed Powder </t>
  </si>
  <si>
    <t xml:space="preserve">Jagrit Chemical </t>
  </si>
  <si>
    <t>08.02.2023</t>
  </si>
  <si>
    <t>Salt  (Free Flow)</t>
  </si>
  <si>
    <t xml:space="preserve">Salt (Boro Dana 10-15 mm) Industrial Use </t>
  </si>
  <si>
    <t xml:space="preserve">Krishna International </t>
  </si>
  <si>
    <t xml:space="preserve">4.50/- Ex -party godown                              4.80/- Delivery our godown </t>
  </si>
  <si>
    <t>01.06.2023</t>
  </si>
  <si>
    <t>Salt (Boro dana) Use cattle feed</t>
  </si>
  <si>
    <t>Salt ( Crystal )</t>
  </si>
  <si>
    <t>4.71/-</t>
  </si>
  <si>
    <t>Silica Sand 5 mm</t>
  </si>
  <si>
    <t>Silica Sand(8-16)</t>
  </si>
  <si>
    <t>Sarla Overseas</t>
  </si>
  <si>
    <t>4.65/-(new bag packing for)</t>
  </si>
  <si>
    <t>Silica Sand(12-24)</t>
  </si>
  <si>
    <t>4.90/-(new bag packing for)</t>
  </si>
  <si>
    <t>Silica Sand 30-80</t>
  </si>
  <si>
    <t>K G</t>
  </si>
  <si>
    <t>24.01.2024</t>
  </si>
  <si>
    <t>Silica Sand 80-100</t>
  </si>
  <si>
    <t>Silica Sand 16-30</t>
  </si>
  <si>
    <t>Siliminate Sand</t>
  </si>
  <si>
    <t>Silica Powder (200 Mess)</t>
  </si>
  <si>
    <t>16.10.2023</t>
  </si>
  <si>
    <t>11.06.2021</t>
  </si>
  <si>
    <t xml:space="preserve">SILICA WASAKE GEL 1grm pouch </t>
  </si>
  <si>
    <t>00.45/-paisa per pcs</t>
  </si>
  <si>
    <t>10.07.2024</t>
  </si>
  <si>
    <t xml:space="preserve">Silica Gel Powder (40-200 Mesh Size) 25 kg </t>
  </si>
  <si>
    <t>24.05.2024</t>
  </si>
  <si>
    <t>Silica Gel Orange (3-5 mm)</t>
  </si>
  <si>
    <t xml:space="preserve">Silica Gel Blue  </t>
  </si>
  <si>
    <t>Silica Jel Blue-10-12mm</t>
  </si>
  <si>
    <t>Silica Gel Blue (9-12 mm)</t>
  </si>
  <si>
    <t>23.06.2023</t>
  </si>
  <si>
    <t xml:space="preserve">Silica Gel(Blue 6-12 mm )500 gram plastic pouch packing </t>
  </si>
  <si>
    <t>26.06.2024</t>
  </si>
  <si>
    <t xml:space="preserve">Silica Gel(Blue 6-12 mm )500 gram Fabric  pouch packing </t>
  </si>
  <si>
    <t>153/-</t>
  </si>
  <si>
    <t>Silica Gel Blue (5-8 mm)</t>
  </si>
  <si>
    <t>Silica Gel Blue (4-8 mm)  Crystal  25 kg HDPE Bag</t>
  </si>
  <si>
    <t>19.12.2024</t>
  </si>
  <si>
    <t>Silica Gel Blue (4-6mm)  Crystal  25 kg HDPE Bag</t>
  </si>
  <si>
    <t xml:space="preserve">Silica Gel WHITE  (2-5 mm)  Round shape 25 kg HDPE Bag </t>
  </si>
  <si>
    <t>120/-</t>
  </si>
  <si>
    <t>29.12.2023</t>
  </si>
  <si>
    <t xml:space="preserve">Silica Gel white 1 kg Hanging </t>
  </si>
  <si>
    <t>White Silica Gel(6-12mm)</t>
  </si>
  <si>
    <t>03.08.2024</t>
  </si>
  <si>
    <t xml:space="preserve">Silica Gel WHITE  (4-8 mm)  Crystal  25 kg HDPE Bag </t>
  </si>
  <si>
    <t>03.05.2024</t>
  </si>
  <si>
    <t>SILICA GEL (50 gm Pouch), SIZE: 8-10mm</t>
  </si>
  <si>
    <t>14.06.2024</t>
  </si>
  <si>
    <t>Silica Gel Blue (3-4 mm)</t>
  </si>
  <si>
    <t>125
(5-7 mm)</t>
  </si>
  <si>
    <t>21-10-2020</t>
  </si>
  <si>
    <t>90 (3-6 mm)
95 (4-10 mm)</t>
  </si>
  <si>
    <t xml:space="preserve">Silica Gel Blue (2-5 mm) Crystal </t>
  </si>
  <si>
    <t>22.05.2024</t>
  </si>
  <si>
    <t xml:space="preserve">Silica Gel Blue (Big Size) 20 kg bag packing </t>
  </si>
  <si>
    <t xml:space="preserve">Radiant </t>
  </si>
  <si>
    <t>20.12.2022</t>
  </si>
  <si>
    <t>Silica Gel White 250 Gm</t>
  </si>
  <si>
    <t>106/-</t>
  </si>
  <si>
    <t>22.11.2024</t>
  </si>
  <si>
    <t>Silica Gel White 100 Gm</t>
  </si>
  <si>
    <t>97/-</t>
  </si>
  <si>
    <t>Silica Gel  White 25 Grm Pouch</t>
  </si>
  <si>
    <t>Silica Gel  White 50 Grm Pouch</t>
  </si>
  <si>
    <t>Silica Gel White (10 Gram)</t>
  </si>
  <si>
    <t>30.01.2022</t>
  </si>
  <si>
    <t>Silica Gel White(2 Gm)</t>
  </si>
  <si>
    <t>06.09.2022</t>
  </si>
  <si>
    <t>Silica Gel White (5-8 mm)</t>
  </si>
  <si>
    <t>Silica Gel White (6-12 mm)</t>
  </si>
  <si>
    <t>Silica Gel White (5 Gram)</t>
  </si>
  <si>
    <t xml:space="preserve">Silica Gel Blue 6 - 8 mm. </t>
  </si>
  <si>
    <t>24.04.2025</t>
  </si>
  <si>
    <t>Silica Gel White 1 Gram</t>
  </si>
  <si>
    <t>155/-</t>
  </si>
  <si>
    <t>28.07.2025</t>
  </si>
  <si>
    <t>SLES Liquid  225 Kg Drum (Godraj Pest form)   70 %</t>
  </si>
  <si>
    <t>SLES Liquid  50 Kg Drum (Godraj)   28% Patla</t>
  </si>
  <si>
    <t>62/-ex Cossipore</t>
  </si>
  <si>
    <t xml:space="preserve">SLES Liquid  235 Kg Drum (Godraj)   28% Mota </t>
  </si>
  <si>
    <t>72/- ex cossipore</t>
  </si>
  <si>
    <t>06.01.2025</t>
  </si>
  <si>
    <t>SLES Liquid  235 Kg Drum (Godraj)   28% patla</t>
  </si>
  <si>
    <t xml:space="preserve">63/-cossipore </t>
  </si>
  <si>
    <t xml:space="preserve">SLES Liquid  50 Kg Drum (Godraj)   28% Mota </t>
  </si>
  <si>
    <t>68/-ex cossipore</t>
  </si>
  <si>
    <t xml:space="preserve">SLES Liquid  50 Kg Drum (Indian Gylcol)   28% Mota </t>
  </si>
  <si>
    <t xml:space="preserve">59/- Ex-Cossipore </t>
  </si>
  <si>
    <t>21.06.2024</t>
  </si>
  <si>
    <t xml:space="preserve">SLES Liquid  50 Kg Drum </t>
  </si>
  <si>
    <t>ARK Chemical</t>
  </si>
  <si>
    <t>Soap</t>
  </si>
  <si>
    <t>21.10.2019</t>
  </si>
  <si>
    <t>110 (Transparent)
130 (Glycerin)</t>
  </si>
  <si>
    <t>Soap Noodles (White)</t>
  </si>
  <si>
    <t xml:space="preserve">Swan International </t>
  </si>
  <si>
    <t>121/-</t>
  </si>
  <si>
    <t>05.12.2024</t>
  </si>
  <si>
    <t>63
(Snow white)
55
(Swing off white)</t>
  </si>
  <si>
    <t>Sodium Carbonate(Soda Ash) TATA</t>
  </si>
  <si>
    <t>29/-(1450/-)</t>
  </si>
  <si>
    <t>30.05.2025</t>
  </si>
  <si>
    <t>Soda Ash (Light) sodium bicarbonate  food grade</t>
  </si>
  <si>
    <t>china 29+
nirma 32+
tata 36+                                                                28.80/- solvay</t>
  </si>
  <si>
    <t>Soda Ash (Light)</t>
  </si>
  <si>
    <t>40.3/-(TATA) 41.8/-(Solvey) Nirma-47.50/-</t>
  </si>
  <si>
    <t>04.02.2023                                    04.02.2023                    05.07.2022</t>
  </si>
  <si>
    <t>21/- solvay dt. 14.12</t>
  </si>
  <si>
    <t>23
(TATA)</t>
  </si>
  <si>
    <t>16
(Imported)</t>
  </si>
  <si>
    <t>25-07-2020</t>
  </si>
  <si>
    <t>Soda Ash (Light) Wasing   50 kg packing</t>
  </si>
  <si>
    <t>1300/- per bag TATA  (26/- per kg)</t>
  </si>
  <si>
    <t>29.10.2025</t>
  </si>
  <si>
    <t>Soda Ash (Light)  TATA  50 kg packing</t>
  </si>
  <si>
    <t>VIP</t>
  </si>
  <si>
    <t>27.80-(1390/- BAG)</t>
  </si>
  <si>
    <t>12.04.2025</t>
  </si>
  <si>
    <t>VIP (GACL)</t>
  </si>
  <si>
    <t>39.60/-</t>
  </si>
  <si>
    <t>20.03.2023</t>
  </si>
  <si>
    <t>VIP (Solvay)</t>
  </si>
  <si>
    <t>06.12.2023</t>
  </si>
  <si>
    <t>Soda Ash (Dense)   50 kg packing</t>
  </si>
  <si>
    <t>vip chem</t>
  </si>
  <si>
    <t>Vip Chem</t>
  </si>
  <si>
    <t>30/-(GHCL)</t>
  </si>
  <si>
    <t>20.03.2024</t>
  </si>
  <si>
    <t>Adity comm</t>
  </si>
  <si>
    <t>36/-(TATA)</t>
  </si>
  <si>
    <t>Sodium Borohydride</t>
  </si>
  <si>
    <t>Silicon Carbide   (Mess Size 80-150)</t>
  </si>
  <si>
    <t>Indian Abrasives</t>
  </si>
  <si>
    <t>80/-(Haryana)</t>
  </si>
  <si>
    <t>102/-</t>
  </si>
  <si>
    <t>21.08.2017</t>
  </si>
  <si>
    <t xml:space="preserve">Sodium Alginate (Taxtile Grade White Powder)   25 Kg Bag Packing                                                      Sodium Alginate (Taxtile Grade Brown Powder ) 25 Kg Bag Packing </t>
  </si>
  <si>
    <t xml:space="preserve">SRK Enterprise </t>
  </si>
  <si>
    <t>350/-                                                       250/-</t>
  </si>
  <si>
    <t>30.04.2024</t>
  </si>
  <si>
    <t xml:space="preserve">Sodium Alginate(Food Grade White Powder) 25 Kg Bag Packing </t>
  </si>
  <si>
    <t>1500/-</t>
  </si>
  <si>
    <t xml:space="preserve">Sodium Benzoate  99.9 % Purity IP Grade  25 kg bag </t>
  </si>
  <si>
    <t>Advance Chemical</t>
  </si>
  <si>
    <t>19.06.2025</t>
  </si>
  <si>
    <t>SODIUM BICARBONATE 25 kg packing</t>
  </si>
  <si>
    <t>32/- Tachnical grade                        36/- Feed Grade</t>
  </si>
  <si>
    <t>31.01.2024</t>
  </si>
  <si>
    <t>Khiddirpore</t>
  </si>
  <si>
    <t xml:space="preserve">Sodium Bi Carbonate (Backing soda) </t>
  </si>
  <si>
    <t xml:space="preserve">975/-Bag (Nirma  25 kg bag )                                                                        2150/-bag TATA  50kg Bag                                   </t>
  </si>
  <si>
    <t>SODIUM BICARBONATE (Food Grade) 50kg packing</t>
  </si>
  <si>
    <t>33/-China                                                32/- Nirma(25 kg packing)</t>
  </si>
  <si>
    <t>15.11.2023                                       20.09.2024</t>
  </si>
  <si>
    <t>SODIUM BICARBONATE (Food Grade)</t>
  </si>
  <si>
    <t>Adiya Comm</t>
  </si>
  <si>
    <t xml:space="preserve">   37/-(TATA) 50 kg bag        -(SOLVEY)   50 kg bag                              33/- (Nirma) 25 kg bag </t>
  </si>
  <si>
    <t>Sodium Chloride(Salt)</t>
  </si>
  <si>
    <t>4.5/-</t>
  </si>
  <si>
    <t>17.05.2024</t>
  </si>
  <si>
    <t>17-08-2020</t>
  </si>
  <si>
    <t xml:space="preserve">Sodium Chlorite 80 % Purity  50 Kg Drum Packing </t>
  </si>
  <si>
    <t>GRK CHEMICALS (P) LTD</t>
  </si>
  <si>
    <t xml:space="preserve">Sodium chlorite 7.5% 50 kg plastic drum </t>
  </si>
  <si>
    <t>E-Chem</t>
  </si>
  <si>
    <t>20.11.2023</t>
  </si>
  <si>
    <t xml:space="preserve">Sodium Chlorite 50 % Purity  50 Kg Drum Packing    Shree chlorates
</t>
  </si>
  <si>
    <t xml:space="preserve">Sodium Chlorite 80 % Purity  50 Kg Drum Packing    Shree chlorates
</t>
  </si>
  <si>
    <t>Krishna Cinema</t>
  </si>
  <si>
    <t>Sodium Citrate  25kg bag</t>
  </si>
  <si>
    <t>30.05.2024</t>
  </si>
  <si>
    <t>Sodium Gluconate  25 kg Packing (China Make)</t>
  </si>
  <si>
    <t>MRK</t>
  </si>
  <si>
    <t>PERIWAL ENTERPRISES</t>
  </si>
  <si>
    <t>29.04.2023</t>
  </si>
  <si>
    <t>64
(China)</t>
  </si>
  <si>
    <t>Sodium Acetate (Camper Brand)</t>
  </si>
  <si>
    <t xml:space="preserve">sodium hypochlorite / Liquid Chlorine </t>
  </si>
  <si>
    <t xml:space="preserve">14/- </t>
  </si>
  <si>
    <t>09.05.2021</t>
  </si>
  <si>
    <t xml:space="preserve">Sodium Hypochlorite 6 % /Liquid Chlorine </t>
  </si>
  <si>
    <t>Soumya Enterprise</t>
  </si>
  <si>
    <t>13/-With Jar(8/-MATERIAL COST JAR 5/-)</t>
  </si>
  <si>
    <t>09.08.2024</t>
  </si>
  <si>
    <t xml:space="preserve">Sodium Hypochlorite 8 % /Liquid Chlorine </t>
  </si>
  <si>
    <t>15/- With Jar</t>
  </si>
  <si>
    <t>Sodium Hypochlorite 10 % /Liquid Chlorine  (50 LTR Jar)</t>
  </si>
  <si>
    <t xml:space="preserve">10/- Without Jar                                                                 14.50/- With Jar </t>
  </si>
  <si>
    <t>08.02.2025</t>
  </si>
  <si>
    <t>Sodium Hypochlorite 10 % /Liquid Chlorine  (200 LTR Jar)</t>
  </si>
  <si>
    <t xml:space="preserve">11/-Without Jar                                                                      17/- with Jar </t>
  </si>
  <si>
    <t>Sodium Hypochlorite 12.5 % /Liquid Chlorine  (200 LTR Jar)</t>
  </si>
  <si>
    <t>12/-without                                                                    17/- with jar</t>
  </si>
  <si>
    <t>11.04.2025</t>
  </si>
  <si>
    <t>Sodium Hypochlorite 12.5 % /Liquid Chlorine  (50 LTR Jar)</t>
  </si>
  <si>
    <t xml:space="preserve">Sodium Lauryl Ethyal Sulfate(SLES Godraj Brand) Liquid </t>
  </si>
  <si>
    <t xml:space="preserve">62/- Liquid </t>
  </si>
  <si>
    <t>13.09.2023</t>
  </si>
  <si>
    <t xml:space="preserve">Sodium Lauryl Ethyal Sulfate(SLES Godraj Brand) Halka 98 %  Powder    20 kg Packing </t>
  </si>
  <si>
    <t>345/-</t>
  </si>
  <si>
    <t>14.07.2025</t>
  </si>
  <si>
    <t xml:space="preserve">Sodium Lauryl Ethyal Sulfate(SLES Godraj Brand) Havvy 98 %  Powder    25 kg Packing </t>
  </si>
  <si>
    <t>15.12.2023</t>
  </si>
  <si>
    <t>13.04.2022</t>
  </si>
  <si>
    <t xml:space="preserve">Sodium Hexa Meta Phosphate (P2O5 China make 69% 50 Kg Packing) </t>
  </si>
  <si>
    <t>03.01.2025</t>
  </si>
  <si>
    <t xml:space="preserve">Sodium Hexa Meta Phosphate (Ganesh MARK 50 Kg Packing)P2O5 30-40 %   only for cash purchase </t>
  </si>
  <si>
    <t>Sodium Meta Bi Sulfate</t>
  </si>
  <si>
    <t>King Chemicals</t>
  </si>
  <si>
    <t>40/-(China  Lion Brand) technical grade 56/-(Magnum Brand)Food Grade</t>
  </si>
  <si>
    <t>23.02.2024                           12.05.2023</t>
  </si>
  <si>
    <t xml:space="preserve">Amit International </t>
  </si>
  <si>
    <t xml:space="preserve">Sodium Meta Bi Sulphite </t>
  </si>
  <si>
    <t>meghnath brand.</t>
  </si>
  <si>
    <t>Sodium Bi Sulphite (Indian Make)</t>
  </si>
  <si>
    <t>71/-</t>
  </si>
  <si>
    <t>22.11.2025</t>
  </si>
  <si>
    <t xml:space="preserve">Rajdoot Specialities </t>
  </si>
  <si>
    <t>55/-</t>
  </si>
  <si>
    <t>02.05.2022</t>
  </si>
  <si>
    <t xml:space="preserve">Sodium Metasilicate  (5H2O) 50 kg bag </t>
  </si>
  <si>
    <t xml:space="preserve">Jay Bhawani </t>
  </si>
  <si>
    <t xml:space="preserve">Sodium Metasilicate INDIAN MAKE </t>
  </si>
  <si>
    <t>45/-(5H2O)</t>
  </si>
  <si>
    <t>05.12.2025</t>
  </si>
  <si>
    <t>COSSOPORE 11 NO NAWABPATTY</t>
  </si>
  <si>
    <t>21/-(9H2O)</t>
  </si>
  <si>
    <t>21/- 9H2O(Gujarat)  29.50/-5H2O</t>
  </si>
  <si>
    <t>22 (5H2O branded)
16 (9H2O Local)</t>
  </si>
  <si>
    <t>23-07-2020</t>
  </si>
  <si>
    <t>24 (5H2O)
21 (9H2O)
7 (Textile grade)</t>
  </si>
  <si>
    <t>305/-</t>
  </si>
  <si>
    <t>TRADE LINK</t>
  </si>
  <si>
    <t>17.04.2023</t>
  </si>
  <si>
    <t>107/-</t>
  </si>
  <si>
    <t xml:space="preserve">Sodium Per Carbonate    25 kg Packing   China Make </t>
  </si>
  <si>
    <t>99/-(China)</t>
  </si>
  <si>
    <t>09.01.2025</t>
  </si>
  <si>
    <t>Sodim Silicate Powder (Sachin Sir Rate )</t>
  </si>
  <si>
    <t>Sachin Sir</t>
  </si>
  <si>
    <t>35-40/-</t>
  </si>
  <si>
    <t>20.06.2023</t>
  </si>
  <si>
    <t>Sodium Silicate Powder   Technical Grade   Rasio-1:2.9</t>
  </si>
  <si>
    <t>Shri Laxmi Chemicals and Industries PVT LTD</t>
  </si>
  <si>
    <t>Hindcon (250/200 Kg Drum)</t>
  </si>
  <si>
    <t>13.25/-(Without Dram)</t>
  </si>
  <si>
    <t>Sodium Silicate Liquid (Drum Rate 1000/ drum)</t>
  </si>
  <si>
    <t>17.25/-(With Drum)</t>
  </si>
  <si>
    <t>Sodium Silicate Liquid (Drum Rate 1020/ drum) high grade</t>
  </si>
  <si>
    <t>14.0/-(Without Drum)                                        18.08/-(With drum)</t>
  </si>
  <si>
    <t>10.07.2025</t>
  </si>
  <si>
    <t>Sodium Silicate Liquid                                                  (Dinesh Moda 9331856307)</t>
  </si>
  <si>
    <t>Haryana Pigment &amp; Chemical Industries  (250 Kg Drum)</t>
  </si>
  <si>
    <t>15.0/-(Without Drum)                                    18/-(With Drum)                                     Godown Delivery Extra Rs 1/- added</t>
  </si>
  <si>
    <t xml:space="preserve">Sodium Ligno Sulphonate 25KG BAG Packing </t>
  </si>
  <si>
    <t xml:space="preserve">MRK </t>
  </si>
  <si>
    <t>65/- (South Africa Brand)                                                                 52/- (China Brand)</t>
  </si>
  <si>
    <t>01.12.2022                                                                                         21.04.2025</t>
  </si>
  <si>
    <t>32.45/- Gujarat</t>
  </si>
  <si>
    <t>shrilaxmi (Ex-Kharagpur)</t>
  </si>
  <si>
    <t>62/-  (40 Kg Packing)</t>
  </si>
  <si>
    <t>12.08.2022</t>
  </si>
  <si>
    <t>26-09-2020</t>
  </si>
  <si>
    <t>Sodium Sulphide flakes</t>
  </si>
  <si>
    <t>30 (60%)</t>
  </si>
  <si>
    <t>15-08-2020</t>
  </si>
  <si>
    <t>38 (60%)
(China)</t>
  </si>
  <si>
    <t>41 (60%)
27 (50%)</t>
  </si>
  <si>
    <t>Sodium Hydro Sulphite(China)</t>
  </si>
  <si>
    <t>Aditya Commercial</t>
  </si>
  <si>
    <t>Sodium Hydro Sulphite (Selox T-1)</t>
  </si>
  <si>
    <t>Modi Dye Chem</t>
  </si>
  <si>
    <t>17.12.2024</t>
  </si>
  <si>
    <t>Sodium Hydro Sulphite(Silox Kalali  brand Hydro)</t>
  </si>
  <si>
    <t>196/-</t>
  </si>
  <si>
    <t>28.10.2024</t>
  </si>
  <si>
    <t xml:space="preserve">17/- (Gujarat) </t>
  </si>
  <si>
    <t>07.04.2021</t>
  </si>
  <si>
    <t>Silicon Carbide Powder</t>
  </si>
  <si>
    <t>Ex Faridabad</t>
  </si>
  <si>
    <t>Sodium Silico Fluoride(Impoted)</t>
  </si>
  <si>
    <t>Sodium Silico Fluoride (Swastick  Brand) Rajasthan</t>
  </si>
  <si>
    <t>08.08.2024</t>
  </si>
  <si>
    <t>Sodium Silico Fluoride (Phosphate Brand)                   50 KG Bag   89-90 %</t>
  </si>
  <si>
    <t xml:space="preserve">38/-                                                     </t>
  </si>
  <si>
    <t>19.05.2025</t>
  </si>
  <si>
    <t>Amartolla                                    Bombay Road</t>
  </si>
  <si>
    <t>Sodium Silico Fluoride(China /Phosphate/Local)</t>
  </si>
  <si>
    <t>Formost Chem</t>
  </si>
  <si>
    <t>80/- 70/- 46/-</t>
  </si>
  <si>
    <t>06.12.22</t>
  </si>
  <si>
    <t>Soap Stone Powder (White) 1</t>
  </si>
  <si>
    <t>29.11.2023</t>
  </si>
  <si>
    <t>Soap Stone Powder (White) 2</t>
  </si>
  <si>
    <t>Soap Stone Powder (Off White) Redess</t>
  </si>
  <si>
    <t>king chemical</t>
  </si>
  <si>
    <t>Sodium Sulphid Liqiud</t>
  </si>
  <si>
    <t>Super Potassium F Humate Flakes 18%</t>
  </si>
  <si>
    <t xml:space="preserve">Sulphamic Acid Powder   97 % shree sulphamic group  Ankleswar make 50 kg bag </t>
  </si>
  <si>
    <t>Aditya comm</t>
  </si>
  <si>
    <t>73/-</t>
  </si>
  <si>
    <t>26.12.2025</t>
  </si>
  <si>
    <t xml:space="preserve">Sulphamic Acid Powder   98% Ankleswar make 50 kg bag </t>
  </si>
  <si>
    <t>Tide Sales Corporation (Creditor)</t>
  </si>
  <si>
    <t>08.09.2025</t>
  </si>
  <si>
    <t xml:space="preserve">Sodium Thiosulphate(Sugar Cystal) off white </t>
  </si>
  <si>
    <t xml:space="preserve">NI Coporation </t>
  </si>
  <si>
    <t xml:space="preserve">Sodium Thiosulphate(Sugar Cystal)  white   25 kg bag packing Imported </t>
  </si>
  <si>
    <t>50 (42-44% Crystal)
64 (52-54% Crystalline Powder)</t>
  </si>
  <si>
    <t>Rajdoot Specialities</t>
  </si>
  <si>
    <t>Sodium Sulphate(Kasuram)</t>
  </si>
  <si>
    <t>GRK Chemical</t>
  </si>
  <si>
    <t>30-07-2020</t>
  </si>
  <si>
    <t>Sodium Sulphate (Dipak)</t>
  </si>
  <si>
    <t>Tide Sales</t>
  </si>
  <si>
    <t>Sodium Sulphate (Grasim)</t>
  </si>
  <si>
    <t xml:space="preserve">Ethical </t>
  </si>
  <si>
    <t>13.80/-</t>
  </si>
  <si>
    <t xml:space="preserve">Ex-Howrah </t>
  </si>
  <si>
    <t xml:space="preserve">Solvent  200 Ltr Drum </t>
  </si>
  <si>
    <t xml:space="preserve">Shalimar Chem </t>
  </si>
  <si>
    <t>43.75/-</t>
  </si>
  <si>
    <t>20.03.2025</t>
  </si>
  <si>
    <t xml:space="preserve">Sulphur Powder </t>
  </si>
  <si>
    <t>Sorbitol  300 kg drum 70%</t>
  </si>
  <si>
    <t xml:space="preserve">K C Dang </t>
  </si>
  <si>
    <t xml:space="preserve">46/-(sukjit)                                                                             47.50/-  (Gujarat Ambuja) </t>
  </si>
  <si>
    <t>24.01.2025                 16.06.2023</t>
  </si>
  <si>
    <t>Sodium Nitrate (Deepak Brand)    50 kg Bag</t>
  </si>
  <si>
    <t>Sodium Nitrate (lion Brand)    50 kg Bag</t>
  </si>
  <si>
    <t>77/-</t>
  </si>
  <si>
    <t>SULPHURIC ACID</t>
  </si>
  <si>
    <t>14/- Including Drum                                               50 Kg Drum (Bagmari Delivery )</t>
  </si>
  <si>
    <t>14.07.2023</t>
  </si>
  <si>
    <t>9.5
(With drum)</t>
  </si>
  <si>
    <t>16-09-2020</t>
  </si>
  <si>
    <t>12.04.2022</t>
  </si>
  <si>
    <t>Stearic Acid  (Off White )    50Kg Bag  Shree Ganesh (rubber grade)</t>
  </si>
  <si>
    <t xml:space="preserve">Stearic Acid(Godraj Rubber grade) 50 KG Packing </t>
  </si>
  <si>
    <t xml:space="preserve">Stearic Acid(Godraj plastic  grade) 50 Kg Packing </t>
  </si>
  <si>
    <t>Stearic Acid  (S K Brand White )  50 Kg Bag  PVC Grade</t>
  </si>
  <si>
    <t>18.02.2024</t>
  </si>
  <si>
    <t xml:space="preserve">Sulphuric acid   98 % 50 Kg Drum </t>
  </si>
  <si>
    <t>Swan International                                                  Sreeram Chemical                                                       Dwarka Dass Chemical Co Private Limited</t>
  </si>
  <si>
    <t>18/-(With Jar)                                               22/- (With Jar)                                                             16/- (With Jar)</t>
  </si>
  <si>
    <t>255/- Ex Bhiwandi</t>
  </si>
  <si>
    <t xml:space="preserve">Talcum Powder (Fine Material ) 300 MESH </t>
  </si>
  <si>
    <t xml:space="preserve">Talcum Powder (white) 200-250 MESH </t>
  </si>
  <si>
    <t>Toluene( Imported )-172 kg drum.</t>
  </si>
  <si>
    <t xml:space="preserve">Tolune (Bhalai)  Loose  Packinig </t>
  </si>
  <si>
    <t>Shalimer Chem</t>
  </si>
  <si>
    <t xml:space="preserve">Tolune (Bhalai)  200 kg Drum Packinig </t>
  </si>
  <si>
    <t>95/-(With Drum)</t>
  </si>
  <si>
    <t>Tamarind Seed Powder (50 Kg Bag)</t>
  </si>
  <si>
    <t xml:space="preserve">Tide Sales Corp </t>
  </si>
  <si>
    <t>26.03.2025</t>
  </si>
  <si>
    <t>Tween-80  (50 Kg Drum)  igl</t>
  </si>
  <si>
    <t xml:space="preserve">Arham Chem </t>
  </si>
  <si>
    <t>09.05.2025</t>
  </si>
  <si>
    <t>E Chem</t>
  </si>
  <si>
    <t>164/-Krishna Cinama                                        162/- Jangalpur</t>
  </si>
  <si>
    <t>Tween-80  (220 Kg Drum) (alkyl alcohol ethoxylate)</t>
  </si>
  <si>
    <t xml:space="preserve">SJ Chemical </t>
  </si>
  <si>
    <t>153/-(igl)                                        148/-(Indo Amines PS 80)</t>
  </si>
  <si>
    <t>11.12.2025                           20.01.2024</t>
  </si>
  <si>
    <t>COSSIPORE</t>
  </si>
  <si>
    <t>05.10.2019</t>
  </si>
  <si>
    <t>Tween-80  (50 Kg Drum) cossipore</t>
  </si>
  <si>
    <t>158/-(IGL)                                                       152/- (Indo Amines)</t>
  </si>
  <si>
    <t>11.07.2025                  15.04.2025</t>
  </si>
  <si>
    <t xml:space="preserve">Tartaric Acid   25 kg Bag </t>
  </si>
  <si>
    <t xml:space="preserve">Variety Stores </t>
  </si>
  <si>
    <t>296/-</t>
  </si>
  <si>
    <t>Tartaric Acid   25 kg Bag  Food Grade</t>
  </si>
  <si>
    <t>Mother India (9748917622)Krishan</t>
  </si>
  <si>
    <t>17.05.2023</t>
  </si>
  <si>
    <t>Tartaric Acid   50 kg Bag   (Surajit Dutta 9831510663)  Commercial  Grade</t>
  </si>
  <si>
    <t>Hira Chemicals</t>
  </si>
  <si>
    <t>115/-(Without bill)</t>
  </si>
  <si>
    <t>13.05.2023</t>
  </si>
  <si>
    <t>TR Oil 50%</t>
  </si>
  <si>
    <t>Universal Sales Corp</t>
  </si>
  <si>
    <t>103/-</t>
  </si>
  <si>
    <t>21.02.2024</t>
  </si>
  <si>
    <t>Delivery free</t>
  </si>
  <si>
    <t>Tinopal 25kg (Magmani)</t>
  </si>
  <si>
    <t xml:space="preserve">Todi Trades </t>
  </si>
  <si>
    <t>Titanium Dioxide(Anatase) VVT brand</t>
  </si>
  <si>
    <t xml:space="preserve">Advance Chemical </t>
  </si>
  <si>
    <t xml:space="preserve">108
(By Product)
234 (Rc 822)
Kerala Minerals
</t>
  </si>
  <si>
    <t>16-12-2020</t>
  </si>
  <si>
    <t>29-09-2020</t>
  </si>
  <si>
    <t xml:space="preserve">Titanium Dioxide [Rutile Grade] 25 kg packing </t>
  </si>
  <si>
    <t>05.04.2024</t>
  </si>
  <si>
    <t xml:space="preserve">Triethanolamine  230 kg packing </t>
  </si>
  <si>
    <t>165/-Amices(50 kg pack)</t>
  </si>
  <si>
    <t>cossipore</t>
  </si>
  <si>
    <t>Everlight International</t>
  </si>
  <si>
    <t>123/- UAE Imported</t>
  </si>
  <si>
    <t>114/-(Ex Ahmedabad) Malayasia Imported</t>
  </si>
  <si>
    <t xml:space="preserve">TURPENTINE OIL  200LTR Drum </t>
  </si>
  <si>
    <t>131/-</t>
  </si>
  <si>
    <t>Trisodium citrate</t>
  </si>
  <si>
    <t>Trisodium Phosphate (TSP) brand IREL</t>
  </si>
  <si>
    <t>21-07-2020</t>
  </si>
  <si>
    <t xml:space="preserve">Unexpanded Perlite Ore </t>
  </si>
  <si>
    <t>13.75/-</t>
  </si>
  <si>
    <t>11
(Turkey Imported)</t>
  </si>
  <si>
    <t>Prahan Enterprise</t>
  </si>
  <si>
    <t>39/- (Gujarat)</t>
  </si>
  <si>
    <t>24
(Imported Iran)</t>
  </si>
  <si>
    <t xml:space="preserve">Whytheat-K (High Grde)  25 kgs </t>
  </si>
  <si>
    <t xml:space="preserve">Mortex </t>
  </si>
  <si>
    <t>13.02.2025</t>
  </si>
  <si>
    <t xml:space="preserve">Whytheat- A   25 kgs </t>
  </si>
  <si>
    <t>19.09.2024</t>
  </si>
  <si>
    <t>Whytheat-K (Tata)</t>
  </si>
  <si>
    <t>39.25/-</t>
  </si>
  <si>
    <t>Whytheat-K(Mack)</t>
  </si>
  <si>
    <t xml:space="preserve">Mixed Xylene 172 kg Drum Packing Imported </t>
  </si>
  <si>
    <t>100/-                                                     Drum Cost 900/-                                       With Drum 106/-</t>
  </si>
  <si>
    <t xml:space="preserve">Xylone (ortho 99 %) packing 172kg </t>
  </si>
  <si>
    <t>Chirag Chemical Corp(9830584884)</t>
  </si>
  <si>
    <t xml:space="preserve">Xanthan Gum   25 kgs packing </t>
  </si>
  <si>
    <t xml:space="preserve">245/-(fufeng)                                            255/-(deosen)               310/- (mahua)     </t>
  </si>
  <si>
    <t>17.07.2025                                            12.04.2025</t>
  </si>
  <si>
    <t xml:space="preserve">Yucca Powder </t>
  </si>
  <si>
    <t>788/-</t>
  </si>
  <si>
    <t>15.11.2019</t>
  </si>
  <si>
    <t>Howrah Mineral</t>
  </si>
  <si>
    <t>50/-(Tirupati)  47.50/-(Raja Ram)</t>
  </si>
  <si>
    <t>24.05.2022                                                                                                     10.07.2024</t>
  </si>
  <si>
    <t>43/- (Rajaram)</t>
  </si>
  <si>
    <t>Yellow Dextrine (Rajaram)</t>
  </si>
  <si>
    <t>Sova Chem</t>
  </si>
  <si>
    <t>16.01.2024</t>
  </si>
  <si>
    <t xml:space="preserve">Shree Shyam Minerals </t>
  </si>
  <si>
    <t xml:space="preserve">52/- Dankuni Godown </t>
  </si>
  <si>
    <t>03.06.2023</t>
  </si>
  <si>
    <t>Zinc Chloride (High Grade) 80%</t>
  </si>
  <si>
    <t xml:space="preserve">S K Trading </t>
  </si>
  <si>
    <t xml:space="preserve">Zinc Chloride(Low Grade)  40-42 %   25 kg packing </t>
  </si>
  <si>
    <t>@65+ ex Rajasthan</t>
  </si>
  <si>
    <t>Zinc Sulphate  21%</t>
  </si>
  <si>
    <t>Trade link</t>
  </si>
  <si>
    <t>07.04.2025</t>
  </si>
  <si>
    <t>Zinc Sulphate   21%</t>
  </si>
  <si>
    <t>46/-(25.08.2022)</t>
  </si>
  <si>
    <t>Zinc Sulphate (Hepta Hydrate)</t>
  </si>
  <si>
    <t>Zinc Sulphate (Mono Hydrate) 32%</t>
  </si>
  <si>
    <t xml:space="preserve">Zinc Oxide   25 kg Bag Packing </t>
  </si>
  <si>
    <t>260/-</t>
  </si>
  <si>
    <t>Zinc Stearate(Trishul)</t>
  </si>
  <si>
    <t>Rajdoot Chemical</t>
  </si>
  <si>
    <t>29.01.2024</t>
  </si>
  <si>
    <t>Zinc Stearate(Kanpur)</t>
  </si>
  <si>
    <t>14.08.2025</t>
  </si>
  <si>
    <t>Zinc sulfide (ZnS)-LR</t>
  </si>
  <si>
    <t>Zeolite Granules(High Grade)</t>
  </si>
  <si>
    <t>Zeolite Powder (double packed)</t>
  </si>
  <si>
    <t>09.02.2026</t>
  </si>
  <si>
    <t>48/-(Raja Ram)        47/-(Tirupati)</t>
  </si>
  <si>
    <t>07.04.2025                                                                                                        12.04.2023</t>
  </si>
  <si>
    <t xml:space="preserve">Yeast Extrect Powder  (10 kg bag packing) </t>
  </si>
  <si>
    <t>Mohan idy - 285/-
Narayan idy - 290/-</t>
  </si>
  <si>
    <t xml:space="preserve">Chloroform </t>
  </si>
  <si>
    <t>19 + GACL Tanker load</t>
  </si>
  <si>
    <t>Cosmochem Enterprise(9830169039 / 9830565512)</t>
  </si>
  <si>
    <t>175/-                                                145/-(SAI BEACH SAND PULVERISING )Odisha</t>
  </si>
  <si>
    <t>19.01.2024                                    18.07.2025</t>
  </si>
  <si>
    <t>195/-(Ex kolkata)                                                        154.50/-(SAI BEACH SAND PULVERISING )Odisha</t>
  </si>
  <si>
    <t>18.01.2024                                                                                  18.07.2025</t>
  </si>
  <si>
    <t>Zinc Carbonate (Zn Content Min. 56.0%)</t>
  </si>
  <si>
    <t>Pulak Murrka</t>
  </si>
  <si>
    <t>Vermiculite Powder 4-16 mesh</t>
  </si>
  <si>
    <t>Garg Minerals</t>
  </si>
  <si>
    <t>White Dextrine (50 Kg Packing) South Indian Make</t>
  </si>
  <si>
    <t>Price given by</t>
  </si>
  <si>
    <t xml:space="preserve">Client Name </t>
  </si>
  <si>
    <t>Purchase Price in kg   Ex Kolkata/       Ex Mumbai</t>
  </si>
  <si>
    <t>Inward Handling/ Forwarding</t>
  </si>
  <si>
    <t>Total Amount</t>
  </si>
  <si>
    <t>Total Profit to be added</t>
  </si>
  <si>
    <t>Total Amount After profit</t>
  </si>
  <si>
    <t>Price in kg to be quoted = G/B</t>
  </si>
  <si>
    <t>31.05.21</t>
  </si>
  <si>
    <t>13.05.21</t>
  </si>
  <si>
    <t xml:space="preserve">C2013793 </t>
  </si>
  <si>
    <t xml:space="preserve"> Humic Acid</t>
  </si>
  <si>
    <t xml:space="preserve"> Bardhaman</t>
  </si>
  <si>
    <t xml:space="preserve">C2013792 </t>
  </si>
  <si>
    <t>05.05.21</t>
  </si>
  <si>
    <t xml:space="preserve">C2013784 </t>
  </si>
  <si>
    <t xml:space="preserve">C2013783 </t>
  </si>
  <si>
    <t>26.04.21</t>
  </si>
  <si>
    <t>19.04.21</t>
  </si>
  <si>
    <t xml:space="preserve">C2013753 </t>
  </si>
  <si>
    <t xml:space="preserve">Sodium Slicate Powder </t>
  </si>
  <si>
    <t xml:space="preserve">Hydrated Lime Powder </t>
  </si>
  <si>
    <t>31.03.21</t>
  </si>
  <si>
    <t xml:space="preserve">C2013739 </t>
  </si>
  <si>
    <t xml:space="preserve">Cyano Acetamide Powder
</t>
  </si>
  <si>
    <t xml:space="preserve">C2013734 </t>
  </si>
  <si>
    <t>haldia</t>
  </si>
  <si>
    <t>24.03.21</t>
  </si>
  <si>
    <t xml:space="preserve">C2013732 </t>
  </si>
  <si>
    <t>22.03.21</t>
  </si>
  <si>
    <t xml:space="preserve">C2013729 </t>
  </si>
  <si>
    <t>Sodium Matasilicate</t>
  </si>
  <si>
    <t>Amtola</t>
  </si>
  <si>
    <t xml:space="preserve">C2013728 </t>
  </si>
  <si>
    <t>18.03.21</t>
  </si>
  <si>
    <t>23.02.21</t>
  </si>
  <si>
    <t>Magnesium Powder</t>
  </si>
  <si>
    <t>Aluminium Doss</t>
  </si>
  <si>
    <t>26.50/-</t>
  </si>
  <si>
    <t>Flourspar</t>
  </si>
  <si>
    <t>22.02.21</t>
  </si>
  <si>
    <t>04.02.21</t>
  </si>
  <si>
    <t>18.01.21</t>
  </si>
  <si>
    <t>16.01.21</t>
  </si>
  <si>
    <t>11.01.21</t>
  </si>
  <si>
    <t>09.01.21</t>
  </si>
  <si>
    <t>06.01.21</t>
  </si>
  <si>
    <t xml:space="preserve">
P00118
</t>
  </si>
  <si>
    <t xml:space="preserve">Bleaching Powder </t>
  </si>
  <si>
    <t xml:space="preserve">
P00118
</t>
  </si>
  <si>
    <t>Hydrated Lime powder,</t>
  </si>
  <si>
    <t>02.01.21</t>
  </si>
  <si>
    <t>31.12.20</t>
  </si>
  <si>
    <t>28.12.20</t>
  </si>
  <si>
    <t>24.12.20</t>
  </si>
  <si>
    <t>23.12.20</t>
  </si>
  <si>
    <t xml:space="preserve">Dolomite Powder </t>
  </si>
  <si>
    <t>Soda Ash (Tata)</t>
  </si>
  <si>
    <t>Calcite Powder -</t>
  </si>
  <si>
    <t>Pyrophyllite</t>
  </si>
  <si>
    <t>22.12.20</t>
  </si>
  <si>
    <t xml:space="preserve">C2013602 </t>
  </si>
  <si>
    <t>21.12.20</t>
  </si>
  <si>
    <t xml:space="preserve">C2013590 </t>
  </si>
  <si>
    <t>19.12.20</t>
  </si>
  <si>
    <t>17.12.20</t>
  </si>
  <si>
    <t>16.12.20</t>
  </si>
  <si>
    <t xml:space="preserve">C2013573 </t>
  </si>
  <si>
    <t>14.12.20</t>
  </si>
  <si>
    <t xml:space="preserve">Sodium Meta Silicate Powder </t>
  </si>
  <si>
    <t>Sreerampore</t>
  </si>
  <si>
    <t>12.12.20</t>
  </si>
  <si>
    <t>11.12.20</t>
  </si>
  <si>
    <t>10.12.20</t>
  </si>
  <si>
    <t>07.12.20</t>
  </si>
  <si>
    <t>02.12.20</t>
  </si>
  <si>
    <t>Silica Gel 2Gm</t>
  </si>
  <si>
    <t>Silica Gel 1Gm</t>
  </si>
  <si>
    <t>01.12.20</t>
  </si>
  <si>
    <t xml:space="preserve">C2013525 </t>
  </si>
  <si>
    <t>Dolomilte Chips</t>
  </si>
  <si>
    <t xml:space="preserve">C2013524 </t>
  </si>
  <si>
    <t xml:space="preserve">C2013521 </t>
  </si>
  <si>
    <t>28.11.20</t>
  </si>
  <si>
    <t xml:space="preserve">C2013509 </t>
  </si>
  <si>
    <t>Dolomite Powder 500 mess</t>
  </si>
  <si>
    <t>Dolomite Powder 300 mess</t>
  </si>
  <si>
    <t xml:space="preserve">C2013507 </t>
  </si>
  <si>
    <t xml:space="preserve">C2013506 </t>
  </si>
  <si>
    <t>27.11.20</t>
  </si>
  <si>
    <t xml:space="preserve">C2013502 </t>
  </si>
  <si>
    <t>25.11.20</t>
  </si>
  <si>
    <t xml:space="preserve">C2013495 </t>
  </si>
  <si>
    <t>23.11.20</t>
  </si>
  <si>
    <t xml:space="preserve">C2013484 </t>
  </si>
  <si>
    <t>Micro crystalline Wax</t>
  </si>
  <si>
    <t xml:space="preserve">C2013479 </t>
  </si>
  <si>
    <t>21.11.20</t>
  </si>
  <si>
    <t xml:space="preserve">C2013474 </t>
  </si>
  <si>
    <t>20.11.20</t>
  </si>
  <si>
    <t xml:space="preserve">C2013464 </t>
  </si>
  <si>
    <t xml:space="preserve">C2013463 </t>
  </si>
  <si>
    <t xml:space="preserve">C2013458 </t>
  </si>
  <si>
    <t xml:space="preserve"> Calcined Alumina</t>
  </si>
  <si>
    <t xml:space="preserve">C2013461 </t>
  </si>
  <si>
    <t>19.11.20</t>
  </si>
  <si>
    <t xml:space="preserve">C2013455 </t>
  </si>
  <si>
    <t xml:space="preserve">C2013449 </t>
  </si>
  <si>
    <t>Semi Refined  Paraffin Wax</t>
  </si>
  <si>
    <t>Refined IOCL Brand Paraffin Wax</t>
  </si>
  <si>
    <t>18.11.20</t>
  </si>
  <si>
    <t xml:space="preserve">C2013444 </t>
  </si>
  <si>
    <t xml:space="preserve">C2013439 </t>
  </si>
  <si>
    <t xml:space="preserve">C2013437 </t>
  </si>
  <si>
    <t>17.11.20</t>
  </si>
  <si>
    <t xml:space="preserve">C2013436 </t>
  </si>
  <si>
    <t xml:space="preserve">C2013431 </t>
  </si>
  <si>
    <t xml:space="preserve">C2013430 </t>
  </si>
  <si>
    <t>13.11.20</t>
  </si>
  <si>
    <t xml:space="preserve">C2013427 </t>
  </si>
  <si>
    <t>12.11.20</t>
  </si>
  <si>
    <t xml:space="preserve">C2013424 </t>
  </si>
  <si>
    <t xml:space="preserve">C2013423 </t>
  </si>
  <si>
    <t xml:space="preserve">C2013420 </t>
  </si>
  <si>
    <t xml:space="preserve"> Gypsum Powder</t>
  </si>
  <si>
    <t>07.11.20</t>
  </si>
  <si>
    <t xml:space="preserve">C2013405 </t>
  </si>
  <si>
    <t>05.11.20</t>
  </si>
  <si>
    <t xml:space="preserve">C2013391 </t>
  </si>
  <si>
    <t>04.11.20</t>
  </si>
  <si>
    <t xml:space="preserve">C2013389 </t>
  </si>
  <si>
    <t xml:space="preserve">Sodium Silicate Powder </t>
  </si>
  <si>
    <t xml:space="preserve">P00069 </t>
  </si>
  <si>
    <t xml:space="preserve">P00067 </t>
  </si>
  <si>
    <t xml:space="preserve">C2013383 </t>
  </si>
  <si>
    <t xml:space="preserve">C2013382 </t>
  </si>
  <si>
    <t>Durga Pur</t>
  </si>
  <si>
    <t xml:space="preserve">C2013381 </t>
  </si>
  <si>
    <t xml:space="preserve"> Limestone Powder</t>
  </si>
  <si>
    <t>03.11.20</t>
  </si>
  <si>
    <t xml:space="preserve">C2013379 </t>
  </si>
  <si>
    <t xml:space="preserve">C2013378 </t>
  </si>
  <si>
    <t>02.11.20</t>
  </si>
  <si>
    <t>30.10.20</t>
  </si>
  <si>
    <t xml:space="preserve">C2013355 </t>
  </si>
  <si>
    <t xml:space="preserve">C2013357 </t>
  </si>
  <si>
    <t xml:space="preserve">Sodium Chloride </t>
  </si>
  <si>
    <t>29.10.20</t>
  </si>
  <si>
    <t xml:space="preserve">C2013354 </t>
  </si>
  <si>
    <t xml:space="preserve">C2013353 </t>
  </si>
  <si>
    <t xml:space="preserve">C2013351 </t>
  </si>
  <si>
    <t xml:space="preserve"> Copper Slag</t>
  </si>
  <si>
    <t xml:space="preserve">C2013349 </t>
  </si>
  <si>
    <t xml:space="preserve">C2013346 </t>
  </si>
  <si>
    <t xml:space="preserve">C2013344 </t>
  </si>
  <si>
    <t xml:space="preserve">C2013345 </t>
  </si>
  <si>
    <t xml:space="preserve">C2013342 </t>
  </si>
  <si>
    <t>Dolomite Powder 500 Mess</t>
  </si>
  <si>
    <t>28.10.20</t>
  </si>
  <si>
    <t xml:space="preserve">C2013338 </t>
  </si>
  <si>
    <t>27.10.20</t>
  </si>
  <si>
    <t>Sodium Sulfate</t>
  </si>
  <si>
    <t>AOS</t>
  </si>
  <si>
    <t xml:space="preserve">C2013331 </t>
  </si>
  <si>
    <t xml:space="preserve">C2013330 </t>
  </si>
  <si>
    <t xml:space="preserve">C2013329 </t>
  </si>
  <si>
    <t>22.10.20</t>
  </si>
  <si>
    <t xml:space="preserve">C2013321 </t>
  </si>
  <si>
    <t>jamshedpur</t>
  </si>
  <si>
    <t xml:space="preserve">C2013320 </t>
  </si>
  <si>
    <t xml:space="preserve"> Earthing Salt</t>
  </si>
  <si>
    <t xml:space="preserve">C2013316 </t>
  </si>
  <si>
    <t xml:space="preserve">C2013315 </t>
  </si>
  <si>
    <t>21.10.20</t>
  </si>
  <si>
    <t xml:space="preserve">C2013314 </t>
  </si>
  <si>
    <t xml:space="preserve">C2013312 </t>
  </si>
  <si>
    <t>20.10.20</t>
  </si>
  <si>
    <t xml:space="preserve">C2013310 </t>
  </si>
  <si>
    <t xml:space="preserve">C2013304 </t>
  </si>
  <si>
    <t xml:space="preserve">C2013308 </t>
  </si>
  <si>
    <t>Sodium Metasilicate(9H2O branded)</t>
  </si>
  <si>
    <t>Sodium Metasilicate(5H2O branded)</t>
  </si>
  <si>
    <t>19.10.20</t>
  </si>
  <si>
    <t xml:space="preserve">C2013295 </t>
  </si>
  <si>
    <t>Manganese sulphate</t>
  </si>
  <si>
    <t xml:space="preserve"> Silica Sand</t>
  </si>
  <si>
    <t xml:space="preserve">C2013298 </t>
  </si>
  <si>
    <t xml:space="preserve">Maize Starch   </t>
  </si>
  <si>
    <t>17.10.20</t>
  </si>
  <si>
    <t xml:space="preserve">C2013288 </t>
  </si>
  <si>
    <t xml:space="preserve">C2013282 </t>
  </si>
  <si>
    <t>Dolomite Powder (300 mess)</t>
  </si>
  <si>
    <t>Dolomite Powder (500 mess)</t>
  </si>
  <si>
    <t xml:space="preserve">C2013283 </t>
  </si>
  <si>
    <t xml:space="preserve">C2013280 </t>
  </si>
  <si>
    <t xml:space="preserve">C2013279 </t>
  </si>
  <si>
    <t xml:space="preserve">C2013274 </t>
  </si>
  <si>
    <t xml:space="preserve"> Quartz Silica Powder</t>
  </si>
  <si>
    <t>15.10.20</t>
  </si>
  <si>
    <t>Sodium Metasilicate(9H2O Local)</t>
  </si>
  <si>
    <t xml:space="preserve">C2013271 </t>
  </si>
  <si>
    <t xml:space="preserve">C2013270 </t>
  </si>
  <si>
    <t xml:space="preserve"> Bentonite Granules</t>
  </si>
  <si>
    <t xml:space="preserve">C2013266 </t>
  </si>
  <si>
    <t xml:space="preserve">C2013265 </t>
  </si>
  <si>
    <t xml:space="preserve">C2013264 </t>
  </si>
  <si>
    <t>Dimethyl Formamide (DMF)</t>
  </si>
  <si>
    <t xml:space="preserve">P00057 </t>
  </si>
  <si>
    <t>Carbon Black Powder</t>
  </si>
  <si>
    <t>13.10.20</t>
  </si>
  <si>
    <t xml:space="preserve">C2013262 </t>
  </si>
  <si>
    <t xml:space="preserve">Talcum Powder </t>
  </si>
  <si>
    <t xml:space="preserve">C2013258 </t>
  </si>
  <si>
    <t>12.10.20</t>
  </si>
  <si>
    <t xml:space="preserve">P00056 </t>
  </si>
  <si>
    <t>Chattishgarh</t>
  </si>
  <si>
    <t xml:space="preserve">C2013256 </t>
  </si>
  <si>
    <t xml:space="preserve">C2013255 </t>
  </si>
  <si>
    <t xml:space="preserve">C2013254 </t>
  </si>
  <si>
    <t>10.10.20</t>
  </si>
  <si>
    <t xml:space="preserve">C2013245 </t>
  </si>
  <si>
    <t>Ammonium Bicarbonate(Industrail Grade)</t>
  </si>
  <si>
    <t>Ammonium Bicarbonate(Food Grade)</t>
  </si>
  <si>
    <t xml:space="preserve">C2013237 </t>
  </si>
  <si>
    <t xml:space="preserve">P00054 </t>
  </si>
  <si>
    <t xml:space="preserve">C2013243 </t>
  </si>
  <si>
    <t xml:space="preserve">C2013242 </t>
  </si>
  <si>
    <t>09.10.20</t>
  </si>
  <si>
    <t xml:space="preserve">C2013233 </t>
  </si>
  <si>
    <t xml:space="preserve">C2013230 </t>
  </si>
  <si>
    <t>08.10.20</t>
  </si>
  <si>
    <t xml:space="preserve">C2013231 </t>
  </si>
  <si>
    <t xml:space="preserve">C2013228 </t>
  </si>
  <si>
    <t xml:space="preserve">C2013224 </t>
  </si>
  <si>
    <t xml:space="preserve">C2013222 </t>
  </si>
  <si>
    <t xml:space="preserve">C2013221 </t>
  </si>
  <si>
    <t xml:space="preserve"> Hexamine Powder</t>
  </si>
  <si>
    <t xml:space="preserve">C2013220 </t>
  </si>
  <si>
    <t xml:space="preserve">C2013219 </t>
  </si>
  <si>
    <t>07.10.20</t>
  </si>
  <si>
    <t xml:space="preserve">C2013216 </t>
  </si>
  <si>
    <t>06.10.20</t>
  </si>
  <si>
    <t xml:space="preserve">C2013206 </t>
  </si>
  <si>
    <t xml:space="preserve">C2013194 </t>
  </si>
  <si>
    <t>non- ferric alum</t>
  </si>
  <si>
    <t>05.10.20</t>
  </si>
  <si>
    <t xml:space="preserve">P00052 </t>
  </si>
  <si>
    <t xml:space="preserve">P00051 </t>
  </si>
  <si>
    <t>Oxygen Tablet(small)</t>
  </si>
  <si>
    <t>190/- v sir</t>
  </si>
  <si>
    <t>Oxygen Tablet(Big)</t>
  </si>
  <si>
    <t>225/- v sir</t>
  </si>
  <si>
    <t>02.10.20</t>
  </si>
  <si>
    <t xml:space="preserve">C2013191 </t>
  </si>
  <si>
    <t>01.10.20</t>
  </si>
  <si>
    <t xml:space="preserve">C2013185 </t>
  </si>
  <si>
    <t>Calcite Powder(500 Mess)</t>
  </si>
  <si>
    <t>Calcite Powder (300 Mess)</t>
  </si>
  <si>
    <t>30.09.20</t>
  </si>
  <si>
    <t xml:space="preserve">C2013183 </t>
  </si>
  <si>
    <t xml:space="preserve">C2013182 </t>
  </si>
  <si>
    <t>Sodium Metabisulfate</t>
  </si>
  <si>
    <t xml:space="preserve">P00046 </t>
  </si>
  <si>
    <t>Chakdah</t>
  </si>
  <si>
    <t>Dolomite</t>
  </si>
  <si>
    <t>Sodium Silicate Liquied</t>
  </si>
  <si>
    <t>29.09.20</t>
  </si>
  <si>
    <t xml:space="preserve">C2013179 </t>
  </si>
  <si>
    <t>28.09.20</t>
  </si>
  <si>
    <t xml:space="preserve">C2013173 </t>
  </si>
  <si>
    <t xml:space="preserve">P00040 </t>
  </si>
  <si>
    <t>Temarind seed Powder</t>
  </si>
  <si>
    <t>26.09.20</t>
  </si>
  <si>
    <t xml:space="preserve">C2013168 </t>
  </si>
  <si>
    <t xml:space="preserve">C2013167 </t>
  </si>
  <si>
    <t>Silica Gel ( 5Gram )</t>
  </si>
  <si>
    <t>Silica Gel (10 Gram )</t>
  </si>
  <si>
    <t xml:space="preserve">C2013163 </t>
  </si>
  <si>
    <t xml:space="preserve">C2013162 </t>
  </si>
  <si>
    <t>25.09.20</t>
  </si>
  <si>
    <t xml:space="preserve">C2013156 </t>
  </si>
  <si>
    <t xml:space="preserve">Chuna Powder </t>
  </si>
  <si>
    <t xml:space="preserve">C2013155 </t>
  </si>
  <si>
    <t>24.09.20</t>
  </si>
  <si>
    <t xml:space="preserve">C2013144 </t>
  </si>
  <si>
    <t xml:space="preserve">P00039 </t>
  </si>
  <si>
    <t>Sodium Tri Poly Phosphate</t>
  </si>
  <si>
    <t>Gypsum Powder,</t>
  </si>
  <si>
    <t>23.09.20</t>
  </si>
  <si>
    <t xml:space="preserve">C2013139 </t>
  </si>
  <si>
    <t xml:space="preserve">C2013137 </t>
  </si>
  <si>
    <t xml:space="preserve">C2013136 </t>
  </si>
  <si>
    <t>Quartz Sand(White)</t>
  </si>
  <si>
    <t>22.09.20</t>
  </si>
  <si>
    <t xml:space="preserve">C2013130 </t>
  </si>
  <si>
    <t>21.09.20</t>
  </si>
  <si>
    <t xml:space="preserve">C2013119 </t>
  </si>
  <si>
    <t xml:space="preserve"> Glycerine</t>
  </si>
  <si>
    <t>19.09.20</t>
  </si>
  <si>
    <t xml:space="preserve">C2013109 </t>
  </si>
  <si>
    <t xml:space="preserve">C2013101 </t>
  </si>
  <si>
    <t xml:space="preserve">Lime Stone   </t>
  </si>
  <si>
    <t xml:space="preserve">C2013103 </t>
  </si>
  <si>
    <t>18.09.20</t>
  </si>
  <si>
    <t xml:space="preserve">C2013100 </t>
  </si>
  <si>
    <t>lime powder</t>
  </si>
  <si>
    <t xml:space="preserve">C2013097 </t>
  </si>
  <si>
    <t>17.09.20</t>
  </si>
  <si>
    <t xml:space="preserve">C2013088 </t>
  </si>
  <si>
    <t xml:space="preserve"> Pyrophyllite Powder</t>
  </si>
  <si>
    <t xml:space="preserve">C2013090 </t>
  </si>
  <si>
    <t>16.09.20</t>
  </si>
  <si>
    <t xml:space="preserve">C2013077 </t>
  </si>
  <si>
    <t>15.09.20</t>
  </si>
  <si>
    <t xml:space="preserve">C2013072 </t>
  </si>
  <si>
    <t xml:space="preserve">C2013070 </t>
  </si>
  <si>
    <t>14.09.20</t>
  </si>
  <si>
    <t xml:space="preserve">C213062 </t>
  </si>
  <si>
    <t xml:space="preserve">C213061 </t>
  </si>
  <si>
    <t xml:space="preserve">C2013054 </t>
  </si>
  <si>
    <t>12.09.20</t>
  </si>
  <si>
    <t xml:space="preserve">C2013029 </t>
  </si>
  <si>
    <t>Calcined Alunima Powder</t>
  </si>
  <si>
    <t xml:space="preserve">C2013030 </t>
  </si>
  <si>
    <t>10.09.20</t>
  </si>
  <si>
    <t xml:space="preserve">C2013028 </t>
  </si>
  <si>
    <t xml:space="preserve">C2013021 </t>
  </si>
  <si>
    <t xml:space="preserve">C2013020 </t>
  </si>
  <si>
    <t>bihar</t>
  </si>
  <si>
    <t>09.09.20</t>
  </si>
  <si>
    <t xml:space="preserve">C2013013 </t>
  </si>
  <si>
    <t>08.09.20</t>
  </si>
  <si>
    <t xml:space="preserve">C2013014 </t>
  </si>
  <si>
    <t xml:space="preserve">C2013008 </t>
  </si>
  <si>
    <t xml:space="preserve">C2013006 </t>
  </si>
  <si>
    <t xml:space="preserve">Acid Slurry </t>
  </si>
  <si>
    <t xml:space="preserve">C2013005 </t>
  </si>
  <si>
    <t xml:space="preserve">C2013003 </t>
  </si>
  <si>
    <t xml:space="preserve">P00022 </t>
  </si>
  <si>
    <t xml:space="preserve">C2012992 </t>
  </si>
  <si>
    <t xml:space="preserve">C2012995 </t>
  </si>
  <si>
    <t>05.09.20</t>
  </si>
  <si>
    <t xml:space="preserve">C2012984 </t>
  </si>
  <si>
    <t xml:space="preserve">C2012979 </t>
  </si>
  <si>
    <t>04.09.20</t>
  </si>
  <si>
    <t xml:space="preserve">P00016 </t>
  </si>
  <si>
    <t xml:space="preserve">china clay </t>
  </si>
  <si>
    <t>MAGNES</t>
  </si>
  <si>
    <t xml:space="preserve">C2012970 </t>
  </si>
  <si>
    <t>03.09.20</t>
  </si>
  <si>
    <t xml:space="preserve">C2012969 </t>
  </si>
  <si>
    <t xml:space="preserve">C2012963 </t>
  </si>
  <si>
    <t xml:space="preserve">C2012962 </t>
  </si>
  <si>
    <t xml:space="preserve">P00003 </t>
  </si>
  <si>
    <t xml:space="preserve">Sodium Sulphate </t>
  </si>
  <si>
    <t xml:space="preserve">Sodium Meta Silicate
</t>
  </si>
  <si>
    <t xml:space="preserve">Lime </t>
  </si>
  <si>
    <t>Lasba</t>
  </si>
  <si>
    <t>SLS</t>
  </si>
  <si>
    <t>02.09.20</t>
  </si>
  <si>
    <t xml:space="preserve">C2012958 </t>
  </si>
  <si>
    <t xml:space="preserve">C2012954 </t>
  </si>
  <si>
    <t xml:space="preserve">C2012949 </t>
  </si>
  <si>
    <t>01.09.20</t>
  </si>
  <si>
    <t>Kachrapara</t>
  </si>
  <si>
    <t xml:space="preserve">sls </t>
  </si>
  <si>
    <t xml:space="preserve">sodium silicate powder </t>
  </si>
  <si>
    <t>acid slurry</t>
  </si>
  <si>
    <t>china clay powder</t>
  </si>
  <si>
    <t xml:space="preserve">C2012942 </t>
  </si>
  <si>
    <t>AOS powder</t>
  </si>
  <si>
    <t xml:space="preserve">C2012940 </t>
  </si>
  <si>
    <t xml:space="preserve">C2012939 </t>
  </si>
  <si>
    <t xml:space="preserve">C2012935 </t>
  </si>
  <si>
    <t>29.08.20</t>
  </si>
  <si>
    <t xml:space="preserve">C2012919 </t>
  </si>
  <si>
    <t>sodium sulphate</t>
  </si>
  <si>
    <t xml:space="preserve">C2012918 </t>
  </si>
  <si>
    <t xml:space="preserve">C2012917 </t>
  </si>
  <si>
    <t xml:space="preserve">C2012916 </t>
  </si>
  <si>
    <t xml:space="preserve">C2012913 </t>
  </si>
  <si>
    <t xml:space="preserve">C2012911 </t>
  </si>
  <si>
    <t xml:space="preserve">C2012910 </t>
  </si>
  <si>
    <t>28.08.20</t>
  </si>
  <si>
    <t xml:space="preserve">C2012905 </t>
  </si>
  <si>
    <t>Channai</t>
  </si>
  <si>
    <t xml:space="preserve">C2012906 </t>
  </si>
  <si>
    <t xml:space="preserve">C2012904 </t>
  </si>
  <si>
    <t xml:space="preserve">C2012902 </t>
  </si>
  <si>
    <t xml:space="preserve">C2012896 </t>
  </si>
  <si>
    <t xml:space="preserve">C2012895 </t>
  </si>
  <si>
    <t xml:space="preserve">C2012893 </t>
  </si>
  <si>
    <t>26.08.20</t>
  </si>
  <si>
    <t xml:space="preserve">C2012882 </t>
  </si>
  <si>
    <t xml:space="preserve">C2012884 </t>
  </si>
  <si>
    <t>68/- v sir</t>
  </si>
  <si>
    <t xml:space="preserve">C2012885 </t>
  </si>
  <si>
    <t xml:space="preserve">C2012883 </t>
  </si>
  <si>
    <t xml:space="preserve">C2012881 </t>
  </si>
  <si>
    <t xml:space="preserve">C2012879 </t>
  </si>
  <si>
    <t xml:space="preserve">C2012877 </t>
  </si>
  <si>
    <t xml:space="preserve">C2012876 </t>
  </si>
  <si>
    <t>25.08.20</t>
  </si>
  <si>
    <t xml:space="preserve">C2012872 </t>
  </si>
  <si>
    <t xml:space="preserve">SODIUM SILICATE POWDER </t>
  </si>
  <si>
    <t xml:space="preserve">C2012864 </t>
  </si>
  <si>
    <t>24.08.20</t>
  </si>
  <si>
    <t xml:space="preserve">C2012842 </t>
  </si>
  <si>
    <t xml:space="preserve">C2012841 </t>
  </si>
  <si>
    <t>Gwalior</t>
  </si>
  <si>
    <t xml:space="preserve">C2012839 </t>
  </si>
  <si>
    <t xml:space="preserve">30/- vsir </t>
  </si>
  <si>
    <t>Sikim</t>
  </si>
  <si>
    <t>18.08.20</t>
  </si>
  <si>
    <t xml:space="preserve">Sodim Sulphate </t>
  </si>
  <si>
    <t>17.08.20</t>
  </si>
  <si>
    <t xml:space="preserve">C2012788 </t>
  </si>
  <si>
    <t xml:space="preserve">Sodium Sulphate  </t>
  </si>
  <si>
    <t xml:space="preserve">C2012771 </t>
  </si>
  <si>
    <t>14.08.20</t>
  </si>
  <si>
    <t>60 psir</t>
  </si>
  <si>
    <t>22 p sir</t>
  </si>
  <si>
    <t>Refractory Bed Material</t>
  </si>
  <si>
    <t>5.50/- vsir</t>
  </si>
  <si>
    <t>12.08.20</t>
  </si>
  <si>
    <t xml:space="preserve"> Calcium Carbide</t>
  </si>
  <si>
    <t>8/- visr</t>
  </si>
  <si>
    <t xml:space="preserve">Ammonium Sulphate </t>
  </si>
  <si>
    <t>18/-p sir</t>
  </si>
  <si>
    <t xml:space="preserve">Vijayawada </t>
  </si>
  <si>
    <t xml:space="preserve"> Mumbai</t>
  </si>
  <si>
    <t>40/- v sir</t>
  </si>
  <si>
    <t xml:space="preserve">C2012731 </t>
  </si>
  <si>
    <t>11.08.20</t>
  </si>
  <si>
    <t>Sodium Sulphate Powder</t>
  </si>
  <si>
    <t>10.08.20</t>
  </si>
  <si>
    <t xml:space="preserve">GMS Powder </t>
  </si>
  <si>
    <t>110/- v sir</t>
  </si>
  <si>
    <t>27/-kg p sir</t>
  </si>
  <si>
    <t>5.50/-kg p sir</t>
  </si>
  <si>
    <t>a</t>
  </si>
  <si>
    <t>10/-p sir</t>
  </si>
  <si>
    <t>110/-p sir</t>
  </si>
  <si>
    <t>Benatonite Clay</t>
  </si>
  <si>
    <t>7/-kg p sir</t>
  </si>
  <si>
    <t>09.08.20</t>
  </si>
  <si>
    <t xml:space="preserve">C2012694 </t>
  </si>
  <si>
    <t xml:space="preserve">C2012711 </t>
  </si>
  <si>
    <t>38/-p sir</t>
  </si>
  <si>
    <t>09.08.020</t>
  </si>
  <si>
    <t xml:space="preserve">Gypsum Powder </t>
  </si>
  <si>
    <t>4.50/- vj for</t>
  </si>
  <si>
    <t>17/-b j</t>
  </si>
  <si>
    <t>03.08.20</t>
  </si>
  <si>
    <t xml:space="preserve">36/-kg </t>
  </si>
  <si>
    <t>235/- psir</t>
  </si>
  <si>
    <t>85/-p sir</t>
  </si>
  <si>
    <t>170/-ltr bj</t>
  </si>
  <si>
    <t>18/-kg bj</t>
  </si>
  <si>
    <t>Avid Slurry</t>
  </si>
  <si>
    <t>15/- vsir</t>
  </si>
  <si>
    <t>7/-kg v sir</t>
  </si>
  <si>
    <t>01.08.20</t>
  </si>
  <si>
    <t>20/-p sir</t>
  </si>
  <si>
    <t>6.50/- bj</t>
  </si>
  <si>
    <t xml:space="preserve">Earthing Charcoal </t>
  </si>
  <si>
    <t>15/- bj</t>
  </si>
  <si>
    <t xml:space="preserve"> Liquid Methanol</t>
  </si>
  <si>
    <t>72/- b j</t>
  </si>
  <si>
    <t>31.07.20</t>
  </si>
  <si>
    <t>30.07.20</t>
  </si>
  <si>
    <t>28.07.20</t>
  </si>
  <si>
    <t>27.07.20</t>
  </si>
  <si>
    <t>26.07.20</t>
  </si>
  <si>
    <t>E-Mail</t>
  </si>
  <si>
    <t>24.07.20</t>
  </si>
  <si>
    <t>22/-p sri</t>
  </si>
  <si>
    <t>Powder Gypsum</t>
  </si>
  <si>
    <t>15/-p sir</t>
  </si>
  <si>
    <t>14/-p sir</t>
  </si>
  <si>
    <t>20/-kg p sir</t>
  </si>
  <si>
    <t>9/-p sir</t>
  </si>
  <si>
    <t>22.07.20</t>
  </si>
  <si>
    <t>55/-kg v sir</t>
  </si>
  <si>
    <t xml:space="preserve"> Wooden Charcoal</t>
  </si>
  <si>
    <t>21.07.20</t>
  </si>
  <si>
    <t>Big Size 250/-   Small Size  180/- p sir</t>
  </si>
  <si>
    <t>20.07.20</t>
  </si>
  <si>
    <t xml:space="preserve">Wood Charcoal </t>
  </si>
  <si>
    <t>75/-kg psir</t>
  </si>
  <si>
    <t>47/- psir</t>
  </si>
  <si>
    <t>40/-kg p sir</t>
  </si>
  <si>
    <t>50/-kg p sir</t>
  </si>
  <si>
    <t>140/-kg p sir</t>
  </si>
  <si>
    <t>17.07.20</t>
  </si>
  <si>
    <t xml:space="preserve"> Mica Powder</t>
  </si>
  <si>
    <t>18/-kg p sir</t>
  </si>
  <si>
    <t>16.07.20</t>
  </si>
  <si>
    <t xml:space="preserve">Srivilliputtur </t>
  </si>
  <si>
    <t>23/-kg B jana</t>
  </si>
  <si>
    <t>220/-p sir</t>
  </si>
  <si>
    <t>175/-kg p sir</t>
  </si>
  <si>
    <t>50/-p sir</t>
  </si>
  <si>
    <t xml:space="preserve">C2012512 </t>
  </si>
  <si>
    <t>15.07.20</t>
  </si>
  <si>
    <t xml:space="preserve">C2012500 </t>
  </si>
  <si>
    <t xml:space="preserve">C2012494 </t>
  </si>
  <si>
    <t>98/-kg b jana</t>
  </si>
  <si>
    <t>8/-kg b jana</t>
  </si>
  <si>
    <t xml:space="preserve">C2012506 </t>
  </si>
  <si>
    <t>D2020-017</t>
  </si>
  <si>
    <t xml:space="preserve">Glycerol </t>
  </si>
  <si>
    <t>85/-KG V sir</t>
  </si>
  <si>
    <t>13.07.20</t>
  </si>
  <si>
    <t>60/-kg p sir</t>
  </si>
  <si>
    <t xml:space="preserve">Silvassa </t>
  </si>
  <si>
    <t>45/-KG Psir</t>
  </si>
  <si>
    <t>27/- kg ex-kolkata p sir</t>
  </si>
  <si>
    <t>1700/-kg Psir</t>
  </si>
  <si>
    <t>Chorimc Acid</t>
  </si>
  <si>
    <t>245/-p sir</t>
  </si>
  <si>
    <t>7/-KG V sir</t>
  </si>
  <si>
    <t xml:space="preserve">C2012461 </t>
  </si>
  <si>
    <t>45/-kg v sir</t>
  </si>
  <si>
    <t>25/-kg v sir</t>
  </si>
  <si>
    <t>145/-kg b jana</t>
  </si>
  <si>
    <t>Akola</t>
  </si>
  <si>
    <t xml:space="preserve">C2012434 </t>
  </si>
  <si>
    <t>08.07.20</t>
  </si>
  <si>
    <t xml:space="preserve">C2012439 </t>
  </si>
  <si>
    <t>80/-kg v sir</t>
  </si>
  <si>
    <t>07.07.20</t>
  </si>
  <si>
    <t>06.07.020</t>
  </si>
  <si>
    <t>33/-kg p sir</t>
  </si>
  <si>
    <t>06.07.20</t>
  </si>
  <si>
    <t>25/-kg p sir</t>
  </si>
  <si>
    <t>Wankaner</t>
  </si>
  <si>
    <t>6/-kg p sir</t>
  </si>
  <si>
    <t xml:space="preserve">630/-kg </t>
  </si>
  <si>
    <t>04.07.20</t>
  </si>
  <si>
    <t>40/-kg P sir</t>
  </si>
  <si>
    <t xml:space="preserve">C2012399 </t>
  </si>
  <si>
    <t>Uttrakhand</t>
  </si>
  <si>
    <t>85/-kg v SIR</t>
  </si>
  <si>
    <t xml:space="preserve">C2012392 </t>
  </si>
  <si>
    <t>125/-kg Psir</t>
  </si>
  <si>
    <t xml:space="preserve">C2012116 </t>
  </si>
  <si>
    <t xml:space="preserve">125/-kg P sir </t>
  </si>
  <si>
    <t>03.07.20</t>
  </si>
  <si>
    <t>v sir</t>
  </si>
  <si>
    <t>7.50/-kg V sir</t>
  </si>
  <si>
    <t>02.07.20</t>
  </si>
  <si>
    <t>12/-kg v sir</t>
  </si>
  <si>
    <t xml:space="preserve">C2012372 </t>
  </si>
  <si>
    <t>95/-kg v sir</t>
  </si>
  <si>
    <t xml:space="preserve">C2012371 </t>
  </si>
  <si>
    <t>5.50/-kg v sir</t>
  </si>
  <si>
    <t xml:space="preserve">Hisar </t>
  </si>
  <si>
    <t>190/-kg p sir</t>
  </si>
  <si>
    <t xml:space="preserve"> Phosphoric Acid</t>
  </si>
  <si>
    <t>125/-kg p sir</t>
  </si>
  <si>
    <t>34/-kg p sir</t>
  </si>
  <si>
    <t>425/-kg V SIR</t>
  </si>
  <si>
    <t>01.07.20</t>
  </si>
  <si>
    <t xml:space="preserve">C2012328 </t>
  </si>
  <si>
    <t>Chandrapur</t>
  </si>
  <si>
    <t xml:space="preserve">C2012332 </t>
  </si>
  <si>
    <t>110/-kg v sir</t>
  </si>
  <si>
    <t>11/-kg V sir</t>
  </si>
  <si>
    <t>20/-kg V sir</t>
  </si>
  <si>
    <t>30.06.20</t>
  </si>
  <si>
    <t xml:space="preserve">C2012284 </t>
  </si>
  <si>
    <t xml:space="preserve">C2012323 </t>
  </si>
  <si>
    <t>98/-kg v sir</t>
  </si>
  <si>
    <t xml:space="preserve">C2012314 </t>
  </si>
  <si>
    <t>9/-kg 5% v sir</t>
  </si>
  <si>
    <t>14/-kg v sir</t>
  </si>
  <si>
    <t>Sodium SilicatePowder</t>
  </si>
  <si>
    <t>98/-kg b.j</t>
  </si>
  <si>
    <t>Navi Mumbai - 400706</t>
  </si>
  <si>
    <t>29.06.20</t>
  </si>
  <si>
    <t xml:space="preserve">C2011828 </t>
  </si>
  <si>
    <t>630/-kg v sir</t>
  </si>
  <si>
    <t>27.06.20</t>
  </si>
  <si>
    <t xml:space="preserve"> Feed Molasses</t>
  </si>
  <si>
    <t>25.06.20</t>
  </si>
  <si>
    <t>130/-p sir</t>
  </si>
  <si>
    <t>Hubli</t>
  </si>
  <si>
    <t>Salts</t>
  </si>
  <si>
    <t>24.06.20</t>
  </si>
  <si>
    <t xml:space="preserve">Siliguri </t>
  </si>
  <si>
    <t>630/- v sir</t>
  </si>
  <si>
    <t>120/- v sir</t>
  </si>
  <si>
    <t>23.06.20</t>
  </si>
  <si>
    <t>260/- v sir</t>
  </si>
  <si>
    <t>v j</t>
  </si>
  <si>
    <t>260/- kg v sir</t>
  </si>
  <si>
    <t>45/-kg p sir</t>
  </si>
  <si>
    <t>22.06.20</t>
  </si>
  <si>
    <t>6.50/- P sir</t>
  </si>
  <si>
    <t>10/-kg p sir</t>
  </si>
  <si>
    <t xml:space="preserve">23/-kg </t>
  </si>
  <si>
    <t>24/-kg v sir</t>
  </si>
  <si>
    <t>22/- v sir</t>
  </si>
  <si>
    <t>22/-v sir</t>
  </si>
  <si>
    <t>20.06.20</t>
  </si>
  <si>
    <t>250/-kg p sir</t>
  </si>
  <si>
    <t>19.06.20</t>
  </si>
  <si>
    <t xml:space="preserve">C2012198 </t>
  </si>
  <si>
    <t>18.06.20</t>
  </si>
  <si>
    <t>14.50/-kg p sir</t>
  </si>
  <si>
    <t>Felespar Powder</t>
  </si>
  <si>
    <t>32/-kg p sir</t>
  </si>
  <si>
    <t>30/-kg v sir</t>
  </si>
  <si>
    <t>17.06.20</t>
  </si>
  <si>
    <t xml:space="preserve">C2012179 </t>
  </si>
  <si>
    <t>48/-kg p sir</t>
  </si>
  <si>
    <t xml:space="preserve">C2012171 </t>
  </si>
  <si>
    <t xml:space="preserve">C2012170 </t>
  </si>
  <si>
    <t>16.06.20</t>
  </si>
  <si>
    <t xml:space="preserve">C2012158 </t>
  </si>
  <si>
    <t>20/-kg Vsir</t>
  </si>
  <si>
    <t xml:space="preserve">C2012163 </t>
  </si>
  <si>
    <t xml:space="preserve">C2012165 </t>
  </si>
  <si>
    <t xml:space="preserve">C2012157 </t>
  </si>
  <si>
    <t xml:space="preserve">C2012160 </t>
  </si>
  <si>
    <t>25/- p sir</t>
  </si>
  <si>
    <t>15.06.20</t>
  </si>
  <si>
    <t xml:space="preserve">C2012155 </t>
  </si>
  <si>
    <t xml:space="preserve">C2012142 </t>
  </si>
  <si>
    <t xml:space="preserve">18/-kg </t>
  </si>
  <si>
    <t xml:space="preserve">C2012139 </t>
  </si>
  <si>
    <t xml:space="preserve">22/-kg </t>
  </si>
  <si>
    <t xml:space="preserve">35/-kg </t>
  </si>
  <si>
    <t xml:space="preserve">C2012144 </t>
  </si>
  <si>
    <t>15/- V Sir</t>
  </si>
  <si>
    <t xml:space="preserve">C2012137 </t>
  </si>
  <si>
    <t>V sir</t>
  </si>
  <si>
    <t>13.06.20</t>
  </si>
  <si>
    <t xml:space="preserve">C2012128 </t>
  </si>
  <si>
    <t>6.80/-V Sir</t>
  </si>
  <si>
    <t>15/- v sir</t>
  </si>
  <si>
    <t xml:space="preserve">C2012117 </t>
  </si>
  <si>
    <t>140/- v sir</t>
  </si>
  <si>
    <t xml:space="preserve"> Industrial Salt</t>
  </si>
  <si>
    <t>30/-kg v.sir</t>
  </si>
  <si>
    <t xml:space="preserve">C2012124 </t>
  </si>
  <si>
    <t>6.50/- V Sir</t>
  </si>
  <si>
    <t>12.06.20</t>
  </si>
  <si>
    <t xml:space="preserve">C2012110 </t>
  </si>
  <si>
    <t xml:space="preserve">C2012101 </t>
  </si>
  <si>
    <t xml:space="preserve">C2012103 </t>
  </si>
  <si>
    <t>130/- p sir</t>
  </si>
  <si>
    <t xml:space="preserve">C2012105 </t>
  </si>
  <si>
    <t>39/-p sir</t>
  </si>
  <si>
    <t>11.06.20</t>
  </si>
  <si>
    <t xml:space="preserve">C2012099 </t>
  </si>
  <si>
    <t xml:space="preserve">C2012091 </t>
  </si>
  <si>
    <t xml:space="preserve">C2012090 </t>
  </si>
  <si>
    <t xml:space="preserve">C2012095 </t>
  </si>
  <si>
    <t xml:space="preserve">C2012094 </t>
  </si>
  <si>
    <t xml:space="preserve">C2012086 </t>
  </si>
  <si>
    <t>10.06.20</t>
  </si>
  <si>
    <t xml:space="preserve">C2012073 </t>
  </si>
  <si>
    <t xml:space="preserve">C2012081 </t>
  </si>
  <si>
    <t>V.J</t>
  </si>
  <si>
    <t xml:space="preserve"> Dolomite Powder</t>
  </si>
  <si>
    <t>97/-bJ</t>
  </si>
  <si>
    <t xml:space="preserve">C2012076 </t>
  </si>
  <si>
    <t xml:space="preserve">C2012072 </t>
  </si>
  <si>
    <t>09.06.20</t>
  </si>
  <si>
    <t xml:space="preserve">C2012069 </t>
  </si>
  <si>
    <t xml:space="preserve">C2012064 </t>
  </si>
  <si>
    <t>28/- v.j</t>
  </si>
  <si>
    <t>10/- v.j</t>
  </si>
  <si>
    <t>25/- v.j</t>
  </si>
  <si>
    <t xml:space="preserve">C2012068 </t>
  </si>
  <si>
    <t xml:space="preserve">C2012058 </t>
  </si>
  <si>
    <t xml:space="preserve">Malegaon </t>
  </si>
  <si>
    <t>30/-v.j</t>
  </si>
  <si>
    <t xml:space="preserve">C2012057 </t>
  </si>
  <si>
    <t xml:space="preserve"> Dandi Wood Charcoal</t>
  </si>
  <si>
    <t>30/- vj</t>
  </si>
  <si>
    <t xml:space="preserve">C2012053 </t>
  </si>
  <si>
    <t xml:space="preserve">C2012055 </t>
  </si>
  <si>
    <t>08.06.20</t>
  </si>
  <si>
    <t xml:space="preserve">C2012054 </t>
  </si>
  <si>
    <t xml:space="preserve">C2012043 </t>
  </si>
  <si>
    <t>08.6.20</t>
  </si>
  <si>
    <t xml:space="preserve">C2012042 </t>
  </si>
  <si>
    <t>05.06.20</t>
  </si>
  <si>
    <t xml:space="preserve"> Industrial Salts</t>
  </si>
  <si>
    <t>04.06.20</t>
  </si>
  <si>
    <t xml:space="preserve">C2012016 </t>
  </si>
  <si>
    <t>Liquid Neutral Rectified Spirit</t>
  </si>
  <si>
    <t>D2020-09</t>
  </si>
  <si>
    <t xml:space="preserve">C2012008 </t>
  </si>
  <si>
    <t>6/-kg v.sir</t>
  </si>
  <si>
    <t xml:space="preserve">C2012007 </t>
  </si>
  <si>
    <t>7/- v.sir</t>
  </si>
  <si>
    <t>E-mail</t>
  </si>
  <si>
    <t>Chloramine</t>
  </si>
  <si>
    <t>v.sir</t>
  </si>
  <si>
    <t>ZINC SULPHATE  MONO HYDRATE
28%</t>
  </si>
  <si>
    <t>JHAGADIA - GUJARAT</t>
  </si>
  <si>
    <t>48/- v.sir</t>
  </si>
  <si>
    <t>03.06.20</t>
  </si>
  <si>
    <t>Bakura</t>
  </si>
  <si>
    <t>65/- p.sir</t>
  </si>
  <si>
    <t xml:space="preserve">C2012003 </t>
  </si>
  <si>
    <t>16/- p sir</t>
  </si>
  <si>
    <t xml:space="preserve">C2011998 </t>
  </si>
  <si>
    <t xml:space="preserve">C2012001 </t>
  </si>
  <si>
    <t>25/-kg V.Sir</t>
  </si>
  <si>
    <t xml:space="preserve">C2012000 </t>
  </si>
  <si>
    <t>30/-v sir</t>
  </si>
  <si>
    <t xml:space="preserve">C2011999 </t>
  </si>
  <si>
    <t>150/-kg p.sir</t>
  </si>
  <si>
    <t xml:space="preserve">C2011997 </t>
  </si>
  <si>
    <t>02.06.20</t>
  </si>
  <si>
    <t xml:space="preserve">C2011971 </t>
  </si>
  <si>
    <t xml:space="preserve"> kolkata</t>
  </si>
  <si>
    <t xml:space="preserve"> Hydrogen Peroxide</t>
  </si>
  <si>
    <t>75/- p.sir</t>
  </si>
  <si>
    <t xml:space="preserve">C2011991 </t>
  </si>
  <si>
    <t xml:space="preserve">C2011968 </t>
  </si>
  <si>
    <t xml:space="preserve">C201988 </t>
  </si>
  <si>
    <t xml:space="preserve">C2011983 </t>
  </si>
  <si>
    <t xml:space="preserve">C2011984 </t>
  </si>
  <si>
    <t>01.06.20</t>
  </si>
  <si>
    <t>Ethyl Alcohal</t>
  </si>
  <si>
    <t>30.05.20</t>
  </si>
  <si>
    <t xml:space="preserve">C2011966 </t>
  </si>
  <si>
    <t xml:space="preserve">C2011964 </t>
  </si>
  <si>
    <t xml:space="preserve">C2011963 </t>
  </si>
  <si>
    <t xml:space="preserve">C2011967 </t>
  </si>
  <si>
    <t xml:space="preserve">C2011956 </t>
  </si>
  <si>
    <t>37/- v.sir</t>
  </si>
  <si>
    <t>29.05.20</t>
  </si>
  <si>
    <t xml:space="preserve">C2011949 </t>
  </si>
  <si>
    <t xml:space="preserve">C2011952 </t>
  </si>
  <si>
    <t xml:space="preserve">C2011948 </t>
  </si>
  <si>
    <t>Cornstarch Powder</t>
  </si>
  <si>
    <t xml:space="preserve">C2011951 </t>
  </si>
  <si>
    <t>Liquid Neutral Ethanol</t>
  </si>
  <si>
    <t xml:space="preserve">C2011939 </t>
  </si>
  <si>
    <t>68/-kg v.sir</t>
  </si>
  <si>
    <t xml:space="preserve">C2011937 </t>
  </si>
  <si>
    <t xml:space="preserve">C2011940 </t>
  </si>
  <si>
    <t>27.05.20</t>
  </si>
  <si>
    <t xml:space="preserve">C2011924 </t>
  </si>
  <si>
    <t>Ammonium Bicarbonate Powder</t>
  </si>
  <si>
    <t>26/-v.j</t>
  </si>
  <si>
    <t>48/- vj</t>
  </si>
  <si>
    <t>26.05.20</t>
  </si>
  <si>
    <t xml:space="preserve">C2011922 </t>
  </si>
  <si>
    <t>25.05.20</t>
  </si>
  <si>
    <t xml:space="preserve">C2011898 </t>
  </si>
  <si>
    <t>23.05.20</t>
  </si>
  <si>
    <t>D2020-06</t>
  </si>
  <si>
    <t>Soda Ash Tata</t>
  </si>
  <si>
    <t>Bangaluru</t>
  </si>
  <si>
    <t>21.50/- V.J</t>
  </si>
  <si>
    <t xml:space="preserve">C2011894 </t>
  </si>
  <si>
    <t>20.05.20</t>
  </si>
  <si>
    <t xml:space="preserve">C2011895 </t>
  </si>
  <si>
    <t xml:space="preserve">C2011896 </t>
  </si>
  <si>
    <t>C2011893</t>
  </si>
  <si>
    <t xml:space="preserve">C2011675 </t>
  </si>
  <si>
    <t xml:space="preserve">C2011773 </t>
  </si>
  <si>
    <t>19.05.20</t>
  </si>
  <si>
    <t xml:space="preserve"> Ethyl Alcohol</t>
  </si>
  <si>
    <t xml:space="preserve">C2011890 </t>
  </si>
  <si>
    <t xml:space="preserve">C2011889 </t>
  </si>
  <si>
    <t xml:space="preserve">C2011701 </t>
  </si>
  <si>
    <t>Surgical Spirits</t>
  </si>
  <si>
    <t xml:space="preserve">C2011865 </t>
  </si>
  <si>
    <t xml:space="preserve">C2011702 </t>
  </si>
  <si>
    <t>C2011702</t>
  </si>
  <si>
    <t xml:space="preserve">C2011882 </t>
  </si>
  <si>
    <t xml:space="preserve">C2011878 </t>
  </si>
  <si>
    <t>18.05.20</t>
  </si>
  <si>
    <t xml:space="preserve">C2011848 </t>
  </si>
  <si>
    <t>howrah</t>
  </si>
  <si>
    <t xml:space="preserve">C2011876 </t>
  </si>
  <si>
    <t xml:space="preserve">C2011872 </t>
  </si>
  <si>
    <t xml:space="preserve">C2011873 </t>
  </si>
  <si>
    <t xml:space="preserve">C2011871 </t>
  </si>
  <si>
    <t xml:space="preserve">C2011869 </t>
  </si>
  <si>
    <t xml:space="preserve">C2011868 </t>
  </si>
  <si>
    <t xml:space="preserve">C2011861 </t>
  </si>
  <si>
    <t>18/- v.sir</t>
  </si>
  <si>
    <t xml:space="preserve">C2011864 </t>
  </si>
  <si>
    <t>17.05.20</t>
  </si>
  <si>
    <t xml:space="preserve">C2011857 </t>
  </si>
  <si>
    <t xml:space="preserve">C2011856 </t>
  </si>
  <si>
    <t>140 p.sir</t>
  </si>
  <si>
    <t>patna</t>
  </si>
  <si>
    <t xml:space="preserve">C2011743 </t>
  </si>
  <si>
    <t xml:space="preserve">C2011806 </t>
  </si>
  <si>
    <t xml:space="preserve">C2011854 </t>
  </si>
  <si>
    <t>16.05.20</t>
  </si>
  <si>
    <t xml:space="preserve">C2011850 </t>
  </si>
  <si>
    <t xml:space="preserve">C2011844 </t>
  </si>
  <si>
    <t xml:space="preserve">C2011840 </t>
  </si>
  <si>
    <t xml:space="preserve"> Chlorine Tablet</t>
  </si>
  <si>
    <t xml:space="preserve">C2011842 </t>
  </si>
  <si>
    <t>CALCIUM Carbide</t>
  </si>
  <si>
    <t xml:space="preserve">C2011838 </t>
  </si>
  <si>
    <t xml:space="preserve">C2011837 </t>
  </si>
  <si>
    <t>15.05.20</t>
  </si>
  <si>
    <t>north 24 pgs</t>
  </si>
  <si>
    <t xml:space="preserve">C2011831 </t>
  </si>
  <si>
    <t xml:space="preserve">C2011825 </t>
  </si>
  <si>
    <t xml:space="preserve">C2011823 </t>
  </si>
  <si>
    <t>kolaghat</t>
  </si>
  <si>
    <t xml:space="preserve">C2011821 </t>
  </si>
  <si>
    <t xml:space="preserve">C2011819 </t>
  </si>
  <si>
    <t>14.05.20</t>
  </si>
  <si>
    <t xml:space="preserve">C2011816 </t>
  </si>
  <si>
    <t>KOLHAPUR</t>
  </si>
  <si>
    <t xml:space="preserve"> Neutral Ethanol</t>
  </si>
  <si>
    <t xml:space="preserve">C2011796 </t>
  </si>
  <si>
    <t xml:space="preserve">C2011793 </t>
  </si>
  <si>
    <t>22 v.j</t>
  </si>
  <si>
    <t>13.05.20</t>
  </si>
  <si>
    <t xml:space="preserve">C2011797 </t>
  </si>
  <si>
    <t xml:space="preserve">C2011798 </t>
  </si>
  <si>
    <t>12.05.20</t>
  </si>
  <si>
    <t xml:space="preserve">C2011569 </t>
  </si>
  <si>
    <t>mumbai</t>
  </si>
  <si>
    <t xml:space="preserve">C2011782 </t>
  </si>
  <si>
    <t>siliguri</t>
  </si>
  <si>
    <t xml:space="preserve">C2011781 </t>
  </si>
  <si>
    <t xml:space="preserve">C2011777 </t>
  </si>
  <si>
    <t>30 v.j</t>
  </si>
  <si>
    <t>11.05.20</t>
  </si>
  <si>
    <t xml:space="preserve">C2011755 </t>
  </si>
  <si>
    <t xml:space="preserve">C2011775 </t>
  </si>
  <si>
    <t xml:space="preserve">C2011774 </t>
  </si>
  <si>
    <t>85 p sir</t>
  </si>
  <si>
    <t>60 p sir</t>
  </si>
  <si>
    <t xml:space="preserve">C2011765 </t>
  </si>
  <si>
    <t xml:space="preserve">C2011764 </t>
  </si>
  <si>
    <t xml:space="preserve">Lime Powder  </t>
  </si>
  <si>
    <t>10.05.20</t>
  </si>
  <si>
    <t xml:space="preserve">C2011763 </t>
  </si>
  <si>
    <t>09.05.20</t>
  </si>
  <si>
    <t xml:space="preserve">C2011745 </t>
  </si>
  <si>
    <t xml:space="preserve">C2011749 </t>
  </si>
  <si>
    <t xml:space="preserve">C2011754 </t>
  </si>
  <si>
    <t xml:space="preserve">C2011733 </t>
  </si>
  <si>
    <t xml:space="preserve">C2011753 </t>
  </si>
  <si>
    <t xml:space="preserve">C2011752 </t>
  </si>
  <si>
    <t xml:space="preserve">C2011728 </t>
  </si>
  <si>
    <t xml:space="preserve">C2011746 </t>
  </si>
  <si>
    <t xml:space="preserve">C2011747 </t>
  </si>
  <si>
    <t xml:space="preserve">C2011741 </t>
  </si>
  <si>
    <t>paradeep</t>
  </si>
  <si>
    <t xml:space="preserve">C2011734 </t>
  </si>
  <si>
    <t>Daman &amp; Diu</t>
  </si>
  <si>
    <t>V.j</t>
  </si>
  <si>
    <t>08.05.20</t>
  </si>
  <si>
    <t xml:space="preserve">C2011736 </t>
  </si>
  <si>
    <t xml:space="preserve">glass powder </t>
  </si>
  <si>
    <t xml:space="preserve">C2011735 </t>
  </si>
  <si>
    <t>Industrial Raw Salt</t>
  </si>
  <si>
    <t xml:space="preserve">C2011729 </t>
  </si>
  <si>
    <t xml:space="preserve">C2011727 </t>
  </si>
  <si>
    <t xml:space="preserve">C2011722 </t>
  </si>
  <si>
    <t xml:space="preserve">C2011721 </t>
  </si>
  <si>
    <t>07.05.20</t>
  </si>
  <si>
    <t xml:space="preserve">C2011706 </t>
  </si>
  <si>
    <t xml:space="preserve">Ethanol </t>
  </si>
  <si>
    <t xml:space="preserve">C2011711 </t>
  </si>
  <si>
    <t xml:space="preserve">C2011699 </t>
  </si>
  <si>
    <t xml:space="preserve">C2011700 </t>
  </si>
  <si>
    <t xml:space="preserve">C2011703 </t>
  </si>
  <si>
    <t>8.00 P.Sir</t>
  </si>
  <si>
    <t>06.05.20</t>
  </si>
  <si>
    <t xml:space="preserve">C2011682 </t>
  </si>
  <si>
    <t xml:space="preserve">C2011688 </t>
  </si>
  <si>
    <t xml:space="preserve">C2011626 </t>
  </si>
  <si>
    <t xml:space="preserve">C2011694 </t>
  </si>
  <si>
    <t>C2011684</t>
  </si>
  <si>
    <t xml:space="preserve">C2011684 </t>
  </si>
  <si>
    <t xml:space="preserve">C2011689 </t>
  </si>
  <si>
    <t xml:space="preserve">C2011677 </t>
  </si>
  <si>
    <t>05.05.20</t>
  </si>
  <si>
    <t xml:space="preserve">C2011671 </t>
  </si>
  <si>
    <t xml:space="preserve">C2011669 </t>
  </si>
  <si>
    <t xml:space="preserve">C2011665 </t>
  </si>
  <si>
    <t xml:space="preserve">C2011664 </t>
  </si>
  <si>
    <t>20.03.20</t>
  </si>
  <si>
    <t xml:space="preserve">C2011658 </t>
  </si>
  <si>
    <t xml:space="preserve">C2011624 </t>
  </si>
  <si>
    <t xml:space="preserve">N20100453 </t>
  </si>
  <si>
    <t xml:space="preserve">C2011647 </t>
  </si>
  <si>
    <t xml:space="preserve">N20100456 </t>
  </si>
  <si>
    <t>Lanolin</t>
  </si>
  <si>
    <t xml:space="preserve">C2011618 </t>
  </si>
  <si>
    <t xml:space="preserve">C2011622 </t>
  </si>
  <si>
    <t xml:space="preserve">C2011627 </t>
  </si>
  <si>
    <t xml:space="preserve">C2011638 </t>
  </si>
  <si>
    <t xml:space="preserve">C2011632 </t>
  </si>
  <si>
    <t xml:space="preserve">C2011657 </t>
  </si>
  <si>
    <t>Fine Salt</t>
  </si>
  <si>
    <t>18.03.20</t>
  </si>
  <si>
    <t xml:space="preserve">N20100447 </t>
  </si>
  <si>
    <t>Potassium Pr Magnet</t>
  </si>
  <si>
    <t>assam</t>
  </si>
  <si>
    <t xml:space="preserve">C2011604 </t>
  </si>
  <si>
    <t>C2011610</t>
  </si>
  <si>
    <t xml:space="preserve">N20100449 </t>
  </si>
  <si>
    <t>jharkhand</t>
  </si>
  <si>
    <t xml:space="preserve">N20100450 </t>
  </si>
  <si>
    <t xml:space="preserve">C2011615 </t>
  </si>
  <si>
    <t>17.03.20</t>
  </si>
  <si>
    <t xml:space="preserve">C2011563 </t>
  </si>
  <si>
    <t>ipa</t>
  </si>
  <si>
    <t xml:space="preserve">N20100444 </t>
  </si>
  <si>
    <t xml:space="preserve">C2011587 </t>
  </si>
  <si>
    <t>Ipa</t>
  </si>
  <si>
    <t>Punducharry</t>
  </si>
  <si>
    <t xml:space="preserve">C2011586 </t>
  </si>
  <si>
    <t xml:space="preserve"> Industrial Molasses</t>
  </si>
  <si>
    <t xml:space="preserve">N20100439 </t>
  </si>
  <si>
    <t xml:space="preserve">N20100438 </t>
  </si>
  <si>
    <t xml:space="preserve">C2011573 </t>
  </si>
  <si>
    <t xml:space="preserve">N20100445 </t>
  </si>
  <si>
    <t>Spirits</t>
  </si>
  <si>
    <t xml:space="preserve">C2011589 </t>
  </si>
  <si>
    <t xml:space="preserve">C2011585 </t>
  </si>
  <si>
    <t xml:space="preserve">C2011583 </t>
  </si>
  <si>
    <t xml:space="preserve">C2011577 </t>
  </si>
  <si>
    <t xml:space="preserve"> Lactic Acid</t>
  </si>
  <si>
    <t>16.03.20</t>
  </si>
  <si>
    <t xml:space="preserve">C2011555 </t>
  </si>
  <si>
    <t xml:space="preserve">C2011558 </t>
  </si>
  <si>
    <t>Blue Copper Sulphate</t>
  </si>
  <si>
    <t xml:space="preserve">C2011570 </t>
  </si>
  <si>
    <t xml:space="preserve">C2011557 </t>
  </si>
  <si>
    <t xml:space="preserve">C2011564 </t>
  </si>
  <si>
    <t xml:space="preserve">N20100435 </t>
  </si>
  <si>
    <t>14.03.20</t>
  </si>
  <si>
    <t xml:space="preserve">C2011537 </t>
  </si>
  <si>
    <t xml:space="preserve">C2011532 </t>
  </si>
  <si>
    <t xml:space="preserve">C2011545 </t>
  </si>
  <si>
    <t xml:space="preserve">C2011541 </t>
  </si>
  <si>
    <t>13.03.20</t>
  </si>
  <si>
    <t xml:space="preserve">C2011528 </t>
  </si>
  <si>
    <t xml:space="preserve">C2011522 </t>
  </si>
  <si>
    <t xml:space="preserve">C2011510 </t>
  </si>
  <si>
    <t>p.sir</t>
  </si>
  <si>
    <t xml:space="preserve">C2011511 </t>
  </si>
  <si>
    <t xml:space="preserve">C2011509 </t>
  </si>
  <si>
    <t xml:space="preserve">C2011507 </t>
  </si>
  <si>
    <t>Sodium Sulphate,</t>
  </si>
  <si>
    <t xml:space="preserve">C2011501 </t>
  </si>
  <si>
    <t>C2011500</t>
  </si>
  <si>
    <t xml:space="preserve"> Manganese Sulphate</t>
  </si>
  <si>
    <t xml:space="preserve">N20100420 </t>
  </si>
  <si>
    <t xml:space="preserve">C2011504 </t>
  </si>
  <si>
    <t xml:space="preserve">C2011419 </t>
  </si>
  <si>
    <t>C2011386</t>
  </si>
  <si>
    <t xml:space="preserve">Pune </t>
  </si>
  <si>
    <t>12.03.20</t>
  </si>
  <si>
    <t xml:space="preserve">C2011496 </t>
  </si>
  <si>
    <t xml:space="preserve">C2011498 </t>
  </si>
  <si>
    <t xml:space="preserve">C2011495 </t>
  </si>
  <si>
    <t xml:space="preserve">C2011497 </t>
  </si>
  <si>
    <t xml:space="preserve">C2011493 </t>
  </si>
  <si>
    <t xml:space="preserve">N20100412 </t>
  </si>
  <si>
    <t xml:space="preserve">C2011490 </t>
  </si>
  <si>
    <t xml:space="preserve">C2011474 </t>
  </si>
  <si>
    <t xml:space="preserve">C2011486 </t>
  </si>
  <si>
    <t xml:space="preserve">N20100410 </t>
  </si>
  <si>
    <t xml:space="preserve">N20100409 </t>
  </si>
  <si>
    <t xml:space="preserve">C2011476 </t>
  </si>
  <si>
    <t>Glycerine Food Grade (Imported)</t>
  </si>
  <si>
    <t>Glycerine Food Grade (Indian)</t>
  </si>
  <si>
    <t xml:space="preserve">C2011472 </t>
  </si>
  <si>
    <t>Marble Dust Powder  (200 mess)</t>
  </si>
  <si>
    <t>Marble Dust Powder (150 mess)</t>
  </si>
  <si>
    <t xml:space="preserve">C2011471 </t>
  </si>
  <si>
    <t>C2011467</t>
  </si>
  <si>
    <t>11.03.20</t>
  </si>
  <si>
    <t xml:space="preserve">N20100405 </t>
  </si>
  <si>
    <t xml:space="preserve">C2011462 </t>
  </si>
  <si>
    <t xml:space="preserve">C2011457 </t>
  </si>
  <si>
    <t xml:space="preserve">N20100399 </t>
  </si>
  <si>
    <t xml:space="preserve">N20100400 </t>
  </si>
  <si>
    <t xml:space="preserve"> Low Ash Met Coke</t>
  </si>
  <si>
    <t xml:space="preserve">C2011450 </t>
  </si>
  <si>
    <t xml:space="preserve">C2011436 </t>
  </si>
  <si>
    <t xml:space="preserve">N20100396 </t>
  </si>
  <si>
    <t xml:space="preserve">C2011425 </t>
  </si>
  <si>
    <t xml:space="preserve">C2011422 </t>
  </si>
  <si>
    <t xml:space="preserve">C2011431 </t>
  </si>
  <si>
    <t xml:space="preserve">C2011433 </t>
  </si>
  <si>
    <t xml:space="preserve">C2011434 </t>
  </si>
  <si>
    <t xml:space="preserve">C2011435 </t>
  </si>
  <si>
    <t xml:space="preserve">C2011437 </t>
  </si>
  <si>
    <t xml:space="preserve">C2011438 </t>
  </si>
  <si>
    <t>Graphite Carbon Powder</t>
  </si>
  <si>
    <t>C2011438</t>
  </si>
  <si>
    <t>Graphite Carbon Granules</t>
  </si>
  <si>
    <t xml:space="preserve">C2011439 </t>
  </si>
  <si>
    <t xml:space="preserve">C2011448 </t>
  </si>
  <si>
    <t>07.03.20</t>
  </si>
  <si>
    <t xml:space="preserve">C2011416 </t>
  </si>
  <si>
    <t xml:space="preserve">Chennai </t>
  </si>
  <si>
    <t xml:space="preserve">C2011413 </t>
  </si>
  <si>
    <t xml:space="preserve">C2011412 </t>
  </si>
  <si>
    <t xml:space="preserve">C2011410 </t>
  </si>
  <si>
    <t xml:space="preserve">C2011411 </t>
  </si>
  <si>
    <t xml:space="preserve">N20100385 </t>
  </si>
  <si>
    <t xml:space="preserve">Carbon Black </t>
  </si>
  <si>
    <t xml:space="preserve">C2011401 </t>
  </si>
  <si>
    <t xml:space="preserve">Pectin </t>
  </si>
  <si>
    <t xml:space="preserve">C2011399 </t>
  </si>
  <si>
    <t xml:space="preserve">N20100383 </t>
  </si>
  <si>
    <t>SKC Gypsum Powder</t>
  </si>
  <si>
    <t xml:space="preserve">C2011407 </t>
  </si>
  <si>
    <t>06.03.20</t>
  </si>
  <si>
    <t xml:space="preserve">C2011392 </t>
  </si>
  <si>
    <t xml:space="preserve">C2011393 </t>
  </si>
  <si>
    <t xml:space="preserve">C2011366 </t>
  </si>
  <si>
    <t xml:space="preserve">C2011383 </t>
  </si>
  <si>
    <t xml:space="preserve">C2011373 </t>
  </si>
  <si>
    <t>Ethylene Absorber 5 gm</t>
  </si>
  <si>
    <t>Ethylene Absorber 3 gm</t>
  </si>
  <si>
    <t xml:space="preserve">C2011378 </t>
  </si>
  <si>
    <t xml:space="preserve">C2011380 </t>
  </si>
  <si>
    <t xml:space="preserve">C2011381 </t>
  </si>
  <si>
    <t>Refractory Boiler Bed Material</t>
  </si>
  <si>
    <t xml:space="preserve">C2011382 </t>
  </si>
  <si>
    <t xml:space="preserve">C2011376 </t>
  </si>
  <si>
    <t xml:space="preserve">C2011390 </t>
  </si>
  <si>
    <t>05.03.20</t>
  </si>
  <si>
    <t xml:space="preserve">C2011343 </t>
  </si>
  <si>
    <t>Ethylene Absorber Sachets (3 gm)</t>
  </si>
  <si>
    <t>Ethylene Absorber Sachets (5 gm)</t>
  </si>
  <si>
    <t xml:space="preserve">C2011360 </t>
  </si>
  <si>
    <t xml:space="preserve">C2011354 </t>
  </si>
  <si>
    <t>Solid Wood Charcoal</t>
  </si>
  <si>
    <t xml:space="preserve">C2011352 </t>
  </si>
  <si>
    <t xml:space="preserve">C2011365 </t>
  </si>
  <si>
    <t xml:space="preserve">C2011363 </t>
  </si>
  <si>
    <t xml:space="preserve">C2011359 </t>
  </si>
  <si>
    <t xml:space="preserve">C2011361 </t>
  </si>
  <si>
    <t>Marble Powder (200 MESS)</t>
  </si>
  <si>
    <t>Marble Powder (150 MESS)</t>
  </si>
  <si>
    <t xml:space="preserve">C2011347 </t>
  </si>
  <si>
    <t>04.03.20</t>
  </si>
  <si>
    <t xml:space="preserve">C2011340 </t>
  </si>
  <si>
    <t xml:space="preserve">C2011312 </t>
  </si>
  <si>
    <t xml:space="preserve"> Zirconium Silicate</t>
  </si>
  <si>
    <t>N20100356</t>
  </si>
  <si>
    <t xml:space="preserve">C2011302 </t>
  </si>
  <si>
    <t xml:space="preserve">Junagadh </t>
  </si>
  <si>
    <t xml:space="preserve">C2011321 </t>
  </si>
  <si>
    <t xml:space="preserve">C2011324 </t>
  </si>
  <si>
    <t>telangana</t>
  </si>
  <si>
    <t xml:space="preserve">N20100369 </t>
  </si>
  <si>
    <t xml:space="preserve">C2011335 </t>
  </si>
  <si>
    <t xml:space="preserve">N20100337 </t>
  </si>
  <si>
    <t>03.03.20</t>
  </si>
  <si>
    <t xml:space="preserve">C2011271 </t>
  </si>
  <si>
    <t xml:space="preserve">C2011305 </t>
  </si>
  <si>
    <t xml:space="preserve">C2011318 </t>
  </si>
  <si>
    <t xml:space="preserve">C2011319 </t>
  </si>
  <si>
    <t>Zinc Sulphate Powder 21 %</t>
  </si>
  <si>
    <t xml:space="preserve">C2011317 </t>
  </si>
  <si>
    <t xml:space="preserve">C2011316 </t>
  </si>
  <si>
    <t xml:space="preserve">C2011309 </t>
  </si>
  <si>
    <t xml:space="preserve">N20100363 </t>
  </si>
  <si>
    <t xml:space="preserve">C2011294 </t>
  </si>
  <si>
    <t xml:space="preserve">N20100360 </t>
  </si>
  <si>
    <t>White Silica Sand</t>
  </si>
  <si>
    <t xml:space="preserve">C2011307 </t>
  </si>
  <si>
    <t xml:space="preserve">N20100362 </t>
  </si>
  <si>
    <t>White Aluminum Oxide</t>
  </si>
  <si>
    <t>C2011230</t>
  </si>
  <si>
    <t>Talcum Powder 85%</t>
  </si>
  <si>
    <t>Talcum Powder 90 %</t>
  </si>
  <si>
    <t xml:space="preserve">C2011276 </t>
  </si>
  <si>
    <t>Lime Powder 90 %</t>
  </si>
  <si>
    <t xml:space="preserve">C2011282 </t>
  </si>
  <si>
    <t>Calcium Hydroxide 90%</t>
  </si>
  <si>
    <t>Calcium Hydroxide 80%</t>
  </si>
  <si>
    <t xml:space="preserve">C2011285 </t>
  </si>
  <si>
    <t>02.03.20</t>
  </si>
  <si>
    <t xml:space="preserve">C2011288 </t>
  </si>
  <si>
    <t xml:space="preserve">C2011290 </t>
  </si>
  <si>
    <t xml:space="preserve">C2011283 </t>
  </si>
  <si>
    <t xml:space="preserve">C2011280 </t>
  </si>
  <si>
    <t xml:space="preserve">C2011281 </t>
  </si>
  <si>
    <t xml:space="preserve">C2011270 </t>
  </si>
  <si>
    <t xml:space="preserve">N20100345 </t>
  </si>
  <si>
    <t>Mono Aluminum Phosphate</t>
  </si>
  <si>
    <t xml:space="preserve">C2011266 </t>
  </si>
  <si>
    <t xml:space="preserve">C2011268 </t>
  </si>
  <si>
    <t xml:space="preserve">C2011272 </t>
  </si>
  <si>
    <t xml:space="preserve">C2011273 </t>
  </si>
  <si>
    <t xml:space="preserve">C2011278 </t>
  </si>
  <si>
    <t>29.02.20</t>
  </si>
  <si>
    <t xml:space="preserve">N20100347 </t>
  </si>
  <si>
    <t xml:space="preserve">C2011260 </t>
  </si>
  <si>
    <t xml:space="preserve">N20100340 </t>
  </si>
  <si>
    <t xml:space="preserve">N20100338 </t>
  </si>
  <si>
    <t>Potassium Perchlorate (Granules)</t>
  </si>
  <si>
    <t>Potassium Perchlorate (powder)</t>
  </si>
  <si>
    <t xml:space="preserve">C2011256 </t>
  </si>
  <si>
    <t xml:space="preserve">C2011257 </t>
  </si>
  <si>
    <t>B.J</t>
  </si>
  <si>
    <t xml:space="preserve">C2011237 </t>
  </si>
  <si>
    <t>Manganese Sulphate 32 %</t>
  </si>
  <si>
    <t>28.02.20</t>
  </si>
  <si>
    <t xml:space="preserve">C2011240 </t>
  </si>
  <si>
    <t>28..02.20</t>
  </si>
  <si>
    <t xml:space="preserve">C2011238 </t>
  </si>
  <si>
    <t>Non Iodized Industrial Salt</t>
  </si>
  <si>
    <t xml:space="preserve">C2011232 </t>
  </si>
  <si>
    <t>Copper Slag(Graded)</t>
  </si>
  <si>
    <t>Copper Slag(Non Graded)</t>
  </si>
  <si>
    <t xml:space="preserve">C2011233 </t>
  </si>
  <si>
    <t xml:space="preserve">C2011234 </t>
  </si>
  <si>
    <t xml:space="preserve">C2011235 </t>
  </si>
  <si>
    <t xml:space="preserve">N20100333 </t>
  </si>
  <si>
    <t xml:space="preserve">C2011225 </t>
  </si>
  <si>
    <t xml:space="preserve">C2011229 </t>
  </si>
  <si>
    <t xml:space="preserve">C2011227 </t>
  </si>
  <si>
    <t xml:space="preserve">N20100329 </t>
  </si>
  <si>
    <t>C2011167</t>
  </si>
  <si>
    <t xml:space="preserve">C2011133 </t>
  </si>
  <si>
    <t>27.02.20</t>
  </si>
  <si>
    <t xml:space="preserve">C2011211 </t>
  </si>
  <si>
    <t>Ammonium bIcarbonate</t>
  </si>
  <si>
    <t xml:space="preserve">C2011213 </t>
  </si>
  <si>
    <t xml:space="preserve">C2011203 </t>
  </si>
  <si>
    <t>ALES</t>
  </si>
  <si>
    <t xml:space="preserve">C2011161 </t>
  </si>
  <si>
    <t>Benzalkonium Chloride 80 %</t>
  </si>
  <si>
    <t>Benzalkonium Chloride 50 %</t>
  </si>
  <si>
    <t>new</t>
  </si>
  <si>
    <t xml:space="preserve">C2011194 </t>
  </si>
  <si>
    <t xml:space="preserve">C2011195 </t>
  </si>
  <si>
    <t xml:space="preserve">C2011199 </t>
  </si>
  <si>
    <t xml:space="preserve">N20100319 </t>
  </si>
  <si>
    <t>White Powder Ammonium Bicarbonate</t>
  </si>
  <si>
    <t xml:space="preserve">C2011204 </t>
  </si>
  <si>
    <t>26.02.20</t>
  </si>
  <si>
    <t xml:space="preserve">C2011190 </t>
  </si>
  <si>
    <t>Marble Powder( 200 mess)</t>
  </si>
  <si>
    <t>Marble Powder (150 mess)</t>
  </si>
  <si>
    <t xml:space="preserve">C2011192 </t>
  </si>
  <si>
    <t>Natural Neutral Ethanol</t>
  </si>
  <si>
    <t xml:space="preserve">C2011042 </t>
  </si>
  <si>
    <t xml:space="preserve">C2011086 </t>
  </si>
  <si>
    <t xml:space="preserve">C2011185 </t>
  </si>
  <si>
    <t xml:space="preserve">C2011172 </t>
  </si>
  <si>
    <t xml:space="preserve">C2011170 </t>
  </si>
  <si>
    <t xml:space="preserve">C2011176 </t>
  </si>
  <si>
    <t xml:space="preserve">N20100314 </t>
  </si>
  <si>
    <t xml:space="preserve">C2011183 </t>
  </si>
  <si>
    <t xml:space="preserve">C2011184 </t>
  </si>
  <si>
    <t xml:space="preserve">C2011186 </t>
  </si>
  <si>
    <t>calcium chloride</t>
  </si>
  <si>
    <t>25.02.20</t>
  </si>
  <si>
    <t xml:space="preserve">C2011165 </t>
  </si>
  <si>
    <t xml:space="preserve">C2011166 </t>
  </si>
  <si>
    <t xml:space="preserve">N20100308 </t>
  </si>
  <si>
    <t>Tamil nadu</t>
  </si>
  <si>
    <t xml:space="preserve">C2011136 </t>
  </si>
  <si>
    <t xml:space="preserve">N20100284 </t>
  </si>
  <si>
    <t xml:space="preserve">C2011130 </t>
  </si>
  <si>
    <t xml:space="preserve">N20100302 </t>
  </si>
  <si>
    <t xml:space="preserve">C2011140 </t>
  </si>
  <si>
    <t xml:space="preserve">C2011144 </t>
  </si>
  <si>
    <t xml:space="preserve">C2011146 </t>
  </si>
  <si>
    <t>White Marble Powder 200 mess</t>
  </si>
  <si>
    <t>White Marble Powder  150 mess</t>
  </si>
  <si>
    <t xml:space="preserve">C2011149 </t>
  </si>
  <si>
    <t xml:space="preserve">Aluminium Powder </t>
  </si>
  <si>
    <t xml:space="preserve">C2011151 </t>
  </si>
  <si>
    <t xml:space="preserve">C2011160 </t>
  </si>
  <si>
    <t xml:space="preserve">C2011104 </t>
  </si>
  <si>
    <t xml:space="preserve">C2011119 </t>
  </si>
  <si>
    <t>west bengal</t>
  </si>
  <si>
    <t>24.02.20</t>
  </si>
  <si>
    <t xml:space="preserve">C2011112 </t>
  </si>
  <si>
    <t xml:space="preserve">N20100291 </t>
  </si>
  <si>
    <t>Epsom Salts</t>
  </si>
  <si>
    <t xml:space="preserve">C2011109 </t>
  </si>
  <si>
    <t xml:space="preserve">C2011120 </t>
  </si>
  <si>
    <t xml:space="preserve"> Charcoal Powder</t>
  </si>
  <si>
    <t xml:space="preserve">C2011118 </t>
  </si>
  <si>
    <t xml:space="preserve">N20100299 </t>
  </si>
  <si>
    <t xml:space="preserve">C2011129 </t>
  </si>
  <si>
    <t xml:space="preserve">C2011131 </t>
  </si>
  <si>
    <t>22.02.20</t>
  </si>
  <si>
    <t xml:space="preserve">N20100295 </t>
  </si>
  <si>
    <t xml:space="preserve">C2011111 </t>
  </si>
  <si>
    <t xml:space="preserve">C2011108 </t>
  </si>
  <si>
    <t xml:space="preserve">C2011107 </t>
  </si>
  <si>
    <t xml:space="preserve">N20100292 </t>
  </si>
  <si>
    <t xml:space="preserve">C2011105 </t>
  </si>
  <si>
    <t xml:space="preserve">N20100283 </t>
  </si>
  <si>
    <t>White Quartz Sand</t>
  </si>
  <si>
    <t xml:space="preserve">C2011102 </t>
  </si>
  <si>
    <t xml:space="preserve">N20100282 </t>
  </si>
  <si>
    <t xml:space="preserve"> Barium Nitrate Powder</t>
  </si>
  <si>
    <t xml:space="preserve">N20100285 </t>
  </si>
  <si>
    <t xml:space="preserve">C2011097 </t>
  </si>
  <si>
    <t xml:space="preserve">C2011070 </t>
  </si>
  <si>
    <t>Edible Salt(packet)</t>
  </si>
  <si>
    <t>Edible Salt(loose)</t>
  </si>
  <si>
    <t>21.02.20</t>
  </si>
  <si>
    <t xml:space="preserve">N20100278 </t>
  </si>
  <si>
    <t xml:space="preserve">C2011067 </t>
  </si>
  <si>
    <t xml:space="preserve">N20100272 </t>
  </si>
  <si>
    <t xml:space="preserve">N20100280 </t>
  </si>
  <si>
    <t xml:space="preserve">C2011075 </t>
  </si>
  <si>
    <t>Potassium Permanganate(Granules)</t>
  </si>
  <si>
    <t>Potassium Permanganate(powder)</t>
  </si>
  <si>
    <t xml:space="preserve">C2011069 </t>
  </si>
  <si>
    <t xml:space="preserve">N20100273 </t>
  </si>
  <si>
    <t xml:space="preserve">C2011080 </t>
  </si>
  <si>
    <t xml:space="preserve">C2011078 </t>
  </si>
  <si>
    <t xml:space="preserve">N20100279 </t>
  </si>
  <si>
    <t xml:space="preserve">C2011077 </t>
  </si>
  <si>
    <t xml:space="preserve">C2010963 </t>
  </si>
  <si>
    <t>Hydrated Lime Powder(Off White)</t>
  </si>
  <si>
    <t>Hydrated Lime Powder(White)</t>
  </si>
  <si>
    <t xml:space="preserve">C2011046 </t>
  </si>
  <si>
    <t>Zeolite Media Granular</t>
  </si>
  <si>
    <t>20.02.20</t>
  </si>
  <si>
    <t>New</t>
  </si>
  <si>
    <t>Adani Soap Noodles</t>
  </si>
  <si>
    <t xml:space="preserve">C2011064 </t>
  </si>
  <si>
    <t xml:space="preserve">C2011061 </t>
  </si>
  <si>
    <t xml:space="preserve">C2011063 </t>
  </si>
  <si>
    <t xml:space="preserve">C2011047 </t>
  </si>
  <si>
    <t xml:space="preserve">Charcoal Powder </t>
  </si>
  <si>
    <t xml:space="preserve">N20100267 </t>
  </si>
  <si>
    <t xml:space="preserve">C2011049 </t>
  </si>
  <si>
    <t xml:space="preserve">C2011050 </t>
  </si>
  <si>
    <t xml:space="preserve">C2011059 </t>
  </si>
  <si>
    <t xml:space="preserve">C2011058 </t>
  </si>
  <si>
    <t>19.20.20</t>
  </si>
  <si>
    <t xml:space="preserve">C2011040 </t>
  </si>
  <si>
    <t>19.02.20</t>
  </si>
  <si>
    <t xml:space="preserve">N20100235 </t>
  </si>
  <si>
    <t>Natural River Pebbles Stone</t>
  </si>
  <si>
    <t xml:space="preserve">C2011030 </t>
  </si>
  <si>
    <t xml:space="preserve">C2011027 </t>
  </si>
  <si>
    <t xml:space="preserve">C2011034 </t>
  </si>
  <si>
    <t xml:space="preserve">C2011035 </t>
  </si>
  <si>
    <t xml:space="preserve">C2011024 </t>
  </si>
  <si>
    <t xml:space="preserve">C2011020 </t>
  </si>
  <si>
    <t xml:space="preserve">N20100238 </t>
  </si>
  <si>
    <t>18.02.20</t>
  </si>
  <si>
    <t xml:space="preserve">C2011014 </t>
  </si>
  <si>
    <t xml:space="preserve">C2011006 </t>
  </si>
  <si>
    <t xml:space="preserve">C2011013 </t>
  </si>
  <si>
    <t xml:space="preserve">C2011010 </t>
  </si>
  <si>
    <t xml:space="preserve">C2011015 </t>
  </si>
  <si>
    <t xml:space="preserve">C2011007 </t>
  </si>
  <si>
    <t xml:space="preserve">C2011005 </t>
  </si>
  <si>
    <t xml:space="preserve">C2011011 </t>
  </si>
  <si>
    <t xml:space="preserve">C2011002 </t>
  </si>
  <si>
    <t xml:space="preserve">C2011003 </t>
  </si>
  <si>
    <t xml:space="preserve"> Wood Charcoal</t>
  </si>
  <si>
    <t xml:space="preserve">C2010999 </t>
  </si>
  <si>
    <t xml:space="preserve">C2010998 </t>
  </si>
  <si>
    <t xml:space="preserve">C2010996 </t>
  </si>
  <si>
    <t>Calcium carbonate</t>
  </si>
  <si>
    <t xml:space="preserve">N20100231 </t>
  </si>
  <si>
    <t xml:space="preserve"> uttar pradesh</t>
  </si>
  <si>
    <t xml:space="preserve">C2010957 </t>
  </si>
  <si>
    <t xml:space="preserve"> Camphor Powder</t>
  </si>
  <si>
    <t xml:space="preserve">C2010988 </t>
  </si>
  <si>
    <t xml:space="preserve">N20100250 </t>
  </si>
  <si>
    <t xml:space="preserve">C2010991 </t>
  </si>
  <si>
    <t xml:space="preserve">C2010987 </t>
  </si>
  <si>
    <t>17.02.20</t>
  </si>
  <si>
    <t xml:space="preserve">C2010985 </t>
  </si>
  <si>
    <t xml:space="preserve">N20100248 </t>
  </si>
  <si>
    <t xml:space="preserve"> White Spirit</t>
  </si>
  <si>
    <t xml:space="preserve">C2010979 </t>
  </si>
  <si>
    <t xml:space="preserve">C2010981 </t>
  </si>
  <si>
    <t xml:space="preserve">C2010926 </t>
  </si>
  <si>
    <t xml:space="preserve">C2010911 </t>
  </si>
  <si>
    <t>Madya pradesh</t>
  </si>
  <si>
    <t xml:space="preserve">C2010969 </t>
  </si>
  <si>
    <t xml:space="preserve">C2010973 </t>
  </si>
  <si>
    <t xml:space="preserve">C2010971 </t>
  </si>
  <si>
    <t xml:space="preserve">C2010970 </t>
  </si>
  <si>
    <t xml:space="preserve">C2010968 </t>
  </si>
  <si>
    <t xml:space="preserve">N20100241 </t>
  </si>
  <si>
    <t xml:space="preserve">N20100236 </t>
  </si>
  <si>
    <t>15.02.20</t>
  </si>
  <si>
    <t xml:space="preserve">N20100233 </t>
  </si>
  <si>
    <t xml:space="preserve">Sodium Silicate  Powder </t>
  </si>
  <si>
    <t xml:space="preserve">C2010950 </t>
  </si>
  <si>
    <t>Borax Crystals</t>
  </si>
  <si>
    <t xml:space="preserve">C2010946 </t>
  </si>
  <si>
    <t xml:space="preserve">N20100229 </t>
  </si>
  <si>
    <t>15.2.20</t>
  </si>
  <si>
    <t xml:space="preserve">C2010942 </t>
  </si>
  <si>
    <t>Sugercane Molasses</t>
  </si>
  <si>
    <t xml:space="preserve">C2010944 </t>
  </si>
  <si>
    <t xml:space="preserve">Ball Clay   </t>
  </si>
  <si>
    <t xml:space="preserve">N20100226 </t>
  </si>
  <si>
    <t xml:space="preserve">C2010947 </t>
  </si>
  <si>
    <t xml:space="preserve">C2010945 </t>
  </si>
  <si>
    <t xml:space="preserve">C2010948 </t>
  </si>
  <si>
    <t>14.02.20</t>
  </si>
  <si>
    <t>Potassium Bi carbonate</t>
  </si>
  <si>
    <t xml:space="preserve">C2010939 </t>
  </si>
  <si>
    <t xml:space="preserve">Wood Coal </t>
  </si>
  <si>
    <t xml:space="preserve">Cattle Feed Molasses </t>
  </si>
  <si>
    <t xml:space="preserve">C2010917 </t>
  </si>
  <si>
    <t xml:space="preserve">C2010899 </t>
  </si>
  <si>
    <t xml:space="preserve">N20100222 </t>
  </si>
  <si>
    <t xml:space="preserve">C2010914 </t>
  </si>
  <si>
    <t xml:space="preserve">C2010921 </t>
  </si>
  <si>
    <t xml:space="preserve">C2010928 </t>
  </si>
  <si>
    <t xml:space="preserve">N20100221 </t>
  </si>
  <si>
    <t xml:space="preserve">C2010929 </t>
  </si>
  <si>
    <t xml:space="preserve">C2010931 </t>
  </si>
  <si>
    <t xml:space="preserve">Glass Powder </t>
  </si>
  <si>
    <t xml:space="preserve">C2010933 </t>
  </si>
  <si>
    <t xml:space="preserve">C2010924 </t>
  </si>
  <si>
    <t>West bengal</t>
  </si>
  <si>
    <t xml:space="preserve">C2010922 </t>
  </si>
  <si>
    <t xml:space="preserve">C2010918 </t>
  </si>
  <si>
    <t xml:space="preserve">C2010690 </t>
  </si>
  <si>
    <t>Ferric Chloride Liquid</t>
  </si>
  <si>
    <t xml:space="preserve">C2010912 </t>
  </si>
  <si>
    <t xml:space="preserve">C2010913 </t>
  </si>
  <si>
    <t xml:space="preserve">C2010919 </t>
  </si>
  <si>
    <t xml:space="preserve">Guar Gum Powder </t>
  </si>
  <si>
    <t>13.02.20</t>
  </si>
  <si>
    <t>Ball Clay(Lumps)</t>
  </si>
  <si>
    <t>Ball Clay (Powder)</t>
  </si>
  <si>
    <t xml:space="preserve">C2010843 </t>
  </si>
  <si>
    <t xml:space="preserve">C2010896 </t>
  </si>
  <si>
    <t xml:space="preserve">N20100217 </t>
  </si>
  <si>
    <t xml:space="preserve">C2010904 </t>
  </si>
  <si>
    <t xml:space="preserve">C2010895 </t>
  </si>
  <si>
    <t xml:space="preserve">N20100216 </t>
  </si>
  <si>
    <t xml:space="preserve"> Brown Gravels</t>
  </si>
  <si>
    <t xml:space="preserve">C2010900 </t>
  </si>
  <si>
    <t>Urea(Kolkata)</t>
  </si>
  <si>
    <t>Urea(Ex-Bhivandi)</t>
  </si>
  <si>
    <t xml:space="preserve">C2010903 </t>
  </si>
  <si>
    <t xml:space="preserve">C2010902 </t>
  </si>
  <si>
    <t>12.02.20</t>
  </si>
  <si>
    <t xml:space="preserve">C2010907 </t>
  </si>
  <si>
    <t>Fine Sand</t>
  </si>
  <si>
    <t xml:space="preserve">Silica Sand </t>
  </si>
  <si>
    <t xml:space="preserve">C2010856 </t>
  </si>
  <si>
    <t xml:space="preserve">C2010867 </t>
  </si>
  <si>
    <t xml:space="preserve">C2010863 </t>
  </si>
  <si>
    <t xml:space="preserve">C2010872 </t>
  </si>
  <si>
    <t xml:space="preserve">C2010874 </t>
  </si>
  <si>
    <t>Acid Slurry (Labsa)</t>
  </si>
  <si>
    <t xml:space="preserve">C2010881 </t>
  </si>
  <si>
    <t>Mangenese Ore</t>
  </si>
  <si>
    <t xml:space="preserve">N20100210 </t>
  </si>
  <si>
    <t xml:space="preserve">C2010887 </t>
  </si>
  <si>
    <t xml:space="preserve">C2010889 </t>
  </si>
  <si>
    <t>12.02.020</t>
  </si>
  <si>
    <t xml:space="preserve">C2010886 </t>
  </si>
  <si>
    <t>D2020-034</t>
  </si>
  <si>
    <t>Zinc chloride Anhydrous</t>
  </si>
  <si>
    <t xml:space="preserve">C2010870 </t>
  </si>
  <si>
    <t xml:space="preserve">C2010879 </t>
  </si>
  <si>
    <t xml:space="preserve">C2010873 </t>
  </si>
  <si>
    <t xml:space="preserve">C2010878 </t>
  </si>
  <si>
    <t xml:space="preserve">C2010885 </t>
  </si>
  <si>
    <t>N20100180</t>
  </si>
  <si>
    <t>Berium Nitrate(low)</t>
  </si>
  <si>
    <t>Berium Nitrate(Medium)</t>
  </si>
  <si>
    <t>Berium Nitrate(Small Quantity)</t>
  </si>
  <si>
    <t xml:space="preserve">C2010800 </t>
  </si>
  <si>
    <t xml:space="preserve">C2010865 </t>
  </si>
  <si>
    <t xml:space="preserve">C2010816 </t>
  </si>
  <si>
    <t>Di Calcium Silicate</t>
  </si>
  <si>
    <t xml:space="preserve">N20100191 </t>
  </si>
  <si>
    <t>Cadmium Chloride</t>
  </si>
  <si>
    <t>11.02.20</t>
  </si>
  <si>
    <t xml:space="preserve">C2010862 </t>
  </si>
  <si>
    <t xml:space="preserve">C2010857 </t>
  </si>
  <si>
    <t xml:space="preserve">C2010834 </t>
  </si>
  <si>
    <t xml:space="preserve">C2010833 </t>
  </si>
  <si>
    <t xml:space="preserve">C2010861 </t>
  </si>
  <si>
    <t xml:space="preserve">C2010842 </t>
  </si>
  <si>
    <t xml:space="preserve">C2010850 </t>
  </si>
  <si>
    <t xml:space="preserve">C20210858 </t>
  </si>
  <si>
    <t xml:space="preserve">C2010837 </t>
  </si>
  <si>
    <t xml:space="preserve">N20100198 </t>
  </si>
  <si>
    <t xml:space="preserve">C2010836 </t>
  </si>
  <si>
    <t xml:space="preserve">C2010853 </t>
  </si>
  <si>
    <t xml:space="preserve">C2010844 </t>
  </si>
  <si>
    <t xml:space="preserve">C2010851 </t>
  </si>
  <si>
    <t xml:space="preserve">C2010855 </t>
  </si>
  <si>
    <t>10.02.20</t>
  </si>
  <si>
    <t xml:space="preserve">C2010822 </t>
  </si>
  <si>
    <t xml:space="preserve">C2010819 </t>
  </si>
  <si>
    <t xml:space="preserve">C2010824 </t>
  </si>
  <si>
    <t xml:space="preserve">Manganese Ore </t>
  </si>
  <si>
    <t xml:space="preserve">Salt </t>
  </si>
  <si>
    <t xml:space="preserve">Molasses </t>
  </si>
  <si>
    <t>Fulvic Acid</t>
  </si>
  <si>
    <t xml:space="preserve">Murshidabad </t>
  </si>
  <si>
    <t xml:space="preserve">C2010821 </t>
  </si>
  <si>
    <t xml:space="preserve">Black Charcoal </t>
  </si>
  <si>
    <t>dumdum</t>
  </si>
  <si>
    <t xml:space="preserve">New </t>
  </si>
  <si>
    <t xml:space="preserve">C2010818 </t>
  </si>
  <si>
    <t>Hardwood Charcoal</t>
  </si>
  <si>
    <t xml:space="preserve">C2010817 </t>
  </si>
  <si>
    <t xml:space="preserve">N20100192 </t>
  </si>
  <si>
    <t>Jammu &amp; Kashmir</t>
  </si>
  <si>
    <t xml:space="preserve">N20100190 </t>
  </si>
  <si>
    <t xml:space="preserve">C2010814 </t>
  </si>
  <si>
    <t>China Clay (Tulsi Brand)</t>
  </si>
  <si>
    <t xml:space="preserve">China Clay </t>
  </si>
  <si>
    <t>Bentonoite Powder</t>
  </si>
  <si>
    <t xml:space="preserve">C2010813 </t>
  </si>
  <si>
    <t>08.02.20</t>
  </si>
  <si>
    <t>gujarat</t>
  </si>
  <si>
    <t xml:space="preserve">Camphor Powder </t>
  </si>
  <si>
    <t xml:space="preserve">C2010804 </t>
  </si>
  <si>
    <t xml:space="preserve">C2010805 </t>
  </si>
  <si>
    <t xml:space="preserve">C2010806 </t>
  </si>
  <si>
    <t xml:space="preserve">N20100187 </t>
  </si>
  <si>
    <t xml:space="preserve">C2010803 </t>
  </si>
  <si>
    <t>hooghly</t>
  </si>
  <si>
    <t xml:space="preserve">N20100186 </t>
  </si>
  <si>
    <t xml:space="preserve">C2010774 </t>
  </si>
  <si>
    <t xml:space="preserve">N20100178 </t>
  </si>
  <si>
    <t>Camphor Crystal Powder</t>
  </si>
  <si>
    <t xml:space="preserve">C2010778 </t>
  </si>
  <si>
    <t xml:space="preserve">C2010776 </t>
  </si>
  <si>
    <t xml:space="preserve">C2010777 </t>
  </si>
  <si>
    <t xml:space="preserve">N20100182 </t>
  </si>
  <si>
    <t xml:space="preserve">C2010802 </t>
  </si>
  <si>
    <t xml:space="preserve">C2010794 </t>
  </si>
  <si>
    <t xml:space="preserve">C2010792 </t>
  </si>
  <si>
    <t xml:space="preserve">C2010789 </t>
  </si>
  <si>
    <t xml:space="preserve">Egra </t>
  </si>
  <si>
    <t>08.2.20</t>
  </si>
  <si>
    <t xml:space="preserve">C2010788 </t>
  </si>
  <si>
    <t xml:space="preserve">C2010697 </t>
  </si>
  <si>
    <t xml:space="preserve">Hydrazine Hydrate </t>
  </si>
  <si>
    <t xml:space="preserve">C2010786 </t>
  </si>
  <si>
    <t xml:space="preserve">C2010784 </t>
  </si>
  <si>
    <t xml:space="preserve">C2010797 </t>
  </si>
  <si>
    <t xml:space="preserve">C2010799 </t>
  </si>
  <si>
    <t>?</t>
  </si>
  <si>
    <t xml:space="preserve">C2010796 </t>
  </si>
  <si>
    <t xml:space="preserve">C2010782 </t>
  </si>
  <si>
    <t xml:space="preserve">C2010783 </t>
  </si>
  <si>
    <t xml:space="preserve">C2010765 </t>
  </si>
  <si>
    <t>Magnese Dioxide Powder</t>
  </si>
  <si>
    <t xml:space="preserve">C2010770 </t>
  </si>
  <si>
    <t xml:space="preserve">C2010785 </t>
  </si>
  <si>
    <t>07.02.20</t>
  </si>
  <si>
    <t xml:space="preserve">Hyderabad </t>
  </si>
  <si>
    <t>D2020-015</t>
  </si>
  <si>
    <t>e-mail</t>
  </si>
  <si>
    <t>Yash Jaiswal.</t>
  </si>
  <si>
    <t>Chlorine Tablets (water treatment)</t>
  </si>
  <si>
    <t xml:space="preserve"> 10,00,000 </t>
  </si>
  <si>
    <t>Zinc sulphide</t>
  </si>
  <si>
    <t xml:space="preserve">N20100172 </t>
  </si>
  <si>
    <t xml:space="preserve">Spirit </t>
  </si>
  <si>
    <t xml:space="preserve">C2010767 </t>
  </si>
  <si>
    <t xml:space="preserve">N20100175 </t>
  </si>
  <si>
    <t>06.02.20</t>
  </si>
  <si>
    <t xml:space="preserve">C2010758 </t>
  </si>
  <si>
    <t xml:space="preserve">C2010762 </t>
  </si>
  <si>
    <t xml:space="preserve">C2010761 </t>
  </si>
  <si>
    <t xml:space="preserve">C2010763 </t>
  </si>
  <si>
    <t>05.02.20</t>
  </si>
  <si>
    <t xml:space="preserve">C2010738 </t>
  </si>
  <si>
    <t>N20100147</t>
  </si>
  <si>
    <t xml:space="preserve">Ammonium  Bicarbonate </t>
  </si>
  <si>
    <t>N20100132</t>
  </si>
  <si>
    <t>N20100139</t>
  </si>
  <si>
    <t xml:space="preserve">Oxalic Avid </t>
  </si>
  <si>
    <t>N20100156</t>
  </si>
  <si>
    <t>N20100116</t>
  </si>
  <si>
    <t>N20100131</t>
  </si>
  <si>
    <t>N20100142</t>
  </si>
  <si>
    <t>N20100151</t>
  </si>
  <si>
    <t>N20100150</t>
  </si>
  <si>
    <t>malda</t>
  </si>
  <si>
    <t>N20100149</t>
  </si>
  <si>
    <t xml:space="preserve">C2010734 </t>
  </si>
  <si>
    <t xml:space="preserve">C2010731 </t>
  </si>
  <si>
    <t xml:space="preserve">C2010736 </t>
  </si>
  <si>
    <t xml:space="preserve">Charcoal </t>
  </si>
  <si>
    <t xml:space="preserve">C2010718 </t>
  </si>
  <si>
    <t xml:space="preserve">C2010720 </t>
  </si>
  <si>
    <t xml:space="preserve">C2010721 </t>
  </si>
  <si>
    <t xml:space="preserve">C2010703 </t>
  </si>
  <si>
    <t>04.02.20</t>
  </si>
  <si>
    <t>C2010706</t>
  </si>
  <si>
    <t>SMBS</t>
  </si>
  <si>
    <t xml:space="preserve">C2010685 </t>
  </si>
  <si>
    <t xml:space="preserve">C2010686 </t>
  </si>
  <si>
    <t xml:space="preserve">C2010701 </t>
  </si>
  <si>
    <t xml:space="preserve">Ethylene Absorber Sachets </t>
  </si>
  <si>
    <t>Bangladesh</t>
  </si>
  <si>
    <t>N201000110</t>
  </si>
  <si>
    <t>N20100125</t>
  </si>
  <si>
    <t>N20100127</t>
  </si>
  <si>
    <t>N20100117</t>
  </si>
  <si>
    <t>N20100121</t>
  </si>
  <si>
    <t>N20100128</t>
  </si>
  <si>
    <t xml:space="preserve"> N20100129</t>
  </si>
  <si>
    <t xml:space="preserve">C2010680 </t>
  </si>
  <si>
    <t xml:space="preserve">C2010688 </t>
  </si>
  <si>
    <t>Clacium Stearate</t>
  </si>
  <si>
    <t>Xanthan gum</t>
  </si>
  <si>
    <t xml:space="preserve">C2010683 </t>
  </si>
  <si>
    <t xml:space="preserve">C2010308 </t>
  </si>
  <si>
    <t xml:space="preserve">C2010479 </t>
  </si>
  <si>
    <t xml:space="preserve">C2010662 </t>
  </si>
  <si>
    <t xml:space="preserve">C2010677 </t>
  </si>
  <si>
    <t xml:space="preserve">C2010673 </t>
  </si>
  <si>
    <t>Copper Slag(Grade)</t>
  </si>
  <si>
    <t>Copper Slag(Non Grade)</t>
  </si>
  <si>
    <t>C2010678</t>
  </si>
  <si>
    <t xml:space="preserve">C2010681 </t>
  </si>
  <si>
    <t>C2010676</t>
  </si>
  <si>
    <t>C2010679</t>
  </si>
  <si>
    <t>03.02.20</t>
  </si>
  <si>
    <t xml:space="preserve">C2010534 </t>
  </si>
  <si>
    <t xml:space="preserve">C2010543 </t>
  </si>
  <si>
    <t xml:space="preserve"> Activated Carbon</t>
  </si>
  <si>
    <t xml:space="preserve">C2010674 </t>
  </si>
  <si>
    <t>Somani Oil And Chemical</t>
  </si>
  <si>
    <t xml:space="preserve">C2010672 </t>
  </si>
  <si>
    <t xml:space="preserve">Aluminium Suphate </t>
  </si>
  <si>
    <t>C2010667</t>
  </si>
  <si>
    <t>Bion Ethylene Absorber Sachet</t>
  </si>
  <si>
    <t xml:space="preserve">C2010648 </t>
  </si>
  <si>
    <t xml:space="preserve">C2010653 </t>
  </si>
  <si>
    <t>Jollibee Restaurant</t>
  </si>
  <si>
    <t xml:space="preserve">C2010650 </t>
  </si>
  <si>
    <t xml:space="preserve">Tamil Nadu </t>
  </si>
  <si>
    <t xml:space="preserve">C2010649 </t>
  </si>
  <si>
    <t xml:space="preserve">C2010647 </t>
  </si>
  <si>
    <t xml:space="preserve">C2010670 </t>
  </si>
  <si>
    <t xml:space="preserve">C2010652 </t>
  </si>
  <si>
    <t>Infra Steel Cast Private Limite</t>
  </si>
  <si>
    <t>M/s Reliable Chemicals</t>
  </si>
  <si>
    <t xml:space="preserve">Calcium Chloride Lumps </t>
  </si>
  <si>
    <t>01.02.20</t>
  </si>
  <si>
    <t>N201000119</t>
  </si>
  <si>
    <t>Liton Das</t>
  </si>
  <si>
    <t>N201000117</t>
  </si>
  <si>
    <t>Anirban Enterprise</t>
  </si>
  <si>
    <t>01.02.2020</t>
  </si>
  <si>
    <t>N201000114</t>
  </si>
  <si>
    <t>550/- ex Bhiwandi</t>
  </si>
  <si>
    <t>Calcium Nitrate</t>
  </si>
  <si>
    <t>JKM CHEMTRADE</t>
  </si>
  <si>
    <t>Zinc Sulphate Heptahydrate -LR Grade(Agriculture Grade)</t>
  </si>
  <si>
    <t>Zinc Sulphate Heptahydrate -LR Grade(Industrial Grade)</t>
  </si>
  <si>
    <t xml:space="preserve">C2010608 </t>
  </si>
  <si>
    <t xml:space="preserve">C2010630 </t>
  </si>
  <si>
    <t>Taraknath Naskar</t>
  </si>
  <si>
    <t>M/s Sahabaz Enterprise</t>
  </si>
  <si>
    <t>Saurabh Marketing Concern</t>
  </si>
  <si>
    <t>Awasthy Medicos (dabur)</t>
  </si>
  <si>
    <t>Maxx Furniture</t>
  </si>
  <si>
    <t>01.20.20</t>
  </si>
  <si>
    <t>D2020-07</t>
  </si>
  <si>
    <t>Rajasri Mondal Roy/Babita Pradhan</t>
  </si>
  <si>
    <t>Lithium fluoride</t>
  </si>
  <si>
    <t>D2020-08</t>
  </si>
  <si>
    <t>RAHIL MOHAMMAD(Moglix)</t>
  </si>
  <si>
    <t xml:space="preserve">Sodium Hydroxide (NAOH) Caustic Soda  </t>
  </si>
  <si>
    <t>Vidya charan.S(Azole Rasayanas India Private Limited)</t>
  </si>
  <si>
    <t>https://akshar-exim-company-pvt-ltd.odoo.com/web#id=20577&amp;action=152&amp;model=crm.lead&amp;view_type=form&amp;menu_id=111</t>
  </si>
  <si>
    <t>D2020-05</t>
  </si>
  <si>
    <t>Sudhir Kr. Tiwari(Maithan Ceramic)</t>
  </si>
  <si>
    <t>Yellow dextrin</t>
  </si>
  <si>
    <t>Rajaram-44/-and Sukjit-43/- per kg.(B.J)</t>
  </si>
  <si>
    <t>11.1.20</t>
  </si>
  <si>
    <t>Sodium Silicate liquied</t>
  </si>
  <si>
    <t xml:space="preserve">Gravels Stone </t>
  </si>
  <si>
    <t xml:space="preserve">Bihar </t>
  </si>
  <si>
    <t>DMF (ex-bhiwandi)</t>
  </si>
  <si>
    <t>15.01.2020</t>
  </si>
  <si>
    <t>Calcium Carbide(Ex-bhiwandi)</t>
  </si>
  <si>
    <t xml:space="preserve">C2010269 </t>
  </si>
  <si>
    <t>Salt (Ex-Bhiwandi)</t>
  </si>
  <si>
    <t>16.01.2020</t>
  </si>
  <si>
    <t xml:space="preserve">C2010298 </t>
  </si>
  <si>
    <t>Jalgaon, Maharashtra</t>
  </si>
  <si>
    <t>17.01.2020</t>
  </si>
  <si>
    <t>N20100060</t>
  </si>
  <si>
    <t>N20100050</t>
  </si>
  <si>
    <t>N20100053</t>
  </si>
  <si>
    <t>Ammonia Alum Lumps(Ex-Mumbai)</t>
  </si>
  <si>
    <t>Soya Feed Molasses(Ex-Bhiwandi)</t>
  </si>
  <si>
    <t>Sodium Citrate IP Grade(Ex-Bhiwandi)</t>
  </si>
  <si>
    <t>Neutral Ethanol(Ex-Bhiwandi)</t>
  </si>
  <si>
    <t>Green Sand(Ex-Bhiwandi)</t>
  </si>
  <si>
    <t>D2020-04</t>
  </si>
  <si>
    <t xml:space="preserve">Ferric Alum </t>
  </si>
  <si>
    <t>18.01.2020</t>
  </si>
  <si>
    <t>S2010046</t>
  </si>
  <si>
    <t>Copper sulphate crystal(Ex-Bhiwandi)</t>
  </si>
  <si>
    <t>N20100062</t>
  </si>
  <si>
    <t>Silica sand</t>
  </si>
  <si>
    <t>Park Street</t>
  </si>
  <si>
    <t>N20100063</t>
  </si>
  <si>
    <t>20.01.2020</t>
  </si>
  <si>
    <t xml:space="preserve">C2010346 </t>
  </si>
  <si>
    <t>Potassium Chloride(Ex-Bhiwandi)</t>
  </si>
  <si>
    <t xml:space="preserve">Bhiwandi </t>
  </si>
  <si>
    <t>Calcium Chloride Lumps (Ex-Bhiwandi)</t>
  </si>
  <si>
    <t>S2010048</t>
  </si>
  <si>
    <t>Calcium Chloride Powder (Ex-Bhiwandi)</t>
  </si>
  <si>
    <t>21.01.2020</t>
  </si>
  <si>
    <t>Manganese Green Sand(Ex-Delhi)</t>
  </si>
  <si>
    <t>23.01.2020</t>
  </si>
  <si>
    <t>Ferric Chloride(Ex-Kolkata)</t>
  </si>
  <si>
    <t>Calcium Chloride Powder (Monohydrate) Ex -Ankeleswar</t>
  </si>
  <si>
    <t>Madha Pradesh</t>
  </si>
  <si>
    <t>Sodium Citrate ip/bp(Ex- Mumbai)</t>
  </si>
  <si>
    <t>Maharastra</t>
  </si>
  <si>
    <t>Sodium Chloride (Ex- Mumbai)</t>
  </si>
  <si>
    <t>24.01.2020</t>
  </si>
  <si>
    <t>Wood Charcioal</t>
  </si>
  <si>
    <t>Andhra pradesh</t>
  </si>
  <si>
    <t>Dence Soda Ash</t>
  </si>
  <si>
    <t>25.01.2020</t>
  </si>
  <si>
    <t>Mumbai,Maharastra</t>
  </si>
  <si>
    <t>27.1.2020</t>
  </si>
  <si>
    <t>magnesium sulphate lumps</t>
  </si>
  <si>
    <t>Zinc Sulphide Powder</t>
  </si>
  <si>
    <t xml:space="preserve">Guwahati </t>
  </si>
  <si>
    <t xml:space="preserve">C2010499 </t>
  </si>
  <si>
    <t xml:space="preserve">C2010487 </t>
  </si>
  <si>
    <t>copper sulphate</t>
  </si>
  <si>
    <t>Calcium chloride</t>
  </si>
  <si>
    <t xml:space="preserve">C2010473 </t>
  </si>
  <si>
    <t xml:space="preserve">Dolomite Powder  </t>
  </si>
  <si>
    <t>Bopur</t>
  </si>
  <si>
    <t xml:space="preserve">Sodium Silicate  POWDER </t>
  </si>
  <si>
    <t>27.1.2025</t>
  </si>
  <si>
    <t xml:space="preserve">Acid Slurry  </t>
  </si>
  <si>
    <t>28.1.2020</t>
  </si>
  <si>
    <t>N20100077</t>
  </si>
  <si>
    <t>N20100078</t>
  </si>
  <si>
    <t>N20100084</t>
  </si>
  <si>
    <t>C2010513</t>
  </si>
  <si>
    <t>Calcium Carbide(Ex-Bhiwandi)</t>
  </si>
  <si>
    <t>DumDum Cantonment</t>
  </si>
  <si>
    <t>N20100097</t>
  </si>
  <si>
    <t>N20100092</t>
  </si>
  <si>
    <t>N20100085</t>
  </si>
  <si>
    <t>N20100086</t>
  </si>
  <si>
    <t>N20100089</t>
  </si>
  <si>
    <t>N20100095</t>
  </si>
  <si>
    <t>29.1.2020</t>
  </si>
  <si>
    <t>C2010569</t>
  </si>
  <si>
    <t xml:space="preserve"> Soda Ash</t>
  </si>
  <si>
    <t xml:space="preserve">C2010562 </t>
  </si>
  <si>
    <t xml:space="preserve">C2010566 </t>
  </si>
  <si>
    <t xml:space="preserve">C2010558 </t>
  </si>
  <si>
    <t xml:space="preserve">C2010560 </t>
  </si>
  <si>
    <t xml:space="preserve">C2010544 </t>
  </si>
  <si>
    <t>N201000100</t>
  </si>
  <si>
    <t>Moslandopur</t>
  </si>
  <si>
    <t>31.1.2020</t>
  </si>
  <si>
    <t xml:space="preserve">C2010611 </t>
  </si>
  <si>
    <t>Soap Noodles(Ex-Bhiwandi)</t>
  </si>
  <si>
    <t xml:space="preserve"> Jagaddal.</t>
  </si>
  <si>
    <t>Magnesium Sulphate(Bhiwandi)</t>
  </si>
  <si>
    <t xml:space="preserve">C2010613 </t>
  </si>
  <si>
    <t>Graphite Granules Carboriser</t>
  </si>
  <si>
    <t>Glass Powder (High)</t>
  </si>
  <si>
    <t>Glass Powder (Medium)</t>
  </si>
  <si>
    <t>Glass Powder (Low)</t>
  </si>
  <si>
    <t>Wood Charcoal(Bhiwandi)</t>
  </si>
  <si>
    <t>C2010523</t>
  </si>
  <si>
    <t>Woad Coal</t>
  </si>
  <si>
    <t xml:space="preserve">Potassium Sulphate LR &amp; Technical Grade </t>
  </si>
  <si>
    <t xml:space="preserve">Gujarat </t>
  </si>
  <si>
    <t>Ammonium Bicarbonate 25% liquid</t>
  </si>
  <si>
    <t>Shastri nagar(New Delhi)</t>
  </si>
  <si>
    <t>C2010577</t>
  </si>
  <si>
    <t>Sodium Carbonate (Soda Ash) Light</t>
  </si>
  <si>
    <t xml:space="preserve">Sodium Carbonate (Soda Ash) Food </t>
  </si>
  <si>
    <t>manganese Sulphate</t>
  </si>
  <si>
    <t xml:space="preserve">C2010570 </t>
  </si>
  <si>
    <t>urea</t>
  </si>
  <si>
    <t xml:space="preserve">C2010556 </t>
  </si>
  <si>
    <t xml:space="preserve">C2010557 </t>
  </si>
  <si>
    <t>N20100088</t>
  </si>
  <si>
    <t>Cornstarch Powder(Ex-Bhiwandi)</t>
  </si>
  <si>
    <t>Amraboti</t>
  </si>
  <si>
    <t>N201000112</t>
  </si>
  <si>
    <t>Sodium silicate Powder</t>
  </si>
  <si>
    <t>Product Name</t>
  </si>
  <si>
    <t>Akshar Link</t>
  </si>
  <si>
    <t>Naveen Link 2</t>
  </si>
  <si>
    <t>Vermiculite 70%</t>
  </si>
  <si>
    <t>https://drive.google.com/file/d/1mEREoqPjk-6N42betdZOcdOFuy5ixIIh/view</t>
  </si>
  <si>
    <t>Vermiculite 90%</t>
  </si>
  <si>
    <t xml:space="preserve">Acetic Acid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</si>
</sst>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m-dd-yyyy"/>
    <numFmt numFmtId="166" formatCode="m-d-yyyy"/>
    <numFmt numFmtId="167" formatCode="mm/dd/yy"/>
  </numFmts>
  <fonts count="194">
    <font>
      <sz val="10.0"/>
      <color rgb="FF000000"/>
      <name val="Arial"/>
      <scheme val="minor"/>
    </font>
    <font>
      <b/>
      <color theme="1"/>
      <name val="Arial"/>
    </font>
    <font>
      <b/>
      <u/>
      <color rgb="FF0000FF"/>
      <name val="Arial"/>
    </font>
    <font>
      <color theme="1"/>
      <name val="Arial"/>
    </font>
    <font>
      <u/>
      <color rgb="FF1155CC"/>
      <name val="Roboto"/>
    </font>
    <font>
      <sz val="11.0"/>
      <color rgb="FF000000"/>
      <name val="Arial"/>
    </font>
    <font>
      <sz val="10.0"/>
      <color theme="1"/>
      <name val="Arial"/>
    </font>
    <font>
      <sz val="11.0"/>
      <color rgb="FF1155CC"/>
      <name val="Arial"/>
    </font>
    <font>
      <sz val="9.0"/>
      <color theme="1"/>
      <name val="Arial"/>
    </font>
    <font>
      <u/>
      <color rgb="FF0000FF"/>
      <name val="Roboto"/>
    </font>
    <font>
      <u/>
      <sz val="11.0"/>
      <color rgb="FF1155CC"/>
      <name val="Arial"/>
    </font>
    <font>
      <color rgb="FF686868"/>
      <name val="Arial"/>
    </font>
    <font>
      <sz val="11.0"/>
      <color rgb="FF222222"/>
      <name val="&quot;Google Sans&quot;"/>
    </font>
    <font>
      <u/>
      <sz val="11.0"/>
      <color rgb="FF1155CC"/>
      <name val="Arial"/>
    </font>
    <font>
      <u/>
      <sz val="11.0"/>
      <color rgb="FF000000"/>
      <name val="Arial"/>
    </font>
    <font>
      <u/>
      <sz val="9.0"/>
      <color rgb="FF01666B"/>
      <name val="Arial"/>
    </font>
    <font>
      <sz val="11.0"/>
      <color rgb="FF5E5E5E"/>
      <name val="&quot;Google Sans&quot;"/>
    </font>
    <font>
      <u/>
      <color rgb="FF1155CC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sz val="11.0"/>
      <color theme="1"/>
      <name val="Arial"/>
    </font>
    <font>
      <b/>
      <sz val="11.0"/>
      <color rgb="FF000000"/>
      <name val="Arial"/>
    </font>
    <font>
      <u/>
      <color rgb="FF01666B"/>
      <name val="Roboto"/>
    </font>
    <font>
      <color rgb="FF000000"/>
      <name val="Roboto"/>
    </font>
    <font>
      <sz val="10.0"/>
      <color rgb="FF686868"/>
      <name val="Arial"/>
    </font>
    <font>
      <sz val="11.0"/>
      <color rgb="FF181818"/>
      <name val="Arial"/>
    </font>
    <font>
      <b/>
      <color rgb="FF686868"/>
      <name val="Arial"/>
    </font>
    <font>
      <u/>
      <sz val="11.0"/>
      <color rgb="FF0000FF"/>
      <name val="Arial"/>
    </font>
    <font>
      <u/>
      <sz val="11.0"/>
      <color theme="1"/>
      <name val="Arial"/>
    </font>
    <font>
      <color rgb="FF666666"/>
      <name val="Roboto"/>
    </font>
    <font>
      <u/>
      <sz val="11.0"/>
      <color rgb="FF1155CC"/>
      <name val="Arial"/>
    </font>
    <font>
      <u/>
      <sz val="11.0"/>
      <color rgb="FF1155CC"/>
      <name val="Arial"/>
    </font>
    <font>
      <u/>
      <sz val="11.0"/>
      <color rgb="FF1155CC"/>
      <name val="Arial"/>
    </font>
    <font>
      <b/>
      <u/>
      <color rgb="FF0000FF"/>
      <name val="Roboto"/>
    </font>
    <font>
      <b/>
      <sz val="10.0"/>
      <color theme="1"/>
      <name val="Arial"/>
    </font>
    <font>
      <b/>
      <u/>
      <sz val="11.0"/>
      <color rgb="FF1155CC"/>
      <name val="Arial"/>
    </font>
    <font>
      <b/>
      <sz val="9.0"/>
      <color theme="1"/>
      <name val="Arial"/>
    </font>
    <font>
      <u/>
      <sz val="11.0"/>
      <color theme="1"/>
      <name val="Arial"/>
    </font>
    <font>
      <sz val="11.0"/>
      <color rgb="FF555555"/>
      <name val="Roboto"/>
    </font>
    <font>
      <b/>
      <sz val="11.0"/>
      <color theme="1"/>
      <name val="Arial"/>
    </font>
    <font>
      <color theme="4"/>
      <name val="Arial"/>
    </font>
    <font>
      <u/>
      <sz val="11.0"/>
      <color rgb="FF1155CC"/>
      <name val="Arial"/>
    </font>
    <font>
      <sz val="10.0"/>
      <color theme="4"/>
      <name val="Arial"/>
    </font>
    <font>
      <b/>
      <sz val="11.0"/>
      <color rgb="FF202122"/>
      <name val="Arial"/>
    </font>
    <font>
      <color rgb="FF555555"/>
      <name val="Roboto"/>
    </font>
    <font>
      <sz val="9.0"/>
      <color rgb="FF000000"/>
      <name val="Arial"/>
    </font>
    <font>
      <u/>
      <sz val="9.0"/>
      <color rgb="FF1155CC"/>
      <name val="Arial"/>
    </font>
    <font>
      <color rgb="FF212529"/>
      <name val="Roboto"/>
    </font>
    <font>
      <color rgb="FF000000"/>
      <name val="Arial"/>
    </font>
    <font>
      <sz val="10.0"/>
      <color rgb="FF000000"/>
      <name val="Arial"/>
    </font>
    <font>
      <sz val="11.0"/>
      <color rgb="FF000000"/>
      <name val="Roboto"/>
    </font>
    <font>
      <color rgb="FF222222"/>
      <name val="Arial"/>
    </font>
    <font>
      <sz val="10.0"/>
      <color rgb="FF222222"/>
      <name val="Arial"/>
    </font>
    <font>
      <b/>
      <sz val="12.0"/>
      <color theme="1"/>
      <name val="Georgia"/>
    </font>
    <font/>
    <font>
      <u/>
      <sz val="11.0"/>
      <color rgb="FF003A39"/>
      <name val="Roboto"/>
    </font>
    <font>
      <sz val="11.0"/>
      <color rgb="FF666666"/>
      <name val="Roboto"/>
    </font>
    <font>
      <u/>
      <sz val="11.0"/>
      <color rgb="FF008784"/>
      <name val="Roboto"/>
    </font>
    <font>
      <u/>
      <sz val="9.0"/>
      <color rgb="FF196AD4"/>
      <name val="Arial"/>
    </font>
    <font>
      <u/>
      <sz val="9.0"/>
      <color theme="1"/>
      <name val="Arial"/>
    </font>
    <font>
      <sz val="10.0"/>
      <color rgb="FFE06666"/>
      <name val="Arial"/>
    </font>
    <font>
      <u/>
      <sz val="12.0"/>
      <color rgb="FF008784"/>
      <name val="Roboto"/>
    </font>
    <font>
      <u/>
      <sz val="12.0"/>
      <color rgb="FF003A39"/>
      <name val="Roboto"/>
    </font>
    <font>
      <sz val="11.0"/>
      <color theme="1"/>
      <name val="Roboto"/>
    </font>
    <font>
      <color theme="1"/>
      <name val="Roboto"/>
    </font>
    <font>
      <u/>
      <color rgb="FF1155CC"/>
      <name val="Arial"/>
    </font>
    <font>
      <u/>
      <sz val="11.0"/>
      <color theme="1"/>
      <name val="Arial"/>
    </font>
    <font>
      <u/>
      <sz val="10.0"/>
      <color theme="1"/>
      <name val="Roboto"/>
    </font>
    <font>
      <sz val="10.0"/>
      <color rgb="FF666666"/>
      <name val="Roboto"/>
    </font>
    <font>
      <u/>
      <sz val="11.0"/>
      <color theme="1"/>
      <name val="Roboto"/>
    </font>
    <font>
      <sz val="10.0"/>
      <color theme="1"/>
      <name val="Roboto"/>
    </font>
    <font>
      <u/>
      <sz val="11.0"/>
      <color theme="1"/>
      <name val="Arial"/>
    </font>
    <font>
      <sz val="12.0"/>
      <color rgb="FF000000"/>
      <name val="Roboto"/>
    </font>
    <font>
      <sz val="10.0"/>
      <color rgb="FF000000"/>
      <name val="&quot;Times New Roman&quot;"/>
    </font>
    <font>
      <sz val="12.0"/>
      <color rgb="FF000000"/>
      <name val="&quot;Times New Roman&quot;"/>
    </font>
    <font>
      <sz val="10.0"/>
      <color rgb="FF1D2228"/>
      <name val="&quot;Helvetica Neue&quot;"/>
    </font>
    <font>
      <b/>
      <sz val="10.0"/>
      <color rgb="FF8F8F8F"/>
      <name val="Roboto"/>
    </font>
    <font>
      <b/>
      <color rgb="FF666666"/>
      <name val="Roboto"/>
    </font>
    <font>
      <u/>
      <sz val="11.0"/>
      <color rgb="FF000000"/>
      <name val="Arial"/>
    </font>
    <font>
      <color rgb="FF222222"/>
      <name val="Verdana"/>
    </font>
    <font>
      <b/>
      <u/>
      <color rgb="FF1155CC"/>
      <name val="Arial"/>
    </font>
    <font>
      <sz val="12.0"/>
      <color rgb="FF000000"/>
      <name val="&quot;Book Antiqua&quot;"/>
    </font>
    <font>
      <sz val="12.0"/>
      <color rgb="FF000000"/>
      <name val="Calibri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sz val="12.0"/>
      <color rgb="FF000000"/>
      <name val="Roboto"/>
    </font>
    <font>
      <b/>
      <sz val="10.0"/>
      <color rgb="FF000000"/>
      <name val="Calibri"/>
    </font>
    <font>
      <sz val="12.0"/>
      <color rgb="FF222222"/>
      <name val="Arial"/>
    </font>
    <font>
      <b/>
      <color rgb="FF000000"/>
      <name val="Tahoma"/>
    </font>
    <font>
      <b/>
      <sz val="12.0"/>
      <color rgb="FF222222"/>
      <name val="&quot;Times New Roman&quot;"/>
    </font>
    <font>
      <u/>
      <color rgb="FF1155CC"/>
      <name val="Roboto"/>
    </font>
    <font>
      <sz val="12.0"/>
      <color rgb="FF000000"/>
      <name val="Arial"/>
    </font>
    <font>
      <b/>
      <sz val="10.0"/>
      <color rgb="FF000000"/>
      <name val="&quot;Book Antiqua&quot;"/>
    </font>
    <font>
      <b/>
      <sz val="10.0"/>
      <color rgb="FF000000"/>
      <name val="Arial"/>
    </font>
    <font>
      <sz val="10.0"/>
      <color rgb="FF000000"/>
      <name val="Verdana"/>
    </font>
    <font>
      <sz val="11.0"/>
      <color rgb="FF222222"/>
      <name val="Roboto"/>
    </font>
    <font>
      <sz val="10.0"/>
      <color rgb="FF000000"/>
      <name val="Pg-1ff9"/>
    </font>
    <font>
      <color rgb="FF1D2228"/>
      <name val="YahooSans"/>
    </font>
    <font>
      <sz val="10.0"/>
      <color rgb="FF000000"/>
      <name val="Pg-1ffd"/>
    </font>
    <font>
      <u/>
      <color rgb="FF1155CC"/>
      <name val="Roboto"/>
    </font>
    <font>
      <sz val="11.0"/>
      <color rgb="FF212529"/>
      <name val="Roboto"/>
    </font>
    <font>
      <sz val="11.0"/>
      <color rgb="FF212529"/>
      <name val="Arial"/>
    </font>
    <font>
      <color rgb="FF000000"/>
      <name val="Tahoma"/>
    </font>
    <font>
      <sz val="11.0"/>
      <color rgb="FF000000"/>
      <name val="Arial"/>
      <scheme val="minor"/>
    </font>
    <font>
      <sz val="10.0"/>
      <color theme="1"/>
      <name val="Calibri"/>
    </font>
    <font>
      <u/>
      <color rgb="FF000000"/>
      <name val="Arial"/>
    </font>
    <font>
      <u/>
      <sz val="11.0"/>
      <color rgb="FF1155CC"/>
      <name val="Arial"/>
    </font>
    <font>
      <u/>
      <color rgb="FF0000FF"/>
      <name val="Arial"/>
    </font>
    <font>
      <u/>
      <color rgb="FF1155CC"/>
      <name val="Roboto"/>
    </font>
    <font>
      <u/>
      <color rgb="FF1155CC"/>
      <name val="Arial"/>
    </font>
    <font>
      <u/>
      <sz val="11.0"/>
      <color rgb="FF1155CC"/>
      <name val="Arial"/>
    </font>
    <font>
      <u/>
      <color rgb="FF000000"/>
      <name val="Arial"/>
    </font>
    <font>
      <u/>
      <sz val="11.0"/>
      <color rgb="FF1155CC"/>
      <name val="Arial"/>
    </font>
    <font>
      <u/>
      <color rgb="FF1155CC"/>
      <name val="Roboto"/>
    </font>
    <font>
      <u/>
      <sz val="11.0"/>
      <color rgb="FF1155CC"/>
      <name val="Arial"/>
    </font>
    <font>
      <sz val="8.0"/>
      <color theme="1"/>
      <name val="Arial"/>
    </font>
    <font>
      <sz val="12.0"/>
      <color theme="1"/>
      <name val="Arial"/>
    </font>
    <font>
      <u/>
      <color rgb="FF1155CC"/>
      <name val="Roboto"/>
    </font>
    <font>
      <u/>
      <color rgb="FF1155CC"/>
      <name val="Roboto"/>
    </font>
    <font>
      <color rgb="FF4285F4"/>
      <name val="Roboto"/>
    </font>
    <font>
      <u/>
      <color rgb="FF1155CC"/>
      <name val="Roboto"/>
    </font>
    <font>
      <u/>
      <color rgb="FF1155CC"/>
      <name val="Roboto"/>
    </font>
    <font>
      <u/>
      <sz val="11.0"/>
      <color rgb="FF1155CC"/>
      <name val="Arial"/>
    </font>
    <font>
      <u/>
      <color rgb="FF1155CC"/>
      <name val="Roboto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sz val="10.0"/>
      <color rgb="FF000000"/>
      <name val="Roboto"/>
    </font>
    <font>
      <color rgb="FF666666"/>
      <name val="Docs-Roboto"/>
    </font>
    <font>
      <b/>
      <color rgb="FF1F497D"/>
      <name val="Arial"/>
    </font>
    <font>
      <b/>
      <u/>
      <sz val="11.0"/>
      <color rgb="FF000000"/>
      <name val="Arial"/>
    </font>
    <font>
      <u/>
      <sz val="11.0"/>
      <color rgb="FF1155CC"/>
      <name val="Arial"/>
    </font>
    <font>
      <b/>
      <u/>
      <color rgb="FF1155CC"/>
      <name val="Arial"/>
    </font>
    <font>
      <b/>
      <color rgb="FF000000"/>
      <name val="Roboto"/>
    </font>
    <font>
      <u/>
      <color rgb="FF1155CC"/>
      <name val="Arial"/>
    </font>
    <font>
      <u/>
      <sz val="11.0"/>
      <color rgb="FF1155CC"/>
      <name val="Arial"/>
    </font>
    <font>
      <u/>
      <color rgb="FF1155CC"/>
      <name val="Tahoma"/>
    </font>
    <font>
      <u/>
      <sz val="11.0"/>
      <color rgb="FF1155CC"/>
      <name val="Arial"/>
    </font>
    <font>
      <u/>
      <sz val="8.0"/>
      <color rgb="FF1155CC"/>
      <name val="Arial"/>
    </font>
    <font>
      <u/>
      <color rgb="FF1155CC"/>
      <name val="Arial"/>
    </font>
    <font>
      <color rgb="FF2E3192"/>
      <name val="Arial"/>
    </font>
    <font>
      <color rgb="FF434343"/>
      <name val="Arial"/>
    </font>
    <font>
      <u/>
      <color rgb="FF1155CC"/>
    </font>
    <font>
      <sz val="8.0"/>
      <color rgb="FF000000"/>
      <name val="Arial"/>
    </font>
    <font>
      <sz val="11.0"/>
      <color rgb="FF353535"/>
      <name val="Arial"/>
    </font>
    <font>
      <sz val="8.0"/>
      <color rgb="FF353535"/>
      <name val="Arial"/>
    </font>
    <font>
      <color rgb="FF353535"/>
      <name val="Arial"/>
    </font>
    <font>
      <u/>
      <color rgb="FF212529"/>
      <name val="Roboto"/>
    </font>
    <font>
      <u/>
      <color rgb="FF0000FF"/>
      <name val="Arial"/>
    </font>
    <font>
      <b/>
      <sz val="11.0"/>
      <color rgb="FF353535"/>
      <name val="Arial"/>
    </font>
    <font>
      <b/>
      <sz val="10.0"/>
      <color rgb="FF000000"/>
      <name val="Roboto"/>
    </font>
    <font>
      <b/>
      <sz val="11.0"/>
      <color rgb="FF000000"/>
      <name val="Roboto"/>
    </font>
    <font>
      <sz val="9.0"/>
      <color rgb="FF000000"/>
      <name val="Roboto"/>
    </font>
    <font>
      <b/>
      <u/>
      <color rgb="FF666666"/>
      <name val="Roboto"/>
    </font>
    <font>
      <b/>
      <u/>
      <color rgb="FF1155CC"/>
      <name val="Arial"/>
    </font>
    <font>
      <b/>
      <color rgb="FF222222"/>
      <name val="Arial"/>
    </font>
    <font>
      <b/>
      <u/>
      <color rgb="FF1155CC"/>
      <name val="Arial"/>
    </font>
    <font>
      <b/>
      <sz val="11.0"/>
      <color rgb="FF181818"/>
      <name val="Arial"/>
    </font>
    <font>
      <u/>
      <color rgb="FF0000FF"/>
    </font>
    <font>
      <color rgb="FF070707"/>
      <name val="Arial"/>
    </font>
    <font>
      <b/>
      <sz val="11.0"/>
      <color rgb="FFFFFFFF"/>
      <name val="Arial"/>
    </font>
    <font>
      <sz val="11.0"/>
      <color rgb="FF434343"/>
      <name val="Arial"/>
    </font>
    <font>
      <color rgb="FF000000"/>
      <name val="Arial"/>
      <scheme val="minor"/>
    </font>
    <font>
      <sz val="8.0"/>
      <color rgb="FF686868"/>
      <name val="Arial"/>
    </font>
    <font>
      <color rgb="FF333333"/>
      <name val="Arial"/>
    </font>
    <font>
      <i/>
      <color theme="1"/>
      <name val="Arial"/>
      <scheme val="minor"/>
    </font>
    <font>
      <sz val="9.0"/>
      <color rgb="FF2E3192"/>
      <name val="Arial"/>
    </font>
    <font>
      <u/>
      <color rgb="FF0000FF"/>
    </font>
    <font>
      <color rgb="FF000000"/>
      <name val="Cambria"/>
    </font>
    <font>
      <color rgb="FF000000"/>
      <name val="&quot;Helvetica Neue&quot;"/>
    </font>
    <font>
      <sz val="9.0"/>
      <color rgb="FF000000"/>
      <name val="Arial"/>
      <scheme val="minor"/>
    </font>
    <font>
      <color theme="1"/>
      <name val="Calibri"/>
    </font>
    <font>
      <sz val="9.0"/>
      <color rgb="FF1F1F1F"/>
      <name val="&quot;Google Sans&quot;"/>
    </font>
    <font>
      <color rgb="FF980000"/>
      <name val="Arial"/>
      <scheme val="minor"/>
    </font>
    <font>
      <color rgb="FF1D2228"/>
      <name val="&quot;Helvetica Neue&quot;"/>
    </font>
    <font>
      <sz val="9.0"/>
      <color rgb="FF000000"/>
      <name val="&quot;Google Sans&quot;"/>
    </font>
    <font>
      <color rgb="FF091124"/>
      <name val="Roboto"/>
    </font>
    <font>
      <b/>
      <color rgb="FF000000"/>
      <name val="Arial"/>
    </font>
    <font>
      <b/>
      <sz val="11.0"/>
      <color rgb="FF1F1F1F"/>
      <name val="&quot;Google Sans&quot;"/>
    </font>
    <font>
      <color rgb="FF1D2228"/>
      <name val="Calibri"/>
    </font>
    <font>
      <color rgb="FF000000"/>
      <name val="Calibri"/>
    </font>
    <font>
      <sz val="12.0"/>
      <color rgb="FF000000"/>
      <name val="Cambria"/>
    </font>
    <font>
      <b/>
      <sz val="9.0"/>
      <color rgb="FF1F1F1F"/>
      <name val="Arial"/>
      <scheme val="minor"/>
    </font>
    <font>
      <u/>
      <sz val="12.0"/>
      <color rgb="FF000000"/>
      <name val="Calibri"/>
    </font>
    <font>
      <color rgb="FF000000"/>
      <name val="Docs-Cambria"/>
    </font>
    <font>
      <u/>
      <color rgb="FF222222"/>
      <name val="Arial"/>
    </font>
    <font>
      <b/>
      <color theme="1"/>
      <name val="Comfortaa"/>
    </font>
    <font>
      <b/>
      <sz val="12.0"/>
      <color rgb="FF000000"/>
      <name val="Calibri"/>
    </font>
    <font>
      <sz val="11.0"/>
      <color theme="1"/>
      <name val="Calibri"/>
    </font>
    <font>
      <u/>
      <color rgb="FF000000"/>
      <name val="Arial"/>
    </font>
    <font>
      <u/>
      <color rgb="FF000000"/>
      <name val="Arial"/>
    </font>
    <font>
      <u/>
      <color rgb="FF0000FF"/>
    </font>
    <font>
      <b/>
      <color theme="1"/>
      <name val="Arial"/>
      <scheme val="minor"/>
    </font>
  </fonts>
  <fills count="2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EBEDF0"/>
        <bgColor rgb="FFEBEDF0"/>
      </patternFill>
    </fill>
    <fill>
      <patternFill patternType="solid">
        <fgColor rgb="FF980000"/>
        <bgColor rgb="FF980000"/>
      </patternFill>
    </fill>
    <fill>
      <patternFill patternType="solid">
        <fgColor theme="0"/>
        <bgColor theme="0"/>
      </patternFill>
    </fill>
    <fill>
      <patternFill patternType="solid">
        <fgColor rgb="FFF3F3F3"/>
        <bgColor rgb="FFF3F3F3"/>
      </patternFill>
    </fill>
    <fill>
      <patternFill patternType="solid">
        <fgColor rgb="FFDEE2E6"/>
        <bgColor rgb="FFDEE2E6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rgb="FFE69138"/>
        <bgColor rgb="FFE69138"/>
      </patternFill>
    </fill>
    <fill>
      <patternFill patternType="solid">
        <fgColor rgb="FFFFFF00"/>
        <bgColor rgb="FFFFFF00"/>
      </patternFill>
    </fill>
    <fill>
      <patternFill patternType="solid">
        <fgColor rgb="FFDD7E6B"/>
        <bgColor rgb="FFDD7E6B"/>
      </patternFill>
    </fill>
    <fill>
      <patternFill patternType="solid">
        <fgColor rgb="FF93C47D"/>
        <bgColor rgb="FF93C47D"/>
      </patternFill>
    </fill>
    <fill>
      <patternFill patternType="solid">
        <fgColor rgb="FFE6B8AF"/>
        <bgColor rgb="FFE6B8AF"/>
      </patternFill>
    </fill>
    <fill>
      <patternFill patternType="solid">
        <fgColor rgb="FFD5A6BD"/>
        <bgColor rgb="FFD5A6BD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16365C"/>
        <bgColor rgb="FF16365C"/>
      </patternFill>
    </fill>
    <fill>
      <patternFill patternType="solid">
        <fgColor rgb="FFCC0000"/>
        <bgColor rgb="FFCC0000"/>
      </patternFill>
    </fill>
    <fill>
      <patternFill patternType="solid">
        <fgColor rgb="FFF2F2F2"/>
        <bgColor rgb="FFF2F2F2"/>
      </patternFill>
    </fill>
  </fills>
  <borders count="1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/>
    </border>
    <border>
      <right/>
      <top/>
      <bottom/>
    </border>
  </borders>
  <cellStyleXfs count="1">
    <xf borderId="0" fillId="0" fontId="0" numFmtId="0" applyAlignment="1" applyFont="1"/>
  </cellStyleXfs>
  <cellXfs count="7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readingOrder="0" vertical="center"/>
    </xf>
    <xf borderId="1" fillId="3" fontId="4" numFmtId="0" xfId="0" applyAlignment="1" applyBorder="1" applyFill="1" applyFont="1">
      <alignment readingOrder="0" vertical="center"/>
    </xf>
    <xf borderId="2" fillId="3" fontId="5" numFmtId="0" xfId="0" applyAlignment="1" applyBorder="1" applyFont="1">
      <alignment horizontal="left" readingOrder="0"/>
    </xf>
    <xf borderId="1" fillId="0" fontId="6" numFmtId="0" xfId="0" applyAlignment="1" applyBorder="1" applyFont="1">
      <alignment readingOrder="0" shrinkToFit="0" vertical="center" wrapText="1"/>
    </xf>
    <xf borderId="1" fillId="0" fontId="3" numFmtId="3" xfId="0" applyAlignment="1" applyBorder="1" applyFont="1" applyNumberFormat="1">
      <alignment horizontal="right" readingOrder="0" shrinkToFit="0" vertical="center" wrapText="1"/>
    </xf>
    <xf borderId="1" fillId="3" fontId="7" numFmtId="0" xfId="0" applyAlignment="1" applyBorder="1" applyFont="1">
      <alignment horizontal="left" readingOrder="0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vertical="center"/>
    </xf>
    <xf borderId="1" fillId="0" fontId="8" numFmtId="0" xfId="0" applyAlignment="1" applyBorder="1" applyFont="1">
      <alignment readingOrder="0" vertical="center"/>
    </xf>
    <xf borderId="1" fillId="3" fontId="9" numFmtId="0" xfId="0" applyAlignment="1" applyBorder="1" applyFont="1">
      <alignment readingOrder="0" vertical="center"/>
    </xf>
    <xf borderId="0" fillId="4" fontId="10" numFmtId="0" xfId="0" applyAlignment="1" applyFill="1" applyFont="1">
      <alignment horizontal="left" readingOrder="0"/>
    </xf>
    <xf borderId="0" fillId="3" fontId="11" numFmtId="0" xfId="0" applyAlignment="1" applyFont="1">
      <alignment readingOrder="0"/>
    </xf>
    <xf borderId="2" fillId="3" fontId="5" numFmtId="0" xfId="0" applyAlignment="1" applyBorder="1" applyFont="1">
      <alignment horizontal="left" readingOrder="0" shrinkToFit="0" wrapText="1"/>
    </xf>
    <xf borderId="0" fillId="3" fontId="12" numFmtId="0" xfId="0" applyAlignment="1" applyFont="1">
      <alignment readingOrder="0"/>
    </xf>
    <xf borderId="0" fillId="0" fontId="13" numFmtId="0" xfId="0" applyAlignment="1" applyFont="1">
      <alignment horizontal="left" readingOrder="0"/>
    </xf>
    <xf borderId="0" fillId="4" fontId="14" numFmtId="0" xfId="0" applyAlignment="1" applyFont="1">
      <alignment horizontal="left" readingOrder="0"/>
    </xf>
    <xf borderId="0" fillId="4" fontId="5" numFmtId="0" xfId="0" applyAlignment="1" applyFont="1">
      <alignment horizontal="left" readingOrder="0"/>
    </xf>
    <xf borderId="0" fillId="3" fontId="7" numFmtId="0" xfId="0" applyAlignment="1" applyFont="1">
      <alignment horizontal="left" readingOrder="0"/>
    </xf>
    <xf borderId="0" fillId="4" fontId="15" numFmtId="0" xfId="0" applyAlignment="1" applyFont="1">
      <alignment horizontal="left" readingOrder="0"/>
    </xf>
    <xf borderId="0" fillId="3" fontId="16" numFmtId="0" xfId="0" applyAlignment="1" applyFont="1">
      <alignment readingOrder="0"/>
    </xf>
    <xf borderId="1" fillId="3" fontId="5" numFmtId="0" xfId="0" applyAlignment="1" applyBorder="1" applyFont="1">
      <alignment horizontal="left" readingOrder="0"/>
    </xf>
    <xf borderId="1" fillId="5" fontId="3" numFmtId="0" xfId="0" applyAlignment="1" applyBorder="1" applyFill="1" applyFont="1">
      <alignment readingOrder="0" vertical="center"/>
    </xf>
    <xf borderId="1" fillId="5" fontId="17" numFmtId="0" xfId="0" applyAlignment="1" applyBorder="1" applyFont="1">
      <alignment readingOrder="0" vertical="center"/>
    </xf>
    <xf borderId="0" fillId="3" fontId="18" numFmtId="0" xfId="0" applyAlignment="1" applyFont="1">
      <alignment horizontal="left" readingOrder="0"/>
    </xf>
    <xf borderId="1" fillId="4" fontId="5" numFmtId="0" xfId="0" applyAlignment="1" applyBorder="1" applyFont="1">
      <alignment horizontal="left" readingOrder="0"/>
    </xf>
    <xf borderId="3" fillId="6" fontId="5" numFmtId="0" xfId="0" applyAlignment="1" applyBorder="1" applyFill="1" applyFont="1">
      <alignment horizontal="left" readingOrder="0" shrinkToFit="0" wrapText="1"/>
    </xf>
    <xf borderId="3" fillId="3" fontId="5" numFmtId="0" xfId="0" applyAlignment="1" applyBorder="1" applyFont="1">
      <alignment horizontal="left" readingOrder="0"/>
    </xf>
    <xf borderId="3" fillId="3" fontId="19" numFmtId="0" xfId="0" applyAlignment="1" applyBorder="1" applyFont="1">
      <alignment horizontal="left" readingOrder="0"/>
    </xf>
    <xf borderId="0" fillId="3" fontId="5" numFmtId="0" xfId="0" applyAlignment="1" applyFont="1">
      <alignment horizontal="left" readingOrder="0"/>
    </xf>
    <xf borderId="4" fillId="3" fontId="5" numFmtId="0" xfId="0" applyAlignment="1" applyBorder="1" applyFont="1">
      <alignment horizontal="left" readingOrder="0"/>
    </xf>
    <xf borderId="0" fillId="7" fontId="5" numFmtId="0" xfId="0" applyAlignment="1" applyFill="1" applyFont="1">
      <alignment horizontal="left" readingOrder="0"/>
    </xf>
    <xf borderId="0" fillId="3" fontId="5" numFmtId="0" xfId="0" applyAlignment="1" applyFont="1">
      <alignment horizontal="left" readingOrder="0"/>
    </xf>
    <xf borderId="1" fillId="3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0" fillId="6" fontId="5" numFmtId="0" xfId="0" applyAlignment="1" applyFont="1">
      <alignment horizontal="left" readingOrder="0"/>
    </xf>
    <xf borderId="0" fillId="6" fontId="20" numFmtId="0" xfId="0" applyAlignment="1" applyFont="1">
      <alignment horizontal="left" readingOrder="0"/>
    </xf>
    <xf borderId="5" fillId="6" fontId="20" numFmtId="0" xfId="0" applyAlignment="1" applyBorder="1" applyFont="1">
      <alignment horizontal="left" readingOrder="0"/>
    </xf>
    <xf borderId="0" fillId="3" fontId="21" numFmtId="0" xfId="0" applyAlignment="1" applyFont="1">
      <alignment horizontal="left" readingOrder="0"/>
    </xf>
    <xf borderId="1" fillId="0" fontId="20" numFmtId="0" xfId="0" applyAlignment="1" applyBorder="1" applyFont="1">
      <alignment horizontal="center" readingOrder="0" shrinkToFit="0" vertical="center" wrapText="1"/>
    </xf>
    <xf borderId="0" fillId="3" fontId="22" numFmtId="0" xfId="0" applyAlignment="1" applyFont="1">
      <alignment horizontal="left" readingOrder="0" shrinkToFit="0" wrapText="0"/>
    </xf>
    <xf borderId="0" fillId="3" fontId="23" numFmtId="0" xfId="0" applyAlignment="1" applyFont="1">
      <alignment readingOrder="0"/>
    </xf>
    <xf borderId="0" fillId="3" fontId="24" numFmtId="0" xfId="0" applyAlignment="1" applyFont="1">
      <alignment horizontal="left" readingOrder="0"/>
    </xf>
    <xf borderId="0" fillId="3" fontId="25" numFmtId="0" xfId="0" applyAlignment="1" applyFont="1">
      <alignment horizontal="left" readingOrder="0"/>
    </xf>
    <xf borderId="0" fillId="3" fontId="26" numFmtId="0" xfId="0" applyAlignment="1" applyFont="1">
      <alignment horizontal="left" readingOrder="0"/>
    </xf>
    <xf borderId="0" fillId="0" fontId="3" numFmtId="0" xfId="0" applyAlignment="1" applyFont="1">
      <alignment readingOrder="0" shrinkToFit="0" vertical="center" wrapText="1"/>
    </xf>
    <xf borderId="0" fillId="3" fontId="27" numFmtId="0" xfId="0" applyAlignment="1" applyFont="1">
      <alignment horizontal="left" readingOrder="0"/>
    </xf>
    <xf borderId="0" fillId="3" fontId="28" numFmtId="0" xfId="0" applyAlignment="1" applyFont="1">
      <alignment horizontal="left" readingOrder="0"/>
    </xf>
    <xf borderId="0" fillId="8" fontId="29" numFmtId="0" xfId="0" applyAlignment="1" applyFill="1" applyFont="1">
      <alignment horizontal="left" readingOrder="0"/>
    </xf>
    <xf borderId="1" fillId="3" fontId="30" numFmtId="0" xfId="0" applyAlignment="1" applyBorder="1" applyFont="1">
      <alignment horizontal="left" readingOrder="0"/>
    </xf>
    <xf borderId="1" fillId="6" fontId="20" numFmtId="0" xfId="0" applyAlignment="1" applyBorder="1" applyFont="1">
      <alignment horizontal="left" readingOrder="0"/>
    </xf>
    <xf borderId="6" fillId="3" fontId="31" numFmtId="0" xfId="0" applyAlignment="1" applyBorder="1" applyFont="1">
      <alignment horizontal="left" readingOrder="0"/>
    </xf>
    <xf borderId="7" fillId="3" fontId="32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vertical="center"/>
    </xf>
    <xf borderId="1" fillId="3" fontId="33" numFmtId="0" xfId="0" applyAlignment="1" applyBorder="1" applyFont="1">
      <alignment readingOrder="0" vertical="center"/>
    </xf>
    <xf borderId="1" fillId="3" fontId="1" numFmtId="0" xfId="0" applyAlignment="1" applyBorder="1" applyFont="1">
      <alignment readingOrder="0" shrinkToFit="0" vertical="center" wrapText="1"/>
    </xf>
    <xf borderId="1" fillId="0" fontId="34" numFmtId="0" xfId="0" applyAlignment="1" applyBorder="1" applyFont="1">
      <alignment readingOrder="0" shrinkToFit="0" vertical="center" wrapText="1"/>
    </xf>
    <xf borderId="1" fillId="0" fontId="1" numFmtId="3" xfId="0" applyAlignment="1" applyBorder="1" applyFont="1" applyNumberFormat="1">
      <alignment horizontal="right" readingOrder="0" shrinkToFit="0" vertical="center" wrapText="1"/>
    </xf>
    <xf borderId="6" fillId="3" fontId="35" numFmtId="0" xfId="0" applyAlignment="1" applyBorder="1" applyFont="1">
      <alignment horizontal="left" readingOrder="0"/>
    </xf>
    <xf borderId="1" fillId="0" fontId="1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vertical="center"/>
    </xf>
    <xf borderId="1" fillId="0" fontId="36" numFmtId="0" xfId="0" applyAlignment="1" applyBorder="1" applyFont="1">
      <alignment readingOrder="0" vertical="center"/>
    </xf>
    <xf borderId="6" fillId="6" fontId="20" numFmtId="0" xfId="0" applyAlignment="1" applyBorder="1" applyFont="1">
      <alignment horizontal="left" readingOrder="0"/>
    </xf>
    <xf borderId="1" fillId="9" fontId="3" numFmtId="0" xfId="0" applyAlignment="1" applyBorder="1" applyFill="1" applyFont="1">
      <alignment readingOrder="0" shrinkToFit="0" vertical="center" wrapText="1"/>
    </xf>
    <xf borderId="1" fillId="9" fontId="6" numFmtId="0" xfId="0" applyAlignment="1" applyBorder="1" applyFont="1">
      <alignment readingOrder="0" shrinkToFit="0" vertical="center" wrapText="1"/>
    </xf>
    <xf borderId="1" fillId="9" fontId="3" numFmtId="3" xfId="0" applyAlignment="1" applyBorder="1" applyFont="1" applyNumberFormat="1">
      <alignment horizontal="right" readingOrder="0" shrinkToFit="0" vertical="center" wrapText="1"/>
    </xf>
    <xf borderId="0" fillId="0" fontId="6" numFmtId="0" xfId="0" applyAlignment="1" applyFont="1">
      <alignment readingOrder="0" shrinkToFit="0" vertical="center" wrapText="1"/>
    </xf>
    <xf borderId="0" fillId="3" fontId="37" numFmtId="0" xfId="0" applyAlignment="1" applyFont="1">
      <alignment horizontal="left" readingOrder="0"/>
    </xf>
    <xf borderId="1" fillId="3" fontId="38" numFmtId="0" xfId="0" applyAlignment="1" applyBorder="1" applyFont="1">
      <alignment readingOrder="0"/>
    </xf>
    <xf borderId="1" fillId="6" fontId="5" numFmtId="0" xfId="0" applyAlignment="1" applyBorder="1" applyFont="1">
      <alignment horizontal="left" readingOrder="0"/>
    </xf>
    <xf borderId="0" fillId="3" fontId="20" numFmtId="0" xfId="0" applyAlignment="1" applyFont="1">
      <alignment horizontal="left" readingOrder="0"/>
    </xf>
    <xf borderId="0" fillId="6" fontId="6" numFmtId="0" xfId="0" applyAlignment="1" applyFont="1">
      <alignment horizontal="left" readingOrder="0"/>
    </xf>
    <xf borderId="0" fillId="6" fontId="39" numFmtId="0" xfId="0" applyAlignment="1" applyFont="1">
      <alignment horizontal="left" readingOrder="0"/>
    </xf>
    <xf borderId="1" fillId="3" fontId="40" numFmtId="0" xfId="0" applyAlignment="1" applyBorder="1" applyFont="1">
      <alignment readingOrder="0" shrinkToFit="0" vertical="center" wrapText="1"/>
    </xf>
    <xf borderId="0" fillId="6" fontId="20" numFmtId="0" xfId="0" applyAlignment="1" applyFont="1">
      <alignment horizontal="left" readingOrder="0" shrinkToFit="0" wrapText="1"/>
    </xf>
    <xf borderId="0" fillId="3" fontId="5" numFmtId="0" xfId="0" applyAlignment="1" applyFont="1">
      <alignment horizontal="left" readingOrder="0" shrinkToFit="0" wrapText="1"/>
    </xf>
    <xf borderId="0" fillId="3" fontId="41" numFmtId="0" xfId="0" applyAlignment="1" applyFont="1">
      <alignment horizontal="left" readingOrder="0"/>
    </xf>
    <xf borderId="1" fillId="10" fontId="3" numFmtId="0" xfId="0" applyAlignment="1" applyBorder="1" applyFill="1" applyFont="1">
      <alignment readingOrder="0" shrinkToFit="0" vertical="center" wrapText="1"/>
    </xf>
    <xf borderId="1" fillId="11" fontId="3" numFmtId="0" xfId="0" applyAlignment="1" applyBorder="1" applyFill="1" applyFont="1">
      <alignment readingOrder="0" shrinkToFit="0" vertical="center" wrapText="1"/>
    </xf>
    <xf borderId="1" fillId="11" fontId="6" numFmtId="0" xfId="0" applyAlignment="1" applyBorder="1" applyFont="1">
      <alignment readingOrder="0" shrinkToFit="0" vertical="center" wrapText="1"/>
    </xf>
    <xf borderId="1" fillId="0" fontId="42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right" readingOrder="0" shrinkToFit="0" vertical="center" wrapText="1"/>
    </xf>
    <xf borderId="0" fillId="3" fontId="43" numFmtId="0" xfId="0" applyAlignment="1" applyFont="1">
      <alignment readingOrder="0"/>
    </xf>
    <xf borderId="0" fillId="3" fontId="44" numFmtId="0" xfId="0" applyAlignment="1" applyFont="1">
      <alignment horizontal="left" readingOrder="0" shrinkToFit="0" vertical="top" wrapText="0"/>
    </xf>
    <xf borderId="0" fillId="3" fontId="45" numFmtId="0" xfId="0" applyAlignment="1" applyFont="1">
      <alignment readingOrder="0"/>
    </xf>
    <xf borderId="0" fillId="3" fontId="46" numFmtId="0" xfId="0" applyAlignment="1" applyFont="1">
      <alignment readingOrder="0"/>
    </xf>
    <xf borderId="0" fillId="3" fontId="8" numFmtId="0" xfId="0" applyAlignment="1" applyFont="1">
      <alignment readingOrder="0"/>
    </xf>
    <xf borderId="0" fillId="3" fontId="47" numFmtId="0" xfId="0" applyAlignment="1" applyFont="1">
      <alignment readingOrder="0"/>
    </xf>
    <xf borderId="1" fillId="3" fontId="5" numFmtId="0" xfId="0" applyAlignment="1" applyBorder="1" applyFont="1">
      <alignment horizontal="left" readingOrder="0" vertical="center"/>
    </xf>
    <xf borderId="0" fillId="3" fontId="48" numFmtId="0" xfId="0" applyAlignment="1" applyFont="1">
      <alignment horizontal="left" readingOrder="0"/>
    </xf>
    <xf borderId="0" fillId="3" fontId="49" numFmtId="0" xfId="0" applyAlignment="1" applyFont="1">
      <alignment readingOrder="0"/>
    </xf>
    <xf borderId="0" fillId="3" fontId="38" numFmtId="0" xfId="0" applyAlignment="1" applyFont="1">
      <alignment readingOrder="0"/>
    </xf>
    <xf borderId="0" fillId="3" fontId="50" numFmtId="0" xfId="0" applyAlignment="1" applyFont="1">
      <alignment horizontal="left" readingOrder="0"/>
    </xf>
    <xf borderId="0" fillId="3" fontId="51" numFmtId="0" xfId="0" applyAlignment="1" applyFont="1">
      <alignment readingOrder="0"/>
    </xf>
    <xf borderId="0" fillId="3" fontId="52" numFmtId="0" xfId="0" applyAlignment="1" applyFont="1">
      <alignment readingOrder="0"/>
    </xf>
    <xf borderId="8" fillId="3" fontId="52" numFmtId="0" xfId="0" applyAlignment="1" applyBorder="1" applyFont="1">
      <alignment readingOrder="0"/>
    </xf>
    <xf borderId="0" fillId="3" fontId="5" numFmtId="0" xfId="0" applyAlignment="1" applyFont="1">
      <alignment readingOrder="0"/>
    </xf>
    <xf borderId="9" fillId="0" fontId="53" numFmtId="0" xfId="0" applyAlignment="1" applyBorder="1" applyFont="1">
      <alignment readingOrder="0" vertical="center"/>
    </xf>
    <xf borderId="7" fillId="0" fontId="54" numFmtId="0" xfId="0" applyBorder="1" applyFont="1"/>
    <xf borderId="0" fillId="3" fontId="55" numFmtId="0" xfId="0" applyAlignment="1" applyFont="1">
      <alignment horizontal="left" readingOrder="0"/>
    </xf>
    <xf borderId="0" fillId="3" fontId="56" numFmtId="0" xfId="0" applyAlignment="1" applyFont="1">
      <alignment horizontal="left" readingOrder="0"/>
    </xf>
    <xf borderId="0" fillId="3" fontId="57" numFmtId="0" xfId="0" applyAlignment="1" applyFont="1">
      <alignment horizontal="left" readingOrder="0"/>
    </xf>
    <xf borderId="0" fillId="3" fontId="49" numFmtId="0" xfId="0" applyAlignment="1" applyFont="1">
      <alignment horizontal="left" readingOrder="0"/>
    </xf>
    <xf borderId="8" fillId="3" fontId="49" numFmtId="0" xfId="0" applyAlignment="1" applyBorder="1" applyFont="1">
      <alignment horizontal="left" readingOrder="0"/>
    </xf>
    <xf borderId="0" fillId="3" fontId="58" numFmtId="0" xfId="0" applyAlignment="1" applyFont="1">
      <alignment horizontal="left" readingOrder="0"/>
    </xf>
    <xf borderId="0" fillId="3" fontId="59" numFmtId="0" xfId="0" applyAlignment="1" applyFont="1">
      <alignment horizontal="left" readingOrder="0"/>
    </xf>
    <xf borderId="0" fillId="3" fontId="38" numFmtId="0" xfId="0" applyAlignment="1" applyFont="1">
      <alignment horizontal="left" readingOrder="0" shrinkToFit="0" vertical="top" wrapText="0"/>
    </xf>
    <xf borderId="1" fillId="0" fontId="60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horizontal="left" readingOrder="0"/>
    </xf>
    <xf borderId="0" fillId="3" fontId="61" numFmtId="0" xfId="0" applyAlignment="1" applyFont="1">
      <alignment horizontal="left" readingOrder="0"/>
    </xf>
    <xf borderId="0" fillId="3" fontId="62" numFmtId="0" xfId="0" applyAlignment="1" applyFont="1">
      <alignment horizontal="left" readingOrder="0"/>
    </xf>
    <xf borderId="1" fillId="3" fontId="5" numFmtId="0" xfId="0" applyAlignment="1" applyBorder="1" applyFont="1">
      <alignment horizontal="left" readingOrder="0"/>
    </xf>
    <xf borderId="1" fillId="6" fontId="3" numFmtId="0" xfId="0" applyAlignment="1" applyBorder="1" applyFont="1">
      <alignment readingOrder="0" shrinkToFit="0" vertical="center" wrapText="1"/>
    </xf>
    <xf borderId="1" fillId="6" fontId="6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left" readingOrder="0" vertical="center"/>
    </xf>
    <xf borderId="1" fillId="3" fontId="20" numFmtId="0" xfId="0" applyAlignment="1" applyBorder="1" applyFont="1">
      <alignment horizontal="left" readingOrder="0"/>
    </xf>
    <xf borderId="1" fillId="3" fontId="63" numFmtId="0" xfId="0" applyAlignment="1" applyBorder="1" applyFont="1">
      <alignment horizontal="left" readingOrder="0"/>
    </xf>
    <xf borderId="0" fillId="3" fontId="5" numFmtId="0" xfId="0" applyAlignment="1" applyFont="1">
      <alignment horizontal="left" readingOrder="0"/>
    </xf>
    <xf borderId="1" fillId="12" fontId="3" numFmtId="0" xfId="0" applyAlignment="1" applyBorder="1" applyFill="1" applyFont="1">
      <alignment readingOrder="0" shrinkToFit="0" vertical="center" wrapText="1"/>
    </xf>
    <xf borderId="0" fillId="6" fontId="64" numFmtId="0" xfId="0" applyAlignment="1" applyFont="1">
      <alignment horizontal="left" readingOrder="0"/>
    </xf>
    <xf borderId="0" fillId="3" fontId="63" numFmtId="0" xfId="0" applyAlignment="1" applyFont="1">
      <alignment horizontal="left" readingOrder="0"/>
    </xf>
    <xf borderId="1" fillId="3" fontId="23" numFmtId="0" xfId="0" applyAlignment="1" applyBorder="1" applyFont="1">
      <alignment readingOrder="0" vertical="center"/>
    </xf>
    <xf borderId="1" fillId="0" fontId="65" numFmtId="0" xfId="0" applyAlignment="1" applyBorder="1" applyFont="1">
      <alignment readingOrder="0" vertical="center"/>
    </xf>
    <xf borderId="0" fillId="3" fontId="48" numFmtId="0" xfId="0" applyAlignment="1" applyFont="1">
      <alignment readingOrder="0"/>
    </xf>
    <xf borderId="1" fillId="3" fontId="66" numFmtId="0" xfId="0" applyAlignment="1" applyBorder="1" applyFont="1">
      <alignment horizontal="left" readingOrder="0"/>
    </xf>
    <xf borderId="1" fillId="3" fontId="20" numFmtId="0" xfId="0" applyAlignment="1" applyBorder="1" applyFont="1">
      <alignment horizontal="left" readingOrder="0" vertical="center"/>
    </xf>
    <xf borderId="1" fillId="3" fontId="67" numFmtId="0" xfId="0" applyAlignment="1" applyBorder="1" applyFont="1">
      <alignment horizontal="left" readingOrder="0"/>
    </xf>
    <xf borderId="0" fillId="3" fontId="68" numFmtId="0" xfId="0" applyAlignment="1" applyFont="1">
      <alignment horizontal="left" readingOrder="0"/>
    </xf>
    <xf borderId="1" fillId="3" fontId="69" numFmtId="0" xfId="0" applyAlignment="1" applyBorder="1" applyFont="1">
      <alignment horizontal="left" readingOrder="0"/>
    </xf>
    <xf borderId="1" fillId="3" fontId="70" numFmtId="0" xfId="0" applyAlignment="1" applyBorder="1" applyFont="1">
      <alignment horizontal="left" readingOrder="0"/>
    </xf>
    <xf borderId="1" fillId="3" fontId="71" numFmtId="0" xfId="0" applyAlignment="1" applyBorder="1" applyFont="1">
      <alignment horizontal="left" readingOrder="0"/>
    </xf>
    <xf borderId="1" fillId="3" fontId="50" numFmtId="0" xfId="0" applyAlignment="1" applyBorder="1" applyFont="1">
      <alignment horizontal="left" readingOrder="0"/>
    </xf>
    <xf borderId="1" fillId="3" fontId="63" numFmtId="0" xfId="0" applyAlignment="1" applyBorder="1" applyFont="1">
      <alignment horizontal="left" readingOrder="0"/>
    </xf>
    <xf borderId="1" fillId="3" fontId="20" numFmtId="0" xfId="0" applyAlignment="1" applyBorder="1" applyFont="1">
      <alignment horizontal="left" readingOrder="0"/>
    </xf>
    <xf borderId="1" fillId="3" fontId="72" numFmtId="0" xfId="0" applyAlignment="1" applyBorder="1" applyFont="1">
      <alignment horizontal="left" readingOrder="0"/>
    </xf>
    <xf borderId="0" fillId="3" fontId="50" numFmtId="0" xfId="0" applyAlignment="1" applyFont="1">
      <alignment horizontal="left" readingOrder="0"/>
    </xf>
    <xf borderId="0" fillId="3" fontId="23" numFmtId="0" xfId="0" applyAlignment="1" applyFont="1">
      <alignment horizontal="left" readingOrder="0" shrinkToFit="0" vertical="top" wrapText="0"/>
    </xf>
    <xf borderId="1" fillId="13" fontId="3" numFmtId="0" xfId="0" applyAlignment="1" applyBorder="1" applyFill="1" applyFont="1">
      <alignment readingOrder="0" shrinkToFit="0" vertical="center" wrapText="1"/>
    </xf>
    <xf borderId="1" fillId="13" fontId="6" numFmtId="0" xfId="0" applyAlignment="1" applyBorder="1" applyFont="1">
      <alignment readingOrder="0" shrinkToFit="0" vertical="center" wrapText="1"/>
    </xf>
    <xf borderId="1" fillId="13" fontId="3" numFmtId="0" xfId="0" applyAlignment="1" applyBorder="1" applyFont="1">
      <alignment horizontal="right" readingOrder="0" shrinkToFit="0" vertical="center" wrapText="1"/>
    </xf>
    <xf borderId="1" fillId="13" fontId="5" numFmtId="0" xfId="0" applyAlignment="1" applyBorder="1" applyFont="1">
      <alignment horizontal="left" readingOrder="0" vertical="center"/>
    </xf>
    <xf borderId="1" fillId="3" fontId="48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left" readingOrder="0" shrinkToFit="0" wrapText="1"/>
    </xf>
    <xf borderId="8" fillId="3" fontId="5" numFmtId="0" xfId="0" applyAlignment="1" applyBorder="1" applyFont="1">
      <alignment horizontal="left" readingOrder="0"/>
    </xf>
    <xf borderId="1" fillId="3" fontId="73" numFmtId="0" xfId="0" applyAlignment="1" applyBorder="1" applyFont="1">
      <alignment readingOrder="0"/>
    </xf>
    <xf borderId="0" fillId="3" fontId="49" numFmtId="0" xfId="0" applyAlignment="1" applyFont="1">
      <alignment readingOrder="0"/>
    </xf>
    <xf borderId="0" fillId="3" fontId="74" numFmtId="0" xfId="0" applyAlignment="1" applyFont="1">
      <alignment horizontal="center" readingOrder="0"/>
    </xf>
    <xf borderId="0" fillId="3" fontId="75" numFmtId="0" xfId="0" applyAlignment="1" applyFont="1">
      <alignment horizontal="left" readingOrder="0"/>
    </xf>
    <xf borderId="1" fillId="3" fontId="7" numFmtId="0" xfId="0" applyAlignment="1" applyBorder="1" applyFont="1">
      <alignment horizontal="left" readingOrder="0" vertical="center"/>
    </xf>
    <xf borderId="0" fillId="3" fontId="76" numFmtId="0" xfId="0" applyAlignment="1" applyFont="1">
      <alignment horizontal="left" readingOrder="0" shrinkToFit="0" wrapText="0"/>
    </xf>
    <xf borderId="1" fillId="3" fontId="77" numFmtId="0" xfId="0" applyAlignment="1" applyBorder="1" applyFont="1">
      <alignment horizontal="left" readingOrder="0" shrinkToFit="0" vertical="top" wrapText="1"/>
    </xf>
    <xf borderId="1" fillId="3" fontId="23" numFmtId="0" xfId="0" applyAlignment="1" applyBorder="1" applyFont="1">
      <alignment horizontal="left" readingOrder="0" vertical="top"/>
    </xf>
    <xf borderId="1" fillId="3" fontId="78" numFmtId="0" xfId="0" applyAlignment="1" applyBorder="1" applyFont="1">
      <alignment horizontal="left" readingOrder="0"/>
    </xf>
    <xf borderId="1" fillId="8" fontId="23" numFmtId="0" xfId="0" applyAlignment="1" applyBorder="1" applyFont="1">
      <alignment horizontal="left" readingOrder="0"/>
    </xf>
    <xf borderId="10" fillId="3" fontId="79" numFmtId="0" xfId="0" applyAlignment="1" applyBorder="1" applyFont="1">
      <alignment readingOrder="0" shrinkToFit="0" wrapText="1"/>
    </xf>
    <xf borderId="0" fillId="3" fontId="52" numFmtId="0" xfId="0" applyAlignment="1" applyFont="1">
      <alignment readingOrder="0" shrinkToFit="0" vertical="center" wrapText="1"/>
    </xf>
    <xf borderId="0" fillId="3" fontId="79" numFmtId="0" xfId="0" applyAlignment="1" applyFont="1">
      <alignment readingOrder="0"/>
    </xf>
    <xf borderId="1" fillId="3" fontId="7" numFmtId="0" xfId="0" applyAlignment="1" applyBorder="1" applyFont="1">
      <alignment horizontal="left" readingOrder="0" shrinkToFit="0" vertical="center" wrapText="1"/>
    </xf>
    <xf borderId="1" fillId="3" fontId="80" numFmtId="0" xfId="0" applyAlignment="1" applyBorder="1" applyFont="1">
      <alignment readingOrder="0" shrinkToFit="0" vertical="center" wrapText="1"/>
    </xf>
    <xf borderId="0" fillId="3" fontId="21" numFmtId="0" xfId="0" applyAlignment="1" applyFont="1">
      <alignment horizontal="left" readingOrder="0"/>
    </xf>
    <xf borderId="5" fillId="3" fontId="81" numFmtId="0" xfId="0" applyAlignment="1" applyBorder="1" applyFont="1">
      <alignment readingOrder="0"/>
    </xf>
    <xf borderId="0" fillId="3" fontId="81" numFmtId="0" xfId="0" applyAlignment="1" applyFont="1">
      <alignment readingOrder="0"/>
    </xf>
    <xf borderId="8" fillId="3" fontId="81" numFmtId="0" xfId="0" applyAlignment="1" applyBorder="1" applyFont="1">
      <alignment readingOrder="0"/>
    </xf>
    <xf borderId="5" fillId="3" fontId="44" numFmtId="0" xfId="0" applyAlignment="1" applyBorder="1" applyFont="1">
      <alignment horizontal="left" readingOrder="0" shrinkToFit="0" vertical="top" wrapText="0"/>
    </xf>
    <xf borderId="5" fillId="3" fontId="81" numFmtId="0" xfId="0" applyAlignment="1" applyBorder="1" applyFont="1">
      <alignment horizontal="left" readingOrder="0"/>
    </xf>
    <xf borderId="0" fillId="3" fontId="82" numFmtId="0" xfId="0" applyAlignment="1" applyFont="1">
      <alignment readingOrder="0"/>
    </xf>
    <xf borderId="8" fillId="3" fontId="82" numFmtId="0" xfId="0" applyAlignment="1" applyBorder="1" applyFont="1">
      <alignment readingOrder="0"/>
    </xf>
    <xf borderId="11" fillId="3" fontId="82" numFmtId="0" xfId="0" applyAlignment="1" applyBorder="1" applyFont="1">
      <alignment horizontal="left" readingOrder="0"/>
    </xf>
    <xf borderId="0" fillId="3" fontId="82" numFmtId="0" xfId="0" applyAlignment="1" applyFont="1">
      <alignment horizontal="left" readingOrder="0"/>
    </xf>
    <xf borderId="1" fillId="0" fontId="48" numFmtId="0" xfId="0" applyAlignment="1" applyBorder="1" applyFont="1">
      <alignment readingOrder="0" shrinkToFit="0" vertical="center" wrapText="1"/>
    </xf>
    <xf borderId="0" fillId="3" fontId="51" numFmtId="0" xfId="0" applyAlignment="1" applyFont="1">
      <alignment horizontal="left" readingOrder="0"/>
    </xf>
    <xf borderId="1" fillId="3" fontId="20" numFmtId="0" xfId="0" applyAlignment="1" applyBorder="1" applyFont="1">
      <alignment readingOrder="0" shrinkToFit="0" vertical="center" wrapText="1"/>
    </xf>
    <xf borderId="0" fillId="0" fontId="83" numFmtId="0" xfId="0" applyAlignment="1" applyFont="1">
      <alignment readingOrder="0" shrinkToFit="0" wrapText="1"/>
    </xf>
    <xf borderId="0" fillId="3" fontId="5" numFmtId="0" xfId="0" applyAlignment="1" applyFont="1">
      <alignment horizontal="left" readingOrder="0" shrinkToFit="0" vertical="top" wrapText="0"/>
    </xf>
    <xf borderId="10" fillId="3" fontId="5" numFmtId="0" xfId="0" applyAlignment="1" applyBorder="1" applyFont="1">
      <alignment horizontal="left" readingOrder="0" vertical="top"/>
    </xf>
    <xf borderId="0" fillId="3" fontId="23" numFmtId="0" xfId="0" applyAlignment="1" applyFont="1">
      <alignment horizontal="left" readingOrder="0" vertical="top"/>
    </xf>
    <xf borderId="1" fillId="0" fontId="84" numFmtId="0" xfId="0" applyAlignment="1" applyBorder="1" applyFont="1">
      <alignment readingOrder="0" shrinkToFit="0" vertical="center" wrapText="1"/>
    </xf>
    <xf borderId="1" fillId="0" fontId="83" numFmtId="0" xfId="0" applyAlignment="1" applyBorder="1" applyFont="1">
      <alignment readingOrder="0"/>
    </xf>
    <xf borderId="1" fillId="3" fontId="85" numFmtId="0" xfId="0" applyAlignment="1" applyBorder="1" applyFont="1">
      <alignment readingOrder="0" shrinkToFit="0" vertical="center" wrapText="1"/>
    </xf>
    <xf borderId="0" fillId="3" fontId="86" numFmtId="0" xfId="0" applyAlignment="1" applyFont="1">
      <alignment horizontal="left" readingOrder="0" vertical="top"/>
    </xf>
    <xf borderId="0" fillId="3" fontId="47" numFmtId="0" xfId="0" applyAlignment="1" applyFont="1">
      <alignment horizontal="left" readingOrder="0"/>
    </xf>
    <xf borderId="8" fillId="3" fontId="47" numFmtId="0" xfId="0" applyAlignment="1" applyBorder="1" applyFont="1">
      <alignment horizontal="left" readingOrder="0"/>
    </xf>
    <xf borderId="0" fillId="3" fontId="23" numFmtId="0" xfId="0" applyAlignment="1" applyFont="1">
      <alignment horizontal="left" readingOrder="0" vertical="top"/>
    </xf>
    <xf borderId="0" fillId="3" fontId="87" numFmtId="0" xfId="0" applyAlignment="1" applyFont="1">
      <alignment readingOrder="0"/>
    </xf>
    <xf borderId="0" fillId="3" fontId="88" numFmtId="0" xfId="0" applyAlignment="1" applyFont="1">
      <alignment readingOrder="0"/>
    </xf>
    <xf borderId="8" fillId="3" fontId="88" numFmtId="0" xfId="0" applyAlignment="1" applyBorder="1" applyFont="1">
      <alignment readingOrder="0"/>
    </xf>
    <xf borderId="5" fillId="3" fontId="89" numFmtId="0" xfId="0" applyAlignment="1" applyBorder="1" applyFont="1">
      <alignment readingOrder="0"/>
    </xf>
    <xf borderId="1" fillId="3" fontId="6" numFmtId="0" xfId="0" applyAlignment="1" applyBorder="1" applyFont="1">
      <alignment readingOrder="0" shrinkToFit="0" vertical="center" wrapText="1"/>
    </xf>
    <xf borderId="0" fillId="0" fontId="90" numFmtId="0" xfId="0" applyAlignment="1" applyFont="1">
      <alignment readingOrder="0"/>
    </xf>
    <xf borderId="1" fillId="3" fontId="50" numFmtId="0" xfId="0" applyAlignment="1" applyBorder="1" applyFont="1">
      <alignment readingOrder="0"/>
    </xf>
    <xf borderId="0" fillId="3" fontId="5" numFmtId="0" xfId="0" applyAlignment="1" applyFont="1">
      <alignment readingOrder="0" shrinkToFit="0" wrapText="1"/>
    </xf>
    <xf borderId="1" fillId="3" fontId="91" numFmtId="0" xfId="0" applyAlignment="1" applyBorder="1" applyFont="1">
      <alignment readingOrder="0" vertical="center"/>
    </xf>
    <xf borderId="0" fillId="3" fontId="92" numFmtId="0" xfId="0" applyAlignment="1" applyFont="1">
      <alignment horizontal="left" readingOrder="0" vertical="top"/>
    </xf>
    <xf borderId="5" fillId="3" fontId="77" numFmtId="0" xfId="0" applyAlignment="1" applyBorder="1" applyFont="1">
      <alignment horizontal="left" readingOrder="0" vertical="top"/>
    </xf>
    <xf borderId="1" fillId="3" fontId="23" numFmtId="0" xfId="0" applyAlignment="1" applyBorder="1" applyFont="1">
      <alignment horizontal="left" readingOrder="0" vertical="top"/>
    </xf>
    <xf borderId="0" fillId="3" fontId="23" numFmtId="0" xfId="0" applyAlignment="1" applyFont="1">
      <alignment horizontal="left" readingOrder="0" vertical="top"/>
    </xf>
    <xf borderId="0" fillId="3" fontId="23" numFmtId="0" xfId="0" applyAlignment="1" applyFont="1">
      <alignment horizontal="left" readingOrder="0"/>
    </xf>
    <xf borderId="5" fillId="9" fontId="5" numFmtId="0" xfId="0" applyAlignment="1" applyBorder="1" applyFont="1">
      <alignment horizontal="left" readingOrder="0" vertical="center"/>
    </xf>
    <xf borderId="5" fillId="0" fontId="3" numFmtId="0" xfId="0" applyAlignment="1" applyBorder="1" applyFont="1">
      <alignment readingOrder="0" shrinkToFit="0" vertical="center" wrapText="1"/>
    </xf>
    <xf borderId="1" fillId="6" fontId="5" numFmtId="0" xfId="0" applyAlignment="1" applyBorder="1" applyFont="1">
      <alignment horizontal="left" readingOrder="0"/>
    </xf>
    <xf borderId="0" fillId="3" fontId="48" numFmtId="0" xfId="0" applyAlignment="1" applyFont="1">
      <alignment horizontal="left" readingOrder="0" shrinkToFit="0" wrapText="1"/>
    </xf>
    <xf borderId="0" fillId="3" fontId="93" numFmtId="0" xfId="0" applyAlignment="1" applyFont="1">
      <alignment readingOrder="0" vertical="center"/>
    </xf>
    <xf borderId="0" fillId="3" fontId="93" numFmtId="0" xfId="0" applyAlignment="1" applyFont="1">
      <alignment readingOrder="0" shrinkToFit="0" vertical="center" wrapText="1"/>
    </xf>
    <xf borderId="8" fillId="3" fontId="93" numFmtId="0" xfId="0" applyAlignment="1" applyBorder="1" applyFont="1">
      <alignment readingOrder="0" shrinkToFit="0" vertical="center" wrapText="1"/>
    </xf>
    <xf borderId="1" fillId="0" fontId="94" numFmtId="0" xfId="0" applyAlignment="1" applyBorder="1" applyFont="1">
      <alignment horizontal="right" readingOrder="0" shrinkToFit="0" vertical="center" wrapText="1"/>
    </xf>
    <xf borderId="0" fillId="3" fontId="95" numFmtId="0" xfId="0" applyAlignment="1" applyFont="1">
      <alignment horizontal="left" readingOrder="0" vertical="center"/>
    </xf>
    <xf borderId="1" fillId="0" fontId="94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horizontal="left" readingOrder="0" vertical="center"/>
    </xf>
    <xf borderId="1" fillId="3" fontId="48" numFmtId="0" xfId="0" applyAlignment="1" applyBorder="1" applyFont="1">
      <alignment horizontal="left" readingOrder="0" shrinkToFit="0" vertical="center" wrapText="1"/>
    </xf>
    <xf borderId="0" fillId="3" fontId="5" numFmtId="0" xfId="0" applyAlignment="1" applyFont="1">
      <alignment horizontal="left" readingOrder="0" vertical="center"/>
    </xf>
    <xf borderId="0" fillId="3" fontId="5" numFmtId="0" xfId="0" applyAlignment="1" applyFont="1">
      <alignment horizontal="left" readingOrder="0" vertical="center"/>
    </xf>
    <xf borderId="0" fillId="3" fontId="48" numFmtId="0" xfId="0" applyAlignment="1" applyFont="1">
      <alignment horizontal="right" readingOrder="0" vertical="center"/>
    </xf>
    <xf borderId="0" fillId="3" fontId="48" numFmtId="0" xfId="0" applyAlignment="1" applyFont="1">
      <alignment horizontal="left"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47" numFmtId="0" xfId="0" applyAlignment="1" applyBorder="1" applyFont="1">
      <alignment readingOrder="0" vertical="center"/>
    </xf>
    <xf borderId="0" fillId="3" fontId="5" numFmtId="0" xfId="0" applyAlignment="1" applyFont="1">
      <alignment horizontal="left" readingOrder="0" vertical="center"/>
    </xf>
    <xf borderId="0" fillId="3" fontId="5" numFmtId="0" xfId="0" applyAlignment="1" applyFont="1">
      <alignment horizontal="left" readingOrder="0" vertical="center"/>
    </xf>
    <xf borderId="0" fillId="3" fontId="5" numFmtId="0" xfId="0" applyAlignment="1" applyFont="1">
      <alignment horizontal="left" readingOrder="0" vertical="center"/>
    </xf>
    <xf borderId="0" fillId="3" fontId="96" numFmtId="0" xfId="0" applyAlignment="1" applyFont="1">
      <alignment horizontal="left" readingOrder="0" vertical="center"/>
    </xf>
    <xf borderId="0" fillId="3" fontId="63" numFmtId="0" xfId="0" applyAlignment="1" applyFont="1">
      <alignment horizontal="left" readingOrder="0" vertical="center"/>
    </xf>
    <xf borderId="1" fillId="3" fontId="50" numFmtId="0" xfId="0" applyAlignment="1" applyBorder="1" applyFont="1">
      <alignment horizontal="left" readingOrder="0" vertical="center"/>
    </xf>
    <xf borderId="0" fillId="3" fontId="23" numFmtId="0" xfId="0" applyAlignment="1" applyFont="1">
      <alignment horizontal="left" readingOrder="0" vertical="center"/>
    </xf>
    <xf borderId="1" fillId="0" fontId="20" numFmtId="0" xfId="0" applyAlignment="1" applyBorder="1" applyFont="1">
      <alignment readingOrder="0" shrinkToFit="0" vertical="center" wrapText="1"/>
    </xf>
    <xf borderId="1" fillId="0" fontId="83" numFmtId="0" xfId="0" applyAlignment="1" applyBorder="1" applyFont="1">
      <alignment readingOrder="0" vertical="center"/>
    </xf>
    <xf borderId="0" fillId="0" fontId="83" numFmtId="0" xfId="0" applyAlignment="1" applyFont="1">
      <alignment readingOrder="0" vertical="center"/>
    </xf>
    <xf borderId="0" fillId="0" fontId="83" numFmtId="0" xfId="0" applyAlignment="1" applyFont="1">
      <alignment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horizontal="left" readingOrder="0" vertical="center"/>
    </xf>
    <xf borderId="1" fillId="14" fontId="3" numFmtId="0" xfId="0" applyAlignment="1" applyBorder="1" applyFill="1" applyFont="1">
      <alignment readingOrder="0" shrinkToFit="0" vertical="center" wrapText="1"/>
    </xf>
    <xf borderId="1" fillId="3" fontId="5" numFmtId="0" xfId="0" applyAlignment="1" applyBorder="1" applyFont="1">
      <alignment horizontal="left" readingOrder="0" vertical="center"/>
    </xf>
    <xf borderId="1" fillId="3" fontId="97" numFmtId="0" xfId="0" applyAlignment="1" applyBorder="1" applyFont="1">
      <alignment horizontal="left" readingOrder="0" vertical="center"/>
    </xf>
    <xf borderId="1" fillId="3" fontId="98" numFmtId="0" xfId="0" applyAlignment="1" applyBorder="1" applyFont="1">
      <alignment horizontal="left" readingOrder="0" vertical="center"/>
    </xf>
    <xf borderId="1" fillId="3" fontId="99" numFmtId="0" xfId="0" applyAlignment="1" applyBorder="1" applyFont="1">
      <alignment horizontal="left" readingOrder="0" vertical="center"/>
    </xf>
    <xf borderId="1" fillId="15" fontId="3" numFmtId="0" xfId="0" applyAlignment="1" applyBorder="1" applyFill="1" applyFont="1">
      <alignment readingOrder="0" vertical="center"/>
    </xf>
    <xf borderId="1" fillId="15" fontId="100" numFmtId="0" xfId="0" applyAlignment="1" applyBorder="1" applyFont="1">
      <alignment readingOrder="0" vertical="center"/>
    </xf>
    <xf borderId="1" fillId="15" fontId="3" numFmtId="0" xfId="0" applyAlignment="1" applyBorder="1" applyFont="1">
      <alignment readingOrder="0" shrinkToFit="0" vertical="center" wrapText="1"/>
    </xf>
    <xf borderId="1" fillId="15" fontId="3" numFmtId="0" xfId="0" applyAlignment="1" applyBorder="1" applyFont="1">
      <alignment horizontal="right" readingOrder="0" shrinkToFit="0" vertical="center" wrapText="1"/>
    </xf>
    <xf borderId="1" fillId="15" fontId="5" numFmtId="0" xfId="0" applyAlignment="1" applyBorder="1" applyFont="1">
      <alignment horizontal="left" readingOrder="0" vertical="center"/>
    </xf>
    <xf borderId="1" fillId="15" fontId="3" numFmtId="0" xfId="0" applyAlignment="1" applyBorder="1" applyFont="1">
      <alignment horizontal="center" readingOrder="0" shrinkToFit="0" vertical="center" wrapText="1"/>
    </xf>
    <xf borderId="1" fillId="15" fontId="3" numFmtId="0" xfId="0" applyAlignment="1" applyBorder="1" applyFont="1">
      <alignment horizontal="center" shrinkToFit="0" vertical="center" wrapText="1"/>
    </xf>
    <xf borderId="0" fillId="3" fontId="23" numFmtId="0" xfId="0" applyAlignment="1" applyFont="1">
      <alignment readingOrder="0" shrinkToFit="0" vertical="center" wrapText="1"/>
    </xf>
    <xf borderId="0" fillId="3" fontId="5" numFmtId="0" xfId="0" applyAlignment="1" applyFont="1">
      <alignment horizontal="left" readingOrder="0" vertical="center"/>
    </xf>
    <xf borderId="1" fillId="0" fontId="20" numFmtId="0" xfId="0" applyAlignment="1" applyBorder="1" applyFont="1">
      <alignment horizontal="right" readingOrder="0" shrinkToFit="0" vertical="center" wrapText="1"/>
    </xf>
    <xf borderId="0" fillId="16" fontId="20" numFmtId="0" xfId="0" applyAlignment="1" applyFill="1" applyFont="1">
      <alignment horizontal="left" readingOrder="0" vertical="center"/>
    </xf>
    <xf borderId="0" fillId="16" fontId="20" numFmtId="0" xfId="0" applyAlignment="1" applyFont="1">
      <alignment readingOrder="0" shrinkToFit="0" vertical="center" wrapText="1"/>
    </xf>
    <xf borderId="1" fillId="16" fontId="20" numFmtId="0" xfId="0" applyAlignment="1" applyBorder="1" applyFont="1">
      <alignment readingOrder="0" shrinkToFit="0" vertical="center" wrapText="1"/>
    </xf>
    <xf borderId="1" fillId="16" fontId="101" numFmtId="0" xfId="0" applyAlignment="1" applyBorder="1" applyFont="1">
      <alignment readingOrder="0" shrinkToFit="0" vertical="center" wrapText="1"/>
    </xf>
    <xf borderId="0" fillId="3" fontId="5" numFmtId="0" xfId="0" applyAlignment="1" applyFont="1">
      <alignment readingOrder="0" vertical="center"/>
    </xf>
    <xf borderId="1" fillId="16" fontId="5" numFmtId="0" xfId="0" applyAlignment="1" applyBorder="1" applyFont="1">
      <alignment horizontal="left" readingOrder="0" vertical="center"/>
    </xf>
    <xf borderId="0" fillId="16" fontId="102" numFmtId="0" xfId="0" applyAlignment="1" applyFont="1">
      <alignment readingOrder="0" vertical="center"/>
    </xf>
    <xf borderId="1" fillId="16" fontId="3" numFmtId="0" xfId="0" applyAlignment="1" applyBorder="1" applyFont="1">
      <alignment horizontal="right" readingOrder="0" shrinkToFit="0" vertical="center" wrapText="1"/>
    </xf>
    <xf borderId="1" fillId="3" fontId="50" numFmtId="0" xfId="0" applyAlignment="1" applyBorder="1" applyFont="1">
      <alignment horizontal="left" readingOrder="0" vertical="center"/>
    </xf>
    <xf borderId="1" fillId="3" fontId="5" numFmtId="0" xfId="0" applyAlignment="1" applyBorder="1" applyFont="1">
      <alignment readingOrder="0" vertical="center"/>
    </xf>
    <xf borderId="1" fillId="3" fontId="102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vertical="center"/>
    </xf>
    <xf borderId="0" fillId="3" fontId="23" numFmtId="0" xfId="0" applyAlignment="1" applyFont="1">
      <alignment readingOrder="0" vertical="center"/>
    </xf>
    <xf borderId="0" fillId="3" fontId="5" numFmtId="0" xfId="0" applyAlignment="1" applyFont="1">
      <alignment horizontal="left" vertical="center"/>
    </xf>
    <xf borderId="1" fillId="3" fontId="5" numFmtId="0" xfId="0" applyAlignment="1" applyBorder="1" applyFont="1">
      <alignment horizontal="left" vertical="center"/>
    </xf>
    <xf borderId="0" fillId="3" fontId="103" numFmtId="0" xfId="0" applyAlignment="1" applyFont="1">
      <alignment readingOrder="0" vertical="center"/>
    </xf>
    <xf borderId="1" fillId="3" fontId="50" numFmtId="0" xfId="0" applyAlignment="1" applyBorder="1" applyFont="1">
      <alignment readingOrder="0" vertical="center"/>
    </xf>
    <xf borderId="1" fillId="3" fontId="103" numFmtId="0" xfId="0" applyAlignment="1" applyBorder="1" applyFont="1">
      <alignment readingOrder="0" vertical="center"/>
    </xf>
    <xf borderId="1" fillId="3" fontId="48" numFmtId="0" xfId="0" applyAlignment="1" applyBorder="1" applyFont="1">
      <alignment readingOrder="0" vertical="center"/>
    </xf>
    <xf borderId="0" fillId="3" fontId="23" numFmtId="0" xfId="0" applyAlignment="1" applyFont="1">
      <alignment horizontal="left" readingOrder="0" shrinkToFit="0" vertical="center" wrapText="0"/>
    </xf>
    <xf borderId="1" fillId="0" fontId="104" numFmtId="0" xfId="0" applyAlignment="1" applyBorder="1" applyFont="1">
      <alignment vertical="center"/>
    </xf>
    <xf borderId="1" fillId="0" fontId="5" numFmtId="0" xfId="0" applyAlignment="1" applyBorder="1" applyFont="1">
      <alignment horizontal="left" readingOrder="0" vertical="center"/>
    </xf>
    <xf borderId="1" fillId="3" fontId="48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horizontal="left" readingOrder="0" vertical="center"/>
    </xf>
    <xf borderId="1" fillId="0" fontId="48" numFmtId="0" xfId="0" applyAlignment="1" applyBorder="1" applyFont="1">
      <alignment horizontal="center" shrinkToFit="0" vertical="center" wrapText="1"/>
    </xf>
    <xf borderId="0" fillId="3" fontId="5" numFmtId="0" xfId="0" applyAlignment="1" applyFont="1">
      <alignment horizontal="left" readingOrder="0" shrinkToFit="0" vertical="center" wrapText="1"/>
    </xf>
    <xf borderId="0" fillId="3" fontId="49" numFmtId="0" xfId="0" applyAlignment="1" applyFont="1">
      <alignment readingOrder="0" vertical="center"/>
    </xf>
    <xf borderId="1" fillId="3" fontId="49" numFmtId="0" xfId="0" applyAlignment="1" applyBorder="1" applyFont="1">
      <alignment readingOrder="0" vertical="center"/>
    </xf>
    <xf borderId="1" fillId="3" fontId="20" numFmtId="0" xfId="0" applyAlignment="1" applyBorder="1" applyFont="1">
      <alignment readingOrder="0" shrinkToFit="0" vertical="center" wrapText="1"/>
    </xf>
    <xf borderId="0" fillId="3" fontId="23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left" readingOrder="0" shrinkToFit="0" vertical="center" wrapText="1"/>
    </xf>
    <xf borderId="0" fillId="3" fontId="29" numFmtId="0" xfId="0" applyAlignment="1" applyFont="1">
      <alignment horizontal="left" readingOrder="0" vertical="center"/>
    </xf>
    <xf borderId="1" fillId="3" fontId="48" numFmtId="0" xfId="0" applyAlignment="1" applyBorder="1" applyFont="1">
      <alignment horizontal="left" readingOrder="0" vertical="center"/>
    </xf>
    <xf borderId="0" fillId="3" fontId="29" numFmtId="0" xfId="0" applyAlignment="1" applyFont="1">
      <alignment horizontal="left"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105" numFmtId="0" xfId="0" applyAlignment="1" applyBorder="1" applyFont="1">
      <alignment horizontal="center" readingOrder="0" vertical="center"/>
    </xf>
    <xf borderId="1" fillId="3" fontId="106" numFmtId="0" xfId="0" applyAlignment="1" applyBorder="1" applyFont="1">
      <alignment horizontal="left" readingOrder="0" vertical="center"/>
    </xf>
    <xf borderId="0" fillId="3" fontId="107" numFmtId="0" xfId="0" applyAlignment="1" applyFont="1">
      <alignment horizontal="left" readingOrder="0" vertical="center"/>
    </xf>
    <xf borderId="1" fillId="17" fontId="3" numFmtId="0" xfId="0" applyAlignment="1" applyBorder="1" applyFill="1" applyFont="1">
      <alignment readingOrder="0" shrinkToFit="0" vertical="center" wrapText="1"/>
    </xf>
    <xf borderId="1" fillId="0" fontId="108" numFmtId="0" xfId="0" applyAlignment="1" applyBorder="1" applyFont="1">
      <alignment readingOrder="0" vertical="center"/>
    </xf>
    <xf borderId="1" fillId="17" fontId="109" numFmtId="0" xfId="0" applyAlignment="1" applyBorder="1" applyFont="1">
      <alignment readingOrder="0" vertical="center"/>
    </xf>
    <xf borderId="1" fillId="17" fontId="1" numFmtId="0" xfId="0" applyAlignment="1" applyBorder="1" applyFont="1">
      <alignment readingOrder="0" shrinkToFit="0" vertical="center" wrapText="1"/>
    </xf>
    <xf borderId="1" fillId="3" fontId="110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right" readingOrder="0" shrinkToFit="0" vertical="center" wrapText="1"/>
    </xf>
    <xf borderId="0" fillId="3" fontId="3" numFmtId="0" xfId="0" applyAlignment="1" applyFont="1">
      <alignment readingOrder="0" shrinkToFit="0" vertical="center" wrapText="1"/>
    </xf>
    <xf borderId="0" fillId="3" fontId="111" numFmtId="0" xfId="0" applyAlignment="1" applyFont="1">
      <alignment horizontal="left" readingOrder="0" vertical="center"/>
    </xf>
    <xf borderId="0" fillId="3" fontId="7" numFmtId="0" xfId="0" applyAlignment="1" applyFont="1">
      <alignment horizontal="left" readingOrder="0" vertical="center"/>
    </xf>
    <xf borderId="0" fillId="3" fontId="112" numFmtId="0" xfId="0" applyAlignment="1" applyFont="1">
      <alignment horizontal="left" readingOrder="0" vertical="center"/>
    </xf>
    <xf borderId="1" fillId="0" fontId="3" numFmtId="3" xfId="0" applyAlignment="1" applyBorder="1" applyFont="1" applyNumberFormat="1">
      <alignment horizontal="left" readingOrder="0" shrinkToFit="0" vertical="center" wrapText="1"/>
    </xf>
    <xf borderId="0" fillId="3" fontId="48" numFmtId="0" xfId="0" applyAlignment="1" applyFont="1">
      <alignment horizontal="left" readingOrder="0" vertical="center"/>
    </xf>
    <xf borderId="0" fillId="3" fontId="48" numFmtId="0" xfId="0" applyAlignment="1" applyFont="1">
      <alignment vertical="center"/>
    </xf>
    <xf borderId="0" fillId="0" fontId="113" numFmtId="0" xfId="0" applyAlignment="1" applyFont="1">
      <alignment horizontal="left" readingOrder="0" vertical="center"/>
    </xf>
    <xf borderId="0" fillId="3" fontId="48" numFmtId="0" xfId="0" applyAlignment="1" applyFont="1">
      <alignment horizontal="left" vertical="center"/>
    </xf>
    <xf borderId="0" fillId="3" fontId="48" numFmtId="0" xfId="0" applyAlignment="1" applyFont="1">
      <alignment readingOrder="0" vertical="center"/>
    </xf>
    <xf borderId="1" fillId="16" fontId="114" numFmtId="0" xfId="0" applyAlignment="1" applyBorder="1" applyFont="1">
      <alignment readingOrder="0" vertical="center"/>
    </xf>
    <xf borderId="0" fillId="16" fontId="5" numFmtId="0" xfId="0" applyAlignment="1" applyFont="1">
      <alignment horizontal="left" readingOrder="0" vertical="center"/>
    </xf>
    <xf borderId="0" fillId="16" fontId="3" numFmtId="0" xfId="0" applyAlignment="1" applyFont="1">
      <alignment readingOrder="0" shrinkToFit="0" vertical="center" wrapText="1"/>
    </xf>
    <xf borderId="1" fillId="16" fontId="3" numFmtId="0" xfId="0" applyAlignment="1" applyBorder="1" applyFont="1">
      <alignment readingOrder="0" shrinkToFit="0" vertical="center" wrapText="1"/>
    </xf>
    <xf borderId="1" fillId="0" fontId="3" numFmtId="3" xfId="0" applyAlignment="1" applyBorder="1" applyFont="1" applyNumberFormat="1">
      <alignment horizontal="left" readingOrder="0" vertical="center"/>
    </xf>
    <xf borderId="1" fillId="0" fontId="83" numFmtId="0" xfId="0" applyAlignment="1" applyBorder="1" applyFont="1">
      <alignment vertical="center"/>
    </xf>
    <xf borderId="0" fillId="0" fontId="83" numFmtId="3" xfId="0" applyAlignment="1" applyFont="1" applyNumberFormat="1">
      <alignment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horizontal="left" readingOrder="0" vertical="center"/>
    </xf>
    <xf borderId="1" fillId="3" fontId="48" numFmtId="0" xfId="0" applyAlignment="1" applyBorder="1" applyFont="1">
      <alignment horizontal="left" vertical="center"/>
    </xf>
    <xf borderId="1" fillId="3" fontId="48" numFmtId="0" xfId="0" applyAlignment="1" applyBorder="1" applyFont="1">
      <alignment vertical="center"/>
    </xf>
    <xf borderId="1" fillId="3" fontId="115" numFmtId="0" xfId="0" applyAlignment="1" applyBorder="1" applyFont="1">
      <alignment horizontal="left" readingOrder="0" vertical="center"/>
    </xf>
    <xf borderId="1" fillId="0" fontId="3" numFmtId="0" xfId="0" applyAlignment="1" applyBorder="1" applyFont="1">
      <alignment readingOrder="0" shrinkToFit="0" vertical="center" wrapText="1"/>
    </xf>
    <xf borderId="1" fillId="3" fontId="3" numFmtId="0" xfId="0" applyAlignment="1" applyBorder="1" applyFont="1">
      <alignment readingOrder="0" shrinkToFit="0" vertical="center" wrapText="1"/>
    </xf>
    <xf borderId="1" fillId="0" fontId="11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17" numFmtId="0" xfId="0" applyAlignment="1" applyBorder="1" applyFont="1">
      <alignment horizontal="center" readingOrder="0" shrinkToFit="0" vertical="center" wrapText="1"/>
    </xf>
    <xf borderId="0" fillId="3" fontId="118" numFmtId="0" xfId="0" applyAlignment="1" applyFont="1">
      <alignment readingOrder="0" vertical="center"/>
    </xf>
    <xf borderId="1" fillId="3" fontId="119" numFmtId="0" xfId="0" applyAlignment="1" applyBorder="1" applyFont="1">
      <alignment horizontal="center" readingOrder="0" vertical="center"/>
    </xf>
    <xf borderId="1" fillId="3" fontId="48" numFmtId="0" xfId="0" applyAlignment="1" applyBorder="1" applyFont="1">
      <alignment readingOrder="0" vertical="center"/>
    </xf>
    <xf borderId="0" fillId="3" fontId="5" numFmtId="0" xfId="0" applyAlignment="1" applyFont="1">
      <alignment readingOrder="0" shrinkToFit="0" vertical="center" wrapText="1"/>
    </xf>
    <xf borderId="1" fillId="3" fontId="48" numFmtId="0" xfId="0" applyAlignment="1" applyBorder="1" applyFont="1">
      <alignment horizontal="right" readingOrder="0" shrinkToFit="0" vertical="center" wrapText="1"/>
    </xf>
    <xf borderId="0" fillId="3" fontId="120" numFmtId="0" xfId="0" applyAlignment="1" applyFont="1">
      <alignment horizontal="center" readingOrder="0" shrinkToFit="0" vertical="center" wrapText="0"/>
    </xf>
    <xf borderId="0" fillId="3" fontId="48" numFmtId="0" xfId="0" applyAlignment="1" applyFont="1">
      <alignment readingOrder="0" vertical="center"/>
    </xf>
    <xf borderId="0" fillId="3" fontId="51" numFmtId="1" xfId="0" applyAlignment="1" applyFont="1" applyNumberFormat="1">
      <alignment readingOrder="0" vertical="center"/>
    </xf>
    <xf borderId="1" fillId="3" fontId="48" numFmtId="0" xfId="0" applyAlignment="1" applyBorder="1" applyFont="1">
      <alignment horizontal="center" readingOrder="0" shrinkToFit="0" vertical="center" wrapText="1"/>
    </xf>
    <xf borderId="0" fillId="3" fontId="48" numFmtId="0" xfId="0" applyAlignment="1" applyFont="1">
      <alignment horizontal="center" readingOrder="0" shrinkToFit="0" vertical="center" wrapText="1"/>
    </xf>
    <xf borderId="1" fillId="0" fontId="48" numFmtId="0" xfId="0" applyAlignment="1" applyBorder="1" applyFont="1">
      <alignment readingOrder="0" vertical="center"/>
    </xf>
    <xf borderId="0" fillId="8" fontId="29" numFmtId="0" xfId="0" applyAlignment="1" applyFont="1">
      <alignment horizontal="left" readingOrder="0" shrinkToFit="0" vertical="center" wrapText="1"/>
    </xf>
    <xf borderId="1" fillId="16" fontId="1" numFmtId="0" xfId="0" applyAlignment="1" applyBorder="1" applyFont="1">
      <alignment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0" fillId="3" fontId="121" numFmtId="0" xfId="0" applyAlignment="1" applyFont="1">
      <alignment horizontal="center" readingOrder="0" vertical="center"/>
    </xf>
    <xf borderId="1" fillId="18" fontId="3" numFmtId="0" xfId="0" applyAlignment="1" applyBorder="1" applyFill="1" applyFont="1">
      <alignment readingOrder="0" vertical="center"/>
    </xf>
    <xf borderId="0" fillId="18" fontId="122" numFmtId="0" xfId="0" applyAlignment="1" applyFont="1">
      <alignment readingOrder="0" vertical="center"/>
    </xf>
    <xf borderId="1" fillId="18" fontId="3" numFmtId="0" xfId="0" applyAlignment="1" applyBorder="1" applyFont="1">
      <alignment readingOrder="0" shrinkToFit="0" vertical="center" wrapText="1"/>
    </xf>
    <xf borderId="1" fillId="18" fontId="3" numFmtId="0" xfId="0" applyAlignment="1" applyBorder="1" applyFont="1">
      <alignment horizontal="right" readingOrder="0" shrinkToFit="0" vertical="center" wrapText="1"/>
    </xf>
    <xf borderId="0" fillId="18" fontId="123" numFmtId="0" xfId="0" applyAlignment="1" applyFont="1">
      <alignment horizontal="left" readingOrder="0" vertical="center"/>
    </xf>
    <xf borderId="1" fillId="18" fontId="3" numFmtId="0" xfId="0" applyAlignment="1" applyBorder="1" applyFont="1">
      <alignment horizontal="left" readingOrder="0" vertical="center"/>
    </xf>
    <xf borderId="1" fillId="18" fontId="3" numFmtId="0" xfId="0" applyAlignment="1" applyBorder="1" applyFont="1">
      <alignment horizontal="center" readingOrder="0" shrinkToFit="0" vertical="center" wrapText="1"/>
    </xf>
    <xf borderId="1" fillId="18" fontId="3" numFmtId="0" xfId="0" applyAlignment="1" applyBorder="1" applyFont="1">
      <alignment horizontal="center" shrinkToFit="0" vertical="center" wrapText="1"/>
    </xf>
    <xf borderId="1" fillId="18" fontId="3" numFmtId="0" xfId="0" applyAlignment="1" applyBorder="1" applyFont="1">
      <alignment shrinkToFit="0" vertical="center" wrapText="1"/>
    </xf>
    <xf borderId="1" fillId="18" fontId="3" numFmtId="0" xfId="0" applyAlignment="1" applyBorder="1" applyFont="1">
      <alignment vertical="center"/>
    </xf>
    <xf borderId="1" fillId="18" fontId="8" numFmtId="0" xfId="0" applyAlignment="1" applyBorder="1" applyFont="1">
      <alignment readingOrder="0" vertical="center"/>
    </xf>
    <xf borderId="0" fillId="16" fontId="124" numFmtId="0" xfId="0" applyAlignment="1" applyFont="1">
      <alignment readingOrder="0" vertical="center"/>
    </xf>
    <xf borderId="0" fillId="8" fontId="29" numFmtId="0" xfId="0" applyAlignment="1" applyFont="1">
      <alignment horizontal="left" readingOrder="0" vertical="center"/>
    </xf>
    <xf borderId="1" fillId="3" fontId="3" numFmtId="0" xfId="0" applyAlignment="1" applyBorder="1" applyFont="1">
      <alignment readingOrder="0" vertical="center"/>
    </xf>
    <xf borderId="1" fillId="3" fontId="48" numFmtId="0" xfId="0" applyAlignment="1" applyBorder="1" applyFont="1">
      <alignment readingOrder="0" vertical="center"/>
    </xf>
    <xf borderId="1" fillId="3" fontId="125" numFmtId="0" xfId="0" applyAlignment="1" applyBorder="1" applyFont="1">
      <alignment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1" fillId="18" fontId="126" numFmtId="0" xfId="0" applyAlignment="1" applyBorder="1" applyFont="1">
      <alignment readingOrder="0" vertical="center"/>
    </xf>
    <xf borderId="1" fillId="16" fontId="3" numFmtId="0" xfId="0" applyAlignment="1" applyBorder="1" applyFont="1">
      <alignment readingOrder="0" vertical="center"/>
    </xf>
    <xf borderId="1" fillId="16" fontId="127" numFmtId="0" xfId="0" applyAlignment="1" applyBorder="1" applyFont="1">
      <alignment readingOrder="0" vertical="center"/>
    </xf>
    <xf borderId="0" fillId="3" fontId="128" numFmtId="0" xfId="0" applyAlignment="1" applyFont="1">
      <alignment horizontal="left" readingOrder="0" vertical="center"/>
    </xf>
    <xf borderId="0" fillId="8" fontId="29" numFmtId="0" xfId="0" applyAlignment="1" applyFont="1">
      <alignment horizontal="left" shrinkToFit="0" vertical="center" wrapText="1"/>
    </xf>
    <xf borderId="0" fillId="3" fontId="47" numFmtId="0" xfId="0" applyAlignment="1" applyFont="1">
      <alignment readingOrder="0" vertical="center"/>
    </xf>
    <xf borderId="0" fillId="3" fontId="129" numFmtId="0" xfId="0" applyAlignment="1" applyFont="1">
      <alignment horizontal="left" readingOrder="0" vertical="center"/>
    </xf>
    <xf borderId="0" fillId="3" fontId="130" numFmtId="0" xfId="0" applyAlignment="1" applyFont="1">
      <alignment readingOrder="0" vertical="center"/>
    </xf>
    <xf borderId="0" fillId="3" fontId="51" numFmtId="0" xfId="0" applyAlignment="1" applyFont="1">
      <alignment readingOrder="0" vertical="center"/>
    </xf>
    <xf borderId="0" fillId="0" fontId="83" numFmtId="0" xfId="0" applyAlignment="1" applyFont="1">
      <alignment readingOrder="0" shrinkToFit="0" vertical="center" wrapText="1"/>
    </xf>
    <xf borderId="1" fillId="6" fontId="29" numFmtId="0" xfId="0" applyAlignment="1" applyBorder="1" applyFont="1">
      <alignment horizontal="left" readingOrder="0" vertical="center"/>
    </xf>
    <xf borderId="1" fillId="3" fontId="29" numFmtId="0" xfId="0" applyAlignment="1" applyBorder="1" applyFont="1">
      <alignment horizontal="left" readingOrder="0" vertical="center"/>
    </xf>
    <xf borderId="1" fillId="3" fontId="131" numFmtId="0" xfId="0" applyAlignment="1" applyBorder="1" applyFont="1">
      <alignment horizontal="left" readingOrder="0" vertical="center"/>
    </xf>
    <xf borderId="1" fillId="3" fontId="132" numFmtId="0" xfId="0" applyAlignment="1" applyBorder="1" applyFont="1">
      <alignment horizontal="left" readingOrder="0" vertical="center"/>
    </xf>
    <xf borderId="1" fillId="0" fontId="133" numFmtId="0" xfId="0" applyAlignment="1" applyBorder="1" applyFont="1">
      <alignment readingOrder="0" vertical="center"/>
    </xf>
    <xf borderId="1" fillId="3" fontId="21" numFmtId="0" xfId="0" applyAlignment="1" applyBorder="1" applyFont="1">
      <alignment horizontal="left" readingOrder="0" vertical="center"/>
    </xf>
    <xf borderId="1" fillId="16" fontId="21" numFmtId="0" xfId="0" applyAlignment="1" applyBorder="1" applyFont="1">
      <alignment horizontal="left" readingOrder="0" vertical="center"/>
    </xf>
    <xf borderId="1" fillId="16" fontId="5" numFmtId="0" xfId="0" applyAlignment="1" applyBorder="1" applyFont="1">
      <alignment readingOrder="0" vertical="center"/>
    </xf>
    <xf borderId="0" fillId="3" fontId="5" numFmtId="0" xfId="0" applyAlignment="1" applyFont="1">
      <alignment readingOrder="0" vertical="center"/>
    </xf>
    <xf borderId="1" fillId="19" fontId="3" numFmtId="0" xfId="0" applyAlignment="1" applyBorder="1" applyFill="1" applyFont="1">
      <alignment readingOrder="0" shrinkToFit="0" vertical="center" wrapText="1"/>
    </xf>
    <xf borderId="1" fillId="6" fontId="134" numFmtId="0" xfId="0" applyAlignment="1" applyBorder="1" applyFont="1">
      <alignment horizontal="left" readingOrder="0" vertical="center"/>
    </xf>
    <xf borderId="0" fillId="6" fontId="29" numFmtId="0" xfId="0" applyAlignment="1" applyFont="1">
      <alignment horizontal="left" readingOrder="0" vertical="center"/>
    </xf>
    <xf borderId="1" fillId="0" fontId="3" numFmtId="0" xfId="0" applyAlignment="1" applyBorder="1" applyFont="1">
      <alignment horizontal="center" readingOrder="0" vertical="center"/>
    </xf>
    <xf borderId="1" fillId="0" fontId="135" numFmtId="0" xfId="0" applyAlignment="1" applyBorder="1" applyFont="1">
      <alignment horizontal="center" readingOrder="0" vertical="center"/>
    </xf>
    <xf borderId="1" fillId="3" fontId="5" numFmtId="0" xfId="0" applyAlignment="1" applyBorder="1" applyFont="1">
      <alignment horizontal="center" readingOrder="0" vertical="center"/>
    </xf>
    <xf borderId="1" fillId="3" fontId="136" numFmtId="0" xfId="0" applyAlignment="1" applyBorder="1" applyFont="1">
      <alignment horizontal="center" readingOrder="0" vertical="center"/>
    </xf>
    <xf borderId="0" fillId="3" fontId="29" numFmtId="0" xfId="0" applyAlignment="1" applyFont="1">
      <alignment horizontal="center" readingOrder="0" vertical="center"/>
    </xf>
    <xf borderId="1" fillId="0" fontId="3" numFmtId="0" xfId="0" applyAlignment="1" applyBorder="1" applyFont="1">
      <alignment horizontal="center" vertical="center"/>
    </xf>
    <xf borderId="1" fillId="3" fontId="51" numFmtId="0" xfId="0" applyAlignment="1" applyBorder="1" applyFont="1">
      <alignment readingOrder="0" vertical="center"/>
    </xf>
    <xf borderId="1" fillId="3" fontId="137" numFmtId="0" xfId="0" applyAlignment="1" applyBorder="1" applyFont="1">
      <alignment readingOrder="0" vertical="center"/>
    </xf>
    <xf borderId="1" fillId="3" fontId="51" numFmtId="0" xfId="0" applyAlignment="1" applyBorder="1" applyFont="1">
      <alignment horizontal="left" readingOrder="0" vertical="center"/>
    </xf>
    <xf borderId="1" fillId="3" fontId="29" numFmtId="0" xfId="0" applyAlignment="1" applyBorder="1" applyFont="1">
      <alignment horizontal="left" readingOrder="0" shrinkToFit="0" vertical="center" wrapText="1"/>
    </xf>
    <xf borderId="1" fillId="13" fontId="21" numFmtId="0" xfId="0" applyAlignment="1" applyBorder="1" applyFont="1">
      <alignment horizontal="left" readingOrder="0" vertical="center"/>
    </xf>
    <xf borderId="1" fillId="13" fontId="5" numFmtId="0" xfId="0" applyAlignment="1" applyBorder="1" applyFont="1">
      <alignment readingOrder="0" vertical="center"/>
    </xf>
    <xf borderId="1" fillId="13" fontId="138" numFmtId="0" xfId="0" applyAlignment="1" applyBorder="1" applyFont="1">
      <alignment horizontal="left" readingOrder="0" vertical="center"/>
    </xf>
    <xf borderId="1" fillId="13" fontId="3" numFmtId="0" xfId="0" applyAlignment="1" applyBorder="1" applyFont="1">
      <alignment horizontal="left" readingOrder="0" vertical="center"/>
    </xf>
    <xf borderId="1" fillId="13" fontId="29" numFmtId="0" xfId="0" applyAlignment="1" applyBorder="1" applyFont="1">
      <alignment horizontal="left" readingOrder="0" vertical="center"/>
    </xf>
    <xf borderId="0" fillId="3" fontId="29" numFmtId="0" xfId="0" applyAlignment="1" applyFont="1">
      <alignment horizontal="left" shrinkToFit="0" vertical="center" wrapText="1"/>
    </xf>
    <xf borderId="1" fillId="8" fontId="29" numFmtId="0" xfId="0" applyAlignment="1" applyBorder="1" applyFont="1">
      <alignment horizontal="left" readingOrder="0" shrinkToFit="0" vertical="center" wrapText="1"/>
    </xf>
    <xf borderId="1" fillId="13" fontId="47" numFmtId="0" xfId="0" applyAlignment="1" applyBorder="1" applyFont="1">
      <alignment readingOrder="0" vertical="center"/>
    </xf>
    <xf borderId="1" fillId="13" fontId="5" numFmtId="0" xfId="0" applyAlignment="1" applyBorder="1" applyFont="1">
      <alignment horizontal="left" readingOrder="0" shrinkToFit="0" vertical="center" wrapText="1"/>
    </xf>
    <xf borderId="1" fillId="0" fontId="48" numFmtId="0" xfId="0" applyAlignment="1" applyBorder="1" applyFont="1">
      <alignment readingOrder="0" vertical="center"/>
    </xf>
    <xf borderId="1" fillId="3" fontId="48" numFmtId="0" xfId="0" applyAlignment="1" applyBorder="1" applyFont="1">
      <alignment horizontal="left" readingOrder="0" vertical="center"/>
    </xf>
    <xf borderId="1" fillId="3" fontId="29" numFmtId="0" xfId="0" applyAlignment="1" applyBorder="1" applyFont="1">
      <alignment horizontal="left" shrinkToFit="0" vertical="center" wrapText="1"/>
    </xf>
    <xf borderId="1" fillId="3" fontId="5" numFmtId="0" xfId="0" applyAlignment="1" applyBorder="1" applyFont="1">
      <alignment horizontal="right" readingOrder="0" vertical="center"/>
    </xf>
    <xf borderId="1" fillId="8" fontId="29" numFmtId="0" xfId="0" applyAlignment="1" applyBorder="1" applyFont="1">
      <alignment horizontal="left" readingOrder="0" vertical="center"/>
    </xf>
    <xf borderId="1" fillId="3" fontId="8" numFmtId="0" xfId="0" applyAlignment="1" applyBorder="1" applyFont="1">
      <alignment readingOrder="0" vertical="center"/>
    </xf>
    <xf borderId="1" fillId="13" fontId="1" numFmtId="0" xfId="0" applyAlignment="1" applyBorder="1" applyFont="1">
      <alignment readingOrder="0" shrinkToFit="0" vertical="center" wrapText="1"/>
    </xf>
    <xf borderId="1" fillId="3" fontId="23" numFmtId="0" xfId="0" applyAlignment="1" applyBorder="1" applyFont="1">
      <alignment readingOrder="0" vertical="center"/>
    </xf>
    <xf borderId="1" fillId="3" fontId="5" numFmtId="0" xfId="0" applyAlignment="1" applyBorder="1" applyFont="1">
      <alignment readingOrder="0" shrinkToFit="0" vertical="center" wrapText="1"/>
    </xf>
    <xf borderId="1" fillId="3" fontId="5" numFmtId="0" xfId="0" applyAlignment="1" applyBorder="1" applyFont="1">
      <alignment readingOrder="0" vertical="center"/>
    </xf>
    <xf borderId="1" fillId="8" fontId="29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vertical="center"/>
    </xf>
    <xf borderId="1" fillId="3" fontId="134" numFmtId="0" xfId="0" applyAlignment="1" applyBorder="1" applyFont="1">
      <alignment horizontal="left" readingOrder="0" vertical="center"/>
    </xf>
    <xf borderId="1" fillId="3" fontId="3" numFmtId="0" xfId="0" applyAlignment="1" applyBorder="1" applyFont="1">
      <alignment horizontal="left" readingOrder="0" vertical="center"/>
    </xf>
    <xf borderId="1" fillId="0" fontId="34" numFmtId="0" xfId="0" applyAlignment="1" applyBorder="1" applyFont="1">
      <alignment horizontal="center" readingOrder="0" shrinkToFit="0" vertical="center" wrapText="1"/>
    </xf>
    <xf borderId="1" fillId="3" fontId="139" numFmtId="0" xfId="0" applyAlignment="1" applyBorder="1" applyFont="1">
      <alignment horizontal="center" readingOrder="0" vertical="center"/>
    </xf>
    <xf borderId="1" fillId="0" fontId="140" numFmtId="0" xfId="0" applyAlignment="1" applyBorder="1" applyFont="1">
      <alignment vertical="center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center" shrinkToFit="0" vertical="center" wrapText="1"/>
    </xf>
    <xf borderId="1" fillId="3" fontId="1" numFmtId="0" xfId="0" applyAlignment="1" applyBorder="1" applyFont="1">
      <alignment shrinkToFit="0" vertical="center" wrapText="1"/>
    </xf>
    <xf borderId="1" fillId="0" fontId="3" numFmtId="3" xfId="0" applyAlignment="1" applyBorder="1" applyFont="1" applyNumberFormat="1">
      <alignment horizontal="right" shrinkToFit="0" vertical="center" wrapText="1"/>
    </xf>
    <xf borderId="1" fillId="0" fontId="6" numFmtId="3" xfId="0" applyAlignment="1" applyBorder="1" applyFont="1" applyNumberFormat="1">
      <alignment horizontal="right" readingOrder="0" shrinkToFit="0" vertical="center" wrapText="1"/>
    </xf>
    <xf borderId="1" fillId="0" fontId="8" numFmtId="0" xfId="0" applyAlignment="1" applyBorder="1" applyFont="1">
      <alignment vertical="center"/>
    </xf>
    <xf borderId="1" fillId="0" fontId="3" numFmtId="0" xfId="0" applyAlignment="1" applyBorder="1" applyFont="1">
      <alignment horizontal="left" vertical="center"/>
    </xf>
    <xf borderId="1" fillId="3" fontId="21" numFmtId="0" xfId="0" applyAlignment="1" applyBorder="1" applyFont="1">
      <alignment horizontal="left" readingOrder="0" shrinkToFit="0" vertical="center" wrapText="1"/>
    </xf>
    <xf borderId="1" fillId="0" fontId="83" numFmtId="0" xfId="0" applyAlignment="1" applyBorder="1" applyFont="1">
      <alignment readingOrder="0" shrinkToFit="0" vertical="center" wrapText="1"/>
    </xf>
    <xf borderId="1" fillId="3" fontId="141" numFmtId="0" xfId="0" applyAlignment="1" applyBorder="1" applyFont="1">
      <alignment readingOrder="0" vertical="center"/>
    </xf>
    <xf borderId="1" fillId="6" fontId="3" numFmtId="0" xfId="0" applyAlignment="1" applyBorder="1" applyFont="1">
      <alignment readingOrder="0" vertical="center"/>
    </xf>
    <xf borderId="1" fillId="3" fontId="142" numFmtId="0" xfId="0" applyAlignment="1" applyBorder="1" applyFont="1">
      <alignment readingOrder="0" vertical="center"/>
    </xf>
    <xf borderId="1" fillId="0" fontId="143" numFmtId="0" xfId="0" applyAlignment="1" applyBorder="1" applyFont="1">
      <alignment readingOrder="0" vertical="center"/>
    </xf>
    <xf borderId="1" fillId="3" fontId="144" numFmtId="0" xfId="0" applyAlignment="1" applyBorder="1" applyFont="1">
      <alignment horizontal="center" readingOrder="0" shrinkToFit="0" vertical="center" wrapText="1"/>
    </xf>
    <xf borderId="1" fillId="0" fontId="3" numFmtId="164" xfId="0" applyAlignment="1" applyBorder="1" applyFont="1" applyNumberFormat="1">
      <alignment readingOrder="0" vertical="center"/>
    </xf>
    <xf borderId="1" fillId="3" fontId="3" numFmtId="0" xfId="0" applyAlignment="1" applyBorder="1" applyFont="1">
      <alignment shrinkToFit="0" vertical="center" wrapText="1"/>
    </xf>
    <xf borderId="1" fillId="0" fontId="3" numFmtId="0" xfId="0" applyAlignment="1" applyBorder="1" applyFont="1">
      <alignment horizontal="right" shrinkToFit="0" vertical="center" wrapText="1"/>
    </xf>
    <xf borderId="1" fillId="0" fontId="116" numFmtId="0" xfId="0" applyAlignment="1" applyBorder="1" applyFont="1">
      <alignment horizontal="center" shrinkToFit="0" vertical="center" wrapText="1"/>
    </xf>
    <xf borderId="1" fillId="3" fontId="145" numFmtId="0" xfId="0" applyAlignment="1" applyBorder="1" applyFont="1">
      <alignment readingOrder="0" shrinkToFit="0" vertical="center" wrapText="1"/>
    </xf>
    <xf borderId="1" fillId="3" fontId="145" numFmtId="0" xfId="0" applyAlignment="1" applyBorder="1" applyFont="1">
      <alignment horizontal="left" readingOrder="0" shrinkToFit="0" vertical="center" wrapText="1"/>
    </xf>
    <xf borderId="1" fillId="3" fontId="146" numFmtId="0" xfId="0" applyAlignment="1" applyBorder="1" applyFont="1">
      <alignment horizontal="center" readingOrder="0" shrinkToFit="0" vertical="center" wrapText="1"/>
    </xf>
    <xf borderId="1" fillId="3" fontId="48" numFmtId="0" xfId="0" applyAlignment="1" applyBorder="1" applyFont="1">
      <alignment horizontal="left" readingOrder="0" shrinkToFit="0" vertical="center" wrapText="1"/>
    </xf>
    <xf borderId="1" fillId="3" fontId="5" numFmtId="0" xfId="0" applyAlignment="1" applyBorder="1" applyFont="1">
      <alignment horizontal="left" readingOrder="0" shrinkToFit="0" vertical="center" wrapText="1"/>
    </xf>
    <xf borderId="1" fillId="3" fontId="49" numFmtId="0" xfId="0" applyAlignment="1" applyBorder="1" applyFont="1">
      <alignment horizontal="left" readingOrder="0" shrinkToFit="0" vertical="center" wrapText="1"/>
    </xf>
    <xf borderId="1" fillId="3" fontId="147" numFmtId="0" xfId="0" applyAlignment="1" applyBorder="1" applyFont="1">
      <alignment horizontal="left" readingOrder="0" shrinkToFit="0" vertical="center" wrapText="1"/>
    </xf>
    <xf borderId="1" fillId="3" fontId="5" numFmtId="3" xfId="0" applyAlignment="1" applyBorder="1" applyFont="1" applyNumberFormat="1">
      <alignment horizontal="right" readingOrder="0" shrinkToFit="0" vertical="center" wrapText="1"/>
    </xf>
    <xf borderId="1" fillId="3" fontId="148" numFmtId="0" xfId="0" applyAlignment="1" applyBorder="1" applyFont="1">
      <alignment horizontal="center" readingOrder="0" vertical="center"/>
    </xf>
    <xf borderId="1" fillId="13" fontId="3" numFmtId="0" xfId="0" applyAlignment="1" applyBorder="1" applyFont="1">
      <alignment readingOrder="0" vertical="center"/>
    </xf>
    <xf borderId="1" fillId="13" fontId="149" numFmtId="0" xfId="0" applyAlignment="1" applyBorder="1" applyFont="1">
      <alignment readingOrder="0" vertical="center"/>
    </xf>
    <xf borderId="1" fillId="13" fontId="116" numFmtId="0" xfId="0" applyAlignment="1" applyBorder="1" applyFont="1">
      <alignment horizontal="center" readingOrder="0" shrinkToFit="0" vertical="center" wrapText="1"/>
    </xf>
    <xf borderId="1" fillId="13" fontId="3" numFmtId="0" xfId="0" applyAlignment="1" applyBorder="1" applyFont="1">
      <alignment horizontal="center" readingOrder="0" shrinkToFit="0" vertical="center" wrapText="1"/>
    </xf>
    <xf borderId="1" fillId="3" fontId="45" numFmtId="0" xfId="0" applyAlignment="1" applyBorder="1" applyFont="1">
      <alignment horizontal="left" readingOrder="0" shrinkToFit="0" vertical="center" wrapText="1"/>
    </xf>
    <xf borderId="1" fillId="3" fontId="49" numFmtId="0" xfId="0" applyAlignment="1" applyBorder="1" applyFont="1">
      <alignment horizontal="left" readingOrder="0" shrinkToFit="0" vertical="center" wrapText="1"/>
    </xf>
    <xf borderId="1" fillId="3" fontId="94" numFmtId="0" xfId="0" applyAlignment="1" applyBorder="1" applyFont="1">
      <alignment horizontal="left" readingOrder="0" shrinkToFit="0" vertical="center" wrapText="1"/>
    </xf>
    <xf borderId="1" fillId="3" fontId="150" numFmtId="0" xfId="0" applyAlignment="1" applyBorder="1" applyFont="1">
      <alignment readingOrder="0" shrinkToFit="0" vertical="center" wrapText="1"/>
    </xf>
    <xf borderId="1" fillId="3" fontId="151" numFmtId="0" xfId="0" applyAlignment="1" applyBorder="1" applyFont="1">
      <alignment horizontal="left" readingOrder="0" shrinkToFit="0" vertical="center" wrapText="1"/>
    </xf>
    <xf borderId="1" fillId="3" fontId="48" numFmtId="164" xfId="0" applyAlignment="1" applyBorder="1" applyFont="1" applyNumberFormat="1">
      <alignment horizontal="right" readingOrder="0" vertical="center"/>
    </xf>
    <xf borderId="1" fillId="3" fontId="21" numFmtId="0" xfId="0" applyAlignment="1" applyBorder="1" applyFont="1">
      <alignment shrinkToFit="0" vertical="center" wrapText="1"/>
    </xf>
    <xf borderId="1" fillId="20" fontId="3" numFmtId="0" xfId="0" applyAlignment="1" applyBorder="1" applyFill="1" applyFont="1">
      <alignment vertical="center"/>
    </xf>
    <xf borderId="1" fillId="20" fontId="3" numFmtId="0" xfId="0" applyAlignment="1" applyBorder="1" applyFont="1">
      <alignment shrinkToFit="0" vertical="center" wrapText="1"/>
    </xf>
    <xf borderId="1" fillId="20" fontId="3" numFmtId="0" xfId="0" applyAlignment="1" applyBorder="1" applyFont="1">
      <alignment horizontal="right" shrinkToFit="0" vertical="center" wrapText="1"/>
    </xf>
    <xf borderId="1" fillId="20" fontId="116" numFmtId="0" xfId="0" applyAlignment="1" applyBorder="1" applyFont="1">
      <alignment horizontal="center" shrinkToFit="0" vertical="center" wrapText="1"/>
    </xf>
    <xf borderId="1" fillId="20" fontId="3" numFmtId="0" xfId="0" applyAlignment="1" applyBorder="1" applyFont="1">
      <alignment horizontal="left" vertical="center"/>
    </xf>
    <xf borderId="1" fillId="20" fontId="3" numFmtId="0" xfId="0" applyAlignment="1" applyBorder="1" applyFont="1">
      <alignment horizontal="center" shrinkToFit="0" vertical="center" wrapText="1"/>
    </xf>
    <xf borderId="1" fillId="20" fontId="8" numFmtId="0" xfId="0" applyAlignment="1" applyBorder="1" applyFont="1">
      <alignment vertical="center"/>
    </xf>
    <xf borderId="1" fillId="3" fontId="5" numFmtId="0" xfId="0" applyAlignment="1" applyBorder="1" applyFont="1">
      <alignment shrinkToFit="0" vertical="center" wrapText="1"/>
    </xf>
    <xf borderId="1" fillId="3" fontId="116" numFmtId="0" xfId="0" applyAlignment="1" applyBorder="1" applyFont="1">
      <alignment horizontal="center" shrinkToFit="0" vertical="center" wrapText="1"/>
    </xf>
    <xf borderId="1" fillId="3" fontId="134" numFmtId="0" xfId="0" applyAlignment="1" applyBorder="1" applyFont="1">
      <alignment shrinkToFit="0" vertical="center" wrapText="1"/>
    </xf>
    <xf borderId="1" fillId="3" fontId="144" numFmtId="0" xfId="0" applyAlignment="1" applyBorder="1" applyFont="1">
      <alignment horizontal="center" shrinkToFit="0" vertical="center" wrapText="1"/>
    </xf>
    <xf borderId="1" fillId="3" fontId="23" numFmtId="0" xfId="0" applyAlignment="1" applyBorder="1" applyFont="1">
      <alignment shrinkToFit="0" vertical="center" wrapText="1"/>
    </xf>
    <xf borderId="1" fillId="3" fontId="145" numFmtId="0" xfId="0" applyAlignment="1" applyBorder="1" applyFont="1">
      <alignment shrinkToFit="0" vertical="center" wrapText="1"/>
    </xf>
    <xf borderId="1" fillId="3" fontId="152" numFmtId="0" xfId="0" applyAlignment="1" applyBorder="1" applyFont="1">
      <alignment shrinkToFit="0" vertical="center" wrapText="1"/>
    </xf>
    <xf borderId="1" fillId="3" fontId="48" numFmtId="0" xfId="0" applyAlignment="1" applyBorder="1" applyFont="1">
      <alignment shrinkToFit="0" vertical="center" wrapText="1"/>
    </xf>
    <xf borderId="1" fillId="3" fontId="47" numFmtId="0" xfId="0" applyAlignment="1" applyBorder="1" applyFont="1">
      <alignment shrinkToFit="0" vertical="center" wrapText="1"/>
    </xf>
    <xf borderId="1" fillId="0" fontId="39" numFmtId="0" xfId="0" applyAlignment="1" applyBorder="1" applyFont="1">
      <alignment shrinkToFit="0" vertical="center" wrapText="1"/>
    </xf>
    <xf borderId="1" fillId="3" fontId="86" numFmtId="0" xfId="0" applyAlignment="1" applyBorder="1" applyFont="1">
      <alignment shrinkToFit="0" vertical="center" wrapText="1"/>
    </xf>
    <xf borderId="1" fillId="3" fontId="153" numFmtId="0" xfId="0" applyAlignment="1" applyBorder="1" applyFont="1">
      <alignment shrinkToFit="0" vertical="center" wrapText="1"/>
    </xf>
    <xf borderId="1" fillId="3" fontId="3" numFmtId="0" xfId="0" applyAlignment="1" applyBorder="1" applyFont="1">
      <alignment horizontal="left" vertical="center"/>
    </xf>
    <xf borderId="1" fillId="13" fontId="3" numFmtId="0" xfId="0" applyAlignment="1" applyBorder="1" applyFont="1">
      <alignment vertical="center"/>
    </xf>
    <xf borderId="1" fillId="13" fontId="3" numFmtId="0" xfId="0" applyAlignment="1" applyBorder="1" applyFont="1">
      <alignment shrinkToFit="0" vertical="center" wrapText="1"/>
    </xf>
    <xf borderId="1" fillId="13" fontId="3" numFmtId="0" xfId="0" applyAlignment="1" applyBorder="1" applyFont="1">
      <alignment horizontal="right" shrinkToFit="0" vertical="center" wrapText="1"/>
    </xf>
    <xf borderId="1" fillId="13" fontId="116" numFmtId="0" xfId="0" applyAlignment="1" applyBorder="1" applyFont="1">
      <alignment horizontal="center" shrinkToFit="0" vertical="center" wrapText="1"/>
    </xf>
    <xf borderId="1" fillId="13" fontId="3" numFmtId="0" xfId="0" applyAlignment="1" applyBorder="1" applyFont="1">
      <alignment horizontal="left" vertical="center"/>
    </xf>
    <xf borderId="1" fillId="0" fontId="3" numFmtId="164" xfId="0" applyAlignment="1" applyBorder="1" applyFont="1" applyNumberFormat="1">
      <alignment horizontal="right" vertical="center"/>
    </xf>
    <xf borderId="1" fillId="3" fontId="154" numFmtId="0" xfId="0" applyAlignment="1" applyBorder="1" applyFont="1">
      <alignment shrinkToFit="0" vertical="center" wrapText="1"/>
    </xf>
    <xf borderId="1" fillId="0" fontId="48" numFmtId="164" xfId="0" applyAlignment="1" applyBorder="1" applyFont="1" applyNumberFormat="1">
      <alignment horizontal="right" vertical="center"/>
    </xf>
    <xf borderId="1" fillId="0" fontId="48" numFmtId="0" xfId="0" applyAlignment="1" applyBorder="1" applyFont="1">
      <alignment vertical="center"/>
    </xf>
    <xf borderId="1" fillId="0" fontId="48" numFmtId="0" xfId="0" applyAlignment="1" applyBorder="1" applyFont="1">
      <alignment shrinkToFit="0" vertical="center" wrapText="1"/>
    </xf>
    <xf borderId="1" fillId="21" fontId="3" numFmtId="164" xfId="0" applyAlignment="1" applyBorder="1" applyFill="1" applyFont="1" applyNumberFormat="1">
      <alignment horizontal="right" vertical="center"/>
    </xf>
    <xf borderId="1" fillId="21" fontId="3" numFmtId="0" xfId="0" applyAlignment="1" applyBorder="1" applyFont="1">
      <alignment vertical="center"/>
    </xf>
    <xf borderId="1" fillId="21" fontId="3" numFmtId="0" xfId="0" applyAlignment="1" applyBorder="1" applyFont="1">
      <alignment shrinkToFit="0" vertical="center" wrapText="1"/>
    </xf>
    <xf borderId="1" fillId="21" fontId="3" numFmtId="0" xfId="0" applyAlignment="1" applyBorder="1" applyFont="1">
      <alignment horizontal="right" shrinkToFit="0" vertical="center" wrapText="1"/>
    </xf>
    <xf borderId="1" fillId="21" fontId="116" numFmtId="0" xfId="0" applyAlignment="1" applyBorder="1" applyFont="1">
      <alignment horizontal="center" shrinkToFit="0" vertical="center" wrapText="1"/>
    </xf>
    <xf borderId="1" fillId="21" fontId="3" numFmtId="0" xfId="0" applyAlignment="1" applyBorder="1" applyFont="1">
      <alignment horizontal="left" vertical="center"/>
    </xf>
    <xf borderId="1" fillId="21" fontId="3" numFmtId="0" xfId="0" applyAlignment="1" applyBorder="1" applyFont="1">
      <alignment horizontal="center" shrinkToFit="0" vertical="center" wrapText="1"/>
    </xf>
    <xf borderId="1" fillId="2" fontId="3" numFmtId="0" xfId="0" applyAlignment="1" applyBorder="1" applyFont="1">
      <alignment shrinkToFit="0" vertical="center" wrapText="1"/>
    </xf>
    <xf borderId="1" fillId="0" fontId="3" numFmtId="9" xfId="0" applyAlignment="1" applyBorder="1" applyFont="1" applyNumberFormat="1">
      <alignment vertical="center"/>
    </xf>
    <xf borderId="1" fillId="22" fontId="3" numFmtId="0" xfId="0" applyAlignment="1" applyBorder="1" applyFill="1" applyFont="1">
      <alignment shrinkToFit="0" vertical="center" wrapText="1"/>
    </xf>
    <xf borderId="1" fillId="0" fontId="3" numFmtId="164" xfId="0" applyAlignment="1" applyBorder="1" applyFont="1" applyNumberFormat="1">
      <alignment horizontal="right" shrinkToFit="0" vertical="center" wrapText="1"/>
    </xf>
    <xf borderId="1" fillId="0" fontId="3" numFmtId="0" xfId="0" applyAlignment="1" applyBorder="1" applyFont="1">
      <alignment horizontal="left" shrinkToFit="0" vertical="center" wrapText="1"/>
    </xf>
    <xf borderId="1" fillId="21" fontId="3" numFmtId="164" xfId="0" applyAlignment="1" applyBorder="1" applyFont="1" applyNumberFormat="1">
      <alignment horizontal="right" shrinkToFit="0" vertical="center" wrapText="1"/>
    </xf>
    <xf borderId="1" fillId="21" fontId="3" numFmtId="0" xfId="0" applyAlignment="1" applyBorder="1" applyFont="1">
      <alignment horizontal="left" shrinkToFit="0" vertical="center" wrapText="1"/>
    </xf>
    <xf borderId="0" fillId="2" fontId="1" numFmtId="0" xfId="0" applyAlignment="1" applyFont="1">
      <alignment horizontal="center" shrinkToFit="0" vertical="center" wrapText="1"/>
    </xf>
    <xf borderId="0" fillId="2" fontId="155" numFmtId="0" xfId="0" applyAlignment="1" applyFont="1">
      <alignment horizontal="center" shrinkToFit="0" vertical="center" wrapText="1"/>
    </xf>
    <xf borderId="0" fillId="2" fontId="1" numFmtId="0" xfId="0" applyAlignment="1" applyFont="1">
      <alignment horizontal="left" readingOrder="0" shrinkToFit="0" vertical="center" wrapText="1"/>
    </xf>
    <xf borderId="0" fillId="2" fontId="156" numFmtId="0" xfId="0" applyAlignment="1" applyFont="1">
      <alignment horizontal="center" readingOrder="0" shrinkToFit="0" vertical="center" wrapText="1"/>
    </xf>
    <xf borderId="0" fillId="2" fontId="1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vertical="center"/>
    </xf>
    <xf borderId="1" fillId="2" fontId="157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left" readingOrder="0" shrinkToFit="0" vertical="center" wrapText="1"/>
    </xf>
    <xf borderId="1" fillId="2" fontId="156" numFmtId="0" xfId="0" applyAlignment="1" applyBorder="1" applyFont="1">
      <alignment horizontal="center" readingOrder="0" shrinkToFit="0" vertical="center" wrapText="1"/>
    </xf>
    <xf borderId="1" fillId="0" fontId="83" numFmtId="0" xfId="0" applyAlignment="1" applyBorder="1" applyFont="1">
      <alignment horizontal="right" readingOrder="0" vertical="center"/>
    </xf>
    <xf borderId="1" fillId="0" fontId="83" numFmtId="0" xfId="0" applyAlignment="1" applyBorder="1" applyFont="1">
      <alignment horizontal="left" readingOrder="0" vertical="center"/>
    </xf>
    <xf borderId="1" fillId="0" fontId="83" numFmtId="0" xfId="0" applyAlignment="1" applyBorder="1" applyFont="1">
      <alignment horizontal="center" readingOrder="0" vertical="center"/>
    </xf>
    <xf borderId="1" fillId="0" fontId="83" numFmtId="0" xfId="0" applyAlignment="1" applyBorder="1" applyFont="1">
      <alignment horizontal="center" vertical="center"/>
    </xf>
    <xf borderId="1" fillId="0" fontId="83" numFmtId="0" xfId="0" applyAlignment="1" applyBorder="1" applyFont="1">
      <alignment horizontal="left" readingOrder="0" shrinkToFit="0" vertical="center" wrapText="1"/>
    </xf>
    <xf borderId="1" fillId="13" fontId="83" numFmtId="0" xfId="0" applyAlignment="1" applyBorder="1" applyFont="1">
      <alignment horizontal="right" readingOrder="0" vertical="center"/>
    </xf>
    <xf borderId="1" fillId="13" fontId="83" numFmtId="0" xfId="0" applyAlignment="1" applyBorder="1" applyFont="1">
      <alignment readingOrder="0" vertical="center"/>
    </xf>
    <xf borderId="1" fillId="13" fontId="83" numFmtId="0" xfId="0" applyAlignment="1" applyBorder="1" applyFont="1">
      <alignment horizontal="left" readingOrder="0" vertical="center"/>
    </xf>
    <xf borderId="1" fillId="13" fontId="83" numFmtId="0" xfId="0" applyAlignment="1" applyBorder="1" applyFont="1">
      <alignment horizontal="center" readingOrder="0" vertical="center"/>
    </xf>
    <xf borderId="1" fillId="13" fontId="83" numFmtId="0" xfId="0" applyAlignment="1" applyBorder="1" applyFont="1">
      <alignment horizontal="center" vertical="center"/>
    </xf>
    <xf borderId="1" fillId="13" fontId="83" numFmtId="0" xfId="0" applyAlignment="1" applyBorder="1" applyFont="1">
      <alignment readingOrder="0" shrinkToFit="0" vertical="center" wrapText="1"/>
    </xf>
    <xf borderId="1" fillId="0" fontId="83" numFmtId="0" xfId="0" applyAlignment="1" applyBorder="1" applyFont="1">
      <alignment horizontal="center" readingOrder="0" shrinkToFit="0" vertical="center" wrapText="1"/>
    </xf>
    <xf borderId="1" fillId="0" fontId="83" numFmtId="165" xfId="0" applyAlignment="1" applyBorder="1" applyFont="1" applyNumberFormat="1">
      <alignment horizontal="right" readingOrder="0" vertical="center"/>
    </xf>
    <xf borderId="1" fillId="13" fontId="83" numFmtId="165" xfId="0" applyAlignment="1" applyBorder="1" applyFont="1" applyNumberFormat="1">
      <alignment horizontal="right" readingOrder="0" vertical="center"/>
    </xf>
    <xf borderId="0" fillId="3" fontId="158" numFmtId="0" xfId="0" applyAlignment="1" applyFont="1">
      <alignment horizontal="left" readingOrder="0"/>
    </xf>
    <xf borderId="0" fillId="0" fontId="39" numFmtId="0" xfId="0" applyAlignment="1" applyFont="1">
      <alignment horizontal="left" readingOrder="0"/>
    </xf>
    <xf borderId="1" fillId="0" fontId="159" numFmtId="0" xfId="0" applyAlignment="1" applyBorder="1" applyFont="1">
      <alignment horizontal="center" readingOrder="0" vertical="center"/>
    </xf>
    <xf borderId="1" fillId="13" fontId="83" numFmtId="0" xfId="0" applyAlignment="1" applyBorder="1" applyFont="1">
      <alignment horizontal="left" readingOrder="0" shrinkToFit="0" vertical="center" wrapText="1"/>
    </xf>
    <xf borderId="0" fillId="0" fontId="83" numFmtId="0" xfId="0" applyAlignment="1" applyFont="1">
      <alignment readingOrder="0"/>
    </xf>
    <xf borderId="1" fillId="3" fontId="83" numFmtId="165" xfId="0" applyAlignment="1" applyBorder="1" applyFont="1" applyNumberFormat="1">
      <alignment horizontal="right" readingOrder="0" vertical="center"/>
    </xf>
    <xf borderId="0" fillId="3" fontId="160" numFmtId="0" xfId="0" applyAlignment="1" applyFont="1">
      <alignment horizontal="left" readingOrder="0"/>
    </xf>
    <xf borderId="1" fillId="3" fontId="160" numFmtId="0" xfId="0" applyAlignment="1" applyBorder="1" applyFont="1">
      <alignment horizontal="left" readingOrder="0"/>
    </xf>
    <xf borderId="1" fillId="13" fontId="83" numFmtId="0" xfId="0" applyAlignment="1" applyBorder="1" applyFont="1">
      <alignment horizontal="center" readingOrder="0" shrinkToFit="0" vertical="center" wrapText="1"/>
    </xf>
    <xf borderId="1" fillId="3" fontId="83" numFmtId="0" xfId="0" applyAlignment="1" applyBorder="1" applyFont="1">
      <alignment horizontal="right" readingOrder="0" vertical="center"/>
    </xf>
    <xf borderId="1" fillId="3" fontId="83" numFmtId="0" xfId="0" applyAlignment="1" applyBorder="1" applyFont="1">
      <alignment readingOrder="0" vertical="center"/>
    </xf>
    <xf borderId="1" fillId="3" fontId="83" numFmtId="0" xfId="0" applyAlignment="1" applyBorder="1" applyFont="1">
      <alignment horizontal="left" readingOrder="0" vertical="center"/>
    </xf>
    <xf borderId="1" fillId="3" fontId="83" numFmtId="0" xfId="0" applyAlignment="1" applyBorder="1" applyFont="1">
      <alignment horizontal="center" readingOrder="0" vertical="center"/>
    </xf>
    <xf borderId="1" fillId="3" fontId="83" numFmtId="0" xfId="0" applyAlignment="1" applyBorder="1" applyFont="1">
      <alignment horizontal="center" vertical="center"/>
    </xf>
    <xf borderId="0" fillId="13" fontId="25" numFmtId="0" xfId="0" applyAlignment="1" applyFont="1">
      <alignment horizontal="left" readingOrder="0"/>
    </xf>
    <xf borderId="1" fillId="0" fontId="83" numFmtId="166" xfId="0" applyAlignment="1" applyBorder="1" applyFont="1" applyNumberFormat="1">
      <alignment horizontal="right" readingOrder="0" vertical="center"/>
    </xf>
    <xf borderId="1" fillId="13" fontId="83" numFmtId="166" xfId="0" applyAlignment="1" applyBorder="1" applyFont="1" applyNumberFormat="1">
      <alignment horizontal="right" readingOrder="0" vertical="center"/>
    </xf>
    <xf borderId="7" fillId="0" fontId="161" numFmtId="0" xfId="0" applyAlignment="1" applyBorder="1" applyFont="1">
      <alignment horizontal="left" readingOrder="0" vertical="top"/>
    </xf>
    <xf borderId="1" fillId="0" fontId="162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1" fillId="13" fontId="163" numFmtId="0" xfId="0" applyAlignment="1" applyBorder="1" applyFont="1">
      <alignment readingOrder="0" vertical="center"/>
    </xf>
    <xf borderId="1" fillId="0" fontId="83" numFmtId="0" xfId="0" applyAlignment="1" applyBorder="1" applyFont="1">
      <alignment horizontal="left" readingOrder="0" shrinkToFit="0" vertical="top" wrapText="0"/>
    </xf>
    <xf borderId="1" fillId="0" fontId="83" numFmtId="166" xfId="0" applyAlignment="1" applyBorder="1" applyFont="1" applyNumberFormat="1">
      <alignment horizontal="center" readingOrder="0" vertical="center"/>
    </xf>
    <xf borderId="1" fillId="0" fontId="83" numFmtId="166" xfId="0" applyAlignment="1" applyBorder="1" applyFont="1" applyNumberFormat="1">
      <alignment readingOrder="0" vertical="center"/>
    </xf>
    <xf borderId="1" fillId="13" fontId="83" numFmtId="166" xfId="0" applyAlignment="1" applyBorder="1" applyFont="1" applyNumberFormat="1">
      <alignment readingOrder="0" vertical="center"/>
    </xf>
    <xf borderId="1" fillId="13" fontId="83" numFmtId="0" xfId="0" applyAlignment="1" applyBorder="1" applyFont="1">
      <alignment vertical="center"/>
    </xf>
    <xf borderId="1" fillId="0" fontId="83" numFmtId="165" xfId="0" applyAlignment="1" applyBorder="1" applyFont="1" applyNumberFormat="1">
      <alignment readingOrder="0" vertical="center"/>
    </xf>
    <xf borderId="0" fillId="3" fontId="160" numFmtId="0" xfId="0" applyAlignment="1" applyFont="1">
      <alignment horizontal="left" readingOrder="0" vertical="center"/>
    </xf>
    <xf borderId="1" fillId="3" fontId="25" numFmtId="0" xfId="0" applyAlignment="1" applyBorder="1" applyFont="1">
      <alignment horizontal="left" readingOrder="0" vertical="center"/>
    </xf>
    <xf borderId="1" fillId="0" fontId="83" numFmtId="165" xfId="0" applyAlignment="1" applyBorder="1" applyFont="1" applyNumberFormat="1">
      <alignment horizontal="left" readingOrder="0" vertical="center"/>
    </xf>
    <xf borderId="1" fillId="13" fontId="83" numFmtId="165" xfId="0" applyAlignment="1" applyBorder="1" applyFont="1" applyNumberFormat="1">
      <alignment horizontal="left" readingOrder="0" vertical="center"/>
    </xf>
    <xf borderId="1" fillId="3" fontId="11" numFmtId="0" xfId="0" applyAlignment="1" applyBorder="1" applyFont="1">
      <alignment readingOrder="0" vertical="center"/>
    </xf>
    <xf borderId="1" fillId="3" fontId="160" numFmtId="0" xfId="0" applyAlignment="1" applyBorder="1" applyFont="1">
      <alignment horizontal="left" readingOrder="0" vertical="center"/>
    </xf>
    <xf borderId="1" fillId="0" fontId="25" numFmtId="0" xfId="0" applyAlignment="1" applyBorder="1" applyFont="1">
      <alignment horizontal="left" readingOrder="0" vertical="center"/>
    </xf>
    <xf borderId="1" fillId="0" fontId="164" numFmtId="0" xfId="0" applyAlignment="1" applyBorder="1" applyFont="1">
      <alignment horizontal="left" readingOrder="0" vertical="center"/>
    </xf>
    <xf borderId="1" fillId="3" fontId="11" numFmtId="0" xfId="0" applyAlignment="1" applyBorder="1" applyFont="1">
      <alignment horizontal="center" readingOrder="0" vertical="center"/>
    </xf>
    <xf borderId="1" fillId="3" fontId="165" numFmtId="0" xfId="0" applyAlignment="1" applyBorder="1" applyFont="1">
      <alignment horizontal="center" readingOrder="0" vertical="center"/>
    </xf>
    <xf borderId="1" fillId="22" fontId="25" numFmtId="0" xfId="0" applyAlignment="1" applyBorder="1" applyFont="1">
      <alignment horizontal="left" readingOrder="0" vertical="center"/>
    </xf>
    <xf borderId="1" fillId="0" fontId="166" numFmtId="0" xfId="0" applyAlignment="1" applyBorder="1" applyFont="1">
      <alignment horizontal="center" vertical="center"/>
    </xf>
    <xf borderId="1" fillId="15" fontId="83" numFmtId="0" xfId="0" applyAlignment="1" applyBorder="1" applyFont="1">
      <alignment horizontal="left" readingOrder="0" vertical="center"/>
    </xf>
    <xf borderId="1" fillId="0" fontId="45" numFmtId="0" xfId="0" applyAlignment="1" applyBorder="1" applyFont="1">
      <alignment horizontal="left" readingOrder="0" shrinkToFit="0" vertical="center" wrapText="0"/>
    </xf>
    <xf borderId="1" fillId="0" fontId="167" numFmtId="0" xfId="0" applyAlignment="1" applyBorder="1" applyFont="1">
      <alignment horizontal="left" readingOrder="0" shrinkToFit="0" vertical="center" wrapText="0"/>
    </xf>
    <xf borderId="1" fillId="0" fontId="20" numFmtId="0" xfId="0" applyAlignment="1" applyBorder="1" applyFont="1">
      <alignment horizontal="left" readingOrder="0" shrinkToFit="0" vertical="center" wrapText="1"/>
    </xf>
    <xf borderId="1" fillId="13" fontId="25" numFmtId="0" xfId="0" applyAlignment="1" applyBorder="1" applyFont="1">
      <alignment horizontal="left" readingOrder="0" vertical="center"/>
    </xf>
    <xf borderId="1" fillId="13" fontId="11" numFmtId="0" xfId="0" applyAlignment="1" applyBorder="1" applyFont="1">
      <alignment horizontal="center" readingOrder="0" vertical="center"/>
    </xf>
    <xf borderId="1" fillId="0" fontId="83" numFmtId="0" xfId="0" applyAlignment="1" applyBorder="1" applyFont="1">
      <alignment horizontal="left" vertical="center"/>
    </xf>
    <xf borderId="1" fillId="6" fontId="20" numFmtId="0" xfId="0" applyAlignment="1" applyBorder="1" applyFont="1">
      <alignment horizontal="left" readingOrder="0" vertical="center"/>
    </xf>
    <xf borderId="1" fillId="0" fontId="20" numFmtId="0" xfId="0" applyAlignment="1" applyBorder="1" applyFont="1">
      <alignment horizontal="left" readingOrder="0" vertical="center"/>
    </xf>
    <xf borderId="1" fillId="6" fontId="20" numFmtId="0" xfId="0" applyAlignment="1" applyBorder="1" applyFont="1">
      <alignment horizontal="center" readingOrder="0" vertical="center"/>
    </xf>
    <xf borderId="1" fillId="0" fontId="168" numFmtId="0" xfId="0" applyAlignment="1" applyBorder="1" applyFont="1">
      <alignment readingOrder="0" vertical="center"/>
    </xf>
    <xf borderId="1" fillId="0" fontId="83" numFmtId="0" xfId="0" applyBorder="1" applyFont="1"/>
    <xf borderId="1" fillId="0" fontId="83" numFmtId="0" xfId="0" applyAlignment="1" applyBorder="1" applyFont="1">
      <alignment readingOrder="0" shrinkToFit="0" wrapText="1"/>
    </xf>
    <xf borderId="1" fillId="13" fontId="83" numFmtId="0" xfId="0" applyAlignment="1" applyBorder="1" applyFont="1">
      <alignment horizontal="center" readingOrder="0"/>
    </xf>
    <xf borderId="1" fillId="13" fontId="83" numFmtId="0" xfId="0" applyAlignment="1" applyBorder="1" applyFont="1">
      <alignment readingOrder="0"/>
    </xf>
    <xf borderId="8" fillId="3" fontId="20" numFmtId="0" xfId="0" applyAlignment="1" applyBorder="1" applyFont="1">
      <alignment horizontal="left" readingOrder="0"/>
    </xf>
    <xf borderId="7" fillId="23" fontId="161" numFmtId="0" xfId="0" applyAlignment="1" applyBorder="1" applyFill="1" applyFont="1">
      <alignment horizontal="center" readingOrder="0" shrinkToFit="0" vertical="center" wrapText="1"/>
    </xf>
    <xf borderId="1" fillId="23" fontId="161" numFmtId="0" xfId="0" applyAlignment="1" applyBorder="1" applyFont="1">
      <alignment horizontal="center" readingOrder="0" shrinkToFit="0" vertical="center" wrapText="1"/>
    </xf>
    <xf borderId="0" fillId="0" fontId="83" numFmtId="0" xfId="0" applyAlignment="1" applyFont="1">
      <alignment horizontal="center" shrinkToFit="0" vertical="center" wrapText="1"/>
    </xf>
    <xf borderId="4" fillId="0" fontId="48" numFmtId="0" xfId="0" applyAlignment="1" applyBorder="1" applyFont="1">
      <alignment readingOrder="0" shrinkToFit="0" vertical="center" wrapText="1"/>
    </xf>
    <xf borderId="12" fillId="0" fontId="48" numFmtId="0" xfId="0" applyAlignment="1" applyBorder="1" applyFont="1">
      <alignment horizontal="center" readingOrder="0" shrinkToFit="0" vertical="center" wrapText="1"/>
    </xf>
    <xf borderId="12" fillId="0" fontId="169" numFmtId="0" xfId="0" applyAlignment="1" applyBorder="1" applyFont="1">
      <alignment horizontal="center" shrinkToFit="0" vertical="center" wrapText="1"/>
    </xf>
    <xf borderId="1" fillId="0" fontId="83" numFmtId="0" xfId="0" applyAlignment="1" applyBorder="1" applyFont="1">
      <alignment horizontal="center" shrinkToFit="0" vertical="center" wrapText="1"/>
    </xf>
    <xf borderId="1" fillId="0" fontId="105" numFmtId="0" xfId="0" applyAlignment="1" applyBorder="1" applyFont="1">
      <alignment horizontal="center" shrinkToFit="0" vertical="center" wrapText="1"/>
    </xf>
    <xf borderId="0" fillId="0" fontId="83" numFmtId="0" xfId="0" applyAlignment="1" applyFont="1">
      <alignment shrinkToFit="0" vertical="center" wrapText="1"/>
    </xf>
    <xf borderId="4" fillId="3" fontId="48" numFmtId="0" xfId="0" applyAlignment="1" applyBorder="1" applyFont="1">
      <alignment readingOrder="0" shrinkToFit="0" vertical="center" wrapText="1"/>
    </xf>
    <xf borderId="1" fillId="0" fontId="105" numFmtId="0" xfId="0" applyAlignment="1" applyBorder="1" applyFont="1">
      <alignment horizontal="center" readingOrder="0" shrinkToFit="0" vertical="center" wrapText="1"/>
    </xf>
    <xf borderId="12" fillId="0" fontId="169" numFmtId="0" xfId="0" applyAlignment="1" applyBorder="1" applyFont="1">
      <alignment horizontal="center" readingOrder="0" shrinkToFit="0" vertical="center" wrapText="1"/>
    </xf>
    <xf borderId="12" fillId="0" fontId="169" numFmtId="0" xfId="0" applyAlignment="1" applyBorder="1" applyFont="1">
      <alignment horizontal="center" readingOrder="0" shrinkToFit="0" vertical="center" wrapText="1"/>
    </xf>
    <xf borderId="4" fillId="24" fontId="48" numFmtId="0" xfId="0" applyAlignment="1" applyBorder="1" applyFill="1" applyFont="1">
      <alignment readingOrder="0" shrinkToFit="0" vertical="center" wrapText="1"/>
    </xf>
    <xf borderId="12" fillId="15" fontId="169" numFmtId="0" xfId="0" applyAlignment="1" applyBorder="1" applyFont="1">
      <alignment horizontal="center" readingOrder="0" shrinkToFit="0" vertical="center" wrapText="1"/>
    </xf>
    <xf borderId="4" fillId="18" fontId="48" numFmtId="0" xfId="0" applyAlignment="1" applyBorder="1" applyFont="1">
      <alignment readingOrder="0" shrinkToFit="0" vertical="center" wrapText="1"/>
    </xf>
    <xf borderId="1" fillId="0" fontId="105" numFmtId="165" xfId="0" applyAlignment="1" applyBorder="1" applyFont="1" applyNumberFormat="1">
      <alignment horizontal="center" readingOrder="0" shrinkToFit="0" vertical="center" wrapText="1"/>
    </xf>
    <xf borderId="4" fillId="0" fontId="83" numFmtId="0" xfId="0" applyAlignment="1" applyBorder="1" applyFont="1">
      <alignment readingOrder="0" shrinkToFit="0" vertical="center" wrapText="1"/>
    </xf>
    <xf borderId="12" fillId="3" fontId="83" numFmtId="0" xfId="0" applyAlignment="1" applyBorder="1" applyFont="1">
      <alignment horizontal="center" readingOrder="0" shrinkToFit="0" wrapText="1"/>
    </xf>
    <xf borderId="12" fillId="0" fontId="83" numFmtId="0" xfId="0" applyAlignment="1" applyBorder="1" applyFont="1">
      <alignment horizontal="center" readingOrder="0" shrinkToFit="0" wrapText="1"/>
    </xf>
    <xf borderId="12" fillId="0" fontId="83" numFmtId="0" xfId="0" applyAlignment="1" applyBorder="1" applyFont="1">
      <alignment readingOrder="0" shrinkToFit="0" wrapText="1"/>
    </xf>
    <xf borderId="1" fillId="0" fontId="83" numFmtId="0" xfId="0" applyAlignment="1" applyBorder="1" applyFont="1">
      <alignment shrinkToFit="0" vertical="center" wrapText="1"/>
    </xf>
    <xf borderId="12" fillId="13" fontId="83" numFmtId="0" xfId="0" applyAlignment="1" applyBorder="1" applyFont="1">
      <alignment horizontal="center" readingOrder="0" shrinkToFit="0" wrapText="1"/>
    </xf>
    <xf borderId="12" fillId="0" fontId="83" numFmtId="0" xfId="0" applyAlignment="1" applyBorder="1" applyFont="1">
      <alignment shrinkToFit="0" wrapText="1"/>
    </xf>
    <xf borderId="12" fillId="0" fontId="83" numFmtId="0" xfId="0" applyAlignment="1" applyBorder="1" applyFont="1">
      <alignment horizontal="center" shrinkToFit="0" wrapText="1"/>
    </xf>
    <xf borderId="12" fillId="15" fontId="48" numFmtId="0" xfId="0" applyAlignment="1" applyBorder="1" applyFont="1">
      <alignment horizontal="center" readingOrder="0" shrinkToFit="0" vertical="center" wrapText="1"/>
    </xf>
    <xf borderId="12" fillId="0" fontId="83" numFmtId="0" xfId="0" applyAlignment="1" applyBorder="1" applyFont="1">
      <alignment horizontal="center" readingOrder="0" shrinkToFit="0" vertical="center" wrapText="1"/>
    </xf>
    <xf borderId="12" fillId="0" fontId="83" numFmtId="0" xfId="0" applyAlignment="1" applyBorder="1" applyFont="1">
      <alignment horizontal="center" shrinkToFit="0" vertical="center" wrapText="1"/>
    </xf>
    <xf borderId="12" fillId="0" fontId="83" numFmtId="0" xfId="0" applyAlignment="1" applyBorder="1" applyFont="1">
      <alignment shrinkToFit="0" vertical="center" wrapText="1"/>
    </xf>
    <xf borderId="4" fillId="0" fontId="83" numFmtId="0" xfId="0" applyAlignment="1" applyBorder="1" applyFont="1">
      <alignment readingOrder="0" shrinkToFit="0" wrapText="1"/>
    </xf>
    <xf borderId="12" fillId="22" fontId="83" numFmtId="0" xfId="0" applyAlignment="1" applyBorder="1" applyFont="1">
      <alignment horizontal="center" readingOrder="0" shrinkToFit="0" wrapText="1"/>
    </xf>
    <xf borderId="1" fillId="3" fontId="170" numFmtId="0" xfId="0" applyAlignment="1" applyBorder="1" applyFont="1">
      <alignment horizontal="left" readingOrder="0"/>
    </xf>
    <xf borderId="4" fillId="18" fontId="83" numFmtId="0" xfId="0" applyAlignment="1" applyBorder="1" applyFont="1">
      <alignment readingOrder="0" shrinkToFit="0" vertical="center" wrapText="1"/>
    </xf>
    <xf borderId="1" fillId="25" fontId="156" numFmtId="0" xfId="0" applyAlignment="1" applyBorder="1" applyFill="1" applyFont="1">
      <alignment readingOrder="0"/>
    </xf>
    <xf borderId="4" fillId="0" fontId="169" numFmtId="0" xfId="0" applyAlignment="1" applyBorder="1" applyFont="1">
      <alignment readingOrder="0" shrinkToFit="0" vertical="center" wrapText="1"/>
    </xf>
    <xf borderId="4" fillId="18" fontId="169" numFmtId="0" xfId="0" applyAlignment="1" applyBorder="1" applyFont="1">
      <alignment readingOrder="0" shrinkToFit="0" vertical="center" wrapText="1"/>
    </xf>
    <xf borderId="1" fillId="0" fontId="83" numFmtId="0" xfId="0" applyAlignment="1" applyBorder="1" applyFont="1">
      <alignment horizontal="left" shrinkToFit="0" vertical="center" wrapText="1"/>
    </xf>
    <xf borderId="4" fillId="3" fontId="83" numFmtId="0" xfId="0" applyAlignment="1" applyBorder="1" applyFont="1">
      <alignment readingOrder="0" shrinkToFit="0" wrapText="1"/>
    </xf>
    <xf borderId="4" fillId="3" fontId="83" numFmtId="0" xfId="0" applyAlignment="1" applyBorder="1" applyFont="1">
      <alignment readingOrder="0" shrinkToFit="0" vertical="center" wrapText="1"/>
    </xf>
    <xf borderId="4" fillId="18" fontId="83" numFmtId="0" xfId="0" applyAlignment="1" applyBorder="1" applyFont="1">
      <alignment readingOrder="0" shrinkToFit="0" wrapText="1"/>
    </xf>
    <xf borderId="5" fillId="0" fontId="83" numFmtId="0" xfId="0" applyBorder="1" applyFont="1"/>
    <xf borderId="4" fillId="0" fontId="48" numFmtId="0" xfId="0" applyAlignment="1" applyBorder="1" applyFont="1">
      <alignment readingOrder="0" shrinkToFit="0" vertical="center" wrapText="0"/>
    </xf>
    <xf borderId="4" fillId="6" fontId="48" numFmtId="0" xfId="0" applyAlignment="1" applyBorder="1" applyFont="1">
      <alignment readingOrder="0" shrinkToFit="0" vertical="center" wrapText="1"/>
    </xf>
    <xf borderId="12" fillId="0" fontId="83" numFmtId="0" xfId="0" applyAlignment="1" applyBorder="1" applyFont="1">
      <alignment readingOrder="0" shrinkToFit="0" vertical="center" wrapText="1"/>
    </xf>
    <xf borderId="1" fillId="3" fontId="171" numFmtId="0" xfId="0" applyAlignment="1" applyBorder="1" applyFont="1">
      <alignment horizontal="center" readingOrder="0"/>
    </xf>
    <xf borderId="12" fillId="0" fontId="172" numFmtId="0" xfId="0" applyAlignment="1" applyBorder="1" applyFont="1">
      <alignment horizontal="center" shrinkToFit="0" wrapText="1"/>
    </xf>
    <xf borderId="1" fillId="0" fontId="163" numFmtId="0" xfId="0" applyAlignment="1" applyBorder="1" applyFont="1">
      <alignment horizontal="center" readingOrder="0" shrinkToFit="0" wrapText="1"/>
    </xf>
    <xf borderId="1" fillId="3" fontId="173" numFmtId="0" xfId="0" applyAlignment="1" applyBorder="1" applyFont="1">
      <alignment readingOrder="0"/>
    </xf>
    <xf borderId="1" fillId="0" fontId="83" numFmtId="0" xfId="0" applyAlignment="1" applyBorder="1" applyFont="1">
      <alignment horizontal="center" readingOrder="0" shrinkToFit="0" wrapText="1"/>
    </xf>
    <xf borderId="4" fillId="0" fontId="83" numFmtId="0" xfId="0" applyAlignment="1" applyBorder="1" applyFont="1">
      <alignment horizontal="center" shrinkToFit="0" wrapText="1"/>
    </xf>
    <xf borderId="1" fillId="0" fontId="83" numFmtId="0" xfId="0" applyAlignment="1" applyBorder="1" applyFont="1">
      <alignment shrinkToFit="0" wrapText="1"/>
    </xf>
    <xf borderId="4" fillId="0" fontId="48" numFmtId="0" xfId="0" applyAlignment="1" applyBorder="1" applyFont="1">
      <alignment horizontal="center" readingOrder="0" shrinkToFit="0" vertical="center" wrapText="1"/>
    </xf>
    <xf borderId="1" fillId="0" fontId="48" numFmtId="0" xfId="0" applyAlignment="1" applyBorder="1" applyFont="1">
      <alignment horizontal="center" readingOrder="0" shrinkToFit="0" vertical="center" wrapText="1"/>
    </xf>
    <xf borderId="1" fillId="0" fontId="105" numFmtId="0" xfId="0" applyAlignment="1" applyBorder="1" applyFont="1">
      <alignment horizontal="center" readingOrder="0" shrinkToFit="0" wrapText="1"/>
    </xf>
    <xf borderId="0" fillId="0" fontId="83" numFmtId="0" xfId="0" applyAlignment="1" applyFont="1">
      <alignment shrinkToFit="0" wrapText="1"/>
    </xf>
    <xf borderId="1" fillId="0" fontId="169" numFmtId="0" xfId="0" applyAlignment="1" applyBorder="1" applyFont="1">
      <alignment horizontal="center" shrinkToFit="0" vertical="center" wrapText="1"/>
    </xf>
    <xf borderId="1" fillId="0" fontId="105" numFmtId="0" xfId="0" applyAlignment="1" applyBorder="1" applyFont="1">
      <alignment horizontal="center" shrinkToFit="0" wrapText="1"/>
    </xf>
    <xf borderId="1" fillId="0" fontId="169" numFmtId="0" xfId="0" applyAlignment="1" applyBorder="1" applyFont="1">
      <alignment horizontal="center" readingOrder="0" shrinkToFit="0" vertical="center" wrapText="1"/>
    </xf>
    <xf borderId="1" fillId="0" fontId="83" numFmtId="0" xfId="0" applyAlignment="1" applyBorder="1" applyFont="1">
      <alignment horizontal="center" shrinkToFit="0" wrapText="1"/>
    </xf>
    <xf borderId="1" fillId="0" fontId="174" numFmtId="0" xfId="0" applyAlignment="1" applyBorder="1" applyFont="1">
      <alignment readingOrder="0" shrinkToFit="0" wrapText="1"/>
    </xf>
    <xf borderId="1" fillId="3" fontId="175" numFmtId="0" xfId="0" applyAlignment="1" applyBorder="1" applyFont="1">
      <alignment horizontal="center" readingOrder="0"/>
    </xf>
    <xf borderId="1" fillId="0" fontId="48" numFmtId="0" xfId="0" applyAlignment="1" applyBorder="1" applyFont="1">
      <alignment readingOrder="0" shrinkToFit="0" vertical="center" wrapText="0"/>
    </xf>
    <xf borderId="0" fillId="3" fontId="176" numFmtId="0" xfId="0" applyAlignment="1" applyFont="1">
      <alignment readingOrder="0" shrinkToFit="0" wrapText="1"/>
    </xf>
    <xf borderId="0" fillId="3" fontId="177" numFmtId="0" xfId="0" applyAlignment="1" applyFont="1">
      <alignment readingOrder="0" shrinkToFit="0" wrapText="1"/>
    </xf>
    <xf borderId="1" fillId="18" fontId="83" numFmtId="0" xfId="0" applyAlignment="1" applyBorder="1" applyFont="1">
      <alignment readingOrder="0" shrinkToFit="0" vertical="center" wrapText="1"/>
    </xf>
    <xf borderId="1" fillId="6" fontId="83" numFmtId="0" xfId="0" applyAlignment="1" applyBorder="1" applyFont="1">
      <alignment horizontal="center" readingOrder="0" shrinkToFit="0" wrapText="1"/>
    </xf>
    <xf borderId="1" fillId="6" fontId="83" numFmtId="0" xfId="0" applyAlignment="1" applyBorder="1" applyFont="1">
      <alignment horizontal="center" shrinkToFit="0" wrapText="1"/>
    </xf>
    <xf borderId="1" fillId="6" fontId="83" numFmtId="0" xfId="0" applyAlignment="1" applyBorder="1" applyFont="1">
      <alignment shrinkToFit="0" wrapText="1"/>
    </xf>
    <xf borderId="1" fillId="6" fontId="83" numFmtId="0" xfId="0" applyAlignment="1" applyBorder="1" applyFont="1">
      <alignment readingOrder="0" shrinkToFit="0" wrapText="1"/>
    </xf>
    <xf borderId="1" fillId="6" fontId="105" numFmtId="0" xfId="0" applyAlignment="1" applyBorder="1" applyFont="1">
      <alignment horizontal="center" shrinkToFit="0" vertical="center" wrapText="1"/>
    </xf>
    <xf borderId="1" fillId="6" fontId="105" numFmtId="0" xfId="0" applyAlignment="1" applyBorder="1" applyFont="1">
      <alignment horizontal="center" shrinkToFit="0" wrapText="1"/>
    </xf>
    <xf borderId="0" fillId="6" fontId="83" numFmtId="0" xfId="0" applyAlignment="1" applyFont="1">
      <alignment shrinkToFit="0" wrapText="1"/>
    </xf>
    <xf borderId="1" fillId="18" fontId="83" numFmtId="0" xfId="0" applyAlignment="1" applyBorder="1" applyFont="1">
      <alignment readingOrder="0" shrinkToFit="0" wrapText="1"/>
    </xf>
    <xf borderId="1" fillId="3" fontId="176" numFmtId="0" xfId="0" applyAlignment="1" applyBorder="1" applyFont="1">
      <alignment readingOrder="0"/>
    </xf>
    <xf borderId="1" fillId="0" fontId="169" numFmtId="0" xfId="0" applyAlignment="1" applyBorder="1" applyFont="1">
      <alignment readingOrder="0" shrinkToFit="0" vertical="center" wrapText="1"/>
    </xf>
    <xf borderId="1" fillId="0" fontId="178" numFmtId="0" xfId="0" applyAlignment="1" applyBorder="1" applyFont="1">
      <alignment horizontal="center" readingOrder="0" shrinkToFit="0" vertical="center" wrapText="1"/>
    </xf>
    <xf borderId="1" fillId="0" fontId="83" numFmtId="167" xfId="0" applyAlignment="1" applyBorder="1" applyFont="1" applyNumberFormat="1">
      <alignment horizontal="center" readingOrder="0" shrinkToFit="0" wrapText="1"/>
    </xf>
    <xf borderId="0" fillId="3" fontId="179" numFmtId="0" xfId="0" applyAlignment="1" applyFont="1">
      <alignment horizontal="center" readingOrder="0"/>
    </xf>
    <xf borderId="1" fillId="3" fontId="180" numFmtId="0" xfId="0" applyAlignment="1" applyBorder="1" applyFont="1">
      <alignment horizontal="left" readingOrder="0"/>
    </xf>
    <xf borderId="1" fillId="18" fontId="83" numFmtId="0" xfId="0" applyAlignment="1" applyBorder="1" applyFont="1">
      <alignment horizontal="center" readingOrder="0" shrinkToFit="0" vertical="center" wrapText="1"/>
    </xf>
    <xf borderId="0" fillId="18" fontId="48" numFmtId="0" xfId="0" applyAlignment="1" applyFont="1">
      <alignment horizontal="center" readingOrder="0"/>
    </xf>
    <xf borderId="1" fillId="16" fontId="83" numFmtId="0" xfId="0" applyAlignment="1" applyBorder="1" applyFont="1">
      <alignment horizontal="center" readingOrder="0" shrinkToFit="0" vertical="center" wrapText="1"/>
    </xf>
    <xf borderId="1" fillId="3" fontId="181" numFmtId="0" xfId="0" applyAlignment="1" applyBorder="1" applyFont="1">
      <alignment horizontal="center" readingOrder="0" shrinkToFit="0" wrapText="1"/>
    </xf>
    <xf borderId="0" fillId="0" fontId="105" numFmtId="0" xfId="0" applyAlignment="1" applyFont="1">
      <alignment horizontal="center" shrinkToFit="0" vertical="center" wrapText="1"/>
    </xf>
    <xf borderId="1" fillId="0" fontId="182" numFmtId="0" xfId="0" applyAlignment="1" applyBorder="1" applyFont="1">
      <alignment readingOrder="0" shrinkToFit="0" vertical="center" wrapText="1"/>
    </xf>
    <xf borderId="0" fillId="0" fontId="183" numFmtId="0" xfId="0" applyAlignment="1" applyFont="1">
      <alignment readingOrder="0"/>
    </xf>
    <xf borderId="1" fillId="3" fontId="83" numFmtId="0" xfId="0" applyAlignment="1" applyBorder="1" applyFont="1">
      <alignment readingOrder="0" shrinkToFit="0" vertical="center" wrapText="1"/>
    </xf>
    <xf borderId="1" fillId="3" fontId="23" numFmtId="0" xfId="0" applyAlignment="1" applyBorder="1" applyFont="1">
      <alignment readingOrder="0"/>
    </xf>
    <xf borderId="0" fillId="3" fontId="23" numFmtId="0" xfId="0" applyAlignment="1" applyFont="1">
      <alignment horizontal="center" readingOrder="0"/>
    </xf>
    <xf borderId="1" fillId="3" fontId="48" numFmtId="0" xfId="0" applyAlignment="1" applyBorder="1" applyFont="1">
      <alignment horizontal="left" readingOrder="0" shrinkToFit="0" wrapText="1"/>
    </xf>
    <xf borderId="1" fillId="3" fontId="3" numFmtId="0" xfId="0" applyAlignment="1" applyBorder="1" applyFont="1">
      <alignment horizontal="left" readingOrder="0"/>
    </xf>
    <xf borderId="0" fillId="0" fontId="83" numFmtId="0" xfId="0" applyAlignment="1" applyFont="1">
      <alignment horizontal="center" readingOrder="0" shrinkToFit="0" wrapText="1"/>
    </xf>
    <xf borderId="1" fillId="0" fontId="105" numFmtId="166" xfId="0" applyAlignment="1" applyBorder="1" applyFont="1" applyNumberFormat="1">
      <alignment horizontal="center" readingOrder="0" shrinkToFit="0" vertical="center" wrapText="1"/>
    </xf>
    <xf borderId="1" fillId="3" fontId="163" numFmtId="0" xfId="0" applyAlignment="1" applyBorder="1" applyFont="1">
      <alignment horizontal="center" readingOrder="0"/>
    </xf>
    <xf borderId="1" fillId="0" fontId="83" numFmtId="0" xfId="0" applyAlignment="1" applyBorder="1" applyFont="1">
      <alignment horizontal="center" readingOrder="0"/>
    </xf>
    <xf borderId="5" fillId="0" fontId="48" numFmtId="0" xfId="0" applyAlignment="1" applyBorder="1" applyFont="1">
      <alignment horizontal="center" readingOrder="0" shrinkToFit="0" vertical="center" wrapText="1"/>
    </xf>
    <xf borderId="11" fillId="0" fontId="48" numFmtId="0" xfId="0" applyAlignment="1" applyBorder="1" applyFont="1">
      <alignment horizontal="center" readingOrder="0" shrinkToFit="0" vertical="center" wrapText="1"/>
    </xf>
    <xf borderId="0" fillId="0" fontId="184" numFmtId="0" xfId="0" applyAlignment="1" applyFont="1">
      <alignment readingOrder="0"/>
    </xf>
    <xf borderId="1" fillId="3" fontId="48" numFmtId="0" xfId="0" applyAlignment="1" applyBorder="1" applyFont="1">
      <alignment horizontal="center" readingOrder="0" shrinkToFit="0" wrapText="1"/>
    </xf>
    <xf borderId="0" fillId="3" fontId="48" numFmtId="0" xfId="0" applyAlignment="1" applyFont="1">
      <alignment horizontal="center" readingOrder="0" shrinkToFit="0" wrapText="1"/>
    </xf>
    <xf borderId="1" fillId="3" fontId="83" numFmtId="0" xfId="0" applyAlignment="1" applyBorder="1" applyFont="1">
      <alignment horizontal="center" readingOrder="0" shrinkToFit="0" wrapText="1"/>
    </xf>
    <xf borderId="1" fillId="7" fontId="83" numFmtId="0" xfId="0" applyAlignment="1" applyBorder="1" applyFont="1">
      <alignment horizontal="center" readingOrder="0" shrinkToFit="0" wrapText="1"/>
    </xf>
    <xf borderId="1" fillId="3" fontId="169" numFmtId="0" xfId="0" applyAlignment="1" applyBorder="1" applyFont="1">
      <alignment horizontal="center" readingOrder="0"/>
    </xf>
    <xf borderId="0" fillId="3" fontId="185" numFmtId="0" xfId="0" applyAlignment="1" applyFont="1">
      <alignment horizontal="center" readingOrder="0"/>
    </xf>
    <xf borderId="1" fillId="3" fontId="185" numFmtId="0" xfId="0" applyAlignment="1" applyBorder="1" applyFont="1">
      <alignment horizontal="center" readingOrder="0"/>
    </xf>
    <xf borderId="1" fillId="16" fontId="83" numFmtId="0" xfId="0" applyAlignment="1" applyBorder="1" applyFont="1">
      <alignment readingOrder="0" shrinkToFit="0" wrapText="1"/>
    </xf>
    <xf borderId="1" fillId="16" fontId="83" numFmtId="0" xfId="0" applyAlignment="1" applyBorder="1" applyFont="1">
      <alignment horizontal="center" readingOrder="0" shrinkToFit="0" wrapText="1"/>
    </xf>
    <xf borderId="1" fillId="0" fontId="83" numFmtId="165" xfId="0" applyAlignment="1" applyBorder="1" applyFont="1" applyNumberFormat="1">
      <alignment horizontal="center" readingOrder="0" shrinkToFit="0" wrapText="1"/>
    </xf>
    <xf borderId="1" fillId="3" fontId="83" numFmtId="0" xfId="0" applyAlignment="1" applyBorder="1" applyFont="1">
      <alignment horizontal="center" readingOrder="0" shrinkToFit="0" vertical="center" wrapText="1"/>
    </xf>
    <xf borderId="1" fillId="3" fontId="83" numFmtId="0" xfId="0" applyAlignment="1" applyBorder="1" applyFont="1">
      <alignment shrinkToFit="0" vertical="center" wrapText="1"/>
    </xf>
    <xf borderId="1" fillId="3" fontId="105" numFmtId="0" xfId="0" applyAlignment="1" applyBorder="1" applyFont="1">
      <alignment horizontal="center" shrinkToFit="0" vertical="center" wrapText="1"/>
    </xf>
    <xf borderId="1" fillId="3" fontId="83" numFmtId="0" xfId="0" applyAlignment="1" applyBorder="1" applyFont="1">
      <alignment readingOrder="0" shrinkToFit="0" wrapText="1"/>
    </xf>
    <xf borderId="1" fillId="3" fontId="83" numFmtId="0" xfId="0" applyAlignment="1" applyBorder="1" applyFont="1">
      <alignment horizontal="center" shrinkToFit="0" wrapText="1"/>
    </xf>
    <xf borderId="1" fillId="3" fontId="83" numFmtId="0" xfId="0" applyAlignment="1" applyBorder="1" applyFont="1">
      <alignment shrinkToFit="0" wrapText="1"/>
    </xf>
    <xf borderId="1" fillId="3" fontId="105" numFmtId="0" xfId="0" applyAlignment="1" applyBorder="1" applyFont="1">
      <alignment horizontal="center" shrinkToFit="0" wrapText="1"/>
    </xf>
    <xf borderId="1" fillId="3" fontId="186" numFmtId="0" xfId="0" applyAlignment="1" applyBorder="1" applyFont="1">
      <alignment readingOrder="0"/>
    </xf>
    <xf borderId="0" fillId="0" fontId="105" numFmtId="0" xfId="0" applyAlignment="1" applyFont="1">
      <alignment horizontal="center" shrinkToFit="0" wrapText="1"/>
    </xf>
    <xf borderId="0" fillId="0" fontId="83" numFmtId="0" xfId="0" applyAlignment="1" applyFont="1">
      <alignment horizontal="center" shrinkToFit="0" wrapText="1"/>
    </xf>
    <xf borderId="1" fillId="2" fontId="187" numFmtId="0" xfId="0" applyAlignment="1" applyBorder="1" applyFont="1">
      <alignment horizontal="center" readingOrder="0" shrinkToFit="0" vertical="center" wrapText="1"/>
    </xf>
    <xf borderId="7" fillId="2" fontId="187" numFmtId="0" xfId="0" applyAlignment="1" applyBorder="1" applyFont="1">
      <alignment horizontal="center" shrinkToFit="0" vertical="center" wrapText="1"/>
    </xf>
    <xf borderId="7" fillId="2" fontId="187" numFmtId="0" xfId="0" applyAlignment="1" applyBorder="1" applyFont="1">
      <alignment horizontal="center" readingOrder="0" shrinkToFit="0" vertical="center" wrapText="1"/>
    </xf>
    <xf borderId="0" fillId="13" fontId="188" numFmtId="0" xfId="0" applyAlignment="1" applyFont="1">
      <alignment horizontal="center" shrinkToFit="0" vertical="center" wrapText="1"/>
    </xf>
    <xf borderId="13" fillId="13" fontId="188" numFmtId="0" xfId="0" applyAlignment="1" applyBorder="1" applyFont="1">
      <alignment horizontal="center" shrinkToFit="0" vertical="center" wrapText="1"/>
    </xf>
    <xf borderId="14" fillId="13" fontId="188" numFmtId="0" xfId="0" applyAlignment="1" applyBorder="1" applyFont="1">
      <alignment horizontal="center" shrinkToFit="0" vertical="center" wrapText="1"/>
    </xf>
    <xf borderId="14" fillId="13" fontId="188" numFmtId="2" xfId="0" applyAlignment="1" applyBorder="1" applyFont="1" applyNumberFormat="1">
      <alignment horizontal="center" shrinkToFit="0" vertical="center" wrapText="1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189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3" numFmtId="2" xfId="0" applyAlignment="1" applyFont="1" applyNumberFormat="1">
      <alignment horizontal="right" shrinkToFit="0" vertical="bottom" wrapText="1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3" fontId="103" numFmtId="0" xfId="0" applyAlignment="1" applyFont="1">
      <alignment readingOrder="0"/>
    </xf>
    <xf borderId="0" fillId="3" fontId="47" numFmtId="0" xfId="0" applyAlignment="1" applyFont="1">
      <alignment readingOrder="0" shrinkToFit="0" wrapText="1"/>
    </xf>
    <xf borderId="0" fillId="0" fontId="3" numFmtId="3" xfId="0" applyAlignment="1" applyFont="1" applyNumberFormat="1">
      <alignment horizontal="right" readingOrder="0" shrinkToFit="0" vertical="bottom" wrapText="1"/>
    </xf>
    <xf borderId="0" fillId="0" fontId="3" numFmtId="2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readingOrder="0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right"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3" numFmtId="2" xfId="0" applyAlignment="1" applyFont="1" applyNumberFormat="1">
      <alignment horizontal="right" shrinkToFit="0" vertical="center" wrapText="1"/>
    </xf>
    <xf borderId="0" fillId="0" fontId="48" numFmtId="0" xfId="0" applyAlignment="1" applyFont="1">
      <alignment readingOrder="0" vertical="bottom"/>
    </xf>
    <xf borderId="0" fillId="0" fontId="3" numFmtId="0" xfId="0" applyAlignment="1" applyFont="1">
      <alignment readingOrder="0" shrinkToFit="0" vertical="bottom" wrapText="1"/>
    </xf>
    <xf borderId="0" fillId="0" fontId="3" numFmtId="0" xfId="0" applyAlignment="1" applyFont="1">
      <alignment horizontal="right" readingOrder="0" shrinkToFit="0" vertical="bottom" wrapText="1"/>
    </xf>
    <xf borderId="0" fillId="0" fontId="190" numFmtId="0" xfId="0" applyAlignment="1" applyFont="1">
      <alignment readingOrder="0" vertical="bottom"/>
    </xf>
    <xf borderId="0" fillId="0" fontId="191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83" numFmtId="0" xfId="0" applyAlignment="1" applyFont="1">
      <alignment horizontal="left" readingOrder="0" shrinkToFit="0" wrapText="1"/>
    </xf>
    <xf borderId="0" fillId="3" fontId="48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1"/>
    </xf>
    <xf borderId="0" fillId="6" fontId="3" numFmtId="0" xfId="0" applyAlignment="1" applyFont="1">
      <alignment readingOrder="0" shrinkToFit="0" vertical="bottom" wrapText="1"/>
    </xf>
    <xf borderId="0" fillId="0" fontId="3" numFmtId="0" xfId="0" applyAlignment="1" applyFont="1">
      <alignment readingOrder="0" vertical="bottom"/>
    </xf>
    <xf borderId="0" fillId="0" fontId="192" numFmtId="0" xfId="0" applyAlignment="1" applyFont="1">
      <alignment readingOrder="0"/>
    </xf>
    <xf borderId="0" fillId="0" fontId="189" numFmtId="0" xfId="0" applyAlignment="1" applyFont="1">
      <alignment horizontal="center" readingOrder="0" shrinkToFit="0" vertical="bottom" wrapText="1"/>
    </xf>
    <xf borderId="0" fillId="0" fontId="189" numFmtId="0" xfId="0" applyAlignment="1" applyFont="1">
      <alignment horizontal="right" shrinkToFit="0" vertical="bottom" wrapText="1"/>
    </xf>
    <xf borderId="0" fillId="0" fontId="189" numFmtId="2" xfId="0" applyAlignment="1" applyFont="1" applyNumberFormat="1">
      <alignment horizontal="right" shrinkToFit="0" vertical="bottom" wrapText="1"/>
    </xf>
    <xf borderId="0" fillId="0" fontId="3" numFmtId="2" xfId="0" applyAlignment="1" applyFont="1" applyNumberFormat="1">
      <alignment vertical="bottom"/>
    </xf>
    <xf borderId="0" fillId="0" fontId="3" numFmtId="3" xfId="0" applyAlignment="1" applyFont="1" applyNumberForma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3" fontId="47" numFmtId="0" xfId="0" applyAlignment="1" applyFont="1">
      <alignment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horizontal="right" vertical="bottom"/>
    </xf>
    <xf borderId="0" fillId="3" fontId="189" numFmtId="0" xfId="0" applyAlignment="1" applyFont="1">
      <alignment horizontal="right" shrinkToFit="0" vertical="bottom" wrapText="1"/>
    </xf>
    <xf borderId="0" fillId="3" fontId="3" numFmtId="0" xfId="0" applyAlignment="1" applyFont="1">
      <alignment horizontal="right" shrinkToFit="0" vertical="bottom" wrapText="1"/>
    </xf>
    <xf borderId="0" fillId="3" fontId="189" numFmtId="2" xfId="0" applyAlignment="1" applyFont="1" applyNumberFormat="1">
      <alignment horizontal="right" shrinkToFit="0" vertical="bottom" wrapText="1"/>
    </xf>
    <xf borderId="0" fillId="8" fontId="29" numFmtId="0" xfId="0" applyAlignment="1" applyFont="1">
      <alignment vertical="bottom"/>
    </xf>
    <xf borderId="0" fillId="0" fontId="83" numFmtId="0" xfId="0" applyFont="1"/>
    <xf borderId="0" fillId="0" fontId="83" numFmtId="0" xfId="0" applyAlignment="1" applyFont="1">
      <alignment readingOrder="0"/>
    </xf>
    <xf borderId="0" fillId="0" fontId="193" numFmtId="0" xfId="0" applyAlignment="1" applyFont="1">
      <alignment horizontal="center" readingOrder="0"/>
    </xf>
  </cellXfs>
  <cellStyles count="1">
    <cellStyle xfId="0" name="Normal" builtinId="0"/>
  </cellStyles>
  <dxfs count="1">
    <dxf>
      <font>
        <b/>
      </font>
      <fill>
        <patternFill patternType="solid">
          <fgColor rgb="FF00FF00"/>
          <bgColor rgb="FF00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ksharsales 4" id="{7ce842a1-a60e-4cb1-8b42-9cd6420e2d50}" providerId="google-sheets"/>
  <x18tc:person displayName="Aksharsales 6" id="{46b9eeca-a641-4ac1-afe2-8c28748f4c9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2927" dT="2020-09-03T13:37:20.00" personId="{46b9eeca-a641-4ac1-afe2-8c28748f4c98}" id="{927b0d0c-5a6a-457d-a0cb-34abe46b1e70}" done="0">
    <x18tc:text xml:space="preserve">Ashwin Shah</x18tc:text>
  </x18tc:threadedComment>
  <x18tc:threadedComment ref="E2927" dT="2020-09-04T06:48:55.00" personId="{46b9eeca-a641-4ac1-afe2-8c28748f4c98}" id="{1b9e68a9-c24d-4409-ab05-831e7fe3559d}" done="1">
    <x18tc:text xml:space="preserve">Animal Tallow based Soap Noodles</x18tc:text>
  </x18tc:threadedComment>
  <x18tc:threadedComment ref="C2926" dT="2020-09-04T06:05:55.00" personId="{46b9eeca-a641-4ac1-afe2-8c28748f4c98}" id="{a50b5a0e-e168-4c26-afb9-0bf36ee9129a}" done="0">
    <x18tc:text xml:space="preserve">Prashant</x18tc:text>
  </x18tc:threadedComment>
  <x18tc:threadedComment ref="C2924" dT="2020-09-04T07:11:43.00" personId="{46b9eeca-a641-4ac1-afe2-8c28748f4c98}" id="{f68b2648-714e-4469-b015-fa34d8d234ed}" done="0">
    <x18tc:text xml:space="preserve">JITESH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583" dT="2020-09-29T06:34:06.00" personId="{7ce842a1-a60e-4cb1-8b42-9cd6420e2d50}" id="{066f0222-235e-4061-9e70-25d96ce067ae}" done="0">
    <x18tc:text xml:space="preserve">Purchase rate Ex kolkata</x18tc:text>
  </x18tc:threadedComment>
  <x18tc:threadedComment ref="M320" dT="2020-09-29T06:38:46.00" personId="{7ce842a1-a60e-4cb1-8b42-9cd6420e2d50}" id="{f988e294-ebab-4bbe-abca-431730fb43e9}" done="0">
    <x18tc:text xml:space="preserve">Purchase rate</x18tc:text>
  </x18tc:threadedComment>
  <x18tc:threadedComment ref="I648" dT="2020-09-29T06:37:39.00" personId="{7ce842a1-a60e-4cb1-8b42-9cd6420e2d50}" id="{5b4df5ec-7362-4e73-9de3-8fecf79a69ba}" done="0">
    <x18tc:text xml:space="preserve">Purchase rate</x18tc:text>
  </x18tc:threadedComment>
  <x18tc:threadedComment ref="I238" dT="2020-09-26T08:19:07.00" personId="{7ce842a1-a60e-4cb1-8b42-9cd6420e2d50}" id="{4ef30671-3aab-481b-a499-9e16157dfba1}" done="0">
    <x18tc:text xml:space="preserve">Ferric Alum (Solid)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5251" Type="http://schemas.openxmlformats.org/officeDocument/2006/relationships/hyperlink" Target="https://akshar-exim-company-pvt-ltd.odoo.com/web" TargetMode="External"/><Relationship Id="rId5252" Type="http://schemas.openxmlformats.org/officeDocument/2006/relationships/hyperlink" Target="https://akshar-exim-company-pvt-ltd.odoo.com/web" TargetMode="External"/><Relationship Id="rId5250" Type="http://schemas.openxmlformats.org/officeDocument/2006/relationships/hyperlink" Target="https://akshar-exim-company-pvt-ltd.odoo.com/web" TargetMode="External"/><Relationship Id="rId5255" Type="http://schemas.openxmlformats.org/officeDocument/2006/relationships/hyperlink" Target="https://akshar-exim-company-pvt-ltd.odoo.com/web" TargetMode="External"/><Relationship Id="rId5256" Type="http://schemas.openxmlformats.org/officeDocument/2006/relationships/hyperlink" Target="https://akshar-exim-company-pvt-ltd.odoo.com/web" TargetMode="External"/><Relationship Id="rId5253" Type="http://schemas.openxmlformats.org/officeDocument/2006/relationships/hyperlink" Target="https://akshar-exim-company-pvt-ltd.odoo.com/web" TargetMode="External"/><Relationship Id="rId5254" Type="http://schemas.openxmlformats.org/officeDocument/2006/relationships/hyperlink" Target="https://akshar-exim-company-pvt-ltd.odoo.com/web" TargetMode="External"/><Relationship Id="rId5259" Type="http://schemas.openxmlformats.org/officeDocument/2006/relationships/hyperlink" Target="https://akshar-exim-company-pvt-ltd.odoo.com/web" TargetMode="External"/><Relationship Id="rId5257" Type="http://schemas.openxmlformats.org/officeDocument/2006/relationships/hyperlink" Target="https://akshar-exim-company-pvt-ltd.odoo.com/web" TargetMode="External"/><Relationship Id="rId5258" Type="http://schemas.openxmlformats.org/officeDocument/2006/relationships/hyperlink" Target="https://akshar-exim-company-pvt-ltd.odoo.com/web" TargetMode="External"/><Relationship Id="rId5240" Type="http://schemas.openxmlformats.org/officeDocument/2006/relationships/hyperlink" Target="https://akshar-exim-company-pvt-ltd.odoo.com/web" TargetMode="External"/><Relationship Id="rId5241" Type="http://schemas.openxmlformats.org/officeDocument/2006/relationships/hyperlink" Target="https://akshar-exim-company-pvt-ltd.odoo.com/web" TargetMode="External"/><Relationship Id="rId5244" Type="http://schemas.openxmlformats.org/officeDocument/2006/relationships/hyperlink" Target="https://akshar-exim-company-pvt-ltd.odoo.com/web" TargetMode="External"/><Relationship Id="rId5245" Type="http://schemas.openxmlformats.org/officeDocument/2006/relationships/hyperlink" Target="https://akshar-exim-company-pvt-ltd.odoo.com/web" TargetMode="External"/><Relationship Id="rId5242" Type="http://schemas.openxmlformats.org/officeDocument/2006/relationships/hyperlink" Target="https://akshar-exim-company-pvt-ltd.odoo.com/web" TargetMode="External"/><Relationship Id="rId5243" Type="http://schemas.openxmlformats.org/officeDocument/2006/relationships/hyperlink" Target="https://akshar-exim-company-pvt-ltd.odoo.com/web" TargetMode="External"/><Relationship Id="rId5248" Type="http://schemas.openxmlformats.org/officeDocument/2006/relationships/hyperlink" Target="https://akshar-exim-company-pvt-ltd.odoo.com/web" TargetMode="External"/><Relationship Id="rId5249" Type="http://schemas.openxmlformats.org/officeDocument/2006/relationships/hyperlink" Target="https://akshar-exim-company-pvt-ltd.odoo.com/web" TargetMode="External"/><Relationship Id="rId5246" Type="http://schemas.openxmlformats.org/officeDocument/2006/relationships/hyperlink" Target="https://akshar-exim-company-pvt-ltd.odoo.com/web" TargetMode="External"/><Relationship Id="rId5247" Type="http://schemas.openxmlformats.org/officeDocument/2006/relationships/hyperlink" Target="https://akshar-exim-company-pvt-ltd.odoo.com/web" TargetMode="External"/><Relationship Id="rId5270" Type="http://schemas.openxmlformats.org/officeDocument/2006/relationships/hyperlink" Target="https://akshar-exim-company-pvt-ltd.odoo.com/web" TargetMode="External"/><Relationship Id="rId5273" Type="http://schemas.openxmlformats.org/officeDocument/2006/relationships/hyperlink" Target="https://akshar-exim-company-pvt-ltd.odoo.com/web" TargetMode="External"/><Relationship Id="rId5274" Type="http://schemas.openxmlformats.org/officeDocument/2006/relationships/hyperlink" Target="https://akshar-exim-company-pvt-ltd.odoo.com/web" TargetMode="External"/><Relationship Id="rId5271" Type="http://schemas.openxmlformats.org/officeDocument/2006/relationships/hyperlink" Target="https://akshar-exim-company-pvt-ltd.odoo.com/web" TargetMode="External"/><Relationship Id="rId5272" Type="http://schemas.openxmlformats.org/officeDocument/2006/relationships/hyperlink" Target="https://akshar-exim-company-pvt-ltd.odoo.com/web" TargetMode="External"/><Relationship Id="rId5277" Type="http://schemas.openxmlformats.org/officeDocument/2006/relationships/hyperlink" Target="https://akshar-exim-company-pvt-ltd.odoo.com/web" TargetMode="External"/><Relationship Id="rId5278" Type="http://schemas.openxmlformats.org/officeDocument/2006/relationships/hyperlink" Target="https://akshar-exim-company-pvt-ltd.odoo.com/web" TargetMode="External"/><Relationship Id="rId5275" Type="http://schemas.openxmlformats.org/officeDocument/2006/relationships/hyperlink" Target="https://akshar-exim-company-pvt-ltd.odoo.com/web" TargetMode="External"/><Relationship Id="rId5276" Type="http://schemas.openxmlformats.org/officeDocument/2006/relationships/hyperlink" Target="https://akshar-exim-company-pvt-ltd.odoo.com/web" TargetMode="External"/><Relationship Id="rId5279" Type="http://schemas.openxmlformats.org/officeDocument/2006/relationships/hyperlink" Target="https://akshar-exim-company-pvt-ltd.odoo.com/web" TargetMode="External"/><Relationship Id="rId5262" Type="http://schemas.openxmlformats.org/officeDocument/2006/relationships/hyperlink" Target="https://akshar-exim-company-pvt-ltd.odoo.com/web" TargetMode="External"/><Relationship Id="rId5263" Type="http://schemas.openxmlformats.org/officeDocument/2006/relationships/hyperlink" Target="https://akshar-exim-company-pvt-ltd.odoo.com/web" TargetMode="External"/><Relationship Id="rId5260" Type="http://schemas.openxmlformats.org/officeDocument/2006/relationships/hyperlink" Target="https://akshar-exim-company-pvt-ltd.odoo.com/web" TargetMode="External"/><Relationship Id="rId5261" Type="http://schemas.openxmlformats.org/officeDocument/2006/relationships/hyperlink" Target="https://akshar-exim-company-pvt-ltd.odoo.com/web" TargetMode="External"/><Relationship Id="rId5266" Type="http://schemas.openxmlformats.org/officeDocument/2006/relationships/hyperlink" Target="https://akshar-exim-company-pvt-ltd.odoo.com/web" TargetMode="External"/><Relationship Id="rId5267" Type="http://schemas.openxmlformats.org/officeDocument/2006/relationships/hyperlink" Target="https://akshar-exim-company-pvt-ltd.odoo.com/web" TargetMode="External"/><Relationship Id="rId5264" Type="http://schemas.openxmlformats.org/officeDocument/2006/relationships/hyperlink" Target="https://akshar-exim-company-pvt-ltd.odoo.com/web" TargetMode="External"/><Relationship Id="rId5265" Type="http://schemas.openxmlformats.org/officeDocument/2006/relationships/hyperlink" Target="https://akshar-exim-company-pvt-ltd.odoo.com/web" TargetMode="External"/><Relationship Id="rId5268" Type="http://schemas.openxmlformats.org/officeDocument/2006/relationships/hyperlink" Target="https://akshar-exim-company-pvt-ltd.odoo.com/web" TargetMode="External"/><Relationship Id="rId5269" Type="http://schemas.openxmlformats.org/officeDocument/2006/relationships/hyperlink" Target="https://akshar-exim-company-pvt-ltd.odoo.com/web" TargetMode="External"/><Relationship Id="rId5219" Type="http://schemas.openxmlformats.org/officeDocument/2006/relationships/hyperlink" Target="https://akshar-exim-company-pvt-ltd.odoo.com/web" TargetMode="External"/><Relationship Id="rId5217" Type="http://schemas.openxmlformats.org/officeDocument/2006/relationships/hyperlink" Target="https://akshar-exim-company-pvt-ltd.odoo.com/web" TargetMode="External"/><Relationship Id="rId5218" Type="http://schemas.openxmlformats.org/officeDocument/2006/relationships/hyperlink" Target="https://akshar-exim-company-pvt-ltd.odoo.com/web" TargetMode="External"/><Relationship Id="rId392" Type="http://schemas.openxmlformats.org/officeDocument/2006/relationships/hyperlink" Target="mailto:ankurgarware@gmail.com" TargetMode="External"/><Relationship Id="rId391" Type="http://schemas.openxmlformats.org/officeDocument/2006/relationships/hyperlink" Target="https://akshar-exim-company-pvt-ltd.odoo.com/web" TargetMode="External"/><Relationship Id="rId390" Type="http://schemas.openxmlformats.org/officeDocument/2006/relationships/hyperlink" Target="mailto:pkpbuildcon@gmail.com" TargetMode="External"/><Relationship Id="rId2180" Type="http://schemas.openxmlformats.org/officeDocument/2006/relationships/hyperlink" Target="https://akshar-exim-company-pvt-ltd.odoo.com/web" TargetMode="External"/><Relationship Id="rId2181" Type="http://schemas.openxmlformats.org/officeDocument/2006/relationships/hyperlink" Target="https://akshar-exim-company-pvt-ltd.odoo.com/web" TargetMode="External"/><Relationship Id="rId2182" Type="http://schemas.openxmlformats.org/officeDocument/2006/relationships/hyperlink" Target="https://akshar-exim-company-pvt-ltd.odoo.com/web" TargetMode="External"/><Relationship Id="rId2183" Type="http://schemas.openxmlformats.org/officeDocument/2006/relationships/hyperlink" Target="https://akshar-exim-company-pvt-ltd.odoo.com/web" TargetMode="External"/><Relationship Id="rId385" Type="http://schemas.openxmlformats.org/officeDocument/2006/relationships/hyperlink" Target="https://akshar-exim-company-pvt-ltd.odoo.com/web" TargetMode="External"/><Relationship Id="rId2184" Type="http://schemas.openxmlformats.org/officeDocument/2006/relationships/hyperlink" Target="https://akshar-exim-company-pvt-ltd.odoo.com/web#id=56513&amp;action=152&amp;model=crm.lead&amp;view_type=form&amp;menu_id=111https://akshar-exim-company-pvt-ltd.odoo.com/web#id=56513&amp;action=152&amp;model=crm.lead&amp;view_type=form&amp;menu_id=111https://akshar-exim-company-pvt-ltd.odoo.com/web#id=56513&amp;action=152&amp;model=crm.lead&amp;view_type=form&amp;menu_id=111" TargetMode="External"/><Relationship Id="rId5211" Type="http://schemas.openxmlformats.org/officeDocument/2006/relationships/hyperlink" Target="https://akshar-exim-company-pvt-ltd.odoo.com/web" TargetMode="External"/><Relationship Id="rId384" Type="http://schemas.openxmlformats.org/officeDocument/2006/relationships/hyperlink" Target="mailto:ptma.chemical@gmail.com" TargetMode="External"/><Relationship Id="rId2185" Type="http://schemas.openxmlformats.org/officeDocument/2006/relationships/hyperlink" Target="https://akshar-exim-company-pvt-ltd.odoo.com/web" TargetMode="External"/><Relationship Id="rId5212" Type="http://schemas.openxmlformats.org/officeDocument/2006/relationships/hyperlink" Target="https://akshar-exim-company-pvt-ltd.odoo.com/web" TargetMode="External"/><Relationship Id="rId383" Type="http://schemas.openxmlformats.org/officeDocument/2006/relationships/hyperlink" Target="https://akshar-exim-company-pvt-ltd.odoo.com/web" TargetMode="External"/><Relationship Id="rId2186" Type="http://schemas.openxmlformats.org/officeDocument/2006/relationships/hyperlink" Target="https://akshar-exim-company-pvt-ltd.odoo.com/web" TargetMode="External"/><Relationship Id="rId382" Type="http://schemas.openxmlformats.org/officeDocument/2006/relationships/hyperlink" Target="mailto:asimsayyed3377@gmail.com" TargetMode="External"/><Relationship Id="rId2187" Type="http://schemas.openxmlformats.org/officeDocument/2006/relationships/hyperlink" Target="https://akshar-exim-company-pvt-ltd.odoo.com/web" TargetMode="External"/><Relationship Id="rId5210" Type="http://schemas.openxmlformats.org/officeDocument/2006/relationships/hyperlink" Target="https://akshar-exim-company-pvt-ltd.odoo.com/web" TargetMode="External"/><Relationship Id="rId389" Type="http://schemas.openxmlformats.org/officeDocument/2006/relationships/hyperlink" Target="https://akshar-exim-company-pvt-ltd.odoo.com/web" TargetMode="External"/><Relationship Id="rId2188" Type="http://schemas.openxmlformats.org/officeDocument/2006/relationships/hyperlink" Target="https://akshar-exim-company-pvt-ltd.odoo.com/web" TargetMode="External"/><Relationship Id="rId5215" Type="http://schemas.openxmlformats.org/officeDocument/2006/relationships/hyperlink" Target="https://akshar-exim-company-pvt-ltd.odoo.com/web" TargetMode="External"/><Relationship Id="rId388" Type="http://schemas.openxmlformats.org/officeDocument/2006/relationships/hyperlink" Target="mailto:hd_agarwalla@yahoo.co.in" TargetMode="External"/><Relationship Id="rId2189" Type="http://schemas.openxmlformats.org/officeDocument/2006/relationships/hyperlink" Target="https://akshar-exim-company-pvt-ltd.odoo.com/web" TargetMode="External"/><Relationship Id="rId5216" Type="http://schemas.openxmlformats.org/officeDocument/2006/relationships/hyperlink" Target="https://akshar-exim-company-pvt-ltd.odoo.com/web" TargetMode="External"/><Relationship Id="rId387" Type="http://schemas.openxmlformats.org/officeDocument/2006/relationships/hyperlink" Target="https://akshar-exim-company-pvt-ltd.odoo.com/web" TargetMode="External"/><Relationship Id="rId5213" Type="http://schemas.openxmlformats.org/officeDocument/2006/relationships/hyperlink" Target="https://akshar-exim-company-pvt-ltd.odoo.com/web" TargetMode="External"/><Relationship Id="rId386" Type="http://schemas.openxmlformats.org/officeDocument/2006/relationships/hyperlink" Target="mailto:princegovind0199@gmail.com" TargetMode="External"/><Relationship Id="rId5214" Type="http://schemas.openxmlformats.org/officeDocument/2006/relationships/hyperlink" Target="https://akshar-exim-company-pvt-ltd.odoo.com/web" TargetMode="External"/><Relationship Id="rId5208" Type="http://schemas.openxmlformats.org/officeDocument/2006/relationships/hyperlink" Target="https://akshar-exim-company-pvt-ltd.odoo.com/web" TargetMode="External"/><Relationship Id="rId5209" Type="http://schemas.openxmlformats.org/officeDocument/2006/relationships/hyperlink" Target="https://akshar-exim-company-pvt-ltd.odoo.com/web" TargetMode="External"/><Relationship Id="rId5206" Type="http://schemas.openxmlformats.org/officeDocument/2006/relationships/hyperlink" Target="https://akshar-exim-company-pvt-ltd.odoo.com/web" TargetMode="External"/><Relationship Id="rId5207" Type="http://schemas.openxmlformats.org/officeDocument/2006/relationships/hyperlink" Target="https://akshar-exim-company-pvt-ltd.odoo.com/web" TargetMode="External"/><Relationship Id="rId381" Type="http://schemas.openxmlformats.org/officeDocument/2006/relationships/hyperlink" Target="https://akshar-exim-company-pvt-ltd.odoo.com/web" TargetMode="External"/><Relationship Id="rId380" Type="http://schemas.openxmlformats.org/officeDocument/2006/relationships/hyperlink" Target="mailto:alaskarseeds@gmail.com" TargetMode="External"/><Relationship Id="rId379" Type="http://schemas.openxmlformats.org/officeDocument/2006/relationships/hyperlink" Target="https://akshar-exim-company-pvt-ltd.odoo.com/web" TargetMode="External"/><Relationship Id="rId2170" Type="http://schemas.openxmlformats.org/officeDocument/2006/relationships/hyperlink" Target="https://akshar-exim-company-pvt-ltd.odoo.com/web" TargetMode="External"/><Relationship Id="rId2171" Type="http://schemas.openxmlformats.org/officeDocument/2006/relationships/hyperlink" Target="https://akshar-exim-company-pvt-ltd.odoo.com/web" TargetMode="External"/><Relationship Id="rId2172" Type="http://schemas.openxmlformats.org/officeDocument/2006/relationships/hyperlink" Target="https://akshar-exim-company-pvt-ltd.odoo.com/web" TargetMode="External"/><Relationship Id="rId374" Type="http://schemas.openxmlformats.org/officeDocument/2006/relationships/hyperlink" Target="mailto:shribalaji.exports@yahoo.com" TargetMode="External"/><Relationship Id="rId2173" Type="http://schemas.openxmlformats.org/officeDocument/2006/relationships/hyperlink" Target="https://akshar-exim-company-pvt-ltd.odoo.com/web" TargetMode="External"/><Relationship Id="rId5200" Type="http://schemas.openxmlformats.org/officeDocument/2006/relationships/hyperlink" Target="https://akshar-exim-company-pvt-ltd.odoo.com/web" TargetMode="External"/><Relationship Id="rId373" Type="http://schemas.openxmlformats.org/officeDocument/2006/relationships/hyperlink" Target="https://akshar-exim-company-pvt-ltd.odoo.com/web" TargetMode="External"/><Relationship Id="rId2174" Type="http://schemas.openxmlformats.org/officeDocument/2006/relationships/hyperlink" Target="https://akshar-exim-company-pvt-ltd.odoo.com/web" TargetMode="External"/><Relationship Id="rId5201" Type="http://schemas.openxmlformats.org/officeDocument/2006/relationships/hyperlink" Target="https://akshar-exim-company-pvt-ltd.odoo.com/web" TargetMode="External"/><Relationship Id="rId372" Type="http://schemas.openxmlformats.org/officeDocument/2006/relationships/hyperlink" Target="https://akshar-exim-company-pvt-ltd.odoo.com/web" TargetMode="External"/><Relationship Id="rId2175" Type="http://schemas.openxmlformats.org/officeDocument/2006/relationships/hyperlink" Target="https://akshar-exim-company-pvt-ltd.odoo.com/web" TargetMode="External"/><Relationship Id="rId371" Type="http://schemas.openxmlformats.org/officeDocument/2006/relationships/hyperlink" Target="https://akshar-exim-company-pvt-ltd.odoo.com/web" TargetMode="External"/><Relationship Id="rId2176" Type="http://schemas.openxmlformats.org/officeDocument/2006/relationships/hyperlink" Target="https://akshar-exim-company-pvt-ltd.odoo.com/web" TargetMode="External"/><Relationship Id="rId378" Type="http://schemas.openxmlformats.org/officeDocument/2006/relationships/hyperlink" Target="mailto:samadhan5771@gmail.com" TargetMode="External"/><Relationship Id="rId2177" Type="http://schemas.openxmlformats.org/officeDocument/2006/relationships/hyperlink" Target="https://akshar-exim-company-pvt-ltd.odoo.com/web" TargetMode="External"/><Relationship Id="rId5204" Type="http://schemas.openxmlformats.org/officeDocument/2006/relationships/hyperlink" Target="https://akshar-exim-company-pvt-ltd.odoo.com/web" TargetMode="External"/><Relationship Id="rId377" Type="http://schemas.openxmlformats.org/officeDocument/2006/relationships/hyperlink" Target="https://akshar-exim-company-pvt-ltd.odoo.com/web" TargetMode="External"/><Relationship Id="rId2178" Type="http://schemas.openxmlformats.org/officeDocument/2006/relationships/hyperlink" Target="https://akshar-exim-company-pvt-ltd.odoo.com/web" TargetMode="External"/><Relationship Id="rId5205" Type="http://schemas.openxmlformats.org/officeDocument/2006/relationships/hyperlink" Target="https://akshar-exim-company-pvt-ltd.odoo.com/web" TargetMode="External"/><Relationship Id="rId376" Type="http://schemas.openxmlformats.org/officeDocument/2006/relationships/hyperlink" Target="mailto:bapigouda339@gmail.com" TargetMode="External"/><Relationship Id="rId2179" Type="http://schemas.openxmlformats.org/officeDocument/2006/relationships/hyperlink" Target="https://akshar-exim-company-pvt-ltd.odoo.com/web" TargetMode="External"/><Relationship Id="rId5202" Type="http://schemas.openxmlformats.org/officeDocument/2006/relationships/hyperlink" Target="https://akshar-exim-company-pvt-ltd.odoo.com/web" TargetMode="External"/><Relationship Id="rId375" Type="http://schemas.openxmlformats.org/officeDocument/2006/relationships/hyperlink" Target="https://akshar-exim-company-pvt-ltd.odoo.com/web" TargetMode="External"/><Relationship Id="rId5203" Type="http://schemas.openxmlformats.org/officeDocument/2006/relationships/hyperlink" Target="https://akshar-exim-company-pvt-ltd.odoo.com/web" TargetMode="External"/><Relationship Id="rId5239" Type="http://schemas.openxmlformats.org/officeDocument/2006/relationships/hyperlink" Target="https://akshar-exim-company-pvt-ltd.odoo.com/web" TargetMode="External"/><Relationship Id="rId5230" Type="http://schemas.openxmlformats.org/officeDocument/2006/relationships/hyperlink" Target="https://akshar-exim-company-pvt-ltd.odoo.com/web" TargetMode="External"/><Relationship Id="rId5233" Type="http://schemas.openxmlformats.org/officeDocument/2006/relationships/hyperlink" Target="https://akshar-exim-company-pvt-ltd.odoo.com/web" TargetMode="External"/><Relationship Id="rId5234" Type="http://schemas.openxmlformats.org/officeDocument/2006/relationships/hyperlink" Target="https://akshar-exim-company-pvt-ltd.odoo.com/web" TargetMode="External"/><Relationship Id="rId5231" Type="http://schemas.openxmlformats.org/officeDocument/2006/relationships/hyperlink" Target="https://akshar-exim-company-pvt-ltd.odoo.com/web" TargetMode="External"/><Relationship Id="rId5232" Type="http://schemas.openxmlformats.org/officeDocument/2006/relationships/hyperlink" Target="https://akshar-exim-company-pvt-ltd.odoo.com/web" TargetMode="External"/><Relationship Id="rId5237" Type="http://schemas.openxmlformats.org/officeDocument/2006/relationships/hyperlink" Target="https://akshar-exim-company-pvt-ltd.odoo.com/web" TargetMode="External"/><Relationship Id="rId5238" Type="http://schemas.openxmlformats.org/officeDocument/2006/relationships/hyperlink" Target="https://akshar-exim-company-pvt-ltd.odoo.com/web" TargetMode="External"/><Relationship Id="rId5235" Type="http://schemas.openxmlformats.org/officeDocument/2006/relationships/hyperlink" Target="https://akshar-exim-company-pvt-ltd.odoo.com/web" TargetMode="External"/><Relationship Id="rId5236" Type="http://schemas.openxmlformats.org/officeDocument/2006/relationships/hyperlink" Target="https://akshar-exim-company-pvt-ltd.odoo.com/web" TargetMode="External"/><Relationship Id="rId5228" Type="http://schemas.openxmlformats.org/officeDocument/2006/relationships/hyperlink" Target="https://akshar-exim-company-pvt-ltd.odoo.com/web" TargetMode="External"/><Relationship Id="rId5229" Type="http://schemas.openxmlformats.org/officeDocument/2006/relationships/hyperlink" Target="https://akshar-exim-company-pvt-ltd.odoo.com/web" TargetMode="External"/><Relationship Id="rId2190" Type="http://schemas.openxmlformats.org/officeDocument/2006/relationships/hyperlink" Target="https://akshar-exim-company-pvt-ltd.odoo.com/web" TargetMode="External"/><Relationship Id="rId2191" Type="http://schemas.openxmlformats.org/officeDocument/2006/relationships/hyperlink" Target="https://akshar-exim-company-pvt-ltd.odoo.com/web" TargetMode="External"/><Relationship Id="rId2192" Type="http://schemas.openxmlformats.org/officeDocument/2006/relationships/hyperlink" Target="https://akshar-exim-company-pvt-ltd.odoo.com/web" TargetMode="External"/><Relationship Id="rId2193" Type="http://schemas.openxmlformats.org/officeDocument/2006/relationships/hyperlink" Target="https://akshar-exim-company-pvt-ltd.odoo.com/web" TargetMode="External"/><Relationship Id="rId2194" Type="http://schemas.openxmlformats.org/officeDocument/2006/relationships/hyperlink" Target="https://akshar-exim-company-pvt-ltd.odoo.com/web" TargetMode="External"/><Relationship Id="rId396" Type="http://schemas.openxmlformats.org/officeDocument/2006/relationships/hyperlink" Target="mailto:sivakumarrajug7@gmail.com" TargetMode="External"/><Relationship Id="rId2195" Type="http://schemas.openxmlformats.org/officeDocument/2006/relationships/hyperlink" Target="https://akshar-exim-company-pvt-ltd.odoo.com/web" TargetMode="External"/><Relationship Id="rId5222" Type="http://schemas.openxmlformats.org/officeDocument/2006/relationships/hyperlink" Target="https://akshar-exim-company-pvt-ltd.odoo.com/web" TargetMode="External"/><Relationship Id="rId395" Type="http://schemas.openxmlformats.org/officeDocument/2006/relationships/hyperlink" Target="https://akshar-exim-company-pvt-ltd.odoo.com/web" TargetMode="External"/><Relationship Id="rId2196" Type="http://schemas.openxmlformats.org/officeDocument/2006/relationships/hyperlink" Target="https://akshar-exim-company-pvt-ltd.odoo.com/web" TargetMode="External"/><Relationship Id="rId5223" Type="http://schemas.openxmlformats.org/officeDocument/2006/relationships/hyperlink" Target="https://akshar-exim-company-pvt-ltd.odoo.com/web" TargetMode="External"/><Relationship Id="rId394" Type="http://schemas.openxmlformats.org/officeDocument/2006/relationships/hyperlink" Target="mailto:pccoloursoft@gmail.com" TargetMode="External"/><Relationship Id="rId2197" Type="http://schemas.openxmlformats.org/officeDocument/2006/relationships/hyperlink" Target="https://akshar-exim-company-pvt-ltd.odoo.com/web" TargetMode="External"/><Relationship Id="rId5220" Type="http://schemas.openxmlformats.org/officeDocument/2006/relationships/hyperlink" Target="https://akshar-exim-company-pvt-ltd.odoo.com/web" TargetMode="External"/><Relationship Id="rId393" Type="http://schemas.openxmlformats.org/officeDocument/2006/relationships/hyperlink" Target="https://akshar-exim-company-pvt-ltd.odoo.com/web" TargetMode="External"/><Relationship Id="rId2198" Type="http://schemas.openxmlformats.org/officeDocument/2006/relationships/hyperlink" Target="https://akshar-exim-company-pvt-ltd.odoo.com/web" TargetMode="External"/><Relationship Id="rId5221" Type="http://schemas.openxmlformats.org/officeDocument/2006/relationships/hyperlink" Target="https://akshar-exim-company-pvt-ltd.odoo.com/web" TargetMode="External"/><Relationship Id="rId2199" Type="http://schemas.openxmlformats.org/officeDocument/2006/relationships/hyperlink" Target="https://akshar-exim-company-pvt-ltd.odoo.com/web" TargetMode="External"/><Relationship Id="rId5226" Type="http://schemas.openxmlformats.org/officeDocument/2006/relationships/hyperlink" Target="https://akshar-exim-company-pvt-ltd.odoo.com/web" TargetMode="External"/><Relationship Id="rId399" Type="http://schemas.openxmlformats.org/officeDocument/2006/relationships/hyperlink" Target="mailto:ray.81sujay@gmail.com" TargetMode="External"/><Relationship Id="rId5227" Type="http://schemas.openxmlformats.org/officeDocument/2006/relationships/hyperlink" Target="https://akshar-exim-company-pvt-ltd.odoo.com/web" TargetMode="External"/><Relationship Id="rId398" Type="http://schemas.openxmlformats.org/officeDocument/2006/relationships/hyperlink" Target="https://akshar-exim-company-pvt-ltd.odoo.com/web" TargetMode="External"/><Relationship Id="rId5224" Type="http://schemas.openxmlformats.org/officeDocument/2006/relationships/hyperlink" Target="https://akshar-exim-company-pvt-ltd.odoo.com/web" TargetMode="External"/><Relationship Id="rId397" Type="http://schemas.openxmlformats.org/officeDocument/2006/relationships/hyperlink" Target="https://akshar-exim-company-pvt-ltd.odoo.com/web" TargetMode="External"/><Relationship Id="rId5225" Type="http://schemas.openxmlformats.org/officeDocument/2006/relationships/hyperlink" Target="https://akshar-exim-company-pvt-ltd.odoo.com/web" TargetMode="External"/><Relationship Id="rId1730" Type="http://schemas.openxmlformats.org/officeDocument/2006/relationships/hyperlink" Target="https://akshar-exim-company-pvt-ltd.odoo.com/web" TargetMode="External"/><Relationship Id="rId1731" Type="http://schemas.openxmlformats.org/officeDocument/2006/relationships/hyperlink" Target="https://akshar-exim-company-pvt-ltd.odoo.com/web" TargetMode="External"/><Relationship Id="rId1732" Type="http://schemas.openxmlformats.org/officeDocument/2006/relationships/hyperlink" Target="https://akshar-exim-company-pvt-ltd.odoo.com/web" TargetMode="External"/><Relationship Id="rId1733" Type="http://schemas.openxmlformats.org/officeDocument/2006/relationships/hyperlink" Target="https://akshar-exim-company-pvt-ltd.odoo.com/web" TargetMode="External"/><Relationship Id="rId1734" Type="http://schemas.openxmlformats.org/officeDocument/2006/relationships/hyperlink" Target="https://akshar-exim-company-pvt-ltd.odoo.com/web" TargetMode="External"/><Relationship Id="rId1735" Type="http://schemas.openxmlformats.org/officeDocument/2006/relationships/hyperlink" Target="https://akshar-exim-company-pvt-ltd.odoo.com/web" TargetMode="External"/><Relationship Id="rId1736" Type="http://schemas.openxmlformats.org/officeDocument/2006/relationships/hyperlink" Target="https://akshar-exim-company-pvt-ltd.odoo.com/web" TargetMode="External"/><Relationship Id="rId1737" Type="http://schemas.openxmlformats.org/officeDocument/2006/relationships/hyperlink" Target="https://akshar-exim-company-pvt-ltd.odoo.com/web" TargetMode="External"/><Relationship Id="rId1738" Type="http://schemas.openxmlformats.org/officeDocument/2006/relationships/hyperlink" Target="https://akshar-exim-company-pvt-ltd.odoo.com/web" TargetMode="External"/><Relationship Id="rId1739" Type="http://schemas.openxmlformats.org/officeDocument/2006/relationships/hyperlink" Target="https://akshar-exim-company-pvt-ltd.odoo.com/web" TargetMode="External"/><Relationship Id="rId1720" Type="http://schemas.openxmlformats.org/officeDocument/2006/relationships/hyperlink" Target="https://akshar-exim-company-pvt-ltd.odoo.com/web" TargetMode="External"/><Relationship Id="rId1721" Type="http://schemas.openxmlformats.org/officeDocument/2006/relationships/hyperlink" Target="https://akshar-exim-company-pvt-ltd.odoo.com/web" TargetMode="External"/><Relationship Id="rId1722" Type="http://schemas.openxmlformats.org/officeDocument/2006/relationships/hyperlink" Target="https://akshar-exim-company-pvt-ltd.odoo.com/web" TargetMode="External"/><Relationship Id="rId1723" Type="http://schemas.openxmlformats.org/officeDocument/2006/relationships/hyperlink" Target="https://akshar-exim-company-pvt-ltd.odoo.com/web" TargetMode="External"/><Relationship Id="rId1724" Type="http://schemas.openxmlformats.org/officeDocument/2006/relationships/hyperlink" Target="https://akshar-exim-company-pvt-ltd.odoo.com/web" TargetMode="External"/><Relationship Id="rId1725" Type="http://schemas.openxmlformats.org/officeDocument/2006/relationships/hyperlink" Target="https://akshar-exim-company-pvt-ltd.odoo.com/web" TargetMode="External"/><Relationship Id="rId1726" Type="http://schemas.openxmlformats.org/officeDocument/2006/relationships/hyperlink" Target="https://akshar-exim-company-pvt-ltd.odoo.com/web" TargetMode="External"/><Relationship Id="rId1727" Type="http://schemas.openxmlformats.org/officeDocument/2006/relationships/hyperlink" Target="https://akshar-exim-company-pvt-ltd.odoo.com/web" TargetMode="External"/><Relationship Id="rId1728" Type="http://schemas.openxmlformats.org/officeDocument/2006/relationships/hyperlink" Target="https://akshar-exim-company-pvt-ltd.odoo.com/web" TargetMode="External"/><Relationship Id="rId1729" Type="http://schemas.openxmlformats.org/officeDocument/2006/relationships/hyperlink" Target="https://akshar-exim-company-pvt-ltd.odoo.com/web" TargetMode="External"/><Relationship Id="rId1752" Type="http://schemas.openxmlformats.org/officeDocument/2006/relationships/hyperlink" Target="https://akshar-exim-company-pvt-ltd.odoo.com/web" TargetMode="External"/><Relationship Id="rId1753" Type="http://schemas.openxmlformats.org/officeDocument/2006/relationships/hyperlink" Target="https://akshar-exim-company-pvt-ltd.odoo.com/web" TargetMode="External"/><Relationship Id="rId1754" Type="http://schemas.openxmlformats.org/officeDocument/2006/relationships/hyperlink" Target="https://akshar-exim-company-pvt-ltd.odoo.com/web" TargetMode="External"/><Relationship Id="rId1755" Type="http://schemas.openxmlformats.org/officeDocument/2006/relationships/hyperlink" Target="https://akshar-exim-company-pvt-ltd.odoo.com/web" TargetMode="External"/><Relationship Id="rId1756" Type="http://schemas.openxmlformats.org/officeDocument/2006/relationships/hyperlink" Target="https://akshar-exim-company-pvt-ltd.odoo.com/web" TargetMode="External"/><Relationship Id="rId1757" Type="http://schemas.openxmlformats.org/officeDocument/2006/relationships/hyperlink" Target="https://akshar-exim-company-pvt-ltd.odoo.com/web" TargetMode="External"/><Relationship Id="rId1758" Type="http://schemas.openxmlformats.org/officeDocument/2006/relationships/hyperlink" Target="https://akshar-exim-company-pvt-ltd.odoo.com/web" TargetMode="External"/><Relationship Id="rId1759" Type="http://schemas.openxmlformats.org/officeDocument/2006/relationships/hyperlink" Target="https://akshar-exim-company-pvt-ltd.odoo.com/web" TargetMode="External"/><Relationship Id="rId1750" Type="http://schemas.openxmlformats.org/officeDocument/2006/relationships/hyperlink" Target="https://akshar-exim-company-pvt-ltd.odoo.com/web" TargetMode="External"/><Relationship Id="rId1751" Type="http://schemas.openxmlformats.org/officeDocument/2006/relationships/hyperlink" Target="https://akshar-exim-company-pvt-ltd.odoo.com/web" TargetMode="External"/><Relationship Id="rId1741" Type="http://schemas.openxmlformats.org/officeDocument/2006/relationships/hyperlink" Target="https://akshar-exim-company-pvt-ltd.odoo.com/web" TargetMode="External"/><Relationship Id="rId1742" Type="http://schemas.openxmlformats.org/officeDocument/2006/relationships/hyperlink" Target="https://akshar-exim-company-pvt-ltd.odoo.com/web" TargetMode="External"/><Relationship Id="rId1743" Type="http://schemas.openxmlformats.org/officeDocument/2006/relationships/hyperlink" Target="https://akshar-exim-company-pvt-ltd.odoo.com/web" TargetMode="External"/><Relationship Id="rId1744" Type="http://schemas.openxmlformats.org/officeDocument/2006/relationships/hyperlink" Target="https://akshar-exim-company-pvt-ltd.odoo.com/web" TargetMode="External"/><Relationship Id="rId1745" Type="http://schemas.openxmlformats.org/officeDocument/2006/relationships/hyperlink" Target="https://akshar-exim-company-pvt-ltd.odoo.com/web" TargetMode="External"/><Relationship Id="rId1746" Type="http://schemas.openxmlformats.org/officeDocument/2006/relationships/hyperlink" Target="https://akshar-exim-company-pvt-ltd.odoo.com/web" TargetMode="External"/><Relationship Id="rId1747" Type="http://schemas.openxmlformats.org/officeDocument/2006/relationships/hyperlink" Target="https://akshar-exim-company-pvt-ltd.odoo.com/web" TargetMode="External"/><Relationship Id="rId1748" Type="http://schemas.openxmlformats.org/officeDocument/2006/relationships/hyperlink" Target="https://akshar-exim-company-pvt-ltd.odoo.com/web" TargetMode="External"/><Relationship Id="rId1749" Type="http://schemas.openxmlformats.org/officeDocument/2006/relationships/hyperlink" Target="https://akshar-exim-company-pvt-ltd.odoo.com/web" TargetMode="External"/><Relationship Id="rId1740" Type="http://schemas.openxmlformats.org/officeDocument/2006/relationships/hyperlink" Target="https://akshar-exim-company-pvt-ltd.odoo.com/web" TargetMode="External"/><Relationship Id="rId5291" Type="http://schemas.openxmlformats.org/officeDocument/2006/relationships/hyperlink" Target="https://akshar-exim-company-pvt-ltd.odoo.com/web" TargetMode="External"/><Relationship Id="rId5292" Type="http://schemas.openxmlformats.org/officeDocument/2006/relationships/hyperlink" Target="https://akshar-exim-company-pvt-ltd.odoo.com/web" TargetMode="External"/><Relationship Id="rId5290" Type="http://schemas.openxmlformats.org/officeDocument/2006/relationships/hyperlink" Target="https://akshar-exim-company-pvt-ltd.odoo.com/web" TargetMode="External"/><Relationship Id="rId5295" Type="http://schemas.openxmlformats.org/officeDocument/2006/relationships/hyperlink" Target="https://akshar-exim-company-pvt-ltd.odoo.com/web" TargetMode="External"/><Relationship Id="rId5296" Type="http://schemas.openxmlformats.org/officeDocument/2006/relationships/hyperlink" Target="https://akshar-exim-company-pvt-ltd.odoo.com/web" TargetMode="External"/><Relationship Id="rId5293" Type="http://schemas.openxmlformats.org/officeDocument/2006/relationships/hyperlink" Target="https://akshar-exim-company-pvt-ltd.odoo.com/web" TargetMode="External"/><Relationship Id="rId5294" Type="http://schemas.openxmlformats.org/officeDocument/2006/relationships/hyperlink" Target="https://akshar-exim-company-pvt-ltd.odoo.com/web" TargetMode="External"/><Relationship Id="rId5299" Type="http://schemas.openxmlformats.org/officeDocument/2006/relationships/hyperlink" Target="https://akshar-exim-company-pvt-ltd.odoo.com/web" TargetMode="External"/><Relationship Id="rId5297" Type="http://schemas.openxmlformats.org/officeDocument/2006/relationships/hyperlink" Target="https://akshar-exim-company-pvt-ltd.odoo.com/web" TargetMode="External"/><Relationship Id="rId5298" Type="http://schemas.openxmlformats.org/officeDocument/2006/relationships/hyperlink" Target="https://akshar-exim-company-pvt-ltd.odoo.com/web" TargetMode="External"/><Relationship Id="rId5280" Type="http://schemas.openxmlformats.org/officeDocument/2006/relationships/hyperlink" Target="https://akshar-exim-company-pvt-ltd.odoo.com/web" TargetMode="External"/><Relationship Id="rId5281" Type="http://schemas.openxmlformats.org/officeDocument/2006/relationships/hyperlink" Target="https://akshar-exim-company-pvt-ltd.odoo.com/web" TargetMode="External"/><Relationship Id="rId5284" Type="http://schemas.openxmlformats.org/officeDocument/2006/relationships/hyperlink" Target="https://akshar-exim-company-pvt-ltd.odoo.com/web" TargetMode="External"/><Relationship Id="rId5285" Type="http://schemas.openxmlformats.org/officeDocument/2006/relationships/hyperlink" Target="https://akshar-exim-company-pvt-ltd.odoo.com/web" TargetMode="External"/><Relationship Id="rId5282" Type="http://schemas.openxmlformats.org/officeDocument/2006/relationships/hyperlink" Target="https://akshar-exim-company-pvt-ltd.odoo.com/web" TargetMode="External"/><Relationship Id="rId5283" Type="http://schemas.openxmlformats.org/officeDocument/2006/relationships/hyperlink" Target="https://akshar-exim-company-pvt-ltd.odoo.com/web" TargetMode="External"/><Relationship Id="rId5288" Type="http://schemas.openxmlformats.org/officeDocument/2006/relationships/hyperlink" Target="https://akshar-exim-company-pvt-ltd.odoo.com/web" TargetMode="External"/><Relationship Id="rId5289" Type="http://schemas.openxmlformats.org/officeDocument/2006/relationships/hyperlink" Target="https://akshar-exim-company-pvt-ltd.odoo.com/web" TargetMode="External"/><Relationship Id="rId5286" Type="http://schemas.openxmlformats.org/officeDocument/2006/relationships/hyperlink" Target="https://akshar-exim-company-pvt-ltd.odoo.com/web" TargetMode="External"/><Relationship Id="rId5287" Type="http://schemas.openxmlformats.org/officeDocument/2006/relationships/hyperlink" Target="https://akshar-exim-company-pvt-ltd.odoo.com/web" TargetMode="External"/><Relationship Id="rId1710" Type="http://schemas.openxmlformats.org/officeDocument/2006/relationships/hyperlink" Target="https://akshar-exim-company-pvt-ltd.odoo.com/web" TargetMode="External"/><Relationship Id="rId1711" Type="http://schemas.openxmlformats.org/officeDocument/2006/relationships/hyperlink" Target="https://akshar-exim-company-pvt-ltd.odoo.com/web" TargetMode="External"/><Relationship Id="rId1712" Type="http://schemas.openxmlformats.org/officeDocument/2006/relationships/hyperlink" Target="https://akshar-exim-company-pvt-ltd.odoo.com/web" TargetMode="External"/><Relationship Id="rId1713" Type="http://schemas.openxmlformats.org/officeDocument/2006/relationships/hyperlink" Target="https://akshar-exim-company-pvt-ltd.odoo.com/web" TargetMode="External"/><Relationship Id="rId1714" Type="http://schemas.openxmlformats.org/officeDocument/2006/relationships/hyperlink" Target="https://akshar-exim-company-pvt-ltd.odoo.com/web" TargetMode="External"/><Relationship Id="rId1715" Type="http://schemas.openxmlformats.org/officeDocument/2006/relationships/hyperlink" Target="https://akshar-exim-company-pvt-ltd.odoo.com/web" TargetMode="External"/><Relationship Id="rId1716" Type="http://schemas.openxmlformats.org/officeDocument/2006/relationships/hyperlink" Target="https://akshar-exim-company-pvt-ltd.odoo.com/web" TargetMode="External"/><Relationship Id="rId1717" Type="http://schemas.openxmlformats.org/officeDocument/2006/relationships/hyperlink" Target="https://akshar-exim-company-pvt-ltd.odoo.com/web" TargetMode="External"/><Relationship Id="rId1718" Type="http://schemas.openxmlformats.org/officeDocument/2006/relationships/hyperlink" Target="https://akshar-exim-company-pvt-ltd.odoo.com/web" TargetMode="External"/><Relationship Id="rId1719" Type="http://schemas.openxmlformats.org/officeDocument/2006/relationships/hyperlink" Target="https://akshar-exim-company-pvt-ltd.odoo.com/web" TargetMode="External"/><Relationship Id="rId1700" Type="http://schemas.openxmlformats.org/officeDocument/2006/relationships/hyperlink" Target="https://akshar-exim-company-pvt-ltd.odoo.com/web" TargetMode="External"/><Relationship Id="rId1701" Type="http://schemas.openxmlformats.org/officeDocument/2006/relationships/hyperlink" Target="https://akshar-exim-company-pvt-ltd.odoo.com/web" TargetMode="External"/><Relationship Id="rId1702" Type="http://schemas.openxmlformats.org/officeDocument/2006/relationships/hyperlink" Target="https://akshar-exim-company-pvt-ltd.odoo.com/web" TargetMode="External"/><Relationship Id="rId1703" Type="http://schemas.openxmlformats.org/officeDocument/2006/relationships/hyperlink" Target="https://akshar-exim-company-pvt-ltd.odoo.com/web" TargetMode="External"/><Relationship Id="rId1704" Type="http://schemas.openxmlformats.org/officeDocument/2006/relationships/hyperlink" Target="https://akshar-exim-company-pvt-ltd.odoo.com/web" TargetMode="External"/><Relationship Id="rId1705" Type="http://schemas.openxmlformats.org/officeDocument/2006/relationships/hyperlink" Target="https://akshar-exim-company-pvt-ltd.odoo.com/web" TargetMode="External"/><Relationship Id="rId1706" Type="http://schemas.openxmlformats.org/officeDocument/2006/relationships/hyperlink" Target="https://akshar-exim-company-pvt-ltd.odoo.com/web" TargetMode="External"/><Relationship Id="rId1707" Type="http://schemas.openxmlformats.org/officeDocument/2006/relationships/hyperlink" Target="https://akshar-exim-company-pvt-ltd.odoo.com/web" TargetMode="External"/><Relationship Id="rId1708" Type="http://schemas.openxmlformats.org/officeDocument/2006/relationships/hyperlink" Target="https://akshar-exim-company-pvt-ltd.odoo.com/web" TargetMode="External"/><Relationship Id="rId1709" Type="http://schemas.openxmlformats.org/officeDocument/2006/relationships/hyperlink" Target="https://akshar-exim-company-pvt-ltd.odoo.com/web" TargetMode="External"/><Relationship Id="rId40" Type="http://schemas.openxmlformats.org/officeDocument/2006/relationships/hyperlink" Target="https://akshar-exim-company-pvt-ltd.odoo.com/web" TargetMode="External"/><Relationship Id="rId3513" Type="http://schemas.openxmlformats.org/officeDocument/2006/relationships/hyperlink" Target="https://akshar-exim-company-pvt-ltd.odoo.com/web" TargetMode="External"/><Relationship Id="rId4844" Type="http://schemas.openxmlformats.org/officeDocument/2006/relationships/hyperlink" Target="https://akshar-exim-company-pvt-ltd.odoo.com/web" TargetMode="External"/><Relationship Id="rId3512" Type="http://schemas.openxmlformats.org/officeDocument/2006/relationships/hyperlink" Target="mailto:isotech.prodz2012@gmail.com" TargetMode="External"/><Relationship Id="rId4843" Type="http://schemas.openxmlformats.org/officeDocument/2006/relationships/hyperlink" Target="https://akshar-exim-company-pvt-ltd.odoo.com/web" TargetMode="External"/><Relationship Id="rId42" Type="http://schemas.openxmlformats.org/officeDocument/2006/relationships/hyperlink" Target="mailto:sunils6@rediffmail.com" TargetMode="External"/><Relationship Id="rId3515" Type="http://schemas.openxmlformats.org/officeDocument/2006/relationships/hyperlink" Target="https://akshar-exim-company-pvt-ltd.odoo.com/web" TargetMode="External"/><Relationship Id="rId4846" Type="http://schemas.openxmlformats.org/officeDocument/2006/relationships/hyperlink" Target="https://akshar-exim-company-pvt-ltd.odoo.com/web" TargetMode="External"/><Relationship Id="rId41" Type="http://schemas.openxmlformats.org/officeDocument/2006/relationships/hyperlink" Target="https://akshar-exim-company-pvt-ltd.odoo.com/web" TargetMode="External"/><Relationship Id="rId3514" Type="http://schemas.openxmlformats.org/officeDocument/2006/relationships/hyperlink" Target="mailto:dulalmahato488@gmail.com" TargetMode="External"/><Relationship Id="rId4845" Type="http://schemas.openxmlformats.org/officeDocument/2006/relationships/hyperlink" Target="https://akshar-exim-company-pvt-ltd.odoo.com/web" TargetMode="External"/><Relationship Id="rId44" Type="http://schemas.openxmlformats.org/officeDocument/2006/relationships/hyperlink" Target="https://akshar-exim-company-pvt-ltd.odoo.com/web" TargetMode="External"/><Relationship Id="rId3517" Type="http://schemas.openxmlformats.org/officeDocument/2006/relationships/hyperlink" Target="https://akshar-exim-company-pvt-ltd.odoo.com/web" TargetMode="External"/><Relationship Id="rId4848" Type="http://schemas.openxmlformats.org/officeDocument/2006/relationships/hyperlink" Target="https://akshar-exim-company-pvt-ltd.odoo.com/web" TargetMode="External"/><Relationship Id="rId43" Type="http://schemas.openxmlformats.org/officeDocument/2006/relationships/hyperlink" Target="https://akshar-exim-company-pvt-ltd.odoo.com/web" TargetMode="External"/><Relationship Id="rId3516" Type="http://schemas.openxmlformats.org/officeDocument/2006/relationships/hyperlink" Target="mailto:bahati177@yahoo.com" TargetMode="External"/><Relationship Id="rId4847" Type="http://schemas.openxmlformats.org/officeDocument/2006/relationships/hyperlink" Target="https://akshar-exim-company-pvt-ltd.odoo.com/web" TargetMode="External"/><Relationship Id="rId46" Type="http://schemas.openxmlformats.org/officeDocument/2006/relationships/hyperlink" Target="https://akshar-exim-company-pvt-ltd.odoo.com/web" TargetMode="External"/><Relationship Id="rId3519" Type="http://schemas.openxmlformats.org/officeDocument/2006/relationships/hyperlink" Target="https://akshar-exim-company-pvt-ltd.odoo.com/web" TargetMode="External"/><Relationship Id="rId45" Type="http://schemas.openxmlformats.org/officeDocument/2006/relationships/hyperlink" Target="mailto:ppchemicals00@gmail.com" TargetMode="External"/><Relationship Id="rId3518" Type="http://schemas.openxmlformats.org/officeDocument/2006/relationships/hyperlink" Target="mailto:grafotype@gmail.com" TargetMode="External"/><Relationship Id="rId4849" Type="http://schemas.openxmlformats.org/officeDocument/2006/relationships/hyperlink" Target="https://akshar-exim-company-pvt-ltd.odoo.com/web" TargetMode="External"/><Relationship Id="rId48" Type="http://schemas.openxmlformats.org/officeDocument/2006/relationships/hyperlink" Target="https://akshar-exim-company-pvt-ltd.odoo.com/web" TargetMode="External"/><Relationship Id="rId47" Type="http://schemas.openxmlformats.org/officeDocument/2006/relationships/hyperlink" Target="mailto:02tapaspal@gmail.com" TargetMode="External"/><Relationship Id="rId49" Type="http://schemas.openxmlformats.org/officeDocument/2006/relationships/hyperlink" Target="mailto:sarojmanna2012@gmail.com" TargetMode="External"/><Relationship Id="rId4840" Type="http://schemas.openxmlformats.org/officeDocument/2006/relationships/hyperlink" Target="https://akshar-exim-company-pvt-ltd.odoo.com/web" TargetMode="External"/><Relationship Id="rId3511" Type="http://schemas.openxmlformats.org/officeDocument/2006/relationships/hyperlink" Target="https://akshar-exim-company-pvt-ltd.odoo.com/web" TargetMode="External"/><Relationship Id="rId4842" Type="http://schemas.openxmlformats.org/officeDocument/2006/relationships/hyperlink" Target="https://akshar-exim-company-pvt-ltd.odoo.com/web" TargetMode="External"/><Relationship Id="rId3510" Type="http://schemas.openxmlformats.org/officeDocument/2006/relationships/hyperlink" Target="mailto:vrysimple@gmail.com" TargetMode="External"/><Relationship Id="rId4841" Type="http://schemas.openxmlformats.org/officeDocument/2006/relationships/hyperlink" Target="https://akshar-exim-company-pvt-ltd.odoo.com/web" TargetMode="External"/><Relationship Id="rId3502" Type="http://schemas.openxmlformats.org/officeDocument/2006/relationships/hyperlink" Target="mailto:shoaibshamsi933968@gmail.com" TargetMode="External"/><Relationship Id="rId4833" Type="http://schemas.openxmlformats.org/officeDocument/2006/relationships/hyperlink" Target="https://akshar-exim-company-pvt-ltd.odoo.com/web" TargetMode="External"/><Relationship Id="rId3501" Type="http://schemas.openxmlformats.org/officeDocument/2006/relationships/hyperlink" Target="https://akshar-exim-company-pvt-ltd.odoo.com/web" TargetMode="External"/><Relationship Id="rId4832" Type="http://schemas.openxmlformats.org/officeDocument/2006/relationships/hyperlink" Target="https://akshar-exim-company-pvt-ltd.odoo.com/web" TargetMode="External"/><Relationship Id="rId31" Type="http://schemas.openxmlformats.org/officeDocument/2006/relationships/hyperlink" Target="mailto:saha.pritish.89@gmail.com" TargetMode="External"/><Relationship Id="rId3504" Type="http://schemas.openxmlformats.org/officeDocument/2006/relationships/hyperlink" Target="mailto:dreams.mart@rediffmail.com" TargetMode="External"/><Relationship Id="rId4835" Type="http://schemas.openxmlformats.org/officeDocument/2006/relationships/hyperlink" Target="https://akshar-exim-company-pvt-ltd.odoo.com/web" TargetMode="External"/><Relationship Id="rId30" Type="http://schemas.openxmlformats.org/officeDocument/2006/relationships/hyperlink" Target="https://akshar-exim-company-pvt-ltd.odoo.com/web" TargetMode="External"/><Relationship Id="rId3503" Type="http://schemas.openxmlformats.org/officeDocument/2006/relationships/hyperlink" Target="https://akshar-exim-company-pvt-ltd.odoo.com/web" TargetMode="External"/><Relationship Id="rId4834" Type="http://schemas.openxmlformats.org/officeDocument/2006/relationships/hyperlink" Target="https://akshar-exim-company-pvt-ltd.odoo.com/web" TargetMode="External"/><Relationship Id="rId33" Type="http://schemas.openxmlformats.org/officeDocument/2006/relationships/hyperlink" Target="mailto:sumantasarkarplywood@gmail.com" TargetMode="External"/><Relationship Id="rId3506" Type="http://schemas.openxmlformats.org/officeDocument/2006/relationships/hyperlink" Target="mailto:chatterjee.indranath8@gmail.com" TargetMode="External"/><Relationship Id="rId4837" Type="http://schemas.openxmlformats.org/officeDocument/2006/relationships/hyperlink" Target="https://akshar-exim-company-pvt-ltd.odoo.com/web" TargetMode="External"/><Relationship Id="rId32" Type="http://schemas.openxmlformats.org/officeDocument/2006/relationships/hyperlink" Target="https://akshar-exim-company-pvt-ltd.odoo.com/web" TargetMode="External"/><Relationship Id="rId3505" Type="http://schemas.openxmlformats.org/officeDocument/2006/relationships/hyperlink" Target="https://akshar-exim-company-pvt-ltd.odoo.com/web" TargetMode="External"/><Relationship Id="rId4836" Type="http://schemas.openxmlformats.org/officeDocument/2006/relationships/hyperlink" Target="https://akshar-exim-company-pvt-ltd.odoo.com/web" TargetMode="External"/><Relationship Id="rId35" Type="http://schemas.openxmlformats.org/officeDocument/2006/relationships/hyperlink" Target="https://akshar-exim-company-pvt-ltd.odoo.com/web" TargetMode="External"/><Relationship Id="rId3508" Type="http://schemas.openxmlformats.org/officeDocument/2006/relationships/hyperlink" Target="mailto:tanmoy4001@gmail.com" TargetMode="External"/><Relationship Id="rId4839" Type="http://schemas.openxmlformats.org/officeDocument/2006/relationships/hyperlink" Target="https://akshar-exim-company-pvt-ltd.odoo.com/web" TargetMode="External"/><Relationship Id="rId34" Type="http://schemas.openxmlformats.org/officeDocument/2006/relationships/hyperlink" Target="https://akshar-exim-company-pvt-ltd.odoo.com/web" TargetMode="External"/><Relationship Id="rId3507" Type="http://schemas.openxmlformats.org/officeDocument/2006/relationships/hyperlink" Target="https://akshar-exim-company-pvt-ltd.odoo.com/web" TargetMode="External"/><Relationship Id="rId4838" Type="http://schemas.openxmlformats.org/officeDocument/2006/relationships/hyperlink" Target="https://akshar-exim-company-pvt-ltd.odoo.com/web" TargetMode="External"/><Relationship Id="rId3509" Type="http://schemas.openxmlformats.org/officeDocument/2006/relationships/hyperlink" Target="https://akshar-exim-company-pvt-ltd.odoo.com/web" TargetMode="External"/><Relationship Id="rId37" Type="http://schemas.openxmlformats.org/officeDocument/2006/relationships/hyperlink" Target="mailto:tina.bhatta@laminaresearchcenter.com" TargetMode="External"/><Relationship Id="rId36" Type="http://schemas.openxmlformats.org/officeDocument/2006/relationships/hyperlink" Target="https://akshar-exim-company-pvt-ltd.odoo.com/web" TargetMode="External"/><Relationship Id="rId39" Type="http://schemas.openxmlformats.org/officeDocument/2006/relationships/hyperlink" Target="mailto:info@mpmica.com" TargetMode="External"/><Relationship Id="rId38" Type="http://schemas.openxmlformats.org/officeDocument/2006/relationships/hyperlink" Target="https://akshar-exim-company-pvt-ltd.odoo.com/web" TargetMode="External"/><Relationship Id="rId3500" Type="http://schemas.openxmlformats.org/officeDocument/2006/relationships/hyperlink" Target="mailto:kozebiexports@gmail.com" TargetMode="External"/><Relationship Id="rId4831" Type="http://schemas.openxmlformats.org/officeDocument/2006/relationships/hyperlink" Target="https://akshar-exim-company-pvt-ltd.odoo.com/web" TargetMode="External"/><Relationship Id="rId4830" Type="http://schemas.openxmlformats.org/officeDocument/2006/relationships/hyperlink" Target="https://akshar-exim-company-pvt-ltd.odoo.com/web" TargetMode="External"/><Relationship Id="rId2203" Type="http://schemas.openxmlformats.org/officeDocument/2006/relationships/hyperlink" Target="https://akshar-exim-company-pvt-ltd.odoo.com/web" TargetMode="External"/><Relationship Id="rId3535" Type="http://schemas.openxmlformats.org/officeDocument/2006/relationships/hyperlink" Target="mailto:tapasbis.2008@rediffmail.com" TargetMode="External"/><Relationship Id="rId4866" Type="http://schemas.openxmlformats.org/officeDocument/2006/relationships/hyperlink" Target="https://akshar-exim-company-pvt-ltd.odoo.com/web" TargetMode="External"/><Relationship Id="rId2204" Type="http://schemas.openxmlformats.org/officeDocument/2006/relationships/hyperlink" Target="https://akshar-exim-company-pvt-ltd.odoo.com/web" TargetMode="External"/><Relationship Id="rId3534" Type="http://schemas.openxmlformats.org/officeDocument/2006/relationships/hyperlink" Target="https://akshar-exim-company-pvt-ltd.odoo.com/web" TargetMode="External"/><Relationship Id="rId4865" Type="http://schemas.openxmlformats.org/officeDocument/2006/relationships/hyperlink" Target="https://akshar-exim-company-pvt-ltd.odoo.com/web" TargetMode="External"/><Relationship Id="rId20" Type="http://schemas.openxmlformats.org/officeDocument/2006/relationships/hyperlink" Target="https://akshar-exim-company-pvt-ltd.odoo.com/web" TargetMode="External"/><Relationship Id="rId2205" Type="http://schemas.openxmlformats.org/officeDocument/2006/relationships/hyperlink" Target="https://akshar-exim-company-pvt-ltd.odoo.com/web" TargetMode="External"/><Relationship Id="rId3537" Type="http://schemas.openxmlformats.org/officeDocument/2006/relationships/hyperlink" Target="mailto:raunaque6@gmail.com" TargetMode="External"/><Relationship Id="rId4868" Type="http://schemas.openxmlformats.org/officeDocument/2006/relationships/hyperlink" Target="https://akshar-exim-company-pvt-ltd.odoo.com/web" TargetMode="External"/><Relationship Id="rId2206" Type="http://schemas.openxmlformats.org/officeDocument/2006/relationships/hyperlink" Target="https://akshar-exim-company-pvt-ltd.odoo.com/web" TargetMode="External"/><Relationship Id="rId3536" Type="http://schemas.openxmlformats.org/officeDocument/2006/relationships/hyperlink" Target="https://akshar-exim-company-pvt-ltd.odoo.com/web" TargetMode="External"/><Relationship Id="rId4867" Type="http://schemas.openxmlformats.org/officeDocument/2006/relationships/hyperlink" Target="https://akshar-exim-company-pvt-ltd.odoo.com/web" TargetMode="External"/><Relationship Id="rId22" Type="http://schemas.openxmlformats.org/officeDocument/2006/relationships/hyperlink" Target="https://akshar-exim-company-pvt-ltd.odoo.com/web" TargetMode="External"/><Relationship Id="rId2207" Type="http://schemas.openxmlformats.org/officeDocument/2006/relationships/hyperlink" Target="https://akshar-exim-company-pvt-ltd.odoo.com/web" TargetMode="External"/><Relationship Id="rId3539" Type="http://schemas.openxmlformats.org/officeDocument/2006/relationships/hyperlink" Target="mailto:irc5267@gmail.com" TargetMode="External"/><Relationship Id="rId21" Type="http://schemas.openxmlformats.org/officeDocument/2006/relationships/hyperlink" Target="mailto:rmanoranjan20@gmail.com" TargetMode="External"/><Relationship Id="rId2208" Type="http://schemas.openxmlformats.org/officeDocument/2006/relationships/hyperlink" Target="https://akshar-exim-company-pvt-ltd.odoo.com/web" TargetMode="External"/><Relationship Id="rId3538" Type="http://schemas.openxmlformats.org/officeDocument/2006/relationships/hyperlink" Target="https://akshar-exim-company-pvt-ltd.odoo.com/web" TargetMode="External"/><Relationship Id="rId4869" Type="http://schemas.openxmlformats.org/officeDocument/2006/relationships/hyperlink" Target="https://akshar-exim-company-pvt-ltd.odoo.com/web" TargetMode="External"/><Relationship Id="rId24" Type="http://schemas.openxmlformats.org/officeDocument/2006/relationships/hyperlink" Target="https://akshar-exim-company-pvt-ltd.odoo.com/web" TargetMode="External"/><Relationship Id="rId2209" Type="http://schemas.openxmlformats.org/officeDocument/2006/relationships/hyperlink" Target="https://akshar-exim-company-pvt-ltd.odoo.com/web" TargetMode="External"/><Relationship Id="rId23" Type="http://schemas.openxmlformats.org/officeDocument/2006/relationships/hyperlink" Target="mailto:haldars41@yahoo.com" TargetMode="External"/><Relationship Id="rId26" Type="http://schemas.openxmlformats.org/officeDocument/2006/relationships/hyperlink" Target="https://akshar-exim-company-pvt-ltd.odoo.com/web" TargetMode="External"/><Relationship Id="rId25" Type="http://schemas.openxmlformats.org/officeDocument/2006/relationships/hyperlink" Target="https://akshar-exim-company-pvt-ltd.odoo.com/web" TargetMode="External"/><Relationship Id="rId28" Type="http://schemas.openxmlformats.org/officeDocument/2006/relationships/hyperlink" Target="https://akshar-exim-company-pvt-ltd.odoo.com/web" TargetMode="External"/><Relationship Id="rId4860" Type="http://schemas.openxmlformats.org/officeDocument/2006/relationships/hyperlink" Target="https://akshar-exim-company-pvt-ltd.odoo.com/web" TargetMode="External"/><Relationship Id="rId27" Type="http://schemas.openxmlformats.org/officeDocument/2006/relationships/hyperlink" Target="https://akshar-exim-company-pvt-ltd.odoo.com/web" TargetMode="External"/><Relationship Id="rId3531" Type="http://schemas.openxmlformats.org/officeDocument/2006/relationships/hyperlink" Target="mailto:ajittarlekar89@gmail.com" TargetMode="External"/><Relationship Id="rId4862" Type="http://schemas.openxmlformats.org/officeDocument/2006/relationships/hyperlink" Target="https://akshar-exim-company-pvt-ltd.odoo.com/web" TargetMode="External"/><Relationship Id="rId29" Type="http://schemas.openxmlformats.org/officeDocument/2006/relationships/hyperlink" Target="mailto:binsmahendra1974@gmail.com" TargetMode="External"/><Relationship Id="rId2200" Type="http://schemas.openxmlformats.org/officeDocument/2006/relationships/hyperlink" Target="https://akshar-exim-company-pvt-ltd.odoo.com/web" TargetMode="External"/><Relationship Id="rId3530" Type="http://schemas.openxmlformats.org/officeDocument/2006/relationships/hyperlink" Target="https://akshar-exim-company-pvt-ltd.odoo.com/web" TargetMode="External"/><Relationship Id="rId4861" Type="http://schemas.openxmlformats.org/officeDocument/2006/relationships/hyperlink" Target="https://akshar-exim-company-pvt-ltd.odoo.com/web" TargetMode="External"/><Relationship Id="rId2201" Type="http://schemas.openxmlformats.org/officeDocument/2006/relationships/hyperlink" Target="https://akshar-exim-company-pvt-ltd.odoo.com/web" TargetMode="External"/><Relationship Id="rId3533" Type="http://schemas.openxmlformats.org/officeDocument/2006/relationships/hyperlink" Target="mailto:surfaceaction69@gmail.com" TargetMode="External"/><Relationship Id="rId4864" Type="http://schemas.openxmlformats.org/officeDocument/2006/relationships/hyperlink" Target="https://akshar-exim-company-pvt-ltd.odoo.com/web" TargetMode="External"/><Relationship Id="rId2202" Type="http://schemas.openxmlformats.org/officeDocument/2006/relationships/hyperlink" Target="https://akshar-exim-company-pvt-ltd.odoo.com/web" TargetMode="External"/><Relationship Id="rId3532" Type="http://schemas.openxmlformats.org/officeDocument/2006/relationships/hyperlink" Target="https://akshar-exim-company-pvt-ltd.odoo.com/web" TargetMode="External"/><Relationship Id="rId4863" Type="http://schemas.openxmlformats.org/officeDocument/2006/relationships/hyperlink" Target="https://akshar-exim-company-pvt-ltd.odoo.com/web" TargetMode="External"/><Relationship Id="rId3524" Type="http://schemas.openxmlformats.org/officeDocument/2006/relationships/hyperlink" Target="https://akshar-exim-company-pvt-ltd.odoo.com/web" TargetMode="External"/><Relationship Id="rId4855" Type="http://schemas.openxmlformats.org/officeDocument/2006/relationships/hyperlink" Target="https://akshar-exim-company-pvt-ltd.odoo.com/web" TargetMode="External"/><Relationship Id="rId3523" Type="http://schemas.openxmlformats.org/officeDocument/2006/relationships/hyperlink" Target="mailto:kapri.rajkumar@gmail.com" TargetMode="External"/><Relationship Id="rId4854" Type="http://schemas.openxmlformats.org/officeDocument/2006/relationships/hyperlink" Target="https://akshar-exim-company-pvt-ltd.odoo.com/web" TargetMode="External"/><Relationship Id="rId3526" Type="http://schemas.openxmlformats.org/officeDocument/2006/relationships/hyperlink" Target="https://akshar-exim-company-pvt-ltd.odoo.com/web" TargetMode="External"/><Relationship Id="rId4857" Type="http://schemas.openxmlformats.org/officeDocument/2006/relationships/hyperlink" Target="https://akshar-exim-company-pvt-ltd.odoo.com/web" TargetMode="External"/><Relationship Id="rId3525" Type="http://schemas.openxmlformats.org/officeDocument/2006/relationships/hyperlink" Target="mailto:niraj97488@gmail.com" TargetMode="External"/><Relationship Id="rId4856" Type="http://schemas.openxmlformats.org/officeDocument/2006/relationships/hyperlink" Target="https://akshar-exim-company-pvt-ltd.odoo.com/web" TargetMode="External"/><Relationship Id="rId11" Type="http://schemas.openxmlformats.org/officeDocument/2006/relationships/hyperlink" Target="mailto:deincoindia@gmail.com" TargetMode="External"/><Relationship Id="rId3528" Type="http://schemas.openxmlformats.org/officeDocument/2006/relationships/hyperlink" Target="https://akshar-exim-company-pvt-ltd.odoo.com/web" TargetMode="External"/><Relationship Id="rId4859" Type="http://schemas.openxmlformats.org/officeDocument/2006/relationships/hyperlink" Target="https://akshar-exim-company-pvt-ltd.odoo.com/web" TargetMode="External"/><Relationship Id="rId10" Type="http://schemas.openxmlformats.org/officeDocument/2006/relationships/hyperlink" Target="https://akshar-exim-company-pvt-ltd.odoo.com/web" TargetMode="External"/><Relationship Id="rId3527" Type="http://schemas.openxmlformats.org/officeDocument/2006/relationships/hyperlink" Target="mailto:mddnshali786@gmail.com" TargetMode="External"/><Relationship Id="rId4858" Type="http://schemas.openxmlformats.org/officeDocument/2006/relationships/hyperlink" Target="https://akshar-exim-company-pvt-ltd.odoo.com/web" TargetMode="External"/><Relationship Id="rId13" Type="http://schemas.openxmlformats.org/officeDocument/2006/relationships/hyperlink" Target="mailto:radianthideinternational@gmail.com" TargetMode="External"/><Relationship Id="rId12" Type="http://schemas.openxmlformats.org/officeDocument/2006/relationships/hyperlink" Target="https://akshar-exim-company-pvt-ltd.odoo.com/web" TargetMode="External"/><Relationship Id="rId3529" Type="http://schemas.openxmlformats.org/officeDocument/2006/relationships/hyperlink" Target="mailto:ok.malay1992@gmail.com" TargetMode="External"/><Relationship Id="rId15" Type="http://schemas.openxmlformats.org/officeDocument/2006/relationships/hyperlink" Target="mailto:loysis2018@rediffmail.com" TargetMode="External"/><Relationship Id="rId14" Type="http://schemas.openxmlformats.org/officeDocument/2006/relationships/hyperlink" Target="https://akshar-exim-company-pvt-ltd.odoo.com/web" TargetMode="External"/><Relationship Id="rId17" Type="http://schemas.openxmlformats.org/officeDocument/2006/relationships/hyperlink" Target="mailto:mjkabiranshu@gmail.com" TargetMode="External"/><Relationship Id="rId16" Type="http://schemas.openxmlformats.org/officeDocument/2006/relationships/hyperlink" Target="https://akshar-exim-company-pvt-ltd.odoo.com/web" TargetMode="External"/><Relationship Id="rId19" Type="http://schemas.openxmlformats.org/officeDocument/2006/relationships/hyperlink" Target="https://akshar-exim-company-pvt-ltd.odoo.com/web" TargetMode="External"/><Relationship Id="rId3520" Type="http://schemas.openxmlformats.org/officeDocument/2006/relationships/hyperlink" Target="https://akshar-exim-company-pvt-ltd.odoo.com/web" TargetMode="External"/><Relationship Id="rId4851" Type="http://schemas.openxmlformats.org/officeDocument/2006/relationships/hyperlink" Target="https://akshar-exim-company-pvt-ltd.odoo.com/web" TargetMode="External"/><Relationship Id="rId18" Type="http://schemas.openxmlformats.org/officeDocument/2006/relationships/hyperlink" Target="https://akshar-exim-company-pvt-ltd.odoo.com/web" TargetMode="External"/><Relationship Id="rId4850" Type="http://schemas.openxmlformats.org/officeDocument/2006/relationships/hyperlink" Target="https://akshar-exim-company-pvt-ltd.odoo.com/web" TargetMode="External"/><Relationship Id="rId3522" Type="http://schemas.openxmlformats.org/officeDocument/2006/relationships/hyperlink" Target="https://akshar-exim-company-pvt-ltd.odoo.com/web" TargetMode="External"/><Relationship Id="rId4853" Type="http://schemas.openxmlformats.org/officeDocument/2006/relationships/hyperlink" Target="https://akshar-exim-company-pvt-ltd.odoo.com/web" TargetMode="External"/><Relationship Id="rId3521" Type="http://schemas.openxmlformats.org/officeDocument/2006/relationships/hyperlink" Target="mailto:sadhmk@gmail.com" TargetMode="External"/><Relationship Id="rId4852" Type="http://schemas.openxmlformats.org/officeDocument/2006/relationships/hyperlink" Target="https://akshar-exim-company-pvt-ltd.odoo.com/web" TargetMode="External"/><Relationship Id="rId84" Type="http://schemas.openxmlformats.org/officeDocument/2006/relationships/hyperlink" Target="https://akshar-exim-company-pvt-ltd.odoo.com/web" TargetMode="External"/><Relationship Id="rId1774" Type="http://schemas.openxmlformats.org/officeDocument/2006/relationships/hyperlink" Target="https://akshar-exim-company-pvt-ltd.odoo.com/web" TargetMode="External"/><Relationship Id="rId4800" Type="http://schemas.openxmlformats.org/officeDocument/2006/relationships/hyperlink" Target="https://akshar-exim-company-pvt-ltd.odoo.com/web" TargetMode="External"/><Relationship Id="rId83" Type="http://schemas.openxmlformats.org/officeDocument/2006/relationships/hyperlink" Target="mailto:info.snenterprise2022@gmail.com" TargetMode="External"/><Relationship Id="rId1775" Type="http://schemas.openxmlformats.org/officeDocument/2006/relationships/hyperlink" Target="https://akshar-exim-company-pvt-ltd.odoo.com/web" TargetMode="External"/><Relationship Id="rId86" Type="http://schemas.openxmlformats.org/officeDocument/2006/relationships/hyperlink" Target="https://akshar-exim-company-pvt-ltd.odoo.com/web" TargetMode="External"/><Relationship Id="rId1776" Type="http://schemas.openxmlformats.org/officeDocument/2006/relationships/hyperlink" Target="https://akshar-exim-company-pvt-ltd.odoo.com/web" TargetMode="External"/><Relationship Id="rId4802" Type="http://schemas.openxmlformats.org/officeDocument/2006/relationships/hyperlink" Target="https://akshar-exim-company-pvt-ltd.odoo.com/web" TargetMode="External"/><Relationship Id="rId85" Type="http://schemas.openxmlformats.org/officeDocument/2006/relationships/hyperlink" Target="https://akshar-exim-company-pvt-ltd.odoo.com/web" TargetMode="External"/><Relationship Id="rId1777" Type="http://schemas.openxmlformats.org/officeDocument/2006/relationships/hyperlink" Target="https://akshar-exim-company-pvt-ltd.odoo.com/web" TargetMode="External"/><Relationship Id="rId4801" Type="http://schemas.openxmlformats.org/officeDocument/2006/relationships/hyperlink" Target="https://akshar-exim-company-pvt-ltd.odoo.com/web" TargetMode="External"/><Relationship Id="rId88" Type="http://schemas.openxmlformats.org/officeDocument/2006/relationships/hyperlink" Target="https://akshar-exim-company-pvt-ltd.odoo.com/web" TargetMode="External"/><Relationship Id="rId1778" Type="http://schemas.openxmlformats.org/officeDocument/2006/relationships/hyperlink" Target="https://akshar-exim-company-pvt-ltd.odoo.com/web" TargetMode="External"/><Relationship Id="rId4804" Type="http://schemas.openxmlformats.org/officeDocument/2006/relationships/hyperlink" Target="https://akshar-exim-company-pvt-ltd.odoo.com/web" TargetMode="External"/><Relationship Id="rId87" Type="http://schemas.openxmlformats.org/officeDocument/2006/relationships/hyperlink" Target="mailto:yogendarngr@gmail.com" TargetMode="External"/><Relationship Id="rId1779" Type="http://schemas.openxmlformats.org/officeDocument/2006/relationships/hyperlink" Target="https://akshar-exim-company-pvt-ltd.odoo.com/web" TargetMode="External"/><Relationship Id="rId4803" Type="http://schemas.openxmlformats.org/officeDocument/2006/relationships/hyperlink" Target="https://akshar-exim-company-pvt-ltd.odoo.com/web" TargetMode="External"/><Relationship Id="rId4806" Type="http://schemas.openxmlformats.org/officeDocument/2006/relationships/hyperlink" Target="https://akshar-exim-company-pvt-ltd.odoo.com/web" TargetMode="External"/><Relationship Id="rId89" Type="http://schemas.openxmlformats.org/officeDocument/2006/relationships/hyperlink" Target="https://akshar-exim-company-pvt-ltd.odoo.com/web" TargetMode="External"/><Relationship Id="rId4805" Type="http://schemas.openxmlformats.org/officeDocument/2006/relationships/hyperlink" Target="https://akshar-exim-company-pvt-ltd.odoo.com/web" TargetMode="External"/><Relationship Id="rId4808" Type="http://schemas.openxmlformats.org/officeDocument/2006/relationships/hyperlink" Target="https://akshar-exim-company-pvt-ltd.odoo.com/web" TargetMode="External"/><Relationship Id="rId4807" Type="http://schemas.openxmlformats.org/officeDocument/2006/relationships/hyperlink" Target="https://akshar-exim-company-pvt-ltd.odoo.com/web" TargetMode="External"/><Relationship Id="rId4809" Type="http://schemas.openxmlformats.org/officeDocument/2006/relationships/hyperlink" Target="https://akshar-exim-company-pvt-ltd.odoo.com/web" TargetMode="External"/><Relationship Id="rId80" Type="http://schemas.openxmlformats.org/officeDocument/2006/relationships/hyperlink" Target="https://akshar-exim-company-pvt-ltd.odoo.com/web" TargetMode="External"/><Relationship Id="rId82" Type="http://schemas.openxmlformats.org/officeDocument/2006/relationships/hyperlink" Target="https://akshar-exim-company-pvt-ltd.odoo.com/web" TargetMode="External"/><Relationship Id="rId81" Type="http://schemas.openxmlformats.org/officeDocument/2006/relationships/hyperlink" Target="mailto:sekhmuktar1991@gmail.com" TargetMode="External"/><Relationship Id="rId1770" Type="http://schemas.openxmlformats.org/officeDocument/2006/relationships/hyperlink" Target="https://akshar-exim-company-pvt-ltd.odoo.com/web" TargetMode="External"/><Relationship Id="rId1771" Type="http://schemas.openxmlformats.org/officeDocument/2006/relationships/hyperlink" Target="https://akshar-exim-company-pvt-ltd.odoo.com/web" TargetMode="External"/><Relationship Id="rId1772" Type="http://schemas.openxmlformats.org/officeDocument/2006/relationships/hyperlink" Target="https://akshar-exim-company-pvt-ltd.odoo.com/web" TargetMode="External"/><Relationship Id="rId1773" Type="http://schemas.openxmlformats.org/officeDocument/2006/relationships/hyperlink" Target="https://akshar-exim-company-pvt-ltd.odoo.com/web" TargetMode="External"/><Relationship Id="rId73" Type="http://schemas.openxmlformats.org/officeDocument/2006/relationships/hyperlink" Target="https://akshar-exim-company-pvt-ltd.odoo.com/web" TargetMode="External"/><Relationship Id="rId1763" Type="http://schemas.openxmlformats.org/officeDocument/2006/relationships/hyperlink" Target="https://akshar-exim-company-pvt-ltd.odoo.com/web" TargetMode="External"/><Relationship Id="rId72" Type="http://schemas.openxmlformats.org/officeDocument/2006/relationships/hyperlink" Target="mailto:ohom.industries@gmail.com" TargetMode="External"/><Relationship Id="rId1764" Type="http://schemas.openxmlformats.org/officeDocument/2006/relationships/hyperlink" Target="https://akshar-exim-company-pvt-ltd.odoo.com/web" TargetMode="External"/><Relationship Id="rId75" Type="http://schemas.openxmlformats.org/officeDocument/2006/relationships/hyperlink" Target="https://akshar-exim-company-pvt-ltd.odoo.com/web" TargetMode="External"/><Relationship Id="rId1765" Type="http://schemas.openxmlformats.org/officeDocument/2006/relationships/hyperlink" Target="https://akshar-exim-company-pvt-ltd.odoo.com/web" TargetMode="External"/><Relationship Id="rId74" Type="http://schemas.openxmlformats.org/officeDocument/2006/relationships/hyperlink" Target="mailto:krishnasalescorporation25@gmail.com" TargetMode="External"/><Relationship Id="rId1766" Type="http://schemas.openxmlformats.org/officeDocument/2006/relationships/hyperlink" Target="https://akshar-exim-company-pvt-ltd.odoo.com/web" TargetMode="External"/><Relationship Id="rId77" Type="http://schemas.openxmlformats.org/officeDocument/2006/relationships/hyperlink" Target="mailto:ajitmandal2131@gmail.com" TargetMode="External"/><Relationship Id="rId1767" Type="http://schemas.openxmlformats.org/officeDocument/2006/relationships/hyperlink" Target="https://akshar-exim-company-pvt-ltd.odoo.com/web" TargetMode="External"/><Relationship Id="rId76" Type="http://schemas.openxmlformats.org/officeDocument/2006/relationships/hyperlink" Target="https://akshar-exim-company-pvt-ltd.odoo.com/web" TargetMode="External"/><Relationship Id="rId1768" Type="http://schemas.openxmlformats.org/officeDocument/2006/relationships/hyperlink" Target="https://akshar-exim-company-pvt-ltd.odoo.com/web" TargetMode="External"/><Relationship Id="rId79" Type="http://schemas.openxmlformats.org/officeDocument/2006/relationships/hyperlink" Target="mailto:debjitsadhukhan42@gmail.com" TargetMode="External"/><Relationship Id="rId1769" Type="http://schemas.openxmlformats.org/officeDocument/2006/relationships/hyperlink" Target="https://akshar-exim-company-pvt-ltd.odoo.com/web" TargetMode="External"/><Relationship Id="rId78" Type="http://schemas.openxmlformats.org/officeDocument/2006/relationships/hyperlink" Target="https://akshar-exim-company-pvt-ltd.odoo.com/web" TargetMode="External"/><Relationship Id="rId71" Type="http://schemas.openxmlformats.org/officeDocument/2006/relationships/hyperlink" Target="https://akshar-exim-company-pvt-ltd.odoo.com/web" TargetMode="External"/><Relationship Id="rId70" Type="http://schemas.openxmlformats.org/officeDocument/2006/relationships/hyperlink" Target="mailto:purchase@pgvsunchemicals.com" TargetMode="External"/><Relationship Id="rId1760" Type="http://schemas.openxmlformats.org/officeDocument/2006/relationships/hyperlink" Target="https://akshar-exim-company-pvt-ltd.odoo.com/web" TargetMode="External"/><Relationship Id="rId1761" Type="http://schemas.openxmlformats.org/officeDocument/2006/relationships/hyperlink" Target="https://akshar-exim-company-pvt-ltd.odoo.com/web" TargetMode="External"/><Relationship Id="rId1762" Type="http://schemas.openxmlformats.org/officeDocument/2006/relationships/hyperlink" Target="https://akshar-exim-company-pvt-ltd.odoo.com/web" TargetMode="External"/><Relationship Id="rId62" Type="http://schemas.openxmlformats.org/officeDocument/2006/relationships/hyperlink" Target="https://akshar-exim-company-pvt-ltd.odoo.com/web" TargetMode="External"/><Relationship Id="rId1796" Type="http://schemas.openxmlformats.org/officeDocument/2006/relationships/hyperlink" Target="https://akshar-exim-company-pvt-ltd.odoo.com/web" TargetMode="External"/><Relationship Id="rId4822" Type="http://schemas.openxmlformats.org/officeDocument/2006/relationships/hyperlink" Target="https://akshar-exim-company-pvt-ltd.odoo.com/web" TargetMode="External"/><Relationship Id="rId61" Type="http://schemas.openxmlformats.org/officeDocument/2006/relationships/hyperlink" Target="mailto:manas.das@holidayinnkolairport.com" TargetMode="External"/><Relationship Id="rId1797" Type="http://schemas.openxmlformats.org/officeDocument/2006/relationships/hyperlink" Target="https://akshar-exim-company-pvt-ltd.odoo.com/web" TargetMode="External"/><Relationship Id="rId4821" Type="http://schemas.openxmlformats.org/officeDocument/2006/relationships/hyperlink" Target="https://akshar-exim-company-pvt-ltd.odoo.com/web" TargetMode="External"/><Relationship Id="rId64" Type="http://schemas.openxmlformats.org/officeDocument/2006/relationships/hyperlink" Target="mailto:ahshan076hussain@gmail.com" TargetMode="External"/><Relationship Id="rId1798" Type="http://schemas.openxmlformats.org/officeDocument/2006/relationships/hyperlink" Target="https://akshar-exim-company-pvt-ltd.odoo.com/web" TargetMode="External"/><Relationship Id="rId4824" Type="http://schemas.openxmlformats.org/officeDocument/2006/relationships/hyperlink" Target="https://akshar-exim-company-pvt-ltd.odoo.com/web" TargetMode="External"/><Relationship Id="rId63" Type="http://schemas.openxmlformats.org/officeDocument/2006/relationships/hyperlink" Target="https://akshar-exim-company-pvt-ltd.odoo.com/web" TargetMode="External"/><Relationship Id="rId1799" Type="http://schemas.openxmlformats.org/officeDocument/2006/relationships/hyperlink" Target="https://akshar-exim-company-pvt-ltd.odoo.com/web" TargetMode="External"/><Relationship Id="rId4823" Type="http://schemas.openxmlformats.org/officeDocument/2006/relationships/hyperlink" Target="https://akshar-exim-company-pvt-ltd.odoo.com/web" TargetMode="External"/><Relationship Id="rId66" Type="http://schemas.openxmlformats.org/officeDocument/2006/relationships/hyperlink" Target="mailto:souvik.nandi27@gmail.com" TargetMode="External"/><Relationship Id="rId4826" Type="http://schemas.openxmlformats.org/officeDocument/2006/relationships/hyperlink" Target="https://akshar-exim-company-pvt-ltd.odoo.com/web" TargetMode="External"/><Relationship Id="rId65" Type="http://schemas.openxmlformats.org/officeDocument/2006/relationships/hyperlink" Target="https://akshar-exim-company-pvt-ltd.odoo.com/web" TargetMode="External"/><Relationship Id="rId4825" Type="http://schemas.openxmlformats.org/officeDocument/2006/relationships/hyperlink" Target="https://akshar-exim-company-pvt-ltd.odoo.com/web" TargetMode="External"/><Relationship Id="rId68" Type="http://schemas.openxmlformats.org/officeDocument/2006/relationships/hyperlink" Target="mailto:tridibsaikia5@gmail.com" TargetMode="External"/><Relationship Id="rId4828" Type="http://schemas.openxmlformats.org/officeDocument/2006/relationships/hyperlink" Target="https://akshar-exim-company-pvt-ltd.odoo.com/web" TargetMode="External"/><Relationship Id="rId67" Type="http://schemas.openxmlformats.org/officeDocument/2006/relationships/hyperlink" Target="https://akshar-exim-company-pvt-ltd.odoo.com/web" TargetMode="External"/><Relationship Id="rId4827" Type="http://schemas.openxmlformats.org/officeDocument/2006/relationships/hyperlink" Target="https://akshar-exim-company-pvt-ltd.odoo.com/web" TargetMode="External"/><Relationship Id="rId4829" Type="http://schemas.openxmlformats.org/officeDocument/2006/relationships/hyperlink" Target="https://akshar-exim-company-pvt-ltd.odoo.com/web" TargetMode="External"/><Relationship Id="rId60" Type="http://schemas.openxmlformats.org/officeDocument/2006/relationships/hyperlink" Target="https://akshar-exim-company-pvt-ltd.odoo.com/web" TargetMode="External"/><Relationship Id="rId69" Type="http://schemas.openxmlformats.org/officeDocument/2006/relationships/hyperlink" Target="https://akshar-exim-company-pvt-ltd.odoo.com/web" TargetMode="External"/><Relationship Id="rId1790" Type="http://schemas.openxmlformats.org/officeDocument/2006/relationships/hyperlink" Target="https://akshar-exim-company-pvt-ltd.odoo.com/web" TargetMode="External"/><Relationship Id="rId1791" Type="http://schemas.openxmlformats.org/officeDocument/2006/relationships/hyperlink" Target="https://akshar-exim-company-pvt-ltd.odoo.com/web" TargetMode="External"/><Relationship Id="rId1792" Type="http://schemas.openxmlformats.org/officeDocument/2006/relationships/hyperlink" Target="https://akshar-exim-company-pvt-ltd.odoo.com/web" TargetMode="External"/><Relationship Id="rId1793" Type="http://schemas.openxmlformats.org/officeDocument/2006/relationships/hyperlink" Target="https://akshar-exim-company-pvt-ltd.odoo.com/web" TargetMode="External"/><Relationship Id="rId1794" Type="http://schemas.openxmlformats.org/officeDocument/2006/relationships/hyperlink" Target="https://akshar-exim-company-pvt-ltd.odoo.com/web" TargetMode="External"/><Relationship Id="rId4820" Type="http://schemas.openxmlformats.org/officeDocument/2006/relationships/hyperlink" Target="https://akshar-exim-company-pvt-ltd.odoo.com/web" TargetMode="External"/><Relationship Id="rId1795" Type="http://schemas.openxmlformats.org/officeDocument/2006/relationships/hyperlink" Target="https://akshar-exim-company-pvt-ltd.odoo.com/web" TargetMode="External"/><Relationship Id="rId51" Type="http://schemas.openxmlformats.org/officeDocument/2006/relationships/hyperlink" Target="https://akshar-exim-company-pvt-ltd.odoo.com/web" TargetMode="External"/><Relationship Id="rId1785" Type="http://schemas.openxmlformats.org/officeDocument/2006/relationships/hyperlink" Target="https://akshar-exim-company-pvt-ltd.odoo.com/web" TargetMode="External"/><Relationship Id="rId4811" Type="http://schemas.openxmlformats.org/officeDocument/2006/relationships/hyperlink" Target="https://akshar-exim-company-pvt-ltd.odoo.com/web" TargetMode="External"/><Relationship Id="rId50" Type="http://schemas.openxmlformats.org/officeDocument/2006/relationships/hyperlink" Target="https://akshar-exim-company-pvt-ltd.odoo.com/web" TargetMode="External"/><Relationship Id="rId1786" Type="http://schemas.openxmlformats.org/officeDocument/2006/relationships/hyperlink" Target="https://akshar-exim-company-pvt-ltd.odoo.com/web" TargetMode="External"/><Relationship Id="rId4810" Type="http://schemas.openxmlformats.org/officeDocument/2006/relationships/hyperlink" Target="https://akshar-exim-company-pvt-ltd.odoo.com/web" TargetMode="External"/><Relationship Id="rId53" Type="http://schemas.openxmlformats.org/officeDocument/2006/relationships/hyperlink" Target="https://akshar-exim-company-pvt-ltd.odoo.com/web" TargetMode="External"/><Relationship Id="rId1787" Type="http://schemas.openxmlformats.org/officeDocument/2006/relationships/hyperlink" Target="https://akshar-exim-company-pvt-ltd.odoo.com/web" TargetMode="External"/><Relationship Id="rId4813" Type="http://schemas.openxmlformats.org/officeDocument/2006/relationships/hyperlink" Target="https://akshar-exim-company-pvt-ltd.odoo.com/web" TargetMode="External"/><Relationship Id="rId52" Type="http://schemas.openxmlformats.org/officeDocument/2006/relationships/hyperlink" Target="mailto:procurement@automeck.in" TargetMode="External"/><Relationship Id="rId1788" Type="http://schemas.openxmlformats.org/officeDocument/2006/relationships/hyperlink" Target="https://akshar-exim-company-pvt-ltd.odoo.com/web" TargetMode="External"/><Relationship Id="rId4812" Type="http://schemas.openxmlformats.org/officeDocument/2006/relationships/hyperlink" Target="https://akshar-exim-company-pvt-ltd.odoo.com/web" TargetMode="External"/><Relationship Id="rId55" Type="http://schemas.openxmlformats.org/officeDocument/2006/relationships/hyperlink" Target="mailto:shayakbhattacharyya90@gmail.com" TargetMode="External"/><Relationship Id="rId1789" Type="http://schemas.openxmlformats.org/officeDocument/2006/relationships/hyperlink" Target="https://akshar-exim-company-pvt-ltd.odoo.com/web" TargetMode="External"/><Relationship Id="rId4815" Type="http://schemas.openxmlformats.org/officeDocument/2006/relationships/hyperlink" Target="https://akshar-exim-company-pvt-ltd.odoo.com/web" TargetMode="External"/><Relationship Id="rId54" Type="http://schemas.openxmlformats.org/officeDocument/2006/relationships/hyperlink" Target="https://akshar-exim-company-pvt-ltd.odoo.com/web" TargetMode="External"/><Relationship Id="rId4814" Type="http://schemas.openxmlformats.org/officeDocument/2006/relationships/hyperlink" Target="https://akshar-exim-company-pvt-ltd.odoo.com/web" TargetMode="External"/><Relationship Id="rId57" Type="http://schemas.openxmlformats.org/officeDocument/2006/relationships/hyperlink" Target="mailto:vannixchemicals@gmail.com" TargetMode="External"/><Relationship Id="rId4817" Type="http://schemas.openxmlformats.org/officeDocument/2006/relationships/hyperlink" Target="https://akshar-exim-company-pvt-ltd.odoo.com/web" TargetMode="External"/><Relationship Id="rId56" Type="http://schemas.openxmlformats.org/officeDocument/2006/relationships/hyperlink" Target="https://akshar-exim-company-pvt-ltd.odoo.com/web" TargetMode="External"/><Relationship Id="rId4816" Type="http://schemas.openxmlformats.org/officeDocument/2006/relationships/hyperlink" Target="https://akshar-exim-company-pvt-ltd.odoo.com/web" TargetMode="External"/><Relationship Id="rId4819" Type="http://schemas.openxmlformats.org/officeDocument/2006/relationships/hyperlink" Target="https://akshar-exim-company-pvt-ltd.odoo.com/web" TargetMode="External"/><Relationship Id="rId4818" Type="http://schemas.openxmlformats.org/officeDocument/2006/relationships/hyperlink" Target="https://akshar-exim-company-pvt-ltd.odoo.com/web" TargetMode="External"/><Relationship Id="rId59" Type="http://schemas.openxmlformats.org/officeDocument/2006/relationships/hyperlink" Target="mailto:chakrabartyrasmita@gmail.com" TargetMode="External"/><Relationship Id="rId58" Type="http://schemas.openxmlformats.org/officeDocument/2006/relationships/hyperlink" Target="https://akshar-exim-company-pvt-ltd.odoo.com/web" TargetMode="External"/><Relationship Id="rId1780" Type="http://schemas.openxmlformats.org/officeDocument/2006/relationships/hyperlink" Target="https://akshar-exim-company-pvt-ltd.odoo.com/web" TargetMode="External"/><Relationship Id="rId1781" Type="http://schemas.openxmlformats.org/officeDocument/2006/relationships/hyperlink" Target="https://akshar-exim-company-pvt-ltd.odoo.com/web" TargetMode="External"/><Relationship Id="rId1782" Type="http://schemas.openxmlformats.org/officeDocument/2006/relationships/hyperlink" Target="https://akshar-exim-company-pvt-ltd.odoo.com/web" TargetMode="External"/><Relationship Id="rId1783" Type="http://schemas.openxmlformats.org/officeDocument/2006/relationships/hyperlink" Target="https://akshar-exim-company-pvt-ltd.odoo.com/web" TargetMode="External"/><Relationship Id="rId1784" Type="http://schemas.openxmlformats.org/officeDocument/2006/relationships/hyperlink" Target="https://akshar-exim-company-pvt-ltd.odoo.com/web" TargetMode="External"/><Relationship Id="rId2269" Type="http://schemas.openxmlformats.org/officeDocument/2006/relationships/hyperlink" Target="https://akshar-exim-company-pvt-ltd.odoo.com/web" TargetMode="External"/><Relationship Id="rId349" Type="http://schemas.openxmlformats.org/officeDocument/2006/relationships/hyperlink" Target="https://akshar-exim-company-pvt-ltd.odoo.com/web" TargetMode="External"/><Relationship Id="rId348" Type="http://schemas.openxmlformats.org/officeDocument/2006/relationships/hyperlink" Target="mailto:mayabiotech@gmail.com" TargetMode="External"/><Relationship Id="rId347" Type="http://schemas.openxmlformats.org/officeDocument/2006/relationships/hyperlink" Target="https://akshar-exim-company-pvt-ltd.odoo.com/web" TargetMode="External"/><Relationship Id="rId346" Type="http://schemas.openxmlformats.org/officeDocument/2006/relationships/hyperlink" Target="https://akshar-exim-company-pvt-ltd.odoo.com/web" TargetMode="External"/><Relationship Id="rId3591" Type="http://schemas.openxmlformats.org/officeDocument/2006/relationships/hyperlink" Target="https://akshar-exim-company-pvt-ltd.odoo.com/web" TargetMode="External"/><Relationship Id="rId2260" Type="http://schemas.openxmlformats.org/officeDocument/2006/relationships/hyperlink" Target="https://akshar-exim-company-pvt-ltd.odoo.com/web" TargetMode="External"/><Relationship Id="rId3590" Type="http://schemas.openxmlformats.org/officeDocument/2006/relationships/hyperlink" Target="https://www.pristinemelamine.com/" TargetMode="External"/><Relationship Id="rId341" Type="http://schemas.openxmlformats.org/officeDocument/2006/relationships/hyperlink" Target="https://akshar-exim-company-pvt-ltd.odoo.com/web" TargetMode="External"/><Relationship Id="rId2261" Type="http://schemas.openxmlformats.org/officeDocument/2006/relationships/hyperlink" Target="https://akshar-exim-company-pvt-ltd.odoo.com/web" TargetMode="External"/><Relationship Id="rId3593" Type="http://schemas.openxmlformats.org/officeDocument/2006/relationships/hyperlink" Target="https://akshar-exim-company-pvt-ltd.odoo.com/web" TargetMode="External"/><Relationship Id="rId340" Type="http://schemas.openxmlformats.org/officeDocument/2006/relationships/hyperlink" Target="mailto:deepakpoddar8480@gmail.com" TargetMode="External"/><Relationship Id="rId2262" Type="http://schemas.openxmlformats.org/officeDocument/2006/relationships/hyperlink" Target="https://akshar-exim-company-pvt-ltd.odoo.com/web" TargetMode="External"/><Relationship Id="rId3592" Type="http://schemas.openxmlformats.org/officeDocument/2006/relationships/hyperlink" Target="mailto:vijayrajpal341@gmail.com" TargetMode="External"/><Relationship Id="rId2263" Type="http://schemas.openxmlformats.org/officeDocument/2006/relationships/hyperlink" Target="https://akshar-exim-company-pvt-ltd.odoo.com/web#id=55468&amp;action=152&amp;model=crm.lead&amp;view_type=form&amp;menu_id=111https://akshar-exim-company-pvt-ltd.odoo.com/web#id=55468&amp;action=152&amp;model=crm.lead&amp;view_type=form&amp;menu_id=111https://akshar-exim-company-pvt-ltd.odoo.com/web#id=55468&amp;action=152&amp;model=crm.lead&amp;view_type=form&amp;menu_id=111" TargetMode="External"/><Relationship Id="rId3595" Type="http://schemas.openxmlformats.org/officeDocument/2006/relationships/hyperlink" Target="https://akshar-exim-company-pvt-ltd.odoo.com/web" TargetMode="External"/><Relationship Id="rId2264" Type="http://schemas.openxmlformats.org/officeDocument/2006/relationships/hyperlink" Target="https://akshar-exim-company-pvt-ltd.odoo.com/web" TargetMode="External"/><Relationship Id="rId3594" Type="http://schemas.openxmlformats.org/officeDocument/2006/relationships/hyperlink" Target="mailto:md.shahbaz224@gmail.com" TargetMode="External"/><Relationship Id="rId345" Type="http://schemas.openxmlformats.org/officeDocument/2006/relationships/hyperlink" Target="mailto:mohanrajmnm@gmail.com" TargetMode="External"/><Relationship Id="rId2265" Type="http://schemas.openxmlformats.org/officeDocument/2006/relationships/hyperlink" Target="https://akshar-exim-company-pvt-ltd.odoo.com/web" TargetMode="External"/><Relationship Id="rId3597" Type="http://schemas.openxmlformats.org/officeDocument/2006/relationships/hyperlink" Target="https://akshar-exim-company-pvt-ltd.odoo.com/web" TargetMode="External"/><Relationship Id="rId344" Type="http://schemas.openxmlformats.org/officeDocument/2006/relationships/hyperlink" Target="https://akshar-exim-company-pvt-ltd.odoo.com/web" TargetMode="External"/><Relationship Id="rId2266" Type="http://schemas.openxmlformats.org/officeDocument/2006/relationships/hyperlink" Target="https://akshar-exim-company-pvt-ltd.odoo.com/web" TargetMode="External"/><Relationship Id="rId3596" Type="http://schemas.openxmlformats.org/officeDocument/2006/relationships/hyperlink" Target="mailto:muskanrohit150@gmail.com" TargetMode="External"/><Relationship Id="rId343" Type="http://schemas.openxmlformats.org/officeDocument/2006/relationships/hyperlink" Target="mailto:amansharmaa2021@gmail.com" TargetMode="External"/><Relationship Id="rId2267" Type="http://schemas.openxmlformats.org/officeDocument/2006/relationships/hyperlink" Target="https://akshar-exim-company-pvt-ltd.odoo.com/web" TargetMode="External"/><Relationship Id="rId3599" Type="http://schemas.openxmlformats.org/officeDocument/2006/relationships/hyperlink" Target="https://akshar-exim-company-pvt-ltd.odoo.com/web" TargetMode="External"/><Relationship Id="rId342" Type="http://schemas.openxmlformats.org/officeDocument/2006/relationships/hyperlink" Target="https://akshar-exim-company-pvt-ltd.odoo.com/web" TargetMode="External"/><Relationship Id="rId2268" Type="http://schemas.openxmlformats.org/officeDocument/2006/relationships/hyperlink" Target="https://akshar-exim-company-pvt-ltd.odoo.com/web" TargetMode="External"/><Relationship Id="rId3598" Type="http://schemas.openxmlformats.org/officeDocument/2006/relationships/hyperlink" Target="https://akshar-exim-company-pvt-ltd.odoo.com/web" TargetMode="External"/><Relationship Id="rId2258" Type="http://schemas.openxmlformats.org/officeDocument/2006/relationships/hyperlink" Target="https://akshar-exim-company-pvt-ltd.odoo.com/web" TargetMode="External"/><Relationship Id="rId2259" Type="http://schemas.openxmlformats.org/officeDocument/2006/relationships/hyperlink" Target="https://akshar-exim-company-pvt-ltd.odoo.com/web" TargetMode="External"/><Relationship Id="rId3589" Type="http://schemas.openxmlformats.org/officeDocument/2006/relationships/hyperlink" Target="https://akshar-exim-company-pvt-ltd.odoo.com/web" TargetMode="External"/><Relationship Id="rId338" Type="http://schemas.openxmlformats.org/officeDocument/2006/relationships/hyperlink" Target="mailto:abhishek.kumar.callf@gmail.com" TargetMode="External"/><Relationship Id="rId337" Type="http://schemas.openxmlformats.org/officeDocument/2006/relationships/hyperlink" Target="https://akshar-exim-company-pvt-ltd.odoo.com/web" TargetMode="External"/><Relationship Id="rId336" Type="http://schemas.openxmlformats.org/officeDocument/2006/relationships/hyperlink" Target="mailto:shahidparvez96@gmail.com" TargetMode="External"/><Relationship Id="rId335" Type="http://schemas.openxmlformats.org/officeDocument/2006/relationships/hyperlink" Target="https://akshar-exim-company-pvt-ltd.odoo.com/web" TargetMode="External"/><Relationship Id="rId3580" Type="http://schemas.openxmlformats.org/officeDocument/2006/relationships/hyperlink" Target="mailto:yogesh@pranaventerprise.com" TargetMode="External"/><Relationship Id="rId339" Type="http://schemas.openxmlformats.org/officeDocument/2006/relationships/hyperlink" Target="https://akshar-exim-company-pvt-ltd.odoo.com/web" TargetMode="External"/><Relationship Id="rId330" Type="http://schemas.openxmlformats.org/officeDocument/2006/relationships/hyperlink" Target="https://akshar-exim-company-pvt-ltd.odoo.com/web" TargetMode="External"/><Relationship Id="rId2250" Type="http://schemas.openxmlformats.org/officeDocument/2006/relationships/hyperlink" Target="https://akshar-exim-company-pvt-ltd.odoo.com/web" TargetMode="External"/><Relationship Id="rId3582" Type="http://schemas.openxmlformats.org/officeDocument/2006/relationships/hyperlink" Target="mailto:haldersuman093@gmail.com" TargetMode="External"/><Relationship Id="rId2251" Type="http://schemas.openxmlformats.org/officeDocument/2006/relationships/hyperlink" Target="https://akshar-exim-company-pvt-ltd.odoo.com/web" TargetMode="External"/><Relationship Id="rId3581" Type="http://schemas.openxmlformats.org/officeDocument/2006/relationships/hyperlink" Target="https://akshar-exim-company-pvt-ltd.odoo.com/web" TargetMode="External"/><Relationship Id="rId2252" Type="http://schemas.openxmlformats.org/officeDocument/2006/relationships/hyperlink" Target="https://akshar-exim-company-pvt-ltd.odoo.com/web" TargetMode="External"/><Relationship Id="rId3584" Type="http://schemas.openxmlformats.org/officeDocument/2006/relationships/hyperlink" Target="mailto:haldersuman093@gmail.com" TargetMode="External"/><Relationship Id="rId2253" Type="http://schemas.openxmlformats.org/officeDocument/2006/relationships/hyperlink" Target="https://akshar-exim-company-pvt-ltd.odoo.com/web" TargetMode="External"/><Relationship Id="rId3583" Type="http://schemas.openxmlformats.org/officeDocument/2006/relationships/hyperlink" Target="https://akshar-exim-company-pvt-ltd.odoo.com/web" TargetMode="External"/><Relationship Id="rId334" Type="http://schemas.openxmlformats.org/officeDocument/2006/relationships/hyperlink" Target="mailto:skrishana878@gmail.com" TargetMode="External"/><Relationship Id="rId2254" Type="http://schemas.openxmlformats.org/officeDocument/2006/relationships/hyperlink" Target="https://akshar-exim-company-pvt-ltd.odoo.com/web" TargetMode="External"/><Relationship Id="rId3586" Type="http://schemas.openxmlformats.org/officeDocument/2006/relationships/hyperlink" Target="mailto:mayurpatel4497@gmail.com" TargetMode="External"/><Relationship Id="rId333" Type="http://schemas.openxmlformats.org/officeDocument/2006/relationships/hyperlink" Target="https://akshar-exim-company-pvt-ltd.odoo.com/web" TargetMode="External"/><Relationship Id="rId2255" Type="http://schemas.openxmlformats.org/officeDocument/2006/relationships/hyperlink" Target="https://akshar-exim-company-pvt-ltd.odoo.com/web" TargetMode="External"/><Relationship Id="rId3585" Type="http://schemas.openxmlformats.org/officeDocument/2006/relationships/hyperlink" Target="https://akshar-exim-company-pvt-ltd.odoo.com/web" TargetMode="External"/><Relationship Id="rId332" Type="http://schemas.openxmlformats.org/officeDocument/2006/relationships/hyperlink" Target="https://akshar-exim-company-pvt-ltd.odoo.com/web" TargetMode="External"/><Relationship Id="rId2256" Type="http://schemas.openxmlformats.org/officeDocument/2006/relationships/hyperlink" Target="https://akshar-exim-company-pvt-ltd.odoo.com/web" TargetMode="External"/><Relationship Id="rId3588" Type="http://schemas.openxmlformats.org/officeDocument/2006/relationships/hyperlink" Target="https://akshar-exim-company-pvt-ltd.odoo.com/web" TargetMode="External"/><Relationship Id="rId331" Type="http://schemas.openxmlformats.org/officeDocument/2006/relationships/hyperlink" Target="mailto:exports@prasannabiomolecules.com" TargetMode="External"/><Relationship Id="rId2257" Type="http://schemas.openxmlformats.org/officeDocument/2006/relationships/hyperlink" Target="https://akshar-exim-company-pvt-ltd.odoo.com/web" TargetMode="External"/><Relationship Id="rId3587" Type="http://schemas.openxmlformats.org/officeDocument/2006/relationships/hyperlink" Target="https://akshar-exim-company-pvt-ltd.odoo.com/web" TargetMode="External"/><Relationship Id="rId5318" Type="http://schemas.openxmlformats.org/officeDocument/2006/relationships/hyperlink" Target="https://akshar-exim-company-pvt-ltd.odoo.com/web" TargetMode="External"/><Relationship Id="rId5319" Type="http://schemas.openxmlformats.org/officeDocument/2006/relationships/hyperlink" Target="https://akshar-exim-company-pvt-ltd.odoo.com/web" TargetMode="External"/><Relationship Id="rId5316" Type="http://schemas.openxmlformats.org/officeDocument/2006/relationships/hyperlink" Target="https://akshar-exim-company-pvt-ltd.odoo.com/web" TargetMode="External"/><Relationship Id="rId5317" Type="http://schemas.openxmlformats.org/officeDocument/2006/relationships/hyperlink" Target="https://akshar-exim-company-pvt-ltd.odoo.com/web" TargetMode="External"/><Relationship Id="rId370" Type="http://schemas.openxmlformats.org/officeDocument/2006/relationships/hyperlink" Target="mailto:kkrranaycs183@gmail.com" TargetMode="External"/><Relationship Id="rId369" Type="http://schemas.openxmlformats.org/officeDocument/2006/relationships/hyperlink" Target="https://akshar-exim-company-pvt-ltd.odoo.com/web" TargetMode="External"/><Relationship Id="rId368" Type="http://schemas.openxmlformats.org/officeDocument/2006/relationships/hyperlink" Target="https://akshar-exim-company-pvt-ltd.odoo.com/web" TargetMode="External"/><Relationship Id="rId2280" Type="http://schemas.openxmlformats.org/officeDocument/2006/relationships/hyperlink" Target="https://akshar-exim-company-pvt-ltd.odoo.com/web" TargetMode="External"/><Relationship Id="rId2281" Type="http://schemas.openxmlformats.org/officeDocument/2006/relationships/hyperlink" Target="https://akshar-exim-company-pvt-ltd.odoo.com/web" TargetMode="External"/><Relationship Id="rId2282" Type="http://schemas.openxmlformats.org/officeDocument/2006/relationships/hyperlink" Target="https://akshar-exim-company-pvt-ltd.odoo.com/web" TargetMode="External"/><Relationship Id="rId363" Type="http://schemas.openxmlformats.org/officeDocument/2006/relationships/hyperlink" Target="mailto:sdenterprise.india@gmail.com" TargetMode="External"/><Relationship Id="rId2283" Type="http://schemas.openxmlformats.org/officeDocument/2006/relationships/hyperlink" Target="https://akshar-exim-company-pvt-ltd.odoo.com/web" TargetMode="External"/><Relationship Id="rId5310" Type="http://schemas.openxmlformats.org/officeDocument/2006/relationships/hyperlink" Target="https://akshar-exim-company-pvt-ltd.odoo.com/web" TargetMode="External"/><Relationship Id="rId362" Type="http://schemas.openxmlformats.org/officeDocument/2006/relationships/hyperlink" Target="https://akshar-exim-company-pvt-ltd.odoo.com/web" TargetMode="External"/><Relationship Id="rId2284" Type="http://schemas.openxmlformats.org/officeDocument/2006/relationships/hyperlink" Target="https://akshar-exim-company-pvt-ltd.odoo.com/web" TargetMode="External"/><Relationship Id="rId5311" Type="http://schemas.openxmlformats.org/officeDocument/2006/relationships/hyperlink" Target="https://akshar-exim-company-pvt-ltd.odoo.com/web" TargetMode="External"/><Relationship Id="rId361" Type="http://schemas.openxmlformats.org/officeDocument/2006/relationships/hyperlink" Target="mailto:palkishan611@gmail.com" TargetMode="External"/><Relationship Id="rId2285" Type="http://schemas.openxmlformats.org/officeDocument/2006/relationships/hyperlink" Target="https://akshar-exim-company-pvt-ltd.odoo.com/web" TargetMode="External"/><Relationship Id="rId360" Type="http://schemas.openxmlformats.org/officeDocument/2006/relationships/hyperlink" Target="https://akshar-exim-company-pvt-ltd.odoo.com/web" TargetMode="External"/><Relationship Id="rId2286" Type="http://schemas.openxmlformats.org/officeDocument/2006/relationships/hyperlink" Target="https://akshar-exim-company-pvt-ltd.odoo.com/web" TargetMode="External"/><Relationship Id="rId367" Type="http://schemas.openxmlformats.org/officeDocument/2006/relationships/hyperlink" Target="mailto:mail4shreeram@gmail.com" TargetMode="External"/><Relationship Id="rId2287" Type="http://schemas.openxmlformats.org/officeDocument/2006/relationships/hyperlink" Target="https://akshar-exim-company-pvt-ltd.odoo.com/web" TargetMode="External"/><Relationship Id="rId5314" Type="http://schemas.openxmlformats.org/officeDocument/2006/relationships/hyperlink" Target="https://akshar-exim-company-pvt-ltd.odoo.com/web" TargetMode="External"/><Relationship Id="rId366" Type="http://schemas.openxmlformats.org/officeDocument/2006/relationships/hyperlink" Target="https://akshar-exim-company-pvt-ltd.odoo.com/web" TargetMode="External"/><Relationship Id="rId2288" Type="http://schemas.openxmlformats.org/officeDocument/2006/relationships/hyperlink" Target="https://akshar-exim-company-pvt-ltd.odoo.com/web" TargetMode="External"/><Relationship Id="rId5315" Type="http://schemas.openxmlformats.org/officeDocument/2006/relationships/hyperlink" Target="https://akshar-exim-company-pvt-ltd.odoo.com/web" TargetMode="External"/><Relationship Id="rId365" Type="http://schemas.openxmlformats.org/officeDocument/2006/relationships/hyperlink" Target="mailto:aaraadhyatraders@gmail.com" TargetMode="External"/><Relationship Id="rId2289" Type="http://schemas.openxmlformats.org/officeDocument/2006/relationships/hyperlink" Target="https://akshar-exim-company-pvt-ltd.odoo.com/web" TargetMode="External"/><Relationship Id="rId5312" Type="http://schemas.openxmlformats.org/officeDocument/2006/relationships/hyperlink" Target="https://akshar-exim-company-pvt-ltd.odoo.com/web" TargetMode="External"/><Relationship Id="rId364" Type="http://schemas.openxmlformats.org/officeDocument/2006/relationships/hyperlink" Target="https://akshar-exim-company-pvt-ltd.odoo.com/web" TargetMode="External"/><Relationship Id="rId5313" Type="http://schemas.openxmlformats.org/officeDocument/2006/relationships/hyperlink" Target="https://akshar-exim-company-pvt-ltd.odoo.com/web" TargetMode="External"/><Relationship Id="rId95" Type="http://schemas.openxmlformats.org/officeDocument/2006/relationships/hyperlink" Target="https://akshar-exim-company-pvt-ltd.odoo.com/web" TargetMode="External"/><Relationship Id="rId5307" Type="http://schemas.openxmlformats.org/officeDocument/2006/relationships/hyperlink" Target="https://akshar-exim-company-pvt-ltd.odoo.com/web" TargetMode="External"/><Relationship Id="rId94" Type="http://schemas.openxmlformats.org/officeDocument/2006/relationships/hyperlink" Target="mailto:sd2497822@gmail.com" TargetMode="External"/><Relationship Id="rId5308" Type="http://schemas.openxmlformats.org/officeDocument/2006/relationships/hyperlink" Target="https://akshar-exim-company-pvt-ltd.odoo.com/web" TargetMode="External"/><Relationship Id="rId97" Type="http://schemas.openxmlformats.org/officeDocument/2006/relationships/hyperlink" Target="https://akshar-exim-company-pvt-ltd.odoo.com/web" TargetMode="External"/><Relationship Id="rId5305" Type="http://schemas.openxmlformats.org/officeDocument/2006/relationships/hyperlink" Target="https://akshar-exim-company-pvt-ltd.odoo.com/web" TargetMode="External"/><Relationship Id="rId96" Type="http://schemas.openxmlformats.org/officeDocument/2006/relationships/hyperlink" Target="mailto:gaurangbarevadiya@gmail.com" TargetMode="External"/><Relationship Id="rId5306" Type="http://schemas.openxmlformats.org/officeDocument/2006/relationships/hyperlink" Target="https://akshar-exim-company-pvt-ltd.odoo.com/web" TargetMode="External"/><Relationship Id="rId99" Type="http://schemas.openxmlformats.org/officeDocument/2006/relationships/hyperlink" Target="https://akshar-exim-company-pvt-ltd.odoo.com/web" TargetMode="External"/><Relationship Id="rId98" Type="http://schemas.openxmlformats.org/officeDocument/2006/relationships/hyperlink" Target="https://akshar-exim-company-pvt-ltd.odoo.com/web" TargetMode="External"/><Relationship Id="rId5309" Type="http://schemas.openxmlformats.org/officeDocument/2006/relationships/hyperlink" Target="https://akshar-exim-company-pvt-ltd.odoo.com/web" TargetMode="External"/><Relationship Id="rId91" Type="http://schemas.openxmlformats.org/officeDocument/2006/relationships/hyperlink" Target="https://akshar-exim-company-pvt-ltd.odoo.com/web" TargetMode="External"/><Relationship Id="rId90" Type="http://schemas.openxmlformats.org/officeDocument/2006/relationships/hyperlink" Target="mailto:shreekrishnaenter.95@gmail.com" TargetMode="External"/><Relationship Id="rId93" Type="http://schemas.openxmlformats.org/officeDocument/2006/relationships/hyperlink" Target="https://akshar-exim-company-pvt-ltd.odoo.com/web" TargetMode="External"/><Relationship Id="rId92" Type="http://schemas.openxmlformats.org/officeDocument/2006/relationships/hyperlink" Target="mailto:r.harshenterprises@gmail.com" TargetMode="External"/><Relationship Id="rId359" Type="http://schemas.openxmlformats.org/officeDocument/2006/relationships/hyperlink" Target="mailto:puneet.agwl@yahoo.com" TargetMode="External"/><Relationship Id="rId358" Type="http://schemas.openxmlformats.org/officeDocument/2006/relationships/hyperlink" Target="https://akshar-exim-company-pvt-ltd.odoo.com/web" TargetMode="External"/><Relationship Id="rId357" Type="http://schemas.openxmlformats.org/officeDocument/2006/relationships/hyperlink" Target="https://akshar-exim-company-pvt-ltd.odoo.com/web" TargetMode="External"/><Relationship Id="rId2270" Type="http://schemas.openxmlformats.org/officeDocument/2006/relationships/hyperlink" Target="https://akshar-exim-company-pvt-ltd.odoo.com/web" TargetMode="External"/><Relationship Id="rId2271" Type="http://schemas.openxmlformats.org/officeDocument/2006/relationships/hyperlink" Target="https://akshar-exim-company-pvt-ltd.odoo.com/web" TargetMode="External"/><Relationship Id="rId352" Type="http://schemas.openxmlformats.org/officeDocument/2006/relationships/hyperlink" Target="https://akshar-exim-company-pvt-ltd.odoo.com/web" TargetMode="External"/><Relationship Id="rId2272" Type="http://schemas.openxmlformats.org/officeDocument/2006/relationships/hyperlink" Target="https://akshar-exim-company-pvt-ltd.odoo.com/web" TargetMode="External"/><Relationship Id="rId351" Type="http://schemas.openxmlformats.org/officeDocument/2006/relationships/hyperlink" Target="mailto:pabitra.bck@gmail.com" TargetMode="External"/><Relationship Id="rId2273" Type="http://schemas.openxmlformats.org/officeDocument/2006/relationships/hyperlink" Target="https://akshar-exim-company-pvt-ltd.odoo.com/web" TargetMode="External"/><Relationship Id="rId5300" Type="http://schemas.openxmlformats.org/officeDocument/2006/relationships/hyperlink" Target="https://akshar-exim-company-pvt-ltd.odoo.com/web" TargetMode="External"/><Relationship Id="rId350" Type="http://schemas.openxmlformats.org/officeDocument/2006/relationships/hyperlink" Target="https://akshar-exim-company-pvt-ltd.odoo.com/web" TargetMode="External"/><Relationship Id="rId2274" Type="http://schemas.openxmlformats.org/officeDocument/2006/relationships/hyperlink" Target="https://akshar-exim-company-pvt-ltd.odoo.com/web" TargetMode="External"/><Relationship Id="rId2275" Type="http://schemas.openxmlformats.org/officeDocument/2006/relationships/hyperlink" Target="https://akshar-exim-company-pvt-ltd.odoo.com/web" TargetMode="External"/><Relationship Id="rId356" Type="http://schemas.openxmlformats.org/officeDocument/2006/relationships/hyperlink" Target="https://akshar-exim-company-pvt-ltd.odoo.com/web" TargetMode="External"/><Relationship Id="rId2276" Type="http://schemas.openxmlformats.org/officeDocument/2006/relationships/hyperlink" Target="https://akshar-exim-company-pvt-ltd.odoo.com/web" TargetMode="External"/><Relationship Id="rId5303" Type="http://schemas.openxmlformats.org/officeDocument/2006/relationships/hyperlink" Target="https://akshar-exim-company-pvt-ltd.odoo.com/web" TargetMode="External"/><Relationship Id="rId355" Type="http://schemas.openxmlformats.org/officeDocument/2006/relationships/hyperlink" Target="mailto:aahilzee1979@gmail.com" TargetMode="External"/><Relationship Id="rId2277" Type="http://schemas.openxmlformats.org/officeDocument/2006/relationships/hyperlink" Target="https://akshar-exim-company-pvt-ltd.odoo.com/web" TargetMode="External"/><Relationship Id="rId5304" Type="http://schemas.openxmlformats.org/officeDocument/2006/relationships/hyperlink" Target="https://akshar-exim-company-pvt-ltd.odoo.com/web" TargetMode="External"/><Relationship Id="rId354" Type="http://schemas.openxmlformats.org/officeDocument/2006/relationships/hyperlink" Target="https://akshar-exim-company-pvt-ltd.odoo.com/web" TargetMode="External"/><Relationship Id="rId2278" Type="http://schemas.openxmlformats.org/officeDocument/2006/relationships/hyperlink" Target="https://akshar-exim-company-pvt-ltd.odoo.com/web" TargetMode="External"/><Relationship Id="rId5301" Type="http://schemas.openxmlformats.org/officeDocument/2006/relationships/hyperlink" Target="https://akshar-exim-company-pvt-ltd.odoo.com/web" TargetMode="External"/><Relationship Id="rId353" Type="http://schemas.openxmlformats.org/officeDocument/2006/relationships/hyperlink" Target="mailto:katariyagaurav57@gmail.com" TargetMode="External"/><Relationship Id="rId2279" Type="http://schemas.openxmlformats.org/officeDocument/2006/relationships/hyperlink" Target="https://akshar-exim-company-pvt-ltd.odoo.com/web" TargetMode="External"/><Relationship Id="rId5302" Type="http://schemas.openxmlformats.org/officeDocument/2006/relationships/hyperlink" Target="https://akshar-exim-company-pvt-ltd.odoo.com/web" TargetMode="External"/><Relationship Id="rId2225" Type="http://schemas.openxmlformats.org/officeDocument/2006/relationships/hyperlink" Target="https://akshar-exim-company-pvt-ltd.odoo.com/web" TargetMode="External"/><Relationship Id="rId3557" Type="http://schemas.openxmlformats.org/officeDocument/2006/relationships/hyperlink" Target="https://akshar-exim-company-pvt-ltd.odoo.com/web" TargetMode="External"/><Relationship Id="rId4888" Type="http://schemas.openxmlformats.org/officeDocument/2006/relationships/hyperlink" Target="https://akshar-exim-company-pvt-ltd.odoo.com/web" TargetMode="External"/><Relationship Id="rId2226" Type="http://schemas.openxmlformats.org/officeDocument/2006/relationships/hyperlink" Target="https://akshar-exim-company-pvt-ltd.odoo.com/web" TargetMode="External"/><Relationship Id="rId3556" Type="http://schemas.openxmlformats.org/officeDocument/2006/relationships/hyperlink" Target="mailto:guptapawankr@yahoo.co.in" TargetMode="External"/><Relationship Id="rId4887" Type="http://schemas.openxmlformats.org/officeDocument/2006/relationships/hyperlink" Target="https://akshar-exim-company-pvt-ltd.odoo.com/web" TargetMode="External"/><Relationship Id="rId2227" Type="http://schemas.openxmlformats.org/officeDocument/2006/relationships/hyperlink" Target="https://akshar-exim-company-pvt-ltd.odoo.com/web" TargetMode="External"/><Relationship Id="rId3559" Type="http://schemas.openxmlformats.org/officeDocument/2006/relationships/hyperlink" Target="https://akshar-exim-company-pvt-ltd.odoo.com/web" TargetMode="External"/><Relationship Id="rId2228" Type="http://schemas.openxmlformats.org/officeDocument/2006/relationships/hyperlink" Target="https://akshar-exim-company-pvt-ltd.odoo.com/web" TargetMode="External"/><Relationship Id="rId3558" Type="http://schemas.openxmlformats.org/officeDocument/2006/relationships/hyperlink" Target="https://akshar-exim-company-pvt-ltd.odoo.com/web" TargetMode="External"/><Relationship Id="rId4889" Type="http://schemas.openxmlformats.org/officeDocument/2006/relationships/hyperlink" Target="https://akshar-exim-company-pvt-ltd.odoo.com/web" TargetMode="External"/><Relationship Id="rId2229" Type="http://schemas.openxmlformats.org/officeDocument/2006/relationships/hyperlink" Target="https://akshar-exim-company-pvt-ltd.odoo.com/web" TargetMode="External"/><Relationship Id="rId305" Type="http://schemas.openxmlformats.org/officeDocument/2006/relationships/hyperlink" Target="https://akshar-exim-company-pvt-ltd.odoo.com/web" TargetMode="External"/><Relationship Id="rId304" Type="http://schemas.openxmlformats.org/officeDocument/2006/relationships/hyperlink" Target="https://akshar-exim-company-pvt-ltd.odoo.com/web" TargetMode="External"/><Relationship Id="rId303" Type="http://schemas.openxmlformats.org/officeDocument/2006/relationships/hyperlink" Target="https://akshar-exim-company-pvt-ltd.odoo.com/web" TargetMode="External"/><Relationship Id="rId302" Type="http://schemas.openxmlformats.org/officeDocument/2006/relationships/hyperlink" Target="mailto:sumonta143@gmail.com" TargetMode="External"/><Relationship Id="rId309" Type="http://schemas.openxmlformats.org/officeDocument/2006/relationships/hyperlink" Target="mailto:shanti_cement@rediffmail.com" TargetMode="External"/><Relationship Id="rId308" Type="http://schemas.openxmlformats.org/officeDocument/2006/relationships/hyperlink" Target="https://akshar-exim-company-pvt-ltd.odoo.com/web" TargetMode="External"/><Relationship Id="rId307" Type="http://schemas.openxmlformats.org/officeDocument/2006/relationships/hyperlink" Target="https://akshar-exim-company-pvt-ltd.odoo.com/web" TargetMode="External"/><Relationship Id="rId306" Type="http://schemas.openxmlformats.org/officeDocument/2006/relationships/hyperlink" Target="mailto:neelotpalmechanical@gmail.com" TargetMode="External"/><Relationship Id="rId4880" Type="http://schemas.openxmlformats.org/officeDocument/2006/relationships/hyperlink" Target="https://akshar-exim-company-pvt-ltd.odoo.com/web" TargetMode="External"/><Relationship Id="rId3551" Type="http://schemas.openxmlformats.org/officeDocument/2006/relationships/hyperlink" Target="https://akshar-exim-company-pvt-ltd.odoo.com/web" TargetMode="External"/><Relationship Id="rId4882" Type="http://schemas.openxmlformats.org/officeDocument/2006/relationships/hyperlink" Target="https://akshar-exim-company-pvt-ltd.odoo.com/web" TargetMode="External"/><Relationship Id="rId2220" Type="http://schemas.openxmlformats.org/officeDocument/2006/relationships/hyperlink" Target="https://akshar-exim-company-pvt-ltd.odoo.com/web" TargetMode="External"/><Relationship Id="rId3550" Type="http://schemas.openxmlformats.org/officeDocument/2006/relationships/hyperlink" Target="mailto:arkasahareal@gmail.com" TargetMode="External"/><Relationship Id="rId4881" Type="http://schemas.openxmlformats.org/officeDocument/2006/relationships/hyperlink" Target="https://akshar-exim-company-pvt-ltd.odoo.com/web" TargetMode="External"/><Relationship Id="rId301" Type="http://schemas.openxmlformats.org/officeDocument/2006/relationships/hyperlink" Target="https://akshar-exim-company-pvt-ltd.odoo.com/web" TargetMode="External"/><Relationship Id="rId2221" Type="http://schemas.openxmlformats.org/officeDocument/2006/relationships/hyperlink" Target="https://akshar-exim-company-pvt-ltd.odoo.com/web" TargetMode="External"/><Relationship Id="rId3553" Type="http://schemas.openxmlformats.org/officeDocument/2006/relationships/hyperlink" Target="https://akshar-exim-company-pvt-ltd.odoo.com/web" TargetMode="External"/><Relationship Id="rId4884" Type="http://schemas.openxmlformats.org/officeDocument/2006/relationships/hyperlink" Target="https://akshar-exim-company-pvt-ltd.odoo.com/web" TargetMode="External"/><Relationship Id="rId300" Type="http://schemas.openxmlformats.org/officeDocument/2006/relationships/hyperlink" Target="mailto:smajumdar1980@gmail.com" TargetMode="External"/><Relationship Id="rId2222" Type="http://schemas.openxmlformats.org/officeDocument/2006/relationships/hyperlink" Target="https://akshar-exim-company-pvt-ltd.odoo.com/web" TargetMode="External"/><Relationship Id="rId3552" Type="http://schemas.openxmlformats.org/officeDocument/2006/relationships/hyperlink" Target="mailto:joy_gh123@yahoo.com" TargetMode="External"/><Relationship Id="rId4883" Type="http://schemas.openxmlformats.org/officeDocument/2006/relationships/hyperlink" Target="https://akshar-exim-company-pvt-ltd.odoo.com/web" TargetMode="External"/><Relationship Id="rId2223" Type="http://schemas.openxmlformats.org/officeDocument/2006/relationships/hyperlink" Target="https://akshar-exim-company-pvt-ltd.odoo.com/web" TargetMode="External"/><Relationship Id="rId3555" Type="http://schemas.openxmlformats.org/officeDocument/2006/relationships/hyperlink" Target="https://akshar-exim-company-pvt-ltd.odoo.com/web" TargetMode="External"/><Relationship Id="rId4886" Type="http://schemas.openxmlformats.org/officeDocument/2006/relationships/hyperlink" Target="https://akshar-exim-company-pvt-ltd.odoo.com/web" TargetMode="External"/><Relationship Id="rId2224" Type="http://schemas.openxmlformats.org/officeDocument/2006/relationships/hyperlink" Target="https://akshar-exim-company-pvt-ltd.odoo.com/web" TargetMode="External"/><Relationship Id="rId3554" Type="http://schemas.openxmlformats.org/officeDocument/2006/relationships/hyperlink" Target="mailto:dipak.chitode77@gmail.com" TargetMode="External"/><Relationship Id="rId4885" Type="http://schemas.openxmlformats.org/officeDocument/2006/relationships/hyperlink" Target="https://akshar-exim-company-pvt-ltd.odoo.com/web" TargetMode="External"/><Relationship Id="rId2214" Type="http://schemas.openxmlformats.org/officeDocument/2006/relationships/hyperlink" Target="https://akshar-exim-company-pvt-ltd.odoo.com/web" TargetMode="External"/><Relationship Id="rId3546" Type="http://schemas.openxmlformats.org/officeDocument/2006/relationships/hyperlink" Target="mailto:purchase@chlorinagroup.com" TargetMode="External"/><Relationship Id="rId4877" Type="http://schemas.openxmlformats.org/officeDocument/2006/relationships/hyperlink" Target="https://akshar-exim-company-pvt-ltd.odoo.com/web" TargetMode="External"/><Relationship Id="rId2215" Type="http://schemas.openxmlformats.org/officeDocument/2006/relationships/hyperlink" Target="https://akshar-exim-company-pvt-ltd.odoo.com/web" TargetMode="External"/><Relationship Id="rId3545" Type="http://schemas.openxmlformats.org/officeDocument/2006/relationships/hyperlink" Target="https://akshar-exim-company-pvt-ltd.odoo.com/web" TargetMode="External"/><Relationship Id="rId4876" Type="http://schemas.openxmlformats.org/officeDocument/2006/relationships/hyperlink" Target="https://akshar-exim-company-pvt-ltd.odoo.com/web" TargetMode="External"/><Relationship Id="rId2216" Type="http://schemas.openxmlformats.org/officeDocument/2006/relationships/hyperlink" Target="https://akshar-exim-company-pvt-ltd.odoo.com/web" TargetMode="External"/><Relationship Id="rId3548" Type="http://schemas.openxmlformats.org/officeDocument/2006/relationships/hyperlink" Target="mailto:marketing.nichesolutions@gmail.com" TargetMode="External"/><Relationship Id="rId4879" Type="http://schemas.openxmlformats.org/officeDocument/2006/relationships/hyperlink" Target="https://akshar-exim-company-pvt-ltd.odoo.com/web" TargetMode="External"/><Relationship Id="rId2217" Type="http://schemas.openxmlformats.org/officeDocument/2006/relationships/hyperlink" Target="https://akshar-exim-company-pvt-ltd.odoo.com/web" TargetMode="External"/><Relationship Id="rId3547" Type="http://schemas.openxmlformats.org/officeDocument/2006/relationships/hyperlink" Target="https://akshar-exim-company-pvt-ltd.odoo.com/web" TargetMode="External"/><Relationship Id="rId4878" Type="http://schemas.openxmlformats.org/officeDocument/2006/relationships/hyperlink" Target="https://akshar-exim-company-pvt-ltd.odoo.com/web" TargetMode="External"/><Relationship Id="rId2218" Type="http://schemas.openxmlformats.org/officeDocument/2006/relationships/hyperlink" Target="https://akshar-exim-company-pvt-ltd.odoo.com/web" TargetMode="External"/><Relationship Id="rId2219" Type="http://schemas.openxmlformats.org/officeDocument/2006/relationships/hyperlink" Target="https://akshar-exim-company-pvt-ltd.odoo.com/web" TargetMode="External"/><Relationship Id="rId3549" Type="http://schemas.openxmlformats.org/officeDocument/2006/relationships/hyperlink" Target="https://akshar-exim-company-pvt-ltd.odoo.com/web" TargetMode="External"/><Relationship Id="rId3540" Type="http://schemas.openxmlformats.org/officeDocument/2006/relationships/hyperlink" Target="https://akshar-exim-company-pvt-ltd.odoo.com/web" TargetMode="External"/><Relationship Id="rId4871" Type="http://schemas.openxmlformats.org/officeDocument/2006/relationships/hyperlink" Target="https://akshar-exim-company-pvt-ltd.odoo.com/web" TargetMode="External"/><Relationship Id="rId4870" Type="http://schemas.openxmlformats.org/officeDocument/2006/relationships/hyperlink" Target="https://akshar-exim-company-pvt-ltd.odoo.com/web" TargetMode="External"/><Relationship Id="rId2210" Type="http://schemas.openxmlformats.org/officeDocument/2006/relationships/hyperlink" Target="https://akshar-exim-company-pvt-ltd.odoo.com/web" TargetMode="External"/><Relationship Id="rId3542" Type="http://schemas.openxmlformats.org/officeDocument/2006/relationships/hyperlink" Target="https://akshar-exim-company-pvt-ltd.odoo.com/web" TargetMode="External"/><Relationship Id="rId4873" Type="http://schemas.openxmlformats.org/officeDocument/2006/relationships/hyperlink" Target="https://akshar-exim-company-pvt-ltd.odoo.com/web" TargetMode="External"/><Relationship Id="rId2211" Type="http://schemas.openxmlformats.org/officeDocument/2006/relationships/hyperlink" Target="https://akshar-exim-company-pvt-ltd.odoo.com/web" TargetMode="External"/><Relationship Id="rId3541" Type="http://schemas.openxmlformats.org/officeDocument/2006/relationships/hyperlink" Target="mailto:hkb5253@yahoo.com" TargetMode="External"/><Relationship Id="rId4872" Type="http://schemas.openxmlformats.org/officeDocument/2006/relationships/hyperlink" Target="https://akshar-exim-company-pvt-ltd.odoo.com/web" TargetMode="External"/><Relationship Id="rId2212" Type="http://schemas.openxmlformats.org/officeDocument/2006/relationships/hyperlink" Target="https://akshar-exim-company-pvt-ltd.odoo.com/web" TargetMode="External"/><Relationship Id="rId3544" Type="http://schemas.openxmlformats.org/officeDocument/2006/relationships/hyperlink" Target="mailto:pritambgr@gmail.com" TargetMode="External"/><Relationship Id="rId4875" Type="http://schemas.openxmlformats.org/officeDocument/2006/relationships/hyperlink" Target="https://akshar-exim-company-pvt-ltd.odoo.com/web" TargetMode="External"/><Relationship Id="rId2213" Type="http://schemas.openxmlformats.org/officeDocument/2006/relationships/hyperlink" Target="https://akshar-exim-company-pvt-ltd.odoo.com/web" TargetMode="External"/><Relationship Id="rId3543" Type="http://schemas.openxmlformats.org/officeDocument/2006/relationships/hyperlink" Target="https://akshar-exim-company-pvt-ltd.odoo.com/web" TargetMode="External"/><Relationship Id="rId4874" Type="http://schemas.openxmlformats.org/officeDocument/2006/relationships/hyperlink" Target="https://akshar-exim-company-pvt-ltd.odoo.com/web" TargetMode="External"/><Relationship Id="rId2247" Type="http://schemas.openxmlformats.org/officeDocument/2006/relationships/hyperlink" Target="https://akshar-exim-company-pvt-ltd.odoo.com/web" TargetMode="External"/><Relationship Id="rId3579" Type="http://schemas.openxmlformats.org/officeDocument/2006/relationships/hyperlink" Target="https://akshar-exim-company-pvt-ltd.odoo.com/web" TargetMode="External"/><Relationship Id="rId2248" Type="http://schemas.openxmlformats.org/officeDocument/2006/relationships/hyperlink" Target="https://akshar-exim-company-pvt-ltd.odoo.com/web" TargetMode="External"/><Relationship Id="rId3578" Type="http://schemas.openxmlformats.org/officeDocument/2006/relationships/hyperlink" Target="mailto:www.hng@gmail.com" TargetMode="External"/><Relationship Id="rId2249" Type="http://schemas.openxmlformats.org/officeDocument/2006/relationships/hyperlink" Target="https://akshar-exim-company-pvt-ltd.odoo.com/web" TargetMode="External"/><Relationship Id="rId327" Type="http://schemas.openxmlformats.org/officeDocument/2006/relationships/hyperlink" Target="mailto:paramjeetsinghonline@gmail.com" TargetMode="External"/><Relationship Id="rId326" Type="http://schemas.openxmlformats.org/officeDocument/2006/relationships/hyperlink" Target="https://akshar-exim-company-pvt-ltd.odoo.com/web" TargetMode="External"/><Relationship Id="rId325" Type="http://schemas.openxmlformats.org/officeDocument/2006/relationships/hyperlink" Target="mailto:manishsethia123@gmail.com" TargetMode="External"/><Relationship Id="rId324" Type="http://schemas.openxmlformats.org/officeDocument/2006/relationships/hyperlink" Target="https://akshar-exim-company-pvt-ltd.odoo.com/web" TargetMode="External"/><Relationship Id="rId329" Type="http://schemas.openxmlformats.org/officeDocument/2006/relationships/hyperlink" Target="mailto:capricans@gmail.com" TargetMode="External"/><Relationship Id="rId328" Type="http://schemas.openxmlformats.org/officeDocument/2006/relationships/hyperlink" Target="https://akshar-exim-company-pvt-ltd.odoo.com/web" TargetMode="External"/><Relationship Id="rId3571" Type="http://schemas.openxmlformats.org/officeDocument/2006/relationships/hyperlink" Target="https://akshar-exim-company-pvt-ltd.odoo.com/web" TargetMode="External"/><Relationship Id="rId2240" Type="http://schemas.openxmlformats.org/officeDocument/2006/relationships/hyperlink" Target="https://akshar-exim-company-pvt-ltd.odoo.com/web" TargetMode="External"/><Relationship Id="rId3570" Type="http://schemas.openxmlformats.org/officeDocument/2006/relationships/hyperlink" Target="mailto:sudhir.flicker@gmail.com" TargetMode="External"/><Relationship Id="rId2241" Type="http://schemas.openxmlformats.org/officeDocument/2006/relationships/hyperlink" Target="https://akshar-exim-company-pvt-ltd.odoo.com/web" TargetMode="External"/><Relationship Id="rId3573" Type="http://schemas.openxmlformats.org/officeDocument/2006/relationships/hyperlink" Target="https://akshar-exim-company-pvt-ltd.odoo.com/web" TargetMode="External"/><Relationship Id="rId2242" Type="http://schemas.openxmlformats.org/officeDocument/2006/relationships/hyperlink" Target="https://akshar-exim-company-pvt-ltd.odoo.com/web" TargetMode="External"/><Relationship Id="rId3572" Type="http://schemas.openxmlformats.org/officeDocument/2006/relationships/hyperlink" Target="mailto:purchasebkudyog@gmail.com" TargetMode="External"/><Relationship Id="rId323" Type="http://schemas.openxmlformats.org/officeDocument/2006/relationships/hyperlink" Target="https://akshar-exim-company-pvt-ltd.odoo.com/web" TargetMode="External"/><Relationship Id="rId2243" Type="http://schemas.openxmlformats.org/officeDocument/2006/relationships/hyperlink" Target="https://akshar-exim-company-pvt-ltd.odoo.com/web" TargetMode="External"/><Relationship Id="rId3575" Type="http://schemas.openxmlformats.org/officeDocument/2006/relationships/hyperlink" Target="https://akshar-exim-company-pvt-ltd.odoo.com/web" TargetMode="External"/><Relationship Id="rId322" Type="http://schemas.openxmlformats.org/officeDocument/2006/relationships/hyperlink" Target="https://akshar-exim-company-pvt-ltd.odoo.com/web" TargetMode="External"/><Relationship Id="rId2244" Type="http://schemas.openxmlformats.org/officeDocument/2006/relationships/hyperlink" Target="https://akshar-exim-company-pvt-ltd.odoo.com/web" TargetMode="External"/><Relationship Id="rId3574" Type="http://schemas.openxmlformats.org/officeDocument/2006/relationships/hyperlink" Target="mailto:elyziuminterior@gmail.com" TargetMode="External"/><Relationship Id="rId321" Type="http://schemas.openxmlformats.org/officeDocument/2006/relationships/hyperlink" Target="https://akshar-exim-company-pvt-ltd.odoo.com/web" TargetMode="External"/><Relationship Id="rId2245" Type="http://schemas.openxmlformats.org/officeDocument/2006/relationships/hyperlink" Target="https://akshar-exim-company-pvt-ltd.odoo.com/web" TargetMode="External"/><Relationship Id="rId3577" Type="http://schemas.openxmlformats.org/officeDocument/2006/relationships/hyperlink" Target="https://akshar-exim-company-pvt-ltd.odoo.com/web" TargetMode="External"/><Relationship Id="rId320" Type="http://schemas.openxmlformats.org/officeDocument/2006/relationships/hyperlink" Target="mailto:issc_bbsr@rediffmail.com" TargetMode="External"/><Relationship Id="rId2246" Type="http://schemas.openxmlformats.org/officeDocument/2006/relationships/hyperlink" Target="https://akshar-exim-company-pvt-ltd.odoo.com/web" TargetMode="External"/><Relationship Id="rId3576" Type="http://schemas.openxmlformats.org/officeDocument/2006/relationships/hyperlink" Target="mailto:ranakrishhnabhowmick@gmail.com" TargetMode="External"/><Relationship Id="rId2236" Type="http://schemas.openxmlformats.org/officeDocument/2006/relationships/hyperlink" Target="https://akshar-exim-company-pvt-ltd.odoo.com/web" TargetMode="External"/><Relationship Id="rId3568" Type="http://schemas.openxmlformats.org/officeDocument/2006/relationships/hyperlink" Target="mailto:manojswarnkar83855@gmail.com" TargetMode="External"/><Relationship Id="rId4899" Type="http://schemas.openxmlformats.org/officeDocument/2006/relationships/hyperlink" Target="https://akshar-exim-company-pvt-ltd.odoo.com/web" TargetMode="External"/><Relationship Id="rId2237" Type="http://schemas.openxmlformats.org/officeDocument/2006/relationships/hyperlink" Target="https://akshar-exim-company-pvt-ltd.odoo.com/web" TargetMode="External"/><Relationship Id="rId3567" Type="http://schemas.openxmlformats.org/officeDocument/2006/relationships/hyperlink" Target="https://akshar-exim-company-pvt-ltd.odoo.com/web" TargetMode="External"/><Relationship Id="rId4898" Type="http://schemas.openxmlformats.org/officeDocument/2006/relationships/hyperlink" Target="https://akshar-exim-company-pvt-ltd.odoo.com/web" TargetMode="External"/><Relationship Id="rId2238" Type="http://schemas.openxmlformats.org/officeDocument/2006/relationships/hyperlink" Target="https://akshar-exim-company-pvt-ltd.odoo.com/web" TargetMode="External"/><Relationship Id="rId2239" Type="http://schemas.openxmlformats.org/officeDocument/2006/relationships/hyperlink" Target="https://akshar-exim-company-pvt-ltd.odoo.com/web" TargetMode="External"/><Relationship Id="rId3569" Type="http://schemas.openxmlformats.org/officeDocument/2006/relationships/hyperlink" Target="https://akshar-exim-company-pvt-ltd.odoo.com/web" TargetMode="External"/><Relationship Id="rId316" Type="http://schemas.openxmlformats.org/officeDocument/2006/relationships/hyperlink" Target="mailto:anayak@everestind.com" TargetMode="External"/><Relationship Id="rId315" Type="http://schemas.openxmlformats.org/officeDocument/2006/relationships/hyperlink" Target="https://akshar-exim-company-pvt-ltd.odoo.com/web" TargetMode="External"/><Relationship Id="rId314" Type="http://schemas.openxmlformats.org/officeDocument/2006/relationships/hyperlink" Target="mailto:sudipchakraborty158@gmail.com" TargetMode="External"/><Relationship Id="rId313" Type="http://schemas.openxmlformats.org/officeDocument/2006/relationships/hyperlink" Target="https://akshar-exim-company-pvt-ltd.odoo.com/web" TargetMode="External"/><Relationship Id="rId319" Type="http://schemas.openxmlformats.org/officeDocument/2006/relationships/hyperlink" Target="https://akshar-exim-company-pvt-ltd.odoo.com/web" TargetMode="External"/><Relationship Id="rId318" Type="http://schemas.openxmlformats.org/officeDocument/2006/relationships/hyperlink" Target="mailto:pranabgiri@starcement.co.in" TargetMode="External"/><Relationship Id="rId317" Type="http://schemas.openxmlformats.org/officeDocument/2006/relationships/hyperlink" Target="https://akshar-exim-company-pvt-ltd.odoo.com/web" TargetMode="External"/><Relationship Id="rId3560" Type="http://schemas.openxmlformats.org/officeDocument/2006/relationships/hyperlink" Target="https://akshar-exim-company-pvt-ltd.odoo.com/web" TargetMode="External"/><Relationship Id="rId4891" Type="http://schemas.openxmlformats.org/officeDocument/2006/relationships/hyperlink" Target="https://akshar-exim-company-pvt-ltd.odoo.com/web" TargetMode="External"/><Relationship Id="rId4890" Type="http://schemas.openxmlformats.org/officeDocument/2006/relationships/hyperlink" Target="https://akshar-exim-company-pvt-ltd.odoo.com/web" TargetMode="External"/><Relationship Id="rId2230" Type="http://schemas.openxmlformats.org/officeDocument/2006/relationships/hyperlink" Target="https://akshar-exim-company-pvt-ltd.odoo.com/web" TargetMode="External"/><Relationship Id="rId3562" Type="http://schemas.openxmlformats.org/officeDocument/2006/relationships/hyperlink" Target="mailto:cmaanandagarwal@gmail.com" TargetMode="External"/><Relationship Id="rId4893" Type="http://schemas.openxmlformats.org/officeDocument/2006/relationships/hyperlink" Target="https://akshar-exim-company-pvt-ltd.odoo.com/web" TargetMode="External"/><Relationship Id="rId2231" Type="http://schemas.openxmlformats.org/officeDocument/2006/relationships/hyperlink" Target="https://akshar-exim-company-pvt-ltd.odoo.com/web" TargetMode="External"/><Relationship Id="rId3561" Type="http://schemas.openxmlformats.org/officeDocument/2006/relationships/hyperlink" Target="https://akshar-exim-company-pvt-ltd.odoo.com/web" TargetMode="External"/><Relationship Id="rId4892" Type="http://schemas.openxmlformats.org/officeDocument/2006/relationships/hyperlink" Target="https://akshar-exim-company-pvt-ltd.odoo.com/web" TargetMode="External"/><Relationship Id="rId312" Type="http://schemas.openxmlformats.org/officeDocument/2006/relationships/hyperlink" Target="mailto:noorislambaidya@gmail.com" TargetMode="External"/><Relationship Id="rId2232" Type="http://schemas.openxmlformats.org/officeDocument/2006/relationships/hyperlink" Target="https://akshar-exim-company-pvt-ltd.odoo.com/web" TargetMode="External"/><Relationship Id="rId3564" Type="http://schemas.openxmlformats.org/officeDocument/2006/relationships/hyperlink" Target="mailto:sahad1966@gmail.com" TargetMode="External"/><Relationship Id="rId4895" Type="http://schemas.openxmlformats.org/officeDocument/2006/relationships/hyperlink" Target="https://akshar-exim-company-pvt-ltd.odoo.com/web" TargetMode="External"/><Relationship Id="rId311" Type="http://schemas.openxmlformats.org/officeDocument/2006/relationships/hyperlink" Target="https://akshar-exim-company-pvt-ltd.odoo.com/web" TargetMode="External"/><Relationship Id="rId2233" Type="http://schemas.openxmlformats.org/officeDocument/2006/relationships/hyperlink" Target="https://akshar-exim-company-pvt-ltd.odoo.com/web" TargetMode="External"/><Relationship Id="rId3563" Type="http://schemas.openxmlformats.org/officeDocument/2006/relationships/hyperlink" Target="https://akshar-exim-company-pvt-ltd.odoo.com/web" TargetMode="External"/><Relationship Id="rId4894" Type="http://schemas.openxmlformats.org/officeDocument/2006/relationships/hyperlink" Target="https://akshar-exim-company-pvt-ltd.odoo.com/web" TargetMode="External"/><Relationship Id="rId310" Type="http://schemas.openxmlformats.org/officeDocument/2006/relationships/hyperlink" Target="https://akshar-exim-company-pvt-ltd.odoo.com/web" TargetMode="External"/><Relationship Id="rId2234" Type="http://schemas.openxmlformats.org/officeDocument/2006/relationships/hyperlink" Target="https://akshar-exim-company-pvt-ltd.odoo.com/web" TargetMode="External"/><Relationship Id="rId3566" Type="http://schemas.openxmlformats.org/officeDocument/2006/relationships/hyperlink" Target="mailto:asits4421@gmail.com" TargetMode="External"/><Relationship Id="rId4897" Type="http://schemas.openxmlformats.org/officeDocument/2006/relationships/hyperlink" Target="https://akshar-exim-company-pvt-ltd.odoo.com/web" TargetMode="External"/><Relationship Id="rId2235" Type="http://schemas.openxmlformats.org/officeDocument/2006/relationships/hyperlink" Target="https://akshar-exim-company-pvt-ltd.odoo.com/web" TargetMode="External"/><Relationship Id="rId3565" Type="http://schemas.openxmlformats.org/officeDocument/2006/relationships/hyperlink" Target="https://akshar-exim-company-pvt-ltd.odoo.com/web" TargetMode="External"/><Relationship Id="rId4896" Type="http://schemas.openxmlformats.org/officeDocument/2006/relationships/hyperlink" Target="https://akshar-exim-company-pvt-ltd.odoo.com/web" TargetMode="External"/><Relationship Id="rId4040" Type="http://schemas.openxmlformats.org/officeDocument/2006/relationships/hyperlink" Target="https://akshar-exim-company-pvt-ltd.odoo.com/web" TargetMode="External"/><Relationship Id="rId4042" Type="http://schemas.openxmlformats.org/officeDocument/2006/relationships/hyperlink" Target="mailto:muklesur.rm094@gmail.com" TargetMode="External"/><Relationship Id="rId4041" Type="http://schemas.openxmlformats.org/officeDocument/2006/relationships/hyperlink" Target="https://akshar-exim-company-pvt-ltd.odoo.com/web" TargetMode="External"/><Relationship Id="rId4044" Type="http://schemas.openxmlformats.org/officeDocument/2006/relationships/hyperlink" Target="mailto:najibulali200@gmail.com" TargetMode="External"/><Relationship Id="rId4043" Type="http://schemas.openxmlformats.org/officeDocument/2006/relationships/hyperlink" Target="https://akshar-exim-company-pvt-ltd.odoo.com/web" TargetMode="External"/><Relationship Id="rId4046" Type="http://schemas.openxmlformats.org/officeDocument/2006/relationships/hyperlink" Target="mailto:liton9854@gmail.com" TargetMode="External"/><Relationship Id="rId4045" Type="http://schemas.openxmlformats.org/officeDocument/2006/relationships/hyperlink" Target="https://akshar-exim-company-pvt-ltd.odoo.com/web" TargetMode="External"/><Relationship Id="rId4048" Type="http://schemas.openxmlformats.org/officeDocument/2006/relationships/hyperlink" Target="mailto:rajpatra77@gmail.com" TargetMode="External"/><Relationship Id="rId4047" Type="http://schemas.openxmlformats.org/officeDocument/2006/relationships/hyperlink" Target="https://akshar-exim-company-pvt-ltd.odoo.com/web" TargetMode="External"/><Relationship Id="rId4049" Type="http://schemas.openxmlformats.org/officeDocument/2006/relationships/hyperlink" Target="https://akshar-exim-company-pvt-ltd.odoo.com/web" TargetMode="External"/><Relationship Id="rId4031" Type="http://schemas.openxmlformats.org/officeDocument/2006/relationships/hyperlink" Target="https://akshar-exim-company-pvt-ltd.odoo.com/web" TargetMode="External"/><Relationship Id="rId4030" Type="http://schemas.openxmlformats.org/officeDocument/2006/relationships/hyperlink" Target="mailto:nareshkumar.chemist@gmail.com" TargetMode="External"/><Relationship Id="rId297" Type="http://schemas.openxmlformats.org/officeDocument/2006/relationships/hyperlink" Target="https://akshar-exim-company-pvt-ltd.odoo.com/web" TargetMode="External"/><Relationship Id="rId4033" Type="http://schemas.openxmlformats.org/officeDocument/2006/relationships/hyperlink" Target="https://akshar-exim-company-pvt-ltd.odoo.com/web" TargetMode="External"/><Relationship Id="rId296" Type="http://schemas.openxmlformats.org/officeDocument/2006/relationships/hyperlink" Target="mailto:akashmondal1990a@gmail.com" TargetMode="External"/><Relationship Id="rId4032" Type="http://schemas.openxmlformats.org/officeDocument/2006/relationships/hyperlink" Target="mailto:anandp@ashapura.com" TargetMode="External"/><Relationship Id="rId295" Type="http://schemas.openxmlformats.org/officeDocument/2006/relationships/hyperlink" Target="https://akshar-exim-company-pvt-ltd.odoo.com/web" TargetMode="External"/><Relationship Id="rId4035" Type="http://schemas.openxmlformats.org/officeDocument/2006/relationships/hyperlink" Target="https://akshar-exim-company-pvt-ltd.odoo.com/web" TargetMode="External"/><Relationship Id="rId294" Type="http://schemas.openxmlformats.org/officeDocument/2006/relationships/hyperlink" Target="mailto:prabir.param@gmail.com" TargetMode="External"/><Relationship Id="rId4034" Type="http://schemas.openxmlformats.org/officeDocument/2006/relationships/hyperlink" Target="mailto:shiwpdsshaw@gmail.com" TargetMode="External"/><Relationship Id="rId4037" Type="http://schemas.openxmlformats.org/officeDocument/2006/relationships/hyperlink" Target="https://akshar-exim-company-pvt-ltd.odoo.com/web" TargetMode="External"/><Relationship Id="rId4036" Type="http://schemas.openxmlformats.org/officeDocument/2006/relationships/hyperlink" Target="mailto:psahu524@gmail.com" TargetMode="External"/><Relationship Id="rId299" Type="http://schemas.openxmlformats.org/officeDocument/2006/relationships/hyperlink" Target="https://akshar-exim-company-pvt-ltd.odoo.com/web" TargetMode="External"/><Relationship Id="rId4039" Type="http://schemas.openxmlformats.org/officeDocument/2006/relationships/hyperlink" Target="https://akshar-exim-company-pvt-ltd.odoo.com/web" TargetMode="External"/><Relationship Id="rId298" Type="http://schemas.openxmlformats.org/officeDocument/2006/relationships/hyperlink" Target="https://akshar-exim-company-pvt-ltd.odoo.com/web" TargetMode="External"/><Relationship Id="rId4038" Type="http://schemas.openxmlformats.org/officeDocument/2006/relationships/hyperlink" Target="mailto:supremechems21@gmail.com" TargetMode="External"/><Relationship Id="rId4060" Type="http://schemas.openxmlformats.org/officeDocument/2006/relationships/hyperlink" Target="https://akshar-exim-company-pvt-ltd.odoo.com/web" TargetMode="External"/><Relationship Id="rId4062" Type="http://schemas.openxmlformats.org/officeDocument/2006/relationships/hyperlink" Target="https://akshar-exim-company-pvt-ltd.odoo.com/web" TargetMode="External"/><Relationship Id="rId4061" Type="http://schemas.openxmlformats.org/officeDocument/2006/relationships/hyperlink" Target="mailto:chempure54@gmail.com" TargetMode="External"/><Relationship Id="rId4064" Type="http://schemas.openxmlformats.org/officeDocument/2006/relationships/hyperlink" Target="https://akshar-exim-company-pvt-ltd.odoo.com/web" TargetMode="External"/><Relationship Id="rId4063" Type="http://schemas.openxmlformats.org/officeDocument/2006/relationships/hyperlink" Target="mailto:anishxiaomi@gmail.com" TargetMode="External"/><Relationship Id="rId4066" Type="http://schemas.openxmlformats.org/officeDocument/2006/relationships/hyperlink" Target="mailto:mukherjee.biplab75@gmail.com" TargetMode="External"/><Relationship Id="rId4065" Type="http://schemas.openxmlformats.org/officeDocument/2006/relationships/hyperlink" Target="https://akshar-exim-company-pvt-ltd.odoo.com/web" TargetMode="External"/><Relationship Id="rId4068" Type="http://schemas.openxmlformats.org/officeDocument/2006/relationships/hyperlink" Target="mailto:chaiitanyaabhosaley@gmail.com" TargetMode="External"/><Relationship Id="rId4067" Type="http://schemas.openxmlformats.org/officeDocument/2006/relationships/hyperlink" Target="https://akshar-exim-company-pvt-ltd.odoo.com/web" TargetMode="External"/><Relationship Id="rId4069" Type="http://schemas.openxmlformats.org/officeDocument/2006/relationships/hyperlink" Target="https://akshar-exim-company-pvt-ltd.odoo.com/web" TargetMode="External"/><Relationship Id="rId4051" Type="http://schemas.openxmlformats.org/officeDocument/2006/relationships/hyperlink" Target="https://akshar-exim-company-pvt-ltd.odoo.com/web" TargetMode="External"/><Relationship Id="rId4050" Type="http://schemas.openxmlformats.org/officeDocument/2006/relationships/hyperlink" Target="mailto:nishaherbalp@gmail.com" TargetMode="External"/><Relationship Id="rId4053" Type="http://schemas.openxmlformats.org/officeDocument/2006/relationships/hyperlink" Target="https://akshar-exim-company-pvt-ltd.odoo.com/web" TargetMode="External"/><Relationship Id="rId4052" Type="http://schemas.openxmlformats.org/officeDocument/2006/relationships/hyperlink" Target="https://akshar-exim-company-pvt-ltd.odoo.com/web" TargetMode="External"/><Relationship Id="rId4055" Type="http://schemas.openxmlformats.org/officeDocument/2006/relationships/hyperlink" Target="mailto:paro.mom09@gmail.com" TargetMode="External"/><Relationship Id="rId4054" Type="http://schemas.openxmlformats.org/officeDocument/2006/relationships/hyperlink" Target="https://akshar-exim-company-pvt-ltd.odoo.com/web" TargetMode="External"/><Relationship Id="rId4057" Type="http://schemas.openxmlformats.org/officeDocument/2006/relationships/hyperlink" Target="https://akshar-exim-company-pvt-ltd.odoo.com/web" TargetMode="External"/><Relationship Id="rId4056" Type="http://schemas.openxmlformats.org/officeDocument/2006/relationships/hyperlink" Target="https://akshar-exim-company-pvt-ltd.odoo.com/web" TargetMode="External"/><Relationship Id="rId4059" Type="http://schemas.openxmlformats.org/officeDocument/2006/relationships/hyperlink" Target="https://akshar-exim-company-pvt-ltd.odoo.com/web" TargetMode="External"/><Relationship Id="rId4058" Type="http://schemas.openxmlformats.org/officeDocument/2006/relationships/hyperlink" Target="https://akshar-exim-company-pvt-ltd.odoo.com/web" TargetMode="External"/><Relationship Id="rId4008" Type="http://schemas.openxmlformats.org/officeDocument/2006/relationships/hyperlink" Target="https://akshar-exim-company-pvt-ltd.odoo.com/web" TargetMode="External"/><Relationship Id="rId4007" Type="http://schemas.openxmlformats.org/officeDocument/2006/relationships/hyperlink" Target="mailto:goyalenterpriseslive@gmail.com" TargetMode="External"/><Relationship Id="rId4009" Type="http://schemas.openxmlformats.org/officeDocument/2006/relationships/hyperlink" Target="mailto:rohanagarwal2412@gmail.com" TargetMode="External"/><Relationship Id="rId271" Type="http://schemas.openxmlformats.org/officeDocument/2006/relationships/hyperlink" Target="https://akshar-exim-company-pvt-ltd.odoo.com/web" TargetMode="External"/><Relationship Id="rId270" Type="http://schemas.openxmlformats.org/officeDocument/2006/relationships/hyperlink" Target="https://akshar-exim-company-pvt-ltd.odoo.com/web" TargetMode="External"/><Relationship Id="rId269" Type="http://schemas.openxmlformats.org/officeDocument/2006/relationships/hyperlink" Target="mailto:pateldanish266@gmail.com" TargetMode="External"/><Relationship Id="rId264" Type="http://schemas.openxmlformats.org/officeDocument/2006/relationships/hyperlink" Target="https://akshar-exim-company-pvt-ltd.odoo.com/web" TargetMode="External"/><Relationship Id="rId4000" Type="http://schemas.openxmlformats.org/officeDocument/2006/relationships/hyperlink" Target="mailto:surojits869@gmail.com" TargetMode="External"/><Relationship Id="rId263" Type="http://schemas.openxmlformats.org/officeDocument/2006/relationships/hyperlink" Target="mailto:rkconstructionak@gmail.com" TargetMode="External"/><Relationship Id="rId262" Type="http://schemas.openxmlformats.org/officeDocument/2006/relationships/hyperlink" Target="https://akshar-exim-company-pvt-ltd.odoo.com/web" TargetMode="External"/><Relationship Id="rId4002" Type="http://schemas.openxmlformats.org/officeDocument/2006/relationships/hyperlink" Target="https://akshar-exim-company-pvt-ltd.odoo.com/web" TargetMode="External"/><Relationship Id="rId5330" Type="http://schemas.openxmlformats.org/officeDocument/2006/relationships/drawing" Target="../drawings/drawing1.xml"/><Relationship Id="rId261" Type="http://schemas.openxmlformats.org/officeDocument/2006/relationships/hyperlink" Target="https://akshar-exim-company-pvt-ltd.odoo.com/web" TargetMode="External"/><Relationship Id="rId4001" Type="http://schemas.openxmlformats.org/officeDocument/2006/relationships/hyperlink" Target="https://akshar-exim-company-pvt-ltd.odoo.com/web" TargetMode="External"/><Relationship Id="rId5331" Type="http://schemas.openxmlformats.org/officeDocument/2006/relationships/vmlDrawing" Target="../drawings/vmlDrawing1.vml"/><Relationship Id="rId268" Type="http://schemas.openxmlformats.org/officeDocument/2006/relationships/hyperlink" Target="https://akshar-exim-company-pvt-ltd.odoo.com/web" TargetMode="External"/><Relationship Id="rId4004" Type="http://schemas.openxmlformats.org/officeDocument/2006/relationships/hyperlink" Target="https://akshar-exim-company-pvt-ltd.odoo.com/web" TargetMode="External"/><Relationship Id="rId267" Type="http://schemas.openxmlformats.org/officeDocument/2006/relationships/hyperlink" Target="https://akshar-exim-company-pvt-ltd.odoo.com/web" TargetMode="External"/><Relationship Id="rId4003" Type="http://schemas.openxmlformats.org/officeDocument/2006/relationships/hyperlink" Target="mailto:capt.dheerajk@gmail.com" TargetMode="External"/><Relationship Id="rId266" Type="http://schemas.openxmlformats.org/officeDocument/2006/relationships/hyperlink" Target="https://akshar-exim-company-pvt-ltd.odoo.com/web" TargetMode="External"/><Relationship Id="rId4006" Type="http://schemas.openxmlformats.org/officeDocument/2006/relationships/hyperlink" Target="https://akshar-exim-company-pvt-ltd.odoo.com/web" TargetMode="External"/><Relationship Id="rId265" Type="http://schemas.openxmlformats.org/officeDocument/2006/relationships/hyperlink" Target="mailto:purchase@yummyfoods.co.in" TargetMode="External"/><Relationship Id="rId4005" Type="http://schemas.openxmlformats.org/officeDocument/2006/relationships/hyperlink" Target="https://akshar-exim-company-pvt-ltd.odoo.com/web" TargetMode="External"/><Relationship Id="rId5329" Type="http://schemas.openxmlformats.org/officeDocument/2006/relationships/hyperlink" Target="https://akshar-exim-company-pvt-ltd.odoo.com/web" TargetMode="External"/><Relationship Id="rId5327" Type="http://schemas.openxmlformats.org/officeDocument/2006/relationships/hyperlink" Target="https://akshar-exim-company-pvt-ltd.odoo.com/web" TargetMode="External"/><Relationship Id="rId5328" Type="http://schemas.openxmlformats.org/officeDocument/2006/relationships/hyperlink" Target="https://akshar-exim-company-pvt-ltd.odoo.com/web" TargetMode="External"/><Relationship Id="rId260" Type="http://schemas.openxmlformats.org/officeDocument/2006/relationships/hyperlink" Target="mailto:yvnreddy.yvn@gmail.com" TargetMode="External"/><Relationship Id="rId259" Type="http://schemas.openxmlformats.org/officeDocument/2006/relationships/hyperlink" Target="https://akshar-exim-company-pvt-ltd.odoo.com/web" TargetMode="External"/><Relationship Id="rId258" Type="http://schemas.openxmlformats.org/officeDocument/2006/relationships/hyperlink" Target="https://akshar-exim-company-pvt-ltd.odoo.com/web" TargetMode="External"/><Relationship Id="rId2290" Type="http://schemas.openxmlformats.org/officeDocument/2006/relationships/hyperlink" Target="https://akshar-exim-company-pvt-ltd.odoo.com/web" TargetMode="External"/><Relationship Id="rId2291" Type="http://schemas.openxmlformats.org/officeDocument/2006/relationships/hyperlink" Target="https://akshar-exim-company-pvt-ltd.odoo.com/web" TargetMode="External"/><Relationship Id="rId2292" Type="http://schemas.openxmlformats.org/officeDocument/2006/relationships/hyperlink" Target="https://akshar-exim-company-pvt-ltd.odoo.com/web" TargetMode="External"/><Relationship Id="rId2293" Type="http://schemas.openxmlformats.org/officeDocument/2006/relationships/hyperlink" Target="https://akshar-exim-company-pvt-ltd.odoo.com/web" TargetMode="External"/><Relationship Id="rId253" Type="http://schemas.openxmlformats.org/officeDocument/2006/relationships/hyperlink" Target="mailto:kolkata.office20@gmail.com" TargetMode="External"/><Relationship Id="rId2294" Type="http://schemas.openxmlformats.org/officeDocument/2006/relationships/hyperlink" Target="https://akshar-exim-company-pvt-ltd.odoo.com/web" TargetMode="External"/><Relationship Id="rId5321" Type="http://schemas.openxmlformats.org/officeDocument/2006/relationships/hyperlink" Target="https://akshar-exim-company-pvt-ltd.odoo.com/web" TargetMode="External"/><Relationship Id="rId252" Type="http://schemas.openxmlformats.org/officeDocument/2006/relationships/hyperlink" Target="https://akshar-exim-company-pvt-ltd.odoo.com/web" TargetMode="External"/><Relationship Id="rId2295" Type="http://schemas.openxmlformats.org/officeDocument/2006/relationships/hyperlink" Target="https://akshar-exim-company-pvt-ltd.odoo.com/web" TargetMode="External"/><Relationship Id="rId5322" Type="http://schemas.openxmlformats.org/officeDocument/2006/relationships/hyperlink" Target="https://akshar-exim-company-pvt-ltd.odoo.com/web" TargetMode="External"/><Relationship Id="rId251" Type="http://schemas.openxmlformats.org/officeDocument/2006/relationships/hyperlink" Target="https://akshar-exim-company-pvt-ltd.odoo.com/web" TargetMode="External"/><Relationship Id="rId2296" Type="http://schemas.openxmlformats.org/officeDocument/2006/relationships/hyperlink" Target="https://akshar-exim-company-pvt-ltd.odoo.com/web" TargetMode="External"/><Relationship Id="rId250" Type="http://schemas.openxmlformats.org/officeDocument/2006/relationships/hyperlink" Target="https://akshar-exim-company-pvt-ltd.odoo.com/web" TargetMode="External"/><Relationship Id="rId2297" Type="http://schemas.openxmlformats.org/officeDocument/2006/relationships/hyperlink" Target="https://akshar-exim-company-pvt-ltd.odoo.com/web" TargetMode="External"/><Relationship Id="rId5320" Type="http://schemas.openxmlformats.org/officeDocument/2006/relationships/hyperlink" Target="https://akshar-exim-company-pvt-ltd.odoo.com/web" TargetMode="External"/><Relationship Id="rId257" Type="http://schemas.openxmlformats.org/officeDocument/2006/relationships/hyperlink" Target="mailto:sumit.rvci@gmail.com" TargetMode="External"/><Relationship Id="rId2298" Type="http://schemas.openxmlformats.org/officeDocument/2006/relationships/hyperlink" Target="https://akshar-exim-company-pvt-ltd.odoo.com/web" TargetMode="External"/><Relationship Id="rId5325" Type="http://schemas.openxmlformats.org/officeDocument/2006/relationships/hyperlink" Target="https://akshar-exim-company-pvt-ltd.odoo.com/web" TargetMode="External"/><Relationship Id="rId256" Type="http://schemas.openxmlformats.org/officeDocument/2006/relationships/hyperlink" Target="https://akshar-exim-company-pvt-ltd.odoo.com/web" TargetMode="External"/><Relationship Id="rId2299" Type="http://schemas.openxmlformats.org/officeDocument/2006/relationships/hyperlink" Target="https://akshar-exim-company-pvt-ltd.odoo.com/web" TargetMode="External"/><Relationship Id="rId5326" Type="http://schemas.openxmlformats.org/officeDocument/2006/relationships/hyperlink" Target="https://akshar-exim-company-pvt-ltd.odoo.com/web" TargetMode="External"/><Relationship Id="rId255" Type="http://schemas.openxmlformats.org/officeDocument/2006/relationships/hyperlink" Target="https://akshar-exim-company-pvt-ltd.odoo.com/web" TargetMode="External"/><Relationship Id="rId5323" Type="http://schemas.openxmlformats.org/officeDocument/2006/relationships/hyperlink" Target="https://akshar-exim-company-pvt-ltd.odoo.com/web" TargetMode="External"/><Relationship Id="rId254" Type="http://schemas.openxmlformats.org/officeDocument/2006/relationships/hyperlink" Target="https://akshar-exim-company-pvt-ltd.odoo.com/web" TargetMode="External"/><Relationship Id="rId5324" Type="http://schemas.openxmlformats.org/officeDocument/2006/relationships/hyperlink" Target="https://akshar-exim-company-pvt-ltd.odoo.com/web" TargetMode="External"/><Relationship Id="rId4029" Type="http://schemas.openxmlformats.org/officeDocument/2006/relationships/hyperlink" Target="https://akshar-exim-company-pvt-ltd.odoo.com/web" TargetMode="External"/><Relationship Id="rId293" Type="http://schemas.openxmlformats.org/officeDocument/2006/relationships/hyperlink" Target="https://akshar-exim-company-pvt-ltd.odoo.com/web" TargetMode="External"/><Relationship Id="rId292" Type="http://schemas.openxmlformats.org/officeDocument/2006/relationships/hyperlink" Target="mailto:nbbeverage@gmail.com" TargetMode="External"/><Relationship Id="rId291" Type="http://schemas.openxmlformats.org/officeDocument/2006/relationships/hyperlink" Target="https://akshar-exim-company-pvt-ltd.odoo.com/web" TargetMode="External"/><Relationship Id="rId290" Type="http://schemas.openxmlformats.org/officeDocument/2006/relationships/hyperlink" Target="https://akshar-exim-company-pvt-ltd.odoo.com/web" TargetMode="External"/><Relationship Id="rId4020" Type="http://schemas.openxmlformats.org/officeDocument/2006/relationships/hyperlink" Target="https://akshar-exim-company-pvt-ltd.odoo.com/web" TargetMode="External"/><Relationship Id="rId286" Type="http://schemas.openxmlformats.org/officeDocument/2006/relationships/hyperlink" Target="https://akshar-exim-company-pvt-ltd.odoo.com/web" TargetMode="External"/><Relationship Id="rId4022" Type="http://schemas.openxmlformats.org/officeDocument/2006/relationships/hyperlink" Target="https://akshar-exim-company-pvt-ltd.odoo.com/web" TargetMode="External"/><Relationship Id="rId285" Type="http://schemas.openxmlformats.org/officeDocument/2006/relationships/hyperlink" Target="https://akshar-exim-company-pvt-ltd.odoo.com/web" TargetMode="External"/><Relationship Id="rId4021" Type="http://schemas.openxmlformats.org/officeDocument/2006/relationships/hyperlink" Target="https://akshar-exim-company-pvt-ltd.odoo.com/web" TargetMode="External"/><Relationship Id="rId284" Type="http://schemas.openxmlformats.org/officeDocument/2006/relationships/hyperlink" Target="https://akshar-exim-company-pvt-ltd.odoo.com/web" TargetMode="External"/><Relationship Id="rId4024" Type="http://schemas.openxmlformats.org/officeDocument/2006/relationships/hyperlink" Target="https://akshar-exim-company-pvt-ltd.odoo.com/web" TargetMode="External"/><Relationship Id="rId283" Type="http://schemas.openxmlformats.org/officeDocument/2006/relationships/hyperlink" Target="https://akshar-exim-company-pvt-ltd.odoo.com/web" TargetMode="External"/><Relationship Id="rId4023" Type="http://schemas.openxmlformats.org/officeDocument/2006/relationships/hyperlink" Target="mailto:jiteshsanechem@gmail.com" TargetMode="External"/><Relationship Id="rId4026" Type="http://schemas.openxmlformats.org/officeDocument/2006/relationships/hyperlink" Target="mailto:mahaleprashant111@gmail.com" TargetMode="External"/><Relationship Id="rId289" Type="http://schemas.openxmlformats.org/officeDocument/2006/relationships/hyperlink" Target="mailto:bhabanishankar1984@gmail.com" TargetMode="External"/><Relationship Id="rId4025" Type="http://schemas.openxmlformats.org/officeDocument/2006/relationships/hyperlink" Target="https://akshar-exim-company-pvt-ltd.odoo.com/web" TargetMode="External"/><Relationship Id="rId288" Type="http://schemas.openxmlformats.org/officeDocument/2006/relationships/hyperlink" Target="https://akshar-exim-company-pvt-ltd.odoo.com/web" TargetMode="External"/><Relationship Id="rId4028" Type="http://schemas.openxmlformats.org/officeDocument/2006/relationships/hyperlink" Target="mailto:internationalsky3@gmail.com" TargetMode="External"/><Relationship Id="rId287" Type="http://schemas.openxmlformats.org/officeDocument/2006/relationships/hyperlink" Target="mailto:balaexim5@gmail.com" TargetMode="External"/><Relationship Id="rId4027" Type="http://schemas.openxmlformats.org/officeDocument/2006/relationships/hyperlink" Target="https://akshar-exim-company-pvt-ltd.odoo.com/web" TargetMode="External"/><Relationship Id="rId4019" Type="http://schemas.openxmlformats.org/officeDocument/2006/relationships/hyperlink" Target="https://akshar-exim-company-pvt-ltd.odoo.com/web" TargetMode="External"/><Relationship Id="rId4018" Type="http://schemas.openxmlformats.org/officeDocument/2006/relationships/hyperlink" Target="mailto:sales@vinayakgypsum.com" TargetMode="External"/><Relationship Id="rId282" Type="http://schemas.openxmlformats.org/officeDocument/2006/relationships/hyperlink" Target="https://akshar-exim-company-pvt-ltd.odoo.com/web" TargetMode="External"/><Relationship Id="rId281" Type="http://schemas.openxmlformats.org/officeDocument/2006/relationships/hyperlink" Target="mailto:shafquat.nasim@gmail.com" TargetMode="External"/><Relationship Id="rId280" Type="http://schemas.openxmlformats.org/officeDocument/2006/relationships/hyperlink" Target="https://akshar-exim-company-pvt-ltd.odoo.com/web" TargetMode="External"/><Relationship Id="rId275" Type="http://schemas.openxmlformats.org/officeDocument/2006/relationships/hyperlink" Target="mailto:rajeshkabra91@gmail.com" TargetMode="External"/><Relationship Id="rId4011" Type="http://schemas.openxmlformats.org/officeDocument/2006/relationships/hyperlink" Target="mailto:bluelaggon1955@gmail.com" TargetMode="External"/><Relationship Id="rId274" Type="http://schemas.openxmlformats.org/officeDocument/2006/relationships/hyperlink" Target="https://akshar-exim-company-pvt-ltd.odoo.com/web" TargetMode="External"/><Relationship Id="rId4010" Type="http://schemas.openxmlformats.org/officeDocument/2006/relationships/hyperlink" Target="https://akshar-exim-company-pvt-ltd.odoo.com/web" TargetMode="External"/><Relationship Id="rId273" Type="http://schemas.openxmlformats.org/officeDocument/2006/relationships/hyperlink" Target="https://akshar-exim-company-pvt-ltd.odoo.com/web" TargetMode="External"/><Relationship Id="rId4013" Type="http://schemas.openxmlformats.org/officeDocument/2006/relationships/hyperlink" Target="mailto:atlantaexports@rediffmail.com" TargetMode="External"/><Relationship Id="rId272" Type="http://schemas.openxmlformats.org/officeDocument/2006/relationships/hyperlink" Target="https://akshar-exim-company-pvt-ltd.odoo.com/web" TargetMode="External"/><Relationship Id="rId4012" Type="http://schemas.openxmlformats.org/officeDocument/2006/relationships/hyperlink" Target="https://akshar-exim-company-pvt-ltd.odoo.com/web" TargetMode="External"/><Relationship Id="rId279" Type="http://schemas.openxmlformats.org/officeDocument/2006/relationships/hyperlink" Target="mailto:biplab81.chakraborty@rediffmail.com" TargetMode="External"/><Relationship Id="rId4015" Type="http://schemas.openxmlformats.org/officeDocument/2006/relationships/hyperlink" Target="mailto:duttarsdgp@gmail.com" TargetMode="External"/><Relationship Id="rId278" Type="http://schemas.openxmlformats.org/officeDocument/2006/relationships/hyperlink" Target="https://akshar-exim-company-pvt-ltd.odoo.com/web" TargetMode="External"/><Relationship Id="rId4014" Type="http://schemas.openxmlformats.org/officeDocument/2006/relationships/hyperlink" Target="https://akshar-exim-company-pvt-ltd.odoo.com/web" TargetMode="External"/><Relationship Id="rId277" Type="http://schemas.openxmlformats.org/officeDocument/2006/relationships/hyperlink" Target="mailto:pankajkumarjalan12141@gmail.com" TargetMode="External"/><Relationship Id="rId4017" Type="http://schemas.openxmlformats.org/officeDocument/2006/relationships/hyperlink" Target="https://akshar-exim-company-pvt-ltd.odoo.com/web" TargetMode="External"/><Relationship Id="rId276" Type="http://schemas.openxmlformats.org/officeDocument/2006/relationships/hyperlink" Target="https://akshar-exim-company-pvt-ltd.odoo.com/web" TargetMode="External"/><Relationship Id="rId4016" Type="http://schemas.openxmlformats.org/officeDocument/2006/relationships/hyperlink" Target="https://akshar-exim-company-pvt-ltd.odoo.com/web" TargetMode="External"/><Relationship Id="rId1851" Type="http://schemas.openxmlformats.org/officeDocument/2006/relationships/hyperlink" Target="https://akshar-exim-company-pvt-ltd.odoo.com/web" TargetMode="External"/><Relationship Id="rId1852" Type="http://schemas.openxmlformats.org/officeDocument/2006/relationships/hyperlink" Target="https://akshar-exim-company-pvt-ltd.odoo.com/web" TargetMode="External"/><Relationship Id="rId1853" Type="http://schemas.openxmlformats.org/officeDocument/2006/relationships/hyperlink" Target="https://akshar-exim-company-pvt-ltd.odoo.com/web" TargetMode="External"/><Relationship Id="rId1854" Type="http://schemas.openxmlformats.org/officeDocument/2006/relationships/hyperlink" Target="https://akshar-exim-company-pvt-ltd.odoo.com/web" TargetMode="External"/><Relationship Id="rId1855" Type="http://schemas.openxmlformats.org/officeDocument/2006/relationships/hyperlink" Target="https://akshar-exim-company-pvt-ltd.odoo.com/web" TargetMode="External"/><Relationship Id="rId1856" Type="http://schemas.openxmlformats.org/officeDocument/2006/relationships/hyperlink" Target="https://akshar-exim-company-pvt-ltd.odoo.com/web" TargetMode="External"/><Relationship Id="rId1857" Type="http://schemas.openxmlformats.org/officeDocument/2006/relationships/hyperlink" Target="https://akshar-exim-company-pvt-ltd.odoo.com/web" TargetMode="External"/><Relationship Id="rId1858" Type="http://schemas.openxmlformats.org/officeDocument/2006/relationships/hyperlink" Target="https://akshar-exim-company-pvt-ltd.odoo.com/web" TargetMode="External"/><Relationship Id="rId1859" Type="http://schemas.openxmlformats.org/officeDocument/2006/relationships/hyperlink" Target="https://akshar-exim-company-pvt-ltd.odoo.com/web" TargetMode="External"/><Relationship Id="rId1850" Type="http://schemas.openxmlformats.org/officeDocument/2006/relationships/hyperlink" Target="https://akshar-exim-company-pvt-ltd.odoo.com/web" TargetMode="External"/><Relationship Id="rId1840" Type="http://schemas.openxmlformats.org/officeDocument/2006/relationships/hyperlink" Target="https://akshar-exim-company-pvt-ltd.odoo.com/web" TargetMode="External"/><Relationship Id="rId1841" Type="http://schemas.openxmlformats.org/officeDocument/2006/relationships/hyperlink" Target="https://akshar-exim-company-pvt-ltd.odoo.com/web" TargetMode="External"/><Relationship Id="rId1842" Type="http://schemas.openxmlformats.org/officeDocument/2006/relationships/hyperlink" Target="https://akshar-exim-company-pvt-ltd.odoo.com/web" TargetMode="External"/><Relationship Id="rId1843" Type="http://schemas.openxmlformats.org/officeDocument/2006/relationships/hyperlink" Target="https://akshar-exim-company-pvt-ltd.odoo.com/web" TargetMode="External"/><Relationship Id="rId1844" Type="http://schemas.openxmlformats.org/officeDocument/2006/relationships/hyperlink" Target="https://akshar-exim-company-pvt-ltd.odoo.com/web" TargetMode="External"/><Relationship Id="rId1845" Type="http://schemas.openxmlformats.org/officeDocument/2006/relationships/hyperlink" Target="https://akshar-exim-company-pvt-ltd.odoo.com/web" TargetMode="External"/><Relationship Id="rId1846" Type="http://schemas.openxmlformats.org/officeDocument/2006/relationships/hyperlink" Target="https://akshar-exim-company-pvt-ltd.odoo.com/web" TargetMode="External"/><Relationship Id="rId1847" Type="http://schemas.openxmlformats.org/officeDocument/2006/relationships/hyperlink" Target="https://akshar-exim-company-pvt-ltd.odoo.com/web" TargetMode="External"/><Relationship Id="rId1848" Type="http://schemas.openxmlformats.org/officeDocument/2006/relationships/hyperlink" Target="https://akshar-exim-company-pvt-ltd.odoo.com/web" TargetMode="External"/><Relationship Id="rId1849" Type="http://schemas.openxmlformats.org/officeDocument/2006/relationships/hyperlink" Target="https://akshar-exim-company-pvt-ltd.odoo.com/web" TargetMode="External"/><Relationship Id="rId1873" Type="http://schemas.openxmlformats.org/officeDocument/2006/relationships/hyperlink" Target="https://akshar-exim-company-pvt-ltd.odoo.com/web" TargetMode="External"/><Relationship Id="rId1874" Type="http://schemas.openxmlformats.org/officeDocument/2006/relationships/hyperlink" Target="https://akshar-exim-company-pvt-ltd.odoo.com/web" TargetMode="External"/><Relationship Id="rId1875" Type="http://schemas.openxmlformats.org/officeDocument/2006/relationships/hyperlink" Target="https://akshar-exim-company-pvt-ltd.odoo.com/web" TargetMode="External"/><Relationship Id="rId4901" Type="http://schemas.openxmlformats.org/officeDocument/2006/relationships/hyperlink" Target="https://akshar-exim-company-pvt-ltd.odoo.com/web" TargetMode="External"/><Relationship Id="rId1876" Type="http://schemas.openxmlformats.org/officeDocument/2006/relationships/hyperlink" Target="https://akshar-exim-company-pvt-ltd.odoo.com/web" TargetMode="External"/><Relationship Id="rId4900" Type="http://schemas.openxmlformats.org/officeDocument/2006/relationships/hyperlink" Target="https://akshar-exim-company-pvt-ltd.odoo.com/web" TargetMode="External"/><Relationship Id="rId1877" Type="http://schemas.openxmlformats.org/officeDocument/2006/relationships/hyperlink" Target="https://akshar-exim-company-pvt-ltd.odoo.com/web" TargetMode="External"/><Relationship Id="rId4903" Type="http://schemas.openxmlformats.org/officeDocument/2006/relationships/hyperlink" Target="https://akshar-exim-company-pvt-ltd.odoo.com/web" TargetMode="External"/><Relationship Id="rId1878" Type="http://schemas.openxmlformats.org/officeDocument/2006/relationships/hyperlink" Target="https://akshar-exim-company-pvt-ltd.odoo.com/web" TargetMode="External"/><Relationship Id="rId4902" Type="http://schemas.openxmlformats.org/officeDocument/2006/relationships/hyperlink" Target="https://akshar-exim-company-pvt-ltd.odoo.com/web" TargetMode="External"/><Relationship Id="rId1879" Type="http://schemas.openxmlformats.org/officeDocument/2006/relationships/hyperlink" Target="https://akshar-exim-company-pvt-ltd.odoo.com/web" TargetMode="External"/><Relationship Id="rId4905" Type="http://schemas.openxmlformats.org/officeDocument/2006/relationships/hyperlink" Target="https://akshar-exim-company-pvt-ltd.odoo.com/web" TargetMode="External"/><Relationship Id="rId4904" Type="http://schemas.openxmlformats.org/officeDocument/2006/relationships/hyperlink" Target="https://akshar-exim-company-pvt-ltd.odoo.com/web" TargetMode="External"/><Relationship Id="rId4907" Type="http://schemas.openxmlformats.org/officeDocument/2006/relationships/hyperlink" Target="https://akshar-exim-company-pvt-ltd.odoo.com/web" TargetMode="External"/><Relationship Id="rId4906" Type="http://schemas.openxmlformats.org/officeDocument/2006/relationships/hyperlink" Target="https://akshar-exim-company-pvt-ltd.odoo.com/web" TargetMode="External"/><Relationship Id="rId4909" Type="http://schemas.openxmlformats.org/officeDocument/2006/relationships/hyperlink" Target="https://akshar-exim-company-pvt-ltd.odoo.com/web" TargetMode="External"/><Relationship Id="rId4908" Type="http://schemas.openxmlformats.org/officeDocument/2006/relationships/hyperlink" Target="https://akshar-exim-company-pvt-ltd.odoo.com/web" TargetMode="External"/><Relationship Id="rId1870" Type="http://schemas.openxmlformats.org/officeDocument/2006/relationships/hyperlink" Target="https://akshar-exim-company-pvt-ltd.odoo.com/web" TargetMode="External"/><Relationship Id="rId1871" Type="http://schemas.openxmlformats.org/officeDocument/2006/relationships/hyperlink" Target="https://akshar-exim-company-pvt-ltd.odoo.com/web" TargetMode="External"/><Relationship Id="rId1872" Type="http://schemas.openxmlformats.org/officeDocument/2006/relationships/hyperlink" Target="https://akshar-exim-company-pvt-ltd.odoo.com/web" TargetMode="External"/><Relationship Id="rId1862" Type="http://schemas.openxmlformats.org/officeDocument/2006/relationships/hyperlink" Target="https://akshar-exim-company-pvt-ltd.odoo.com/web" TargetMode="External"/><Relationship Id="rId1863" Type="http://schemas.openxmlformats.org/officeDocument/2006/relationships/hyperlink" Target="https://akshar-exim-company-pvt-ltd.odoo.com/web" TargetMode="External"/><Relationship Id="rId1864" Type="http://schemas.openxmlformats.org/officeDocument/2006/relationships/hyperlink" Target="https://akshar-exim-company-pvt-ltd.odoo.com/web" TargetMode="External"/><Relationship Id="rId1865" Type="http://schemas.openxmlformats.org/officeDocument/2006/relationships/hyperlink" Target="https://akshar-exim-company-pvt-ltd.odoo.com/web" TargetMode="External"/><Relationship Id="rId1866" Type="http://schemas.openxmlformats.org/officeDocument/2006/relationships/hyperlink" Target="https://akshar-exim-company-pvt-ltd.odoo.com/web" TargetMode="External"/><Relationship Id="rId1867" Type="http://schemas.openxmlformats.org/officeDocument/2006/relationships/hyperlink" Target="https://akshar-exim-company-pvt-ltd.odoo.com/web" TargetMode="External"/><Relationship Id="rId1868" Type="http://schemas.openxmlformats.org/officeDocument/2006/relationships/hyperlink" Target="https://akshar-exim-company-pvt-ltd.odoo.com/web" TargetMode="External"/><Relationship Id="rId1869" Type="http://schemas.openxmlformats.org/officeDocument/2006/relationships/hyperlink" Target="https://akshar-exim-company-pvt-ltd.odoo.com/web" TargetMode="External"/><Relationship Id="rId1860" Type="http://schemas.openxmlformats.org/officeDocument/2006/relationships/hyperlink" Target="https://akshar-exim-company-pvt-ltd.odoo.com/web" TargetMode="External"/><Relationship Id="rId1861" Type="http://schemas.openxmlformats.org/officeDocument/2006/relationships/hyperlink" Target="https://akshar-exim-company-pvt-ltd.odoo.com/web" TargetMode="External"/><Relationship Id="rId1810" Type="http://schemas.openxmlformats.org/officeDocument/2006/relationships/hyperlink" Target="https://akshar-exim-company-pvt-ltd.odoo.com/web" TargetMode="External"/><Relationship Id="rId1811" Type="http://schemas.openxmlformats.org/officeDocument/2006/relationships/hyperlink" Target="https://akshar-exim-company-pvt-ltd.odoo.com/web" TargetMode="External"/><Relationship Id="rId1812" Type="http://schemas.openxmlformats.org/officeDocument/2006/relationships/hyperlink" Target="https://akshar-exim-company-pvt-ltd.odoo.com/web" TargetMode="External"/><Relationship Id="rId1813" Type="http://schemas.openxmlformats.org/officeDocument/2006/relationships/hyperlink" Target="https://akshar-exim-company-pvt-ltd.odoo.com/web" TargetMode="External"/><Relationship Id="rId1814" Type="http://schemas.openxmlformats.org/officeDocument/2006/relationships/hyperlink" Target="https://akshar-exim-company-pvt-ltd.odoo.com/web" TargetMode="External"/><Relationship Id="rId1815" Type="http://schemas.openxmlformats.org/officeDocument/2006/relationships/hyperlink" Target="https://akshar-exim-company-pvt-ltd.odoo.com/web" TargetMode="External"/><Relationship Id="rId1816" Type="http://schemas.openxmlformats.org/officeDocument/2006/relationships/hyperlink" Target="https://akshar-exim-company-pvt-ltd.odoo.com/web" TargetMode="External"/><Relationship Id="rId1817" Type="http://schemas.openxmlformats.org/officeDocument/2006/relationships/hyperlink" Target="https://akshar-exim-company-pvt-ltd.odoo.com/web" TargetMode="External"/><Relationship Id="rId1818" Type="http://schemas.openxmlformats.org/officeDocument/2006/relationships/hyperlink" Target="https://akshar-exim-company-pvt-ltd.odoo.com/web" TargetMode="External"/><Relationship Id="rId1819" Type="http://schemas.openxmlformats.org/officeDocument/2006/relationships/hyperlink" Target="https://akshar-exim-company-pvt-ltd.odoo.com/web" TargetMode="External"/><Relationship Id="rId4080" Type="http://schemas.openxmlformats.org/officeDocument/2006/relationships/hyperlink" Target="mailto:tariqshafeeq786@gmail.com" TargetMode="External"/><Relationship Id="rId4082" Type="http://schemas.openxmlformats.org/officeDocument/2006/relationships/hyperlink" Target="https://akshar-exim-company-pvt-ltd.odoo.com/web" TargetMode="External"/><Relationship Id="rId4081" Type="http://schemas.openxmlformats.org/officeDocument/2006/relationships/hyperlink" Target="https://akshar-exim-company-pvt-ltd.odoo.com/web" TargetMode="External"/><Relationship Id="rId4084" Type="http://schemas.openxmlformats.org/officeDocument/2006/relationships/hyperlink" Target="mailto:advance_parma@yahoo.com" TargetMode="External"/><Relationship Id="rId4083" Type="http://schemas.openxmlformats.org/officeDocument/2006/relationships/hyperlink" Target="https://akshar-exim-company-pvt-ltd.odoo.com/web" TargetMode="External"/><Relationship Id="rId4086" Type="http://schemas.openxmlformats.org/officeDocument/2006/relationships/hyperlink" Target="https://akshar-exim-company-pvt-ltd.odoo.com/web" TargetMode="External"/><Relationship Id="rId4085" Type="http://schemas.openxmlformats.org/officeDocument/2006/relationships/hyperlink" Target="https://akshar-exim-company-pvt-ltd.odoo.com/web" TargetMode="External"/><Relationship Id="rId4088" Type="http://schemas.openxmlformats.org/officeDocument/2006/relationships/hyperlink" Target="https://akshar-exim-company-pvt-ltd.odoo.com/web" TargetMode="External"/><Relationship Id="rId4087" Type="http://schemas.openxmlformats.org/officeDocument/2006/relationships/hyperlink" Target="mailto:amochem2015@gmail.com" TargetMode="External"/><Relationship Id="rId4089" Type="http://schemas.openxmlformats.org/officeDocument/2006/relationships/hyperlink" Target="mailto:sandip.mallick42@gmail.com" TargetMode="External"/><Relationship Id="rId1800" Type="http://schemas.openxmlformats.org/officeDocument/2006/relationships/hyperlink" Target="https://akshar-exim-company-pvt-ltd.odoo.com/web" TargetMode="External"/><Relationship Id="rId1801" Type="http://schemas.openxmlformats.org/officeDocument/2006/relationships/hyperlink" Target="https://akshar-exim-company-pvt-ltd.odoo.com/web" TargetMode="External"/><Relationship Id="rId1802" Type="http://schemas.openxmlformats.org/officeDocument/2006/relationships/hyperlink" Target="https://akshar-exim-company-pvt-ltd.odoo.com/web" TargetMode="External"/><Relationship Id="rId1803" Type="http://schemas.openxmlformats.org/officeDocument/2006/relationships/hyperlink" Target="https://akshar-exim-company-pvt-ltd.odoo.com/web" TargetMode="External"/><Relationship Id="rId1804" Type="http://schemas.openxmlformats.org/officeDocument/2006/relationships/hyperlink" Target="https://akshar-exim-company-pvt-ltd.odoo.com/web" TargetMode="External"/><Relationship Id="rId1805" Type="http://schemas.openxmlformats.org/officeDocument/2006/relationships/hyperlink" Target="https://akshar-exim-company-pvt-ltd.odoo.com/web" TargetMode="External"/><Relationship Id="rId1806" Type="http://schemas.openxmlformats.org/officeDocument/2006/relationships/hyperlink" Target="https://akshar-exim-company-pvt-ltd.odoo.com/web" TargetMode="External"/><Relationship Id="rId1807" Type="http://schemas.openxmlformats.org/officeDocument/2006/relationships/hyperlink" Target="https://akshar-exim-company-pvt-ltd.odoo.com/web" TargetMode="External"/><Relationship Id="rId1808" Type="http://schemas.openxmlformats.org/officeDocument/2006/relationships/hyperlink" Target="https://akshar-exim-company-pvt-ltd.odoo.com/web" TargetMode="External"/><Relationship Id="rId1809" Type="http://schemas.openxmlformats.org/officeDocument/2006/relationships/hyperlink" Target="https://akshar-exim-company-pvt-ltd.odoo.com/web" TargetMode="External"/><Relationship Id="rId4071" Type="http://schemas.openxmlformats.org/officeDocument/2006/relationships/hyperlink" Target="https://akshar-exim-company-pvt-ltd.odoo.com/web" TargetMode="External"/><Relationship Id="rId4070" Type="http://schemas.openxmlformats.org/officeDocument/2006/relationships/hyperlink" Target="https://akshar-exim-company-pvt-ltd.odoo.com/web" TargetMode="External"/><Relationship Id="rId4073" Type="http://schemas.openxmlformats.org/officeDocument/2006/relationships/hyperlink" Target="https://akshar-exim-company-pvt-ltd.odoo.com/web" TargetMode="External"/><Relationship Id="rId4072" Type="http://schemas.openxmlformats.org/officeDocument/2006/relationships/hyperlink" Target="mailto:hdashmohapatra@gmail.com" TargetMode="External"/><Relationship Id="rId4075" Type="http://schemas.openxmlformats.org/officeDocument/2006/relationships/hyperlink" Target="https://akshar-exim-company-pvt-ltd.odoo.com/web" TargetMode="External"/><Relationship Id="rId4074" Type="http://schemas.openxmlformats.org/officeDocument/2006/relationships/hyperlink" Target="https://akshar-exim-company-pvt-ltd.odoo.com/web" TargetMode="External"/><Relationship Id="rId4077" Type="http://schemas.openxmlformats.org/officeDocument/2006/relationships/hyperlink" Target="https://akshar-exim-company-pvt-ltd.odoo.com/web" TargetMode="External"/><Relationship Id="rId4076" Type="http://schemas.openxmlformats.org/officeDocument/2006/relationships/hyperlink" Target="https://akshar-exim-company-pvt-ltd.odoo.com/web" TargetMode="External"/><Relationship Id="rId4079" Type="http://schemas.openxmlformats.org/officeDocument/2006/relationships/hyperlink" Target="https://akshar-exim-company-pvt-ltd.odoo.com/web" TargetMode="External"/><Relationship Id="rId4078" Type="http://schemas.openxmlformats.org/officeDocument/2006/relationships/hyperlink" Target="https://akshar-exim-company-pvt-ltd.odoo.com/web" TargetMode="External"/><Relationship Id="rId1830" Type="http://schemas.openxmlformats.org/officeDocument/2006/relationships/hyperlink" Target="https://akshar-exim-company-pvt-ltd.odoo.com/web" TargetMode="External"/><Relationship Id="rId1831" Type="http://schemas.openxmlformats.org/officeDocument/2006/relationships/hyperlink" Target="https://akshar-exim-company-pvt-ltd.odoo.com/web" TargetMode="External"/><Relationship Id="rId1832" Type="http://schemas.openxmlformats.org/officeDocument/2006/relationships/hyperlink" Target="https://akshar-exim-company-pvt-ltd.odoo.com/web" TargetMode="External"/><Relationship Id="rId1833" Type="http://schemas.openxmlformats.org/officeDocument/2006/relationships/hyperlink" Target="https://akshar-exim-company-pvt-ltd.odoo.com/web" TargetMode="External"/><Relationship Id="rId1834" Type="http://schemas.openxmlformats.org/officeDocument/2006/relationships/hyperlink" Target="https://akshar-exim-company-pvt-ltd.odoo.com/web" TargetMode="External"/><Relationship Id="rId1835" Type="http://schemas.openxmlformats.org/officeDocument/2006/relationships/hyperlink" Target="https://akshar-exim-company-pvt-ltd.odoo.com/web" TargetMode="External"/><Relationship Id="rId1836" Type="http://schemas.openxmlformats.org/officeDocument/2006/relationships/hyperlink" Target="https://akshar-exim-company-pvt-ltd.odoo.com/web" TargetMode="External"/><Relationship Id="rId1837" Type="http://schemas.openxmlformats.org/officeDocument/2006/relationships/hyperlink" Target="https://akshar-exim-company-pvt-ltd.odoo.com/web" TargetMode="External"/><Relationship Id="rId1838" Type="http://schemas.openxmlformats.org/officeDocument/2006/relationships/hyperlink" Target="https://akshar-exim-company-pvt-ltd.odoo.com/web" TargetMode="External"/><Relationship Id="rId1839" Type="http://schemas.openxmlformats.org/officeDocument/2006/relationships/hyperlink" Target="https://akshar-exim-company-pvt-ltd.odoo.com/web" TargetMode="External"/><Relationship Id="rId1820" Type="http://schemas.openxmlformats.org/officeDocument/2006/relationships/hyperlink" Target="https://akshar-exim-company-pvt-ltd.odoo.com/web" TargetMode="External"/><Relationship Id="rId1821" Type="http://schemas.openxmlformats.org/officeDocument/2006/relationships/hyperlink" Target="https://akshar-exim-company-pvt-ltd.odoo.com/web" TargetMode="External"/><Relationship Id="rId1822" Type="http://schemas.openxmlformats.org/officeDocument/2006/relationships/hyperlink" Target="https://akshar-exim-company-pvt-ltd.odoo.com/web" TargetMode="External"/><Relationship Id="rId1823" Type="http://schemas.openxmlformats.org/officeDocument/2006/relationships/hyperlink" Target="https://akshar-exim-company-pvt-ltd.odoo.com/web" TargetMode="External"/><Relationship Id="rId1824" Type="http://schemas.openxmlformats.org/officeDocument/2006/relationships/hyperlink" Target="https://akshar-exim-company-pvt-ltd.odoo.com/web" TargetMode="External"/><Relationship Id="rId1825" Type="http://schemas.openxmlformats.org/officeDocument/2006/relationships/hyperlink" Target="https://akshar-exim-company-pvt-ltd.odoo.com/web" TargetMode="External"/><Relationship Id="rId1826" Type="http://schemas.openxmlformats.org/officeDocument/2006/relationships/hyperlink" Target="https://akshar-exim-company-pvt-ltd.odoo.com/web" TargetMode="External"/><Relationship Id="rId1827" Type="http://schemas.openxmlformats.org/officeDocument/2006/relationships/hyperlink" Target="https://akshar-exim-company-pvt-ltd.odoo.com/web" TargetMode="External"/><Relationship Id="rId1828" Type="http://schemas.openxmlformats.org/officeDocument/2006/relationships/hyperlink" Target="https://akshar-exim-company-pvt-ltd.odoo.com/web" TargetMode="External"/><Relationship Id="rId1829" Type="http://schemas.openxmlformats.org/officeDocument/2006/relationships/hyperlink" Target="https://akshar-exim-company-pvt-ltd.odoo.com/web" TargetMode="External"/><Relationship Id="rId4091" Type="http://schemas.openxmlformats.org/officeDocument/2006/relationships/hyperlink" Target="https://akshar-exim-company-pvt-ltd.odoo.com/web" TargetMode="External"/><Relationship Id="rId4090" Type="http://schemas.openxmlformats.org/officeDocument/2006/relationships/hyperlink" Target="https://akshar-exim-company-pvt-ltd.odoo.com/web" TargetMode="External"/><Relationship Id="rId4093" Type="http://schemas.openxmlformats.org/officeDocument/2006/relationships/hyperlink" Target="https://akshar-exim-company-pvt-ltd.odoo.com/web" TargetMode="External"/><Relationship Id="rId4092" Type="http://schemas.openxmlformats.org/officeDocument/2006/relationships/hyperlink" Target="mailto:nitu_cool18@yahoo.co.in" TargetMode="External"/><Relationship Id="rId4095" Type="http://schemas.openxmlformats.org/officeDocument/2006/relationships/hyperlink" Target="https://akshar-exim-company-pvt-ltd.odoo.com/web" TargetMode="External"/><Relationship Id="rId4094" Type="http://schemas.openxmlformats.org/officeDocument/2006/relationships/hyperlink" Target="mailto:info@olivinemercantiles.com" TargetMode="External"/><Relationship Id="rId4097" Type="http://schemas.openxmlformats.org/officeDocument/2006/relationships/hyperlink" Target="https://akshar-exim-company-pvt-ltd.odoo.com/web" TargetMode="External"/><Relationship Id="rId4096" Type="http://schemas.openxmlformats.org/officeDocument/2006/relationships/hyperlink" Target="mailto:shreesaiinfotech@gmail.com" TargetMode="External"/><Relationship Id="rId4099" Type="http://schemas.openxmlformats.org/officeDocument/2006/relationships/hyperlink" Target="https://akshar-exim-company-pvt-ltd.odoo.com/web" TargetMode="External"/><Relationship Id="rId4098" Type="http://schemas.openxmlformats.org/officeDocument/2006/relationships/hyperlink" Target="mailto:agarwal.pahel@gmail.com" TargetMode="External"/><Relationship Id="rId2302" Type="http://schemas.openxmlformats.org/officeDocument/2006/relationships/hyperlink" Target="https://akshar-exim-company-pvt-ltd.odoo.com/web" TargetMode="External"/><Relationship Id="rId3634" Type="http://schemas.openxmlformats.org/officeDocument/2006/relationships/hyperlink" Target="https://akshar-exim-company-pvt-ltd.odoo.com/web" TargetMode="External"/><Relationship Id="rId4965" Type="http://schemas.openxmlformats.org/officeDocument/2006/relationships/hyperlink" Target="https://akshar-exim-company-pvt-ltd.odoo.com/web" TargetMode="External"/><Relationship Id="rId2303" Type="http://schemas.openxmlformats.org/officeDocument/2006/relationships/hyperlink" Target="https://akshar-exim-company-pvt-ltd.odoo.com/web" TargetMode="External"/><Relationship Id="rId3633" Type="http://schemas.openxmlformats.org/officeDocument/2006/relationships/hyperlink" Target="https://akshar-exim-company-pvt-ltd.odoo.com/web" TargetMode="External"/><Relationship Id="rId4964" Type="http://schemas.openxmlformats.org/officeDocument/2006/relationships/hyperlink" Target="https://akshar-exim-company-pvt-ltd.odoo.com/web" TargetMode="External"/><Relationship Id="rId2304" Type="http://schemas.openxmlformats.org/officeDocument/2006/relationships/hyperlink" Target="https://akshar-exim-company-pvt-ltd.odoo.com/web" TargetMode="External"/><Relationship Id="rId3636" Type="http://schemas.openxmlformats.org/officeDocument/2006/relationships/hyperlink" Target="mailto:dchakraborty111@gmail.com" TargetMode="External"/><Relationship Id="rId4967" Type="http://schemas.openxmlformats.org/officeDocument/2006/relationships/hyperlink" Target="https://akshar-exim-company-pvt-ltd.odoo.com/web" TargetMode="External"/><Relationship Id="rId2305" Type="http://schemas.openxmlformats.org/officeDocument/2006/relationships/hyperlink" Target="https://akshar-exim-company-pvt-ltd.odoo.com/web" TargetMode="External"/><Relationship Id="rId3635" Type="http://schemas.openxmlformats.org/officeDocument/2006/relationships/hyperlink" Target="https://akshar-exim-company-pvt-ltd.odoo.com/web" TargetMode="External"/><Relationship Id="rId4966" Type="http://schemas.openxmlformats.org/officeDocument/2006/relationships/hyperlink" Target="https://akshar-exim-company-pvt-ltd.odoo.com/web" TargetMode="External"/><Relationship Id="rId2306" Type="http://schemas.openxmlformats.org/officeDocument/2006/relationships/hyperlink" Target="https://akshar-exim-company-pvt-ltd.odoo.com/web" TargetMode="External"/><Relationship Id="rId3638" Type="http://schemas.openxmlformats.org/officeDocument/2006/relationships/hyperlink" Target="mailto:mddnshali786@gmail.com" TargetMode="External"/><Relationship Id="rId4969" Type="http://schemas.openxmlformats.org/officeDocument/2006/relationships/hyperlink" Target="https://akshar-exim-company-pvt-ltd.odoo.com/web" TargetMode="External"/><Relationship Id="rId2307" Type="http://schemas.openxmlformats.org/officeDocument/2006/relationships/hyperlink" Target="https://akshar-exim-company-pvt-ltd.odoo.com/web" TargetMode="External"/><Relationship Id="rId3637" Type="http://schemas.openxmlformats.org/officeDocument/2006/relationships/hyperlink" Target="https://akshar-exim-company-pvt-ltd.odoo.com/web" TargetMode="External"/><Relationship Id="rId4968" Type="http://schemas.openxmlformats.org/officeDocument/2006/relationships/hyperlink" Target="https://akshar-exim-company-pvt-ltd.odoo.com/web" TargetMode="External"/><Relationship Id="rId2308" Type="http://schemas.openxmlformats.org/officeDocument/2006/relationships/hyperlink" Target="https://akshar-exim-company-pvt-ltd.odoo.com/web" TargetMode="External"/><Relationship Id="rId2309" Type="http://schemas.openxmlformats.org/officeDocument/2006/relationships/hyperlink" Target="https://akshar-exim-company-pvt-ltd.odoo.com/web" TargetMode="External"/><Relationship Id="rId3639" Type="http://schemas.openxmlformats.org/officeDocument/2006/relationships/hyperlink" Target="https://akshar-exim-company-pvt-ltd.odoo.com/web" TargetMode="External"/><Relationship Id="rId3630" Type="http://schemas.openxmlformats.org/officeDocument/2006/relationships/hyperlink" Target="mailto:sankho.deep07@gmail.com" TargetMode="External"/><Relationship Id="rId4961" Type="http://schemas.openxmlformats.org/officeDocument/2006/relationships/hyperlink" Target="https://akshar-exim-company-pvt-ltd.odoo.com/web" TargetMode="External"/><Relationship Id="rId4960" Type="http://schemas.openxmlformats.org/officeDocument/2006/relationships/hyperlink" Target="https://akshar-exim-company-pvt-ltd.odoo.com/web" TargetMode="External"/><Relationship Id="rId2300" Type="http://schemas.openxmlformats.org/officeDocument/2006/relationships/hyperlink" Target="https://akshar-exim-company-pvt-ltd.odoo.com/web" TargetMode="External"/><Relationship Id="rId3632" Type="http://schemas.openxmlformats.org/officeDocument/2006/relationships/hyperlink" Target="mailto:ganesh.gadekar1985@gmail.com" TargetMode="External"/><Relationship Id="rId4963" Type="http://schemas.openxmlformats.org/officeDocument/2006/relationships/hyperlink" Target="https://akshar-exim-company-pvt-ltd.odoo.com/web" TargetMode="External"/><Relationship Id="rId2301" Type="http://schemas.openxmlformats.org/officeDocument/2006/relationships/hyperlink" Target="https://akshar-exim-company-pvt-ltd.odoo.com/web" TargetMode="External"/><Relationship Id="rId3631" Type="http://schemas.openxmlformats.org/officeDocument/2006/relationships/hyperlink" Target="https://akshar-exim-company-pvt-ltd.odoo.com/web" TargetMode="External"/><Relationship Id="rId4962" Type="http://schemas.openxmlformats.org/officeDocument/2006/relationships/hyperlink" Target="https://akshar-exim-company-pvt-ltd.odoo.com/web" TargetMode="External"/><Relationship Id="rId3623" Type="http://schemas.openxmlformats.org/officeDocument/2006/relationships/hyperlink" Target="mailto:citronpharma@gmail.com" TargetMode="External"/><Relationship Id="rId4954" Type="http://schemas.openxmlformats.org/officeDocument/2006/relationships/hyperlink" Target="https://akshar-exim-company-pvt-ltd.odoo.com/web" TargetMode="External"/><Relationship Id="rId3622" Type="http://schemas.openxmlformats.org/officeDocument/2006/relationships/hyperlink" Target="https://akshar-exim-company-pvt-ltd.odoo.com/web" TargetMode="External"/><Relationship Id="rId4953" Type="http://schemas.openxmlformats.org/officeDocument/2006/relationships/hyperlink" Target="https://akshar-exim-company-pvt-ltd.odoo.com/web" TargetMode="External"/><Relationship Id="rId3625" Type="http://schemas.openxmlformats.org/officeDocument/2006/relationships/hyperlink" Target="mailto:agarwalpk55@gmail.com" TargetMode="External"/><Relationship Id="rId4956" Type="http://schemas.openxmlformats.org/officeDocument/2006/relationships/hyperlink" Target="https://akshar-exim-company-pvt-ltd.odoo.com/web" TargetMode="External"/><Relationship Id="rId3624" Type="http://schemas.openxmlformats.org/officeDocument/2006/relationships/hyperlink" Target="https://akshar-exim-company-pvt-ltd.odoo.com/web" TargetMode="External"/><Relationship Id="rId4955" Type="http://schemas.openxmlformats.org/officeDocument/2006/relationships/hyperlink" Target="https://akshar-exim-company-pvt-ltd.odoo.com/web" TargetMode="External"/><Relationship Id="rId3627" Type="http://schemas.openxmlformats.org/officeDocument/2006/relationships/hyperlink" Target="https://akshar-exim-company-pvt-ltd.odoo.com/web" TargetMode="External"/><Relationship Id="rId4958" Type="http://schemas.openxmlformats.org/officeDocument/2006/relationships/hyperlink" Target="https://akshar-exim-company-pvt-ltd.odoo.com/web" TargetMode="External"/><Relationship Id="rId3626" Type="http://schemas.openxmlformats.org/officeDocument/2006/relationships/hyperlink" Target="https://akshar-exim-company-pvt-ltd.odoo.com/web" TargetMode="External"/><Relationship Id="rId4957" Type="http://schemas.openxmlformats.org/officeDocument/2006/relationships/hyperlink" Target="https://akshar-exim-company-pvt-ltd.odoo.com/web" TargetMode="External"/><Relationship Id="rId3629" Type="http://schemas.openxmlformats.org/officeDocument/2006/relationships/hyperlink" Target="https://akshar-exim-company-pvt-ltd.odoo.com/web" TargetMode="External"/><Relationship Id="rId3628" Type="http://schemas.openxmlformats.org/officeDocument/2006/relationships/hyperlink" Target="mailto:monigopal.chakraborty@gmail.com" TargetMode="External"/><Relationship Id="rId4959" Type="http://schemas.openxmlformats.org/officeDocument/2006/relationships/hyperlink" Target="https://akshar-exim-company-pvt-ltd.odoo.com/web" TargetMode="External"/><Relationship Id="rId4950" Type="http://schemas.openxmlformats.org/officeDocument/2006/relationships/hyperlink" Target="https://akshar-exim-company-pvt-ltd.odoo.com/web" TargetMode="External"/><Relationship Id="rId3621" Type="http://schemas.openxmlformats.org/officeDocument/2006/relationships/hyperlink" Target="mailto:agarwalpk55@gmail.com" TargetMode="External"/><Relationship Id="rId4952" Type="http://schemas.openxmlformats.org/officeDocument/2006/relationships/hyperlink" Target="https://akshar-exim-company-pvt-ltd.odoo.com/web" TargetMode="External"/><Relationship Id="rId3620" Type="http://schemas.openxmlformats.org/officeDocument/2006/relationships/hyperlink" Target="https://akshar-exim-company-pvt-ltd.odoo.com/web" TargetMode="External"/><Relationship Id="rId4951" Type="http://schemas.openxmlformats.org/officeDocument/2006/relationships/hyperlink" Target="https://akshar-exim-company-pvt-ltd.odoo.com/web" TargetMode="External"/><Relationship Id="rId2324" Type="http://schemas.openxmlformats.org/officeDocument/2006/relationships/hyperlink" Target="https://akshar-exim-company-pvt-ltd.odoo.com/web" TargetMode="External"/><Relationship Id="rId3656" Type="http://schemas.openxmlformats.org/officeDocument/2006/relationships/hyperlink" Target="https://akshar-exim-company-pvt-ltd.odoo.com/web" TargetMode="External"/><Relationship Id="rId4987" Type="http://schemas.openxmlformats.org/officeDocument/2006/relationships/hyperlink" Target="https://akshar-exim-company-pvt-ltd.odoo.com/web" TargetMode="External"/><Relationship Id="rId2325" Type="http://schemas.openxmlformats.org/officeDocument/2006/relationships/hyperlink" Target="https://akshar-exim-company-pvt-ltd.odoo.com/web" TargetMode="External"/><Relationship Id="rId3655" Type="http://schemas.openxmlformats.org/officeDocument/2006/relationships/hyperlink" Target="https://akshar-exim-company-pvt-ltd.odoo.com/web" TargetMode="External"/><Relationship Id="rId4986" Type="http://schemas.openxmlformats.org/officeDocument/2006/relationships/hyperlink" Target="https://akshar-exim-company-pvt-ltd.odoo.com/web" TargetMode="External"/><Relationship Id="rId2326" Type="http://schemas.openxmlformats.org/officeDocument/2006/relationships/hyperlink" Target="https://akshar-exim-company-pvt-ltd.odoo.com/web" TargetMode="External"/><Relationship Id="rId3658" Type="http://schemas.openxmlformats.org/officeDocument/2006/relationships/hyperlink" Target="https://akshar-exim-company-pvt-ltd.odoo.com/web" TargetMode="External"/><Relationship Id="rId4989" Type="http://schemas.openxmlformats.org/officeDocument/2006/relationships/hyperlink" Target="https://akshar-exim-company-pvt-ltd.odoo.com/web" TargetMode="External"/><Relationship Id="rId2327" Type="http://schemas.openxmlformats.org/officeDocument/2006/relationships/hyperlink" Target="https://akshar-exim-company-pvt-ltd.odoo.com/web" TargetMode="External"/><Relationship Id="rId3657" Type="http://schemas.openxmlformats.org/officeDocument/2006/relationships/hyperlink" Target="mailto:melbindas@gmail.com" TargetMode="External"/><Relationship Id="rId4988" Type="http://schemas.openxmlformats.org/officeDocument/2006/relationships/hyperlink" Target="https://akshar-exim-company-pvt-ltd.odoo.com/web" TargetMode="External"/><Relationship Id="rId2328" Type="http://schemas.openxmlformats.org/officeDocument/2006/relationships/hyperlink" Target="https://akshar-exim-company-pvt-ltd.odoo.com/web" TargetMode="External"/><Relationship Id="rId2329" Type="http://schemas.openxmlformats.org/officeDocument/2006/relationships/hyperlink" Target="https://akshar-exim-company-pvt-ltd.odoo.com/web" TargetMode="External"/><Relationship Id="rId3659" Type="http://schemas.openxmlformats.org/officeDocument/2006/relationships/hyperlink" Target="mailto:subhankar198603@gmail.com" TargetMode="External"/><Relationship Id="rId3650" Type="http://schemas.openxmlformats.org/officeDocument/2006/relationships/hyperlink" Target="mailto:santoshthombare242@gmail.com" TargetMode="External"/><Relationship Id="rId4981" Type="http://schemas.openxmlformats.org/officeDocument/2006/relationships/hyperlink" Target="https://akshar-exim-company-pvt-ltd.odoo.com/web" TargetMode="External"/><Relationship Id="rId4980" Type="http://schemas.openxmlformats.org/officeDocument/2006/relationships/hyperlink" Target="https://akshar-exim-company-pvt-ltd.odoo.com/web" TargetMode="External"/><Relationship Id="rId2320" Type="http://schemas.openxmlformats.org/officeDocument/2006/relationships/hyperlink" Target="https://akshar-exim-company-pvt-ltd.odoo.com/web" TargetMode="External"/><Relationship Id="rId3652" Type="http://schemas.openxmlformats.org/officeDocument/2006/relationships/hyperlink" Target="mailto:iccibdi@yahoo.com" TargetMode="External"/><Relationship Id="rId4983" Type="http://schemas.openxmlformats.org/officeDocument/2006/relationships/hyperlink" Target="https://akshar-exim-company-pvt-ltd.odoo.com/web" TargetMode="External"/><Relationship Id="rId2321" Type="http://schemas.openxmlformats.org/officeDocument/2006/relationships/hyperlink" Target="https://akshar-exim-company-pvt-ltd.odoo.com/web" TargetMode="External"/><Relationship Id="rId3651" Type="http://schemas.openxmlformats.org/officeDocument/2006/relationships/hyperlink" Target="https://akshar-exim-company-pvt-ltd.odoo.com/web" TargetMode="External"/><Relationship Id="rId4982" Type="http://schemas.openxmlformats.org/officeDocument/2006/relationships/hyperlink" Target="https://akshar-exim-company-pvt-ltd.odoo.com/web" TargetMode="External"/><Relationship Id="rId2322" Type="http://schemas.openxmlformats.org/officeDocument/2006/relationships/hyperlink" Target="https://akshar-exim-company-pvt-ltd.odoo.com/web" TargetMode="External"/><Relationship Id="rId3654" Type="http://schemas.openxmlformats.org/officeDocument/2006/relationships/hyperlink" Target="mailto:priteshpatel1008@gmail.com" TargetMode="External"/><Relationship Id="rId4985" Type="http://schemas.openxmlformats.org/officeDocument/2006/relationships/hyperlink" Target="https://akshar-exim-company-pvt-ltd.odoo.com/web" TargetMode="External"/><Relationship Id="rId2323" Type="http://schemas.openxmlformats.org/officeDocument/2006/relationships/hyperlink" Target="https://akshar-exim-company-pvt-ltd.odoo.com/web" TargetMode="External"/><Relationship Id="rId3653" Type="http://schemas.openxmlformats.org/officeDocument/2006/relationships/hyperlink" Target="https://akshar-exim-company-pvt-ltd.odoo.com/web" TargetMode="External"/><Relationship Id="rId4984" Type="http://schemas.openxmlformats.org/officeDocument/2006/relationships/hyperlink" Target="https://akshar-exim-company-pvt-ltd.odoo.com/web" TargetMode="External"/><Relationship Id="rId2313" Type="http://schemas.openxmlformats.org/officeDocument/2006/relationships/hyperlink" Target="https://akshar-exim-company-pvt-ltd.odoo.com/web" TargetMode="External"/><Relationship Id="rId3645" Type="http://schemas.openxmlformats.org/officeDocument/2006/relationships/hyperlink" Target="https://akshar-exim-company-pvt-ltd.odoo.com/web" TargetMode="External"/><Relationship Id="rId4976" Type="http://schemas.openxmlformats.org/officeDocument/2006/relationships/hyperlink" Target="https://akshar-exim-company-pvt-ltd.odoo.com/web" TargetMode="External"/><Relationship Id="rId2314" Type="http://schemas.openxmlformats.org/officeDocument/2006/relationships/hyperlink" Target="https://akshar-exim-company-pvt-ltd.odoo.com/web" TargetMode="External"/><Relationship Id="rId3644" Type="http://schemas.openxmlformats.org/officeDocument/2006/relationships/hyperlink" Target="mailto:info@mahadevsinclair.com" TargetMode="External"/><Relationship Id="rId4975" Type="http://schemas.openxmlformats.org/officeDocument/2006/relationships/hyperlink" Target="https://akshar-exim-company-pvt-ltd.odoo.com/web" TargetMode="External"/><Relationship Id="rId2315" Type="http://schemas.openxmlformats.org/officeDocument/2006/relationships/hyperlink" Target="https://akshar-exim-company-pvt-ltd.odoo.com/web" TargetMode="External"/><Relationship Id="rId3647" Type="http://schemas.openxmlformats.org/officeDocument/2006/relationships/hyperlink" Target="https://akshar-exim-company-pvt-ltd.odoo.com/web" TargetMode="External"/><Relationship Id="rId4978" Type="http://schemas.openxmlformats.org/officeDocument/2006/relationships/hyperlink" Target="https://akshar-exim-company-pvt-ltd.odoo.com/web" TargetMode="External"/><Relationship Id="rId2316" Type="http://schemas.openxmlformats.org/officeDocument/2006/relationships/hyperlink" Target="https://akshar-exim-company-pvt-ltd.odoo.com/web" TargetMode="External"/><Relationship Id="rId3646" Type="http://schemas.openxmlformats.org/officeDocument/2006/relationships/hyperlink" Target="mailto:vishalkumargupta203@gmail.com" TargetMode="External"/><Relationship Id="rId4977" Type="http://schemas.openxmlformats.org/officeDocument/2006/relationships/hyperlink" Target="https://akshar-exim-company-pvt-ltd.odoo.com/web" TargetMode="External"/><Relationship Id="rId2317" Type="http://schemas.openxmlformats.org/officeDocument/2006/relationships/hyperlink" Target="https://akshar-exim-company-pvt-ltd.odoo.com/web" TargetMode="External"/><Relationship Id="rId3649" Type="http://schemas.openxmlformats.org/officeDocument/2006/relationships/hyperlink" Target="https://akshar-exim-company-pvt-ltd.odoo.com/web" TargetMode="External"/><Relationship Id="rId2318" Type="http://schemas.openxmlformats.org/officeDocument/2006/relationships/hyperlink" Target="https://akshar-exim-company-pvt-ltd.odoo.com/web" TargetMode="External"/><Relationship Id="rId3648" Type="http://schemas.openxmlformats.org/officeDocument/2006/relationships/hyperlink" Target="mailto:mzhkhan143@gmail.com" TargetMode="External"/><Relationship Id="rId4979" Type="http://schemas.openxmlformats.org/officeDocument/2006/relationships/hyperlink" Target="https://akshar-exim-company-pvt-ltd.odoo.com/web" TargetMode="External"/><Relationship Id="rId2319" Type="http://schemas.openxmlformats.org/officeDocument/2006/relationships/hyperlink" Target="https://akshar-exim-company-pvt-ltd.odoo.com/web" TargetMode="External"/><Relationship Id="rId4970" Type="http://schemas.openxmlformats.org/officeDocument/2006/relationships/hyperlink" Target="https://akshar-exim-company-pvt-ltd.odoo.com/web" TargetMode="External"/><Relationship Id="rId3641" Type="http://schemas.openxmlformats.org/officeDocument/2006/relationships/hyperlink" Target="https://akshar-exim-company-pvt-ltd.odoo.com/web" TargetMode="External"/><Relationship Id="rId4972" Type="http://schemas.openxmlformats.org/officeDocument/2006/relationships/hyperlink" Target="https://akshar-exim-company-pvt-ltd.odoo.com/web" TargetMode="External"/><Relationship Id="rId2310" Type="http://schemas.openxmlformats.org/officeDocument/2006/relationships/hyperlink" Target="https://akshar-exim-company-pvt-ltd.odoo.com/web" TargetMode="External"/><Relationship Id="rId3640" Type="http://schemas.openxmlformats.org/officeDocument/2006/relationships/hyperlink" Target="mailto:monodebnath@gmail.com" TargetMode="External"/><Relationship Id="rId4971" Type="http://schemas.openxmlformats.org/officeDocument/2006/relationships/hyperlink" Target="https://akshar-exim-company-pvt-ltd.odoo.com/web" TargetMode="External"/><Relationship Id="rId2311" Type="http://schemas.openxmlformats.org/officeDocument/2006/relationships/hyperlink" Target="https://akshar-exim-company-pvt-ltd.odoo.com/web" TargetMode="External"/><Relationship Id="rId3643" Type="http://schemas.openxmlformats.org/officeDocument/2006/relationships/hyperlink" Target="https://akshar-exim-company-pvt-ltd.odoo.com/web" TargetMode="External"/><Relationship Id="rId4974" Type="http://schemas.openxmlformats.org/officeDocument/2006/relationships/hyperlink" Target="https://akshar-exim-company-pvt-ltd.odoo.com/web" TargetMode="External"/><Relationship Id="rId2312" Type="http://schemas.openxmlformats.org/officeDocument/2006/relationships/hyperlink" Target="https://akshar-exim-company-pvt-ltd.odoo.com/web" TargetMode="External"/><Relationship Id="rId3642" Type="http://schemas.openxmlformats.org/officeDocument/2006/relationships/hyperlink" Target="mailto:kanoitraders_65@rediffmail.com" TargetMode="External"/><Relationship Id="rId4973" Type="http://schemas.openxmlformats.org/officeDocument/2006/relationships/hyperlink" Target="https://akshar-exim-company-pvt-ltd.odoo.com/web" TargetMode="External"/><Relationship Id="rId1895" Type="http://schemas.openxmlformats.org/officeDocument/2006/relationships/hyperlink" Target="https://akshar-exim-company-pvt-ltd.odoo.com/web" TargetMode="External"/><Relationship Id="rId4921" Type="http://schemas.openxmlformats.org/officeDocument/2006/relationships/hyperlink" Target="https://akshar-exim-company-pvt-ltd.odoo.com/web" TargetMode="External"/><Relationship Id="rId1896" Type="http://schemas.openxmlformats.org/officeDocument/2006/relationships/hyperlink" Target="https://akshar-exim-company-pvt-ltd.odoo.com/web" TargetMode="External"/><Relationship Id="rId4920" Type="http://schemas.openxmlformats.org/officeDocument/2006/relationships/hyperlink" Target="https://akshar-exim-company-pvt-ltd.odoo.com/web" TargetMode="External"/><Relationship Id="rId1897" Type="http://schemas.openxmlformats.org/officeDocument/2006/relationships/hyperlink" Target="https://akshar-exim-company-pvt-ltd.odoo.com/web" TargetMode="External"/><Relationship Id="rId4923" Type="http://schemas.openxmlformats.org/officeDocument/2006/relationships/hyperlink" Target="https://akshar-exim-company-pvt-ltd.odoo.com/web" TargetMode="External"/><Relationship Id="rId1898" Type="http://schemas.openxmlformats.org/officeDocument/2006/relationships/hyperlink" Target="https://akshar-exim-company-pvt-ltd.odoo.com/web" TargetMode="External"/><Relationship Id="rId4922" Type="http://schemas.openxmlformats.org/officeDocument/2006/relationships/hyperlink" Target="https://akshar-exim-company-pvt-ltd.odoo.com/web" TargetMode="External"/><Relationship Id="rId1899" Type="http://schemas.openxmlformats.org/officeDocument/2006/relationships/hyperlink" Target="https://akshar-exim-company-pvt-ltd.odoo.com/web" TargetMode="External"/><Relationship Id="rId4925" Type="http://schemas.openxmlformats.org/officeDocument/2006/relationships/hyperlink" Target="https://akshar-exim-company-pvt-ltd.odoo.com/web" TargetMode="External"/><Relationship Id="rId4924" Type="http://schemas.openxmlformats.org/officeDocument/2006/relationships/hyperlink" Target="https://akshar-exim-company-pvt-ltd.odoo.com/web" TargetMode="External"/><Relationship Id="rId4927" Type="http://schemas.openxmlformats.org/officeDocument/2006/relationships/hyperlink" Target="https://akshar-exim-company-pvt-ltd.odoo.com/web" TargetMode="External"/><Relationship Id="rId4926" Type="http://schemas.openxmlformats.org/officeDocument/2006/relationships/hyperlink" Target="https://akshar-exim-company-pvt-ltd.odoo.com/web" TargetMode="External"/><Relationship Id="rId4929" Type="http://schemas.openxmlformats.org/officeDocument/2006/relationships/hyperlink" Target="https://akshar-exim-company-pvt-ltd.odoo.com/web" TargetMode="External"/><Relationship Id="rId4928" Type="http://schemas.openxmlformats.org/officeDocument/2006/relationships/hyperlink" Target="https://akshar-exim-company-pvt-ltd.odoo.com/web" TargetMode="External"/><Relationship Id="rId1890" Type="http://schemas.openxmlformats.org/officeDocument/2006/relationships/hyperlink" Target="https://akshar-exim-company-pvt-ltd.odoo.com/web" TargetMode="External"/><Relationship Id="rId1891" Type="http://schemas.openxmlformats.org/officeDocument/2006/relationships/hyperlink" Target="https://akshar-exim-company-pvt-ltd.odoo.com/web" TargetMode="External"/><Relationship Id="rId1892" Type="http://schemas.openxmlformats.org/officeDocument/2006/relationships/hyperlink" Target="https://akshar-exim-company-pvt-ltd.odoo.com/web" TargetMode="External"/><Relationship Id="rId1893" Type="http://schemas.openxmlformats.org/officeDocument/2006/relationships/hyperlink" Target="https://akshar-exim-company-pvt-ltd.odoo.com/web" TargetMode="External"/><Relationship Id="rId1894" Type="http://schemas.openxmlformats.org/officeDocument/2006/relationships/hyperlink" Target="https://akshar-exim-company-pvt-ltd.odoo.com/web" TargetMode="External"/><Relationship Id="rId1884" Type="http://schemas.openxmlformats.org/officeDocument/2006/relationships/hyperlink" Target="https://akshar-exim-company-pvt-ltd.odoo.com/web" TargetMode="External"/><Relationship Id="rId4910" Type="http://schemas.openxmlformats.org/officeDocument/2006/relationships/hyperlink" Target="https://akshar-exim-company-pvt-ltd.odoo.com/web" TargetMode="External"/><Relationship Id="rId1885" Type="http://schemas.openxmlformats.org/officeDocument/2006/relationships/hyperlink" Target="https://akshar-exim-company-pvt-ltd.odoo.com/web" TargetMode="External"/><Relationship Id="rId1886" Type="http://schemas.openxmlformats.org/officeDocument/2006/relationships/hyperlink" Target="https://akshar-exim-company-pvt-ltd.odoo.com/web" TargetMode="External"/><Relationship Id="rId4912" Type="http://schemas.openxmlformats.org/officeDocument/2006/relationships/hyperlink" Target="https://akshar-exim-company-pvt-ltd.odoo.com/web" TargetMode="External"/><Relationship Id="rId1887" Type="http://schemas.openxmlformats.org/officeDocument/2006/relationships/hyperlink" Target="https://akshar-exim-company-pvt-ltd.odoo.com/web" TargetMode="External"/><Relationship Id="rId4911" Type="http://schemas.openxmlformats.org/officeDocument/2006/relationships/hyperlink" Target="https://akshar-exim-company-pvt-ltd.odoo.com/web" TargetMode="External"/><Relationship Id="rId1888" Type="http://schemas.openxmlformats.org/officeDocument/2006/relationships/hyperlink" Target="https://akshar-exim-company-pvt-ltd.odoo.com/web" TargetMode="External"/><Relationship Id="rId4914" Type="http://schemas.openxmlformats.org/officeDocument/2006/relationships/hyperlink" Target="https://akshar-exim-company-pvt-ltd.odoo.com/web" TargetMode="External"/><Relationship Id="rId1889" Type="http://schemas.openxmlformats.org/officeDocument/2006/relationships/hyperlink" Target="https://akshar-exim-company-pvt-ltd.odoo.com/web" TargetMode="External"/><Relationship Id="rId4913" Type="http://schemas.openxmlformats.org/officeDocument/2006/relationships/hyperlink" Target="https://akshar-exim-company-pvt-ltd.odoo.com/web" TargetMode="External"/><Relationship Id="rId4916" Type="http://schemas.openxmlformats.org/officeDocument/2006/relationships/hyperlink" Target="https://akshar-exim-company-pvt-ltd.odoo.com/web" TargetMode="External"/><Relationship Id="rId4915" Type="http://schemas.openxmlformats.org/officeDocument/2006/relationships/hyperlink" Target="https://akshar-exim-company-pvt-ltd.odoo.com/web" TargetMode="External"/><Relationship Id="rId4918" Type="http://schemas.openxmlformats.org/officeDocument/2006/relationships/hyperlink" Target="https://akshar-exim-company-pvt-ltd.odoo.com/web" TargetMode="External"/><Relationship Id="rId4917" Type="http://schemas.openxmlformats.org/officeDocument/2006/relationships/hyperlink" Target="https://akshar-exim-company-pvt-ltd.odoo.com/web" TargetMode="External"/><Relationship Id="rId4919" Type="http://schemas.openxmlformats.org/officeDocument/2006/relationships/hyperlink" Target="https://akshar-exim-company-pvt-ltd.odoo.com/web" TargetMode="External"/><Relationship Id="rId1880" Type="http://schemas.openxmlformats.org/officeDocument/2006/relationships/hyperlink" Target="https://akshar-exim-company-pvt-ltd.odoo.com/web" TargetMode="External"/><Relationship Id="rId1881" Type="http://schemas.openxmlformats.org/officeDocument/2006/relationships/hyperlink" Target="https://akshar-exim-company-pvt-ltd.odoo.com/web" TargetMode="External"/><Relationship Id="rId1882" Type="http://schemas.openxmlformats.org/officeDocument/2006/relationships/hyperlink" Target="https://akshar-exim-company-pvt-ltd.odoo.com/web" TargetMode="External"/><Relationship Id="rId1883" Type="http://schemas.openxmlformats.org/officeDocument/2006/relationships/hyperlink" Target="https://akshar-exim-company-pvt-ltd.odoo.com/web" TargetMode="External"/><Relationship Id="rId3612" Type="http://schemas.openxmlformats.org/officeDocument/2006/relationships/hyperlink" Target="mailto:ddutta0112@gmail.com" TargetMode="External"/><Relationship Id="rId4943" Type="http://schemas.openxmlformats.org/officeDocument/2006/relationships/hyperlink" Target="https://akshar-exim-company-pvt-ltd.odoo.com/web" TargetMode="External"/><Relationship Id="rId3611" Type="http://schemas.openxmlformats.org/officeDocument/2006/relationships/hyperlink" Target="https://akshar-exim-company-pvt-ltd.odoo.com/web" TargetMode="External"/><Relationship Id="rId4942" Type="http://schemas.openxmlformats.org/officeDocument/2006/relationships/hyperlink" Target="https://akshar-exim-company-pvt-ltd.odoo.com/web" TargetMode="External"/><Relationship Id="rId3614" Type="http://schemas.openxmlformats.org/officeDocument/2006/relationships/hyperlink" Target="https://akshar-exim-company-pvt-ltd.odoo.com/web" TargetMode="External"/><Relationship Id="rId4945" Type="http://schemas.openxmlformats.org/officeDocument/2006/relationships/hyperlink" Target="https://akshar-exim-company-pvt-ltd.odoo.com/web" TargetMode="External"/><Relationship Id="rId3613" Type="http://schemas.openxmlformats.org/officeDocument/2006/relationships/hyperlink" Target="https://akshar-exim-company-pvt-ltd.odoo.com/web" TargetMode="External"/><Relationship Id="rId4944" Type="http://schemas.openxmlformats.org/officeDocument/2006/relationships/hyperlink" Target="https://akshar-exim-company-pvt-ltd.odoo.com/web" TargetMode="External"/><Relationship Id="rId3616" Type="http://schemas.openxmlformats.org/officeDocument/2006/relationships/hyperlink" Target="https://akshar-exim-company-pvt-ltd.odoo.com/web" TargetMode="External"/><Relationship Id="rId4947" Type="http://schemas.openxmlformats.org/officeDocument/2006/relationships/hyperlink" Target="https://akshar-exim-company-pvt-ltd.odoo.com/web" TargetMode="External"/><Relationship Id="rId3615" Type="http://schemas.openxmlformats.org/officeDocument/2006/relationships/hyperlink" Target="https://akshar-exim-company-pvt-ltd.odoo.com/web" TargetMode="External"/><Relationship Id="rId4946" Type="http://schemas.openxmlformats.org/officeDocument/2006/relationships/hyperlink" Target="https://akshar-exim-company-pvt-ltd.odoo.com/web" TargetMode="External"/><Relationship Id="rId3618" Type="http://schemas.openxmlformats.org/officeDocument/2006/relationships/hyperlink" Target="https://akshar-exim-company-pvt-ltd.odoo.com/web" TargetMode="External"/><Relationship Id="rId4949" Type="http://schemas.openxmlformats.org/officeDocument/2006/relationships/hyperlink" Target="https://akshar-exim-company-pvt-ltd.odoo.com/web" TargetMode="External"/><Relationship Id="rId3617" Type="http://schemas.openxmlformats.org/officeDocument/2006/relationships/hyperlink" Target="mailto:melbindas@gmail.com" TargetMode="External"/><Relationship Id="rId4948" Type="http://schemas.openxmlformats.org/officeDocument/2006/relationships/hyperlink" Target="https://akshar-exim-company-pvt-ltd.odoo.com/web" TargetMode="External"/><Relationship Id="rId3619" Type="http://schemas.openxmlformats.org/officeDocument/2006/relationships/hyperlink" Target="mailto:ipsita.ganguliceramics@gmail.com" TargetMode="External"/><Relationship Id="rId3610" Type="http://schemas.openxmlformats.org/officeDocument/2006/relationships/hyperlink" Target="https://akshar-exim-company-pvt-ltd.odoo.com/web" TargetMode="External"/><Relationship Id="rId4941" Type="http://schemas.openxmlformats.org/officeDocument/2006/relationships/hyperlink" Target="https://akshar-exim-company-pvt-ltd.odoo.com/web" TargetMode="External"/><Relationship Id="rId4940" Type="http://schemas.openxmlformats.org/officeDocument/2006/relationships/hyperlink" Target="https://akshar-exim-company-pvt-ltd.odoo.com/web" TargetMode="External"/><Relationship Id="rId3601" Type="http://schemas.openxmlformats.org/officeDocument/2006/relationships/hyperlink" Target="https://akshar-exim-company-pvt-ltd.odoo.com/web" TargetMode="External"/><Relationship Id="rId4932" Type="http://schemas.openxmlformats.org/officeDocument/2006/relationships/hyperlink" Target="https://akshar-exim-company-pvt-ltd.odoo.com/web" TargetMode="External"/><Relationship Id="rId3600" Type="http://schemas.openxmlformats.org/officeDocument/2006/relationships/hyperlink" Target="mailto:aritrade91@gmail.com" TargetMode="External"/><Relationship Id="rId4931" Type="http://schemas.openxmlformats.org/officeDocument/2006/relationships/hyperlink" Target="https://akshar-exim-company-pvt-ltd.odoo.com/web" TargetMode="External"/><Relationship Id="rId3603" Type="http://schemas.openxmlformats.org/officeDocument/2006/relationships/hyperlink" Target="https://akshar-exim-company-pvt-ltd.odoo.com/web" TargetMode="External"/><Relationship Id="rId4934" Type="http://schemas.openxmlformats.org/officeDocument/2006/relationships/hyperlink" Target="https://akshar-exim-company-pvt-ltd.odoo.com/web" TargetMode="External"/><Relationship Id="rId3602" Type="http://schemas.openxmlformats.org/officeDocument/2006/relationships/hyperlink" Target="mailto:vishalagarwal700@gmail.com" TargetMode="External"/><Relationship Id="rId4933" Type="http://schemas.openxmlformats.org/officeDocument/2006/relationships/hyperlink" Target="https://akshar-exim-company-pvt-ltd.odoo.com/web" TargetMode="External"/><Relationship Id="rId3605" Type="http://schemas.openxmlformats.org/officeDocument/2006/relationships/hyperlink" Target="https://akshar-exim-company-pvt-ltd.odoo.com/web" TargetMode="External"/><Relationship Id="rId4936" Type="http://schemas.openxmlformats.org/officeDocument/2006/relationships/hyperlink" Target="https://akshar-exim-company-pvt-ltd.odoo.com/web" TargetMode="External"/><Relationship Id="rId3604" Type="http://schemas.openxmlformats.org/officeDocument/2006/relationships/hyperlink" Target="https://akshar-exim-company-pvt-ltd.odoo.com/web" TargetMode="External"/><Relationship Id="rId4935" Type="http://schemas.openxmlformats.org/officeDocument/2006/relationships/hyperlink" Target="https://akshar-exim-company-pvt-ltd.odoo.com/web" TargetMode="External"/><Relationship Id="rId3607" Type="http://schemas.openxmlformats.org/officeDocument/2006/relationships/hyperlink" Target="https://akshar-exim-company-pvt-ltd.odoo.com/web" TargetMode="External"/><Relationship Id="rId4938" Type="http://schemas.openxmlformats.org/officeDocument/2006/relationships/hyperlink" Target="https://akshar-exim-company-pvt-ltd.odoo.com/web" TargetMode="External"/><Relationship Id="rId3606" Type="http://schemas.openxmlformats.org/officeDocument/2006/relationships/hyperlink" Target="mailto:subhoakadeb1996@gmail.com" TargetMode="External"/><Relationship Id="rId4937" Type="http://schemas.openxmlformats.org/officeDocument/2006/relationships/hyperlink" Target="https://akshar-exim-company-pvt-ltd.odoo.com/web" TargetMode="External"/><Relationship Id="rId3609" Type="http://schemas.openxmlformats.org/officeDocument/2006/relationships/hyperlink" Target="https://akshar-exim-company-pvt-ltd.odoo.com/web" TargetMode="External"/><Relationship Id="rId3608" Type="http://schemas.openxmlformats.org/officeDocument/2006/relationships/hyperlink" Target="mailto:agarwalsales6@gmail.com" TargetMode="External"/><Relationship Id="rId4939" Type="http://schemas.openxmlformats.org/officeDocument/2006/relationships/hyperlink" Target="https://akshar-exim-company-pvt-ltd.odoo.com/web" TargetMode="External"/><Relationship Id="rId4930" Type="http://schemas.openxmlformats.org/officeDocument/2006/relationships/hyperlink" Target="https://akshar-exim-company-pvt-ltd.odoo.com/web" TargetMode="External"/><Relationship Id="rId1059" Type="http://schemas.openxmlformats.org/officeDocument/2006/relationships/hyperlink" Target="https://akshar-exim-company-pvt-ltd.odoo.com/web" TargetMode="External"/><Relationship Id="rId228" Type="http://schemas.openxmlformats.org/officeDocument/2006/relationships/hyperlink" Target="https://akshar-exim-company-pvt-ltd.odoo.com/web" TargetMode="External"/><Relationship Id="rId227" Type="http://schemas.openxmlformats.org/officeDocument/2006/relationships/hyperlink" Target="https://akshar-exim-company-pvt-ltd.odoo.com/web" TargetMode="External"/><Relationship Id="rId226" Type="http://schemas.openxmlformats.org/officeDocument/2006/relationships/hyperlink" Target="https://akshar-exim-company-pvt-ltd.odoo.com/web" TargetMode="External"/><Relationship Id="rId225" Type="http://schemas.openxmlformats.org/officeDocument/2006/relationships/hyperlink" Target="mailto:himangshu.bhusan@gmail.com" TargetMode="External"/><Relationship Id="rId2380" Type="http://schemas.openxmlformats.org/officeDocument/2006/relationships/hyperlink" Target="https://akshar-exim-company-pvt-ltd.odoo.com/web" TargetMode="External"/><Relationship Id="rId229" Type="http://schemas.openxmlformats.org/officeDocument/2006/relationships/hyperlink" Target="mailto:vickzodiac@gmail.com" TargetMode="External"/><Relationship Id="rId1050" Type="http://schemas.openxmlformats.org/officeDocument/2006/relationships/hyperlink" Target="mailto:roypuspendu09@gmail.com" TargetMode="External"/><Relationship Id="rId2381" Type="http://schemas.openxmlformats.org/officeDocument/2006/relationships/hyperlink" Target="https://akshar-exim-company-pvt-ltd.odoo.com/web" TargetMode="External"/><Relationship Id="rId220" Type="http://schemas.openxmlformats.org/officeDocument/2006/relationships/hyperlink" Target="mailto:anindyabhattacharyya1993@gmail.com" TargetMode="External"/><Relationship Id="rId1051" Type="http://schemas.openxmlformats.org/officeDocument/2006/relationships/hyperlink" Target="https://akshar-exim-company-pvt-ltd.odoo.com/web" TargetMode="External"/><Relationship Id="rId2382" Type="http://schemas.openxmlformats.org/officeDocument/2006/relationships/hyperlink" Target="https://akshar-exim-company-pvt-ltd.odoo.com/web" TargetMode="External"/><Relationship Id="rId1052" Type="http://schemas.openxmlformats.org/officeDocument/2006/relationships/hyperlink" Target="mailto:sattya021@gmail.com" TargetMode="External"/><Relationship Id="rId2383" Type="http://schemas.openxmlformats.org/officeDocument/2006/relationships/hyperlink" Target="https://akshar-exim-company-pvt-ltd.odoo.com/web" TargetMode="External"/><Relationship Id="rId1053" Type="http://schemas.openxmlformats.org/officeDocument/2006/relationships/hyperlink" Target="https://akshar-exim-company-pvt-ltd.odoo.com/web" TargetMode="External"/><Relationship Id="rId2384" Type="http://schemas.openxmlformats.org/officeDocument/2006/relationships/hyperlink" Target="https://akshar-exim-company-pvt-ltd.odoo.com/web" TargetMode="External"/><Relationship Id="rId1054" Type="http://schemas.openxmlformats.org/officeDocument/2006/relationships/hyperlink" Target="https://akshar-exim-company-pvt-ltd.odoo.com/web" TargetMode="External"/><Relationship Id="rId2385" Type="http://schemas.openxmlformats.org/officeDocument/2006/relationships/hyperlink" Target="https://akshar-exim-company-pvt-ltd.odoo.com/web" TargetMode="External"/><Relationship Id="rId224" Type="http://schemas.openxmlformats.org/officeDocument/2006/relationships/hyperlink" Target="https://akshar-exim-company-pvt-ltd.odoo.com/web" TargetMode="External"/><Relationship Id="rId1055" Type="http://schemas.openxmlformats.org/officeDocument/2006/relationships/hyperlink" Target="mailto:debasish.ghosal18@gmail.com" TargetMode="External"/><Relationship Id="rId2386" Type="http://schemas.openxmlformats.org/officeDocument/2006/relationships/hyperlink" Target="https://akshar-exim-company-pvt-ltd.odoo.com/web" TargetMode="External"/><Relationship Id="rId223" Type="http://schemas.openxmlformats.org/officeDocument/2006/relationships/hyperlink" Target="https://akshar-exim-company-pvt-ltd.odoo.com/web" TargetMode="External"/><Relationship Id="rId1056" Type="http://schemas.openxmlformats.org/officeDocument/2006/relationships/hyperlink" Target="https://akshar-exim-company-pvt-ltd.odoo.com/web" TargetMode="External"/><Relationship Id="rId2387" Type="http://schemas.openxmlformats.org/officeDocument/2006/relationships/hyperlink" Target="https://akshar-exim-company-pvt-ltd.odoo.com/web" TargetMode="External"/><Relationship Id="rId222" Type="http://schemas.openxmlformats.org/officeDocument/2006/relationships/hyperlink" Target="mailto:balajeeindustrial14@gmail.com" TargetMode="External"/><Relationship Id="rId1057" Type="http://schemas.openxmlformats.org/officeDocument/2006/relationships/hyperlink" Target="mailto:vijayspheroidals@gmail.com" TargetMode="External"/><Relationship Id="rId2388" Type="http://schemas.openxmlformats.org/officeDocument/2006/relationships/hyperlink" Target="https://akshar-exim-company-pvt-ltd.odoo.com/web" TargetMode="External"/><Relationship Id="rId221" Type="http://schemas.openxmlformats.org/officeDocument/2006/relationships/hyperlink" Target="https://akshar-exim-company-pvt-ltd.odoo.com/web" TargetMode="External"/><Relationship Id="rId1058" Type="http://schemas.openxmlformats.org/officeDocument/2006/relationships/hyperlink" Target="https://akshar-exim-company-pvt-ltd.odoo.com/web" TargetMode="External"/><Relationship Id="rId2389" Type="http://schemas.openxmlformats.org/officeDocument/2006/relationships/hyperlink" Target="https://akshar-exim-company-pvt-ltd.odoo.com/web" TargetMode="External"/><Relationship Id="rId1048" Type="http://schemas.openxmlformats.org/officeDocument/2006/relationships/hyperlink" Target="mailto:mightysteellinks@gmail.com" TargetMode="External"/><Relationship Id="rId2379" Type="http://schemas.openxmlformats.org/officeDocument/2006/relationships/hyperlink" Target="https://akshar-exim-company-pvt-ltd.odoo.com/web" TargetMode="External"/><Relationship Id="rId1049" Type="http://schemas.openxmlformats.org/officeDocument/2006/relationships/hyperlink" Target="https://akshar-exim-company-pvt-ltd.odoo.com/web" TargetMode="External"/><Relationship Id="rId217" Type="http://schemas.openxmlformats.org/officeDocument/2006/relationships/hyperlink" Target="https://akshar-exim-company-pvt-ltd.odoo.com/web" TargetMode="External"/><Relationship Id="rId216" Type="http://schemas.openxmlformats.org/officeDocument/2006/relationships/hyperlink" Target="mailto:soumendu@agnipower.com" TargetMode="External"/><Relationship Id="rId215" Type="http://schemas.openxmlformats.org/officeDocument/2006/relationships/hyperlink" Target="https://akshar-exim-company-pvt-ltd.odoo.com/web" TargetMode="External"/><Relationship Id="rId214" Type="http://schemas.openxmlformats.org/officeDocument/2006/relationships/hyperlink" Target="mailto:bhushanpawar5055@gmail.com" TargetMode="External"/><Relationship Id="rId219" Type="http://schemas.openxmlformats.org/officeDocument/2006/relationships/hyperlink" Target="https://akshar-exim-company-pvt-ltd.odoo.com/web" TargetMode="External"/><Relationship Id="rId218" Type="http://schemas.openxmlformats.org/officeDocument/2006/relationships/hyperlink" Target="mailto:salauddinsheikh@rediffmail.com" TargetMode="External"/><Relationship Id="rId2370" Type="http://schemas.openxmlformats.org/officeDocument/2006/relationships/hyperlink" Target="https://akshar-exim-company-pvt-ltd.odoo.com/web" TargetMode="External"/><Relationship Id="rId1040" Type="http://schemas.openxmlformats.org/officeDocument/2006/relationships/hyperlink" Target="https://akshar-exim-company-pvt-ltd.odoo.com/web" TargetMode="External"/><Relationship Id="rId2371" Type="http://schemas.openxmlformats.org/officeDocument/2006/relationships/hyperlink" Target="https://akshar-exim-company-pvt-ltd.odoo.com/web" TargetMode="External"/><Relationship Id="rId1041" Type="http://schemas.openxmlformats.org/officeDocument/2006/relationships/hyperlink" Target="mailto:hiteshchandrakar1@gmail.com" TargetMode="External"/><Relationship Id="rId2372" Type="http://schemas.openxmlformats.org/officeDocument/2006/relationships/hyperlink" Target="https://akshar-exim-company-pvt-ltd.odoo.com/web" TargetMode="External"/><Relationship Id="rId1042" Type="http://schemas.openxmlformats.org/officeDocument/2006/relationships/hyperlink" Target="https://akshar-exim-company-pvt-ltd.odoo.com/web" TargetMode="External"/><Relationship Id="rId2373" Type="http://schemas.openxmlformats.org/officeDocument/2006/relationships/hyperlink" Target="https://akshar-exim-company-pvt-ltd.odoo.com/web" TargetMode="External"/><Relationship Id="rId1043" Type="http://schemas.openxmlformats.org/officeDocument/2006/relationships/hyperlink" Target="mailto:loriyasceramic0751@gmail.com" TargetMode="External"/><Relationship Id="rId2374" Type="http://schemas.openxmlformats.org/officeDocument/2006/relationships/hyperlink" Target="https://akshar-exim-company-pvt-ltd.odoo.com/web" TargetMode="External"/><Relationship Id="rId213" Type="http://schemas.openxmlformats.org/officeDocument/2006/relationships/hyperlink" Target="https://akshar-exim-company-pvt-ltd.odoo.com/web" TargetMode="External"/><Relationship Id="rId1044" Type="http://schemas.openxmlformats.org/officeDocument/2006/relationships/hyperlink" Target="https://akshar-exim-company-pvt-ltd.odoo.com/web" TargetMode="External"/><Relationship Id="rId2375" Type="http://schemas.openxmlformats.org/officeDocument/2006/relationships/hyperlink" Target="https://akshar-exim-company-pvt-ltd.odoo.com/web" TargetMode="External"/><Relationship Id="rId212" Type="http://schemas.openxmlformats.org/officeDocument/2006/relationships/hyperlink" Target="mailto:jagirdar39gs@gmail.com" TargetMode="External"/><Relationship Id="rId1045" Type="http://schemas.openxmlformats.org/officeDocument/2006/relationships/hyperlink" Target="https://akshar-exim-company-pvt-ltd.odoo.com/web" TargetMode="External"/><Relationship Id="rId2376" Type="http://schemas.openxmlformats.org/officeDocument/2006/relationships/hyperlink" Target="https://akshar-exim-company-pvt-ltd.odoo.com/web" TargetMode="External"/><Relationship Id="rId211" Type="http://schemas.openxmlformats.org/officeDocument/2006/relationships/hyperlink" Target="https://akshar-exim-company-pvt-ltd.odoo.com/web" TargetMode="External"/><Relationship Id="rId1046" Type="http://schemas.openxmlformats.org/officeDocument/2006/relationships/hyperlink" Target="mailto:avijeetkar3@gmail.com" TargetMode="External"/><Relationship Id="rId2377" Type="http://schemas.openxmlformats.org/officeDocument/2006/relationships/hyperlink" Target="https://akshar-exim-company-pvt-ltd.odoo.com/web" TargetMode="External"/><Relationship Id="rId210" Type="http://schemas.openxmlformats.org/officeDocument/2006/relationships/hyperlink" Target="mailto:neel.soumya24@gmail.com" TargetMode="External"/><Relationship Id="rId1047" Type="http://schemas.openxmlformats.org/officeDocument/2006/relationships/hyperlink" Target="https://akshar-exim-company-pvt-ltd.odoo.com/web" TargetMode="External"/><Relationship Id="rId2378" Type="http://schemas.openxmlformats.org/officeDocument/2006/relationships/hyperlink" Target="https://akshar-exim-company-pvt-ltd.odoo.com/web" TargetMode="External"/><Relationship Id="rId4107" Type="http://schemas.openxmlformats.org/officeDocument/2006/relationships/hyperlink" Target="mailto:chiraggandhi221901@gmail.com" TargetMode="External"/><Relationship Id="rId4106" Type="http://schemas.openxmlformats.org/officeDocument/2006/relationships/hyperlink" Target="https://akshar-exim-company-pvt-ltd.odoo.com/web" TargetMode="External"/><Relationship Id="rId4109" Type="http://schemas.openxmlformats.org/officeDocument/2006/relationships/hyperlink" Target="mailto:ssimpex1988@gmail.com" TargetMode="External"/><Relationship Id="rId4108" Type="http://schemas.openxmlformats.org/officeDocument/2006/relationships/hyperlink" Target="https://akshar-exim-company-pvt-ltd.odoo.com/web" TargetMode="External"/><Relationship Id="rId249" Type="http://schemas.openxmlformats.org/officeDocument/2006/relationships/hyperlink" Target="https://akshar-exim-company-pvt-ltd.odoo.com/web" TargetMode="External"/><Relationship Id="rId248" Type="http://schemas.openxmlformats.org/officeDocument/2006/relationships/hyperlink" Target="mailto:jainendra_jj@yahoo.co.in" TargetMode="External"/><Relationship Id="rId247" Type="http://schemas.openxmlformats.org/officeDocument/2006/relationships/hyperlink" Target="https://akshar-exim-company-pvt-ltd.odoo.com/web" TargetMode="External"/><Relationship Id="rId1070" Type="http://schemas.openxmlformats.org/officeDocument/2006/relationships/hyperlink" Target="mailto:sushilalp951@gmail.com" TargetMode="External"/><Relationship Id="rId1071" Type="http://schemas.openxmlformats.org/officeDocument/2006/relationships/hyperlink" Target="https://akshar-exim-company-pvt-ltd.odoo.com/web" TargetMode="External"/><Relationship Id="rId1072" Type="http://schemas.openxmlformats.org/officeDocument/2006/relationships/hyperlink" Target="mailto:shailendrk1217@gmail.com" TargetMode="External"/><Relationship Id="rId242" Type="http://schemas.openxmlformats.org/officeDocument/2006/relationships/hyperlink" Target="mailto:chandangain12@gmail.com" TargetMode="External"/><Relationship Id="rId1073" Type="http://schemas.openxmlformats.org/officeDocument/2006/relationships/hyperlink" Target="https://akshar-exim-company-pvt-ltd.odoo.com/web" TargetMode="External"/><Relationship Id="rId241" Type="http://schemas.openxmlformats.org/officeDocument/2006/relationships/hyperlink" Target="https://akshar-exim-company-pvt-ltd.odoo.com/web" TargetMode="External"/><Relationship Id="rId1074" Type="http://schemas.openxmlformats.org/officeDocument/2006/relationships/hyperlink" Target="mailto:krcgeo@gmail.com" TargetMode="External"/><Relationship Id="rId240" Type="http://schemas.openxmlformats.org/officeDocument/2006/relationships/hyperlink" Target="https://akshar-exim-company-pvt-ltd.odoo.com/web" TargetMode="External"/><Relationship Id="rId1075" Type="http://schemas.openxmlformats.org/officeDocument/2006/relationships/hyperlink" Target="https://akshar-exim-company-pvt-ltd.odoo.com/web" TargetMode="External"/><Relationship Id="rId4101" Type="http://schemas.openxmlformats.org/officeDocument/2006/relationships/hyperlink" Target="https://akshar-exim-company-pvt-ltd.odoo.com/web" TargetMode="External"/><Relationship Id="rId1076" Type="http://schemas.openxmlformats.org/officeDocument/2006/relationships/hyperlink" Target="mailto:aminurmolla@gmail.com" TargetMode="External"/><Relationship Id="rId4100" Type="http://schemas.openxmlformats.org/officeDocument/2006/relationships/hyperlink" Target="mailto:ashvin.patel@gmail.com" TargetMode="External"/><Relationship Id="rId246" Type="http://schemas.openxmlformats.org/officeDocument/2006/relationships/hyperlink" Target="http://indmrt.in/brctjcjk/call+91-7001454615" TargetMode="External"/><Relationship Id="rId1077" Type="http://schemas.openxmlformats.org/officeDocument/2006/relationships/hyperlink" Target="https://akshar-exim-company-pvt-ltd.odoo.com/web" TargetMode="External"/><Relationship Id="rId4103" Type="http://schemas.openxmlformats.org/officeDocument/2006/relationships/hyperlink" Target="mailto:abrasive_gayadin@yahoo.co.in" TargetMode="External"/><Relationship Id="rId245" Type="http://schemas.openxmlformats.org/officeDocument/2006/relationships/hyperlink" Target="mailto:iamitroy13@gmail.com" TargetMode="External"/><Relationship Id="rId1078" Type="http://schemas.openxmlformats.org/officeDocument/2006/relationships/hyperlink" Target="mailto:somilkotadia2730@gmail.com" TargetMode="External"/><Relationship Id="rId4102" Type="http://schemas.openxmlformats.org/officeDocument/2006/relationships/hyperlink" Target="https://akshar-exim-company-pvt-ltd.odoo.com/web" TargetMode="External"/><Relationship Id="rId244" Type="http://schemas.openxmlformats.org/officeDocument/2006/relationships/hyperlink" Target="mailto:manishadhada@gmail.com" TargetMode="External"/><Relationship Id="rId1079" Type="http://schemas.openxmlformats.org/officeDocument/2006/relationships/hyperlink" Target="https://akshar-exim-company-pvt-ltd.odoo.com/web" TargetMode="External"/><Relationship Id="rId4105" Type="http://schemas.openxmlformats.org/officeDocument/2006/relationships/hyperlink" Target="mailto:kmagrawal430@gmail.com" TargetMode="External"/><Relationship Id="rId243" Type="http://schemas.openxmlformats.org/officeDocument/2006/relationships/hyperlink" Target="https://akshar-exim-company-pvt-ltd.odoo.com/web" TargetMode="External"/><Relationship Id="rId4104" Type="http://schemas.openxmlformats.org/officeDocument/2006/relationships/hyperlink" Target="https://akshar-exim-company-pvt-ltd.odoo.com/web" TargetMode="External"/><Relationship Id="rId239" Type="http://schemas.openxmlformats.org/officeDocument/2006/relationships/hyperlink" Target="http://indmrt.in/brctjcjk/call+91-9547929477" TargetMode="External"/><Relationship Id="rId238" Type="http://schemas.openxmlformats.org/officeDocument/2006/relationships/hyperlink" Target="mailto:aliulazimsk200596@gmail.com" TargetMode="External"/><Relationship Id="rId237" Type="http://schemas.openxmlformats.org/officeDocument/2006/relationships/hyperlink" Target="mailto:amitdubey744952@gmail.com" TargetMode="External"/><Relationship Id="rId236" Type="http://schemas.openxmlformats.org/officeDocument/2006/relationships/hyperlink" Target="https://akshar-exim-company-pvt-ltd.odoo.com/web" TargetMode="External"/><Relationship Id="rId2390" Type="http://schemas.openxmlformats.org/officeDocument/2006/relationships/hyperlink" Target="https://akshar-exim-company-pvt-ltd.odoo.com/web" TargetMode="External"/><Relationship Id="rId1060" Type="http://schemas.openxmlformats.org/officeDocument/2006/relationships/hyperlink" Target="mailto:tersuldeterjent@gmail.com" TargetMode="External"/><Relationship Id="rId2391" Type="http://schemas.openxmlformats.org/officeDocument/2006/relationships/hyperlink" Target="https://akshar-exim-company-pvt-ltd.odoo.com/web" TargetMode="External"/><Relationship Id="rId1061" Type="http://schemas.openxmlformats.org/officeDocument/2006/relationships/hyperlink" Target="https://akshar-exim-company-pvt-ltd.odoo.com/web" TargetMode="External"/><Relationship Id="rId2392" Type="http://schemas.openxmlformats.org/officeDocument/2006/relationships/hyperlink" Target="https://akshar-exim-company-pvt-ltd.odoo.com/web" TargetMode="External"/><Relationship Id="rId231" Type="http://schemas.openxmlformats.org/officeDocument/2006/relationships/hyperlink" Target="mailto:ssdplastopvt2022@gmail.com" TargetMode="External"/><Relationship Id="rId1062" Type="http://schemas.openxmlformats.org/officeDocument/2006/relationships/hyperlink" Target="https://akshar-exim-company-pvt-ltd.odoo.com/web" TargetMode="External"/><Relationship Id="rId2393" Type="http://schemas.openxmlformats.org/officeDocument/2006/relationships/hyperlink" Target="https://akshar-exim-company-pvt-ltd.odoo.com/web" TargetMode="External"/><Relationship Id="rId230" Type="http://schemas.openxmlformats.org/officeDocument/2006/relationships/hyperlink" Target="https://akshar-exim-company-pvt-ltd.odoo.com/web" TargetMode="External"/><Relationship Id="rId1063" Type="http://schemas.openxmlformats.org/officeDocument/2006/relationships/hyperlink" Target="mailto:shyamsundarsingh14@gmail.com" TargetMode="External"/><Relationship Id="rId2394" Type="http://schemas.openxmlformats.org/officeDocument/2006/relationships/hyperlink" Target="https://akshar-exim-company-pvt-ltd.odoo.com/web" TargetMode="External"/><Relationship Id="rId1064" Type="http://schemas.openxmlformats.org/officeDocument/2006/relationships/hyperlink" Target="https://akshar-exim-company-pvt-ltd.odoo.com/web" TargetMode="External"/><Relationship Id="rId2395" Type="http://schemas.openxmlformats.org/officeDocument/2006/relationships/hyperlink" Target="https://akshar-exim-company-pvt-ltd.odoo.com/web" TargetMode="External"/><Relationship Id="rId1065" Type="http://schemas.openxmlformats.org/officeDocument/2006/relationships/hyperlink" Target="https://akshar-exim-company-pvt-ltd.odoo.com/web" TargetMode="External"/><Relationship Id="rId2396" Type="http://schemas.openxmlformats.org/officeDocument/2006/relationships/hyperlink" Target="https://akshar-exim-company-pvt-ltd.odoo.com/web" TargetMode="External"/><Relationship Id="rId235" Type="http://schemas.openxmlformats.org/officeDocument/2006/relationships/hyperlink" Target="mailto:bijanbijudas@yahoo.in" TargetMode="External"/><Relationship Id="rId1066" Type="http://schemas.openxmlformats.org/officeDocument/2006/relationships/hyperlink" Target="mailto:exportsganapati@gmail.com" TargetMode="External"/><Relationship Id="rId2397" Type="http://schemas.openxmlformats.org/officeDocument/2006/relationships/hyperlink" Target="https://akshar-exim-company-pvt-ltd.odoo.com/web" TargetMode="External"/><Relationship Id="rId234" Type="http://schemas.openxmlformats.org/officeDocument/2006/relationships/hyperlink" Target="https://akshar-exim-company-pvt-ltd.odoo.com/web" TargetMode="External"/><Relationship Id="rId1067" Type="http://schemas.openxmlformats.org/officeDocument/2006/relationships/hyperlink" Target="https://akshar-exim-company-pvt-ltd.odoo.com/web" TargetMode="External"/><Relationship Id="rId2398" Type="http://schemas.openxmlformats.org/officeDocument/2006/relationships/hyperlink" Target="https://akshar-exim-company-pvt-ltd.odoo.com/web" TargetMode="External"/><Relationship Id="rId233" Type="http://schemas.openxmlformats.org/officeDocument/2006/relationships/hyperlink" Target="mailto:tukaibagnan@gmail.com" TargetMode="External"/><Relationship Id="rId1068" Type="http://schemas.openxmlformats.org/officeDocument/2006/relationships/hyperlink" Target="mailto:pankajshrm490@gmail.com" TargetMode="External"/><Relationship Id="rId2399" Type="http://schemas.openxmlformats.org/officeDocument/2006/relationships/hyperlink" Target="https://akshar-exim-company-pvt-ltd.odoo.com/web" TargetMode="External"/><Relationship Id="rId232" Type="http://schemas.openxmlformats.org/officeDocument/2006/relationships/hyperlink" Target="https://akshar-exim-company-pvt-ltd.odoo.com/web" TargetMode="External"/><Relationship Id="rId1069" Type="http://schemas.openxmlformats.org/officeDocument/2006/relationships/hyperlink" Target="https://akshar-exim-company-pvt-ltd.odoo.com/web" TargetMode="External"/><Relationship Id="rId1015" Type="http://schemas.openxmlformats.org/officeDocument/2006/relationships/hyperlink" Target="https://akshar-exim-company-pvt-ltd.odoo.com/web" TargetMode="External"/><Relationship Id="rId2346" Type="http://schemas.openxmlformats.org/officeDocument/2006/relationships/hyperlink" Target="https://akshar-exim-company-pvt-ltd.odoo.com/web" TargetMode="External"/><Relationship Id="rId3678" Type="http://schemas.openxmlformats.org/officeDocument/2006/relationships/hyperlink" Target="mailto:kkkonish8@yahoo.com" TargetMode="External"/><Relationship Id="rId1016" Type="http://schemas.openxmlformats.org/officeDocument/2006/relationships/hyperlink" Target="https://akshar-exim-company-pvt-ltd.odoo.com/web" TargetMode="External"/><Relationship Id="rId2347" Type="http://schemas.openxmlformats.org/officeDocument/2006/relationships/hyperlink" Target="https://akshar-exim-company-pvt-ltd.odoo.com/web" TargetMode="External"/><Relationship Id="rId3677" Type="http://schemas.openxmlformats.org/officeDocument/2006/relationships/hyperlink" Target="https://akshar-exim-company-pvt-ltd.odoo.com/web" TargetMode="External"/><Relationship Id="rId1017" Type="http://schemas.openxmlformats.org/officeDocument/2006/relationships/hyperlink" Target="mailto:rjchemtech@gmail.com" TargetMode="External"/><Relationship Id="rId2348" Type="http://schemas.openxmlformats.org/officeDocument/2006/relationships/hyperlink" Target="https://akshar-exim-company-pvt-ltd.odoo.com/web" TargetMode="External"/><Relationship Id="rId1018" Type="http://schemas.openxmlformats.org/officeDocument/2006/relationships/hyperlink" Target="https://akshar-exim-company-pvt-ltd.odoo.com/web" TargetMode="External"/><Relationship Id="rId2349" Type="http://schemas.openxmlformats.org/officeDocument/2006/relationships/hyperlink" Target="https://akshar-exim-company-pvt-ltd.odoo.com/web" TargetMode="External"/><Relationship Id="rId3679" Type="http://schemas.openxmlformats.org/officeDocument/2006/relationships/hyperlink" Target="https://akshar-exim-company-pvt-ltd.odoo.com/web" TargetMode="External"/><Relationship Id="rId1019" Type="http://schemas.openxmlformats.org/officeDocument/2006/relationships/hyperlink" Target="mailto:axis_sahu@yahoo.co.in" TargetMode="External"/><Relationship Id="rId3670" Type="http://schemas.openxmlformats.org/officeDocument/2006/relationships/hyperlink" Target="https://akshar-exim-company-pvt-ltd.odoo.com/web" TargetMode="External"/><Relationship Id="rId2340" Type="http://schemas.openxmlformats.org/officeDocument/2006/relationships/hyperlink" Target="https://akshar-exim-company-pvt-ltd.odoo.com/web" TargetMode="External"/><Relationship Id="rId3672" Type="http://schemas.openxmlformats.org/officeDocument/2006/relationships/hyperlink" Target="mailto:sanjib.bain3102@gmail.com" TargetMode="External"/><Relationship Id="rId1010" Type="http://schemas.openxmlformats.org/officeDocument/2006/relationships/hyperlink" Target="https://akshar-exim-company-pvt-ltd.odoo.com/web" TargetMode="External"/><Relationship Id="rId2341" Type="http://schemas.openxmlformats.org/officeDocument/2006/relationships/hyperlink" Target="https://akshar-exim-company-pvt-ltd.odoo.com/web" TargetMode="External"/><Relationship Id="rId3671" Type="http://schemas.openxmlformats.org/officeDocument/2006/relationships/hyperlink" Target="https://akshar-exim-company-pvt-ltd.odoo.com/web" TargetMode="External"/><Relationship Id="rId1011" Type="http://schemas.openxmlformats.org/officeDocument/2006/relationships/hyperlink" Target="https://akshar-exim-company-pvt-ltd.odoo.com/web" TargetMode="External"/><Relationship Id="rId2342" Type="http://schemas.openxmlformats.org/officeDocument/2006/relationships/hyperlink" Target="https://akshar-exim-company-pvt-ltd.odoo.com/web" TargetMode="External"/><Relationship Id="rId3674" Type="http://schemas.openxmlformats.org/officeDocument/2006/relationships/hyperlink" Target="mailto:abrasive_gayadin@yahoo.co.in" TargetMode="External"/><Relationship Id="rId1012" Type="http://schemas.openxmlformats.org/officeDocument/2006/relationships/hyperlink" Target="mailto:rjchemtech@gmail.com" TargetMode="External"/><Relationship Id="rId2343" Type="http://schemas.openxmlformats.org/officeDocument/2006/relationships/hyperlink" Target="https://akshar-exim-company-pvt-ltd.odoo.com/web" TargetMode="External"/><Relationship Id="rId3673" Type="http://schemas.openxmlformats.org/officeDocument/2006/relationships/hyperlink" Target="https://akshar-exim-company-pvt-ltd.odoo.com/web" TargetMode="External"/><Relationship Id="rId1013" Type="http://schemas.openxmlformats.org/officeDocument/2006/relationships/hyperlink" Target="https://akshar-exim-company-pvt-ltd.odoo.com/web" TargetMode="External"/><Relationship Id="rId2344" Type="http://schemas.openxmlformats.org/officeDocument/2006/relationships/hyperlink" Target="https://akshar-exim-company-pvt-ltd.odoo.com/web" TargetMode="External"/><Relationship Id="rId3676" Type="http://schemas.openxmlformats.org/officeDocument/2006/relationships/hyperlink" Target="mailto:gulab.hemnani79@gmail.com" TargetMode="External"/><Relationship Id="rId1014" Type="http://schemas.openxmlformats.org/officeDocument/2006/relationships/hyperlink" Target="mailto:asitdawn1234@gmail.com" TargetMode="External"/><Relationship Id="rId2345" Type="http://schemas.openxmlformats.org/officeDocument/2006/relationships/hyperlink" Target="https://akshar-exim-company-pvt-ltd.odoo.com/web" TargetMode="External"/><Relationship Id="rId3675" Type="http://schemas.openxmlformats.org/officeDocument/2006/relationships/hyperlink" Target="https://akshar-exim-company-pvt-ltd.odoo.com/web" TargetMode="External"/><Relationship Id="rId1004" Type="http://schemas.openxmlformats.org/officeDocument/2006/relationships/hyperlink" Target="https://akshar-exim-company-pvt-ltd.odoo.com/web" TargetMode="External"/><Relationship Id="rId2335" Type="http://schemas.openxmlformats.org/officeDocument/2006/relationships/hyperlink" Target="https://akshar-exim-company-pvt-ltd.odoo.com/web" TargetMode="External"/><Relationship Id="rId3667" Type="http://schemas.openxmlformats.org/officeDocument/2006/relationships/hyperlink" Target="mailto:govindexp2013@gmail.com" TargetMode="External"/><Relationship Id="rId4998" Type="http://schemas.openxmlformats.org/officeDocument/2006/relationships/hyperlink" Target="https://akshar-exim-company-pvt-ltd.odoo.com/web" TargetMode="External"/><Relationship Id="rId1005" Type="http://schemas.openxmlformats.org/officeDocument/2006/relationships/hyperlink" Target="mailto:marketinginterncoolbergcare@gmail.com" TargetMode="External"/><Relationship Id="rId2336" Type="http://schemas.openxmlformats.org/officeDocument/2006/relationships/hyperlink" Target="https://akshar-exim-company-pvt-ltd.odoo.com/web" TargetMode="External"/><Relationship Id="rId3666" Type="http://schemas.openxmlformats.org/officeDocument/2006/relationships/hyperlink" Target="https://akshar-exim-company-pvt-ltd.odoo.com/web" TargetMode="External"/><Relationship Id="rId4997" Type="http://schemas.openxmlformats.org/officeDocument/2006/relationships/hyperlink" Target="https://akshar-exim-company-pvt-ltd.odoo.com/web" TargetMode="External"/><Relationship Id="rId1006" Type="http://schemas.openxmlformats.org/officeDocument/2006/relationships/hyperlink" Target="https://akshar-exim-company-pvt-ltd.odoo.com/web" TargetMode="External"/><Relationship Id="rId2337" Type="http://schemas.openxmlformats.org/officeDocument/2006/relationships/hyperlink" Target="https://akshar-exim-company-pvt-ltd.odoo.com/web" TargetMode="External"/><Relationship Id="rId3669" Type="http://schemas.openxmlformats.org/officeDocument/2006/relationships/hyperlink" Target="mailto:roysonsgroup@gmail.com" TargetMode="External"/><Relationship Id="rId1007" Type="http://schemas.openxmlformats.org/officeDocument/2006/relationships/hyperlink" Target="https://akshar-exim-company-pvt-ltd.odoo.com/web" TargetMode="External"/><Relationship Id="rId2338" Type="http://schemas.openxmlformats.org/officeDocument/2006/relationships/hyperlink" Target="https://akshar-exim-company-pvt-ltd.odoo.com/web" TargetMode="External"/><Relationship Id="rId3668" Type="http://schemas.openxmlformats.org/officeDocument/2006/relationships/hyperlink" Target="https://akshar-exim-company-pvt-ltd.odoo.com/web" TargetMode="External"/><Relationship Id="rId4999" Type="http://schemas.openxmlformats.org/officeDocument/2006/relationships/hyperlink" Target="https://akshar-exim-company-pvt-ltd.odoo.com/web" TargetMode="External"/><Relationship Id="rId1008" Type="http://schemas.openxmlformats.org/officeDocument/2006/relationships/hyperlink" Target="mailto:hindproco@gmail.com" TargetMode="External"/><Relationship Id="rId2339" Type="http://schemas.openxmlformats.org/officeDocument/2006/relationships/hyperlink" Target="https://akshar-exim-company-pvt-ltd.odoo.com/web" TargetMode="External"/><Relationship Id="rId1009" Type="http://schemas.openxmlformats.org/officeDocument/2006/relationships/hyperlink" Target="https://akshar-exim-company-pvt-ltd.odoo.com/web" TargetMode="External"/><Relationship Id="rId4990" Type="http://schemas.openxmlformats.org/officeDocument/2006/relationships/hyperlink" Target="https://akshar-exim-company-pvt-ltd.odoo.com/web" TargetMode="External"/><Relationship Id="rId3661" Type="http://schemas.openxmlformats.org/officeDocument/2006/relationships/hyperlink" Target="mailto:singhyogendrapratap432@gmail.com" TargetMode="External"/><Relationship Id="rId4992" Type="http://schemas.openxmlformats.org/officeDocument/2006/relationships/hyperlink" Target="https://akshar-exim-company-pvt-ltd.odoo.com/web" TargetMode="External"/><Relationship Id="rId2330" Type="http://schemas.openxmlformats.org/officeDocument/2006/relationships/hyperlink" Target="https://akshar-exim-company-pvt-ltd.odoo.com/web" TargetMode="External"/><Relationship Id="rId3660" Type="http://schemas.openxmlformats.org/officeDocument/2006/relationships/hyperlink" Target="https://akshar-exim-company-pvt-ltd.odoo.com/web" TargetMode="External"/><Relationship Id="rId4991" Type="http://schemas.openxmlformats.org/officeDocument/2006/relationships/hyperlink" Target="https://akshar-exim-company-pvt-ltd.odoo.com/web" TargetMode="External"/><Relationship Id="rId1000" Type="http://schemas.openxmlformats.org/officeDocument/2006/relationships/hyperlink" Target="https://akshar-exim-company-pvt-ltd.odoo.com/web" TargetMode="External"/><Relationship Id="rId2331" Type="http://schemas.openxmlformats.org/officeDocument/2006/relationships/hyperlink" Target="https://akshar-exim-company-pvt-ltd.odoo.com/web" TargetMode="External"/><Relationship Id="rId3663" Type="http://schemas.openxmlformats.org/officeDocument/2006/relationships/hyperlink" Target="mailto:prodipmandalrupalee@gmail.com" TargetMode="External"/><Relationship Id="rId4994" Type="http://schemas.openxmlformats.org/officeDocument/2006/relationships/hyperlink" Target="https://akshar-exim-company-pvt-ltd.odoo.com/web" TargetMode="External"/><Relationship Id="rId1001" Type="http://schemas.openxmlformats.org/officeDocument/2006/relationships/hyperlink" Target="https://akshar-exim-company-pvt-ltd.odoo.com/web" TargetMode="External"/><Relationship Id="rId2332" Type="http://schemas.openxmlformats.org/officeDocument/2006/relationships/hyperlink" Target="https://akshar-exim-company-pvt-ltd.odoo.com/web" TargetMode="External"/><Relationship Id="rId3662" Type="http://schemas.openxmlformats.org/officeDocument/2006/relationships/hyperlink" Target="https://akshar-exim-company-pvt-ltd.odoo.com/web" TargetMode="External"/><Relationship Id="rId4993" Type="http://schemas.openxmlformats.org/officeDocument/2006/relationships/hyperlink" Target="https://akshar-exim-company-pvt-ltd.odoo.com/web" TargetMode="External"/><Relationship Id="rId1002" Type="http://schemas.openxmlformats.org/officeDocument/2006/relationships/hyperlink" Target="mailto:jainakash2021@gmail.com" TargetMode="External"/><Relationship Id="rId2333" Type="http://schemas.openxmlformats.org/officeDocument/2006/relationships/hyperlink" Target="https://akshar-exim-company-pvt-ltd.odoo.com/web" TargetMode="External"/><Relationship Id="rId3665" Type="http://schemas.openxmlformats.org/officeDocument/2006/relationships/hyperlink" Target="mailto:protechcbe@gmail.com" TargetMode="External"/><Relationship Id="rId4996" Type="http://schemas.openxmlformats.org/officeDocument/2006/relationships/hyperlink" Target="https://akshar-exim-company-pvt-ltd.odoo.com/web" TargetMode="External"/><Relationship Id="rId1003" Type="http://schemas.openxmlformats.org/officeDocument/2006/relationships/hyperlink" Target="https://akshar-exim-company-pvt-ltd.odoo.com/web" TargetMode="External"/><Relationship Id="rId2334" Type="http://schemas.openxmlformats.org/officeDocument/2006/relationships/hyperlink" Target="https://akshar-exim-company-pvt-ltd.odoo.com/web" TargetMode="External"/><Relationship Id="rId3664" Type="http://schemas.openxmlformats.org/officeDocument/2006/relationships/hyperlink" Target="https://akshar-exim-company-pvt-ltd.odoo.com/web" TargetMode="External"/><Relationship Id="rId4995" Type="http://schemas.openxmlformats.org/officeDocument/2006/relationships/hyperlink" Target="https://akshar-exim-company-pvt-ltd.odoo.com/web" TargetMode="External"/><Relationship Id="rId1037" Type="http://schemas.openxmlformats.org/officeDocument/2006/relationships/hyperlink" Target="mailto:trcskhan@gmail.com" TargetMode="External"/><Relationship Id="rId2368" Type="http://schemas.openxmlformats.org/officeDocument/2006/relationships/hyperlink" Target="https://akshar-exim-company-pvt-ltd.odoo.com/web" TargetMode="External"/><Relationship Id="rId1038" Type="http://schemas.openxmlformats.org/officeDocument/2006/relationships/hyperlink" Target="https://akshar-exim-company-pvt-ltd.odoo.com/web" TargetMode="External"/><Relationship Id="rId2369" Type="http://schemas.openxmlformats.org/officeDocument/2006/relationships/hyperlink" Target="https://akshar-exim-company-pvt-ltd.odoo.com/web" TargetMode="External"/><Relationship Id="rId3699" Type="http://schemas.openxmlformats.org/officeDocument/2006/relationships/hyperlink" Target="mailto:tarakrt4@gmail.com" TargetMode="External"/><Relationship Id="rId1039" Type="http://schemas.openxmlformats.org/officeDocument/2006/relationships/hyperlink" Target="https://akshar-exim-company-pvt-ltd.odoo.com/web" TargetMode="External"/><Relationship Id="rId206" Type="http://schemas.openxmlformats.org/officeDocument/2006/relationships/hyperlink" Target="mailto:srlifecare49@gmail.com" TargetMode="External"/><Relationship Id="rId205" Type="http://schemas.openxmlformats.org/officeDocument/2006/relationships/hyperlink" Target="https://akshar-exim-company-pvt-ltd.odoo.com/web" TargetMode="External"/><Relationship Id="rId204" Type="http://schemas.openxmlformats.org/officeDocument/2006/relationships/hyperlink" Target="mailto:zaighamadv0@gmail.com" TargetMode="External"/><Relationship Id="rId203" Type="http://schemas.openxmlformats.org/officeDocument/2006/relationships/hyperlink" Target="https://akshar-exim-company-pvt-ltd.odoo.com/web" TargetMode="External"/><Relationship Id="rId209" Type="http://schemas.openxmlformats.org/officeDocument/2006/relationships/hyperlink" Target="https://akshar-exim-company-pvt-ltd.odoo.com/web" TargetMode="External"/><Relationship Id="rId208" Type="http://schemas.openxmlformats.org/officeDocument/2006/relationships/hyperlink" Target="mailto:purchase@marisymbio.com" TargetMode="External"/><Relationship Id="rId3690" Type="http://schemas.openxmlformats.org/officeDocument/2006/relationships/hyperlink" Target="https://akshar-exim-company-pvt-ltd.odoo.com/web" TargetMode="External"/><Relationship Id="rId207" Type="http://schemas.openxmlformats.org/officeDocument/2006/relationships/hyperlink" Target="https://akshar-exim-company-pvt-ltd.odoo.com/web" TargetMode="External"/><Relationship Id="rId2360" Type="http://schemas.openxmlformats.org/officeDocument/2006/relationships/hyperlink" Target="https://akshar-exim-company-pvt-ltd.odoo.com/web" TargetMode="External"/><Relationship Id="rId3692" Type="http://schemas.openxmlformats.org/officeDocument/2006/relationships/hyperlink" Target="https://akshar-exim-company-pvt-ltd.odoo.com/web" TargetMode="External"/><Relationship Id="rId1030" Type="http://schemas.openxmlformats.org/officeDocument/2006/relationships/hyperlink" Target="mailto:rohanprasad030@gmail.com" TargetMode="External"/><Relationship Id="rId2361" Type="http://schemas.openxmlformats.org/officeDocument/2006/relationships/hyperlink" Target="https://akshar-exim-company-pvt-ltd.odoo.com/web" TargetMode="External"/><Relationship Id="rId3691" Type="http://schemas.openxmlformats.org/officeDocument/2006/relationships/hyperlink" Target="mailto:rajdhruti@gmail.com" TargetMode="External"/><Relationship Id="rId1031" Type="http://schemas.openxmlformats.org/officeDocument/2006/relationships/hyperlink" Target="https://akshar-exim-company-pvt-ltd.odoo.com/web" TargetMode="External"/><Relationship Id="rId2362" Type="http://schemas.openxmlformats.org/officeDocument/2006/relationships/hyperlink" Target="https://akshar-exim-company-pvt-ltd.odoo.com/web" TargetMode="External"/><Relationship Id="rId3694" Type="http://schemas.openxmlformats.org/officeDocument/2006/relationships/hyperlink" Target="https://akshar-exim-company-pvt-ltd.odoo.com/web" TargetMode="External"/><Relationship Id="rId1032" Type="http://schemas.openxmlformats.org/officeDocument/2006/relationships/hyperlink" Target="https://akshar-exim-company-pvt-ltd.odoo.com/web" TargetMode="External"/><Relationship Id="rId2363" Type="http://schemas.openxmlformats.org/officeDocument/2006/relationships/hyperlink" Target="https://akshar-exim-company-pvt-ltd.odoo.com/web" TargetMode="External"/><Relationship Id="rId3693" Type="http://schemas.openxmlformats.org/officeDocument/2006/relationships/hyperlink" Target="mailto:spntechnology@gmail.com" TargetMode="External"/><Relationship Id="rId202" Type="http://schemas.openxmlformats.org/officeDocument/2006/relationships/hyperlink" Target="mailto:aniketshaw2581@gmail.com" TargetMode="External"/><Relationship Id="rId1033" Type="http://schemas.openxmlformats.org/officeDocument/2006/relationships/hyperlink" Target="https://akshar-exim-company-pvt-ltd.odoo.com/web" TargetMode="External"/><Relationship Id="rId2364" Type="http://schemas.openxmlformats.org/officeDocument/2006/relationships/hyperlink" Target="https://akshar-exim-company-pvt-ltd.odoo.com/web" TargetMode="External"/><Relationship Id="rId3696" Type="http://schemas.openxmlformats.org/officeDocument/2006/relationships/hyperlink" Target="https://akshar-exim-company-pvt-ltd.odoo.com/web" TargetMode="External"/><Relationship Id="rId201" Type="http://schemas.openxmlformats.org/officeDocument/2006/relationships/hyperlink" Target="https://akshar-exim-company-pvt-ltd.odoo.com/web" TargetMode="External"/><Relationship Id="rId1034" Type="http://schemas.openxmlformats.org/officeDocument/2006/relationships/hyperlink" Target="https://akshar-exim-company-pvt-ltd.odoo.com/web" TargetMode="External"/><Relationship Id="rId2365" Type="http://schemas.openxmlformats.org/officeDocument/2006/relationships/hyperlink" Target="https://akshar-exim-company-pvt-ltd.odoo.com/web" TargetMode="External"/><Relationship Id="rId3695" Type="http://schemas.openxmlformats.org/officeDocument/2006/relationships/hyperlink" Target="mailto:piyushmfultariya95@gmail.com" TargetMode="External"/><Relationship Id="rId200" Type="http://schemas.openxmlformats.org/officeDocument/2006/relationships/hyperlink" Target="mailto:maatariniagencies033@gmail.com" TargetMode="External"/><Relationship Id="rId1035" Type="http://schemas.openxmlformats.org/officeDocument/2006/relationships/hyperlink" Target="mailto:siddhai.pvcindustries@gmail.com" TargetMode="External"/><Relationship Id="rId2366" Type="http://schemas.openxmlformats.org/officeDocument/2006/relationships/hyperlink" Target="https://akshar-exim-company-pvt-ltd.odoo.com/web" TargetMode="External"/><Relationship Id="rId3698" Type="http://schemas.openxmlformats.org/officeDocument/2006/relationships/hyperlink" Target="https://akshar-exim-company-pvt-ltd.odoo.com/web" TargetMode="External"/><Relationship Id="rId1036" Type="http://schemas.openxmlformats.org/officeDocument/2006/relationships/hyperlink" Target="https://akshar-exim-company-pvt-ltd.odoo.com/web" TargetMode="External"/><Relationship Id="rId2367" Type="http://schemas.openxmlformats.org/officeDocument/2006/relationships/hyperlink" Target="https://akshar-exim-company-pvt-ltd.odoo.com/web" TargetMode="External"/><Relationship Id="rId3697" Type="http://schemas.openxmlformats.org/officeDocument/2006/relationships/hyperlink" Target="mailto:aloke1971ghosh@gmail.com" TargetMode="External"/><Relationship Id="rId1026" Type="http://schemas.openxmlformats.org/officeDocument/2006/relationships/hyperlink" Target="https://akshar-exim-company-pvt-ltd.odoo.com/web" TargetMode="External"/><Relationship Id="rId2357" Type="http://schemas.openxmlformats.org/officeDocument/2006/relationships/hyperlink" Target="https://akshar-exim-company-pvt-ltd.odoo.com/web" TargetMode="External"/><Relationship Id="rId3689" Type="http://schemas.openxmlformats.org/officeDocument/2006/relationships/hyperlink" Target="mailto:gawdedeepika4@gmail.com" TargetMode="External"/><Relationship Id="rId1027" Type="http://schemas.openxmlformats.org/officeDocument/2006/relationships/hyperlink" Target="mailto:gopeshspices@gmail.com" TargetMode="External"/><Relationship Id="rId2358" Type="http://schemas.openxmlformats.org/officeDocument/2006/relationships/hyperlink" Target="https://akshar-exim-company-pvt-ltd.odoo.com/web" TargetMode="External"/><Relationship Id="rId3688" Type="http://schemas.openxmlformats.org/officeDocument/2006/relationships/hyperlink" Target="https://akshar-exim-company-pvt-ltd.odoo.com/web" TargetMode="External"/><Relationship Id="rId1028" Type="http://schemas.openxmlformats.org/officeDocument/2006/relationships/hyperlink" Target="https://akshar-exim-company-pvt-ltd.odoo.com/web" TargetMode="External"/><Relationship Id="rId2359" Type="http://schemas.openxmlformats.org/officeDocument/2006/relationships/hyperlink" Target="https://akshar-exim-company-pvt-ltd.odoo.com/web" TargetMode="External"/><Relationship Id="rId1029" Type="http://schemas.openxmlformats.org/officeDocument/2006/relationships/hyperlink" Target="https://akshar-exim-company-pvt-ltd.odoo.com/web" TargetMode="External"/><Relationship Id="rId3681" Type="http://schemas.openxmlformats.org/officeDocument/2006/relationships/hyperlink" Target="https://akshar-exim-company-pvt-ltd.odoo.com/web" TargetMode="External"/><Relationship Id="rId2350" Type="http://schemas.openxmlformats.org/officeDocument/2006/relationships/hyperlink" Target="https://akshar-exim-company-pvt-ltd.odoo.com/web" TargetMode="External"/><Relationship Id="rId3680" Type="http://schemas.openxmlformats.org/officeDocument/2006/relationships/hyperlink" Target="mailto:rspatne@gmail.com" TargetMode="External"/><Relationship Id="rId1020" Type="http://schemas.openxmlformats.org/officeDocument/2006/relationships/hyperlink" Target="https://akshar-exim-company-pvt-ltd.odoo.com/web" TargetMode="External"/><Relationship Id="rId2351" Type="http://schemas.openxmlformats.org/officeDocument/2006/relationships/hyperlink" Target="https://akshar-exim-company-pvt-ltd.odoo.com/web" TargetMode="External"/><Relationship Id="rId3683" Type="http://schemas.openxmlformats.org/officeDocument/2006/relationships/hyperlink" Target="https://akshar-exim-company-pvt-ltd.odoo.com/web" TargetMode="External"/><Relationship Id="rId1021" Type="http://schemas.openxmlformats.org/officeDocument/2006/relationships/hyperlink" Target="mailto:wajid188ali@gmail.com" TargetMode="External"/><Relationship Id="rId2352" Type="http://schemas.openxmlformats.org/officeDocument/2006/relationships/hyperlink" Target="https://akshar-exim-company-pvt-ltd.odoo.com/web" TargetMode="External"/><Relationship Id="rId3682" Type="http://schemas.openxmlformats.org/officeDocument/2006/relationships/hyperlink" Target="mailto:1hemadrichemicals@gmail.com" TargetMode="External"/><Relationship Id="rId1022" Type="http://schemas.openxmlformats.org/officeDocument/2006/relationships/hyperlink" Target="https://akshar-exim-company-pvt-ltd.odoo.com/web" TargetMode="External"/><Relationship Id="rId2353" Type="http://schemas.openxmlformats.org/officeDocument/2006/relationships/hyperlink" Target="https://akshar-exim-company-pvt-ltd.odoo.com/web" TargetMode="External"/><Relationship Id="rId3685" Type="http://schemas.openxmlformats.org/officeDocument/2006/relationships/hyperlink" Target="https://akshar-exim-company-pvt-ltd.odoo.com/web" TargetMode="External"/><Relationship Id="rId1023" Type="http://schemas.openxmlformats.org/officeDocument/2006/relationships/hyperlink" Target="mailto:spaul2669@gmail.com" TargetMode="External"/><Relationship Id="rId2354" Type="http://schemas.openxmlformats.org/officeDocument/2006/relationships/hyperlink" Target="https://akshar-exim-company-pvt-ltd.odoo.com/web" TargetMode="External"/><Relationship Id="rId3684" Type="http://schemas.openxmlformats.org/officeDocument/2006/relationships/hyperlink" Target="mailto:devanshag1912@gmail.com" TargetMode="External"/><Relationship Id="rId1024" Type="http://schemas.openxmlformats.org/officeDocument/2006/relationships/hyperlink" Target="https://akshar-exim-company-pvt-ltd.odoo.com/web" TargetMode="External"/><Relationship Id="rId2355" Type="http://schemas.openxmlformats.org/officeDocument/2006/relationships/hyperlink" Target="https://akshar-exim-company-pvt-ltd.odoo.com/web" TargetMode="External"/><Relationship Id="rId3687" Type="http://schemas.openxmlformats.org/officeDocument/2006/relationships/hyperlink" Target="mailto:shreeram8722@gmail.com" TargetMode="External"/><Relationship Id="rId1025" Type="http://schemas.openxmlformats.org/officeDocument/2006/relationships/hyperlink" Target="mailto:century.chem@yahoo.com" TargetMode="External"/><Relationship Id="rId2356" Type="http://schemas.openxmlformats.org/officeDocument/2006/relationships/hyperlink" Target="https://akshar-exim-company-pvt-ltd.odoo.com/web" TargetMode="External"/><Relationship Id="rId3686" Type="http://schemas.openxmlformats.org/officeDocument/2006/relationships/hyperlink" Target="https://akshar-exim-company-pvt-ltd.odoo.com/web" TargetMode="External"/><Relationship Id="rId4161" Type="http://schemas.openxmlformats.org/officeDocument/2006/relationships/hyperlink" Target="https://akshar-exim-company-pvt-ltd.odoo.com/web" TargetMode="External"/><Relationship Id="rId4160" Type="http://schemas.openxmlformats.org/officeDocument/2006/relationships/hyperlink" Target="https://akshar-exim-company-pvt-ltd.odoo.com/web" TargetMode="External"/><Relationship Id="rId4163" Type="http://schemas.openxmlformats.org/officeDocument/2006/relationships/hyperlink" Target="https://akshar-exim-company-pvt-ltd.odoo.com/web" TargetMode="External"/><Relationship Id="rId4162" Type="http://schemas.openxmlformats.org/officeDocument/2006/relationships/hyperlink" Target="https://akshar-exim-company-pvt-ltd.odoo.com/web" TargetMode="External"/><Relationship Id="rId4165" Type="http://schemas.openxmlformats.org/officeDocument/2006/relationships/hyperlink" Target="https://akshar-exim-company-pvt-ltd.odoo.com/web" TargetMode="External"/><Relationship Id="rId4164" Type="http://schemas.openxmlformats.org/officeDocument/2006/relationships/hyperlink" Target="https://akshar-exim-company-pvt-ltd.odoo.com/web" TargetMode="External"/><Relationship Id="rId4167" Type="http://schemas.openxmlformats.org/officeDocument/2006/relationships/hyperlink" Target="https://akshar-exim-company-pvt-ltd.odoo.com/web" TargetMode="External"/><Relationship Id="rId4166" Type="http://schemas.openxmlformats.org/officeDocument/2006/relationships/hyperlink" Target="https://akshar-exim-company-pvt-ltd.odoo.com/web" TargetMode="External"/><Relationship Id="rId4169" Type="http://schemas.openxmlformats.org/officeDocument/2006/relationships/hyperlink" Target="https://akshar-exim-company-pvt-ltd.odoo.com/web" TargetMode="External"/><Relationship Id="rId4168" Type="http://schemas.openxmlformats.org/officeDocument/2006/relationships/hyperlink" Target="https://akshar-exim-company-pvt-ltd.odoo.com/web" TargetMode="External"/><Relationship Id="rId4150" Type="http://schemas.openxmlformats.org/officeDocument/2006/relationships/hyperlink" Target="https://akshar-exim-company-pvt-ltd.odoo.com/web" TargetMode="External"/><Relationship Id="rId4152" Type="http://schemas.openxmlformats.org/officeDocument/2006/relationships/hyperlink" Target="https://akshar-exim-company-pvt-ltd.odoo.com/web" TargetMode="External"/><Relationship Id="rId4151" Type="http://schemas.openxmlformats.org/officeDocument/2006/relationships/hyperlink" Target="https://akshar-exim-company-pvt-ltd.odoo.com/web" TargetMode="External"/><Relationship Id="rId4154" Type="http://schemas.openxmlformats.org/officeDocument/2006/relationships/hyperlink" Target="https://akshar-exim-company-pvt-ltd.odoo.com/web" TargetMode="External"/><Relationship Id="rId4153" Type="http://schemas.openxmlformats.org/officeDocument/2006/relationships/hyperlink" Target="https://akshar-exim-company-pvt-ltd.odoo.com/web" TargetMode="External"/><Relationship Id="rId4156" Type="http://schemas.openxmlformats.org/officeDocument/2006/relationships/hyperlink" Target="https://akshar-exim-company-pvt-ltd.odoo.com/web" TargetMode="External"/><Relationship Id="rId4155" Type="http://schemas.openxmlformats.org/officeDocument/2006/relationships/hyperlink" Target="https://akshar-exim-company-pvt-ltd.odoo.com/web" TargetMode="External"/><Relationship Id="rId4158" Type="http://schemas.openxmlformats.org/officeDocument/2006/relationships/hyperlink" Target="https://akshar-exim-company-pvt-ltd.odoo.com/web" TargetMode="External"/><Relationship Id="rId4157" Type="http://schemas.openxmlformats.org/officeDocument/2006/relationships/hyperlink" Target="https://akshar-exim-company-pvt-ltd.odoo.com/web" TargetMode="External"/><Relationship Id="rId4159" Type="http://schemas.openxmlformats.org/officeDocument/2006/relationships/hyperlink" Target="https://akshar-exim-company-pvt-ltd.odoo.com/web" TargetMode="External"/><Relationship Id="rId1910" Type="http://schemas.openxmlformats.org/officeDocument/2006/relationships/hyperlink" Target="https://akshar-exim-company-pvt-ltd.odoo.com/web" TargetMode="External"/><Relationship Id="rId1911" Type="http://schemas.openxmlformats.org/officeDocument/2006/relationships/hyperlink" Target="https://akshar-exim-company-pvt-ltd.odoo.com/web" TargetMode="External"/><Relationship Id="rId1912" Type="http://schemas.openxmlformats.org/officeDocument/2006/relationships/hyperlink" Target="https://akshar-exim-company-pvt-ltd.odoo.com/web" TargetMode="External"/><Relationship Id="rId1913" Type="http://schemas.openxmlformats.org/officeDocument/2006/relationships/hyperlink" Target="https://akshar-exim-company-pvt-ltd.odoo.com/web" TargetMode="External"/><Relationship Id="rId1914" Type="http://schemas.openxmlformats.org/officeDocument/2006/relationships/hyperlink" Target="https://akshar-exim-company-pvt-ltd.odoo.com/web" TargetMode="External"/><Relationship Id="rId1915" Type="http://schemas.openxmlformats.org/officeDocument/2006/relationships/hyperlink" Target="https://akshar-exim-company-pvt-ltd.odoo.com/web" TargetMode="External"/><Relationship Id="rId1916" Type="http://schemas.openxmlformats.org/officeDocument/2006/relationships/hyperlink" Target="https://akshar-exim-company-pvt-ltd.odoo.com/web" TargetMode="External"/><Relationship Id="rId1917" Type="http://schemas.openxmlformats.org/officeDocument/2006/relationships/hyperlink" Target="https://akshar-exim-company-pvt-ltd.odoo.com/web" TargetMode="External"/><Relationship Id="rId1918" Type="http://schemas.openxmlformats.org/officeDocument/2006/relationships/hyperlink" Target="https://akshar-exim-company-pvt-ltd.odoo.com/web" TargetMode="External"/><Relationship Id="rId1919" Type="http://schemas.openxmlformats.org/officeDocument/2006/relationships/hyperlink" Target="https://akshar-exim-company-pvt-ltd.odoo.com/web" TargetMode="External"/><Relationship Id="rId4181" Type="http://schemas.openxmlformats.org/officeDocument/2006/relationships/hyperlink" Target="https://akshar-exim-company-pvt-ltd.odoo.com/web" TargetMode="External"/><Relationship Id="rId4180" Type="http://schemas.openxmlformats.org/officeDocument/2006/relationships/hyperlink" Target="https://akshar-exim-company-pvt-ltd.odoo.com/web" TargetMode="External"/><Relationship Id="rId4183" Type="http://schemas.openxmlformats.org/officeDocument/2006/relationships/hyperlink" Target="https://akshar-exim-company-pvt-ltd.odoo.com/web" TargetMode="External"/><Relationship Id="rId4182" Type="http://schemas.openxmlformats.org/officeDocument/2006/relationships/hyperlink" Target="https://akshar-exim-company-pvt-ltd.odoo.com/web" TargetMode="External"/><Relationship Id="rId4185" Type="http://schemas.openxmlformats.org/officeDocument/2006/relationships/hyperlink" Target="https://akshar-exim-company-pvt-ltd.odoo.com/web" TargetMode="External"/><Relationship Id="rId4184" Type="http://schemas.openxmlformats.org/officeDocument/2006/relationships/hyperlink" Target="https://akshar-exim-company-pvt-ltd.odoo.com/web" TargetMode="External"/><Relationship Id="rId4187" Type="http://schemas.openxmlformats.org/officeDocument/2006/relationships/hyperlink" Target="https://akshar-exim-company-pvt-ltd.odoo.com/web" TargetMode="External"/><Relationship Id="rId4186" Type="http://schemas.openxmlformats.org/officeDocument/2006/relationships/hyperlink" Target="https://akshar-exim-company-pvt-ltd.odoo.com/web" TargetMode="External"/><Relationship Id="rId4189" Type="http://schemas.openxmlformats.org/officeDocument/2006/relationships/hyperlink" Target="https://akshar-exim-company-pvt-ltd.odoo.com/web" TargetMode="External"/><Relationship Id="rId4188" Type="http://schemas.openxmlformats.org/officeDocument/2006/relationships/hyperlink" Target="https://akshar-exim-company-pvt-ltd.odoo.com/web" TargetMode="External"/><Relationship Id="rId1900" Type="http://schemas.openxmlformats.org/officeDocument/2006/relationships/hyperlink" Target="https://akshar-exim-company-pvt-ltd.odoo.com/web" TargetMode="External"/><Relationship Id="rId1901" Type="http://schemas.openxmlformats.org/officeDocument/2006/relationships/hyperlink" Target="https://akshar-exim-company-pvt-ltd.odoo.com/web" TargetMode="External"/><Relationship Id="rId1902" Type="http://schemas.openxmlformats.org/officeDocument/2006/relationships/hyperlink" Target="https://akshar-exim-company-pvt-ltd.odoo.com/web" TargetMode="External"/><Relationship Id="rId1903" Type="http://schemas.openxmlformats.org/officeDocument/2006/relationships/hyperlink" Target="https://akshar-exim-company-pvt-ltd.odoo.com/web" TargetMode="External"/><Relationship Id="rId1904" Type="http://schemas.openxmlformats.org/officeDocument/2006/relationships/hyperlink" Target="https://akshar-exim-company-pvt-ltd.odoo.com/web" TargetMode="External"/><Relationship Id="rId1905" Type="http://schemas.openxmlformats.org/officeDocument/2006/relationships/hyperlink" Target="https://akshar-exim-company-pvt-ltd.odoo.com/web" TargetMode="External"/><Relationship Id="rId1906" Type="http://schemas.openxmlformats.org/officeDocument/2006/relationships/hyperlink" Target="https://akshar-exim-company-pvt-ltd.odoo.com/web" TargetMode="External"/><Relationship Id="rId1907" Type="http://schemas.openxmlformats.org/officeDocument/2006/relationships/hyperlink" Target="https://akshar-exim-company-pvt-ltd.odoo.com/web" TargetMode="External"/><Relationship Id="rId1908" Type="http://schemas.openxmlformats.org/officeDocument/2006/relationships/hyperlink" Target="https://akshar-exim-company-pvt-ltd.odoo.com/web" TargetMode="External"/><Relationship Id="rId1909" Type="http://schemas.openxmlformats.org/officeDocument/2006/relationships/hyperlink" Target="https://akshar-exim-company-pvt-ltd.odoo.com/web" TargetMode="External"/><Relationship Id="rId4170" Type="http://schemas.openxmlformats.org/officeDocument/2006/relationships/hyperlink" Target="https://akshar-exim-company-pvt-ltd.odoo.com/web" TargetMode="External"/><Relationship Id="rId4172" Type="http://schemas.openxmlformats.org/officeDocument/2006/relationships/hyperlink" Target="https://akshar-exim-company-pvt-ltd.odoo.com/web" TargetMode="External"/><Relationship Id="rId4171" Type="http://schemas.openxmlformats.org/officeDocument/2006/relationships/hyperlink" Target="https://akshar-exim-company-pvt-ltd.odoo.com/web" TargetMode="External"/><Relationship Id="rId4174" Type="http://schemas.openxmlformats.org/officeDocument/2006/relationships/hyperlink" Target="https://akshar-exim-company-pvt-ltd.odoo.com/web" TargetMode="External"/><Relationship Id="rId4173" Type="http://schemas.openxmlformats.org/officeDocument/2006/relationships/hyperlink" Target="https://akshar-exim-company-pvt-ltd.odoo.com/web" TargetMode="External"/><Relationship Id="rId4176" Type="http://schemas.openxmlformats.org/officeDocument/2006/relationships/hyperlink" Target="https://akshar-exim-company-pvt-ltd.odoo.com/web" TargetMode="External"/><Relationship Id="rId4175" Type="http://schemas.openxmlformats.org/officeDocument/2006/relationships/hyperlink" Target="https://akshar-exim-company-pvt-ltd.odoo.com/web" TargetMode="External"/><Relationship Id="rId4178" Type="http://schemas.openxmlformats.org/officeDocument/2006/relationships/hyperlink" Target="https://akshar-exim-company-pvt-ltd.odoo.com/web" TargetMode="External"/><Relationship Id="rId4177" Type="http://schemas.openxmlformats.org/officeDocument/2006/relationships/hyperlink" Target="https://akshar-exim-company-pvt-ltd.odoo.com/web" TargetMode="External"/><Relationship Id="rId4179" Type="http://schemas.openxmlformats.org/officeDocument/2006/relationships/hyperlink" Target="https://akshar-exim-company-pvt-ltd.odoo.com/web" TargetMode="External"/><Relationship Id="rId4129" Type="http://schemas.openxmlformats.org/officeDocument/2006/relationships/hyperlink" Target="https://akshar-exim-company-pvt-ltd.odoo.com/web" TargetMode="External"/><Relationship Id="rId4128" Type="http://schemas.openxmlformats.org/officeDocument/2006/relationships/hyperlink" Target="https://akshar-exim-company-pvt-ltd.odoo.com/web" TargetMode="External"/><Relationship Id="rId1090" Type="http://schemas.openxmlformats.org/officeDocument/2006/relationships/hyperlink" Target="mailto:surajkhankck02@gmail.com" TargetMode="External"/><Relationship Id="rId1091" Type="http://schemas.openxmlformats.org/officeDocument/2006/relationships/hyperlink" Target="https://akshar-exim-company-pvt-ltd.odoo.com/web" TargetMode="External"/><Relationship Id="rId1092" Type="http://schemas.openxmlformats.org/officeDocument/2006/relationships/hyperlink" Target="mailto:vijaylaxmitradingchemical@gmail.com" TargetMode="External"/><Relationship Id="rId1093" Type="http://schemas.openxmlformats.org/officeDocument/2006/relationships/hyperlink" Target="https://akshar-exim-company-pvt-ltd.odoo.com/web" TargetMode="External"/><Relationship Id="rId1094" Type="http://schemas.openxmlformats.org/officeDocument/2006/relationships/hyperlink" Target="https://akshar-exim-company-pvt-ltd.odoo.com/web" TargetMode="External"/><Relationship Id="rId1095" Type="http://schemas.openxmlformats.org/officeDocument/2006/relationships/hyperlink" Target="https://akshar-exim-company-pvt-ltd.odoo.com/web" TargetMode="External"/><Relationship Id="rId4121" Type="http://schemas.openxmlformats.org/officeDocument/2006/relationships/hyperlink" Target="https://akshar-exim-company-pvt-ltd.odoo.com/web" TargetMode="External"/><Relationship Id="rId1096" Type="http://schemas.openxmlformats.org/officeDocument/2006/relationships/hyperlink" Target="https://akshar-exim-company-pvt-ltd.odoo.com/web" TargetMode="External"/><Relationship Id="rId4120" Type="http://schemas.openxmlformats.org/officeDocument/2006/relationships/hyperlink" Target="mailto:surajkadam63@gmail.com" TargetMode="External"/><Relationship Id="rId1097" Type="http://schemas.openxmlformats.org/officeDocument/2006/relationships/hyperlink" Target="https://akshar-exim-company-pvt-ltd.odoo.com/web" TargetMode="External"/><Relationship Id="rId4123" Type="http://schemas.openxmlformats.org/officeDocument/2006/relationships/hyperlink" Target="https://akshar-exim-company-pvt-ltd.odoo.com/web" TargetMode="External"/><Relationship Id="rId1098" Type="http://schemas.openxmlformats.org/officeDocument/2006/relationships/hyperlink" Target="https://akshar-exim-company-pvt-ltd.odoo.com/web" TargetMode="External"/><Relationship Id="rId4122" Type="http://schemas.openxmlformats.org/officeDocument/2006/relationships/hyperlink" Target="https://akshar-exim-company-pvt-ltd.odoo.com/web" TargetMode="External"/><Relationship Id="rId1099" Type="http://schemas.openxmlformats.org/officeDocument/2006/relationships/hyperlink" Target="https://akshar-exim-company-pvt-ltd.odoo.com/web" TargetMode="External"/><Relationship Id="rId4125" Type="http://schemas.openxmlformats.org/officeDocument/2006/relationships/hyperlink" Target="https://akshar-exim-company-pvt-ltd.odoo.com/web" TargetMode="External"/><Relationship Id="rId4124" Type="http://schemas.openxmlformats.org/officeDocument/2006/relationships/hyperlink" Target="https://akshar-exim-company-pvt-ltd.odoo.com/web" TargetMode="External"/><Relationship Id="rId4127" Type="http://schemas.openxmlformats.org/officeDocument/2006/relationships/hyperlink" Target="https://akshar-exim-company-pvt-ltd.odoo.com/web" TargetMode="External"/><Relationship Id="rId4126" Type="http://schemas.openxmlformats.org/officeDocument/2006/relationships/hyperlink" Target="https://akshar-exim-company-pvt-ltd.odoo.com/web" TargetMode="External"/><Relationship Id="rId4118" Type="http://schemas.openxmlformats.org/officeDocument/2006/relationships/hyperlink" Target="mailto:rameshwarpolyflex@gmail.com" TargetMode="External"/><Relationship Id="rId4117" Type="http://schemas.openxmlformats.org/officeDocument/2006/relationships/hyperlink" Target="https://akshar-exim-company-pvt-ltd.odoo.com/web" TargetMode="External"/><Relationship Id="rId4119" Type="http://schemas.openxmlformats.org/officeDocument/2006/relationships/hyperlink" Target="https://akshar-exim-company-pvt-ltd.odoo.com/web" TargetMode="External"/><Relationship Id="rId1080" Type="http://schemas.openxmlformats.org/officeDocument/2006/relationships/hyperlink" Target="https://akshar-exim-company-pvt-ltd.odoo.com/web" TargetMode="External"/><Relationship Id="rId1081" Type="http://schemas.openxmlformats.org/officeDocument/2006/relationships/hyperlink" Target="https://akshar-exim-company-pvt-ltd.odoo.com/web" TargetMode="External"/><Relationship Id="rId1082" Type="http://schemas.openxmlformats.org/officeDocument/2006/relationships/hyperlink" Target="https://akshar-exim-company-pvt-ltd.odoo.com/web" TargetMode="External"/><Relationship Id="rId1083" Type="http://schemas.openxmlformats.org/officeDocument/2006/relationships/hyperlink" Target="mailto:mills@naihatijute.com" TargetMode="External"/><Relationship Id="rId1084" Type="http://schemas.openxmlformats.org/officeDocument/2006/relationships/hyperlink" Target="https://akshar-exim-company-pvt-ltd.odoo.com/web" TargetMode="External"/><Relationship Id="rId4110" Type="http://schemas.openxmlformats.org/officeDocument/2006/relationships/hyperlink" Target="https://akshar-exim-company-pvt-ltd.odoo.com/web" TargetMode="External"/><Relationship Id="rId1085" Type="http://schemas.openxmlformats.org/officeDocument/2006/relationships/hyperlink" Target="https://akshar-exim-company-pvt-ltd.odoo.com/web" TargetMode="External"/><Relationship Id="rId1086" Type="http://schemas.openxmlformats.org/officeDocument/2006/relationships/hyperlink" Target="https://akshar-exim-company-pvt-ltd.odoo.com/web" TargetMode="External"/><Relationship Id="rId4112" Type="http://schemas.openxmlformats.org/officeDocument/2006/relationships/hyperlink" Target="https://akshar-exim-company-pvt-ltd.odoo.com/web" TargetMode="External"/><Relationship Id="rId1087" Type="http://schemas.openxmlformats.org/officeDocument/2006/relationships/hyperlink" Target="https://akshar-exim-company-pvt-ltd.odoo.com/web" TargetMode="External"/><Relationship Id="rId4111" Type="http://schemas.openxmlformats.org/officeDocument/2006/relationships/hyperlink" Target="mailto:anuchem29@gmail.com" TargetMode="External"/><Relationship Id="rId1088" Type="http://schemas.openxmlformats.org/officeDocument/2006/relationships/hyperlink" Target="https://akshar-exim-company-pvt-ltd.odoo.com/web" TargetMode="External"/><Relationship Id="rId4114" Type="http://schemas.openxmlformats.org/officeDocument/2006/relationships/hyperlink" Target="https://akshar-exim-company-pvt-ltd.odoo.com/web" TargetMode="External"/><Relationship Id="rId1089" Type="http://schemas.openxmlformats.org/officeDocument/2006/relationships/hyperlink" Target="https://akshar-exim-company-pvt-ltd.odoo.com/web" TargetMode="External"/><Relationship Id="rId4113" Type="http://schemas.openxmlformats.org/officeDocument/2006/relationships/hyperlink" Target="mailto:chefsalimansari26@gmail.com" TargetMode="External"/><Relationship Id="rId4116" Type="http://schemas.openxmlformats.org/officeDocument/2006/relationships/hyperlink" Target="mailto:mukesh.enterprises89@gmail.com" TargetMode="External"/><Relationship Id="rId4115" Type="http://schemas.openxmlformats.org/officeDocument/2006/relationships/hyperlink" Target="https://akshar-exim-company-pvt-ltd.odoo.com/web" TargetMode="External"/><Relationship Id="rId4141" Type="http://schemas.openxmlformats.org/officeDocument/2006/relationships/hyperlink" Target="https://akshar-exim-company-pvt-ltd.odoo.com/web" TargetMode="External"/><Relationship Id="rId4140" Type="http://schemas.openxmlformats.org/officeDocument/2006/relationships/hyperlink" Target="https://akshar-exim-company-pvt-ltd.odoo.com/web" TargetMode="External"/><Relationship Id="rId4143" Type="http://schemas.openxmlformats.org/officeDocument/2006/relationships/hyperlink" Target="https://akshar-exim-company-pvt-ltd.odoo.com/web" TargetMode="External"/><Relationship Id="rId4142" Type="http://schemas.openxmlformats.org/officeDocument/2006/relationships/hyperlink" Target="https://akshar-exim-company-pvt-ltd.odoo.com/web" TargetMode="External"/><Relationship Id="rId4145" Type="http://schemas.openxmlformats.org/officeDocument/2006/relationships/hyperlink" Target="https://akshar-exim-company-pvt-ltd.odoo.com/web" TargetMode="External"/><Relationship Id="rId4144" Type="http://schemas.openxmlformats.org/officeDocument/2006/relationships/hyperlink" Target="https://akshar-exim-company-pvt-ltd.odoo.com/web" TargetMode="External"/><Relationship Id="rId4147" Type="http://schemas.openxmlformats.org/officeDocument/2006/relationships/hyperlink" Target="https://akshar-exim-company-pvt-ltd.odoo.com/web" TargetMode="External"/><Relationship Id="rId4146" Type="http://schemas.openxmlformats.org/officeDocument/2006/relationships/hyperlink" Target="https://akshar-exim-company-pvt-ltd.odoo.com/web" TargetMode="External"/><Relationship Id="rId4149" Type="http://schemas.openxmlformats.org/officeDocument/2006/relationships/hyperlink" Target="https://akshar-exim-company-pvt-ltd.odoo.com/web" TargetMode="External"/><Relationship Id="rId4148" Type="http://schemas.openxmlformats.org/officeDocument/2006/relationships/hyperlink" Target="https://akshar-exim-company-pvt-ltd.odoo.com/web" TargetMode="External"/><Relationship Id="rId4139" Type="http://schemas.openxmlformats.org/officeDocument/2006/relationships/hyperlink" Target="https://akshar-exim-company-pvt-ltd.odoo.com/web" TargetMode="External"/><Relationship Id="rId4130" Type="http://schemas.openxmlformats.org/officeDocument/2006/relationships/hyperlink" Target="https://akshar-exim-company-pvt-ltd.odoo.com/web" TargetMode="External"/><Relationship Id="rId4132" Type="http://schemas.openxmlformats.org/officeDocument/2006/relationships/hyperlink" Target="https://akshar-exim-company-pvt-ltd.odoo.com/web" TargetMode="External"/><Relationship Id="rId4131" Type="http://schemas.openxmlformats.org/officeDocument/2006/relationships/hyperlink" Target="https://akshar-exim-company-pvt-ltd.odoo.com/web" TargetMode="External"/><Relationship Id="rId4134" Type="http://schemas.openxmlformats.org/officeDocument/2006/relationships/hyperlink" Target="https://akshar-exim-company-pvt-ltd.odoo.com/web" TargetMode="External"/><Relationship Id="rId4133" Type="http://schemas.openxmlformats.org/officeDocument/2006/relationships/hyperlink" Target="https://akshar-exim-company-pvt-ltd.odoo.com/web" TargetMode="External"/><Relationship Id="rId4136" Type="http://schemas.openxmlformats.org/officeDocument/2006/relationships/hyperlink" Target="https://akshar-exim-company-pvt-ltd.odoo.com/web" TargetMode="External"/><Relationship Id="rId4135" Type="http://schemas.openxmlformats.org/officeDocument/2006/relationships/hyperlink" Target="https://akshar-exim-company-pvt-ltd.odoo.com/web" TargetMode="External"/><Relationship Id="rId4138" Type="http://schemas.openxmlformats.org/officeDocument/2006/relationships/hyperlink" Target="https://akshar-exim-company-pvt-ltd.odoo.com/web" TargetMode="External"/><Relationship Id="rId4137" Type="http://schemas.openxmlformats.org/officeDocument/2006/relationships/hyperlink" Target="https://akshar-exim-company-pvt-ltd.odoo.com/web" TargetMode="External"/><Relationship Id="rId1972" Type="http://schemas.openxmlformats.org/officeDocument/2006/relationships/hyperlink" Target="https://akshar-exim-company-pvt-ltd.odoo.com/web" TargetMode="External"/><Relationship Id="rId1973" Type="http://schemas.openxmlformats.org/officeDocument/2006/relationships/hyperlink" Target="https://akshar-exim-company-pvt-ltd.odoo.com/web" TargetMode="External"/><Relationship Id="rId1974" Type="http://schemas.openxmlformats.org/officeDocument/2006/relationships/hyperlink" Target="https://akshar-exim-company-pvt-ltd.odoo.com/web" TargetMode="External"/><Relationship Id="rId1975" Type="http://schemas.openxmlformats.org/officeDocument/2006/relationships/hyperlink" Target="https://akshar-exim-company-pvt-ltd.odoo.com/web" TargetMode="External"/><Relationship Id="rId1976" Type="http://schemas.openxmlformats.org/officeDocument/2006/relationships/hyperlink" Target="https://akshar-exim-company-pvt-ltd.odoo.com/web" TargetMode="External"/><Relationship Id="rId1977" Type="http://schemas.openxmlformats.org/officeDocument/2006/relationships/hyperlink" Target="https://akshar-exim-company-pvt-ltd.odoo.com/web" TargetMode="External"/><Relationship Id="rId1978" Type="http://schemas.openxmlformats.org/officeDocument/2006/relationships/hyperlink" Target="https://akshar-exim-company-pvt-ltd.odoo.com/web" TargetMode="External"/><Relationship Id="rId1979" Type="http://schemas.openxmlformats.org/officeDocument/2006/relationships/hyperlink" Target="https://akshar-exim-company-pvt-ltd.odoo.com/web" TargetMode="External"/><Relationship Id="rId1970" Type="http://schemas.openxmlformats.org/officeDocument/2006/relationships/hyperlink" Target="https://akshar-exim-company-pvt-ltd.odoo.com/web" TargetMode="External"/><Relationship Id="rId1971" Type="http://schemas.openxmlformats.org/officeDocument/2006/relationships/hyperlink" Target="https://akshar-exim-company-pvt-ltd.odoo.com/web" TargetMode="External"/><Relationship Id="rId1961" Type="http://schemas.openxmlformats.org/officeDocument/2006/relationships/hyperlink" Target="https://akshar-exim-company-pvt-ltd.odoo.com/web" TargetMode="External"/><Relationship Id="rId1962" Type="http://schemas.openxmlformats.org/officeDocument/2006/relationships/hyperlink" Target="https://akshar-exim-company-pvt-ltd.odoo.com/web" TargetMode="External"/><Relationship Id="rId1963" Type="http://schemas.openxmlformats.org/officeDocument/2006/relationships/hyperlink" Target="https://akshar-exim-company-pvt-ltd.odoo.com/web" TargetMode="External"/><Relationship Id="rId1964" Type="http://schemas.openxmlformats.org/officeDocument/2006/relationships/hyperlink" Target="https://akshar-exim-company-pvt-ltd.odoo.com/web" TargetMode="External"/><Relationship Id="rId1965" Type="http://schemas.openxmlformats.org/officeDocument/2006/relationships/hyperlink" Target="https://akshar-exim-company-pvt-ltd.odoo.com/web" TargetMode="External"/><Relationship Id="rId1966" Type="http://schemas.openxmlformats.org/officeDocument/2006/relationships/hyperlink" Target="https://akshar-exim-company-pvt-ltd.odoo.com/web" TargetMode="External"/><Relationship Id="rId1967" Type="http://schemas.openxmlformats.org/officeDocument/2006/relationships/hyperlink" Target="https://akshar-exim-company-pvt-ltd.odoo.com/web" TargetMode="External"/><Relationship Id="rId1968" Type="http://schemas.openxmlformats.org/officeDocument/2006/relationships/hyperlink" Target="https://akshar-exim-company-pvt-ltd.odoo.com/web" TargetMode="External"/><Relationship Id="rId1969" Type="http://schemas.openxmlformats.org/officeDocument/2006/relationships/hyperlink" Target="https://akshar-exim-company-pvt-ltd.odoo.com/web" TargetMode="External"/><Relationship Id="rId1960" Type="http://schemas.openxmlformats.org/officeDocument/2006/relationships/hyperlink" Target="https://akshar-exim-company-pvt-ltd.odoo.com/web" TargetMode="External"/><Relationship Id="rId1994" Type="http://schemas.openxmlformats.org/officeDocument/2006/relationships/hyperlink" Target="https://akshar-exim-company-pvt-ltd.odoo.com/web" TargetMode="External"/><Relationship Id="rId1995" Type="http://schemas.openxmlformats.org/officeDocument/2006/relationships/hyperlink" Target="https://akshar-exim-company-pvt-ltd.odoo.com/web" TargetMode="External"/><Relationship Id="rId1996" Type="http://schemas.openxmlformats.org/officeDocument/2006/relationships/hyperlink" Target="https://akshar-exim-company-pvt-ltd.odoo.com/web" TargetMode="External"/><Relationship Id="rId1997" Type="http://schemas.openxmlformats.org/officeDocument/2006/relationships/hyperlink" Target="https://akshar-exim-company-pvt-ltd.odoo.com/web" TargetMode="External"/><Relationship Id="rId1998" Type="http://schemas.openxmlformats.org/officeDocument/2006/relationships/hyperlink" Target="https://akshar-exim-company-pvt-ltd.odoo.com/web" TargetMode="External"/><Relationship Id="rId1999" Type="http://schemas.openxmlformats.org/officeDocument/2006/relationships/hyperlink" Target="https://akshar-exim-company-pvt-ltd.odoo.com/web" TargetMode="External"/><Relationship Id="rId1990" Type="http://schemas.openxmlformats.org/officeDocument/2006/relationships/hyperlink" Target="https://akshar-exim-company-pvt-ltd.odoo.com/web" TargetMode="External"/><Relationship Id="rId1991" Type="http://schemas.openxmlformats.org/officeDocument/2006/relationships/hyperlink" Target="https://akshar-exim-company-pvt-ltd.odoo.com/web" TargetMode="External"/><Relationship Id="rId1992" Type="http://schemas.openxmlformats.org/officeDocument/2006/relationships/hyperlink" Target="https://akshar-exim-company-pvt-ltd.odoo.com/web" TargetMode="External"/><Relationship Id="rId1993" Type="http://schemas.openxmlformats.org/officeDocument/2006/relationships/hyperlink" Target="https://akshar-exim-company-pvt-ltd.odoo.com/web" TargetMode="External"/><Relationship Id="rId1983" Type="http://schemas.openxmlformats.org/officeDocument/2006/relationships/hyperlink" Target="https://akshar-exim-company-pvt-ltd.odoo.com/web" TargetMode="External"/><Relationship Id="rId1984" Type="http://schemas.openxmlformats.org/officeDocument/2006/relationships/hyperlink" Target="https://akshar-exim-company-pvt-ltd.odoo.com/web" TargetMode="External"/><Relationship Id="rId1985" Type="http://schemas.openxmlformats.org/officeDocument/2006/relationships/hyperlink" Target="https://akshar-exim-company-pvt-ltd.odoo.com/web" TargetMode="External"/><Relationship Id="rId1986" Type="http://schemas.openxmlformats.org/officeDocument/2006/relationships/hyperlink" Target="https://akshar-exim-company-pvt-ltd.odoo.com/web" TargetMode="External"/><Relationship Id="rId1987" Type="http://schemas.openxmlformats.org/officeDocument/2006/relationships/hyperlink" Target="https://akshar-exim-company-pvt-ltd.odoo.com/web" TargetMode="External"/><Relationship Id="rId1988" Type="http://schemas.openxmlformats.org/officeDocument/2006/relationships/hyperlink" Target="https://akshar-exim-company-pvt-ltd.odoo.com/web" TargetMode="External"/><Relationship Id="rId1989" Type="http://schemas.openxmlformats.org/officeDocument/2006/relationships/hyperlink" Target="https://akshar-exim-company-pvt-ltd.odoo.com/web" TargetMode="External"/><Relationship Id="rId1980" Type="http://schemas.openxmlformats.org/officeDocument/2006/relationships/hyperlink" Target="https://akshar-exim-company-pvt-ltd.odoo.com/web" TargetMode="External"/><Relationship Id="rId1981" Type="http://schemas.openxmlformats.org/officeDocument/2006/relationships/hyperlink" Target="https://akshar-exim-company-pvt-ltd.odoo.com/web" TargetMode="External"/><Relationship Id="rId1982" Type="http://schemas.openxmlformats.org/officeDocument/2006/relationships/hyperlink" Target="https://akshar-exim-company-pvt-ltd.odoo.com/web" TargetMode="External"/><Relationship Id="rId1930" Type="http://schemas.openxmlformats.org/officeDocument/2006/relationships/hyperlink" Target="https://akshar-exim-company-pvt-ltd.odoo.com/web" TargetMode="External"/><Relationship Id="rId1931" Type="http://schemas.openxmlformats.org/officeDocument/2006/relationships/hyperlink" Target="https://akshar-exim-company-pvt-ltd.odoo.com/web" TargetMode="External"/><Relationship Id="rId1932" Type="http://schemas.openxmlformats.org/officeDocument/2006/relationships/hyperlink" Target="https://akshar-exim-company-pvt-ltd.odoo.com/web" TargetMode="External"/><Relationship Id="rId1933" Type="http://schemas.openxmlformats.org/officeDocument/2006/relationships/hyperlink" Target="https://akshar-exim-company-pvt-ltd.odoo.com/web" TargetMode="External"/><Relationship Id="rId1934" Type="http://schemas.openxmlformats.org/officeDocument/2006/relationships/hyperlink" Target="https://akshar-exim-company-pvt-ltd.odoo.com/web" TargetMode="External"/><Relationship Id="rId1935" Type="http://schemas.openxmlformats.org/officeDocument/2006/relationships/hyperlink" Target="https://akshar-exim-company-pvt-ltd.odoo.com/web" TargetMode="External"/><Relationship Id="rId1936" Type="http://schemas.openxmlformats.org/officeDocument/2006/relationships/hyperlink" Target="https://akshar-exim-company-pvt-ltd.odoo.com/web" TargetMode="External"/><Relationship Id="rId1937" Type="http://schemas.openxmlformats.org/officeDocument/2006/relationships/hyperlink" Target="https://akshar-exim-company-pvt-ltd.odoo.com/web" TargetMode="External"/><Relationship Id="rId1938" Type="http://schemas.openxmlformats.org/officeDocument/2006/relationships/hyperlink" Target="https://akshar-exim-company-pvt-ltd.odoo.com/web" TargetMode="External"/><Relationship Id="rId1939" Type="http://schemas.openxmlformats.org/officeDocument/2006/relationships/hyperlink" Target="https://akshar-exim-company-pvt-ltd.odoo.com/web" TargetMode="External"/><Relationship Id="rId1920" Type="http://schemas.openxmlformats.org/officeDocument/2006/relationships/hyperlink" Target="https://akshar-exim-company-pvt-ltd.odoo.com/web" TargetMode="External"/><Relationship Id="rId1921" Type="http://schemas.openxmlformats.org/officeDocument/2006/relationships/hyperlink" Target="https://akshar-exim-company-pvt-ltd.odoo.com/web" TargetMode="External"/><Relationship Id="rId1922" Type="http://schemas.openxmlformats.org/officeDocument/2006/relationships/hyperlink" Target="https://akshar-exim-company-pvt-ltd.odoo.com/web" TargetMode="External"/><Relationship Id="rId1923" Type="http://schemas.openxmlformats.org/officeDocument/2006/relationships/hyperlink" Target="https://akshar-exim-company-pvt-ltd.odoo.com/web" TargetMode="External"/><Relationship Id="rId1924" Type="http://schemas.openxmlformats.org/officeDocument/2006/relationships/hyperlink" Target="https://akshar-exim-company-pvt-ltd.odoo.com/web" TargetMode="External"/><Relationship Id="rId1925" Type="http://schemas.openxmlformats.org/officeDocument/2006/relationships/hyperlink" Target="https://akshar-exim-company-pvt-ltd.odoo.com/web" TargetMode="External"/><Relationship Id="rId1926" Type="http://schemas.openxmlformats.org/officeDocument/2006/relationships/hyperlink" Target="https://akshar-exim-company-pvt-ltd.odoo.com/web" TargetMode="External"/><Relationship Id="rId1927" Type="http://schemas.openxmlformats.org/officeDocument/2006/relationships/hyperlink" Target="https://akshar-exim-company-pvt-ltd.odoo.com/web" TargetMode="External"/><Relationship Id="rId1928" Type="http://schemas.openxmlformats.org/officeDocument/2006/relationships/hyperlink" Target="https://akshar-exim-company-pvt-ltd.odoo.com/web" TargetMode="External"/><Relationship Id="rId1929" Type="http://schemas.openxmlformats.org/officeDocument/2006/relationships/hyperlink" Target="https://akshar-exim-company-pvt-ltd.odoo.com/web" TargetMode="External"/><Relationship Id="rId4190" Type="http://schemas.openxmlformats.org/officeDocument/2006/relationships/hyperlink" Target="https://akshar-exim-company-pvt-ltd.odoo.com/web" TargetMode="External"/><Relationship Id="rId4192" Type="http://schemas.openxmlformats.org/officeDocument/2006/relationships/hyperlink" Target="https://akshar-exim-company-pvt-ltd.odoo.com/web" TargetMode="External"/><Relationship Id="rId4191" Type="http://schemas.openxmlformats.org/officeDocument/2006/relationships/hyperlink" Target="https://akshar-exim-company-pvt-ltd.odoo.com/web" TargetMode="External"/><Relationship Id="rId4194" Type="http://schemas.openxmlformats.org/officeDocument/2006/relationships/hyperlink" Target="https://akshar-exim-company-pvt-ltd.odoo.com/web" TargetMode="External"/><Relationship Id="rId4193" Type="http://schemas.openxmlformats.org/officeDocument/2006/relationships/hyperlink" Target="https://akshar-exim-company-pvt-ltd.odoo.com/web" TargetMode="External"/><Relationship Id="rId4196" Type="http://schemas.openxmlformats.org/officeDocument/2006/relationships/hyperlink" Target="https://akshar-exim-company-pvt-ltd.odoo.com/web" TargetMode="External"/><Relationship Id="rId4195" Type="http://schemas.openxmlformats.org/officeDocument/2006/relationships/hyperlink" Target="https://akshar-exim-company-pvt-ltd.odoo.com/web" TargetMode="External"/><Relationship Id="rId4198" Type="http://schemas.openxmlformats.org/officeDocument/2006/relationships/hyperlink" Target="https://akshar-exim-company-pvt-ltd.odoo.com/web" TargetMode="External"/><Relationship Id="rId4197" Type="http://schemas.openxmlformats.org/officeDocument/2006/relationships/hyperlink" Target="https://akshar-exim-company-pvt-ltd.odoo.com/web" TargetMode="External"/><Relationship Id="rId4199" Type="http://schemas.openxmlformats.org/officeDocument/2006/relationships/hyperlink" Target="https://akshar-exim-company-pvt-ltd.odoo.com/web" TargetMode="External"/><Relationship Id="rId1950" Type="http://schemas.openxmlformats.org/officeDocument/2006/relationships/hyperlink" Target="https://akshar-exim-company-pvt-ltd.odoo.com/web" TargetMode="External"/><Relationship Id="rId1951" Type="http://schemas.openxmlformats.org/officeDocument/2006/relationships/hyperlink" Target="https://akshar-exim-company-pvt-ltd.odoo.com/web" TargetMode="External"/><Relationship Id="rId1952" Type="http://schemas.openxmlformats.org/officeDocument/2006/relationships/hyperlink" Target="https://akshar-exim-company-pvt-ltd.odoo.com/web" TargetMode="External"/><Relationship Id="rId1953" Type="http://schemas.openxmlformats.org/officeDocument/2006/relationships/hyperlink" Target="https://akshar-exim-company-pvt-ltd.odoo.com/web" TargetMode="External"/><Relationship Id="rId1954" Type="http://schemas.openxmlformats.org/officeDocument/2006/relationships/hyperlink" Target="https://akshar-exim-company-pvt-ltd.odoo.com/web" TargetMode="External"/><Relationship Id="rId1955" Type="http://schemas.openxmlformats.org/officeDocument/2006/relationships/hyperlink" Target="https://akshar-exim-company-pvt-ltd.odoo.com/web" TargetMode="External"/><Relationship Id="rId1956" Type="http://schemas.openxmlformats.org/officeDocument/2006/relationships/hyperlink" Target="https://akshar-exim-company-pvt-ltd.odoo.com/web" TargetMode="External"/><Relationship Id="rId1957" Type="http://schemas.openxmlformats.org/officeDocument/2006/relationships/hyperlink" Target="https://akshar-exim-company-pvt-ltd.odoo.com/web" TargetMode="External"/><Relationship Id="rId1958" Type="http://schemas.openxmlformats.org/officeDocument/2006/relationships/hyperlink" Target="https://akshar-exim-company-pvt-ltd.odoo.com/web" TargetMode="External"/><Relationship Id="rId1959" Type="http://schemas.openxmlformats.org/officeDocument/2006/relationships/hyperlink" Target="https://akshar-exim-company-pvt-ltd.odoo.com/web" TargetMode="External"/><Relationship Id="rId1940" Type="http://schemas.openxmlformats.org/officeDocument/2006/relationships/hyperlink" Target="https://akshar-exim-company-pvt-ltd.odoo.com/web" TargetMode="External"/><Relationship Id="rId1941" Type="http://schemas.openxmlformats.org/officeDocument/2006/relationships/hyperlink" Target="https://akshar-exim-company-pvt-ltd.odoo.com/web" TargetMode="External"/><Relationship Id="rId1942" Type="http://schemas.openxmlformats.org/officeDocument/2006/relationships/hyperlink" Target="https://akshar-exim-company-pvt-ltd.odoo.com/web" TargetMode="External"/><Relationship Id="rId1943" Type="http://schemas.openxmlformats.org/officeDocument/2006/relationships/hyperlink" Target="https://akshar-exim-company-pvt-ltd.odoo.com/web" TargetMode="External"/><Relationship Id="rId1944" Type="http://schemas.openxmlformats.org/officeDocument/2006/relationships/hyperlink" Target="https://akshar-exim-company-pvt-ltd.odoo.com/web" TargetMode="External"/><Relationship Id="rId1945" Type="http://schemas.openxmlformats.org/officeDocument/2006/relationships/hyperlink" Target="https://akshar-exim-company-pvt-ltd.odoo.com/web" TargetMode="External"/><Relationship Id="rId1946" Type="http://schemas.openxmlformats.org/officeDocument/2006/relationships/hyperlink" Target="https://akshar-exim-company-pvt-ltd.odoo.com/web" TargetMode="External"/><Relationship Id="rId1947" Type="http://schemas.openxmlformats.org/officeDocument/2006/relationships/hyperlink" Target="https://akshar-exim-company-pvt-ltd.odoo.com/web" TargetMode="External"/><Relationship Id="rId1948" Type="http://schemas.openxmlformats.org/officeDocument/2006/relationships/hyperlink" Target="https://akshar-exim-company-pvt-ltd.odoo.com/web" TargetMode="External"/><Relationship Id="rId1949" Type="http://schemas.openxmlformats.org/officeDocument/2006/relationships/hyperlink" Target="https://akshar-exim-company-pvt-ltd.odoo.com/web" TargetMode="External"/><Relationship Id="rId2423" Type="http://schemas.openxmlformats.org/officeDocument/2006/relationships/hyperlink" Target="https://akshar-exim-company-pvt-ltd.odoo.com/web" TargetMode="External"/><Relationship Id="rId3755" Type="http://schemas.openxmlformats.org/officeDocument/2006/relationships/hyperlink" Target="mailto:shubhamheliwal@gmail.com" TargetMode="External"/><Relationship Id="rId2424" Type="http://schemas.openxmlformats.org/officeDocument/2006/relationships/hyperlink" Target="https://akshar-exim-company-pvt-ltd.odoo.com/web" TargetMode="External"/><Relationship Id="rId3754" Type="http://schemas.openxmlformats.org/officeDocument/2006/relationships/hyperlink" Target="https://akshar-exim-company-pvt-ltd.odoo.com/web" TargetMode="External"/><Relationship Id="rId2425" Type="http://schemas.openxmlformats.org/officeDocument/2006/relationships/hyperlink" Target="https://akshar-exim-company-pvt-ltd.odoo.com/web" TargetMode="External"/><Relationship Id="rId3757" Type="http://schemas.openxmlformats.org/officeDocument/2006/relationships/hyperlink" Target="mailto:halderbiswajit@gmail.com" TargetMode="External"/><Relationship Id="rId2426" Type="http://schemas.openxmlformats.org/officeDocument/2006/relationships/hyperlink" Target="https://akshar-exim-company-pvt-ltd.odoo.com/web" TargetMode="External"/><Relationship Id="rId3756" Type="http://schemas.openxmlformats.org/officeDocument/2006/relationships/hyperlink" Target="https://akshar-exim-company-pvt-ltd.odoo.com/web" TargetMode="External"/><Relationship Id="rId2427" Type="http://schemas.openxmlformats.org/officeDocument/2006/relationships/hyperlink" Target="https://akshar-exim-company-pvt-ltd.odoo.com/web" TargetMode="External"/><Relationship Id="rId3759" Type="http://schemas.openxmlformats.org/officeDocument/2006/relationships/hyperlink" Target="mailto:pam5553@gmail.com" TargetMode="External"/><Relationship Id="rId2428" Type="http://schemas.openxmlformats.org/officeDocument/2006/relationships/hyperlink" Target="https://akshar-exim-company-pvt-ltd.odoo.com/web" TargetMode="External"/><Relationship Id="rId3758" Type="http://schemas.openxmlformats.org/officeDocument/2006/relationships/hyperlink" Target="https://akshar-exim-company-pvt-ltd.odoo.com/web" TargetMode="External"/><Relationship Id="rId2429" Type="http://schemas.openxmlformats.org/officeDocument/2006/relationships/hyperlink" Target="https://akshar-exim-company-pvt-ltd.odoo.com/web" TargetMode="External"/><Relationship Id="rId509" Type="http://schemas.openxmlformats.org/officeDocument/2006/relationships/hyperlink" Target="https://akshar-exim-company-pvt-ltd.odoo.com/web" TargetMode="External"/><Relationship Id="rId508" Type="http://schemas.openxmlformats.org/officeDocument/2006/relationships/hyperlink" Target="https://akshar-exim-company-pvt-ltd.odoo.com/web" TargetMode="External"/><Relationship Id="rId503" Type="http://schemas.openxmlformats.org/officeDocument/2006/relationships/hyperlink" Target="mailto:www.rakesh1998@gmail.com" TargetMode="External"/><Relationship Id="rId502" Type="http://schemas.openxmlformats.org/officeDocument/2006/relationships/hyperlink" Target="https://akshar-exim-company-pvt-ltd.odoo.com/web" TargetMode="External"/><Relationship Id="rId501" Type="http://schemas.openxmlformats.org/officeDocument/2006/relationships/hyperlink" Target="mailto:rokykhan07@gmail.com" TargetMode="External"/><Relationship Id="rId500" Type="http://schemas.openxmlformats.org/officeDocument/2006/relationships/hyperlink" Target="https://akshar-exim-company-pvt-ltd.odoo.com/web" TargetMode="External"/><Relationship Id="rId507" Type="http://schemas.openxmlformats.org/officeDocument/2006/relationships/hyperlink" Target="mailto:usc.rakesh@gmail.com" TargetMode="External"/><Relationship Id="rId506" Type="http://schemas.openxmlformats.org/officeDocument/2006/relationships/hyperlink" Target="https://akshar-exim-company-pvt-ltd.odoo.com/web" TargetMode="External"/><Relationship Id="rId505" Type="http://schemas.openxmlformats.org/officeDocument/2006/relationships/hyperlink" Target="http://indmrt.in/brctjcjk/call+91-9593828054" TargetMode="External"/><Relationship Id="rId504" Type="http://schemas.openxmlformats.org/officeDocument/2006/relationships/hyperlink" Target="mailto:manojroy308@yahoo.com" TargetMode="External"/><Relationship Id="rId3751" Type="http://schemas.openxmlformats.org/officeDocument/2006/relationships/hyperlink" Target="mailto:shaikjilan011@gmail.com" TargetMode="External"/><Relationship Id="rId2420" Type="http://schemas.openxmlformats.org/officeDocument/2006/relationships/hyperlink" Target="https://akshar-exim-company-pvt-ltd.odoo.com/web" TargetMode="External"/><Relationship Id="rId3750" Type="http://schemas.openxmlformats.org/officeDocument/2006/relationships/hyperlink" Target="https://akshar-exim-company-pvt-ltd.odoo.com/web" TargetMode="External"/><Relationship Id="rId2421" Type="http://schemas.openxmlformats.org/officeDocument/2006/relationships/hyperlink" Target="https://akshar-exim-company-pvt-ltd.odoo.com/web" TargetMode="External"/><Relationship Id="rId3753" Type="http://schemas.openxmlformats.org/officeDocument/2006/relationships/hyperlink" Target="mailto:cvijapure@gmail.com" TargetMode="External"/><Relationship Id="rId2422" Type="http://schemas.openxmlformats.org/officeDocument/2006/relationships/hyperlink" Target="https://akshar-exim-company-pvt-ltd.odoo.com/web" TargetMode="External"/><Relationship Id="rId3752" Type="http://schemas.openxmlformats.org/officeDocument/2006/relationships/hyperlink" Target="https://akshar-exim-company-pvt-ltd.odoo.com/web" TargetMode="External"/><Relationship Id="rId2412" Type="http://schemas.openxmlformats.org/officeDocument/2006/relationships/hyperlink" Target="https://akshar-exim-company-pvt-ltd.odoo.com/web" TargetMode="External"/><Relationship Id="rId3744" Type="http://schemas.openxmlformats.org/officeDocument/2006/relationships/hyperlink" Target="https://akshar-exim-company-pvt-ltd.odoo.com/web" TargetMode="External"/><Relationship Id="rId2413" Type="http://schemas.openxmlformats.org/officeDocument/2006/relationships/hyperlink" Target="https://akshar-exim-company-pvt-ltd.odoo.com/web" TargetMode="External"/><Relationship Id="rId3743" Type="http://schemas.openxmlformats.org/officeDocument/2006/relationships/hyperlink" Target="mailto:livewire1953@gmail.com" TargetMode="External"/><Relationship Id="rId2414" Type="http://schemas.openxmlformats.org/officeDocument/2006/relationships/hyperlink" Target="https://akshar-exim-company-pvt-ltd.odoo.com/web" TargetMode="External"/><Relationship Id="rId3746" Type="http://schemas.openxmlformats.org/officeDocument/2006/relationships/hyperlink" Target="https://akshar-exim-company-pvt-ltd.odoo.com/web" TargetMode="External"/><Relationship Id="rId2415" Type="http://schemas.openxmlformats.org/officeDocument/2006/relationships/hyperlink" Target="https://akshar-exim-company-pvt-ltd.odoo.com/web" TargetMode="External"/><Relationship Id="rId3745" Type="http://schemas.openxmlformats.org/officeDocument/2006/relationships/hyperlink" Target="mailto:utpalroy.2k@gmail.com" TargetMode="External"/><Relationship Id="rId2416" Type="http://schemas.openxmlformats.org/officeDocument/2006/relationships/hyperlink" Target="https://akshar-exim-company-pvt-ltd.odoo.com/web" TargetMode="External"/><Relationship Id="rId3748" Type="http://schemas.openxmlformats.org/officeDocument/2006/relationships/hyperlink" Target="https://akshar-exim-company-pvt-ltd.odoo.com/web" TargetMode="External"/><Relationship Id="rId2417" Type="http://schemas.openxmlformats.org/officeDocument/2006/relationships/hyperlink" Target="https://akshar-exim-company-pvt-ltd.odoo.com/web" TargetMode="External"/><Relationship Id="rId3747" Type="http://schemas.openxmlformats.org/officeDocument/2006/relationships/hyperlink" Target="mailto:manikjain426@gmail.com" TargetMode="External"/><Relationship Id="rId2418" Type="http://schemas.openxmlformats.org/officeDocument/2006/relationships/hyperlink" Target="https://akshar-exim-company-pvt-ltd.odoo.com/web" TargetMode="External"/><Relationship Id="rId2419" Type="http://schemas.openxmlformats.org/officeDocument/2006/relationships/hyperlink" Target="https://akshar-exim-company-pvt-ltd.odoo.com/web" TargetMode="External"/><Relationship Id="rId3749" Type="http://schemas.openxmlformats.org/officeDocument/2006/relationships/hyperlink" Target="mailto:krishnachemicals05@gmail.com" TargetMode="External"/><Relationship Id="rId3740" Type="http://schemas.openxmlformats.org/officeDocument/2006/relationships/hyperlink" Target="https://akshar-exim-company-pvt-ltd.odoo.com/web" TargetMode="External"/><Relationship Id="rId2410" Type="http://schemas.openxmlformats.org/officeDocument/2006/relationships/hyperlink" Target="https://akshar-exim-company-pvt-ltd.odoo.com/web" TargetMode="External"/><Relationship Id="rId3742" Type="http://schemas.openxmlformats.org/officeDocument/2006/relationships/hyperlink" Target="https://akshar-exim-company-pvt-ltd.odoo.com/web" TargetMode="External"/><Relationship Id="rId2411" Type="http://schemas.openxmlformats.org/officeDocument/2006/relationships/hyperlink" Target="https://akshar-exim-company-pvt-ltd.odoo.com/web" TargetMode="External"/><Relationship Id="rId3741" Type="http://schemas.openxmlformats.org/officeDocument/2006/relationships/hyperlink" Target="mailto:abrahmashree@gmail.com" TargetMode="External"/><Relationship Id="rId1114" Type="http://schemas.openxmlformats.org/officeDocument/2006/relationships/hyperlink" Target="mailto:slinks.kolkata@gmail.com" TargetMode="External"/><Relationship Id="rId2445" Type="http://schemas.openxmlformats.org/officeDocument/2006/relationships/hyperlink" Target="https://akshar-exim-company-pvt-ltd.odoo.com/web" TargetMode="External"/><Relationship Id="rId3777" Type="http://schemas.openxmlformats.org/officeDocument/2006/relationships/hyperlink" Target="https://akshar-exim-company-pvt-ltd.odoo.com/web" TargetMode="External"/><Relationship Id="rId1115" Type="http://schemas.openxmlformats.org/officeDocument/2006/relationships/hyperlink" Target="https://akshar-exim-company-pvt-ltd.odoo.com/web" TargetMode="External"/><Relationship Id="rId2446" Type="http://schemas.openxmlformats.org/officeDocument/2006/relationships/hyperlink" Target="https://akshar-exim-company-pvt-ltd.odoo.com/web" TargetMode="External"/><Relationship Id="rId3776" Type="http://schemas.openxmlformats.org/officeDocument/2006/relationships/hyperlink" Target="https://akshar-exim-company-pvt-ltd.odoo.com/web" TargetMode="External"/><Relationship Id="rId1116" Type="http://schemas.openxmlformats.org/officeDocument/2006/relationships/hyperlink" Target="mailto:devkaranroy@gmail.com" TargetMode="External"/><Relationship Id="rId2447" Type="http://schemas.openxmlformats.org/officeDocument/2006/relationships/hyperlink" Target="https://akshar-exim-company-pvt-ltd.odoo.com/web" TargetMode="External"/><Relationship Id="rId3779" Type="http://schemas.openxmlformats.org/officeDocument/2006/relationships/hyperlink" Target="https://akshar-exim-company-pvt-ltd.odoo.com/web" TargetMode="External"/><Relationship Id="rId1117" Type="http://schemas.openxmlformats.org/officeDocument/2006/relationships/hyperlink" Target="https://akshar-exim-company-pvt-ltd.odoo.com/web" TargetMode="External"/><Relationship Id="rId2448" Type="http://schemas.openxmlformats.org/officeDocument/2006/relationships/hyperlink" Target="https://akshar-exim-company-pvt-ltd.odoo.com/web" TargetMode="External"/><Relationship Id="rId3778" Type="http://schemas.openxmlformats.org/officeDocument/2006/relationships/hyperlink" Target="mailto:joysengupta2011@gmail.com" TargetMode="External"/><Relationship Id="rId1118" Type="http://schemas.openxmlformats.org/officeDocument/2006/relationships/hyperlink" Target="mailto:tarasankar@gypmart.com" TargetMode="External"/><Relationship Id="rId2449" Type="http://schemas.openxmlformats.org/officeDocument/2006/relationships/hyperlink" Target="https://akshar-exim-company-pvt-ltd.odoo.com/web" TargetMode="External"/><Relationship Id="rId1119" Type="http://schemas.openxmlformats.org/officeDocument/2006/relationships/hyperlink" Target="https://akshar-exim-company-pvt-ltd.odoo.com/web" TargetMode="External"/><Relationship Id="rId525" Type="http://schemas.openxmlformats.org/officeDocument/2006/relationships/hyperlink" Target="https://akshar-exim-company-pvt-ltd.odoo.com/web" TargetMode="External"/><Relationship Id="rId524" Type="http://schemas.openxmlformats.org/officeDocument/2006/relationships/hyperlink" Target="https://akshar-exim-company-pvt-ltd.odoo.com/web" TargetMode="External"/><Relationship Id="rId523" Type="http://schemas.openxmlformats.org/officeDocument/2006/relationships/hyperlink" Target="mailto:suchikeeves40@gmail.com" TargetMode="External"/><Relationship Id="rId522" Type="http://schemas.openxmlformats.org/officeDocument/2006/relationships/hyperlink" Target="https://akshar-exim-company-pvt-ltd.odoo.com/web" TargetMode="External"/><Relationship Id="rId529" Type="http://schemas.openxmlformats.org/officeDocument/2006/relationships/hyperlink" Target="https://akshar-exim-company-pvt-ltd.odoo.com/web" TargetMode="External"/><Relationship Id="rId528" Type="http://schemas.openxmlformats.org/officeDocument/2006/relationships/hyperlink" Target="mailto:aparesh09@yahoo.in" TargetMode="External"/><Relationship Id="rId527" Type="http://schemas.openxmlformats.org/officeDocument/2006/relationships/hyperlink" Target="https://akshar-exim-company-pvt-ltd.odoo.com/web" TargetMode="External"/><Relationship Id="rId526" Type="http://schemas.openxmlformats.org/officeDocument/2006/relationships/hyperlink" Target="mailto:srn@thriveni.com" TargetMode="External"/><Relationship Id="rId3771" Type="http://schemas.openxmlformats.org/officeDocument/2006/relationships/hyperlink" Target="mailto:panksagarwalla.pa@gmail.com" TargetMode="External"/><Relationship Id="rId2440" Type="http://schemas.openxmlformats.org/officeDocument/2006/relationships/hyperlink" Target="https://akshar-exim-company-pvt-ltd.odoo.com/web" TargetMode="External"/><Relationship Id="rId3770" Type="http://schemas.openxmlformats.org/officeDocument/2006/relationships/hyperlink" Target="https://akshar-exim-company-pvt-ltd.odoo.com/web" TargetMode="External"/><Relationship Id="rId521" Type="http://schemas.openxmlformats.org/officeDocument/2006/relationships/hyperlink" Target="mailto:ssisjkr@gmail.com" TargetMode="External"/><Relationship Id="rId1110" Type="http://schemas.openxmlformats.org/officeDocument/2006/relationships/hyperlink" Target="https://akshar-exim-company-pvt-ltd.odoo.com/web" TargetMode="External"/><Relationship Id="rId2441" Type="http://schemas.openxmlformats.org/officeDocument/2006/relationships/hyperlink" Target="https://akshar-exim-company-pvt-ltd.odoo.com/web" TargetMode="External"/><Relationship Id="rId3773" Type="http://schemas.openxmlformats.org/officeDocument/2006/relationships/hyperlink" Target="mailto:narugopalhudait81@gmail.com" TargetMode="External"/><Relationship Id="rId520" Type="http://schemas.openxmlformats.org/officeDocument/2006/relationships/hyperlink" Target="https://akshar-exim-company-pvt-ltd.odoo.com/web" TargetMode="External"/><Relationship Id="rId1111" Type="http://schemas.openxmlformats.org/officeDocument/2006/relationships/hyperlink" Target="https://akshar-exim-company-pvt-ltd.odoo.com/web" TargetMode="External"/><Relationship Id="rId2442" Type="http://schemas.openxmlformats.org/officeDocument/2006/relationships/hyperlink" Target="https://akshar-exim-company-pvt-ltd.odoo.com/web" TargetMode="External"/><Relationship Id="rId3772" Type="http://schemas.openxmlformats.org/officeDocument/2006/relationships/hyperlink" Target="https://akshar-exim-company-pvt-ltd.odoo.com/web" TargetMode="External"/><Relationship Id="rId1112" Type="http://schemas.openxmlformats.org/officeDocument/2006/relationships/hyperlink" Target="https://akshar-exim-company-pvt-ltd.odoo.com/web" TargetMode="External"/><Relationship Id="rId2443" Type="http://schemas.openxmlformats.org/officeDocument/2006/relationships/hyperlink" Target="https://akshar-exim-company-pvt-ltd.odoo.com/web" TargetMode="External"/><Relationship Id="rId3775" Type="http://schemas.openxmlformats.org/officeDocument/2006/relationships/hyperlink" Target="mailto:arijit@krishnatissues.com" TargetMode="External"/><Relationship Id="rId1113" Type="http://schemas.openxmlformats.org/officeDocument/2006/relationships/hyperlink" Target="https://akshar-exim-company-pvt-ltd.odoo.com/web" TargetMode="External"/><Relationship Id="rId2444" Type="http://schemas.openxmlformats.org/officeDocument/2006/relationships/hyperlink" Target="https://akshar-exim-company-pvt-ltd.odoo.com/web" TargetMode="External"/><Relationship Id="rId3774" Type="http://schemas.openxmlformats.org/officeDocument/2006/relationships/hyperlink" Target="https://akshar-exim-company-pvt-ltd.odoo.com/web" TargetMode="External"/><Relationship Id="rId1103" Type="http://schemas.openxmlformats.org/officeDocument/2006/relationships/hyperlink" Target="https://akshar-exim-company-pvt-ltd.odoo.com/web" TargetMode="External"/><Relationship Id="rId2434" Type="http://schemas.openxmlformats.org/officeDocument/2006/relationships/hyperlink" Target="https://akshar-exim-company-pvt-ltd.odoo.com/web" TargetMode="External"/><Relationship Id="rId3766" Type="http://schemas.openxmlformats.org/officeDocument/2006/relationships/hyperlink" Target="https://akshar-exim-company-pvt-ltd.odoo.com/web" TargetMode="External"/><Relationship Id="rId1104" Type="http://schemas.openxmlformats.org/officeDocument/2006/relationships/hyperlink" Target="mailto:hsassociates15@gmail.com" TargetMode="External"/><Relationship Id="rId2435" Type="http://schemas.openxmlformats.org/officeDocument/2006/relationships/hyperlink" Target="https://akshar-exim-company-pvt-ltd.odoo.com/web" TargetMode="External"/><Relationship Id="rId3765" Type="http://schemas.openxmlformats.org/officeDocument/2006/relationships/hyperlink" Target="mailto:jenexp@hotmail.com" TargetMode="External"/><Relationship Id="rId1105" Type="http://schemas.openxmlformats.org/officeDocument/2006/relationships/hyperlink" Target="https://akshar-exim-company-pvt-ltd.odoo.com/web" TargetMode="External"/><Relationship Id="rId2436" Type="http://schemas.openxmlformats.org/officeDocument/2006/relationships/hyperlink" Target="https://akshar-exim-company-pvt-ltd.odoo.com/web" TargetMode="External"/><Relationship Id="rId3768" Type="http://schemas.openxmlformats.org/officeDocument/2006/relationships/hyperlink" Target="https://akshar-exim-company-pvt-ltd.odoo.com/web" TargetMode="External"/><Relationship Id="rId1106" Type="http://schemas.openxmlformats.org/officeDocument/2006/relationships/hyperlink" Target="https://akshar-exim-company-pvt-ltd.odoo.com/web" TargetMode="External"/><Relationship Id="rId2437" Type="http://schemas.openxmlformats.org/officeDocument/2006/relationships/hyperlink" Target="https://akshar-exim-company-pvt-ltd.odoo.com/web" TargetMode="External"/><Relationship Id="rId3767" Type="http://schemas.openxmlformats.org/officeDocument/2006/relationships/hyperlink" Target="mailto:zulqarkhan001@gmail.com" TargetMode="External"/><Relationship Id="rId1107" Type="http://schemas.openxmlformats.org/officeDocument/2006/relationships/hyperlink" Target="mailto:provatdas@bhel.in" TargetMode="External"/><Relationship Id="rId2438" Type="http://schemas.openxmlformats.org/officeDocument/2006/relationships/hyperlink" Target="https://akshar-exim-company-pvt-ltd.odoo.com/web" TargetMode="External"/><Relationship Id="rId1108" Type="http://schemas.openxmlformats.org/officeDocument/2006/relationships/hyperlink" Target="https://akshar-exim-company-pvt-ltd.odoo.com/web" TargetMode="External"/><Relationship Id="rId2439" Type="http://schemas.openxmlformats.org/officeDocument/2006/relationships/hyperlink" Target="https://akshar-exim-company-pvt-ltd.odoo.com/web" TargetMode="External"/><Relationship Id="rId3769" Type="http://schemas.openxmlformats.org/officeDocument/2006/relationships/hyperlink" Target="mailto:nayaksudheer2002@gmail.com" TargetMode="External"/><Relationship Id="rId1109" Type="http://schemas.openxmlformats.org/officeDocument/2006/relationships/hyperlink" Target="https://akshar-exim-company-pvt-ltd.odoo.com/web" TargetMode="External"/><Relationship Id="rId519" Type="http://schemas.openxmlformats.org/officeDocument/2006/relationships/hyperlink" Target="https://akshar-exim-company-pvt-ltd.odoo.com/web" TargetMode="External"/><Relationship Id="rId514" Type="http://schemas.openxmlformats.org/officeDocument/2006/relationships/hyperlink" Target="mailto:srm.enterprise2019@gmail.com" TargetMode="External"/><Relationship Id="rId513" Type="http://schemas.openxmlformats.org/officeDocument/2006/relationships/hyperlink" Target="https://akshar-exim-company-pvt-ltd.odoo.com/web" TargetMode="External"/><Relationship Id="rId512" Type="http://schemas.openxmlformats.org/officeDocument/2006/relationships/hyperlink" Target="mailto:kalaam@sterlingelectro.com" TargetMode="External"/><Relationship Id="rId511" Type="http://schemas.openxmlformats.org/officeDocument/2006/relationships/hyperlink" Target="https://akshar-exim-company-pvt-ltd.odoo.com/web" TargetMode="External"/><Relationship Id="rId518" Type="http://schemas.openxmlformats.org/officeDocument/2006/relationships/hyperlink" Target="mailto:subhras622s@gmail.com" TargetMode="External"/><Relationship Id="rId517" Type="http://schemas.openxmlformats.org/officeDocument/2006/relationships/hyperlink" Target="https://akshar-exim-company-pvt-ltd.odoo.com/web" TargetMode="External"/><Relationship Id="rId516" Type="http://schemas.openxmlformats.org/officeDocument/2006/relationships/hyperlink" Target="mailto:aumexports9@gmail.com" TargetMode="External"/><Relationship Id="rId515" Type="http://schemas.openxmlformats.org/officeDocument/2006/relationships/hyperlink" Target="https://akshar-exim-company-pvt-ltd.odoo.com/web" TargetMode="External"/><Relationship Id="rId3760" Type="http://schemas.openxmlformats.org/officeDocument/2006/relationships/hyperlink" Target="https://akshar-exim-company-pvt-ltd.odoo.com/web" TargetMode="External"/><Relationship Id="rId510" Type="http://schemas.openxmlformats.org/officeDocument/2006/relationships/hyperlink" Target="https://akshar-exim-company-pvt-ltd.odoo.com/web" TargetMode="External"/><Relationship Id="rId2430" Type="http://schemas.openxmlformats.org/officeDocument/2006/relationships/hyperlink" Target="https://akshar-exim-company-pvt-ltd.odoo.com/web" TargetMode="External"/><Relationship Id="rId3762" Type="http://schemas.openxmlformats.org/officeDocument/2006/relationships/hyperlink" Target="https://akshar-exim-company-pvt-ltd.odoo.com/web" TargetMode="External"/><Relationship Id="rId1100" Type="http://schemas.openxmlformats.org/officeDocument/2006/relationships/hyperlink" Target="mailto:smzhps@gmail.com" TargetMode="External"/><Relationship Id="rId2431" Type="http://schemas.openxmlformats.org/officeDocument/2006/relationships/hyperlink" Target="https://akshar-exim-company-pvt-ltd.odoo.com/web" TargetMode="External"/><Relationship Id="rId3761" Type="http://schemas.openxmlformats.org/officeDocument/2006/relationships/hyperlink" Target="mailto:ak671531@gmail.com" TargetMode="External"/><Relationship Id="rId1101" Type="http://schemas.openxmlformats.org/officeDocument/2006/relationships/hyperlink" Target="https://akshar-exim-company-pvt-ltd.odoo.com/web" TargetMode="External"/><Relationship Id="rId2432" Type="http://schemas.openxmlformats.org/officeDocument/2006/relationships/hyperlink" Target="https://akshar-exim-company-pvt-ltd.odoo.com/web" TargetMode="External"/><Relationship Id="rId3764" Type="http://schemas.openxmlformats.org/officeDocument/2006/relationships/hyperlink" Target="https://akshar-exim-company-pvt-ltd.odoo.com/web" TargetMode="External"/><Relationship Id="rId1102" Type="http://schemas.openxmlformats.org/officeDocument/2006/relationships/hyperlink" Target="https://akshar-exim-company-pvt-ltd.odoo.com/web" TargetMode="External"/><Relationship Id="rId2433" Type="http://schemas.openxmlformats.org/officeDocument/2006/relationships/hyperlink" Target="https://akshar-exim-company-pvt-ltd.odoo.com/web" TargetMode="External"/><Relationship Id="rId3763" Type="http://schemas.openxmlformats.org/officeDocument/2006/relationships/hyperlink" Target="mailto:kiranp365@gmail.com" TargetMode="External"/><Relationship Id="rId3711" Type="http://schemas.openxmlformats.org/officeDocument/2006/relationships/hyperlink" Target="https://akshar-exim-company-pvt-ltd.odoo.com/web" TargetMode="External"/><Relationship Id="rId3710" Type="http://schemas.openxmlformats.org/officeDocument/2006/relationships/hyperlink" Target="mailto:joy.solangep@gmail.com" TargetMode="External"/><Relationship Id="rId3713" Type="http://schemas.openxmlformats.org/officeDocument/2006/relationships/hyperlink" Target="mailto:venkatarao1986@gmail.com" TargetMode="External"/><Relationship Id="rId3712" Type="http://schemas.openxmlformats.org/officeDocument/2006/relationships/hyperlink" Target="https://akshar-exim-company-pvt-ltd.odoo.com/web" TargetMode="External"/><Relationship Id="rId3715" Type="http://schemas.openxmlformats.org/officeDocument/2006/relationships/hyperlink" Target="mailto:mvsformulations@gmail.com" TargetMode="External"/><Relationship Id="rId3714" Type="http://schemas.openxmlformats.org/officeDocument/2006/relationships/hyperlink" Target="https://akshar-exim-company-pvt-ltd.odoo.com/web" TargetMode="External"/><Relationship Id="rId3717" Type="http://schemas.openxmlformats.org/officeDocument/2006/relationships/hyperlink" Target="mailto:rajibkar9@gmail.com" TargetMode="External"/><Relationship Id="rId3716" Type="http://schemas.openxmlformats.org/officeDocument/2006/relationships/hyperlink" Target="https://akshar-exim-company-pvt-ltd.odoo.com/web" TargetMode="External"/><Relationship Id="rId3719" Type="http://schemas.openxmlformats.org/officeDocument/2006/relationships/hyperlink" Target="mailto:info@standardinc.in" TargetMode="External"/><Relationship Id="rId3718" Type="http://schemas.openxmlformats.org/officeDocument/2006/relationships/hyperlink" Target="https://akshar-exim-company-pvt-ltd.odoo.com/web" TargetMode="External"/><Relationship Id="rId3700" Type="http://schemas.openxmlformats.org/officeDocument/2006/relationships/hyperlink" Target="https://akshar-exim-company-pvt-ltd.odoo.com/web" TargetMode="External"/><Relationship Id="rId3702" Type="http://schemas.openxmlformats.org/officeDocument/2006/relationships/hyperlink" Target="https://akshar-exim-company-pvt-ltd.odoo.com/web" TargetMode="External"/><Relationship Id="rId3701" Type="http://schemas.openxmlformats.org/officeDocument/2006/relationships/hyperlink" Target="mailto:sr.rajendrawww@gmail.com" TargetMode="External"/><Relationship Id="rId3704" Type="http://schemas.openxmlformats.org/officeDocument/2006/relationships/hyperlink" Target="https://akshar-exim-company-pvt-ltd.odoo.com/web" TargetMode="External"/><Relationship Id="rId3703" Type="http://schemas.openxmlformats.org/officeDocument/2006/relationships/hyperlink" Target="mailto:narayanitrading2020@gmail.com" TargetMode="External"/><Relationship Id="rId3706" Type="http://schemas.openxmlformats.org/officeDocument/2006/relationships/hyperlink" Target="https://akshar-exim-company-pvt-ltd.odoo.com/web" TargetMode="External"/><Relationship Id="rId3705" Type="http://schemas.openxmlformats.org/officeDocument/2006/relationships/hyperlink" Target="https://akshar-exim-company-pvt-ltd.odoo.com/web" TargetMode="External"/><Relationship Id="rId3708" Type="http://schemas.openxmlformats.org/officeDocument/2006/relationships/hyperlink" Target="mailto:purchases@sgihouse.in" TargetMode="External"/><Relationship Id="rId3707" Type="http://schemas.openxmlformats.org/officeDocument/2006/relationships/hyperlink" Target="https://akshar-exim-company-pvt-ltd.odoo.com/web" TargetMode="External"/><Relationship Id="rId3709" Type="http://schemas.openxmlformats.org/officeDocument/2006/relationships/hyperlink" Target="https://akshar-exim-company-pvt-ltd.odoo.com/web" TargetMode="External"/><Relationship Id="rId2401" Type="http://schemas.openxmlformats.org/officeDocument/2006/relationships/hyperlink" Target="https://akshar-exim-company-pvt-ltd.odoo.com/web" TargetMode="External"/><Relationship Id="rId3733" Type="http://schemas.openxmlformats.org/officeDocument/2006/relationships/hyperlink" Target="https://akshar-exim-company-pvt-ltd.odoo.com/web" TargetMode="External"/><Relationship Id="rId2402" Type="http://schemas.openxmlformats.org/officeDocument/2006/relationships/hyperlink" Target="https://akshar-exim-company-pvt-ltd.odoo.com/web" TargetMode="External"/><Relationship Id="rId3732" Type="http://schemas.openxmlformats.org/officeDocument/2006/relationships/hyperlink" Target="mailto:shubhampatil1607@gmail.com" TargetMode="External"/><Relationship Id="rId2403" Type="http://schemas.openxmlformats.org/officeDocument/2006/relationships/hyperlink" Target="https://akshar-exim-company-pvt-ltd.odoo.com/web" TargetMode="External"/><Relationship Id="rId3735" Type="http://schemas.openxmlformats.org/officeDocument/2006/relationships/hyperlink" Target="https://akshar-exim-company-pvt-ltd.odoo.com/web" TargetMode="External"/><Relationship Id="rId2404" Type="http://schemas.openxmlformats.org/officeDocument/2006/relationships/hyperlink" Target="https://akshar-exim-company-pvt-ltd.odoo.com/web" TargetMode="External"/><Relationship Id="rId3734" Type="http://schemas.openxmlformats.org/officeDocument/2006/relationships/hyperlink" Target="mailto:sundarmoorthi1775@gmail.com" TargetMode="External"/><Relationship Id="rId2405" Type="http://schemas.openxmlformats.org/officeDocument/2006/relationships/hyperlink" Target="https://akshar-exim-company-pvt-ltd.odoo.com/web" TargetMode="External"/><Relationship Id="rId3737" Type="http://schemas.openxmlformats.org/officeDocument/2006/relationships/hyperlink" Target="https://akshar-exim-company-pvt-ltd.odoo.com/web" TargetMode="External"/><Relationship Id="rId2406" Type="http://schemas.openxmlformats.org/officeDocument/2006/relationships/hyperlink" Target="https://akshar-exim-company-pvt-ltd.odoo.com/web" TargetMode="External"/><Relationship Id="rId3736" Type="http://schemas.openxmlformats.org/officeDocument/2006/relationships/hyperlink" Target="mailto:harshtradingco2005@gmail.com" TargetMode="External"/><Relationship Id="rId2407" Type="http://schemas.openxmlformats.org/officeDocument/2006/relationships/hyperlink" Target="https://akshar-exim-company-pvt-ltd.odoo.com/web" TargetMode="External"/><Relationship Id="rId3739" Type="http://schemas.openxmlformats.org/officeDocument/2006/relationships/hyperlink" Target="mailto:sabaleakshay92@gmail.com" TargetMode="External"/><Relationship Id="rId2408" Type="http://schemas.openxmlformats.org/officeDocument/2006/relationships/hyperlink" Target="https://akshar-exim-company-pvt-ltd.odoo.com/web" TargetMode="External"/><Relationship Id="rId3738" Type="http://schemas.openxmlformats.org/officeDocument/2006/relationships/hyperlink" Target="https://akshar-exim-company-pvt-ltd.odoo.com/web" TargetMode="External"/><Relationship Id="rId2409" Type="http://schemas.openxmlformats.org/officeDocument/2006/relationships/hyperlink" Target="https://akshar-exim-company-pvt-ltd.odoo.com/web" TargetMode="External"/><Relationship Id="rId3731" Type="http://schemas.openxmlformats.org/officeDocument/2006/relationships/hyperlink" Target="https://akshar-exim-company-pvt-ltd.odoo.com/web" TargetMode="External"/><Relationship Id="rId2400" Type="http://schemas.openxmlformats.org/officeDocument/2006/relationships/hyperlink" Target="https://akshar-exim-company-pvt-ltd.odoo.com/web" TargetMode="External"/><Relationship Id="rId3730" Type="http://schemas.openxmlformats.org/officeDocument/2006/relationships/hyperlink" Target="mailto:pramod.tambe26@yahoo.com" TargetMode="External"/><Relationship Id="rId3722" Type="http://schemas.openxmlformats.org/officeDocument/2006/relationships/hyperlink" Target="https://akshar-exim-company-pvt-ltd.odoo.com/web" TargetMode="External"/><Relationship Id="rId3721" Type="http://schemas.openxmlformats.org/officeDocument/2006/relationships/hyperlink" Target="mailto:bpatel1972@gmail.com" TargetMode="External"/><Relationship Id="rId3724" Type="http://schemas.openxmlformats.org/officeDocument/2006/relationships/hyperlink" Target="https://akshar-exim-company-pvt-ltd.odoo.com/web" TargetMode="External"/><Relationship Id="rId3723" Type="http://schemas.openxmlformats.org/officeDocument/2006/relationships/hyperlink" Target="mailto:npaul@multicoats.com" TargetMode="External"/><Relationship Id="rId3726" Type="http://schemas.openxmlformats.org/officeDocument/2006/relationships/hyperlink" Target="https://akshar-exim-company-pvt-ltd.odoo.com/web" TargetMode="External"/><Relationship Id="rId3725" Type="http://schemas.openxmlformats.org/officeDocument/2006/relationships/hyperlink" Target="mailto:sb443992@gmail.com" TargetMode="External"/><Relationship Id="rId3728" Type="http://schemas.openxmlformats.org/officeDocument/2006/relationships/hyperlink" Target="https://akshar-exim-company-pvt-ltd.odoo.com/web" TargetMode="External"/><Relationship Id="rId3727" Type="http://schemas.openxmlformats.org/officeDocument/2006/relationships/hyperlink" Target="mailto:pradipsarkarphyso68@gmail.com" TargetMode="External"/><Relationship Id="rId3729" Type="http://schemas.openxmlformats.org/officeDocument/2006/relationships/hyperlink" Target="https://akshar-exim-company-pvt-ltd.odoo.com/web" TargetMode="External"/><Relationship Id="rId3720" Type="http://schemas.openxmlformats.org/officeDocument/2006/relationships/hyperlink" Target="https://akshar-exim-company-pvt-ltd.odoo.com/web" TargetMode="External"/><Relationship Id="rId4206" Type="http://schemas.openxmlformats.org/officeDocument/2006/relationships/hyperlink" Target="https://akshar-exim-company-pvt-ltd.odoo.com/web" TargetMode="External"/><Relationship Id="rId4205" Type="http://schemas.openxmlformats.org/officeDocument/2006/relationships/hyperlink" Target="https://akshar-exim-company-pvt-ltd.odoo.com/web" TargetMode="External"/><Relationship Id="rId4208" Type="http://schemas.openxmlformats.org/officeDocument/2006/relationships/hyperlink" Target="https://akshar-exim-company-pvt-ltd.odoo.com/web" TargetMode="External"/><Relationship Id="rId4207" Type="http://schemas.openxmlformats.org/officeDocument/2006/relationships/hyperlink" Target="https://akshar-exim-company-pvt-ltd.odoo.com/web" TargetMode="External"/><Relationship Id="rId590" Type="http://schemas.openxmlformats.org/officeDocument/2006/relationships/hyperlink" Target="https://akshar-exim-company-pvt-ltd.odoo.com/web" TargetMode="External"/><Relationship Id="rId4209" Type="http://schemas.openxmlformats.org/officeDocument/2006/relationships/hyperlink" Target="https://akshar-exim-company-pvt-ltd.odoo.com/web" TargetMode="External"/><Relationship Id="rId589" Type="http://schemas.openxmlformats.org/officeDocument/2006/relationships/hyperlink" Target="mailto:debnath.bidyut66@gmail.com" TargetMode="External"/><Relationship Id="rId588" Type="http://schemas.openxmlformats.org/officeDocument/2006/relationships/hyperlink" Target="https://akshar-exim-company-pvt-ltd.odoo.com/web" TargetMode="External"/><Relationship Id="rId1170" Type="http://schemas.openxmlformats.org/officeDocument/2006/relationships/hyperlink" Target="https://akshar-exim-company-pvt-ltd.odoo.com/web" TargetMode="External"/><Relationship Id="rId1171" Type="http://schemas.openxmlformats.org/officeDocument/2006/relationships/hyperlink" Target="mailto:alok.das401@gmail.com" TargetMode="External"/><Relationship Id="rId583" Type="http://schemas.openxmlformats.org/officeDocument/2006/relationships/hyperlink" Target="https://akshar-exim-company-pvt-ltd.odoo.com/web" TargetMode="External"/><Relationship Id="rId1172" Type="http://schemas.openxmlformats.org/officeDocument/2006/relationships/hyperlink" Target="https://akshar-exim-company-pvt-ltd.odoo.com/web" TargetMode="External"/><Relationship Id="rId582" Type="http://schemas.openxmlformats.org/officeDocument/2006/relationships/hyperlink" Target="https://akshar-exim-company-pvt-ltd.odoo.com/web" TargetMode="External"/><Relationship Id="rId1173" Type="http://schemas.openxmlformats.org/officeDocument/2006/relationships/hyperlink" Target="mailto:krish1972.2013@gmail.com" TargetMode="External"/><Relationship Id="rId581" Type="http://schemas.openxmlformats.org/officeDocument/2006/relationships/hyperlink" Target="mailto:svk.jash@gmail.com" TargetMode="External"/><Relationship Id="rId1174" Type="http://schemas.openxmlformats.org/officeDocument/2006/relationships/hyperlink" Target="https://akshar-exim-company-pvt-ltd.odoo.com/web" TargetMode="External"/><Relationship Id="rId4200" Type="http://schemas.openxmlformats.org/officeDocument/2006/relationships/hyperlink" Target="https://akshar-exim-company-pvt-ltd.odoo.com/web" TargetMode="External"/><Relationship Id="rId580" Type="http://schemas.openxmlformats.org/officeDocument/2006/relationships/hyperlink" Target="https://akshar-exim-company-pvt-ltd.odoo.com/web" TargetMode="External"/><Relationship Id="rId1175" Type="http://schemas.openxmlformats.org/officeDocument/2006/relationships/hyperlink" Target="https://akshar-exim-company-pvt-ltd.odoo.com/web" TargetMode="External"/><Relationship Id="rId587" Type="http://schemas.openxmlformats.org/officeDocument/2006/relationships/hyperlink" Target="mailto:abhijit@kellerindia.com" TargetMode="External"/><Relationship Id="rId1176" Type="http://schemas.openxmlformats.org/officeDocument/2006/relationships/hyperlink" Target="https://akshar-exim-company-pvt-ltd.odoo.com/web" TargetMode="External"/><Relationship Id="rId4202" Type="http://schemas.openxmlformats.org/officeDocument/2006/relationships/hyperlink" Target="https://akshar-exim-company-pvt-ltd.odoo.com/web" TargetMode="External"/><Relationship Id="rId586" Type="http://schemas.openxmlformats.org/officeDocument/2006/relationships/hyperlink" Target="https://akshar-exim-company-pvt-ltd.odoo.com/web" TargetMode="External"/><Relationship Id="rId1177" Type="http://schemas.openxmlformats.org/officeDocument/2006/relationships/hyperlink" Target="mailto:devendrajamtarawala123@gmail.com" TargetMode="External"/><Relationship Id="rId4201" Type="http://schemas.openxmlformats.org/officeDocument/2006/relationships/hyperlink" Target="https://akshar-exim-company-pvt-ltd.odoo.com/web" TargetMode="External"/><Relationship Id="rId585" Type="http://schemas.openxmlformats.org/officeDocument/2006/relationships/hyperlink" Target="mailto:bhagatsinghdhn.1@gmail.com" TargetMode="External"/><Relationship Id="rId1178" Type="http://schemas.openxmlformats.org/officeDocument/2006/relationships/hyperlink" Target="https://akshar-exim-company-pvt-ltd.odoo.com/web" TargetMode="External"/><Relationship Id="rId4204" Type="http://schemas.openxmlformats.org/officeDocument/2006/relationships/hyperlink" Target="https://akshar-exim-company-pvt-ltd.odoo.com/web" TargetMode="External"/><Relationship Id="rId584" Type="http://schemas.openxmlformats.org/officeDocument/2006/relationships/hyperlink" Target="https://akshar-exim-company-pvt-ltd.odoo.com/web" TargetMode="External"/><Relationship Id="rId1179" Type="http://schemas.openxmlformats.org/officeDocument/2006/relationships/hyperlink" Target="mailto:abdulmajidmondal1@gmail.com" TargetMode="External"/><Relationship Id="rId4203" Type="http://schemas.openxmlformats.org/officeDocument/2006/relationships/hyperlink" Target="https://akshar-exim-company-pvt-ltd.odoo.com/web" TargetMode="External"/><Relationship Id="rId1169" Type="http://schemas.openxmlformats.org/officeDocument/2006/relationships/hyperlink" Target="mailto:tausifis1989@gmail.com" TargetMode="External"/><Relationship Id="rId579" Type="http://schemas.openxmlformats.org/officeDocument/2006/relationships/hyperlink" Target="mailto:bmkaliachak@gmail.com" TargetMode="External"/><Relationship Id="rId578" Type="http://schemas.openxmlformats.org/officeDocument/2006/relationships/hyperlink" Target="https://akshar-exim-company-pvt-ltd.odoo.com/web" TargetMode="External"/><Relationship Id="rId577" Type="http://schemas.openxmlformats.org/officeDocument/2006/relationships/hyperlink" Target="https://akshar-exim-company-pvt-ltd.odoo.com/web" TargetMode="External"/><Relationship Id="rId2490" Type="http://schemas.openxmlformats.org/officeDocument/2006/relationships/hyperlink" Target="https://akshar-exim-company-pvt-ltd.odoo.com/web" TargetMode="External"/><Relationship Id="rId1160" Type="http://schemas.openxmlformats.org/officeDocument/2006/relationships/hyperlink" Target="mailto:cotwas@gmail.com" TargetMode="External"/><Relationship Id="rId2491" Type="http://schemas.openxmlformats.org/officeDocument/2006/relationships/hyperlink" Target="https://akshar-exim-company-pvt-ltd.odoo.com/web" TargetMode="External"/><Relationship Id="rId572" Type="http://schemas.openxmlformats.org/officeDocument/2006/relationships/hyperlink" Target="mailto:sayandas474@gmail.com" TargetMode="External"/><Relationship Id="rId1161" Type="http://schemas.openxmlformats.org/officeDocument/2006/relationships/hyperlink" Target="https://akshar-exim-company-pvt-ltd.odoo.com/web" TargetMode="External"/><Relationship Id="rId2492" Type="http://schemas.openxmlformats.org/officeDocument/2006/relationships/hyperlink" Target="https://akshar-exim-company-pvt-ltd.odoo.com/web" TargetMode="External"/><Relationship Id="rId571" Type="http://schemas.openxmlformats.org/officeDocument/2006/relationships/hyperlink" Target="https://akshar-exim-company-pvt-ltd.odoo.com/web" TargetMode="External"/><Relationship Id="rId1162" Type="http://schemas.openxmlformats.org/officeDocument/2006/relationships/hyperlink" Target="https://akshar-exim-company-pvt-ltd.odoo.com/web" TargetMode="External"/><Relationship Id="rId2493" Type="http://schemas.openxmlformats.org/officeDocument/2006/relationships/hyperlink" Target="https://akshar-exim-company-pvt-ltd.odoo.com/web" TargetMode="External"/><Relationship Id="rId570" Type="http://schemas.openxmlformats.org/officeDocument/2006/relationships/hyperlink" Target="https://akshar-exim-company-pvt-ltd.odoo.com/web" TargetMode="External"/><Relationship Id="rId1163" Type="http://schemas.openxmlformats.org/officeDocument/2006/relationships/hyperlink" Target="mailto:gourakrushna7873@gmail.com" TargetMode="External"/><Relationship Id="rId2494" Type="http://schemas.openxmlformats.org/officeDocument/2006/relationships/hyperlink" Target="https://akshar-exim-company-pvt-ltd.odoo.com/web" TargetMode="External"/><Relationship Id="rId1164" Type="http://schemas.openxmlformats.org/officeDocument/2006/relationships/hyperlink" Target="https://akshar-exim-company-pvt-ltd.odoo.com/web" TargetMode="External"/><Relationship Id="rId2495" Type="http://schemas.openxmlformats.org/officeDocument/2006/relationships/hyperlink" Target="https://akshar-exim-company-pvt-ltd.odoo.com/web" TargetMode="External"/><Relationship Id="rId576" Type="http://schemas.openxmlformats.org/officeDocument/2006/relationships/hyperlink" Target="mailto:kazinazbul833@gmail.com" TargetMode="External"/><Relationship Id="rId1165" Type="http://schemas.openxmlformats.org/officeDocument/2006/relationships/hyperlink" Target="mailto:dorapavitrakumar@gmail.com" TargetMode="External"/><Relationship Id="rId2496" Type="http://schemas.openxmlformats.org/officeDocument/2006/relationships/hyperlink" Target="https://akshar-exim-company-pvt-ltd.odoo.com/web" TargetMode="External"/><Relationship Id="rId575" Type="http://schemas.openxmlformats.org/officeDocument/2006/relationships/hyperlink" Target="https://akshar-exim-company-pvt-ltd.odoo.com/web" TargetMode="External"/><Relationship Id="rId1166" Type="http://schemas.openxmlformats.org/officeDocument/2006/relationships/hyperlink" Target="https://akshar-exim-company-pvt-ltd.odoo.com/web" TargetMode="External"/><Relationship Id="rId2497" Type="http://schemas.openxmlformats.org/officeDocument/2006/relationships/hyperlink" Target="https://akshar-exim-company-pvt-ltd.odoo.com/web" TargetMode="External"/><Relationship Id="rId574" Type="http://schemas.openxmlformats.org/officeDocument/2006/relationships/hyperlink" Target="mailto:evaenterprise29@gmail.com" TargetMode="External"/><Relationship Id="rId1167" Type="http://schemas.openxmlformats.org/officeDocument/2006/relationships/hyperlink" Target="mailto:projects@dynasoure.com" TargetMode="External"/><Relationship Id="rId2498" Type="http://schemas.openxmlformats.org/officeDocument/2006/relationships/hyperlink" Target="https://akshar-exim-company-pvt-ltd.odoo.com/web" TargetMode="External"/><Relationship Id="rId573" Type="http://schemas.openxmlformats.org/officeDocument/2006/relationships/hyperlink" Target="https://akshar-exim-company-pvt-ltd.odoo.com/web" TargetMode="External"/><Relationship Id="rId1168" Type="http://schemas.openxmlformats.org/officeDocument/2006/relationships/hyperlink" Target="https://akshar-exim-company-pvt-ltd.odoo.com/web" TargetMode="External"/><Relationship Id="rId2499" Type="http://schemas.openxmlformats.org/officeDocument/2006/relationships/hyperlink" Target="https://akshar-exim-company-pvt-ltd.odoo.com/web" TargetMode="External"/><Relationship Id="rId4228" Type="http://schemas.openxmlformats.org/officeDocument/2006/relationships/hyperlink" Target="https://akshar-exim-company-pvt-ltd.odoo.com/web" TargetMode="External"/><Relationship Id="rId4227" Type="http://schemas.openxmlformats.org/officeDocument/2006/relationships/hyperlink" Target="https://akshar-exim-company-pvt-ltd.odoo.com/web" TargetMode="External"/><Relationship Id="rId4229" Type="http://schemas.openxmlformats.org/officeDocument/2006/relationships/hyperlink" Target="https://akshar-exim-company-pvt-ltd.odoo.com/web" TargetMode="External"/><Relationship Id="rId1190" Type="http://schemas.openxmlformats.org/officeDocument/2006/relationships/hyperlink" Target="https://akshar-exim-company-pvt-ltd.odoo.com/web" TargetMode="External"/><Relationship Id="rId1191" Type="http://schemas.openxmlformats.org/officeDocument/2006/relationships/hyperlink" Target="mailto:tarachem13@gmail.com" TargetMode="External"/><Relationship Id="rId1192" Type="http://schemas.openxmlformats.org/officeDocument/2006/relationships/hyperlink" Target="https://akshar-exim-company-pvt-ltd.odoo.com/web" TargetMode="External"/><Relationship Id="rId1193" Type="http://schemas.openxmlformats.org/officeDocument/2006/relationships/hyperlink" Target="mailto:tapas.pradhan@pnb.co.in" TargetMode="External"/><Relationship Id="rId1194" Type="http://schemas.openxmlformats.org/officeDocument/2006/relationships/hyperlink" Target="https://akshar-exim-company-pvt-ltd.odoo.com/web" TargetMode="External"/><Relationship Id="rId4220" Type="http://schemas.openxmlformats.org/officeDocument/2006/relationships/hyperlink" Target="https://akshar-exim-company-pvt-ltd.odoo.com/web" TargetMode="External"/><Relationship Id="rId1195" Type="http://schemas.openxmlformats.org/officeDocument/2006/relationships/hyperlink" Target="mailto:satyajitbariksnk@gmail.com" TargetMode="External"/><Relationship Id="rId1196" Type="http://schemas.openxmlformats.org/officeDocument/2006/relationships/hyperlink" Target="https://akshar-exim-company-pvt-ltd.odoo.com/web" TargetMode="External"/><Relationship Id="rId4222" Type="http://schemas.openxmlformats.org/officeDocument/2006/relationships/hyperlink" Target="https://akshar-exim-company-pvt-ltd.odoo.com/web" TargetMode="External"/><Relationship Id="rId1197" Type="http://schemas.openxmlformats.org/officeDocument/2006/relationships/hyperlink" Target="mailto:mdshamimansari.kk@gmail.com" TargetMode="External"/><Relationship Id="rId4221" Type="http://schemas.openxmlformats.org/officeDocument/2006/relationships/hyperlink" Target="https://akshar-exim-company-pvt-ltd.odoo.com/web" TargetMode="External"/><Relationship Id="rId1198" Type="http://schemas.openxmlformats.org/officeDocument/2006/relationships/hyperlink" Target="https://akshar-exim-company-pvt-ltd.odoo.com/web" TargetMode="External"/><Relationship Id="rId4224" Type="http://schemas.openxmlformats.org/officeDocument/2006/relationships/hyperlink" Target="https://akshar-exim-company-pvt-ltd.odoo.com/web" TargetMode="External"/><Relationship Id="rId1199" Type="http://schemas.openxmlformats.org/officeDocument/2006/relationships/hyperlink" Target="mailto:pratimadas334@gmail.com" TargetMode="External"/><Relationship Id="rId4223" Type="http://schemas.openxmlformats.org/officeDocument/2006/relationships/hyperlink" Target="https://akshar-exim-company-pvt-ltd.odoo.com/web" TargetMode="External"/><Relationship Id="rId4226" Type="http://schemas.openxmlformats.org/officeDocument/2006/relationships/hyperlink" Target="https://akshar-exim-company-pvt-ltd.odoo.com/web" TargetMode="External"/><Relationship Id="rId4225" Type="http://schemas.openxmlformats.org/officeDocument/2006/relationships/hyperlink" Target="https://akshar-exim-company-pvt-ltd.odoo.com/web" TargetMode="External"/><Relationship Id="rId4217" Type="http://schemas.openxmlformats.org/officeDocument/2006/relationships/hyperlink" Target="https://akshar-exim-company-pvt-ltd.odoo.com/web" TargetMode="External"/><Relationship Id="rId4216" Type="http://schemas.openxmlformats.org/officeDocument/2006/relationships/hyperlink" Target="https://akshar-exim-company-pvt-ltd.odoo.com/web" TargetMode="External"/><Relationship Id="rId4219" Type="http://schemas.openxmlformats.org/officeDocument/2006/relationships/hyperlink" Target="https://akshar-exim-company-pvt-ltd.odoo.com/web" TargetMode="External"/><Relationship Id="rId4218" Type="http://schemas.openxmlformats.org/officeDocument/2006/relationships/hyperlink" Target="https://akshar-exim-company-pvt-ltd.odoo.com/web" TargetMode="External"/><Relationship Id="rId599" Type="http://schemas.openxmlformats.org/officeDocument/2006/relationships/hyperlink" Target="mailto:govindexp2013@gmail.com" TargetMode="External"/><Relationship Id="rId1180" Type="http://schemas.openxmlformats.org/officeDocument/2006/relationships/hyperlink" Target="https://akshar-exim-company-pvt-ltd.odoo.com/web" TargetMode="External"/><Relationship Id="rId1181" Type="http://schemas.openxmlformats.org/officeDocument/2006/relationships/hyperlink" Target="https://akshar-exim-company-pvt-ltd.odoo.com/web" TargetMode="External"/><Relationship Id="rId1182" Type="http://schemas.openxmlformats.org/officeDocument/2006/relationships/hyperlink" Target="https://akshar-exim-company-pvt-ltd.odoo.com/web" TargetMode="External"/><Relationship Id="rId594" Type="http://schemas.openxmlformats.org/officeDocument/2006/relationships/hyperlink" Target="https://akshar-exim-company-pvt-ltd.odoo.com/web" TargetMode="External"/><Relationship Id="rId1183" Type="http://schemas.openxmlformats.org/officeDocument/2006/relationships/hyperlink" Target="mailto:amit28995@gmail.com" TargetMode="External"/><Relationship Id="rId593" Type="http://schemas.openxmlformats.org/officeDocument/2006/relationships/hyperlink" Target="mailto:deepakagarwal607@gmail.com" TargetMode="External"/><Relationship Id="rId1184" Type="http://schemas.openxmlformats.org/officeDocument/2006/relationships/hyperlink" Target="https://akshar-exim-company-pvt-ltd.odoo.com/web" TargetMode="External"/><Relationship Id="rId592" Type="http://schemas.openxmlformats.org/officeDocument/2006/relationships/hyperlink" Target="https://akshar-exim-company-pvt-ltd.odoo.com/web" TargetMode="External"/><Relationship Id="rId1185" Type="http://schemas.openxmlformats.org/officeDocument/2006/relationships/hyperlink" Target="mailto:mdrezauddin176@gmail.com" TargetMode="External"/><Relationship Id="rId4211" Type="http://schemas.openxmlformats.org/officeDocument/2006/relationships/hyperlink" Target="https://akshar-exim-company-pvt-ltd.odoo.com/web" TargetMode="External"/><Relationship Id="rId591" Type="http://schemas.openxmlformats.org/officeDocument/2006/relationships/hyperlink" Target="mailto:info@agro-chemicals.com" TargetMode="External"/><Relationship Id="rId1186" Type="http://schemas.openxmlformats.org/officeDocument/2006/relationships/hyperlink" Target="https://akshar-exim-company-pvt-ltd.odoo.com/web" TargetMode="External"/><Relationship Id="rId4210" Type="http://schemas.openxmlformats.org/officeDocument/2006/relationships/hyperlink" Target="https://akshar-exim-company-pvt-ltd.odoo.com/web" TargetMode="External"/><Relationship Id="rId598" Type="http://schemas.openxmlformats.org/officeDocument/2006/relationships/hyperlink" Target="https://akshar-exim-company-pvt-ltd.odoo.com/web" TargetMode="External"/><Relationship Id="rId1187" Type="http://schemas.openxmlformats.org/officeDocument/2006/relationships/hyperlink" Target="mailto:ihaveincime@gmail.com" TargetMode="External"/><Relationship Id="rId4213" Type="http://schemas.openxmlformats.org/officeDocument/2006/relationships/hyperlink" Target="https://akshar-exim-company-pvt-ltd.odoo.com/web" TargetMode="External"/><Relationship Id="rId597" Type="http://schemas.openxmlformats.org/officeDocument/2006/relationships/hyperlink" Target="mailto:loverahulpuja22@gmail.com" TargetMode="External"/><Relationship Id="rId1188" Type="http://schemas.openxmlformats.org/officeDocument/2006/relationships/hyperlink" Target="https://akshar-exim-company-pvt-ltd.odoo.com/web" TargetMode="External"/><Relationship Id="rId4212" Type="http://schemas.openxmlformats.org/officeDocument/2006/relationships/hyperlink" Target="https://akshar-exim-company-pvt-ltd.odoo.com/web" TargetMode="External"/><Relationship Id="rId596" Type="http://schemas.openxmlformats.org/officeDocument/2006/relationships/hyperlink" Target="https://akshar-exim-company-pvt-ltd.odoo.com/web" TargetMode="External"/><Relationship Id="rId1189" Type="http://schemas.openxmlformats.org/officeDocument/2006/relationships/hyperlink" Target="mailto:shahbazmoin11980@gmail.com" TargetMode="External"/><Relationship Id="rId4215" Type="http://schemas.openxmlformats.org/officeDocument/2006/relationships/hyperlink" Target="https://akshar-exim-company-pvt-ltd.odoo.com/web" TargetMode="External"/><Relationship Id="rId595" Type="http://schemas.openxmlformats.org/officeDocument/2006/relationships/hyperlink" Target="mailto:shrikantlahoti@live.com" TargetMode="External"/><Relationship Id="rId4214" Type="http://schemas.openxmlformats.org/officeDocument/2006/relationships/hyperlink" Target="https://akshar-exim-company-pvt-ltd.odoo.com/web" TargetMode="External"/><Relationship Id="rId1136" Type="http://schemas.openxmlformats.org/officeDocument/2006/relationships/hyperlink" Target="mailto:sktoyel@gmail.com" TargetMode="External"/><Relationship Id="rId2467" Type="http://schemas.openxmlformats.org/officeDocument/2006/relationships/hyperlink" Target="https://akshar-exim-company-pvt-ltd.odoo.com/web" TargetMode="External"/><Relationship Id="rId3799" Type="http://schemas.openxmlformats.org/officeDocument/2006/relationships/hyperlink" Target="https://akshar-exim-company-pvt-ltd.odoo.com/web" TargetMode="External"/><Relationship Id="rId1137" Type="http://schemas.openxmlformats.org/officeDocument/2006/relationships/hyperlink" Target="https://akshar-exim-company-pvt-ltd.odoo.com/web" TargetMode="External"/><Relationship Id="rId2468" Type="http://schemas.openxmlformats.org/officeDocument/2006/relationships/hyperlink" Target="https://akshar-exim-company-pvt-ltd.odoo.com/web" TargetMode="External"/><Relationship Id="rId3798" Type="http://schemas.openxmlformats.org/officeDocument/2006/relationships/hyperlink" Target="mailto:haseebalam123@gmail.com" TargetMode="External"/><Relationship Id="rId1138" Type="http://schemas.openxmlformats.org/officeDocument/2006/relationships/hyperlink" Target="https://akshar-exim-company-pvt-ltd.odoo.com/web" TargetMode="External"/><Relationship Id="rId2469" Type="http://schemas.openxmlformats.org/officeDocument/2006/relationships/hyperlink" Target="https://akshar-exim-company-pvt-ltd.odoo.com/web" TargetMode="External"/><Relationship Id="rId1139" Type="http://schemas.openxmlformats.org/officeDocument/2006/relationships/hyperlink" Target="mailto:shribalaji.exports@yahoo.com" TargetMode="External"/><Relationship Id="rId547" Type="http://schemas.openxmlformats.org/officeDocument/2006/relationships/hyperlink" Target="https://akshar-exim-company-pvt-ltd.odoo.com/web" TargetMode="External"/><Relationship Id="rId546" Type="http://schemas.openxmlformats.org/officeDocument/2006/relationships/hyperlink" Target="https://akshar-exim-company-pvt-ltd.odoo.com/web" TargetMode="External"/><Relationship Id="rId545" Type="http://schemas.openxmlformats.org/officeDocument/2006/relationships/hyperlink" Target="mailto:purchase@enriserau.com" TargetMode="External"/><Relationship Id="rId544" Type="http://schemas.openxmlformats.org/officeDocument/2006/relationships/hyperlink" Target="https://akshar-exim-company-pvt-ltd.odoo.com/web" TargetMode="External"/><Relationship Id="rId549" Type="http://schemas.openxmlformats.org/officeDocument/2006/relationships/hyperlink" Target="https://akshar-exim-company-pvt-ltd.odoo.com/web" TargetMode="External"/><Relationship Id="rId548" Type="http://schemas.openxmlformats.org/officeDocument/2006/relationships/hyperlink" Target="mailto:amitchowdhury1@hotmail.com" TargetMode="External"/><Relationship Id="rId3791" Type="http://schemas.openxmlformats.org/officeDocument/2006/relationships/hyperlink" Target="https://akshar-exim-company-pvt-ltd.odoo.com/web" TargetMode="External"/><Relationship Id="rId2460" Type="http://schemas.openxmlformats.org/officeDocument/2006/relationships/hyperlink" Target="https://akshar-exim-company-pvt-ltd.odoo.com/web" TargetMode="External"/><Relationship Id="rId3790" Type="http://schemas.openxmlformats.org/officeDocument/2006/relationships/hyperlink" Target="mailto:sheenamadhavapuram@gmail.com" TargetMode="External"/><Relationship Id="rId1130" Type="http://schemas.openxmlformats.org/officeDocument/2006/relationships/hyperlink" Target="https://akshar-exim-company-pvt-ltd.odoo.com/web" TargetMode="External"/><Relationship Id="rId2461" Type="http://schemas.openxmlformats.org/officeDocument/2006/relationships/hyperlink" Target="https://akshar-exim-company-pvt-ltd.odoo.com/web" TargetMode="External"/><Relationship Id="rId3793" Type="http://schemas.openxmlformats.org/officeDocument/2006/relationships/hyperlink" Target="https://akshar-exim-company-pvt-ltd.odoo.com/web" TargetMode="External"/><Relationship Id="rId1131" Type="http://schemas.openxmlformats.org/officeDocument/2006/relationships/hyperlink" Target="https://akshar-exim-company-pvt-ltd.odoo.com/web" TargetMode="External"/><Relationship Id="rId2462" Type="http://schemas.openxmlformats.org/officeDocument/2006/relationships/hyperlink" Target="https://akshar-exim-company-pvt-ltd.odoo.com/web" TargetMode="External"/><Relationship Id="rId3792" Type="http://schemas.openxmlformats.org/officeDocument/2006/relationships/hyperlink" Target="mailto:pathaksandip20@gmail.com" TargetMode="External"/><Relationship Id="rId543" Type="http://schemas.openxmlformats.org/officeDocument/2006/relationships/hyperlink" Target="mailto:info@unloadbox.com" TargetMode="External"/><Relationship Id="rId1132" Type="http://schemas.openxmlformats.org/officeDocument/2006/relationships/hyperlink" Target="mailto:admin@acuro.in" TargetMode="External"/><Relationship Id="rId2463" Type="http://schemas.openxmlformats.org/officeDocument/2006/relationships/hyperlink" Target="https://akshar-exim-company-pvt-ltd.odoo.com/web" TargetMode="External"/><Relationship Id="rId3795" Type="http://schemas.openxmlformats.org/officeDocument/2006/relationships/hyperlink" Target="https://akshar-exim-company-pvt-ltd.odoo.com/web" TargetMode="External"/><Relationship Id="rId542" Type="http://schemas.openxmlformats.org/officeDocument/2006/relationships/hyperlink" Target="https://akshar-exim-company-pvt-ltd.odoo.com/web" TargetMode="External"/><Relationship Id="rId1133" Type="http://schemas.openxmlformats.org/officeDocument/2006/relationships/hyperlink" Target="https://akshar-exim-company-pvt-ltd.odoo.com/web" TargetMode="External"/><Relationship Id="rId2464" Type="http://schemas.openxmlformats.org/officeDocument/2006/relationships/hyperlink" Target="https://akshar-exim-company-pvt-ltd.odoo.com/web" TargetMode="External"/><Relationship Id="rId3794" Type="http://schemas.openxmlformats.org/officeDocument/2006/relationships/hyperlink" Target="mailto:shaktichemicals80@gmail.com" TargetMode="External"/><Relationship Id="rId541" Type="http://schemas.openxmlformats.org/officeDocument/2006/relationships/hyperlink" Target="https://akshar-exim-company-pvt-ltd.odoo.com/web" TargetMode="External"/><Relationship Id="rId1134" Type="http://schemas.openxmlformats.org/officeDocument/2006/relationships/hyperlink" Target="mailto:mataraindustriesjsr@gmail.com" TargetMode="External"/><Relationship Id="rId2465" Type="http://schemas.openxmlformats.org/officeDocument/2006/relationships/hyperlink" Target="https://akshar-exim-company-pvt-ltd.odoo.com/web" TargetMode="External"/><Relationship Id="rId3797" Type="http://schemas.openxmlformats.org/officeDocument/2006/relationships/hyperlink" Target="https://akshar-exim-company-pvt-ltd.odoo.com/web" TargetMode="External"/><Relationship Id="rId540" Type="http://schemas.openxmlformats.org/officeDocument/2006/relationships/hyperlink" Target="mailto:devildvrj@gmail.com" TargetMode="External"/><Relationship Id="rId1135" Type="http://schemas.openxmlformats.org/officeDocument/2006/relationships/hyperlink" Target="https://akshar-exim-company-pvt-ltd.odoo.com/web" TargetMode="External"/><Relationship Id="rId2466" Type="http://schemas.openxmlformats.org/officeDocument/2006/relationships/hyperlink" Target="https://akshar-exim-company-pvt-ltd.odoo.com/web" TargetMode="External"/><Relationship Id="rId3796" Type="http://schemas.openxmlformats.org/officeDocument/2006/relationships/hyperlink" Target="mailto:kamal_k_roy13@yahoo.com" TargetMode="External"/><Relationship Id="rId1125" Type="http://schemas.openxmlformats.org/officeDocument/2006/relationships/hyperlink" Target="https://akshar-exim-company-pvt-ltd.odoo.com/web" TargetMode="External"/><Relationship Id="rId2456" Type="http://schemas.openxmlformats.org/officeDocument/2006/relationships/hyperlink" Target="https://akshar-exim-company-pvt-ltd.odoo.com/web" TargetMode="External"/><Relationship Id="rId3788" Type="http://schemas.openxmlformats.org/officeDocument/2006/relationships/hyperlink" Target="mailto:bhargavaankit86@gmail.com" TargetMode="External"/><Relationship Id="rId1126" Type="http://schemas.openxmlformats.org/officeDocument/2006/relationships/hyperlink" Target="mailto:gaauurraavv1000@gmail.com" TargetMode="External"/><Relationship Id="rId2457" Type="http://schemas.openxmlformats.org/officeDocument/2006/relationships/hyperlink" Target="https://akshar-exim-company-pvt-ltd.odoo.com/web" TargetMode="External"/><Relationship Id="rId3787" Type="http://schemas.openxmlformats.org/officeDocument/2006/relationships/hyperlink" Target="https://akshar-exim-company-pvt-ltd.odoo.com/web" TargetMode="External"/><Relationship Id="rId1127" Type="http://schemas.openxmlformats.org/officeDocument/2006/relationships/hyperlink" Target="https://akshar-exim-company-pvt-ltd.odoo.com/web" TargetMode="External"/><Relationship Id="rId2458" Type="http://schemas.openxmlformats.org/officeDocument/2006/relationships/hyperlink" Target="https://akshar-exim-company-pvt-ltd.odoo.com/web" TargetMode="External"/><Relationship Id="rId1128" Type="http://schemas.openxmlformats.org/officeDocument/2006/relationships/hyperlink" Target="mailto:vijaylaxmitradingchemical@gmail.com" TargetMode="External"/><Relationship Id="rId2459" Type="http://schemas.openxmlformats.org/officeDocument/2006/relationships/hyperlink" Target="https://akshar-exim-company-pvt-ltd.odoo.com/web" TargetMode="External"/><Relationship Id="rId3789" Type="http://schemas.openxmlformats.org/officeDocument/2006/relationships/hyperlink" Target="https://akshar-exim-company-pvt-ltd.odoo.com/web" TargetMode="External"/><Relationship Id="rId1129" Type="http://schemas.openxmlformats.org/officeDocument/2006/relationships/hyperlink" Target="https://akshar-exim-company-pvt-ltd.odoo.com/web" TargetMode="External"/><Relationship Id="rId536" Type="http://schemas.openxmlformats.org/officeDocument/2006/relationships/hyperlink" Target="mailto:asishmandal143@gmail.com" TargetMode="External"/><Relationship Id="rId535" Type="http://schemas.openxmlformats.org/officeDocument/2006/relationships/hyperlink" Target="https://akshar-exim-company-pvt-ltd.odoo.com/web" TargetMode="External"/><Relationship Id="rId534" Type="http://schemas.openxmlformats.org/officeDocument/2006/relationships/hyperlink" Target="mailto:thakkarcoalmerchant@gmail.com" TargetMode="External"/><Relationship Id="rId533" Type="http://schemas.openxmlformats.org/officeDocument/2006/relationships/hyperlink" Target="https://akshar-exim-company-pvt-ltd.odoo.com/web" TargetMode="External"/><Relationship Id="rId539" Type="http://schemas.openxmlformats.org/officeDocument/2006/relationships/hyperlink" Target="https://akshar-exim-company-pvt-ltd.odoo.com/web" TargetMode="External"/><Relationship Id="rId538" Type="http://schemas.openxmlformats.org/officeDocument/2006/relationships/hyperlink" Target="mailto:ubuntu.ahmed@gmail.com" TargetMode="External"/><Relationship Id="rId537" Type="http://schemas.openxmlformats.org/officeDocument/2006/relationships/hyperlink" Target="https://akshar-exim-company-pvt-ltd.odoo.com/web" TargetMode="External"/><Relationship Id="rId3780" Type="http://schemas.openxmlformats.org/officeDocument/2006/relationships/hyperlink" Target="mailto:sambhukarmakar12@gmail.com" TargetMode="External"/><Relationship Id="rId2450" Type="http://schemas.openxmlformats.org/officeDocument/2006/relationships/hyperlink" Target="https://akshar-exim-company-pvt-ltd.odoo.com/web" TargetMode="External"/><Relationship Id="rId3782" Type="http://schemas.openxmlformats.org/officeDocument/2006/relationships/hyperlink" Target="mailto:ashokpatra7087@gmail.com" TargetMode="External"/><Relationship Id="rId1120" Type="http://schemas.openxmlformats.org/officeDocument/2006/relationships/hyperlink" Target="mailto:moidul773@gmail.com" TargetMode="External"/><Relationship Id="rId2451" Type="http://schemas.openxmlformats.org/officeDocument/2006/relationships/hyperlink" Target="https://akshar-exim-company-pvt-ltd.odoo.com/web" TargetMode="External"/><Relationship Id="rId3781" Type="http://schemas.openxmlformats.org/officeDocument/2006/relationships/hyperlink" Target="https://akshar-exim-company-pvt-ltd.odoo.com/web" TargetMode="External"/><Relationship Id="rId532" Type="http://schemas.openxmlformats.org/officeDocument/2006/relationships/hyperlink" Target="mailto:sahab.657@gmail.com" TargetMode="External"/><Relationship Id="rId1121" Type="http://schemas.openxmlformats.org/officeDocument/2006/relationships/hyperlink" Target="https://akshar-exim-company-pvt-ltd.odoo.com/web" TargetMode="External"/><Relationship Id="rId2452" Type="http://schemas.openxmlformats.org/officeDocument/2006/relationships/hyperlink" Target="https://akshar-exim-company-pvt-ltd.odoo.com/web" TargetMode="External"/><Relationship Id="rId3784" Type="http://schemas.openxmlformats.org/officeDocument/2006/relationships/hyperlink" Target="mailto:firoj.piyada22@gmail.com" TargetMode="External"/><Relationship Id="rId531" Type="http://schemas.openxmlformats.org/officeDocument/2006/relationships/hyperlink" Target="https://akshar-exim-company-pvt-ltd.odoo.com/web" TargetMode="External"/><Relationship Id="rId1122" Type="http://schemas.openxmlformats.org/officeDocument/2006/relationships/hyperlink" Target="mailto:snpachisia0699@gmail.com" TargetMode="External"/><Relationship Id="rId2453" Type="http://schemas.openxmlformats.org/officeDocument/2006/relationships/hyperlink" Target="https://akshar-exim-company-pvt-ltd.odoo.com/web" TargetMode="External"/><Relationship Id="rId3783" Type="http://schemas.openxmlformats.org/officeDocument/2006/relationships/hyperlink" Target="https://akshar-exim-company-pvt-ltd.odoo.com/web" TargetMode="External"/><Relationship Id="rId530" Type="http://schemas.openxmlformats.org/officeDocument/2006/relationships/hyperlink" Target="mailto:mithun.priya2010@gmail.com" TargetMode="External"/><Relationship Id="rId1123" Type="http://schemas.openxmlformats.org/officeDocument/2006/relationships/hyperlink" Target="https://akshar-exim-company-pvt-ltd.odoo.com/web" TargetMode="External"/><Relationship Id="rId2454" Type="http://schemas.openxmlformats.org/officeDocument/2006/relationships/hyperlink" Target="https://akshar-exim-company-pvt-ltd.odoo.com/web" TargetMode="External"/><Relationship Id="rId3786" Type="http://schemas.openxmlformats.org/officeDocument/2006/relationships/hyperlink" Target="mailto:babita.agarwal0100@gmail.com" TargetMode="External"/><Relationship Id="rId1124" Type="http://schemas.openxmlformats.org/officeDocument/2006/relationships/hyperlink" Target="mailto:mitra.samrat0001@gmail.com" TargetMode="External"/><Relationship Id="rId2455" Type="http://schemas.openxmlformats.org/officeDocument/2006/relationships/hyperlink" Target="https://akshar-exim-company-pvt-ltd.odoo.com/web" TargetMode="External"/><Relationship Id="rId3785" Type="http://schemas.openxmlformats.org/officeDocument/2006/relationships/hyperlink" Target="https://akshar-exim-company-pvt-ltd.odoo.com/web" TargetMode="External"/><Relationship Id="rId1158" Type="http://schemas.openxmlformats.org/officeDocument/2006/relationships/hyperlink" Target="mailto:knishat01@gmail.com" TargetMode="External"/><Relationship Id="rId2489" Type="http://schemas.openxmlformats.org/officeDocument/2006/relationships/hyperlink" Target="https://akshar-exim-company-pvt-ltd.odoo.com/web" TargetMode="External"/><Relationship Id="rId1159" Type="http://schemas.openxmlformats.org/officeDocument/2006/relationships/hyperlink" Target="https://akshar-exim-company-pvt-ltd.odoo.com/web" TargetMode="External"/><Relationship Id="rId569" Type="http://schemas.openxmlformats.org/officeDocument/2006/relationships/hyperlink" Target="mailto:nishir2barman@gmail.com" TargetMode="External"/><Relationship Id="rId568" Type="http://schemas.openxmlformats.org/officeDocument/2006/relationships/hyperlink" Target="https://akshar-exim-company-pvt-ltd.odoo.com/web" TargetMode="External"/><Relationship Id="rId567" Type="http://schemas.openxmlformats.org/officeDocument/2006/relationships/hyperlink" Target="mailto:avirup.013.in@gmail.com" TargetMode="External"/><Relationship Id="rId566" Type="http://schemas.openxmlformats.org/officeDocument/2006/relationships/hyperlink" Target="https://akshar-exim-company-pvt-ltd.odoo.com/web" TargetMode="External"/><Relationship Id="rId2480" Type="http://schemas.openxmlformats.org/officeDocument/2006/relationships/hyperlink" Target="https://akshar-exim-company-pvt-ltd.odoo.com/web" TargetMode="External"/><Relationship Id="rId561" Type="http://schemas.openxmlformats.org/officeDocument/2006/relationships/hyperlink" Target="mailto:anirbantupun1983@gmail.com" TargetMode="External"/><Relationship Id="rId1150" Type="http://schemas.openxmlformats.org/officeDocument/2006/relationships/hyperlink" Target="https://akshar-exim-company-pvt-ltd.odoo.com/web" TargetMode="External"/><Relationship Id="rId2481" Type="http://schemas.openxmlformats.org/officeDocument/2006/relationships/hyperlink" Target="https://akshar-exim-company-pvt-ltd.odoo.com/web" TargetMode="External"/><Relationship Id="rId560" Type="http://schemas.openxmlformats.org/officeDocument/2006/relationships/hyperlink" Target="https://akshar-exim-company-pvt-ltd.odoo.com/web" TargetMode="External"/><Relationship Id="rId1151" Type="http://schemas.openxmlformats.org/officeDocument/2006/relationships/hyperlink" Target="mailto:ravi8895@gmail.com" TargetMode="External"/><Relationship Id="rId2482" Type="http://schemas.openxmlformats.org/officeDocument/2006/relationships/hyperlink" Target="https://akshar-exim-company-pvt-ltd.odoo.com/web" TargetMode="External"/><Relationship Id="rId1152" Type="http://schemas.openxmlformats.org/officeDocument/2006/relationships/hyperlink" Target="https://akshar-exim-company-pvt-ltd.odoo.com/web" TargetMode="External"/><Relationship Id="rId2483" Type="http://schemas.openxmlformats.org/officeDocument/2006/relationships/hyperlink" Target="https://akshar-exim-company-pvt-ltd.odoo.com/web" TargetMode="External"/><Relationship Id="rId1153" Type="http://schemas.openxmlformats.org/officeDocument/2006/relationships/hyperlink" Target="mailto:bharat@singhania-group.com" TargetMode="External"/><Relationship Id="rId2484" Type="http://schemas.openxmlformats.org/officeDocument/2006/relationships/hyperlink" Target="https://akshar-exim-company-pvt-ltd.odoo.com/web" TargetMode="External"/><Relationship Id="rId565" Type="http://schemas.openxmlformats.org/officeDocument/2006/relationships/hyperlink" Target="mailto:8chpetrucci@gmail.com" TargetMode="External"/><Relationship Id="rId1154" Type="http://schemas.openxmlformats.org/officeDocument/2006/relationships/hyperlink" Target="https://akshar-exim-company-pvt-ltd.odoo.com/web" TargetMode="External"/><Relationship Id="rId2485" Type="http://schemas.openxmlformats.org/officeDocument/2006/relationships/hyperlink" Target="https://akshar-exim-company-pvt-ltd.odoo.com/web" TargetMode="External"/><Relationship Id="rId564" Type="http://schemas.openxmlformats.org/officeDocument/2006/relationships/hyperlink" Target="https://akshar-exim-company-pvt-ltd.odoo.com/web" TargetMode="External"/><Relationship Id="rId1155" Type="http://schemas.openxmlformats.org/officeDocument/2006/relationships/hyperlink" Target="https://akshar-exim-company-pvt-ltd.odoo.com/web" TargetMode="External"/><Relationship Id="rId2486" Type="http://schemas.openxmlformats.org/officeDocument/2006/relationships/hyperlink" Target="https://akshar-exim-company-pvt-ltd.odoo.com/web" TargetMode="External"/><Relationship Id="rId563" Type="http://schemas.openxmlformats.org/officeDocument/2006/relationships/hyperlink" Target="mailto:saikatonline2k19@gmail.com" TargetMode="External"/><Relationship Id="rId1156" Type="http://schemas.openxmlformats.org/officeDocument/2006/relationships/hyperlink" Target="https://akshar-exim-company-pvt-ltd.odoo.com/web" TargetMode="External"/><Relationship Id="rId2487" Type="http://schemas.openxmlformats.org/officeDocument/2006/relationships/hyperlink" Target="https://akshar-exim-company-pvt-ltd.odoo.com/web" TargetMode="External"/><Relationship Id="rId562" Type="http://schemas.openxmlformats.org/officeDocument/2006/relationships/hyperlink" Target="https://akshar-exim-company-pvt-ltd.odoo.com/web" TargetMode="External"/><Relationship Id="rId1157" Type="http://schemas.openxmlformats.org/officeDocument/2006/relationships/hyperlink" Target="https://akshar-exim-company-pvt-ltd.odoo.com/web" TargetMode="External"/><Relationship Id="rId2488" Type="http://schemas.openxmlformats.org/officeDocument/2006/relationships/hyperlink" Target="https://akshar-exim-company-pvt-ltd.odoo.com/web" TargetMode="External"/><Relationship Id="rId1147" Type="http://schemas.openxmlformats.org/officeDocument/2006/relationships/hyperlink" Target="mailto:shivtraders7788@gmail.com" TargetMode="External"/><Relationship Id="rId2478" Type="http://schemas.openxmlformats.org/officeDocument/2006/relationships/hyperlink" Target="https://akshar-exim-company-pvt-ltd.odoo.com/web" TargetMode="External"/><Relationship Id="rId1148" Type="http://schemas.openxmlformats.org/officeDocument/2006/relationships/hyperlink" Target="https://akshar-exim-company-pvt-ltd.odoo.com/web" TargetMode="External"/><Relationship Id="rId2479" Type="http://schemas.openxmlformats.org/officeDocument/2006/relationships/hyperlink" Target="https://akshar-exim-company-pvt-ltd.odoo.com/web" TargetMode="External"/><Relationship Id="rId1149" Type="http://schemas.openxmlformats.org/officeDocument/2006/relationships/hyperlink" Target="mailto:purchase@sarvesh.com" TargetMode="External"/><Relationship Id="rId558" Type="http://schemas.openxmlformats.org/officeDocument/2006/relationships/hyperlink" Target="https://akshar-exim-company-pvt-ltd.odoo.com/web" TargetMode="External"/><Relationship Id="rId557" Type="http://schemas.openxmlformats.org/officeDocument/2006/relationships/hyperlink" Target="mailto:tuluenterprises@yahoo.co.in" TargetMode="External"/><Relationship Id="rId556" Type="http://schemas.openxmlformats.org/officeDocument/2006/relationships/hyperlink" Target="https://akshar-exim-company-pvt-ltd.odoo.com/web" TargetMode="External"/><Relationship Id="rId555" Type="http://schemas.openxmlformats.org/officeDocument/2006/relationships/hyperlink" Target="mailto:pranavkambe@hotmail.com" TargetMode="External"/><Relationship Id="rId559" Type="http://schemas.openxmlformats.org/officeDocument/2006/relationships/hyperlink" Target="mailto:shanrokeychem@rediffmail.com" TargetMode="External"/><Relationship Id="rId550" Type="http://schemas.openxmlformats.org/officeDocument/2006/relationships/hyperlink" Target="mailto:interglobe.business@gmail.com" TargetMode="External"/><Relationship Id="rId2470" Type="http://schemas.openxmlformats.org/officeDocument/2006/relationships/hyperlink" Target="https://akshar-exim-company-pvt-ltd.odoo.com/web" TargetMode="External"/><Relationship Id="rId1140" Type="http://schemas.openxmlformats.org/officeDocument/2006/relationships/hyperlink" Target="https://akshar-exim-company-pvt-ltd.odoo.com/web" TargetMode="External"/><Relationship Id="rId2471" Type="http://schemas.openxmlformats.org/officeDocument/2006/relationships/hyperlink" Target="https://akshar-exim-company-pvt-ltd.odoo.com/web" TargetMode="External"/><Relationship Id="rId1141" Type="http://schemas.openxmlformats.org/officeDocument/2006/relationships/hyperlink" Target="mailto:skalam428@gmail.com" TargetMode="External"/><Relationship Id="rId2472" Type="http://schemas.openxmlformats.org/officeDocument/2006/relationships/hyperlink" Target="https://akshar-exim-company-pvt-ltd.odoo.com/web" TargetMode="External"/><Relationship Id="rId1142" Type="http://schemas.openxmlformats.org/officeDocument/2006/relationships/hyperlink" Target="https://akshar-exim-company-pvt-ltd.odoo.com/web" TargetMode="External"/><Relationship Id="rId2473" Type="http://schemas.openxmlformats.org/officeDocument/2006/relationships/hyperlink" Target="https://akshar-exim-company-pvt-ltd.odoo.com/web" TargetMode="External"/><Relationship Id="rId554" Type="http://schemas.openxmlformats.org/officeDocument/2006/relationships/hyperlink" Target="https://akshar-exim-company-pvt-ltd.odoo.com/web" TargetMode="External"/><Relationship Id="rId1143" Type="http://schemas.openxmlformats.org/officeDocument/2006/relationships/hyperlink" Target="https://akshar-exim-company-pvt-ltd.odoo.com/web" TargetMode="External"/><Relationship Id="rId2474" Type="http://schemas.openxmlformats.org/officeDocument/2006/relationships/hyperlink" Target="https://akshar-exim-company-pvt-ltd.odoo.com/web" TargetMode="External"/><Relationship Id="rId553" Type="http://schemas.openxmlformats.org/officeDocument/2006/relationships/hyperlink" Target="mailto:riddhi.shreenathchemical@gmail.com" TargetMode="External"/><Relationship Id="rId1144" Type="http://schemas.openxmlformats.org/officeDocument/2006/relationships/hyperlink" Target="https://akshar-exim-company-pvt-ltd.odoo.com/web" TargetMode="External"/><Relationship Id="rId2475" Type="http://schemas.openxmlformats.org/officeDocument/2006/relationships/hyperlink" Target="https://akshar-exim-company-pvt-ltd.odoo.com/web" TargetMode="External"/><Relationship Id="rId552" Type="http://schemas.openxmlformats.org/officeDocument/2006/relationships/hyperlink" Target="https://akshar-exim-company-pvt-ltd.odoo.com/web" TargetMode="External"/><Relationship Id="rId1145" Type="http://schemas.openxmlformats.org/officeDocument/2006/relationships/hyperlink" Target="mailto:gautampaul080@gmail.com" TargetMode="External"/><Relationship Id="rId2476" Type="http://schemas.openxmlformats.org/officeDocument/2006/relationships/hyperlink" Target="https://akshar-exim-company-pvt-ltd.odoo.com/web" TargetMode="External"/><Relationship Id="rId551" Type="http://schemas.openxmlformats.org/officeDocument/2006/relationships/hyperlink" Target="https://akshar-exim-company-pvt-ltd.odoo.com/web" TargetMode="External"/><Relationship Id="rId1146" Type="http://schemas.openxmlformats.org/officeDocument/2006/relationships/hyperlink" Target="https://akshar-exim-company-pvt-ltd.odoo.com/web" TargetMode="External"/><Relationship Id="rId2477" Type="http://schemas.openxmlformats.org/officeDocument/2006/relationships/hyperlink" Target="https://akshar-exim-company-pvt-ltd.odoo.com/web" TargetMode="External"/><Relationship Id="rId4280" Type="http://schemas.openxmlformats.org/officeDocument/2006/relationships/hyperlink" Target="https://akshar-exim-company-pvt-ltd.odoo.com/web" TargetMode="External"/><Relationship Id="rId4282" Type="http://schemas.openxmlformats.org/officeDocument/2006/relationships/hyperlink" Target="https://akshar-exim-company-pvt-ltd.odoo.com/web" TargetMode="External"/><Relationship Id="rId4281" Type="http://schemas.openxmlformats.org/officeDocument/2006/relationships/hyperlink" Target="https://akshar-exim-company-pvt-ltd.odoo.com/web" TargetMode="External"/><Relationship Id="rId4284" Type="http://schemas.openxmlformats.org/officeDocument/2006/relationships/hyperlink" Target="https://akshar-exim-company-pvt-ltd.odoo.com/web" TargetMode="External"/><Relationship Id="rId4283" Type="http://schemas.openxmlformats.org/officeDocument/2006/relationships/hyperlink" Target="https://akshar-exim-company-pvt-ltd.odoo.com/web" TargetMode="External"/><Relationship Id="rId4286" Type="http://schemas.openxmlformats.org/officeDocument/2006/relationships/hyperlink" Target="https://akshar-exim-company-pvt-ltd.odoo.com/web" TargetMode="External"/><Relationship Id="rId4285" Type="http://schemas.openxmlformats.org/officeDocument/2006/relationships/hyperlink" Target="https://akshar-exim-company-pvt-ltd.odoo.com/web" TargetMode="External"/><Relationship Id="rId4288" Type="http://schemas.openxmlformats.org/officeDocument/2006/relationships/hyperlink" Target="https://akshar-exim-company-pvt-ltd.odoo.com/web" TargetMode="External"/><Relationship Id="rId4287" Type="http://schemas.openxmlformats.org/officeDocument/2006/relationships/hyperlink" Target="https://akshar-exim-company-pvt-ltd.odoo.com/web" TargetMode="External"/><Relationship Id="rId4289" Type="http://schemas.openxmlformats.org/officeDocument/2006/relationships/hyperlink" Target="https://akshar-exim-company-pvt-ltd.odoo.com/web" TargetMode="External"/><Relationship Id="rId4271" Type="http://schemas.openxmlformats.org/officeDocument/2006/relationships/hyperlink" Target="https://akshar-exim-company-pvt-ltd.odoo.com/web" TargetMode="External"/><Relationship Id="rId4270" Type="http://schemas.openxmlformats.org/officeDocument/2006/relationships/hyperlink" Target="https://akshar-exim-company-pvt-ltd.odoo.com/web" TargetMode="External"/><Relationship Id="rId4273" Type="http://schemas.openxmlformats.org/officeDocument/2006/relationships/hyperlink" Target="https://akshar-exim-company-pvt-ltd.odoo.com/web" TargetMode="External"/><Relationship Id="rId4272" Type="http://schemas.openxmlformats.org/officeDocument/2006/relationships/hyperlink" Target="https://akshar-exim-company-pvt-ltd.odoo.com/web" TargetMode="External"/><Relationship Id="rId4275" Type="http://schemas.openxmlformats.org/officeDocument/2006/relationships/hyperlink" Target="https://akshar-exim-company-pvt-ltd.odoo.com/web" TargetMode="External"/><Relationship Id="rId4274" Type="http://schemas.openxmlformats.org/officeDocument/2006/relationships/hyperlink" Target="https://akshar-exim-company-pvt-ltd.odoo.com/web" TargetMode="External"/><Relationship Id="rId4277" Type="http://schemas.openxmlformats.org/officeDocument/2006/relationships/hyperlink" Target="https://akshar-exim-company-pvt-ltd.odoo.com/web" TargetMode="External"/><Relationship Id="rId4276" Type="http://schemas.openxmlformats.org/officeDocument/2006/relationships/hyperlink" Target="https://akshar-exim-company-pvt-ltd.odoo.com/web" TargetMode="External"/><Relationship Id="rId4279" Type="http://schemas.openxmlformats.org/officeDocument/2006/relationships/hyperlink" Target="https://akshar-exim-company-pvt-ltd.odoo.com/web" TargetMode="External"/><Relationship Id="rId4278" Type="http://schemas.openxmlformats.org/officeDocument/2006/relationships/hyperlink" Target="https://akshar-exim-company-pvt-ltd.odoo.com/web" TargetMode="External"/><Relationship Id="rId4291" Type="http://schemas.openxmlformats.org/officeDocument/2006/relationships/hyperlink" Target="https://akshar-exim-company-pvt-ltd.odoo.com/web" TargetMode="External"/><Relationship Id="rId4290" Type="http://schemas.openxmlformats.org/officeDocument/2006/relationships/hyperlink" Target="https://akshar-exim-company-pvt-ltd.odoo.com/web" TargetMode="External"/><Relationship Id="rId4293" Type="http://schemas.openxmlformats.org/officeDocument/2006/relationships/hyperlink" Target="https://akshar-exim-company-pvt-ltd.odoo.com/web" TargetMode="External"/><Relationship Id="rId4292" Type="http://schemas.openxmlformats.org/officeDocument/2006/relationships/hyperlink" Target="https://akshar-exim-company-pvt-ltd.odoo.com/web" TargetMode="External"/><Relationship Id="rId4295" Type="http://schemas.openxmlformats.org/officeDocument/2006/relationships/hyperlink" Target="https://akshar-exim-company-pvt-ltd.odoo.com/web" TargetMode="External"/><Relationship Id="rId4294" Type="http://schemas.openxmlformats.org/officeDocument/2006/relationships/hyperlink" Target="https://akshar-exim-company-pvt-ltd.odoo.com/web" TargetMode="External"/><Relationship Id="rId4297" Type="http://schemas.openxmlformats.org/officeDocument/2006/relationships/hyperlink" Target="https://akshar-exim-company-pvt-ltd.odoo.com/web" TargetMode="External"/><Relationship Id="rId4296" Type="http://schemas.openxmlformats.org/officeDocument/2006/relationships/hyperlink" Target="https://akshar-exim-company-pvt-ltd.odoo.com/web" TargetMode="External"/><Relationship Id="rId4299" Type="http://schemas.openxmlformats.org/officeDocument/2006/relationships/hyperlink" Target="https://akshar-exim-company-pvt-ltd.odoo.com/web" TargetMode="External"/><Relationship Id="rId4298" Type="http://schemas.openxmlformats.org/officeDocument/2006/relationships/hyperlink" Target="https://akshar-exim-company-pvt-ltd.odoo.com/web" TargetMode="External"/><Relationship Id="rId4249" Type="http://schemas.openxmlformats.org/officeDocument/2006/relationships/hyperlink" Target="https://akshar-exim-company-pvt-ltd.odoo.com/web" TargetMode="External"/><Relationship Id="rId4240" Type="http://schemas.openxmlformats.org/officeDocument/2006/relationships/hyperlink" Target="https://akshar-exim-company-pvt-ltd.odoo.com/web" TargetMode="External"/><Relationship Id="rId4242" Type="http://schemas.openxmlformats.org/officeDocument/2006/relationships/hyperlink" Target="https://akshar-exim-company-pvt-ltd.odoo.com/web" TargetMode="External"/><Relationship Id="rId4241" Type="http://schemas.openxmlformats.org/officeDocument/2006/relationships/hyperlink" Target="https://akshar-exim-company-pvt-ltd.odoo.com/web" TargetMode="External"/><Relationship Id="rId4244" Type="http://schemas.openxmlformats.org/officeDocument/2006/relationships/hyperlink" Target="https://akshar-exim-company-pvt-ltd.odoo.com/web" TargetMode="External"/><Relationship Id="rId4243" Type="http://schemas.openxmlformats.org/officeDocument/2006/relationships/hyperlink" Target="https://akshar-exim-company-pvt-ltd.odoo.com/web" TargetMode="External"/><Relationship Id="rId4246" Type="http://schemas.openxmlformats.org/officeDocument/2006/relationships/hyperlink" Target="https://akshar-exim-company-pvt-ltd.odoo.com/web" TargetMode="External"/><Relationship Id="rId4245" Type="http://schemas.openxmlformats.org/officeDocument/2006/relationships/hyperlink" Target="https://akshar-exim-company-pvt-ltd.odoo.com/web" TargetMode="External"/><Relationship Id="rId4248" Type="http://schemas.openxmlformats.org/officeDocument/2006/relationships/hyperlink" Target="https://akshar-exim-company-pvt-ltd.odoo.com/web" TargetMode="External"/><Relationship Id="rId4247" Type="http://schemas.openxmlformats.org/officeDocument/2006/relationships/hyperlink" Target="https://akshar-exim-company-pvt-ltd.odoo.com/web" TargetMode="External"/><Relationship Id="rId4239" Type="http://schemas.openxmlformats.org/officeDocument/2006/relationships/hyperlink" Target="https://akshar-exim-company-pvt-ltd.odoo.com/web" TargetMode="External"/><Relationship Id="rId4238" Type="http://schemas.openxmlformats.org/officeDocument/2006/relationships/hyperlink" Target="https://akshar-exim-company-pvt-ltd.odoo.com/web" TargetMode="External"/><Relationship Id="rId495" Type="http://schemas.openxmlformats.org/officeDocument/2006/relationships/hyperlink" Target="mailto:samitsawant1986@gmail.com" TargetMode="External"/><Relationship Id="rId4231" Type="http://schemas.openxmlformats.org/officeDocument/2006/relationships/hyperlink" Target="https://akshar-exim-company-pvt-ltd.odoo.com/web" TargetMode="External"/><Relationship Id="rId494" Type="http://schemas.openxmlformats.org/officeDocument/2006/relationships/hyperlink" Target="https://akshar-exim-company-pvt-ltd.odoo.com/web" TargetMode="External"/><Relationship Id="rId4230" Type="http://schemas.openxmlformats.org/officeDocument/2006/relationships/hyperlink" Target="https://akshar-exim-company-pvt-ltd.odoo.com/web" TargetMode="External"/><Relationship Id="rId493" Type="http://schemas.openxmlformats.org/officeDocument/2006/relationships/hyperlink" Target="mailto:anuraggupta050698@gmail.com" TargetMode="External"/><Relationship Id="rId4233" Type="http://schemas.openxmlformats.org/officeDocument/2006/relationships/hyperlink" Target="https://akshar-exim-company-pvt-ltd.odoo.com/web" TargetMode="External"/><Relationship Id="rId492" Type="http://schemas.openxmlformats.org/officeDocument/2006/relationships/hyperlink" Target="https://akshar-exim-company-pvt-ltd.odoo.com/web" TargetMode="External"/><Relationship Id="rId4232" Type="http://schemas.openxmlformats.org/officeDocument/2006/relationships/hyperlink" Target="https://akshar-exim-company-pvt-ltd.odoo.com/web" TargetMode="External"/><Relationship Id="rId499" Type="http://schemas.openxmlformats.org/officeDocument/2006/relationships/hyperlink" Target="mailto:sharmarambabueko123@gmail.com" TargetMode="External"/><Relationship Id="rId4235" Type="http://schemas.openxmlformats.org/officeDocument/2006/relationships/hyperlink" Target="https://akshar-exim-company-pvt-ltd.odoo.com/web" TargetMode="External"/><Relationship Id="rId498" Type="http://schemas.openxmlformats.org/officeDocument/2006/relationships/hyperlink" Target="https://akshar-exim-company-pvt-ltd.odoo.com/web" TargetMode="External"/><Relationship Id="rId4234" Type="http://schemas.openxmlformats.org/officeDocument/2006/relationships/hyperlink" Target="https://akshar-exim-company-pvt-ltd.odoo.com/web" TargetMode="External"/><Relationship Id="rId497" Type="http://schemas.openxmlformats.org/officeDocument/2006/relationships/hyperlink" Target="mailto:asifadhdare256@gmail.com" TargetMode="External"/><Relationship Id="rId4237" Type="http://schemas.openxmlformats.org/officeDocument/2006/relationships/hyperlink" Target="https://akshar-exim-company-pvt-ltd.odoo.com/web" TargetMode="External"/><Relationship Id="rId496" Type="http://schemas.openxmlformats.org/officeDocument/2006/relationships/hyperlink" Target="https://akshar-exim-company-pvt-ltd.odoo.com/web" TargetMode="External"/><Relationship Id="rId4236" Type="http://schemas.openxmlformats.org/officeDocument/2006/relationships/hyperlink" Target="https://akshar-exim-company-pvt-ltd.odoo.com/web" TargetMode="External"/><Relationship Id="rId4260" Type="http://schemas.openxmlformats.org/officeDocument/2006/relationships/hyperlink" Target="https://akshar-exim-company-pvt-ltd.odoo.com/web" TargetMode="External"/><Relationship Id="rId4262" Type="http://schemas.openxmlformats.org/officeDocument/2006/relationships/hyperlink" Target="https://akshar-exim-company-pvt-ltd.odoo.com/web" TargetMode="External"/><Relationship Id="rId4261" Type="http://schemas.openxmlformats.org/officeDocument/2006/relationships/hyperlink" Target="https://akshar-exim-company-pvt-ltd.odoo.com/web" TargetMode="External"/><Relationship Id="rId4264" Type="http://schemas.openxmlformats.org/officeDocument/2006/relationships/hyperlink" Target="https://akshar-exim-company-pvt-ltd.odoo.com/web" TargetMode="External"/><Relationship Id="rId4263" Type="http://schemas.openxmlformats.org/officeDocument/2006/relationships/hyperlink" Target="https://akshar-exim-company-pvt-ltd.odoo.com/web" TargetMode="External"/><Relationship Id="rId4266" Type="http://schemas.openxmlformats.org/officeDocument/2006/relationships/hyperlink" Target="https://akshar-exim-company-pvt-ltd.odoo.com/web" TargetMode="External"/><Relationship Id="rId4265" Type="http://schemas.openxmlformats.org/officeDocument/2006/relationships/hyperlink" Target="https://akshar-exim-company-pvt-ltd.odoo.com/web" TargetMode="External"/><Relationship Id="rId4268" Type="http://schemas.openxmlformats.org/officeDocument/2006/relationships/hyperlink" Target="https://akshar-exim-company-pvt-ltd.odoo.com/web" TargetMode="External"/><Relationship Id="rId4267" Type="http://schemas.openxmlformats.org/officeDocument/2006/relationships/hyperlink" Target="https://akshar-exim-company-pvt-ltd.odoo.com/web" TargetMode="External"/><Relationship Id="rId4269" Type="http://schemas.openxmlformats.org/officeDocument/2006/relationships/hyperlink" Target="https://akshar-exim-company-pvt-ltd.odoo.com/web" TargetMode="External"/><Relationship Id="rId4251" Type="http://schemas.openxmlformats.org/officeDocument/2006/relationships/hyperlink" Target="https://akshar-exim-company-pvt-ltd.odoo.com/web" TargetMode="External"/><Relationship Id="rId4250" Type="http://schemas.openxmlformats.org/officeDocument/2006/relationships/hyperlink" Target="https://akshar-exim-company-pvt-ltd.odoo.com/web" TargetMode="External"/><Relationship Id="rId4253" Type="http://schemas.openxmlformats.org/officeDocument/2006/relationships/hyperlink" Target="https://akshar-exim-company-pvt-ltd.odoo.com/web" TargetMode="External"/><Relationship Id="rId4252" Type="http://schemas.openxmlformats.org/officeDocument/2006/relationships/hyperlink" Target="https://akshar-exim-company-pvt-ltd.odoo.com/web" TargetMode="External"/><Relationship Id="rId4255" Type="http://schemas.openxmlformats.org/officeDocument/2006/relationships/hyperlink" Target="https://akshar-exim-company-pvt-ltd.odoo.com/web" TargetMode="External"/><Relationship Id="rId4254" Type="http://schemas.openxmlformats.org/officeDocument/2006/relationships/hyperlink" Target="https://akshar-exim-company-pvt-ltd.odoo.com/web" TargetMode="External"/><Relationship Id="rId4257" Type="http://schemas.openxmlformats.org/officeDocument/2006/relationships/hyperlink" Target="https://akshar-exim-company-pvt-ltd.odoo.com/web" TargetMode="External"/><Relationship Id="rId4256" Type="http://schemas.openxmlformats.org/officeDocument/2006/relationships/hyperlink" Target="https://akshar-exim-company-pvt-ltd.odoo.com/web" TargetMode="External"/><Relationship Id="rId4259" Type="http://schemas.openxmlformats.org/officeDocument/2006/relationships/hyperlink" Target="https://akshar-exim-company-pvt-ltd.odoo.com/web" TargetMode="External"/><Relationship Id="rId4258" Type="http://schemas.openxmlformats.org/officeDocument/2006/relationships/hyperlink" Target="https://akshar-exim-company-pvt-ltd.odoo.com/web" TargetMode="External"/><Relationship Id="rId3810" Type="http://schemas.openxmlformats.org/officeDocument/2006/relationships/hyperlink" Target="https://akshar-exim-company-pvt-ltd.odoo.com/web" TargetMode="External"/><Relationship Id="rId3812" Type="http://schemas.openxmlformats.org/officeDocument/2006/relationships/hyperlink" Target="https://akshar-exim-company-pvt-ltd.odoo.com/web" TargetMode="External"/><Relationship Id="rId3811" Type="http://schemas.openxmlformats.org/officeDocument/2006/relationships/hyperlink" Target="mailto:syedh0448@gmail.com" TargetMode="External"/><Relationship Id="rId3814" Type="http://schemas.openxmlformats.org/officeDocument/2006/relationships/hyperlink" Target="https://akshar-exim-company-pvt-ltd.odoo.com/web" TargetMode="External"/><Relationship Id="rId3813" Type="http://schemas.openxmlformats.org/officeDocument/2006/relationships/hyperlink" Target="mailto:contactashim7@gmail.com" TargetMode="External"/><Relationship Id="rId3816" Type="http://schemas.openxmlformats.org/officeDocument/2006/relationships/hyperlink" Target="https://akshar-exim-company-pvt-ltd.odoo.com/web" TargetMode="External"/><Relationship Id="rId3815" Type="http://schemas.openxmlformats.org/officeDocument/2006/relationships/hyperlink" Target="mailto:srhindia229@gmail.com" TargetMode="External"/><Relationship Id="rId3818" Type="http://schemas.openxmlformats.org/officeDocument/2006/relationships/hyperlink" Target="https://akshar-exim-company-pvt-ltd.odoo.com/web" TargetMode="External"/><Relationship Id="rId3817" Type="http://schemas.openxmlformats.org/officeDocument/2006/relationships/hyperlink" Target="mailto:partscoindia@yahoo.co.in" TargetMode="External"/><Relationship Id="rId3819" Type="http://schemas.openxmlformats.org/officeDocument/2006/relationships/hyperlink" Target="mailto:seatek.info@gmail.com" TargetMode="External"/><Relationship Id="rId3801" Type="http://schemas.openxmlformats.org/officeDocument/2006/relationships/hyperlink" Target="https://akshar-exim-company-pvt-ltd.odoo.com/web" TargetMode="External"/><Relationship Id="rId3800" Type="http://schemas.openxmlformats.org/officeDocument/2006/relationships/hyperlink" Target="mailto:animed6@yahoo.co.in" TargetMode="External"/><Relationship Id="rId3803" Type="http://schemas.openxmlformats.org/officeDocument/2006/relationships/hyperlink" Target="https://akshar-exim-company-pvt-ltd.odoo.com/web" TargetMode="External"/><Relationship Id="rId3802" Type="http://schemas.openxmlformats.org/officeDocument/2006/relationships/hyperlink" Target="mailto:rohitkhandzode197@gmail.com" TargetMode="External"/><Relationship Id="rId3805" Type="http://schemas.openxmlformats.org/officeDocument/2006/relationships/hyperlink" Target="https://akshar-exim-company-pvt-ltd.odoo.com/web" TargetMode="External"/><Relationship Id="rId3804" Type="http://schemas.openxmlformats.org/officeDocument/2006/relationships/hyperlink" Target="mailto:abhishekbora24@gmail.com" TargetMode="External"/><Relationship Id="rId3807" Type="http://schemas.openxmlformats.org/officeDocument/2006/relationships/hyperlink" Target="https://akshar-exim-company-pvt-ltd.odoo.com/web" TargetMode="External"/><Relationship Id="rId3806" Type="http://schemas.openxmlformats.org/officeDocument/2006/relationships/hyperlink" Target="mailto:vapcomputer21@yahoo.com" TargetMode="External"/><Relationship Id="rId3809" Type="http://schemas.openxmlformats.org/officeDocument/2006/relationships/hyperlink" Target="https://akshar-exim-company-pvt-ltd.odoo.com/web" TargetMode="External"/><Relationship Id="rId3808" Type="http://schemas.openxmlformats.org/officeDocument/2006/relationships/hyperlink" Target="mailto:sabyasachiahamed123@gmail.com" TargetMode="External"/><Relationship Id="rId1213" Type="http://schemas.openxmlformats.org/officeDocument/2006/relationships/hyperlink" Target="https://akshar-exim-company-pvt-ltd.odoo.com/web" TargetMode="External"/><Relationship Id="rId2544" Type="http://schemas.openxmlformats.org/officeDocument/2006/relationships/hyperlink" Target="https://akshar-exim-company-pvt-ltd.odoo.com/web" TargetMode="External"/><Relationship Id="rId3876" Type="http://schemas.openxmlformats.org/officeDocument/2006/relationships/hyperlink" Target="mailto:shailenk55@gmail.com" TargetMode="External"/><Relationship Id="rId1214" Type="http://schemas.openxmlformats.org/officeDocument/2006/relationships/hyperlink" Target="mailto:rahul_civ7@yahoo.com" TargetMode="External"/><Relationship Id="rId2545" Type="http://schemas.openxmlformats.org/officeDocument/2006/relationships/hyperlink" Target="mailto:sharma8905op@gmail.com" TargetMode="External"/><Relationship Id="rId3875" Type="http://schemas.openxmlformats.org/officeDocument/2006/relationships/hyperlink" Target="https://akshar-exim-company-pvt-ltd.odoo.com/web" TargetMode="External"/><Relationship Id="rId1215" Type="http://schemas.openxmlformats.org/officeDocument/2006/relationships/hyperlink" Target="https://akshar-exim-company-pvt-ltd.odoo.com/web" TargetMode="External"/><Relationship Id="rId2546" Type="http://schemas.openxmlformats.org/officeDocument/2006/relationships/hyperlink" Target="https://akshar-exim-company-pvt-ltd.odoo.com/web" TargetMode="External"/><Relationship Id="rId3878" Type="http://schemas.openxmlformats.org/officeDocument/2006/relationships/hyperlink" Target="mailto:amarmitra.mitra@gmail.com" TargetMode="External"/><Relationship Id="rId1216" Type="http://schemas.openxmlformats.org/officeDocument/2006/relationships/hyperlink" Target="https://akshar-exim-company-pvt-ltd.odoo.com/web" TargetMode="External"/><Relationship Id="rId2547" Type="http://schemas.openxmlformats.org/officeDocument/2006/relationships/hyperlink" Target="https://akshar-exim-company-pvt-ltd.odoo.com/web" TargetMode="External"/><Relationship Id="rId3877" Type="http://schemas.openxmlformats.org/officeDocument/2006/relationships/hyperlink" Target="https://akshar-exim-company-pvt-ltd.odoo.com/web" TargetMode="External"/><Relationship Id="rId1217" Type="http://schemas.openxmlformats.org/officeDocument/2006/relationships/hyperlink" Target="https://akshar-exim-company-pvt-ltd.odoo.com/web" TargetMode="External"/><Relationship Id="rId2548" Type="http://schemas.openxmlformats.org/officeDocument/2006/relationships/hyperlink" Target="https://akshar-exim-company-pvt-ltd.odoo.com/web" TargetMode="External"/><Relationship Id="rId1218" Type="http://schemas.openxmlformats.org/officeDocument/2006/relationships/hyperlink" Target="mailto:acetylenegas.dgp@gmail.com" TargetMode="External"/><Relationship Id="rId2549" Type="http://schemas.openxmlformats.org/officeDocument/2006/relationships/hyperlink" Target="mailto:kingsinternational1@gmail.com" TargetMode="External"/><Relationship Id="rId3879" Type="http://schemas.openxmlformats.org/officeDocument/2006/relationships/hyperlink" Target="https://akshar-exim-company-pvt-ltd.odoo.com/web" TargetMode="External"/><Relationship Id="rId1219" Type="http://schemas.openxmlformats.org/officeDocument/2006/relationships/hyperlink" Target="https://akshar-exim-company-pvt-ltd.odoo.com/web" TargetMode="External"/><Relationship Id="rId3870" Type="http://schemas.openxmlformats.org/officeDocument/2006/relationships/hyperlink" Target="mailto:anubhavmisra74@gmail.com" TargetMode="External"/><Relationship Id="rId2540" Type="http://schemas.openxmlformats.org/officeDocument/2006/relationships/hyperlink" Target="https://akshar-exim-company-pvt-ltd.odoo.com/web" TargetMode="External"/><Relationship Id="rId3872" Type="http://schemas.openxmlformats.org/officeDocument/2006/relationships/hyperlink" Target="mailto:oswalagencies601@gmail.com" TargetMode="External"/><Relationship Id="rId1210" Type="http://schemas.openxmlformats.org/officeDocument/2006/relationships/hyperlink" Target="https://akshar-exim-company-pvt-ltd.odoo.com/web" TargetMode="External"/><Relationship Id="rId2541" Type="http://schemas.openxmlformats.org/officeDocument/2006/relationships/hyperlink" Target="mailto:pdsquareexports@gmail.com" TargetMode="External"/><Relationship Id="rId3871" Type="http://schemas.openxmlformats.org/officeDocument/2006/relationships/hyperlink" Target="https://akshar-exim-company-pvt-ltd.odoo.com/web" TargetMode="External"/><Relationship Id="rId1211" Type="http://schemas.openxmlformats.org/officeDocument/2006/relationships/hyperlink" Target="mailto:dbengineering28@gmail.com" TargetMode="External"/><Relationship Id="rId2542" Type="http://schemas.openxmlformats.org/officeDocument/2006/relationships/hyperlink" Target="https://akshar-exim-company-pvt-ltd.odoo.com/web" TargetMode="External"/><Relationship Id="rId3874" Type="http://schemas.openxmlformats.org/officeDocument/2006/relationships/hyperlink" Target="mailto:pradeep5766@gmail.com" TargetMode="External"/><Relationship Id="rId1212" Type="http://schemas.openxmlformats.org/officeDocument/2006/relationships/hyperlink" Target="https://akshar-exim-company-pvt-ltd.odoo.com/web" TargetMode="External"/><Relationship Id="rId2543" Type="http://schemas.openxmlformats.org/officeDocument/2006/relationships/hyperlink" Target="https://akshar-exim-company-pvt-ltd.odoo.com/web" TargetMode="External"/><Relationship Id="rId3873" Type="http://schemas.openxmlformats.org/officeDocument/2006/relationships/hyperlink" Target="https://akshar-exim-company-pvt-ltd.odoo.com/web" TargetMode="External"/><Relationship Id="rId1202" Type="http://schemas.openxmlformats.org/officeDocument/2006/relationships/hyperlink" Target="https://akshar-exim-company-pvt-ltd.odoo.com/web" TargetMode="External"/><Relationship Id="rId2533" Type="http://schemas.openxmlformats.org/officeDocument/2006/relationships/hyperlink" Target="https://akshar-exim-company-pvt-ltd.odoo.com/web" TargetMode="External"/><Relationship Id="rId3865" Type="http://schemas.openxmlformats.org/officeDocument/2006/relationships/hyperlink" Target="mailto:export@anuragcarbon.com" TargetMode="External"/><Relationship Id="rId1203" Type="http://schemas.openxmlformats.org/officeDocument/2006/relationships/hyperlink" Target="https://akshar-exim-company-pvt-ltd.odoo.com/web" TargetMode="External"/><Relationship Id="rId2534" Type="http://schemas.openxmlformats.org/officeDocument/2006/relationships/hyperlink" Target="https://akshar-exim-company-pvt-ltd.odoo.com/web" TargetMode="External"/><Relationship Id="rId3864" Type="http://schemas.openxmlformats.org/officeDocument/2006/relationships/hyperlink" Target="https://akshar-exim-company-pvt-ltd.odoo.com/web" TargetMode="External"/><Relationship Id="rId1204" Type="http://schemas.openxmlformats.org/officeDocument/2006/relationships/hyperlink" Target="https://akshar-exim-company-pvt-ltd.odoo.com/web" TargetMode="External"/><Relationship Id="rId2535" Type="http://schemas.openxmlformats.org/officeDocument/2006/relationships/hyperlink" Target="mailto:hrisavmica@gmail.com" TargetMode="External"/><Relationship Id="rId3867" Type="http://schemas.openxmlformats.org/officeDocument/2006/relationships/hyperlink" Target="https://akshar-exim-company-pvt-ltd.odoo.com/web" TargetMode="External"/><Relationship Id="rId1205" Type="http://schemas.openxmlformats.org/officeDocument/2006/relationships/hyperlink" Target="mailto:dkanoudia1993@gmail.com" TargetMode="External"/><Relationship Id="rId2536" Type="http://schemas.openxmlformats.org/officeDocument/2006/relationships/hyperlink" Target="https://akshar-exim-company-pvt-ltd.odoo.com/web" TargetMode="External"/><Relationship Id="rId3866" Type="http://schemas.openxmlformats.org/officeDocument/2006/relationships/hyperlink" Target="https://akshar-exim-company-pvt-ltd.odoo.com/web" TargetMode="External"/><Relationship Id="rId1206" Type="http://schemas.openxmlformats.org/officeDocument/2006/relationships/hyperlink" Target="https://akshar-exim-company-pvt-ltd.odoo.com/web" TargetMode="External"/><Relationship Id="rId2537" Type="http://schemas.openxmlformats.org/officeDocument/2006/relationships/hyperlink" Target="mailto:vivek.ins@gulachi.com" TargetMode="External"/><Relationship Id="rId3869" Type="http://schemas.openxmlformats.org/officeDocument/2006/relationships/hyperlink" Target="https://akshar-exim-company-pvt-ltd.odoo.com/web" TargetMode="External"/><Relationship Id="rId1207" Type="http://schemas.openxmlformats.org/officeDocument/2006/relationships/hyperlink" Target="https://akshar-exim-company-pvt-ltd.odoo.com/web" TargetMode="External"/><Relationship Id="rId2538" Type="http://schemas.openxmlformats.org/officeDocument/2006/relationships/hyperlink" Target="https://akshar-exim-company-pvt-ltd.odoo.com/web" TargetMode="External"/><Relationship Id="rId3868" Type="http://schemas.openxmlformats.org/officeDocument/2006/relationships/hyperlink" Target="mailto:aknuyoung@gmail.com" TargetMode="External"/><Relationship Id="rId1208" Type="http://schemas.openxmlformats.org/officeDocument/2006/relationships/hyperlink" Target="https://akshar-exim-company-pvt-ltd.odoo.com/web" TargetMode="External"/><Relationship Id="rId2539" Type="http://schemas.openxmlformats.org/officeDocument/2006/relationships/hyperlink" Target="https://akshar-exim-company-pvt-ltd.odoo.com/web" TargetMode="External"/><Relationship Id="rId1209" Type="http://schemas.openxmlformats.org/officeDocument/2006/relationships/hyperlink" Target="mailto:sumansk829@gmail.com" TargetMode="External"/><Relationship Id="rId3861" Type="http://schemas.openxmlformats.org/officeDocument/2006/relationships/hyperlink" Target="mailto:pramod_ghorpade@yahoo.com" TargetMode="External"/><Relationship Id="rId2530" Type="http://schemas.openxmlformats.org/officeDocument/2006/relationships/hyperlink" Target="https://akshar-exim-company-pvt-ltd.odoo.com/web" TargetMode="External"/><Relationship Id="rId3860" Type="http://schemas.openxmlformats.org/officeDocument/2006/relationships/hyperlink" Target="https://akshar-exim-company-pvt-ltd.odoo.com/web" TargetMode="External"/><Relationship Id="rId1200" Type="http://schemas.openxmlformats.org/officeDocument/2006/relationships/hyperlink" Target="https://akshar-exim-company-pvt-ltd.odoo.com/web" TargetMode="External"/><Relationship Id="rId2531" Type="http://schemas.openxmlformats.org/officeDocument/2006/relationships/hyperlink" Target="mailto:raamsingh963@gmail.com" TargetMode="External"/><Relationship Id="rId3863" Type="http://schemas.openxmlformats.org/officeDocument/2006/relationships/hyperlink" Target="mailto:manishsingh78697@gmail.com" TargetMode="External"/><Relationship Id="rId1201" Type="http://schemas.openxmlformats.org/officeDocument/2006/relationships/hyperlink" Target="mailto:a.reza@rgmig.com" TargetMode="External"/><Relationship Id="rId2532" Type="http://schemas.openxmlformats.org/officeDocument/2006/relationships/hyperlink" Target="https://akshar-exim-company-pvt-ltd.odoo.com/web" TargetMode="External"/><Relationship Id="rId3862" Type="http://schemas.openxmlformats.org/officeDocument/2006/relationships/hyperlink" Target="https://akshar-exim-company-pvt-ltd.odoo.com/web" TargetMode="External"/><Relationship Id="rId1235" Type="http://schemas.openxmlformats.org/officeDocument/2006/relationships/hyperlink" Target="https://akshar-exim-company-pvt-ltd.odoo.com/web" TargetMode="External"/><Relationship Id="rId2566" Type="http://schemas.openxmlformats.org/officeDocument/2006/relationships/hyperlink" Target="mailto:supriyo.baidya1986@gmail.com" TargetMode="External"/><Relationship Id="rId3898" Type="http://schemas.openxmlformats.org/officeDocument/2006/relationships/hyperlink" Target="https://akshar-exim-company-pvt-ltd.odoo.com/web" TargetMode="External"/><Relationship Id="rId1236" Type="http://schemas.openxmlformats.org/officeDocument/2006/relationships/hyperlink" Target="https://akshar-exim-company-pvt-ltd.odoo.com/web" TargetMode="External"/><Relationship Id="rId2567" Type="http://schemas.openxmlformats.org/officeDocument/2006/relationships/hyperlink" Target="https://akshar-exim-company-pvt-ltd.odoo.com/web" TargetMode="External"/><Relationship Id="rId3897" Type="http://schemas.openxmlformats.org/officeDocument/2006/relationships/hyperlink" Target="mailto:balajiessence99@gmail.com" TargetMode="External"/><Relationship Id="rId1237" Type="http://schemas.openxmlformats.org/officeDocument/2006/relationships/hyperlink" Target="mailto:asutosh.rkl@gmail.com" TargetMode="External"/><Relationship Id="rId2568" Type="http://schemas.openxmlformats.org/officeDocument/2006/relationships/hyperlink" Target="http://showonn.com/" TargetMode="External"/><Relationship Id="rId1238" Type="http://schemas.openxmlformats.org/officeDocument/2006/relationships/hyperlink" Target="https://akshar-exim-company-pvt-ltd.odoo.com/web" TargetMode="External"/><Relationship Id="rId2569" Type="http://schemas.openxmlformats.org/officeDocument/2006/relationships/hyperlink" Target="https://akshar-exim-company-pvt-ltd.odoo.com/web" TargetMode="External"/><Relationship Id="rId3899" Type="http://schemas.openxmlformats.org/officeDocument/2006/relationships/hyperlink" Target="mailto:mehtarachit@gmail.com" TargetMode="External"/><Relationship Id="rId1239" Type="http://schemas.openxmlformats.org/officeDocument/2006/relationships/hyperlink" Target="mailto:sosouravis@gmail.com" TargetMode="External"/><Relationship Id="rId409" Type="http://schemas.openxmlformats.org/officeDocument/2006/relationships/hyperlink" Target="https://akshar-exim-company-pvt-ltd.odoo.com/web" TargetMode="External"/><Relationship Id="rId404" Type="http://schemas.openxmlformats.org/officeDocument/2006/relationships/hyperlink" Target="mailto:bmripl.nanigopal@gmail.com" TargetMode="External"/><Relationship Id="rId403" Type="http://schemas.openxmlformats.org/officeDocument/2006/relationships/hyperlink" Target="https://akshar-exim-company-pvt-ltd.odoo.com/web" TargetMode="External"/><Relationship Id="rId402" Type="http://schemas.openxmlformats.org/officeDocument/2006/relationships/hyperlink" Target="https://akshar-exim-company-pvt-ltd.odoo.com/web" TargetMode="External"/><Relationship Id="rId401" Type="http://schemas.openxmlformats.org/officeDocument/2006/relationships/hyperlink" Target="mailto:abhisekinternational1@gmail.com" TargetMode="External"/><Relationship Id="rId408" Type="http://schemas.openxmlformats.org/officeDocument/2006/relationships/hyperlink" Target="mailto:arifshaikhtarzan1292@gmail.com" TargetMode="External"/><Relationship Id="rId407" Type="http://schemas.openxmlformats.org/officeDocument/2006/relationships/hyperlink" Target="https://akshar-exim-company-pvt-ltd.odoo.com/web" TargetMode="External"/><Relationship Id="rId406" Type="http://schemas.openxmlformats.org/officeDocument/2006/relationships/hyperlink" Target="mailto:bntraders226@gmail.com" TargetMode="External"/><Relationship Id="rId405" Type="http://schemas.openxmlformats.org/officeDocument/2006/relationships/hyperlink" Target="https://akshar-exim-company-pvt-ltd.odoo.com/web" TargetMode="External"/><Relationship Id="rId3890" Type="http://schemas.openxmlformats.org/officeDocument/2006/relationships/hyperlink" Target="https://akshar-exim-company-pvt-ltd.odoo.com/web" TargetMode="External"/><Relationship Id="rId2560" Type="http://schemas.openxmlformats.org/officeDocument/2006/relationships/hyperlink" Target="mailto:vsjadaun588@gmail.com" TargetMode="External"/><Relationship Id="rId3892" Type="http://schemas.openxmlformats.org/officeDocument/2006/relationships/hyperlink" Target="https://akshar-exim-company-pvt-ltd.odoo.com/web" TargetMode="External"/><Relationship Id="rId1230" Type="http://schemas.openxmlformats.org/officeDocument/2006/relationships/hyperlink" Target="https://akshar-exim-company-pvt-ltd.odoo.com/web" TargetMode="External"/><Relationship Id="rId2561" Type="http://schemas.openxmlformats.org/officeDocument/2006/relationships/hyperlink" Target="https://akshar-exim-company-pvt-ltd.odoo.com/web" TargetMode="External"/><Relationship Id="rId3891" Type="http://schemas.openxmlformats.org/officeDocument/2006/relationships/hyperlink" Target="mailto:sk9552091814@gmail.com" TargetMode="External"/><Relationship Id="rId400" Type="http://schemas.openxmlformats.org/officeDocument/2006/relationships/hyperlink" Target="https://akshar-exim-company-pvt-ltd.odoo.com/web" TargetMode="External"/><Relationship Id="rId1231" Type="http://schemas.openxmlformats.org/officeDocument/2006/relationships/hyperlink" Target="mailto:Msbiotechgroup@gmail.com" TargetMode="External"/><Relationship Id="rId2562" Type="http://schemas.openxmlformats.org/officeDocument/2006/relationships/hyperlink" Target="https://akshar-exim-company-pvt-ltd.odoo.com/web" TargetMode="External"/><Relationship Id="rId3894" Type="http://schemas.openxmlformats.org/officeDocument/2006/relationships/hyperlink" Target="https://akshar-exim-company-pvt-ltd.odoo.com/web" TargetMode="External"/><Relationship Id="rId1232" Type="http://schemas.openxmlformats.org/officeDocument/2006/relationships/hyperlink" Target="https://akshar-exim-company-pvt-ltd.odoo.com/web" TargetMode="External"/><Relationship Id="rId2563" Type="http://schemas.openxmlformats.org/officeDocument/2006/relationships/hyperlink" Target="https://akshar-exim-company-pvt-ltd.odoo.com/web" TargetMode="External"/><Relationship Id="rId3893" Type="http://schemas.openxmlformats.org/officeDocument/2006/relationships/hyperlink" Target="https://akshar-exim-company-pvt-ltd.odoo.com/web" TargetMode="External"/><Relationship Id="rId1233" Type="http://schemas.openxmlformats.org/officeDocument/2006/relationships/hyperlink" Target="mailto:advakem@yahoo.co.in" TargetMode="External"/><Relationship Id="rId2564" Type="http://schemas.openxmlformats.org/officeDocument/2006/relationships/hyperlink" Target="mailto:abhijaycorp@gmail.com" TargetMode="External"/><Relationship Id="rId3896" Type="http://schemas.openxmlformats.org/officeDocument/2006/relationships/hyperlink" Target="https://akshar-exim-company-pvt-ltd.odoo.com/web" TargetMode="External"/><Relationship Id="rId1234" Type="http://schemas.openxmlformats.org/officeDocument/2006/relationships/hyperlink" Target="https://akshar-exim-company-pvt-ltd.odoo.com/web" TargetMode="External"/><Relationship Id="rId2565" Type="http://schemas.openxmlformats.org/officeDocument/2006/relationships/hyperlink" Target="https://akshar-exim-company-pvt-ltd.odoo.com/web" TargetMode="External"/><Relationship Id="rId3895" Type="http://schemas.openxmlformats.org/officeDocument/2006/relationships/hyperlink" Target="mailto:mohangehlot032@gmail.com" TargetMode="External"/><Relationship Id="rId1224" Type="http://schemas.openxmlformats.org/officeDocument/2006/relationships/hyperlink" Target="mailto:incredible_guy4u@hotmail.com" TargetMode="External"/><Relationship Id="rId2555" Type="http://schemas.openxmlformats.org/officeDocument/2006/relationships/hyperlink" Target="https://akshar-exim-company-pvt-ltd.odoo.com/web" TargetMode="External"/><Relationship Id="rId3887" Type="http://schemas.openxmlformats.org/officeDocument/2006/relationships/hyperlink" Target="mailto:mohangehlot032@gmail.com" TargetMode="External"/><Relationship Id="rId1225" Type="http://schemas.openxmlformats.org/officeDocument/2006/relationships/hyperlink" Target="https://akshar-exim-company-pvt-ltd.odoo.com/web" TargetMode="External"/><Relationship Id="rId2556" Type="http://schemas.openxmlformats.org/officeDocument/2006/relationships/hyperlink" Target="mailto:irosealmfg@gmail.com" TargetMode="External"/><Relationship Id="rId3886" Type="http://schemas.openxmlformats.org/officeDocument/2006/relationships/hyperlink" Target="https://akshar-exim-company-pvt-ltd.odoo.com/web" TargetMode="External"/><Relationship Id="rId1226" Type="http://schemas.openxmlformats.org/officeDocument/2006/relationships/hyperlink" Target="mailto:karunamayee.ihpl@gmail.com" TargetMode="External"/><Relationship Id="rId2557" Type="http://schemas.openxmlformats.org/officeDocument/2006/relationships/hyperlink" Target="https://akshar-exim-company-pvt-ltd.odoo.com/web" TargetMode="External"/><Relationship Id="rId3889" Type="http://schemas.openxmlformats.org/officeDocument/2006/relationships/hyperlink" Target="mailto:shibnath5566@gmail.com" TargetMode="External"/><Relationship Id="rId1227" Type="http://schemas.openxmlformats.org/officeDocument/2006/relationships/hyperlink" Target="https://akshar-exim-company-pvt-ltd.odoo.com/web" TargetMode="External"/><Relationship Id="rId2558" Type="http://schemas.openxmlformats.org/officeDocument/2006/relationships/hyperlink" Target="mailto:info@ksint.in" TargetMode="External"/><Relationship Id="rId3888" Type="http://schemas.openxmlformats.org/officeDocument/2006/relationships/hyperlink" Target="https://akshar-exim-company-pvt-ltd.odoo.com/web" TargetMode="External"/><Relationship Id="rId1228" Type="http://schemas.openxmlformats.org/officeDocument/2006/relationships/hyperlink" Target="https://akshar-exim-company-pvt-ltd.odoo.com/web" TargetMode="External"/><Relationship Id="rId2559" Type="http://schemas.openxmlformats.org/officeDocument/2006/relationships/hyperlink" Target="https://akshar-exim-company-pvt-ltd.odoo.com/web" TargetMode="External"/><Relationship Id="rId1229" Type="http://schemas.openxmlformats.org/officeDocument/2006/relationships/hyperlink" Target="http://vprachemie2gmail.com/" TargetMode="External"/><Relationship Id="rId3881" Type="http://schemas.openxmlformats.org/officeDocument/2006/relationships/hyperlink" Target="https://akshar-exim-company-pvt-ltd.odoo.com/web" TargetMode="External"/><Relationship Id="rId2550" Type="http://schemas.openxmlformats.org/officeDocument/2006/relationships/hyperlink" Target="https://akshar-exim-company-pvt-ltd.odoo.com/web" TargetMode="External"/><Relationship Id="rId3880" Type="http://schemas.openxmlformats.org/officeDocument/2006/relationships/hyperlink" Target="mailto:sachinandandas0@gmail.com" TargetMode="External"/><Relationship Id="rId1220" Type="http://schemas.openxmlformats.org/officeDocument/2006/relationships/hyperlink" Target="mailto:shivamsharma102@outlook.com" TargetMode="External"/><Relationship Id="rId2551" Type="http://schemas.openxmlformats.org/officeDocument/2006/relationships/hyperlink" Target="mailto:vasumadala64005@gmail.com" TargetMode="External"/><Relationship Id="rId3883" Type="http://schemas.openxmlformats.org/officeDocument/2006/relationships/hyperlink" Target="https://akshar-exim-company-pvt-ltd.odoo.com/web" TargetMode="External"/><Relationship Id="rId1221" Type="http://schemas.openxmlformats.org/officeDocument/2006/relationships/hyperlink" Target="https://akshar-exim-company-pvt-ltd.odoo.com/web" TargetMode="External"/><Relationship Id="rId2552" Type="http://schemas.openxmlformats.org/officeDocument/2006/relationships/hyperlink" Target="https://akshar-exim-company-pvt-ltd.odoo.com/web" TargetMode="External"/><Relationship Id="rId3882" Type="http://schemas.openxmlformats.org/officeDocument/2006/relationships/hyperlink" Target="mailto:dhawan.anshul01@rediffmail.com" TargetMode="External"/><Relationship Id="rId1222" Type="http://schemas.openxmlformats.org/officeDocument/2006/relationships/hyperlink" Target="https://akshar-exim-company-pvt-ltd.odoo.com/web" TargetMode="External"/><Relationship Id="rId2553" Type="http://schemas.openxmlformats.org/officeDocument/2006/relationships/hyperlink" Target="mailto:belal5135@gmail.com" TargetMode="External"/><Relationship Id="rId3885" Type="http://schemas.openxmlformats.org/officeDocument/2006/relationships/hyperlink" Target="https://akshar-exim-company-pvt-ltd.odoo.com/web" TargetMode="External"/><Relationship Id="rId1223" Type="http://schemas.openxmlformats.org/officeDocument/2006/relationships/hyperlink" Target="https://akshar-exim-company-pvt-ltd.odoo.com/web" TargetMode="External"/><Relationship Id="rId2554" Type="http://schemas.openxmlformats.org/officeDocument/2006/relationships/hyperlink" Target="https://akshar-exim-company-pvt-ltd.odoo.com/web" TargetMode="External"/><Relationship Id="rId3884" Type="http://schemas.openxmlformats.org/officeDocument/2006/relationships/hyperlink" Target="mailto:marutidhoopagency@gmail.com" TargetMode="External"/><Relationship Id="rId2500" Type="http://schemas.openxmlformats.org/officeDocument/2006/relationships/hyperlink" Target="https://akshar-exim-company-pvt-ltd.odoo.com/web" TargetMode="External"/><Relationship Id="rId3832" Type="http://schemas.openxmlformats.org/officeDocument/2006/relationships/hyperlink" Target="mailto:sa2557499@gmail.com" TargetMode="External"/><Relationship Id="rId2501" Type="http://schemas.openxmlformats.org/officeDocument/2006/relationships/hyperlink" Target="https://akshar-exim-company-pvt-ltd.odoo.com/web" TargetMode="External"/><Relationship Id="rId3831" Type="http://schemas.openxmlformats.org/officeDocument/2006/relationships/hyperlink" Target="https://akshar-exim-company-pvt-ltd.odoo.com/web" TargetMode="External"/><Relationship Id="rId2502" Type="http://schemas.openxmlformats.org/officeDocument/2006/relationships/hyperlink" Target="https://akshar-exim-company-pvt-ltd.odoo.com/web" TargetMode="External"/><Relationship Id="rId3834" Type="http://schemas.openxmlformats.org/officeDocument/2006/relationships/hyperlink" Target="mailto:iamsamim.1818@gmail.com" TargetMode="External"/><Relationship Id="rId2503" Type="http://schemas.openxmlformats.org/officeDocument/2006/relationships/hyperlink" Target="https://akshar-exim-company-pvt-ltd.odoo.com/web" TargetMode="External"/><Relationship Id="rId3833" Type="http://schemas.openxmlformats.org/officeDocument/2006/relationships/hyperlink" Target="https://akshar-exim-company-pvt-ltd.odoo.com/web" TargetMode="External"/><Relationship Id="rId2504" Type="http://schemas.openxmlformats.org/officeDocument/2006/relationships/hyperlink" Target="https://akshar-exim-company-pvt-ltd.odoo.com/web" TargetMode="External"/><Relationship Id="rId3836" Type="http://schemas.openxmlformats.org/officeDocument/2006/relationships/hyperlink" Target="https://akshar-exim-company-pvt-ltd.odoo.com/web" TargetMode="External"/><Relationship Id="rId2505" Type="http://schemas.openxmlformats.org/officeDocument/2006/relationships/hyperlink" Target="https://akshar-exim-company-pvt-ltd.odoo.com/web" TargetMode="External"/><Relationship Id="rId3835" Type="http://schemas.openxmlformats.org/officeDocument/2006/relationships/hyperlink" Target="https://akshar-exim-company-pvt-ltd.odoo.com/web" TargetMode="External"/><Relationship Id="rId2506" Type="http://schemas.openxmlformats.org/officeDocument/2006/relationships/hyperlink" Target="https://akshar-exim-company-pvt-ltd.odoo.com/web" TargetMode="External"/><Relationship Id="rId3838" Type="http://schemas.openxmlformats.org/officeDocument/2006/relationships/hyperlink" Target="https://akshar-exim-company-pvt-ltd.odoo.com/web" TargetMode="External"/><Relationship Id="rId2507" Type="http://schemas.openxmlformats.org/officeDocument/2006/relationships/hyperlink" Target="https://akshar-exim-company-pvt-ltd.odoo.com/web" TargetMode="External"/><Relationship Id="rId3837" Type="http://schemas.openxmlformats.org/officeDocument/2006/relationships/hyperlink" Target="mailto:babugshanthi@gmail.com" TargetMode="External"/><Relationship Id="rId2508" Type="http://schemas.openxmlformats.org/officeDocument/2006/relationships/hyperlink" Target="https://akshar-exim-company-pvt-ltd.odoo.com/web" TargetMode="External"/><Relationship Id="rId2509" Type="http://schemas.openxmlformats.org/officeDocument/2006/relationships/hyperlink" Target="https://akshar-exim-company-pvt-ltd.odoo.com/web" TargetMode="External"/><Relationship Id="rId3839" Type="http://schemas.openxmlformats.org/officeDocument/2006/relationships/hyperlink" Target="mailto:b.inn20@yahoo.com" TargetMode="External"/><Relationship Id="rId3830" Type="http://schemas.openxmlformats.org/officeDocument/2006/relationships/hyperlink" Target="mailto:atlantaexports@rediffmail.com" TargetMode="External"/><Relationship Id="rId3821" Type="http://schemas.openxmlformats.org/officeDocument/2006/relationships/hyperlink" Target="mailto:pruthipgps10@gmail.com" TargetMode="External"/><Relationship Id="rId3820" Type="http://schemas.openxmlformats.org/officeDocument/2006/relationships/hyperlink" Target="https://akshar-exim-company-pvt-ltd.odoo.com/web" TargetMode="External"/><Relationship Id="rId3823" Type="http://schemas.openxmlformats.org/officeDocument/2006/relationships/hyperlink" Target="mailto:tapan.dutta.2016.1950@gmail.com" TargetMode="External"/><Relationship Id="rId3822" Type="http://schemas.openxmlformats.org/officeDocument/2006/relationships/hyperlink" Target="https://akshar-exim-company-pvt-ltd.odoo.com/web" TargetMode="External"/><Relationship Id="rId3825" Type="http://schemas.openxmlformats.org/officeDocument/2006/relationships/hyperlink" Target="https://akshar-exim-company-pvt-ltd.odoo.com/web" TargetMode="External"/><Relationship Id="rId3824" Type="http://schemas.openxmlformats.org/officeDocument/2006/relationships/hyperlink" Target="https://akshar-exim-company-pvt-ltd.odoo.com/web" TargetMode="External"/><Relationship Id="rId3827" Type="http://schemas.openxmlformats.org/officeDocument/2006/relationships/hyperlink" Target="https://akshar-exim-company-pvt-ltd.odoo.com/web" TargetMode="External"/><Relationship Id="rId3826" Type="http://schemas.openxmlformats.org/officeDocument/2006/relationships/hyperlink" Target="mailto:kajaldebnath665@gmail.com" TargetMode="External"/><Relationship Id="rId3829" Type="http://schemas.openxmlformats.org/officeDocument/2006/relationships/hyperlink" Target="https://akshar-exim-company-pvt-ltd.odoo.com/web" TargetMode="External"/><Relationship Id="rId3828" Type="http://schemas.openxmlformats.org/officeDocument/2006/relationships/hyperlink" Target="mailto:loknathudyog07@gmail.com" TargetMode="External"/><Relationship Id="rId2522" Type="http://schemas.openxmlformats.org/officeDocument/2006/relationships/hyperlink" Target="https://akshar-exim-company-pvt-ltd.odoo.com/web" TargetMode="External"/><Relationship Id="rId3854" Type="http://schemas.openxmlformats.org/officeDocument/2006/relationships/hyperlink" Target="mailto:tanmoy.17th.88@gmail.com" TargetMode="External"/><Relationship Id="rId2523" Type="http://schemas.openxmlformats.org/officeDocument/2006/relationships/hyperlink" Target="https://akshar-exim-company-pvt-ltd.odoo.com/web" TargetMode="External"/><Relationship Id="rId3853" Type="http://schemas.openxmlformats.org/officeDocument/2006/relationships/hyperlink" Target="https://akshar-exim-company-pvt-ltd.odoo.com/web" TargetMode="External"/><Relationship Id="rId2524" Type="http://schemas.openxmlformats.org/officeDocument/2006/relationships/hyperlink" Target="https://akshar-exim-company-pvt-ltd.odoo.com/web" TargetMode="External"/><Relationship Id="rId3856" Type="http://schemas.openxmlformats.org/officeDocument/2006/relationships/hyperlink" Target="mailto:tanmoy.17th.88@gmail.com" TargetMode="External"/><Relationship Id="rId2525" Type="http://schemas.openxmlformats.org/officeDocument/2006/relationships/hyperlink" Target="https://akshar-exim-company-pvt-ltd.odoo.com/web" TargetMode="External"/><Relationship Id="rId3855" Type="http://schemas.openxmlformats.org/officeDocument/2006/relationships/hyperlink" Target="https://akshar-exim-company-pvt-ltd.odoo.com/web" TargetMode="External"/><Relationship Id="rId2526" Type="http://schemas.openxmlformats.org/officeDocument/2006/relationships/hyperlink" Target="https://akshar-exim-company-pvt-ltd.odoo.com/web" TargetMode="External"/><Relationship Id="rId3858" Type="http://schemas.openxmlformats.org/officeDocument/2006/relationships/hyperlink" Target="https://akshar-exim-company-pvt-ltd.odoo.com/web" TargetMode="External"/><Relationship Id="rId2527" Type="http://schemas.openxmlformats.org/officeDocument/2006/relationships/hyperlink" Target="https://akshar-exim-company-pvt-ltd.odoo.com/web" TargetMode="External"/><Relationship Id="rId3857" Type="http://schemas.openxmlformats.org/officeDocument/2006/relationships/hyperlink" Target="https://akshar-exim-company-pvt-ltd.odoo.com/web" TargetMode="External"/><Relationship Id="rId2528" Type="http://schemas.openxmlformats.org/officeDocument/2006/relationships/hyperlink" Target="https://akshar-exim-company-pvt-ltd.odoo.com/web" TargetMode="External"/><Relationship Id="rId2529" Type="http://schemas.openxmlformats.org/officeDocument/2006/relationships/hyperlink" Target="mailto:nitin.joshi@gwc.net.in" TargetMode="External"/><Relationship Id="rId3859" Type="http://schemas.openxmlformats.org/officeDocument/2006/relationships/hyperlink" Target="mailto:atulkedar34186@gmail.com" TargetMode="External"/><Relationship Id="rId3850" Type="http://schemas.openxmlformats.org/officeDocument/2006/relationships/hyperlink" Target="mailto:rohittraders1995@gmail.com" TargetMode="External"/><Relationship Id="rId2520" Type="http://schemas.openxmlformats.org/officeDocument/2006/relationships/hyperlink" Target="https://akshar-exim-company-pvt-ltd.odoo.com/web" TargetMode="External"/><Relationship Id="rId3852" Type="http://schemas.openxmlformats.org/officeDocument/2006/relationships/hyperlink" Target="mailto:sandeekavaje9517@gmail.com" TargetMode="External"/><Relationship Id="rId2521" Type="http://schemas.openxmlformats.org/officeDocument/2006/relationships/hyperlink" Target="https://akshar-exim-company-pvt-ltd.odoo.com/web" TargetMode="External"/><Relationship Id="rId3851" Type="http://schemas.openxmlformats.org/officeDocument/2006/relationships/hyperlink" Target="https://akshar-exim-company-pvt-ltd.odoo.com/web" TargetMode="External"/><Relationship Id="rId2511" Type="http://schemas.openxmlformats.org/officeDocument/2006/relationships/hyperlink" Target="https://akshar-exim-company-pvt-ltd.odoo.com/web" TargetMode="External"/><Relationship Id="rId3843" Type="http://schemas.openxmlformats.org/officeDocument/2006/relationships/hyperlink" Target="mailto:opcsales2020@gmail.com" TargetMode="External"/><Relationship Id="rId2512" Type="http://schemas.openxmlformats.org/officeDocument/2006/relationships/hyperlink" Target="https://akshar-exim-company-pvt-ltd.odoo.com/web" TargetMode="External"/><Relationship Id="rId3842" Type="http://schemas.openxmlformats.org/officeDocument/2006/relationships/hyperlink" Target="https://akshar-exim-company-pvt-ltd.odoo.com/web" TargetMode="External"/><Relationship Id="rId2513" Type="http://schemas.openxmlformats.org/officeDocument/2006/relationships/hyperlink" Target="https://akshar-exim-company-pvt-ltd.odoo.com/web" TargetMode="External"/><Relationship Id="rId3845" Type="http://schemas.openxmlformats.org/officeDocument/2006/relationships/hyperlink" Target="mailto:subhashhalder8641@gmail.com" TargetMode="External"/><Relationship Id="rId2514" Type="http://schemas.openxmlformats.org/officeDocument/2006/relationships/hyperlink" Target="https://akshar-exim-company-pvt-ltd.odoo.com/web" TargetMode="External"/><Relationship Id="rId3844" Type="http://schemas.openxmlformats.org/officeDocument/2006/relationships/hyperlink" Target="https://akshar-exim-company-pvt-ltd.odoo.com/web" TargetMode="External"/><Relationship Id="rId2515" Type="http://schemas.openxmlformats.org/officeDocument/2006/relationships/hyperlink" Target="https://akshar-exim-company-pvt-ltd.odoo.com/web" TargetMode="External"/><Relationship Id="rId3847" Type="http://schemas.openxmlformats.org/officeDocument/2006/relationships/hyperlink" Target="mailto:shashankkheria6@gmail.com" TargetMode="External"/><Relationship Id="rId2516" Type="http://schemas.openxmlformats.org/officeDocument/2006/relationships/hyperlink" Target="https://akshar-exim-company-pvt-ltd.odoo.com/web" TargetMode="External"/><Relationship Id="rId3846" Type="http://schemas.openxmlformats.org/officeDocument/2006/relationships/hyperlink" Target="https://akshar-exim-company-pvt-ltd.odoo.com/web" TargetMode="External"/><Relationship Id="rId2517" Type="http://schemas.openxmlformats.org/officeDocument/2006/relationships/hyperlink" Target="https://akshar-exim-company-pvt-ltd.odoo.com/web" TargetMode="External"/><Relationship Id="rId3849" Type="http://schemas.openxmlformats.org/officeDocument/2006/relationships/hyperlink" Target="https://akshar-exim-company-pvt-ltd.odoo.com/web" TargetMode="External"/><Relationship Id="rId2518" Type="http://schemas.openxmlformats.org/officeDocument/2006/relationships/hyperlink" Target="https://akshar-exim-company-pvt-ltd.odoo.com/web" TargetMode="External"/><Relationship Id="rId3848" Type="http://schemas.openxmlformats.org/officeDocument/2006/relationships/hyperlink" Target="https://akshar-exim-company-pvt-ltd.odoo.com/web" TargetMode="External"/><Relationship Id="rId2519" Type="http://schemas.openxmlformats.org/officeDocument/2006/relationships/hyperlink" Target="https://akshar-exim-company-pvt-ltd.odoo.com/web" TargetMode="External"/><Relationship Id="rId3841" Type="http://schemas.openxmlformats.org/officeDocument/2006/relationships/hyperlink" Target="mailto:27shibsankar.saha@gmail.com" TargetMode="External"/><Relationship Id="rId2510" Type="http://schemas.openxmlformats.org/officeDocument/2006/relationships/hyperlink" Target="https://akshar-exim-company-pvt-ltd.odoo.com/web" TargetMode="External"/><Relationship Id="rId3840" Type="http://schemas.openxmlformats.org/officeDocument/2006/relationships/hyperlink" Target="https://akshar-exim-company-pvt-ltd.odoo.com/web" TargetMode="External"/><Relationship Id="rId4327" Type="http://schemas.openxmlformats.org/officeDocument/2006/relationships/hyperlink" Target="https://akshar-exim-company-pvt-ltd.odoo.com/web" TargetMode="External"/><Relationship Id="rId4326" Type="http://schemas.openxmlformats.org/officeDocument/2006/relationships/hyperlink" Target="https://akshar-exim-company-pvt-ltd.odoo.com/web" TargetMode="External"/><Relationship Id="rId4329" Type="http://schemas.openxmlformats.org/officeDocument/2006/relationships/hyperlink" Target="https://akshar-exim-company-pvt-ltd.odoo.com/web" TargetMode="External"/><Relationship Id="rId4328" Type="http://schemas.openxmlformats.org/officeDocument/2006/relationships/hyperlink" Target="https://akshar-exim-company-pvt-ltd.odoo.com/web" TargetMode="External"/><Relationship Id="rId469" Type="http://schemas.openxmlformats.org/officeDocument/2006/relationships/hyperlink" Target="https://akshar-exim-company-pvt-ltd.odoo.com/web" TargetMode="External"/><Relationship Id="rId468" Type="http://schemas.openxmlformats.org/officeDocument/2006/relationships/hyperlink" Target="mailto:officialnavitam1307@gmail.com" TargetMode="External"/><Relationship Id="rId467" Type="http://schemas.openxmlformats.org/officeDocument/2006/relationships/hyperlink" Target="https://akshar-exim-company-pvt-ltd.odoo.com/web" TargetMode="External"/><Relationship Id="rId1290" Type="http://schemas.openxmlformats.org/officeDocument/2006/relationships/hyperlink" Target="https://akshar-exim-company-pvt-ltd.odoo.com/web" TargetMode="External"/><Relationship Id="rId1291" Type="http://schemas.openxmlformats.org/officeDocument/2006/relationships/hyperlink" Target="https://akshar-exim-company-pvt-ltd.odoo.com/web" TargetMode="External"/><Relationship Id="rId1292" Type="http://schemas.openxmlformats.org/officeDocument/2006/relationships/hyperlink" Target="mailto:dpenterprise.1979@gmail.com" TargetMode="External"/><Relationship Id="rId462" Type="http://schemas.openxmlformats.org/officeDocument/2006/relationships/hyperlink" Target="https://akshar-exim-company-pvt-ltd.odoo.com/web" TargetMode="External"/><Relationship Id="rId1293" Type="http://schemas.openxmlformats.org/officeDocument/2006/relationships/hyperlink" Target="https://akshar-exim-company-pvt-ltd.odoo.com/web" TargetMode="External"/><Relationship Id="rId461" Type="http://schemas.openxmlformats.org/officeDocument/2006/relationships/hyperlink" Target="mailto:dhanukapratyush@gmail.com" TargetMode="External"/><Relationship Id="rId1294" Type="http://schemas.openxmlformats.org/officeDocument/2006/relationships/hyperlink" Target="mailto:ushashelters2010@gmail.com" TargetMode="External"/><Relationship Id="rId460" Type="http://schemas.openxmlformats.org/officeDocument/2006/relationships/hyperlink" Target="https://akshar-exim-company-pvt-ltd.odoo.com/web" TargetMode="External"/><Relationship Id="rId1295" Type="http://schemas.openxmlformats.org/officeDocument/2006/relationships/hyperlink" Target="https://akshar-exim-company-pvt-ltd.odoo.com/web" TargetMode="External"/><Relationship Id="rId4321" Type="http://schemas.openxmlformats.org/officeDocument/2006/relationships/hyperlink" Target="https://akshar-exim-company-pvt-ltd.odoo.com/web" TargetMode="External"/><Relationship Id="rId1296" Type="http://schemas.openxmlformats.org/officeDocument/2006/relationships/hyperlink" Target="mailto:saunak.chakraborty.1988@gmail.com" TargetMode="External"/><Relationship Id="rId4320" Type="http://schemas.openxmlformats.org/officeDocument/2006/relationships/hyperlink" Target="https://akshar-exim-company-pvt-ltd.odoo.com/web" TargetMode="External"/><Relationship Id="rId466" Type="http://schemas.openxmlformats.org/officeDocument/2006/relationships/hyperlink" Target="mailto:naveen7585@gmail.com" TargetMode="External"/><Relationship Id="rId1297" Type="http://schemas.openxmlformats.org/officeDocument/2006/relationships/hyperlink" Target="https://akshar-exim-company-pvt-ltd.odoo.com/web" TargetMode="External"/><Relationship Id="rId4323" Type="http://schemas.openxmlformats.org/officeDocument/2006/relationships/hyperlink" Target="https://akshar-exim-company-pvt-ltd.odoo.com/web" TargetMode="External"/><Relationship Id="rId465" Type="http://schemas.openxmlformats.org/officeDocument/2006/relationships/hyperlink" Target="https://akshar-exim-company-pvt-ltd.odoo.com/web" TargetMode="External"/><Relationship Id="rId1298" Type="http://schemas.openxmlformats.org/officeDocument/2006/relationships/hyperlink" Target="mailto:rsmprojects@engineerspvtltd.com" TargetMode="External"/><Relationship Id="rId4322" Type="http://schemas.openxmlformats.org/officeDocument/2006/relationships/hyperlink" Target="https://akshar-exim-company-pvt-ltd.odoo.com/web" TargetMode="External"/><Relationship Id="rId464" Type="http://schemas.openxmlformats.org/officeDocument/2006/relationships/hyperlink" Target="mailto:kollimsbi@gmail.com" TargetMode="External"/><Relationship Id="rId1299" Type="http://schemas.openxmlformats.org/officeDocument/2006/relationships/hyperlink" Target="https://akshar-exim-company-pvt-ltd.odoo.com/web" TargetMode="External"/><Relationship Id="rId4325" Type="http://schemas.openxmlformats.org/officeDocument/2006/relationships/hyperlink" Target="https://akshar-exim-company-pvt-ltd.odoo.com/web" TargetMode="External"/><Relationship Id="rId463" Type="http://schemas.openxmlformats.org/officeDocument/2006/relationships/hyperlink" Target="https://akshar-exim-company-pvt-ltd.odoo.com/web" TargetMode="External"/><Relationship Id="rId4324" Type="http://schemas.openxmlformats.org/officeDocument/2006/relationships/hyperlink" Target="https://akshar-exim-company-pvt-ltd.odoo.com/web" TargetMode="External"/><Relationship Id="rId4316" Type="http://schemas.openxmlformats.org/officeDocument/2006/relationships/hyperlink" Target="https://akshar-exim-company-pvt-ltd.odoo.com/web" TargetMode="External"/><Relationship Id="rId4315" Type="http://schemas.openxmlformats.org/officeDocument/2006/relationships/hyperlink" Target="https://akshar-exim-company-pvt-ltd.odoo.com/web" TargetMode="External"/><Relationship Id="rId4318" Type="http://schemas.openxmlformats.org/officeDocument/2006/relationships/hyperlink" Target="https://akshar-exim-company-pvt-ltd.odoo.com/web" TargetMode="External"/><Relationship Id="rId4317" Type="http://schemas.openxmlformats.org/officeDocument/2006/relationships/hyperlink" Target="https://akshar-exim-company-pvt-ltd.odoo.com/web" TargetMode="External"/><Relationship Id="rId4319" Type="http://schemas.openxmlformats.org/officeDocument/2006/relationships/hyperlink" Target="https://akshar-exim-company-pvt-ltd.odoo.com/web" TargetMode="External"/><Relationship Id="rId459" Type="http://schemas.openxmlformats.org/officeDocument/2006/relationships/hyperlink" Target="mailto:pallabroy70@gmail.com" TargetMode="External"/><Relationship Id="rId458" Type="http://schemas.openxmlformats.org/officeDocument/2006/relationships/hyperlink" Target="https://akshar-exim-company-pvt-ltd.odoo.com/web" TargetMode="External"/><Relationship Id="rId457" Type="http://schemas.openxmlformats.org/officeDocument/2006/relationships/hyperlink" Target="mailto:vikramkr076@gmail.com" TargetMode="External"/><Relationship Id="rId456" Type="http://schemas.openxmlformats.org/officeDocument/2006/relationships/hyperlink" Target="https://akshar-exim-company-pvt-ltd.odoo.com/web" TargetMode="External"/><Relationship Id="rId1280" Type="http://schemas.openxmlformats.org/officeDocument/2006/relationships/hyperlink" Target="https://akshar-exim-company-pvt-ltd.odoo.com/web" TargetMode="External"/><Relationship Id="rId1281" Type="http://schemas.openxmlformats.org/officeDocument/2006/relationships/hyperlink" Target="mailto:jil.steels@gmail.com" TargetMode="External"/><Relationship Id="rId451" Type="http://schemas.openxmlformats.org/officeDocument/2006/relationships/hyperlink" Target="https://akshar-exim-company-pvt-ltd.odoo.com/web" TargetMode="External"/><Relationship Id="rId1282" Type="http://schemas.openxmlformats.org/officeDocument/2006/relationships/hyperlink" Target="https://akshar-exim-company-pvt-ltd.odoo.com/web" TargetMode="External"/><Relationship Id="rId450" Type="http://schemas.openxmlformats.org/officeDocument/2006/relationships/hyperlink" Target="mailto:infoway.krishnagar@gmail.com" TargetMode="External"/><Relationship Id="rId1283" Type="http://schemas.openxmlformats.org/officeDocument/2006/relationships/hyperlink" Target="mailto:schhealthcarepvtltd@gmail.com" TargetMode="External"/><Relationship Id="rId1284" Type="http://schemas.openxmlformats.org/officeDocument/2006/relationships/hyperlink" Target="https://akshar-exim-company-pvt-ltd.odoo.com/web" TargetMode="External"/><Relationship Id="rId4310" Type="http://schemas.openxmlformats.org/officeDocument/2006/relationships/hyperlink" Target="https://akshar-exim-company-pvt-ltd.odoo.com/web" TargetMode="External"/><Relationship Id="rId1285" Type="http://schemas.openxmlformats.org/officeDocument/2006/relationships/hyperlink" Target="https://akshar-exim-company-pvt-ltd.odoo.com/web" TargetMode="External"/><Relationship Id="rId455" Type="http://schemas.openxmlformats.org/officeDocument/2006/relationships/hyperlink" Target="https://akshar-exim-company-pvt-ltd.odoo.com/web" TargetMode="External"/><Relationship Id="rId1286" Type="http://schemas.openxmlformats.org/officeDocument/2006/relationships/hyperlink" Target="mailto:manjarurrahaman@gmail.com" TargetMode="External"/><Relationship Id="rId4312" Type="http://schemas.openxmlformats.org/officeDocument/2006/relationships/hyperlink" Target="https://akshar-exim-company-pvt-ltd.odoo.com/web" TargetMode="External"/><Relationship Id="rId454" Type="http://schemas.openxmlformats.org/officeDocument/2006/relationships/hyperlink" Target="mailto:pankajagrawal575@gmail.com" TargetMode="External"/><Relationship Id="rId1287" Type="http://schemas.openxmlformats.org/officeDocument/2006/relationships/hyperlink" Target="https://akshar-exim-company-pvt-ltd.odoo.com/web" TargetMode="External"/><Relationship Id="rId4311" Type="http://schemas.openxmlformats.org/officeDocument/2006/relationships/hyperlink" Target="https://akshar-exim-company-pvt-ltd.odoo.com/web" TargetMode="External"/><Relationship Id="rId453" Type="http://schemas.openxmlformats.org/officeDocument/2006/relationships/hyperlink" Target="https://akshar-exim-company-pvt-ltd.odoo.com/web" TargetMode="External"/><Relationship Id="rId1288" Type="http://schemas.openxmlformats.org/officeDocument/2006/relationships/hyperlink" Target="https://akshar-exim-company-pvt-ltd.odoo.com/web" TargetMode="External"/><Relationship Id="rId4314" Type="http://schemas.openxmlformats.org/officeDocument/2006/relationships/hyperlink" Target="https://akshar-exim-company-pvt-ltd.odoo.com/web" TargetMode="External"/><Relationship Id="rId452" Type="http://schemas.openxmlformats.org/officeDocument/2006/relationships/hyperlink" Target="mailto:melbrow.purchase@gmail.com" TargetMode="External"/><Relationship Id="rId1289" Type="http://schemas.openxmlformats.org/officeDocument/2006/relationships/hyperlink" Target="mailto:parthadasbon@gmail.com" TargetMode="External"/><Relationship Id="rId4313" Type="http://schemas.openxmlformats.org/officeDocument/2006/relationships/hyperlink" Target="https://akshar-exim-company-pvt-ltd.odoo.com/web" TargetMode="External"/><Relationship Id="rId3018" Type="http://schemas.openxmlformats.org/officeDocument/2006/relationships/hyperlink" Target="https://akshar-exim-company-pvt-ltd.odoo.com/web" TargetMode="External"/><Relationship Id="rId4349" Type="http://schemas.openxmlformats.org/officeDocument/2006/relationships/hyperlink" Target="https://akshar-exim-company-pvt-ltd.odoo.com/web" TargetMode="External"/><Relationship Id="rId3017" Type="http://schemas.openxmlformats.org/officeDocument/2006/relationships/hyperlink" Target="https://akshar-exim-company-pvt-ltd.odoo.com/web" TargetMode="External"/><Relationship Id="rId4348" Type="http://schemas.openxmlformats.org/officeDocument/2006/relationships/hyperlink" Target="https://akshar-exim-company-pvt-ltd.odoo.com/web" TargetMode="External"/><Relationship Id="rId3019" Type="http://schemas.openxmlformats.org/officeDocument/2006/relationships/hyperlink" Target="https://akshar-exim-company-pvt-ltd.odoo.com/web" TargetMode="External"/><Relationship Id="rId491" Type="http://schemas.openxmlformats.org/officeDocument/2006/relationships/hyperlink" Target="mailto:tarinibiochem@gmail.com" TargetMode="External"/><Relationship Id="rId490" Type="http://schemas.openxmlformats.org/officeDocument/2006/relationships/hyperlink" Target="https://akshar-exim-company-pvt-ltd.odoo.com/web" TargetMode="External"/><Relationship Id="rId489" Type="http://schemas.openxmlformats.org/officeDocument/2006/relationships/hyperlink" Target="mailto:rinkunenwani9674@gmail.com" TargetMode="External"/><Relationship Id="rId484" Type="http://schemas.openxmlformats.org/officeDocument/2006/relationships/hyperlink" Target="https://akshar-exim-company-pvt-ltd.odoo.com/web" TargetMode="External"/><Relationship Id="rId3010" Type="http://schemas.openxmlformats.org/officeDocument/2006/relationships/hyperlink" Target="https://akshar-exim-company-pvt-ltd.odoo.com/web" TargetMode="External"/><Relationship Id="rId4341" Type="http://schemas.openxmlformats.org/officeDocument/2006/relationships/hyperlink" Target="https://akshar-exim-company-pvt-ltd.odoo.com/web" TargetMode="External"/><Relationship Id="rId483" Type="http://schemas.openxmlformats.org/officeDocument/2006/relationships/hyperlink" Target="mailto:beherab240@gmail.com" TargetMode="External"/><Relationship Id="rId4340" Type="http://schemas.openxmlformats.org/officeDocument/2006/relationships/hyperlink" Target="https://akshar-exim-company-pvt-ltd.odoo.com/web" TargetMode="External"/><Relationship Id="rId482" Type="http://schemas.openxmlformats.org/officeDocument/2006/relationships/hyperlink" Target="https://akshar-exim-company-pvt-ltd.odoo.com/web" TargetMode="External"/><Relationship Id="rId3012" Type="http://schemas.openxmlformats.org/officeDocument/2006/relationships/hyperlink" Target="https://akshar-exim-company-pvt-ltd.odoo.com/web" TargetMode="External"/><Relationship Id="rId4343" Type="http://schemas.openxmlformats.org/officeDocument/2006/relationships/hyperlink" Target="https://akshar-exim-company-pvt-ltd.odoo.com/web" TargetMode="External"/><Relationship Id="rId481" Type="http://schemas.openxmlformats.org/officeDocument/2006/relationships/hyperlink" Target="mailto:suprabhatghosh.127@gmail.com" TargetMode="External"/><Relationship Id="rId3011" Type="http://schemas.openxmlformats.org/officeDocument/2006/relationships/hyperlink" Target="https://akshar-exim-company-pvt-ltd.odoo.com/web" TargetMode="External"/><Relationship Id="rId4342" Type="http://schemas.openxmlformats.org/officeDocument/2006/relationships/hyperlink" Target="https://akshar-exim-company-pvt-ltd.odoo.com/web" TargetMode="External"/><Relationship Id="rId488" Type="http://schemas.openxmlformats.org/officeDocument/2006/relationships/hyperlink" Target="https://akshar-exim-company-pvt-ltd.odoo.com/web" TargetMode="External"/><Relationship Id="rId3014" Type="http://schemas.openxmlformats.org/officeDocument/2006/relationships/hyperlink" Target="https://akshar-exim-company-pvt-ltd.odoo.com/web" TargetMode="External"/><Relationship Id="rId4345" Type="http://schemas.openxmlformats.org/officeDocument/2006/relationships/hyperlink" Target="https://akshar-exim-company-pvt-ltd.odoo.com/web" TargetMode="External"/><Relationship Id="rId487" Type="http://schemas.openxmlformats.org/officeDocument/2006/relationships/hyperlink" Target="mailto:ntraders64@gmail.com" TargetMode="External"/><Relationship Id="rId3013" Type="http://schemas.openxmlformats.org/officeDocument/2006/relationships/hyperlink" Target="https://akshar-exim-company-pvt-ltd.odoo.com/web" TargetMode="External"/><Relationship Id="rId4344" Type="http://schemas.openxmlformats.org/officeDocument/2006/relationships/hyperlink" Target="https://akshar-exim-company-pvt-ltd.odoo.com/web" TargetMode="External"/><Relationship Id="rId486" Type="http://schemas.openxmlformats.org/officeDocument/2006/relationships/hyperlink" Target="https://akshar-exim-company-pvt-ltd.odoo.com/web" TargetMode="External"/><Relationship Id="rId3016" Type="http://schemas.openxmlformats.org/officeDocument/2006/relationships/hyperlink" Target="https://akshar-exim-company-pvt-ltd.odoo.com/web" TargetMode="External"/><Relationship Id="rId4347" Type="http://schemas.openxmlformats.org/officeDocument/2006/relationships/hyperlink" Target="https://akshar-exim-company-pvt-ltd.odoo.com/web" TargetMode="External"/><Relationship Id="rId485" Type="http://schemas.openxmlformats.org/officeDocument/2006/relationships/hyperlink" Target="mailto:harivasanthram5@gmail.com" TargetMode="External"/><Relationship Id="rId3015" Type="http://schemas.openxmlformats.org/officeDocument/2006/relationships/hyperlink" Target="https://akshar-exim-company-pvt-ltd.odoo.com/web" TargetMode="External"/><Relationship Id="rId4346" Type="http://schemas.openxmlformats.org/officeDocument/2006/relationships/hyperlink" Target="https://akshar-exim-company-pvt-ltd.odoo.com/web" TargetMode="External"/><Relationship Id="rId3007" Type="http://schemas.openxmlformats.org/officeDocument/2006/relationships/hyperlink" Target="https://akshar-exim-company-pvt-ltd.odoo.com/web" TargetMode="External"/><Relationship Id="rId4338" Type="http://schemas.openxmlformats.org/officeDocument/2006/relationships/hyperlink" Target="https://akshar-exim-company-pvt-ltd.odoo.com/web" TargetMode="External"/><Relationship Id="rId3006" Type="http://schemas.openxmlformats.org/officeDocument/2006/relationships/hyperlink" Target="https://akshar-exim-company-pvt-ltd.odoo.com/web" TargetMode="External"/><Relationship Id="rId4337" Type="http://schemas.openxmlformats.org/officeDocument/2006/relationships/hyperlink" Target="https://akshar-exim-company-pvt-ltd.odoo.com/web" TargetMode="External"/><Relationship Id="rId3009" Type="http://schemas.openxmlformats.org/officeDocument/2006/relationships/hyperlink" Target="https://akshar-exim-company-pvt-ltd.odoo.com/web" TargetMode="External"/><Relationship Id="rId3008" Type="http://schemas.openxmlformats.org/officeDocument/2006/relationships/hyperlink" Target="https://akshar-exim-company-pvt-ltd.odoo.com/web" TargetMode="External"/><Relationship Id="rId4339" Type="http://schemas.openxmlformats.org/officeDocument/2006/relationships/hyperlink" Target="https://akshar-exim-company-pvt-ltd.odoo.com/web" TargetMode="External"/><Relationship Id="rId480" Type="http://schemas.openxmlformats.org/officeDocument/2006/relationships/hyperlink" Target="https://akshar-exim-company-pvt-ltd.odoo.com/web" TargetMode="External"/><Relationship Id="rId479" Type="http://schemas.openxmlformats.org/officeDocument/2006/relationships/hyperlink" Target="https://akshar-exim-company-pvt-ltd.odoo.com/web" TargetMode="External"/><Relationship Id="rId478" Type="http://schemas.openxmlformats.org/officeDocument/2006/relationships/hyperlink" Target="mailto:er.anup.anand@gmail.com" TargetMode="External"/><Relationship Id="rId473" Type="http://schemas.openxmlformats.org/officeDocument/2006/relationships/hyperlink" Target="https://akshar-exim-company-pvt-ltd.odoo.com/web" TargetMode="External"/><Relationship Id="rId4330" Type="http://schemas.openxmlformats.org/officeDocument/2006/relationships/hyperlink" Target="https://akshar-exim-company-pvt-ltd.odoo.com/web" TargetMode="External"/><Relationship Id="rId472" Type="http://schemas.openxmlformats.org/officeDocument/2006/relationships/hyperlink" Target="mailto:sushantapanigrahi.jsg@gmail.com" TargetMode="External"/><Relationship Id="rId471" Type="http://schemas.openxmlformats.org/officeDocument/2006/relationships/hyperlink" Target="https://akshar-exim-company-pvt-ltd.odoo.com/web" TargetMode="External"/><Relationship Id="rId3001" Type="http://schemas.openxmlformats.org/officeDocument/2006/relationships/hyperlink" Target="https://akshar-exim-company-pvt-ltd.odoo.com/web" TargetMode="External"/><Relationship Id="rId4332" Type="http://schemas.openxmlformats.org/officeDocument/2006/relationships/hyperlink" Target="https://akshar-exim-company-pvt-ltd.odoo.com/web" TargetMode="External"/><Relationship Id="rId470" Type="http://schemas.openxmlformats.org/officeDocument/2006/relationships/hyperlink" Target="mailto:matrihardware786@gmail.com" TargetMode="External"/><Relationship Id="rId3000" Type="http://schemas.openxmlformats.org/officeDocument/2006/relationships/hyperlink" Target="https://akshar-exim-company-pvt-ltd.odoo.com/web" TargetMode="External"/><Relationship Id="rId4331" Type="http://schemas.openxmlformats.org/officeDocument/2006/relationships/hyperlink" Target="https://akshar-exim-company-pvt-ltd.odoo.com/web" TargetMode="External"/><Relationship Id="rId477" Type="http://schemas.openxmlformats.org/officeDocument/2006/relationships/hyperlink" Target="https://akshar-exim-company-pvt-ltd.odoo.com/web" TargetMode="External"/><Relationship Id="rId3003" Type="http://schemas.openxmlformats.org/officeDocument/2006/relationships/hyperlink" Target="https://akshar-exim-company-pvt-ltd.odoo.com/web" TargetMode="External"/><Relationship Id="rId4334" Type="http://schemas.openxmlformats.org/officeDocument/2006/relationships/hyperlink" Target="https://akshar-exim-company-pvt-ltd.odoo.com/web" TargetMode="External"/><Relationship Id="rId476" Type="http://schemas.openxmlformats.org/officeDocument/2006/relationships/hyperlink" Target="mailto:miswacorporation@gmail.com" TargetMode="External"/><Relationship Id="rId3002" Type="http://schemas.openxmlformats.org/officeDocument/2006/relationships/hyperlink" Target="https://akshar-exim-company-pvt-ltd.odoo.com/web" TargetMode="External"/><Relationship Id="rId4333" Type="http://schemas.openxmlformats.org/officeDocument/2006/relationships/hyperlink" Target="https://akshar-exim-company-pvt-ltd.odoo.com/web" TargetMode="External"/><Relationship Id="rId475" Type="http://schemas.openxmlformats.org/officeDocument/2006/relationships/hyperlink" Target="https://akshar-exim-company-pvt-ltd.odoo.com/web" TargetMode="External"/><Relationship Id="rId3005" Type="http://schemas.openxmlformats.org/officeDocument/2006/relationships/hyperlink" Target="https://akshar-exim-company-pvt-ltd.odoo.com/web" TargetMode="External"/><Relationship Id="rId4336" Type="http://schemas.openxmlformats.org/officeDocument/2006/relationships/hyperlink" Target="https://akshar-exim-company-pvt-ltd.odoo.com/web" TargetMode="External"/><Relationship Id="rId474" Type="http://schemas.openxmlformats.org/officeDocument/2006/relationships/hyperlink" Target="mailto:amitkumarsarkar.bhb@gmail.com" TargetMode="External"/><Relationship Id="rId3004" Type="http://schemas.openxmlformats.org/officeDocument/2006/relationships/hyperlink" Target="https://akshar-exim-company-pvt-ltd.odoo.com/web" TargetMode="External"/><Relationship Id="rId4335" Type="http://schemas.openxmlformats.org/officeDocument/2006/relationships/hyperlink" Target="https://akshar-exim-company-pvt-ltd.odoo.com/web" TargetMode="External"/><Relationship Id="rId1257" Type="http://schemas.openxmlformats.org/officeDocument/2006/relationships/hyperlink" Target="mailto:yuvrajconstructions27@gmail.com" TargetMode="External"/><Relationship Id="rId2588" Type="http://schemas.openxmlformats.org/officeDocument/2006/relationships/hyperlink" Target="https://akshar-exim-company-pvt-ltd.odoo.com/web" TargetMode="External"/><Relationship Id="rId1258" Type="http://schemas.openxmlformats.org/officeDocument/2006/relationships/hyperlink" Target="https://akshar-exim-company-pvt-ltd.odoo.com/web" TargetMode="External"/><Relationship Id="rId2589" Type="http://schemas.openxmlformats.org/officeDocument/2006/relationships/hyperlink" Target="https://akshar-exim-company-pvt-ltd.odoo.com/web" TargetMode="External"/><Relationship Id="rId1259" Type="http://schemas.openxmlformats.org/officeDocument/2006/relationships/hyperlink" Target="mailto:goutamdutt72@gmail.com" TargetMode="External"/><Relationship Id="rId426" Type="http://schemas.openxmlformats.org/officeDocument/2006/relationships/hyperlink" Target="https://akshar-exim-company-pvt-ltd.odoo.com/web" TargetMode="External"/><Relationship Id="rId425" Type="http://schemas.openxmlformats.org/officeDocument/2006/relationships/hyperlink" Target="https://akshar-exim-company-pvt-ltd.odoo.com/web" TargetMode="External"/><Relationship Id="rId424" Type="http://schemas.openxmlformats.org/officeDocument/2006/relationships/hyperlink" Target="https://akshar-exim-company-pvt-ltd.odoo.com/web" TargetMode="External"/><Relationship Id="rId423" Type="http://schemas.openxmlformats.org/officeDocument/2006/relationships/hyperlink" Target="mailto:anand.vet10@gmail.com" TargetMode="External"/><Relationship Id="rId429" Type="http://schemas.openxmlformats.org/officeDocument/2006/relationships/hyperlink" Target="mailto:biswas.pradipto@gmail.com" TargetMode="External"/><Relationship Id="rId428" Type="http://schemas.openxmlformats.org/officeDocument/2006/relationships/hyperlink" Target="https://akshar-exim-company-pvt-ltd.odoo.com/web" TargetMode="External"/><Relationship Id="rId427" Type="http://schemas.openxmlformats.org/officeDocument/2006/relationships/hyperlink" Target="mailto:kumar.nitesh155@hotmail.com" TargetMode="External"/><Relationship Id="rId2580" Type="http://schemas.openxmlformats.org/officeDocument/2006/relationships/hyperlink" Target="mailto:adnanmulani2019@gmail.com" TargetMode="External"/><Relationship Id="rId1250" Type="http://schemas.openxmlformats.org/officeDocument/2006/relationships/hyperlink" Target="https://akshar-exim-company-pvt-ltd.odoo.com/web" TargetMode="External"/><Relationship Id="rId2581" Type="http://schemas.openxmlformats.org/officeDocument/2006/relationships/hyperlink" Target="https://akshar-exim-company-pvt-ltd.odoo.com/web" TargetMode="External"/><Relationship Id="rId1251" Type="http://schemas.openxmlformats.org/officeDocument/2006/relationships/hyperlink" Target="mailto:biswasanimesg1883@gmail.com" TargetMode="External"/><Relationship Id="rId2582" Type="http://schemas.openxmlformats.org/officeDocument/2006/relationships/hyperlink" Target="mailto:sitson.hari88@gmail.com" TargetMode="External"/><Relationship Id="rId1252" Type="http://schemas.openxmlformats.org/officeDocument/2006/relationships/hyperlink" Target="https://akshar-exim-company-pvt-ltd.odoo.com/web" TargetMode="External"/><Relationship Id="rId2583" Type="http://schemas.openxmlformats.org/officeDocument/2006/relationships/hyperlink" Target="https://akshar-exim-company-pvt-ltd.odoo.com/web" TargetMode="External"/><Relationship Id="rId422" Type="http://schemas.openxmlformats.org/officeDocument/2006/relationships/hyperlink" Target="https://akshar-exim-company-pvt-ltd.odoo.com/web" TargetMode="External"/><Relationship Id="rId1253" Type="http://schemas.openxmlformats.org/officeDocument/2006/relationships/hyperlink" Target="mailto:pbahety@tajcement.com" TargetMode="External"/><Relationship Id="rId2584" Type="http://schemas.openxmlformats.org/officeDocument/2006/relationships/hyperlink" Target="mailto:vaibhav@libertyoilmills.com" TargetMode="External"/><Relationship Id="rId421" Type="http://schemas.openxmlformats.org/officeDocument/2006/relationships/hyperlink" Target="mailto:nizam_babloo@yahoo.com" TargetMode="External"/><Relationship Id="rId1254" Type="http://schemas.openxmlformats.org/officeDocument/2006/relationships/hyperlink" Target="https://akshar-exim-company-pvt-ltd.odoo.com/web" TargetMode="External"/><Relationship Id="rId2585" Type="http://schemas.openxmlformats.org/officeDocument/2006/relationships/hyperlink" Target="https://akshar-exim-company-pvt-ltd.odoo.com/web" TargetMode="External"/><Relationship Id="rId420" Type="http://schemas.openxmlformats.org/officeDocument/2006/relationships/hyperlink" Target="https://akshar-exim-company-pvt-ltd.odoo.com/web" TargetMode="External"/><Relationship Id="rId1255" Type="http://schemas.openxmlformats.org/officeDocument/2006/relationships/hyperlink" Target="mailto:p.bharech@gmail.com" TargetMode="External"/><Relationship Id="rId2586" Type="http://schemas.openxmlformats.org/officeDocument/2006/relationships/hyperlink" Target="mailto:karandoshi086@gmail.com" TargetMode="External"/><Relationship Id="rId1256" Type="http://schemas.openxmlformats.org/officeDocument/2006/relationships/hyperlink" Target="https://akshar-exim-company-pvt-ltd.odoo.com/web" TargetMode="External"/><Relationship Id="rId2587" Type="http://schemas.openxmlformats.org/officeDocument/2006/relationships/hyperlink" Target="https://akshar-exim-company-pvt-ltd.odoo.com/web" TargetMode="External"/><Relationship Id="rId1246" Type="http://schemas.openxmlformats.org/officeDocument/2006/relationships/hyperlink" Target="mailto:gkantisajal@gmail.com" TargetMode="External"/><Relationship Id="rId2577" Type="http://schemas.openxmlformats.org/officeDocument/2006/relationships/hyperlink" Target="mailto:ngb.sudipta@gmail.com" TargetMode="External"/><Relationship Id="rId1247" Type="http://schemas.openxmlformats.org/officeDocument/2006/relationships/hyperlink" Target="https://akshar-exim-company-pvt-ltd.odoo.com/web" TargetMode="External"/><Relationship Id="rId2578" Type="http://schemas.openxmlformats.org/officeDocument/2006/relationships/hyperlink" Target="https://akshar-exim-company-pvt-ltd.odoo.com/web" TargetMode="External"/><Relationship Id="rId1248" Type="http://schemas.openxmlformats.org/officeDocument/2006/relationships/hyperlink" Target="https://akshar-exim-company-pvt-ltd.odoo.com/web" TargetMode="External"/><Relationship Id="rId2579" Type="http://schemas.openxmlformats.org/officeDocument/2006/relationships/hyperlink" Target="https://akshar-exim-company-pvt-ltd.odoo.com/web" TargetMode="External"/><Relationship Id="rId1249" Type="http://schemas.openxmlformats.org/officeDocument/2006/relationships/hyperlink" Target="https://akshar-exim-company-pvt-ltd.odoo.com/web" TargetMode="External"/><Relationship Id="rId415" Type="http://schemas.openxmlformats.org/officeDocument/2006/relationships/hyperlink" Target="mailto:faridhussain9931235255@gmail.com" TargetMode="External"/><Relationship Id="rId414" Type="http://schemas.openxmlformats.org/officeDocument/2006/relationships/hyperlink" Target="https://akshar-exim-company-pvt-ltd.odoo.com/web" TargetMode="External"/><Relationship Id="rId413" Type="http://schemas.openxmlformats.org/officeDocument/2006/relationships/hyperlink" Target="mailto:amitbarman903@gmail.com" TargetMode="External"/><Relationship Id="rId412" Type="http://schemas.openxmlformats.org/officeDocument/2006/relationships/hyperlink" Target="https://akshar-exim-company-pvt-ltd.odoo.com/web" TargetMode="External"/><Relationship Id="rId419" Type="http://schemas.openxmlformats.org/officeDocument/2006/relationships/hyperlink" Target="mailto:nsntrading2021@gmail.com" TargetMode="External"/><Relationship Id="rId418" Type="http://schemas.openxmlformats.org/officeDocument/2006/relationships/hyperlink" Target="https://akshar-exim-company-pvt-ltd.odoo.com/web" TargetMode="External"/><Relationship Id="rId417" Type="http://schemas.openxmlformats.org/officeDocument/2006/relationships/hyperlink" Target="https://akshar-exim-company-pvt-ltd.odoo.com/web" TargetMode="External"/><Relationship Id="rId416" Type="http://schemas.openxmlformats.org/officeDocument/2006/relationships/hyperlink" Target="https://akshar-exim-company-pvt-ltd.odoo.com/web" TargetMode="External"/><Relationship Id="rId2570" Type="http://schemas.openxmlformats.org/officeDocument/2006/relationships/hyperlink" Target="https://akshar-exim-company-pvt-ltd.odoo.com/web" TargetMode="External"/><Relationship Id="rId1240" Type="http://schemas.openxmlformats.org/officeDocument/2006/relationships/hyperlink" Target="https://akshar-exim-company-pvt-ltd.odoo.com/web" TargetMode="External"/><Relationship Id="rId2571" Type="http://schemas.openxmlformats.org/officeDocument/2006/relationships/hyperlink" Target="https://akshar-exim-company-pvt-ltd.odoo.com/web" TargetMode="External"/><Relationship Id="rId1241" Type="http://schemas.openxmlformats.org/officeDocument/2006/relationships/hyperlink" Target="mailto:kunalthakur888@yahoo.in" TargetMode="External"/><Relationship Id="rId2572" Type="http://schemas.openxmlformats.org/officeDocument/2006/relationships/hyperlink" Target="https://akshar-exim-company-pvt-ltd.odoo.com/web" TargetMode="External"/><Relationship Id="rId411" Type="http://schemas.openxmlformats.org/officeDocument/2006/relationships/hyperlink" Target="mailto:sk240280@gmail.com" TargetMode="External"/><Relationship Id="rId1242" Type="http://schemas.openxmlformats.org/officeDocument/2006/relationships/hyperlink" Target="https://akshar-exim-company-pvt-ltd.odoo.com/web" TargetMode="External"/><Relationship Id="rId2573" Type="http://schemas.openxmlformats.org/officeDocument/2006/relationships/hyperlink" Target="https://akshar-exim-company-pvt-ltd.odoo.com/web" TargetMode="External"/><Relationship Id="rId410" Type="http://schemas.openxmlformats.org/officeDocument/2006/relationships/hyperlink" Target="https://akshar-exim-company-pvt-ltd.odoo.com/web" TargetMode="External"/><Relationship Id="rId1243" Type="http://schemas.openxmlformats.org/officeDocument/2006/relationships/hyperlink" Target="https://akshar-exim-company-pvt-ltd.odoo.com/web" TargetMode="External"/><Relationship Id="rId2574" Type="http://schemas.openxmlformats.org/officeDocument/2006/relationships/hyperlink" Target="https://akshar-exim-company-pvt-ltd.odoo.com/web" TargetMode="External"/><Relationship Id="rId1244" Type="http://schemas.openxmlformats.org/officeDocument/2006/relationships/hyperlink" Target="mailto:scsamir1969@gmail.com" TargetMode="External"/><Relationship Id="rId2575" Type="http://schemas.openxmlformats.org/officeDocument/2006/relationships/hyperlink" Target="mailto:newindia.jp@gmail.com" TargetMode="External"/><Relationship Id="rId1245" Type="http://schemas.openxmlformats.org/officeDocument/2006/relationships/hyperlink" Target="https://akshar-exim-company-pvt-ltd.odoo.com/web" TargetMode="External"/><Relationship Id="rId2576" Type="http://schemas.openxmlformats.org/officeDocument/2006/relationships/hyperlink" Target="https://akshar-exim-company-pvt-ltd.odoo.com/web" TargetMode="External"/><Relationship Id="rId1279" Type="http://schemas.openxmlformats.org/officeDocument/2006/relationships/hyperlink" Target="mailto:sridharlohia@yahoo.com" TargetMode="External"/><Relationship Id="rId4305" Type="http://schemas.openxmlformats.org/officeDocument/2006/relationships/hyperlink" Target="https://akshar-exim-company-pvt-ltd.odoo.com/web" TargetMode="External"/><Relationship Id="rId4304" Type="http://schemas.openxmlformats.org/officeDocument/2006/relationships/hyperlink" Target="https://akshar-exim-company-pvt-ltd.odoo.com/web" TargetMode="External"/><Relationship Id="rId4307" Type="http://schemas.openxmlformats.org/officeDocument/2006/relationships/hyperlink" Target="https://akshar-exim-company-pvt-ltd.odoo.com/web" TargetMode="External"/><Relationship Id="rId4306" Type="http://schemas.openxmlformats.org/officeDocument/2006/relationships/hyperlink" Target="https://akshar-exim-company-pvt-ltd.odoo.com/web" TargetMode="External"/><Relationship Id="rId4309" Type="http://schemas.openxmlformats.org/officeDocument/2006/relationships/hyperlink" Target="https://akshar-exim-company-pvt-ltd.odoo.com/web" TargetMode="External"/><Relationship Id="rId4308" Type="http://schemas.openxmlformats.org/officeDocument/2006/relationships/hyperlink" Target="https://akshar-exim-company-pvt-ltd.odoo.com/web" TargetMode="External"/><Relationship Id="rId448" Type="http://schemas.openxmlformats.org/officeDocument/2006/relationships/hyperlink" Target="mailto:disharicard@gmail.com" TargetMode="External"/><Relationship Id="rId447" Type="http://schemas.openxmlformats.org/officeDocument/2006/relationships/hyperlink" Target="https://akshar-exim-company-pvt-ltd.odoo.com/web" TargetMode="External"/><Relationship Id="rId446" Type="http://schemas.openxmlformats.org/officeDocument/2006/relationships/hyperlink" Target="mailto:ronimolla374@gmail.com" TargetMode="External"/><Relationship Id="rId445" Type="http://schemas.openxmlformats.org/officeDocument/2006/relationships/hyperlink" Target="https://akshar-exim-company-pvt-ltd.odoo.com/web" TargetMode="External"/><Relationship Id="rId449" Type="http://schemas.openxmlformats.org/officeDocument/2006/relationships/hyperlink" Target="https://akshar-exim-company-pvt-ltd.odoo.com/web" TargetMode="External"/><Relationship Id="rId1270" Type="http://schemas.openxmlformats.org/officeDocument/2006/relationships/hyperlink" Target="mailto:jyoti.punita@gmail.com" TargetMode="External"/><Relationship Id="rId440" Type="http://schemas.openxmlformats.org/officeDocument/2006/relationships/hyperlink" Target="https://akshar-exim-company-pvt-ltd.odoo.com/web" TargetMode="External"/><Relationship Id="rId1271" Type="http://schemas.openxmlformats.org/officeDocument/2006/relationships/hyperlink" Target="https://akshar-exim-company-pvt-ltd.odoo.com/web" TargetMode="External"/><Relationship Id="rId1272" Type="http://schemas.openxmlformats.org/officeDocument/2006/relationships/hyperlink" Target="mailto:shrestha.shekhar@rocketmail.com" TargetMode="External"/><Relationship Id="rId1273" Type="http://schemas.openxmlformats.org/officeDocument/2006/relationships/hyperlink" Target="https://akshar-exim-company-pvt-ltd.odoo.com/web" TargetMode="External"/><Relationship Id="rId1274" Type="http://schemas.openxmlformats.org/officeDocument/2006/relationships/hyperlink" Target="mailto:hirishi19@gmail.com" TargetMode="External"/><Relationship Id="rId444" Type="http://schemas.openxmlformats.org/officeDocument/2006/relationships/hyperlink" Target="https://akshar-exim-company-pvt-ltd.odoo.com/web" TargetMode="External"/><Relationship Id="rId1275" Type="http://schemas.openxmlformats.org/officeDocument/2006/relationships/hyperlink" Target="https://akshar-exim-company-pvt-ltd.odoo.com/web" TargetMode="External"/><Relationship Id="rId4301" Type="http://schemas.openxmlformats.org/officeDocument/2006/relationships/hyperlink" Target="https://akshar-exim-company-pvt-ltd.odoo.com/web" TargetMode="External"/><Relationship Id="rId443" Type="http://schemas.openxmlformats.org/officeDocument/2006/relationships/hyperlink" Target="mailto:rcm.alam@yahoo.com" TargetMode="External"/><Relationship Id="rId1276" Type="http://schemas.openxmlformats.org/officeDocument/2006/relationships/hyperlink" Target="https://akshar-exim-company-pvt-ltd.odoo.com/web" TargetMode="External"/><Relationship Id="rId4300" Type="http://schemas.openxmlformats.org/officeDocument/2006/relationships/hyperlink" Target="https://akshar-exim-company-pvt-ltd.odoo.com/web" TargetMode="External"/><Relationship Id="rId442" Type="http://schemas.openxmlformats.org/officeDocument/2006/relationships/hyperlink" Target="https://akshar-exim-company-pvt-ltd.odoo.com/web" TargetMode="External"/><Relationship Id="rId1277" Type="http://schemas.openxmlformats.org/officeDocument/2006/relationships/hyperlink" Target="mailto:jainakash2021@gmail.com" TargetMode="External"/><Relationship Id="rId4303" Type="http://schemas.openxmlformats.org/officeDocument/2006/relationships/hyperlink" Target="https://akshar-exim-company-pvt-ltd.odoo.com/web" TargetMode="External"/><Relationship Id="rId441" Type="http://schemas.openxmlformats.org/officeDocument/2006/relationships/hyperlink" Target="mailto:omprakashatzsss@gmail.com" TargetMode="External"/><Relationship Id="rId1278" Type="http://schemas.openxmlformats.org/officeDocument/2006/relationships/hyperlink" Target="https://akshar-exim-company-pvt-ltd.odoo.com/web" TargetMode="External"/><Relationship Id="rId4302" Type="http://schemas.openxmlformats.org/officeDocument/2006/relationships/hyperlink" Target="https://akshar-exim-company-pvt-ltd.odoo.com/web" TargetMode="External"/><Relationship Id="rId1268" Type="http://schemas.openxmlformats.org/officeDocument/2006/relationships/hyperlink" Target="https://akshar-exim-company-pvt-ltd.odoo.com/web" TargetMode="External"/><Relationship Id="rId2599" Type="http://schemas.openxmlformats.org/officeDocument/2006/relationships/hyperlink" Target="https://akshar-exim-company-pvt-ltd.odoo.com/web" TargetMode="External"/><Relationship Id="rId1269" Type="http://schemas.openxmlformats.org/officeDocument/2006/relationships/hyperlink" Target="https://akshar-exim-company-pvt-ltd.odoo.com/web" TargetMode="External"/><Relationship Id="rId437" Type="http://schemas.openxmlformats.org/officeDocument/2006/relationships/hyperlink" Target="mailto:pabanmodak1967@gmail.com" TargetMode="External"/><Relationship Id="rId436" Type="http://schemas.openxmlformats.org/officeDocument/2006/relationships/hyperlink" Target="https://akshar-exim-company-pvt-ltd.odoo.com/web" TargetMode="External"/><Relationship Id="rId435" Type="http://schemas.openxmlformats.org/officeDocument/2006/relationships/hyperlink" Target="mailto:das387558@gmail.com" TargetMode="External"/><Relationship Id="rId434" Type="http://schemas.openxmlformats.org/officeDocument/2006/relationships/hyperlink" Target="https://akshar-exim-company-pvt-ltd.odoo.com/web" TargetMode="External"/><Relationship Id="rId439" Type="http://schemas.openxmlformats.org/officeDocument/2006/relationships/hyperlink" Target="mailto:mollasofikul682@gmail.com" TargetMode="External"/><Relationship Id="rId438" Type="http://schemas.openxmlformats.org/officeDocument/2006/relationships/hyperlink" Target="https://akshar-exim-company-pvt-ltd.odoo.com/web" TargetMode="External"/><Relationship Id="rId2590" Type="http://schemas.openxmlformats.org/officeDocument/2006/relationships/hyperlink" Target="https://akshar-exim-company-pvt-ltd.odoo.com/web" TargetMode="External"/><Relationship Id="rId1260" Type="http://schemas.openxmlformats.org/officeDocument/2006/relationships/hyperlink" Target="https://akshar-exim-company-pvt-ltd.odoo.com/web" TargetMode="External"/><Relationship Id="rId2591" Type="http://schemas.openxmlformats.org/officeDocument/2006/relationships/hyperlink" Target="https://akshar-exim-company-pvt-ltd.odoo.com/web" TargetMode="External"/><Relationship Id="rId1261" Type="http://schemas.openxmlformats.org/officeDocument/2006/relationships/hyperlink" Target="mailto:tarinibiochem@gmail.com" TargetMode="External"/><Relationship Id="rId2592" Type="http://schemas.openxmlformats.org/officeDocument/2006/relationships/hyperlink" Target="https://akshar-exim-company-pvt-ltd.odoo.com/web" TargetMode="External"/><Relationship Id="rId1262" Type="http://schemas.openxmlformats.org/officeDocument/2006/relationships/hyperlink" Target="https://akshar-exim-company-pvt-ltd.odoo.com/web" TargetMode="External"/><Relationship Id="rId2593" Type="http://schemas.openxmlformats.org/officeDocument/2006/relationships/hyperlink" Target="https://akshar-exim-company-pvt-ltd.odoo.com/web" TargetMode="External"/><Relationship Id="rId1263" Type="http://schemas.openxmlformats.org/officeDocument/2006/relationships/hyperlink" Target="mailto:salmakhatut@gmail.com" TargetMode="External"/><Relationship Id="rId2594" Type="http://schemas.openxmlformats.org/officeDocument/2006/relationships/hyperlink" Target="https://akshar-exim-company-pvt-ltd.odoo.com/web" TargetMode="External"/><Relationship Id="rId433" Type="http://schemas.openxmlformats.org/officeDocument/2006/relationships/hyperlink" Target="mailto:singh.brijesh.brijesh@gmail.com" TargetMode="External"/><Relationship Id="rId1264" Type="http://schemas.openxmlformats.org/officeDocument/2006/relationships/hyperlink" Target="https://akshar-exim-company-pvt-ltd.odoo.com/web" TargetMode="External"/><Relationship Id="rId2595" Type="http://schemas.openxmlformats.org/officeDocument/2006/relationships/hyperlink" Target="https://akshar-exim-company-pvt-ltd.odoo.com/web" TargetMode="External"/><Relationship Id="rId432" Type="http://schemas.openxmlformats.org/officeDocument/2006/relationships/hyperlink" Target="https://akshar-exim-company-pvt-ltd.odoo.com/web" TargetMode="External"/><Relationship Id="rId1265" Type="http://schemas.openxmlformats.org/officeDocument/2006/relationships/hyperlink" Target="mailto:palasish247@gmail.com" TargetMode="External"/><Relationship Id="rId2596" Type="http://schemas.openxmlformats.org/officeDocument/2006/relationships/hyperlink" Target="https://akshar-exim-company-pvt-ltd.odoo.com/web" TargetMode="External"/><Relationship Id="rId431" Type="http://schemas.openxmlformats.org/officeDocument/2006/relationships/hyperlink" Target="mailto:sikdarmanask@yahoo.com" TargetMode="External"/><Relationship Id="rId1266" Type="http://schemas.openxmlformats.org/officeDocument/2006/relationships/hyperlink" Target="https://akshar-exim-company-pvt-ltd.odoo.com/web" TargetMode="External"/><Relationship Id="rId2597" Type="http://schemas.openxmlformats.org/officeDocument/2006/relationships/hyperlink" Target="https://akshar-exim-company-pvt-ltd.odoo.com/web" TargetMode="External"/><Relationship Id="rId430" Type="http://schemas.openxmlformats.org/officeDocument/2006/relationships/hyperlink" Target="https://akshar-exim-company-pvt-ltd.odoo.com/web" TargetMode="External"/><Relationship Id="rId1267" Type="http://schemas.openxmlformats.org/officeDocument/2006/relationships/hyperlink" Target="mailto:dm.mohankashyap@gmail.com" TargetMode="External"/><Relationship Id="rId2598" Type="http://schemas.openxmlformats.org/officeDocument/2006/relationships/hyperlink" Target="https://akshar-exim-company-pvt-ltd.odoo.com/web" TargetMode="External"/><Relationship Id="rId3070" Type="http://schemas.openxmlformats.org/officeDocument/2006/relationships/hyperlink" Target="https://akshar-exim-company-pvt-ltd.odoo.com/web" TargetMode="External"/><Relationship Id="rId3072" Type="http://schemas.openxmlformats.org/officeDocument/2006/relationships/hyperlink" Target="https://akshar-exim-company-pvt-ltd.odoo.com/web" TargetMode="External"/><Relationship Id="rId3071" Type="http://schemas.openxmlformats.org/officeDocument/2006/relationships/hyperlink" Target="https://akshar-exim-company-pvt-ltd.odoo.com/web" TargetMode="External"/><Relationship Id="rId3074" Type="http://schemas.openxmlformats.org/officeDocument/2006/relationships/hyperlink" Target="https://akshar-exim-company-pvt-ltd.odoo.com/web" TargetMode="External"/><Relationship Id="rId3073" Type="http://schemas.openxmlformats.org/officeDocument/2006/relationships/hyperlink" Target="https://akshar-exim-company-pvt-ltd.odoo.com/web" TargetMode="External"/><Relationship Id="rId3076" Type="http://schemas.openxmlformats.org/officeDocument/2006/relationships/hyperlink" Target="https://akshar-exim-company-pvt-ltd.odoo.com/web" TargetMode="External"/><Relationship Id="rId3075" Type="http://schemas.openxmlformats.org/officeDocument/2006/relationships/hyperlink" Target="https://akshar-exim-company-pvt-ltd.odoo.com/web" TargetMode="External"/><Relationship Id="rId3078" Type="http://schemas.openxmlformats.org/officeDocument/2006/relationships/hyperlink" Target="https://akshar-exim-company-pvt-ltd.odoo.com/web" TargetMode="External"/><Relationship Id="rId3077" Type="http://schemas.openxmlformats.org/officeDocument/2006/relationships/hyperlink" Target="https://akshar-exim-company-pvt-ltd.odoo.com/web" TargetMode="External"/><Relationship Id="rId3079" Type="http://schemas.openxmlformats.org/officeDocument/2006/relationships/hyperlink" Target="https://akshar-exim-company-pvt-ltd.odoo.com/web" TargetMode="External"/><Relationship Id="rId4390" Type="http://schemas.openxmlformats.org/officeDocument/2006/relationships/hyperlink" Target="https://akshar-exim-company-pvt-ltd.odoo.com/web" TargetMode="External"/><Relationship Id="rId3061" Type="http://schemas.openxmlformats.org/officeDocument/2006/relationships/hyperlink" Target="https://akshar-exim-company-pvt-ltd.odoo.com/web" TargetMode="External"/><Relationship Id="rId4392" Type="http://schemas.openxmlformats.org/officeDocument/2006/relationships/hyperlink" Target="https://akshar-exim-company-pvt-ltd.odoo.com/web" TargetMode="External"/><Relationship Id="rId3060" Type="http://schemas.openxmlformats.org/officeDocument/2006/relationships/hyperlink" Target="https://akshar-exim-company-pvt-ltd.odoo.com/web" TargetMode="External"/><Relationship Id="rId4391" Type="http://schemas.openxmlformats.org/officeDocument/2006/relationships/hyperlink" Target="https://akshar-exim-company-pvt-ltd.odoo.com/web" TargetMode="External"/><Relationship Id="rId3063" Type="http://schemas.openxmlformats.org/officeDocument/2006/relationships/hyperlink" Target="https://akshar-exim-company-pvt-ltd.odoo.com/web" TargetMode="External"/><Relationship Id="rId4394" Type="http://schemas.openxmlformats.org/officeDocument/2006/relationships/hyperlink" Target="https://akshar-exim-company-pvt-ltd.odoo.com/web" TargetMode="External"/><Relationship Id="rId3062" Type="http://schemas.openxmlformats.org/officeDocument/2006/relationships/hyperlink" Target="https://akshar-exim-company-pvt-ltd.odoo.com/web" TargetMode="External"/><Relationship Id="rId4393" Type="http://schemas.openxmlformats.org/officeDocument/2006/relationships/hyperlink" Target="https://akshar-exim-company-pvt-ltd.odoo.com/web" TargetMode="External"/><Relationship Id="rId3065" Type="http://schemas.openxmlformats.org/officeDocument/2006/relationships/hyperlink" Target="https://akshar-exim-company-pvt-ltd.odoo.com/web" TargetMode="External"/><Relationship Id="rId4396" Type="http://schemas.openxmlformats.org/officeDocument/2006/relationships/hyperlink" Target="https://akshar-exim-company-pvt-ltd.odoo.com/web" TargetMode="External"/><Relationship Id="rId3064" Type="http://schemas.openxmlformats.org/officeDocument/2006/relationships/hyperlink" Target="https://akshar-exim-company-pvt-ltd.odoo.com/web" TargetMode="External"/><Relationship Id="rId4395" Type="http://schemas.openxmlformats.org/officeDocument/2006/relationships/hyperlink" Target="https://akshar-exim-company-pvt-ltd.odoo.com/web" TargetMode="External"/><Relationship Id="rId3067" Type="http://schemas.openxmlformats.org/officeDocument/2006/relationships/hyperlink" Target="https://akshar-exim-company-pvt-ltd.odoo.com/web" TargetMode="External"/><Relationship Id="rId4398" Type="http://schemas.openxmlformats.org/officeDocument/2006/relationships/hyperlink" Target="https://akshar-exim-company-pvt-ltd.odoo.com/web" TargetMode="External"/><Relationship Id="rId3066" Type="http://schemas.openxmlformats.org/officeDocument/2006/relationships/hyperlink" Target="https://akshar-exim-company-pvt-ltd.odoo.com/web" TargetMode="External"/><Relationship Id="rId4397" Type="http://schemas.openxmlformats.org/officeDocument/2006/relationships/hyperlink" Target="https://akshar-exim-company-pvt-ltd.odoo.com/web" TargetMode="External"/><Relationship Id="rId3069" Type="http://schemas.openxmlformats.org/officeDocument/2006/relationships/hyperlink" Target="https://akshar-exim-company-pvt-ltd.odoo.com/web" TargetMode="External"/><Relationship Id="rId3068" Type="http://schemas.openxmlformats.org/officeDocument/2006/relationships/hyperlink" Target="https://akshar-exim-company-pvt-ltd.odoo.com/web" TargetMode="External"/><Relationship Id="rId4399" Type="http://schemas.openxmlformats.org/officeDocument/2006/relationships/hyperlink" Target="https://akshar-exim-company-pvt-ltd.odoo.com/web" TargetMode="External"/><Relationship Id="rId3090" Type="http://schemas.openxmlformats.org/officeDocument/2006/relationships/hyperlink" Target="https://akshar-exim-company-pvt-ltd.odoo.com/web" TargetMode="External"/><Relationship Id="rId3092" Type="http://schemas.openxmlformats.org/officeDocument/2006/relationships/hyperlink" Target="mailto:golden_tradingco@yahoo.in" TargetMode="External"/><Relationship Id="rId3091" Type="http://schemas.openxmlformats.org/officeDocument/2006/relationships/hyperlink" Target="https://akshar-exim-company-pvt-ltd.odoo.com/web" TargetMode="External"/><Relationship Id="rId3094" Type="http://schemas.openxmlformats.org/officeDocument/2006/relationships/hyperlink" Target="mailto:tapanrouth2003@yahoo.co.in" TargetMode="External"/><Relationship Id="rId3093" Type="http://schemas.openxmlformats.org/officeDocument/2006/relationships/hyperlink" Target="https://akshar-exim-company-pvt-ltd.odoo.com/web" TargetMode="External"/><Relationship Id="rId3096" Type="http://schemas.openxmlformats.org/officeDocument/2006/relationships/hyperlink" Target="mailto:dpatel.omsai93@gmail.com" TargetMode="External"/><Relationship Id="rId3095" Type="http://schemas.openxmlformats.org/officeDocument/2006/relationships/hyperlink" Target="https://akshar-exim-company-pvt-ltd.odoo.com/web" TargetMode="External"/><Relationship Id="rId3098" Type="http://schemas.openxmlformats.org/officeDocument/2006/relationships/hyperlink" Target="mailto:shemphangkkongor@gmail.com" TargetMode="External"/><Relationship Id="rId3097" Type="http://schemas.openxmlformats.org/officeDocument/2006/relationships/hyperlink" Target="https://akshar-exim-company-pvt-ltd.odoo.com/web" TargetMode="External"/><Relationship Id="rId3099" Type="http://schemas.openxmlformats.org/officeDocument/2006/relationships/hyperlink" Target="https://akshar-exim-company-pvt-ltd.odoo.com/web" TargetMode="External"/><Relationship Id="rId3081" Type="http://schemas.openxmlformats.org/officeDocument/2006/relationships/hyperlink" Target="https://akshar-exim-company-pvt-ltd.odoo.com/web" TargetMode="External"/><Relationship Id="rId3080" Type="http://schemas.openxmlformats.org/officeDocument/2006/relationships/hyperlink" Target="https://akshar-exim-company-pvt-ltd.odoo.com/web" TargetMode="External"/><Relationship Id="rId3083" Type="http://schemas.openxmlformats.org/officeDocument/2006/relationships/hyperlink" Target="mailto:sachin@nowpurchase.com" TargetMode="External"/><Relationship Id="rId3082" Type="http://schemas.openxmlformats.org/officeDocument/2006/relationships/hyperlink" Target="https://akshar-exim-company-pvt-ltd.odoo.com/web" TargetMode="External"/><Relationship Id="rId3085" Type="http://schemas.openxmlformats.org/officeDocument/2006/relationships/hyperlink" Target="https://akshar-exim-company-pvt-ltd.odoo.com/web" TargetMode="External"/><Relationship Id="rId3084" Type="http://schemas.openxmlformats.org/officeDocument/2006/relationships/hyperlink" Target="https://akshar-exim-company-pvt-ltd.odoo.com/web" TargetMode="External"/><Relationship Id="rId3087" Type="http://schemas.openxmlformats.org/officeDocument/2006/relationships/hyperlink" Target="https://akshar-exim-company-pvt-ltd.odoo.com/web" TargetMode="External"/><Relationship Id="rId3086" Type="http://schemas.openxmlformats.org/officeDocument/2006/relationships/hyperlink" Target="https://akshar-exim-company-pvt-ltd.odoo.com/web" TargetMode="External"/><Relationship Id="rId3089" Type="http://schemas.openxmlformats.org/officeDocument/2006/relationships/hyperlink" Target="https://akshar-exim-company-pvt-ltd.odoo.com/web" TargetMode="External"/><Relationship Id="rId3088" Type="http://schemas.openxmlformats.org/officeDocument/2006/relationships/hyperlink" Target="https://akshar-exim-company-pvt-ltd.odoo.com/web" TargetMode="External"/><Relationship Id="rId3039" Type="http://schemas.openxmlformats.org/officeDocument/2006/relationships/hyperlink" Target="https://akshar-exim-company-pvt-ltd.odoo.com/web" TargetMode="Externa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kshar-exim-company-pvt-ltd.odoo.com/web" TargetMode="External"/><Relationship Id="rId3030" Type="http://schemas.openxmlformats.org/officeDocument/2006/relationships/hyperlink" Target="https://akshar-exim-company-pvt-ltd.odoo.com/web" TargetMode="External"/><Relationship Id="rId4361" Type="http://schemas.openxmlformats.org/officeDocument/2006/relationships/hyperlink" Target="https://akshar-exim-company-pvt-ltd.odoo.com/web" TargetMode="External"/><Relationship Id="rId4360" Type="http://schemas.openxmlformats.org/officeDocument/2006/relationships/hyperlink" Target="https://akshar-exim-company-pvt-ltd.odoo.com/web" TargetMode="External"/><Relationship Id="rId9" Type="http://schemas.openxmlformats.org/officeDocument/2006/relationships/hyperlink" Target="https://akshar-exim-company-pvt-ltd.odoo.com/web" TargetMode="External"/><Relationship Id="rId3032" Type="http://schemas.openxmlformats.org/officeDocument/2006/relationships/hyperlink" Target="https://akshar-exim-company-pvt-ltd.odoo.com/web" TargetMode="External"/><Relationship Id="rId4363" Type="http://schemas.openxmlformats.org/officeDocument/2006/relationships/hyperlink" Target="https://akshar-exim-company-pvt-ltd.odoo.com/web" TargetMode="External"/><Relationship Id="rId3031" Type="http://schemas.openxmlformats.org/officeDocument/2006/relationships/hyperlink" Target="https://akshar-exim-company-pvt-ltd.odoo.com/web" TargetMode="External"/><Relationship Id="rId4362" Type="http://schemas.openxmlformats.org/officeDocument/2006/relationships/hyperlink" Target="https://akshar-exim-company-pvt-ltd.odoo.com/web" TargetMode="External"/><Relationship Id="rId3034" Type="http://schemas.openxmlformats.org/officeDocument/2006/relationships/hyperlink" Target="https://akshar-exim-company-pvt-ltd.odoo.com/web" TargetMode="External"/><Relationship Id="rId4365" Type="http://schemas.openxmlformats.org/officeDocument/2006/relationships/hyperlink" Target="https://akshar-exim-company-pvt-ltd.odoo.com/web" TargetMode="External"/><Relationship Id="rId3033" Type="http://schemas.openxmlformats.org/officeDocument/2006/relationships/hyperlink" Target="https://akshar-exim-company-pvt-ltd.odoo.com/web" TargetMode="External"/><Relationship Id="rId4364" Type="http://schemas.openxmlformats.org/officeDocument/2006/relationships/hyperlink" Target="https://akshar-exim-company-pvt-ltd.odoo.com/web" TargetMode="External"/><Relationship Id="rId5" Type="http://schemas.openxmlformats.org/officeDocument/2006/relationships/hyperlink" Target="https://akshar-exim-company-pvt-ltd.odoo.com/web" TargetMode="External"/><Relationship Id="rId3036" Type="http://schemas.openxmlformats.org/officeDocument/2006/relationships/hyperlink" Target="https://akshar-exim-company-pvt-ltd.odoo.com/web" TargetMode="External"/><Relationship Id="rId4367" Type="http://schemas.openxmlformats.org/officeDocument/2006/relationships/hyperlink" Target="https://akshar-exim-company-pvt-ltd.odoo.com/web" TargetMode="External"/><Relationship Id="rId6" Type="http://schemas.openxmlformats.org/officeDocument/2006/relationships/hyperlink" Target="mailto:afsarkhan72739@gmail.com" TargetMode="External"/><Relationship Id="rId3035" Type="http://schemas.openxmlformats.org/officeDocument/2006/relationships/hyperlink" Target="https://akshar-exim-company-pvt-ltd.odoo.com/web" TargetMode="External"/><Relationship Id="rId4366" Type="http://schemas.openxmlformats.org/officeDocument/2006/relationships/hyperlink" Target="https://akshar-exim-company-pvt-ltd.odoo.com/web" TargetMode="External"/><Relationship Id="rId7" Type="http://schemas.openxmlformats.org/officeDocument/2006/relationships/hyperlink" Target="https://akshar-exim-company-pvt-ltd.odoo.com/web" TargetMode="External"/><Relationship Id="rId3038" Type="http://schemas.openxmlformats.org/officeDocument/2006/relationships/hyperlink" Target="https://akshar-exim-company-pvt-ltd.odoo.com/web" TargetMode="External"/><Relationship Id="rId4369" Type="http://schemas.openxmlformats.org/officeDocument/2006/relationships/hyperlink" Target="https://akshar-exim-company-pvt-ltd.odoo.com/web" TargetMode="External"/><Relationship Id="rId8" Type="http://schemas.openxmlformats.org/officeDocument/2006/relationships/hyperlink" Target="https://akshar-exim-company-pvt-ltd.odoo.com/web" TargetMode="External"/><Relationship Id="rId3037" Type="http://schemas.openxmlformats.org/officeDocument/2006/relationships/hyperlink" Target="https://akshar-exim-company-pvt-ltd.odoo.com/web" TargetMode="External"/><Relationship Id="rId4368" Type="http://schemas.openxmlformats.org/officeDocument/2006/relationships/hyperlink" Target="https://akshar-exim-company-pvt-ltd.odoo.com/web" TargetMode="External"/><Relationship Id="rId3029" Type="http://schemas.openxmlformats.org/officeDocument/2006/relationships/hyperlink" Target="https://akshar-exim-company-pvt-ltd.odoo.com/web" TargetMode="External"/><Relationship Id="rId3028" Type="http://schemas.openxmlformats.org/officeDocument/2006/relationships/hyperlink" Target="https://akshar-exim-company-pvt-ltd.odoo.com/web" TargetMode="External"/><Relationship Id="rId4359" Type="http://schemas.openxmlformats.org/officeDocument/2006/relationships/hyperlink" Target="https://akshar-exim-company-pvt-ltd.odoo.com/web" TargetMode="External"/><Relationship Id="rId4350" Type="http://schemas.openxmlformats.org/officeDocument/2006/relationships/hyperlink" Target="https://akshar-exim-company-pvt-ltd.odoo.com/web" TargetMode="External"/><Relationship Id="rId3021" Type="http://schemas.openxmlformats.org/officeDocument/2006/relationships/hyperlink" Target="https://akshar-exim-company-pvt-ltd.odoo.com/web" TargetMode="External"/><Relationship Id="rId4352" Type="http://schemas.openxmlformats.org/officeDocument/2006/relationships/hyperlink" Target="https://akshar-exim-company-pvt-ltd.odoo.com/web" TargetMode="External"/><Relationship Id="rId3020" Type="http://schemas.openxmlformats.org/officeDocument/2006/relationships/hyperlink" Target="https://akshar-exim-company-pvt-ltd.odoo.com/web" TargetMode="External"/><Relationship Id="rId4351" Type="http://schemas.openxmlformats.org/officeDocument/2006/relationships/hyperlink" Target="https://akshar-exim-company-pvt-ltd.odoo.com/web" TargetMode="External"/><Relationship Id="rId3023" Type="http://schemas.openxmlformats.org/officeDocument/2006/relationships/hyperlink" Target="https://akshar-exim-company-pvt-ltd.odoo.com/web" TargetMode="External"/><Relationship Id="rId4354" Type="http://schemas.openxmlformats.org/officeDocument/2006/relationships/hyperlink" Target="https://akshar-exim-company-pvt-ltd.odoo.com/web" TargetMode="External"/><Relationship Id="rId3022" Type="http://schemas.openxmlformats.org/officeDocument/2006/relationships/hyperlink" Target="https://akshar-exim-company-pvt-ltd.odoo.com/web" TargetMode="External"/><Relationship Id="rId4353" Type="http://schemas.openxmlformats.org/officeDocument/2006/relationships/hyperlink" Target="https://akshar-exim-company-pvt-ltd.odoo.com/web" TargetMode="External"/><Relationship Id="rId3025" Type="http://schemas.openxmlformats.org/officeDocument/2006/relationships/hyperlink" Target="https://akshar-exim-company-pvt-ltd.odoo.com/web" TargetMode="External"/><Relationship Id="rId4356" Type="http://schemas.openxmlformats.org/officeDocument/2006/relationships/hyperlink" Target="https://akshar-exim-company-pvt-ltd.odoo.com/web" TargetMode="External"/><Relationship Id="rId3024" Type="http://schemas.openxmlformats.org/officeDocument/2006/relationships/hyperlink" Target="https://akshar-exim-company-pvt-ltd.odoo.com/web" TargetMode="External"/><Relationship Id="rId4355" Type="http://schemas.openxmlformats.org/officeDocument/2006/relationships/hyperlink" Target="https://akshar-exim-company-pvt-ltd.odoo.com/web" TargetMode="External"/><Relationship Id="rId3027" Type="http://schemas.openxmlformats.org/officeDocument/2006/relationships/hyperlink" Target="https://akshar-exim-company-pvt-ltd.odoo.com/web" TargetMode="External"/><Relationship Id="rId4358" Type="http://schemas.openxmlformats.org/officeDocument/2006/relationships/hyperlink" Target="https://akshar-exim-company-pvt-ltd.odoo.com/web" TargetMode="External"/><Relationship Id="rId3026" Type="http://schemas.openxmlformats.org/officeDocument/2006/relationships/hyperlink" Target="https://akshar-exim-company-pvt-ltd.odoo.com/web" TargetMode="External"/><Relationship Id="rId4357" Type="http://schemas.openxmlformats.org/officeDocument/2006/relationships/hyperlink" Target="https://akshar-exim-company-pvt-ltd.odoo.com/web" TargetMode="External"/><Relationship Id="rId3050" Type="http://schemas.openxmlformats.org/officeDocument/2006/relationships/hyperlink" Target="https://akshar-exim-company-pvt-ltd.odoo.com/web" TargetMode="External"/><Relationship Id="rId4381" Type="http://schemas.openxmlformats.org/officeDocument/2006/relationships/hyperlink" Target="https://akshar-exim-company-pvt-ltd.odoo.com/web" TargetMode="External"/><Relationship Id="rId4380" Type="http://schemas.openxmlformats.org/officeDocument/2006/relationships/hyperlink" Target="https://akshar-exim-company-pvt-ltd.odoo.com/web" TargetMode="External"/><Relationship Id="rId3052" Type="http://schemas.openxmlformats.org/officeDocument/2006/relationships/hyperlink" Target="https://akshar-exim-company-pvt-ltd.odoo.com/web" TargetMode="External"/><Relationship Id="rId4383" Type="http://schemas.openxmlformats.org/officeDocument/2006/relationships/hyperlink" Target="https://akshar-exim-company-pvt-ltd.odoo.com/web" TargetMode="External"/><Relationship Id="rId3051" Type="http://schemas.openxmlformats.org/officeDocument/2006/relationships/hyperlink" Target="https://akshar-exim-company-pvt-ltd.odoo.com/web" TargetMode="External"/><Relationship Id="rId4382" Type="http://schemas.openxmlformats.org/officeDocument/2006/relationships/hyperlink" Target="https://akshar-exim-company-pvt-ltd.odoo.com/web" TargetMode="External"/><Relationship Id="rId3054" Type="http://schemas.openxmlformats.org/officeDocument/2006/relationships/hyperlink" Target="https://akshar-exim-company-pvt-ltd.odoo.com/web" TargetMode="External"/><Relationship Id="rId4385" Type="http://schemas.openxmlformats.org/officeDocument/2006/relationships/hyperlink" Target="https://akshar-exim-company-pvt-ltd.odoo.com/web" TargetMode="External"/><Relationship Id="rId3053" Type="http://schemas.openxmlformats.org/officeDocument/2006/relationships/hyperlink" Target="http://tarunmisra1234gmail.com/" TargetMode="External"/><Relationship Id="rId4384" Type="http://schemas.openxmlformats.org/officeDocument/2006/relationships/hyperlink" Target="https://akshar-exim-company-pvt-ltd.odoo.com/web" TargetMode="External"/><Relationship Id="rId3056" Type="http://schemas.openxmlformats.org/officeDocument/2006/relationships/hyperlink" Target="https://akshar-exim-company-pvt-ltd.odoo.com/web" TargetMode="External"/><Relationship Id="rId4387" Type="http://schemas.openxmlformats.org/officeDocument/2006/relationships/hyperlink" Target="https://akshar-exim-company-pvt-ltd.odoo.com/web" TargetMode="External"/><Relationship Id="rId3055" Type="http://schemas.openxmlformats.org/officeDocument/2006/relationships/hyperlink" Target="https://akshar-exim-company-pvt-ltd.odoo.com/web" TargetMode="External"/><Relationship Id="rId4386" Type="http://schemas.openxmlformats.org/officeDocument/2006/relationships/hyperlink" Target="https://akshar-exim-company-pvt-ltd.odoo.com/web" TargetMode="External"/><Relationship Id="rId3058" Type="http://schemas.openxmlformats.org/officeDocument/2006/relationships/hyperlink" Target="https://akshar-exim-company-pvt-ltd.odoo.com/web" TargetMode="External"/><Relationship Id="rId4389" Type="http://schemas.openxmlformats.org/officeDocument/2006/relationships/hyperlink" Target="https://akshar-exim-company-pvt-ltd.odoo.com/web" TargetMode="External"/><Relationship Id="rId3057" Type="http://schemas.openxmlformats.org/officeDocument/2006/relationships/hyperlink" Target="https://akshar-exim-company-pvt-ltd.odoo.com/web" TargetMode="External"/><Relationship Id="rId4388" Type="http://schemas.openxmlformats.org/officeDocument/2006/relationships/hyperlink" Target="https://akshar-exim-company-pvt-ltd.odoo.com/web" TargetMode="External"/><Relationship Id="rId3059" Type="http://schemas.openxmlformats.org/officeDocument/2006/relationships/hyperlink" Target="https://akshar-exim-company-pvt-ltd.odoo.com/web" TargetMode="External"/><Relationship Id="rId4370" Type="http://schemas.openxmlformats.org/officeDocument/2006/relationships/hyperlink" Target="https://akshar-exim-company-pvt-ltd.odoo.com/web" TargetMode="External"/><Relationship Id="rId3041" Type="http://schemas.openxmlformats.org/officeDocument/2006/relationships/hyperlink" Target="https://akshar-exim-company-pvt-ltd.odoo.com/web" TargetMode="External"/><Relationship Id="rId4372" Type="http://schemas.openxmlformats.org/officeDocument/2006/relationships/hyperlink" Target="https://akshar-exim-company-pvt-ltd.odoo.com/web" TargetMode="External"/><Relationship Id="rId3040" Type="http://schemas.openxmlformats.org/officeDocument/2006/relationships/hyperlink" Target="https://akshar-exim-company-pvt-ltd.odoo.com/web" TargetMode="External"/><Relationship Id="rId4371" Type="http://schemas.openxmlformats.org/officeDocument/2006/relationships/hyperlink" Target="https://akshar-exim-company-pvt-ltd.odoo.com/web" TargetMode="External"/><Relationship Id="rId3043" Type="http://schemas.openxmlformats.org/officeDocument/2006/relationships/hyperlink" Target="https://akshar-exim-company-pvt-ltd.odoo.com/web" TargetMode="External"/><Relationship Id="rId4374" Type="http://schemas.openxmlformats.org/officeDocument/2006/relationships/hyperlink" Target="https://akshar-exim-company-pvt-ltd.odoo.com/web" TargetMode="External"/><Relationship Id="rId3042" Type="http://schemas.openxmlformats.org/officeDocument/2006/relationships/hyperlink" Target="https://akshar-exim-company-pvt-ltd.odoo.com/web" TargetMode="External"/><Relationship Id="rId4373" Type="http://schemas.openxmlformats.org/officeDocument/2006/relationships/hyperlink" Target="https://akshar-exim-company-pvt-ltd.odoo.com/web" TargetMode="External"/><Relationship Id="rId3045" Type="http://schemas.openxmlformats.org/officeDocument/2006/relationships/hyperlink" Target="https://akshar-exim-company-pvt-ltd.odoo.com/web" TargetMode="External"/><Relationship Id="rId4376" Type="http://schemas.openxmlformats.org/officeDocument/2006/relationships/hyperlink" Target="https://akshar-exim-company-pvt-ltd.odoo.com/web" TargetMode="External"/><Relationship Id="rId3044" Type="http://schemas.openxmlformats.org/officeDocument/2006/relationships/hyperlink" Target="https://akshar-exim-company-pvt-ltd.odoo.com/web" TargetMode="External"/><Relationship Id="rId4375" Type="http://schemas.openxmlformats.org/officeDocument/2006/relationships/hyperlink" Target="https://akshar-exim-company-pvt-ltd.odoo.com/web" TargetMode="External"/><Relationship Id="rId3047" Type="http://schemas.openxmlformats.org/officeDocument/2006/relationships/hyperlink" Target="https://akshar-exim-company-pvt-ltd.odoo.com/web" TargetMode="External"/><Relationship Id="rId4378" Type="http://schemas.openxmlformats.org/officeDocument/2006/relationships/hyperlink" Target="https://akshar-exim-company-pvt-ltd.odoo.com/web" TargetMode="External"/><Relationship Id="rId3046" Type="http://schemas.openxmlformats.org/officeDocument/2006/relationships/hyperlink" Target="https://akshar-exim-company-pvt-ltd.odoo.com/web" TargetMode="External"/><Relationship Id="rId4377" Type="http://schemas.openxmlformats.org/officeDocument/2006/relationships/hyperlink" Target="https://akshar-exim-company-pvt-ltd.odoo.com/web" TargetMode="External"/><Relationship Id="rId3049" Type="http://schemas.openxmlformats.org/officeDocument/2006/relationships/hyperlink" Target="https://akshar-exim-company-pvt-ltd.odoo.com/web" TargetMode="External"/><Relationship Id="rId3048" Type="http://schemas.openxmlformats.org/officeDocument/2006/relationships/hyperlink" Target="https://akshar-exim-company-pvt-ltd.odoo.com/web" TargetMode="External"/><Relationship Id="rId4379" Type="http://schemas.openxmlformats.org/officeDocument/2006/relationships/hyperlink" Target="https://akshar-exim-company-pvt-ltd.odoo.com/web" TargetMode="External"/><Relationship Id="rId3911" Type="http://schemas.openxmlformats.org/officeDocument/2006/relationships/hyperlink" Target="mailto:rajasthanfertiliser@yahoo.in" TargetMode="External"/><Relationship Id="rId3910" Type="http://schemas.openxmlformats.org/officeDocument/2006/relationships/hyperlink" Target="https://akshar-exim-company-pvt-ltd.odoo.com/web" TargetMode="External"/><Relationship Id="rId3913" Type="http://schemas.openxmlformats.org/officeDocument/2006/relationships/hyperlink" Target="mailto:silverstones47@gmail.com" TargetMode="External"/><Relationship Id="rId3912" Type="http://schemas.openxmlformats.org/officeDocument/2006/relationships/hyperlink" Target="https://akshar-exim-company-pvt-ltd.odoo.com/web" TargetMode="External"/><Relationship Id="rId3915" Type="http://schemas.openxmlformats.org/officeDocument/2006/relationships/hyperlink" Target="https://akshar-exim-company-pvt-ltd.odoo.com/web" TargetMode="External"/><Relationship Id="rId3914" Type="http://schemas.openxmlformats.org/officeDocument/2006/relationships/hyperlink" Target="https://akshar-exim-company-pvt-ltd.odoo.com/web" TargetMode="External"/><Relationship Id="rId3917" Type="http://schemas.openxmlformats.org/officeDocument/2006/relationships/hyperlink" Target="https://akshar-exim-company-pvt-ltd.odoo.com/web" TargetMode="External"/><Relationship Id="rId3916" Type="http://schemas.openxmlformats.org/officeDocument/2006/relationships/hyperlink" Target="https://akshar-exim-company-pvt-ltd.odoo.com/web" TargetMode="External"/><Relationship Id="rId3919" Type="http://schemas.openxmlformats.org/officeDocument/2006/relationships/hyperlink" Target="https://akshar-exim-company-pvt-ltd.odoo.com/web" TargetMode="External"/><Relationship Id="rId3918" Type="http://schemas.openxmlformats.org/officeDocument/2006/relationships/hyperlink" Target="mailto:dilipshah@gmail.com" TargetMode="External"/><Relationship Id="rId3900" Type="http://schemas.openxmlformats.org/officeDocument/2006/relationships/hyperlink" Target="https://akshar-exim-company-pvt-ltd.odoo.com/web" TargetMode="External"/><Relationship Id="rId3902" Type="http://schemas.openxmlformats.org/officeDocument/2006/relationships/hyperlink" Target="https://akshar-exim-company-pvt-ltd.odoo.com/web" TargetMode="External"/><Relationship Id="rId3901" Type="http://schemas.openxmlformats.org/officeDocument/2006/relationships/hyperlink" Target="mailto:gv41146@gmail.com" TargetMode="External"/><Relationship Id="rId3904" Type="http://schemas.openxmlformats.org/officeDocument/2006/relationships/hyperlink" Target="https://akshar-exim-company-pvt-ltd.odoo.com/web" TargetMode="External"/><Relationship Id="rId3903" Type="http://schemas.openxmlformats.org/officeDocument/2006/relationships/hyperlink" Target="mailto:mjmetal2007@gmail.com" TargetMode="External"/><Relationship Id="rId3906" Type="http://schemas.openxmlformats.org/officeDocument/2006/relationships/hyperlink" Target="https://akshar-exim-company-pvt-ltd.odoo.com/web" TargetMode="External"/><Relationship Id="rId3905" Type="http://schemas.openxmlformats.org/officeDocument/2006/relationships/hyperlink" Target="mailto:oritanf@yahoo.com" TargetMode="External"/><Relationship Id="rId3908" Type="http://schemas.openxmlformats.org/officeDocument/2006/relationships/hyperlink" Target="https://akshar-exim-company-pvt-ltd.odoo.com/web" TargetMode="External"/><Relationship Id="rId3907" Type="http://schemas.openxmlformats.org/officeDocument/2006/relationships/hyperlink" Target="mailto:subrataa656@gmail.com" TargetMode="External"/><Relationship Id="rId3909" Type="http://schemas.openxmlformats.org/officeDocument/2006/relationships/hyperlink" Target="mailto:aurobindojena@yahoo.com" TargetMode="External"/><Relationship Id="rId3931" Type="http://schemas.openxmlformats.org/officeDocument/2006/relationships/hyperlink" Target="mailto:satkirtichemicals@gmail.com" TargetMode="External"/><Relationship Id="rId2600" Type="http://schemas.openxmlformats.org/officeDocument/2006/relationships/hyperlink" Target="https://akshar-exim-company-pvt-ltd.odoo.com/web" TargetMode="External"/><Relationship Id="rId3930" Type="http://schemas.openxmlformats.org/officeDocument/2006/relationships/hyperlink" Target="mailto:hausmakker@gmail.com" TargetMode="External"/><Relationship Id="rId2601" Type="http://schemas.openxmlformats.org/officeDocument/2006/relationships/hyperlink" Target="https://akshar-exim-company-pvt-ltd.odoo.com/web" TargetMode="External"/><Relationship Id="rId3933" Type="http://schemas.openxmlformats.org/officeDocument/2006/relationships/hyperlink" Target="mailto:sonurajr04@gmail.com" TargetMode="External"/><Relationship Id="rId2602" Type="http://schemas.openxmlformats.org/officeDocument/2006/relationships/hyperlink" Target="https://akshar-exim-company-pvt-ltd.odoo.com/web" TargetMode="External"/><Relationship Id="rId3932" Type="http://schemas.openxmlformats.org/officeDocument/2006/relationships/hyperlink" Target="https://akshar-exim-company-pvt-ltd.odoo.com/web" TargetMode="External"/><Relationship Id="rId2603" Type="http://schemas.openxmlformats.org/officeDocument/2006/relationships/hyperlink" Target="https://akshar-exim-company-pvt-ltd.odoo.com/web" TargetMode="External"/><Relationship Id="rId3935" Type="http://schemas.openxmlformats.org/officeDocument/2006/relationships/hyperlink" Target="mailto:sbcmncl@gmail.com" TargetMode="External"/><Relationship Id="rId2604" Type="http://schemas.openxmlformats.org/officeDocument/2006/relationships/hyperlink" Target="https://akshar-exim-company-pvt-ltd.odoo.com/web" TargetMode="External"/><Relationship Id="rId3934" Type="http://schemas.openxmlformats.org/officeDocument/2006/relationships/hyperlink" Target="https://akshar-exim-company-pvt-ltd.odoo.com/web" TargetMode="External"/><Relationship Id="rId2605" Type="http://schemas.openxmlformats.org/officeDocument/2006/relationships/hyperlink" Target="https://akshar-exim-company-pvt-ltd.odoo.com/web" TargetMode="External"/><Relationship Id="rId3937" Type="http://schemas.openxmlformats.org/officeDocument/2006/relationships/hyperlink" Target="mailto:ramjeetverma60@gmail.com" TargetMode="External"/><Relationship Id="rId2606" Type="http://schemas.openxmlformats.org/officeDocument/2006/relationships/hyperlink" Target="https://akshar-exim-company-pvt-ltd.odoo.com/web" TargetMode="External"/><Relationship Id="rId3936" Type="http://schemas.openxmlformats.org/officeDocument/2006/relationships/hyperlink" Target="https://akshar-exim-company-pvt-ltd.odoo.com/web" TargetMode="External"/><Relationship Id="rId808" Type="http://schemas.openxmlformats.org/officeDocument/2006/relationships/hyperlink" Target="https://akshar-exim-company-pvt-ltd.odoo.com/web" TargetMode="External"/><Relationship Id="rId2607" Type="http://schemas.openxmlformats.org/officeDocument/2006/relationships/hyperlink" Target="https://akshar-exim-company-pvt-ltd.odoo.com/web" TargetMode="External"/><Relationship Id="rId3939" Type="http://schemas.openxmlformats.org/officeDocument/2006/relationships/hyperlink" Target="mailto:malikabuzar221@gmail.com" TargetMode="External"/><Relationship Id="rId807" Type="http://schemas.openxmlformats.org/officeDocument/2006/relationships/hyperlink" Target="https://akshar-exim-company-pvt-ltd.odoo.com/web" TargetMode="External"/><Relationship Id="rId2608" Type="http://schemas.openxmlformats.org/officeDocument/2006/relationships/hyperlink" Target="https://akshar-exim-company-pvt-ltd.odoo.com/web" TargetMode="External"/><Relationship Id="rId3938" Type="http://schemas.openxmlformats.org/officeDocument/2006/relationships/hyperlink" Target="https://akshar-exim-company-pvt-ltd.odoo.com/web" TargetMode="External"/><Relationship Id="rId806" Type="http://schemas.openxmlformats.org/officeDocument/2006/relationships/hyperlink" Target="https://akshar-exim-company-pvt-ltd.odoo.com/web" TargetMode="External"/><Relationship Id="rId2609" Type="http://schemas.openxmlformats.org/officeDocument/2006/relationships/hyperlink" Target="https://akshar-exim-company-pvt-ltd.odoo.com/web" TargetMode="External"/><Relationship Id="rId805" Type="http://schemas.openxmlformats.org/officeDocument/2006/relationships/hyperlink" Target="https://akshar-exim-company-pvt-ltd.odoo.com/web" TargetMode="External"/><Relationship Id="rId809" Type="http://schemas.openxmlformats.org/officeDocument/2006/relationships/hyperlink" Target="mailto:susovanmaity200@gmail.com" TargetMode="External"/><Relationship Id="rId800" Type="http://schemas.openxmlformats.org/officeDocument/2006/relationships/hyperlink" Target="mailto:shyamal.dey.co13@gmail.com" TargetMode="External"/><Relationship Id="rId804" Type="http://schemas.openxmlformats.org/officeDocument/2006/relationships/hyperlink" Target="https://akshar-exim-company-pvt-ltd.odoo.com/web" TargetMode="External"/><Relationship Id="rId803" Type="http://schemas.openxmlformats.org/officeDocument/2006/relationships/hyperlink" Target="https://akshar-exim-company-pvt-ltd.odoo.com/web" TargetMode="External"/><Relationship Id="rId802" Type="http://schemas.openxmlformats.org/officeDocument/2006/relationships/hyperlink" Target="https://akshar-exim-company-pvt-ltd.odoo.com/web" TargetMode="External"/><Relationship Id="rId801" Type="http://schemas.openxmlformats.org/officeDocument/2006/relationships/hyperlink" Target="https://akshar-exim-company-pvt-ltd.odoo.com/web" TargetMode="External"/><Relationship Id="rId3920" Type="http://schemas.openxmlformats.org/officeDocument/2006/relationships/hyperlink" Target="mailto:debsandhyaindustries@gmail.com" TargetMode="External"/><Relationship Id="rId3922" Type="http://schemas.openxmlformats.org/officeDocument/2006/relationships/hyperlink" Target="mailto:zenlubs@gmail.com" TargetMode="External"/><Relationship Id="rId3921" Type="http://schemas.openxmlformats.org/officeDocument/2006/relationships/hyperlink" Target="https://akshar-exim-company-pvt-ltd.odoo.com/web" TargetMode="External"/><Relationship Id="rId3924" Type="http://schemas.openxmlformats.org/officeDocument/2006/relationships/hyperlink" Target="mailto:lsahu6427@gmail.com" TargetMode="External"/><Relationship Id="rId3923" Type="http://schemas.openxmlformats.org/officeDocument/2006/relationships/hyperlink" Target="https://akshar-exim-company-pvt-ltd.odoo.com/web" TargetMode="External"/><Relationship Id="rId3926" Type="http://schemas.openxmlformats.org/officeDocument/2006/relationships/hyperlink" Target="mailto:vijayanup1968@gmail.com" TargetMode="External"/><Relationship Id="rId3925" Type="http://schemas.openxmlformats.org/officeDocument/2006/relationships/hyperlink" Target="https://akshar-exim-company-pvt-ltd.odoo.com/web" TargetMode="External"/><Relationship Id="rId3928" Type="http://schemas.openxmlformats.org/officeDocument/2006/relationships/hyperlink" Target="mailto:thacker.madhusudan@gmail.com" TargetMode="External"/><Relationship Id="rId3927" Type="http://schemas.openxmlformats.org/officeDocument/2006/relationships/hyperlink" Target="https://akshar-exim-company-pvt-ltd.odoo.com/web" TargetMode="External"/><Relationship Id="rId3929" Type="http://schemas.openxmlformats.org/officeDocument/2006/relationships/hyperlink" Target="https://akshar-exim-company-pvt-ltd.odoo.com/web" TargetMode="External"/><Relationship Id="rId1334" Type="http://schemas.openxmlformats.org/officeDocument/2006/relationships/hyperlink" Target="https://akshar-exim-company-pvt-ltd.odoo.com/web" TargetMode="External"/><Relationship Id="rId2665" Type="http://schemas.openxmlformats.org/officeDocument/2006/relationships/hyperlink" Target="https://akshar-exim-company-pvt-ltd.odoo.com/web" TargetMode="External"/><Relationship Id="rId3997" Type="http://schemas.openxmlformats.org/officeDocument/2006/relationships/hyperlink" Target="https://akshar-exim-company-pvt-ltd.odoo.com/web" TargetMode="External"/><Relationship Id="rId1335" Type="http://schemas.openxmlformats.org/officeDocument/2006/relationships/hyperlink" Target="mailto:kkgoenka74@gmail.com" TargetMode="External"/><Relationship Id="rId2666" Type="http://schemas.openxmlformats.org/officeDocument/2006/relationships/hyperlink" Target="https://akshar-exim-company-pvt-ltd.odoo.com/web" TargetMode="External"/><Relationship Id="rId3996" Type="http://schemas.openxmlformats.org/officeDocument/2006/relationships/hyperlink" Target="mailto:msomnath20391@gmail.com" TargetMode="External"/><Relationship Id="rId1336" Type="http://schemas.openxmlformats.org/officeDocument/2006/relationships/hyperlink" Target="https://akshar-exim-company-pvt-ltd.odoo.com/web" TargetMode="External"/><Relationship Id="rId2667" Type="http://schemas.openxmlformats.org/officeDocument/2006/relationships/hyperlink" Target="https://akshar-exim-company-pvt-ltd.odoo.com/web" TargetMode="External"/><Relationship Id="rId3999" Type="http://schemas.openxmlformats.org/officeDocument/2006/relationships/hyperlink" Target="https://akshar-exim-company-pvt-ltd.odoo.com/web" TargetMode="External"/><Relationship Id="rId1337" Type="http://schemas.openxmlformats.org/officeDocument/2006/relationships/hyperlink" Target="https://akshar-exim-company-pvt-ltd.odoo.com/web" TargetMode="External"/><Relationship Id="rId2668" Type="http://schemas.openxmlformats.org/officeDocument/2006/relationships/hyperlink" Target="https://akshar-exim-company-pvt-ltd.odoo.com/web" TargetMode="External"/><Relationship Id="rId3998" Type="http://schemas.openxmlformats.org/officeDocument/2006/relationships/hyperlink" Target="mailto:vinhar@gmail.com" TargetMode="External"/><Relationship Id="rId1338" Type="http://schemas.openxmlformats.org/officeDocument/2006/relationships/hyperlink" Target="mailto:vimalmegamart27159@gmail.com" TargetMode="External"/><Relationship Id="rId2669" Type="http://schemas.openxmlformats.org/officeDocument/2006/relationships/hyperlink" Target="https://akshar-exim-company-pvt-ltd.odoo.com/web" TargetMode="External"/><Relationship Id="rId1339" Type="http://schemas.openxmlformats.org/officeDocument/2006/relationships/hyperlink" Target="https://akshar-exim-company-pvt-ltd.odoo.com/web" TargetMode="External"/><Relationship Id="rId745" Type="http://schemas.openxmlformats.org/officeDocument/2006/relationships/hyperlink" Target="mailto:cdas5757@gmail.com" TargetMode="External"/><Relationship Id="rId744" Type="http://schemas.openxmlformats.org/officeDocument/2006/relationships/hyperlink" Target="https://akshar-exim-company-pvt-ltd.odoo.com/web" TargetMode="External"/><Relationship Id="rId743" Type="http://schemas.openxmlformats.org/officeDocument/2006/relationships/hyperlink" Target="mailto:avijetd@gmail.com" TargetMode="External"/><Relationship Id="rId742" Type="http://schemas.openxmlformats.org/officeDocument/2006/relationships/hyperlink" Target="https://akshar-exim-company-pvt-ltd.odoo.com/web" TargetMode="External"/><Relationship Id="rId749" Type="http://schemas.openxmlformats.org/officeDocument/2006/relationships/hyperlink" Target="https://akshar-exim-company-pvt-ltd.odoo.com/web" TargetMode="External"/><Relationship Id="rId748" Type="http://schemas.openxmlformats.org/officeDocument/2006/relationships/hyperlink" Target="mailto:khan0001536@gmail.com" TargetMode="External"/><Relationship Id="rId747" Type="http://schemas.openxmlformats.org/officeDocument/2006/relationships/hyperlink" Target="https://akshar-exim-company-pvt-ltd.odoo.com/web" TargetMode="External"/><Relationship Id="rId746" Type="http://schemas.openxmlformats.org/officeDocument/2006/relationships/hyperlink" Target="https://akshar-exim-company-pvt-ltd.odoo.com/web" TargetMode="External"/><Relationship Id="rId3991" Type="http://schemas.openxmlformats.org/officeDocument/2006/relationships/hyperlink" Target="https://akshar-exim-company-pvt-ltd.odoo.com/web" TargetMode="External"/><Relationship Id="rId2660" Type="http://schemas.openxmlformats.org/officeDocument/2006/relationships/hyperlink" Target="https://akshar-exim-company-pvt-ltd.odoo.com/web" TargetMode="External"/><Relationship Id="rId3990" Type="http://schemas.openxmlformats.org/officeDocument/2006/relationships/hyperlink" Target="mailto:rajadas0086@gmail.com" TargetMode="External"/><Relationship Id="rId741" Type="http://schemas.openxmlformats.org/officeDocument/2006/relationships/hyperlink" Target="https://akshar-exim-company-pvt-ltd.odoo.com/web" TargetMode="External"/><Relationship Id="rId1330" Type="http://schemas.openxmlformats.org/officeDocument/2006/relationships/hyperlink" Target="mailto:sampah2h@gmail.com" TargetMode="External"/><Relationship Id="rId2661" Type="http://schemas.openxmlformats.org/officeDocument/2006/relationships/hyperlink" Target="https://akshar-exim-company-pvt-ltd.odoo.com/web" TargetMode="External"/><Relationship Id="rId3993" Type="http://schemas.openxmlformats.org/officeDocument/2006/relationships/hyperlink" Target="https://akshar-exim-company-pvt-ltd.odoo.com/web" TargetMode="External"/><Relationship Id="rId740" Type="http://schemas.openxmlformats.org/officeDocument/2006/relationships/hyperlink" Target="https://akshar-exim-company-pvt-ltd.odoo.com/web" TargetMode="External"/><Relationship Id="rId1331" Type="http://schemas.openxmlformats.org/officeDocument/2006/relationships/hyperlink" Target="https://akshar-exim-company-pvt-ltd.odoo.com/web" TargetMode="External"/><Relationship Id="rId2662" Type="http://schemas.openxmlformats.org/officeDocument/2006/relationships/hyperlink" Target="https://akshar-exim-company-pvt-ltd.odoo.com/web" TargetMode="External"/><Relationship Id="rId3992" Type="http://schemas.openxmlformats.org/officeDocument/2006/relationships/hyperlink" Target="mailto:arshadwarshi011@gmail.com" TargetMode="External"/><Relationship Id="rId1332" Type="http://schemas.openxmlformats.org/officeDocument/2006/relationships/hyperlink" Target="mailto:sharma.subodh07101992@gmail.com" TargetMode="External"/><Relationship Id="rId2663" Type="http://schemas.openxmlformats.org/officeDocument/2006/relationships/hyperlink" Target="https://akshar-exim-company-pvt-ltd.odoo.com/web" TargetMode="External"/><Relationship Id="rId3995" Type="http://schemas.openxmlformats.org/officeDocument/2006/relationships/hyperlink" Target="https://akshar-exim-company-pvt-ltd.odoo.com/web" TargetMode="External"/><Relationship Id="rId1333" Type="http://schemas.openxmlformats.org/officeDocument/2006/relationships/hyperlink" Target="https://akshar-exim-company-pvt-ltd.odoo.com/web" TargetMode="External"/><Relationship Id="rId2664" Type="http://schemas.openxmlformats.org/officeDocument/2006/relationships/hyperlink" Target="https://akshar-exim-company-pvt-ltd.odoo.com/web" TargetMode="External"/><Relationship Id="rId3994" Type="http://schemas.openxmlformats.org/officeDocument/2006/relationships/hyperlink" Target="mailto:harshbotadra104@gmail.com" TargetMode="External"/><Relationship Id="rId1323" Type="http://schemas.openxmlformats.org/officeDocument/2006/relationships/hyperlink" Target="mailto:kauserimam679@gmail.com" TargetMode="External"/><Relationship Id="rId2654" Type="http://schemas.openxmlformats.org/officeDocument/2006/relationships/hyperlink" Target="mailto:amakanpurchase@gmail.com" TargetMode="External"/><Relationship Id="rId3986" Type="http://schemas.openxmlformats.org/officeDocument/2006/relationships/hyperlink" Target="mailto:prashant3s@yahoo.com" TargetMode="External"/><Relationship Id="rId1324" Type="http://schemas.openxmlformats.org/officeDocument/2006/relationships/hyperlink" Target="https://akshar-exim-company-pvt-ltd.odoo.com/web" TargetMode="External"/><Relationship Id="rId2655" Type="http://schemas.openxmlformats.org/officeDocument/2006/relationships/hyperlink" Target="https://akshar-exim-company-pvt-ltd.odoo.com/web" TargetMode="External"/><Relationship Id="rId3985" Type="http://schemas.openxmlformats.org/officeDocument/2006/relationships/hyperlink" Target="https://akshar-exim-company-pvt-ltd.odoo.com/web" TargetMode="External"/><Relationship Id="rId1325" Type="http://schemas.openxmlformats.org/officeDocument/2006/relationships/hyperlink" Target="mailto:mollojahir56@gmail.com" TargetMode="External"/><Relationship Id="rId2656" Type="http://schemas.openxmlformats.org/officeDocument/2006/relationships/hyperlink" Target="https://akshar-exim-company-pvt-ltd.odoo.com/web" TargetMode="External"/><Relationship Id="rId3988" Type="http://schemas.openxmlformats.org/officeDocument/2006/relationships/hyperlink" Target="https://akshar-exim-company-pvt-ltd.odoo.com/web" TargetMode="External"/><Relationship Id="rId1326" Type="http://schemas.openxmlformats.org/officeDocument/2006/relationships/hyperlink" Target="https://akshar-exim-company-pvt-ltd.odoo.com/web" TargetMode="External"/><Relationship Id="rId2657" Type="http://schemas.openxmlformats.org/officeDocument/2006/relationships/hyperlink" Target="https://akshar-exim-company-pvt-ltd.odoo.com/web" TargetMode="External"/><Relationship Id="rId3987" Type="http://schemas.openxmlformats.org/officeDocument/2006/relationships/hyperlink" Target="https://akshar-exim-company-pvt-ltd.odoo.com/web" TargetMode="External"/><Relationship Id="rId1327" Type="http://schemas.openxmlformats.org/officeDocument/2006/relationships/hyperlink" Target="mailto:mhcommotrade@gmail.com" TargetMode="External"/><Relationship Id="rId2658" Type="http://schemas.openxmlformats.org/officeDocument/2006/relationships/hyperlink" Target="https://akshar-exim-company-pvt-ltd.odoo.com/web" TargetMode="External"/><Relationship Id="rId1328" Type="http://schemas.openxmlformats.org/officeDocument/2006/relationships/hyperlink" Target="https://akshar-exim-company-pvt-ltd.odoo.com/web" TargetMode="External"/><Relationship Id="rId2659" Type="http://schemas.openxmlformats.org/officeDocument/2006/relationships/hyperlink" Target="mailto:asamitkumar01@gmail.com" TargetMode="External"/><Relationship Id="rId3989" Type="http://schemas.openxmlformats.org/officeDocument/2006/relationships/hyperlink" Target="https://akshar-exim-company-pvt-ltd.odoo.com/web" TargetMode="External"/><Relationship Id="rId1329" Type="http://schemas.openxmlformats.org/officeDocument/2006/relationships/hyperlink" Target="https://akshar-exim-company-pvt-ltd.odoo.com/web" TargetMode="External"/><Relationship Id="rId739" Type="http://schemas.openxmlformats.org/officeDocument/2006/relationships/hyperlink" Target="mailto:vinodakcb@gmail.com" TargetMode="External"/><Relationship Id="rId734" Type="http://schemas.openxmlformats.org/officeDocument/2006/relationships/hyperlink" Target="https://akshar-exim-company-pvt-ltd.odoo.com/web" TargetMode="External"/><Relationship Id="rId733" Type="http://schemas.openxmlformats.org/officeDocument/2006/relationships/hyperlink" Target="mailto:gayatri.enterprises@ymail.com" TargetMode="External"/><Relationship Id="rId732" Type="http://schemas.openxmlformats.org/officeDocument/2006/relationships/hyperlink" Target="mailto:sagarahuja478@gmail.com" TargetMode="External"/><Relationship Id="rId731" Type="http://schemas.openxmlformats.org/officeDocument/2006/relationships/hyperlink" Target="https://akshar-exim-company-pvt-ltd.odoo.com/web" TargetMode="External"/><Relationship Id="rId738" Type="http://schemas.openxmlformats.org/officeDocument/2006/relationships/hyperlink" Target="https://akshar-exim-company-pvt-ltd.odoo.com/web" TargetMode="External"/><Relationship Id="rId737" Type="http://schemas.openxmlformats.org/officeDocument/2006/relationships/hyperlink" Target="mailto:anjalibarik99@gmail.com" TargetMode="External"/><Relationship Id="rId736" Type="http://schemas.openxmlformats.org/officeDocument/2006/relationships/hyperlink" Target="https://akshar-exim-company-pvt-ltd.odoo.com/web" TargetMode="External"/><Relationship Id="rId735" Type="http://schemas.openxmlformats.org/officeDocument/2006/relationships/hyperlink" Target="mailto:anitprasad4567@gmail.com" TargetMode="External"/><Relationship Id="rId3980" Type="http://schemas.openxmlformats.org/officeDocument/2006/relationships/hyperlink" Target="https://akshar-exim-company-pvt-ltd.odoo.com/web" TargetMode="External"/><Relationship Id="rId730" Type="http://schemas.openxmlformats.org/officeDocument/2006/relationships/hyperlink" Target="https://akshar-exim-company-pvt-ltd.odoo.com/web" TargetMode="External"/><Relationship Id="rId2650" Type="http://schemas.openxmlformats.org/officeDocument/2006/relationships/hyperlink" Target="https://akshar-exim-company-pvt-ltd.odoo.com/web" TargetMode="External"/><Relationship Id="rId3982" Type="http://schemas.openxmlformats.org/officeDocument/2006/relationships/hyperlink" Target="mailto:sanjaymethakur@gmail.com" TargetMode="External"/><Relationship Id="rId1320" Type="http://schemas.openxmlformats.org/officeDocument/2006/relationships/hyperlink" Target="https://akshar-exim-company-pvt-ltd.odoo.com/web" TargetMode="External"/><Relationship Id="rId2651" Type="http://schemas.openxmlformats.org/officeDocument/2006/relationships/hyperlink" Target="https://akshar-exim-company-pvt-ltd.odoo.com/web" TargetMode="External"/><Relationship Id="rId3981" Type="http://schemas.openxmlformats.org/officeDocument/2006/relationships/hyperlink" Target="https://akshar-exim-company-pvt-ltd.odoo.com/web" TargetMode="External"/><Relationship Id="rId1321" Type="http://schemas.openxmlformats.org/officeDocument/2006/relationships/hyperlink" Target="mailto:info@agro-chemicals.com" TargetMode="External"/><Relationship Id="rId2652" Type="http://schemas.openxmlformats.org/officeDocument/2006/relationships/hyperlink" Target="https://akshar-exim-company-pvt-ltd.odoo.com/web" TargetMode="External"/><Relationship Id="rId3984" Type="http://schemas.openxmlformats.org/officeDocument/2006/relationships/hyperlink" Target="mailto:trisha1esha2@gmail.com" TargetMode="External"/><Relationship Id="rId1322" Type="http://schemas.openxmlformats.org/officeDocument/2006/relationships/hyperlink" Target="https://akshar-exim-company-pvt-ltd.odoo.com/web" TargetMode="External"/><Relationship Id="rId2653" Type="http://schemas.openxmlformats.org/officeDocument/2006/relationships/hyperlink" Target="https://akshar-exim-company-pvt-ltd.odoo.com/web" TargetMode="External"/><Relationship Id="rId3983" Type="http://schemas.openxmlformats.org/officeDocument/2006/relationships/hyperlink" Target="https://akshar-exim-company-pvt-ltd.odoo.com/web" TargetMode="External"/><Relationship Id="rId1356" Type="http://schemas.openxmlformats.org/officeDocument/2006/relationships/hyperlink" Target="mailto:rakesh_dew910@yahoo.com" TargetMode="External"/><Relationship Id="rId2687" Type="http://schemas.openxmlformats.org/officeDocument/2006/relationships/hyperlink" Target="https://akshar-exim-company-pvt-ltd.odoo.com/web" TargetMode="External"/><Relationship Id="rId1357" Type="http://schemas.openxmlformats.org/officeDocument/2006/relationships/hyperlink" Target="https://akshar-exim-company-pvt-ltd.odoo.com/web" TargetMode="External"/><Relationship Id="rId2688" Type="http://schemas.openxmlformats.org/officeDocument/2006/relationships/hyperlink" Target="https://akshar-exim-company-pvt-ltd.odoo.com/web" TargetMode="External"/><Relationship Id="rId1358" Type="http://schemas.openxmlformats.org/officeDocument/2006/relationships/hyperlink" Target="mailto:shyamalpaul670@gmail.com" TargetMode="External"/><Relationship Id="rId2689" Type="http://schemas.openxmlformats.org/officeDocument/2006/relationships/hyperlink" Target="https://akshar-exim-company-pvt-ltd.odoo.com/web" TargetMode="External"/><Relationship Id="rId1359" Type="http://schemas.openxmlformats.org/officeDocument/2006/relationships/hyperlink" Target="https://akshar-exim-company-pvt-ltd.odoo.com/web" TargetMode="External"/><Relationship Id="rId767" Type="http://schemas.openxmlformats.org/officeDocument/2006/relationships/hyperlink" Target="https://akshar-exim-company-pvt-ltd.odoo.com/web" TargetMode="External"/><Relationship Id="rId766" Type="http://schemas.openxmlformats.org/officeDocument/2006/relationships/hyperlink" Target="mailto:jamshedalam2631@gmail.com" TargetMode="External"/><Relationship Id="rId765" Type="http://schemas.openxmlformats.org/officeDocument/2006/relationships/hyperlink" Target="https://akshar-exim-company-pvt-ltd.odoo.com/web" TargetMode="External"/><Relationship Id="rId764" Type="http://schemas.openxmlformats.org/officeDocument/2006/relationships/hyperlink" Target="https://akshar-exim-company-pvt-ltd.odoo.com/web" TargetMode="External"/><Relationship Id="rId769" Type="http://schemas.openxmlformats.org/officeDocument/2006/relationships/hyperlink" Target="https://akshar-exim-company-pvt-ltd.odoo.com/web" TargetMode="External"/><Relationship Id="rId768" Type="http://schemas.openxmlformats.org/officeDocument/2006/relationships/hyperlink" Target="mailto:royalsalesservices@gmail.com" TargetMode="External"/><Relationship Id="rId2680" Type="http://schemas.openxmlformats.org/officeDocument/2006/relationships/hyperlink" Target="https://akshar-exim-company-pvt-ltd.odoo.com/web" TargetMode="External"/><Relationship Id="rId1350" Type="http://schemas.openxmlformats.org/officeDocument/2006/relationships/hyperlink" Target="https://akshar-exim-company-pvt-ltd.odoo.com/web" TargetMode="External"/><Relationship Id="rId2681" Type="http://schemas.openxmlformats.org/officeDocument/2006/relationships/hyperlink" Target="https://akshar-exim-company-pvt-ltd.odoo.com/web" TargetMode="External"/><Relationship Id="rId1351" Type="http://schemas.openxmlformats.org/officeDocument/2006/relationships/hyperlink" Target="https://akshar-exim-company-pvt-ltd.odoo.com/web" TargetMode="External"/><Relationship Id="rId2682" Type="http://schemas.openxmlformats.org/officeDocument/2006/relationships/hyperlink" Target="https://akshar-exim-company-pvt-ltd.odoo.com/web" TargetMode="External"/><Relationship Id="rId763" Type="http://schemas.openxmlformats.org/officeDocument/2006/relationships/hyperlink" Target="https://akshar-exim-company-pvt-ltd.odoo.com/web" TargetMode="External"/><Relationship Id="rId1352" Type="http://schemas.openxmlformats.org/officeDocument/2006/relationships/hyperlink" Target="mailto:anowaralam6857@gmail.com" TargetMode="External"/><Relationship Id="rId2683" Type="http://schemas.openxmlformats.org/officeDocument/2006/relationships/hyperlink" Target="https://akshar-exim-company-pvt-ltd.odoo.com/web" TargetMode="External"/><Relationship Id="rId762" Type="http://schemas.openxmlformats.org/officeDocument/2006/relationships/hyperlink" Target="mailto:namanjain@elkospens.com" TargetMode="External"/><Relationship Id="rId1353" Type="http://schemas.openxmlformats.org/officeDocument/2006/relationships/hyperlink" Target="https://akshar-exim-company-pvt-ltd.odoo.com/web" TargetMode="External"/><Relationship Id="rId2684" Type="http://schemas.openxmlformats.org/officeDocument/2006/relationships/hyperlink" Target="https://akshar-exim-company-pvt-ltd.odoo.com/web" TargetMode="External"/><Relationship Id="rId761" Type="http://schemas.openxmlformats.org/officeDocument/2006/relationships/hyperlink" Target="https://akshar-exim-company-pvt-ltd.odoo.com/web" TargetMode="External"/><Relationship Id="rId1354" Type="http://schemas.openxmlformats.org/officeDocument/2006/relationships/hyperlink" Target="mailto:bikrom.iitg@gmail.com" TargetMode="External"/><Relationship Id="rId2685" Type="http://schemas.openxmlformats.org/officeDocument/2006/relationships/hyperlink" Target="https://akshar-exim-company-pvt-ltd.odoo.com/web" TargetMode="External"/><Relationship Id="rId760" Type="http://schemas.openxmlformats.org/officeDocument/2006/relationships/hyperlink" Target="mailto:aj.advtg@gmail.com" TargetMode="External"/><Relationship Id="rId1355" Type="http://schemas.openxmlformats.org/officeDocument/2006/relationships/hyperlink" Target="https://akshar-exim-company-pvt-ltd.odoo.com/web" TargetMode="External"/><Relationship Id="rId2686" Type="http://schemas.openxmlformats.org/officeDocument/2006/relationships/hyperlink" Target="https://akshar-exim-company-pvt-ltd.odoo.com/web" TargetMode="External"/><Relationship Id="rId1345" Type="http://schemas.openxmlformats.org/officeDocument/2006/relationships/hyperlink" Target="https://akshar-exim-company-pvt-ltd.odoo.com/web" TargetMode="External"/><Relationship Id="rId2676" Type="http://schemas.openxmlformats.org/officeDocument/2006/relationships/hyperlink" Target="https://akshar-exim-company-pvt-ltd.odoo.com/web" TargetMode="External"/><Relationship Id="rId1346" Type="http://schemas.openxmlformats.org/officeDocument/2006/relationships/hyperlink" Target="mailto:babutarakesh08@rediffmail.com" TargetMode="External"/><Relationship Id="rId2677" Type="http://schemas.openxmlformats.org/officeDocument/2006/relationships/hyperlink" Target="https://akshar-exim-company-pvt-ltd.odoo.com/web" TargetMode="External"/><Relationship Id="rId1347" Type="http://schemas.openxmlformats.org/officeDocument/2006/relationships/hyperlink" Target="https://akshar-exim-company-pvt-ltd.odoo.com/web" TargetMode="External"/><Relationship Id="rId2678" Type="http://schemas.openxmlformats.org/officeDocument/2006/relationships/hyperlink" Target="https://akshar-exim-company-pvt-ltd.odoo.com/web" TargetMode="External"/><Relationship Id="rId1348" Type="http://schemas.openxmlformats.org/officeDocument/2006/relationships/hyperlink" Target="mailto:naturesafecropscience@gmail.com" TargetMode="External"/><Relationship Id="rId2679" Type="http://schemas.openxmlformats.org/officeDocument/2006/relationships/hyperlink" Target="https://akshar-exim-company-pvt-ltd.odoo.com/web" TargetMode="External"/><Relationship Id="rId1349" Type="http://schemas.openxmlformats.org/officeDocument/2006/relationships/hyperlink" Target="https://akshar-exim-company-pvt-ltd.odoo.com/web" TargetMode="External"/><Relationship Id="rId756" Type="http://schemas.openxmlformats.org/officeDocument/2006/relationships/hyperlink" Target="https://akshar-exim-company-pvt-ltd.odoo.com/web" TargetMode="External"/><Relationship Id="rId755" Type="http://schemas.openxmlformats.org/officeDocument/2006/relationships/hyperlink" Target="mailto:hardeepwadhawan1896@gmail.com" TargetMode="External"/><Relationship Id="rId754" Type="http://schemas.openxmlformats.org/officeDocument/2006/relationships/hyperlink" Target="https://akshar-exim-company-pvt-ltd.odoo.com/web" TargetMode="External"/><Relationship Id="rId753" Type="http://schemas.openxmlformats.org/officeDocument/2006/relationships/hyperlink" Target="mailto:altafkhan1202@gmail.com" TargetMode="External"/><Relationship Id="rId759" Type="http://schemas.openxmlformats.org/officeDocument/2006/relationships/hyperlink" Target="https://akshar-exim-company-pvt-ltd.odoo.com/web" TargetMode="External"/><Relationship Id="rId758" Type="http://schemas.openxmlformats.org/officeDocument/2006/relationships/hyperlink" Target="https://akshar-exim-company-pvt-ltd.odoo.com/web" TargetMode="External"/><Relationship Id="rId757" Type="http://schemas.openxmlformats.org/officeDocument/2006/relationships/hyperlink" Target="mailto:vikrant.dvc@gmail.com" TargetMode="External"/><Relationship Id="rId2670" Type="http://schemas.openxmlformats.org/officeDocument/2006/relationships/hyperlink" Target="https://akshar-exim-company-pvt-ltd.odoo.com/web" TargetMode="External"/><Relationship Id="rId1340" Type="http://schemas.openxmlformats.org/officeDocument/2006/relationships/hyperlink" Target="mailto:rijudalapati@gmail.com" TargetMode="External"/><Relationship Id="rId2671" Type="http://schemas.openxmlformats.org/officeDocument/2006/relationships/hyperlink" Target="https://akshar-exim-company-pvt-ltd.odoo.com/web" TargetMode="External"/><Relationship Id="rId752" Type="http://schemas.openxmlformats.org/officeDocument/2006/relationships/hyperlink" Target="https://akshar-exim-company-pvt-ltd.odoo.com/web" TargetMode="External"/><Relationship Id="rId1341" Type="http://schemas.openxmlformats.org/officeDocument/2006/relationships/hyperlink" Target="https://akshar-exim-company-pvt-ltd.odoo.com/web" TargetMode="External"/><Relationship Id="rId2672" Type="http://schemas.openxmlformats.org/officeDocument/2006/relationships/hyperlink" Target="https://akshar-exim-company-pvt-ltd.odoo.com/web" TargetMode="External"/><Relationship Id="rId751" Type="http://schemas.openxmlformats.org/officeDocument/2006/relationships/hyperlink" Target="https://akshar-exim-company-pvt-ltd.odoo.com/web" TargetMode="External"/><Relationship Id="rId1342" Type="http://schemas.openxmlformats.org/officeDocument/2006/relationships/hyperlink" Target="mailto:banner_anr@yahoo.co.in" TargetMode="External"/><Relationship Id="rId2673" Type="http://schemas.openxmlformats.org/officeDocument/2006/relationships/hyperlink" Target="https://akshar-exim-company-pvt-ltd.odoo.com/web" TargetMode="External"/><Relationship Id="rId750" Type="http://schemas.openxmlformats.org/officeDocument/2006/relationships/hyperlink" Target="mailto:avijitdutta894@gmail.com" TargetMode="External"/><Relationship Id="rId1343" Type="http://schemas.openxmlformats.org/officeDocument/2006/relationships/hyperlink" Target="https://akshar-exim-company-pvt-ltd.odoo.com/web" TargetMode="External"/><Relationship Id="rId2674" Type="http://schemas.openxmlformats.org/officeDocument/2006/relationships/hyperlink" Target="https://akshar-exim-company-pvt-ltd.odoo.com/web" TargetMode="External"/><Relationship Id="rId1344" Type="http://schemas.openxmlformats.org/officeDocument/2006/relationships/hyperlink" Target="mailto:realience.1982@gmail.com" TargetMode="External"/><Relationship Id="rId2675" Type="http://schemas.openxmlformats.org/officeDocument/2006/relationships/hyperlink" Target="https://akshar-exim-company-pvt-ltd.odoo.com/web" TargetMode="External"/><Relationship Id="rId2621" Type="http://schemas.openxmlformats.org/officeDocument/2006/relationships/hyperlink" Target="https://akshar-exim-company-pvt-ltd.odoo.com/web" TargetMode="External"/><Relationship Id="rId3953" Type="http://schemas.openxmlformats.org/officeDocument/2006/relationships/hyperlink" Target="https://akshar-exim-company-pvt-ltd.odoo.com/web" TargetMode="External"/><Relationship Id="rId2622" Type="http://schemas.openxmlformats.org/officeDocument/2006/relationships/hyperlink" Target="https://akshar-exim-company-pvt-ltd.odoo.com/web" TargetMode="External"/><Relationship Id="rId3952" Type="http://schemas.openxmlformats.org/officeDocument/2006/relationships/hyperlink" Target="mailto:payalmehta853@gmail.com" TargetMode="External"/><Relationship Id="rId2623" Type="http://schemas.openxmlformats.org/officeDocument/2006/relationships/hyperlink" Target="https://akshar-exim-company-pvt-ltd.odoo.com/web" TargetMode="External"/><Relationship Id="rId3955" Type="http://schemas.openxmlformats.org/officeDocument/2006/relationships/hyperlink" Target="https://akshar-exim-company-pvt-ltd.odoo.com/web" TargetMode="External"/><Relationship Id="rId2624" Type="http://schemas.openxmlformats.org/officeDocument/2006/relationships/hyperlink" Target="https://akshar-exim-company-pvt-ltd.odoo.com/web" TargetMode="External"/><Relationship Id="rId3954" Type="http://schemas.openxmlformats.org/officeDocument/2006/relationships/hyperlink" Target="mailto:arinddam@gmail.com" TargetMode="External"/><Relationship Id="rId2625" Type="http://schemas.openxmlformats.org/officeDocument/2006/relationships/hyperlink" Target="https://akshar-exim-company-pvt-ltd.odoo.com/web" TargetMode="External"/><Relationship Id="rId3957" Type="http://schemas.openxmlformats.org/officeDocument/2006/relationships/hyperlink" Target="https://akshar-exim-company-pvt-ltd.odoo.com/web" TargetMode="External"/><Relationship Id="rId2626" Type="http://schemas.openxmlformats.org/officeDocument/2006/relationships/hyperlink" Target="https://akshar-exim-company-pvt-ltd.odoo.com/web" TargetMode="External"/><Relationship Id="rId3956" Type="http://schemas.openxmlformats.org/officeDocument/2006/relationships/hyperlink" Target="mailto:supi786@gmail.com" TargetMode="External"/><Relationship Id="rId2627" Type="http://schemas.openxmlformats.org/officeDocument/2006/relationships/hyperlink" Target="https://akshar-exim-company-pvt-ltd.odoo.com/web" TargetMode="External"/><Relationship Id="rId3959" Type="http://schemas.openxmlformats.org/officeDocument/2006/relationships/hyperlink" Target="mailto:prashantvaishnav452@gmail.com" TargetMode="External"/><Relationship Id="rId2628" Type="http://schemas.openxmlformats.org/officeDocument/2006/relationships/hyperlink" Target="https://akshar-exim-company-pvt-ltd.odoo.com/web" TargetMode="External"/><Relationship Id="rId3958" Type="http://schemas.openxmlformats.org/officeDocument/2006/relationships/hyperlink" Target="https://akshar-exim-company-pvt-ltd.odoo.com/web" TargetMode="External"/><Relationship Id="rId709" Type="http://schemas.openxmlformats.org/officeDocument/2006/relationships/hyperlink" Target="https://akshar-exim-company-pvt-ltd.odoo.com/web" TargetMode="External"/><Relationship Id="rId2629" Type="http://schemas.openxmlformats.org/officeDocument/2006/relationships/hyperlink" Target="https://akshar-exim-company-pvt-ltd.odoo.com/web" TargetMode="External"/><Relationship Id="rId708" Type="http://schemas.openxmlformats.org/officeDocument/2006/relationships/hyperlink" Target="mailto:ankitjain0456@gmail.com" TargetMode="External"/><Relationship Id="rId707" Type="http://schemas.openxmlformats.org/officeDocument/2006/relationships/hyperlink" Target="https://akshar-exim-company-pvt-ltd.odoo.com/web" TargetMode="External"/><Relationship Id="rId706" Type="http://schemas.openxmlformats.org/officeDocument/2006/relationships/hyperlink" Target="https://akshar-exim-company-pvt-ltd.odoo.com/web" TargetMode="External"/><Relationship Id="rId701" Type="http://schemas.openxmlformats.org/officeDocument/2006/relationships/hyperlink" Target="https://akshar-exim-company-pvt-ltd.odoo.com/web" TargetMode="External"/><Relationship Id="rId700" Type="http://schemas.openxmlformats.org/officeDocument/2006/relationships/hyperlink" Target="https://akshar-exim-company-pvt-ltd.odoo.com/web" TargetMode="External"/><Relationship Id="rId705" Type="http://schemas.openxmlformats.org/officeDocument/2006/relationships/hyperlink" Target="https://akshar-exim-company-pvt-ltd.odoo.com/web" TargetMode="External"/><Relationship Id="rId704" Type="http://schemas.openxmlformats.org/officeDocument/2006/relationships/hyperlink" Target="mailto:exceltradingco@outlook.com" TargetMode="External"/><Relationship Id="rId703" Type="http://schemas.openxmlformats.org/officeDocument/2006/relationships/hyperlink" Target="https://akshar-exim-company-pvt-ltd.odoo.com/web" TargetMode="External"/><Relationship Id="rId702" Type="http://schemas.openxmlformats.org/officeDocument/2006/relationships/hyperlink" Target="mailto:anuppkk8340@gmail.com" TargetMode="External"/><Relationship Id="rId3951" Type="http://schemas.openxmlformats.org/officeDocument/2006/relationships/hyperlink" Target="https://akshar-exim-company-pvt-ltd.odoo.com/web" TargetMode="External"/><Relationship Id="rId2620" Type="http://schemas.openxmlformats.org/officeDocument/2006/relationships/hyperlink" Target="https://akshar-exim-company-pvt-ltd.odoo.com/web" TargetMode="External"/><Relationship Id="rId3950" Type="http://schemas.openxmlformats.org/officeDocument/2006/relationships/hyperlink" Target="mailto:prai18@yahoo.co.in" TargetMode="External"/><Relationship Id="rId2610" Type="http://schemas.openxmlformats.org/officeDocument/2006/relationships/hyperlink" Target="https://akshar-exim-company-pvt-ltd.odoo.com/web" TargetMode="External"/><Relationship Id="rId3942" Type="http://schemas.openxmlformats.org/officeDocument/2006/relationships/hyperlink" Target="https://akshar-exim-company-pvt-ltd.odoo.com/web" TargetMode="External"/><Relationship Id="rId2611" Type="http://schemas.openxmlformats.org/officeDocument/2006/relationships/hyperlink" Target="https://akshar-exim-company-pvt-ltd.odoo.com/web" TargetMode="External"/><Relationship Id="rId3941" Type="http://schemas.openxmlformats.org/officeDocument/2006/relationships/hyperlink" Target="mailto:sahilsiddiqui30@gmail.com" TargetMode="External"/><Relationship Id="rId2612" Type="http://schemas.openxmlformats.org/officeDocument/2006/relationships/hyperlink" Target="https://akshar-exim-company-pvt-ltd.odoo.com/web" TargetMode="External"/><Relationship Id="rId3944" Type="http://schemas.openxmlformats.org/officeDocument/2006/relationships/hyperlink" Target="https://akshar-exim-company-pvt-ltd.odoo.com/web" TargetMode="External"/><Relationship Id="rId2613" Type="http://schemas.openxmlformats.org/officeDocument/2006/relationships/hyperlink" Target="https://akshar-exim-company-pvt-ltd.odoo.com/web" TargetMode="External"/><Relationship Id="rId3943" Type="http://schemas.openxmlformats.org/officeDocument/2006/relationships/hyperlink" Target="mailto:zenlubs@gmail.com" TargetMode="External"/><Relationship Id="rId2614" Type="http://schemas.openxmlformats.org/officeDocument/2006/relationships/hyperlink" Target="https://akshar-exim-company-pvt-ltd.odoo.com/web" TargetMode="External"/><Relationship Id="rId3946" Type="http://schemas.openxmlformats.org/officeDocument/2006/relationships/hyperlink" Target="mailto:chakrabortydotcom@yahoo.co.in" TargetMode="External"/><Relationship Id="rId2615" Type="http://schemas.openxmlformats.org/officeDocument/2006/relationships/hyperlink" Target="https://akshar-exim-company-pvt-ltd.odoo.com/web" TargetMode="External"/><Relationship Id="rId3945" Type="http://schemas.openxmlformats.org/officeDocument/2006/relationships/hyperlink" Target="https://akshar-exim-company-pvt-ltd.odoo.com/web" TargetMode="External"/><Relationship Id="rId2616" Type="http://schemas.openxmlformats.org/officeDocument/2006/relationships/hyperlink" Target="https://akshar-exim-company-pvt-ltd.odoo.com/web" TargetMode="External"/><Relationship Id="rId3948" Type="http://schemas.openxmlformats.org/officeDocument/2006/relationships/hyperlink" Target="mailto:kondar9@gmail.com" TargetMode="External"/><Relationship Id="rId2617" Type="http://schemas.openxmlformats.org/officeDocument/2006/relationships/hyperlink" Target="https://akshar-exim-company-pvt-ltd.odoo.com/web" TargetMode="External"/><Relationship Id="rId3947" Type="http://schemas.openxmlformats.org/officeDocument/2006/relationships/hyperlink" Target="https://akshar-exim-company-pvt-ltd.odoo.com/web" TargetMode="External"/><Relationship Id="rId2618" Type="http://schemas.openxmlformats.org/officeDocument/2006/relationships/hyperlink" Target="https://akshar-exim-company-pvt-ltd.odoo.com/web" TargetMode="External"/><Relationship Id="rId2619" Type="http://schemas.openxmlformats.org/officeDocument/2006/relationships/hyperlink" Target="https://akshar-exim-company-pvt-ltd.odoo.com/web" TargetMode="External"/><Relationship Id="rId3949" Type="http://schemas.openxmlformats.org/officeDocument/2006/relationships/hyperlink" Target="https://akshar-exim-company-pvt-ltd.odoo.com/web" TargetMode="External"/><Relationship Id="rId3940" Type="http://schemas.openxmlformats.org/officeDocument/2006/relationships/hyperlink" Target="https://akshar-exim-company-pvt-ltd.odoo.com/web" TargetMode="External"/><Relationship Id="rId1312" Type="http://schemas.openxmlformats.org/officeDocument/2006/relationships/hyperlink" Target="https://akshar-exim-company-pvt-ltd.odoo.com/web" TargetMode="External"/><Relationship Id="rId2643" Type="http://schemas.openxmlformats.org/officeDocument/2006/relationships/hyperlink" Target="https://akshar-exim-company-pvt-ltd.odoo.com/web" TargetMode="External"/><Relationship Id="rId3975" Type="http://schemas.openxmlformats.org/officeDocument/2006/relationships/hyperlink" Target="mailto:sujoyneogi86@gmail.com" TargetMode="External"/><Relationship Id="rId1313" Type="http://schemas.openxmlformats.org/officeDocument/2006/relationships/hyperlink" Target="https://akshar-exim-company-pvt-ltd.odoo.com/web" TargetMode="External"/><Relationship Id="rId2644" Type="http://schemas.openxmlformats.org/officeDocument/2006/relationships/hyperlink" Target="https://akshar-exim-company-pvt-ltd.odoo.com/web" TargetMode="External"/><Relationship Id="rId3974" Type="http://schemas.openxmlformats.org/officeDocument/2006/relationships/hyperlink" Target="https://akshar-exim-company-pvt-ltd.odoo.com/web" TargetMode="External"/><Relationship Id="rId1314" Type="http://schemas.openxmlformats.org/officeDocument/2006/relationships/hyperlink" Target="mailto:kothariaccounts@gmail.com" TargetMode="External"/><Relationship Id="rId2645" Type="http://schemas.openxmlformats.org/officeDocument/2006/relationships/hyperlink" Target="https://akshar-exim-company-pvt-ltd.odoo.com/web" TargetMode="External"/><Relationship Id="rId3977" Type="http://schemas.openxmlformats.org/officeDocument/2006/relationships/hyperlink" Target="mailto:urmi.parag@gmail.com" TargetMode="External"/><Relationship Id="rId1315" Type="http://schemas.openxmlformats.org/officeDocument/2006/relationships/hyperlink" Target="https://akshar-exim-company-pvt-ltd.odoo.com/web" TargetMode="External"/><Relationship Id="rId2646" Type="http://schemas.openxmlformats.org/officeDocument/2006/relationships/hyperlink" Target="https://akshar-exim-company-pvt-ltd.odoo.com/web" TargetMode="External"/><Relationship Id="rId3976" Type="http://schemas.openxmlformats.org/officeDocument/2006/relationships/hyperlink" Target="https://akshar-exim-company-pvt-ltd.odoo.com/web" TargetMode="External"/><Relationship Id="rId1316" Type="http://schemas.openxmlformats.org/officeDocument/2006/relationships/hyperlink" Target="mailto:mdansar99110@gmail.com" TargetMode="External"/><Relationship Id="rId2647" Type="http://schemas.openxmlformats.org/officeDocument/2006/relationships/hyperlink" Target="https://akshar-exim-company-pvt-ltd.odoo.com/web" TargetMode="External"/><Relationship Id="rId3979" Type="http://schemas.openxmlformats.org/officeDocument/2006/relationships/hyperlink" Target="mailto:wingofffortune5@gmail.com" TargetMode="External"/><Relationship Id="rId1317" Type="http://schemas.openxmlformats.org/officeDocument/2006/relationships/hyperlink" Target="https://akshar-exim-company-pvt-ltd.odoo.com/web" TargetMode="External"/><Relationship Id="rId2648" Type="http://schemas.openxmlformats.org/officeDocument/2006/relationships/hyperlink" Target="https://akshar-exim-company-pvt-ltd.odoo.com/web" TargetMode="External"/><Relationship Id="rId3978" Type="http://schemas.openxmlformats.org/officeDocument/2006/relationships/hyperlink" Target="https://akshar-exim-company-pvt-ltd.odoo.com/web" TargetMode="External"/><Relationship Id="rId1318" Type="http://schemas.openxmlformats.org/officeDocument/2006/relationships/hyperlink" Target="mailto:gayatristores123@gmail.com" TargetMode="External"/><Relationship Id="rId2649" Type="http://schemas.openxmlformats.org/officeDocument/2006/relationships/hyperlink" Target="https://akshar-exim-company-pvt-ltd.odoo.com/web" TargetMode="External"/><Relationship Id="rId1319" Type="http://schemas.openxmlformats.org/officeDocument/2006/relationships/hyperlink" Target="https://akshar-exim-company-pvt-ltd.odoo.com/web" TargetMode="External"/><Relationship Id="rId729" Type="http://schemas.openxmlformats.org/officeDocument/2006/relationships/hyperlink" Target="mailto:bajajgroup71@gmail.com" TargetMode="External"/><Relationship Id="rId728" Type="http://schemas.openxmlformats.org/officeDocument/2006/relationships/hyperlink" Target="https://akshar-exim-company-pvt-ltd.odoo.com/web" TargetMode="External"/><Relationship Id="rId723" Type="http://schemas.openxmlformats.org/officeDocument/2006/relationships/hyperlink" Target="mailto:singhsurya173@gmail.com" TargetMode="External"/><Relationship Id="rId722" Type="http://schemas.openxmlformats.org/officeDocument/2006/relationships/hyperlink" Target="https://akshar-exim-company-pvt-ltd.odoo.com/web" TargetMode="External"/><Relationship Id="rId721" Type="http://schemas.openxmlformats.org/officeDocument/2006/relationships/hyperlink" Target="mailto:cascadebluewater1@gmail.com" TargetMode="External"/><Relationship Id="rId720" Type="http://schemas.openxmlformats.org/officeDocument/2006/relationships/hyperlink" Target="https://akshar-exim-company-pvt-ltd.odoo.com/web" TargetMode="External"/><Relationship Id="rId727" Type="http://schemas.openxmlformats.org/officeDocument/2006/relationships/hyperlink" Target="mailto:pijushmondal275@gmail.com" TargetMode="External"/><Relationship Id="rId726" Type="http://schemas.openxmlformats.org/officeDocument/2006/relationships/hyperlink" Target="https://akshar-exim-company-pvt-ltd.odoo.com/web" TargetMode="External"/><Relationship Id="rId725" Type="http://schemas.openxmlformats.org/officeDocument/2006/relationships/hyperlink" Target="https://akshar-exim-company-pvt-ltd.odoo.com/web" TargetMode="External"/><Relationship Id="rId724" Type="http://schemas.openxmlformats.org/officeDocument/2006/relationships/hyperlink" Target="https://akshar-exim-company-pvt-ltd.odoo.com/web" TargetMode="External"/><Relationship Id="rId3971" Type="http://schemas.openxmlformats.org/officeDocument/2006/relationships/hyperlink" Target="https://akshar-exim-company-pvt-ltd.odoo.com/web" TargetMode="External"/><Relationship Id="rId2640" Type="http://schemas.openxmlformats.org/officeDocument/2006/relationships/hyperlink" Target="https://akshar-exim-company-pvt-ltd.odoo.com/web" TargetMode="External"/><Relationship Id="rId3970" Type="http://schemas.openxmlformats.org/officeDocument/2006/relationships/hyperlink" Target="https://akshar-exim-company-pvt-ltd.odoo.com/web" TargetMode="External"/><Relationship Id="rId1310" Type="http://schemas.openxmlformats.org/officeDocument/2006/relationships/hyperlink" Target="mailto:kaustavghosh387@gmail.com" TargetMode="External"/><Relationship Id="rId2641" Type="http://schemas.openxmlformats.org/officeDocument/2006/relationships/hyperlink" Target="https://akshar-exim-company-pvt-ltd.odoo.com/web" TargetMode="External"/><Relationship Id="rId3973" Type="http://schemas.openxmlformats.org/officeDocument/2006/relationships/hyperlink" Target="mailto:tarachem13@gmail.com" TargetMode="External"/><Relationship Id="rId1311" Type="http://schemas.openxmlformats.org/officeDocument/2006/relationships/hyperlink" Target="https://akshar-exim-company-pvt-ltd.odoo.com/web" TargetMode="External"/><Relationship Id="rId2642" Type="http://schemas.openxmlformats.org/officeDocument/2006/relationships/hyperlink" Target="https://akshar-exim-company-pvt-ltd.odoo.com/web" TargetMode="External"/><Relationship Id="rId3972" Type="http://schemas.openxmlformats.org/officeDocument/2006/relationships/hyperlink" Target="https://akshar-exim-company-pvt-ltd.odoo.com/web" TargetMode="External"/><Relationship Id="rId1301" Type="http://schemas.openxmlformats.org/officeDocument/2006/relationships/hyperlink" Target="https://akshar-exim-company-pvt-ltd.odoo.com/web" TargetMode="External"/><Relationship Id="rId2632" Type="http://schemas.openxmlformats.org/officeDocument/2006/relationships/hyperlink" Target="https://akshar-exim-company-pvt-ltd.odoo.com/web" TargetMode="External"/><Relationship Id="rId3964" Type="http://schemas.openxmlformats.org/officeDocument/2006/relationships/hyperlink" Target="https://akshar-exim-company-pvt-ltd.odoo.com/web" TargetMode="External"/><Relationship Id="rId1302" Type="http://schemas.openxmlformats.org/officeDocument/2006/relationships/hyperlink" Target="mailto:koushik20halder@gmail.com" TargetMode="External"/><Relationship Id="rId2633" Type="http://schemas.openxmlformats.org/officeDocument/2006/relationships/hyperlink" Target="https://akshar-exim-company-pvt-ltd.odoo.com/web" TargetMode="External"/><Relationship Id="rId3963" Type="http://schemas.openxmlformats.org/officeDocument/2006/relationships/hyperlink" Target="mailto:tapanprince3@gmail.com" TargetMode="External"/><Relationship Id="rId1303" Type="http://schemas.openxmlformats.org/officeDocument/2006/relationships/hyperlink" Target="https://akshar-exim-company-pvt-ltd.odoo.com/web" TargetMode="External"/><Relationship Id="rId2634" Type="http://schemas.openxmlformats.org/officeDocument/2006/relationships/hyperlink" Target="https://akshar-exim-company-pvt-ltd.odoo.com/web" TargetMode="External"/><Relationship Id="rId3966" Type="http://schemas.openxmlformats.org/officeDocument/2006/relationships/hyperlink" Target="https://akshar-exim-company-pvt-ltd.odoo.com/web" TargetMode="External"/><Relationship Id="rId1304" Type="http://schemas.openxmlformats.org/officeDocument/2006/relationships/hyperlink" Target="mailto:sumitdas.4377@gmail.com" TargetMode="External"/><Relationship Id="rId2635" Type="http://schemas.openxmlformats.org/officeDocument/2006/relationships/hyperlink" Target="https://akshar-exim-company-pvt-ltd.odoo.com/web" TargetMode="External"/><Relationship Id="rId3965" Type="http://schemas.openxmlformats.org/officeDocument/2006/relationships/hyperlink" Target="mailto:kaushik2015mitra@gmail.com" TargetMode="External"/><Relationship Id="rId1305" Type="http://schemas.openxmlformats.org/officeDocument/2006/relationships/hyperlink" Target="https://akshar-exim-company-pvt-ltd.odoo.com/web" TargetMode="External"/><Relationship Id="rId2636" Type="http://schemas.openxmlformats.org/officeDocument/2006/relationships/hyperlink" Target="https://akshar-exim-company-pvt-ltd.odoo.com/web" TargetMode="External"/><Relationship Id="rId3968" Type="http://schemas.openxmlformats.org/officeDocument/2006/relationships/hyperlink" Target="https://akshar-exim-company-pvt-ltd.odoo.com/web" TargetMode="External"/><Relationship Id="rId1306" Type="http://schemas.openxmlformats.org/officeDocument/2006/relationships/hyperlink" Target="mailto:khatunrehena08@gmail.com" TargetMode="External"/><Relationship Id="rId2637" Type="http://schemas.openxmlformats.org/officeDocument/2006/relationships/hyperlink" Target="https://akshar-exim-company-pvt-ltd.odoo.com/web" TargetMode="External"/><Relationship Id="rId3967" Type="http://schemas.openxmlformats.org/officeDocument/2006/relationships/hyperlink" Target="mailto:ayub26048@gmail.com" TargetMode="External"/><Relationship Id="rId1307" Type="http://schemas.openxmlformats.org/officeDocument/2006/relationships/hyperlink" Target="https://akshar-exim-company-pvt-ltd.odoo.com/web" TargetMode="External"/><Relationship Id="rId2638" Type="http://schemas.openxmlformats.org/officeDocument/2006/relationships/hyperlink" Target="mailto:priyopoultry.2018@gmail.com" TargetMode="External"/><Relationship Id="rId1308" Type="http://schemas.openxmlformats.org/officeDocument/2006/relationships/hyperlink" Target="mailto:avirajtourtravels@gmail.com" TargetMode="External"/><Relationship Id="rId2639" Type="http://schemas.openxmlformats.org/officeDocument/2006/relationships/hyperlink" Target="https://akshar-exim-company-pvt-ltd.odoo.com/web" TargetMode="External"/><Relationship Id="rId3969" Type="http://schemas.openxmlformats.org/officeDocument/2006/relationships/hyperlink" Target="https://akshar-exim-company-pvt-ltd.odoo.com/web" TargetMode="External"/><Relationship Id="rId1309" Type="http://schemas.openxmlformats.org/officeDocument/2006/relationships/hyperlink" Target="https://akshar-exim-company-pvt-ltd.odoo.com/web" TargetMode="External"/><Relationship Id="rId719" Type="http://schemas.openxmlformats.org/officeDocument/2006/relationships/hyperlink" Target="https://akshar-exim-company-pvt-ltd.odoo.com/web" TargetMode="External"/><Relationship Id="rId718" Type="http://schemas.openxmlformats.org/officeDocument/2006/relationships/hyperlink" Target="mailto:ajoy55@hotmail.com" TargetMode="External"/><Relationship Id="rId717" Type="http://schemas.openxmlformats.org/officeDocument/2006/relationships/hyperlink" Target="https://akshar-exim-company-pvt-ltd.odoo.com/web" TargetMode="External"/><Relationship Id="rId712" Type="http://schemas.openxmlformats.org/officeDocument/2006/relationships/hyperlink" Target="https://akshar-exim-company-pvt-ltd.odoo.com/web" TargetMode="External"/><Relationship Id="rId711" Type="http://schemas.openxmlformats.org/officeDocument/2006/relationships/hyperlink" Target="mailto:srajjadhav20@gmail.com" TargetMode="External"/><Relationship Id="rId710" Type="http://schemas.openxmlformats.org/officeDocument/2006/relationships/hyperlink" Target="https://akshar-exim-company-pvt-ltd.odoo.com/web" TargetMode="External"/><Relationship Id="rId716" Type="http://schemas.openxmlformats.org/officeDocument/2006/relationships/hyperlink" Target="mailto:sudevnayban5343@gmail.com" TargetMode="External"/><Relationship Id="rId715" Type="http://schemas.openxmlformats.org/officeDocument/2006/relationships/hyperlink" Target="https://akshar-exim-company-pvt-ltd.odoo.com/web" TargetMode="External"/><Relationship Id="rId714" Type="http://schemas.openxmlformats.org/officeDocument/2006/relationships/hyperlink" Target="https://akshar-exim-company-pvt-ltd.odoo.com/web" TargetMode="External"/><Relationship Id="rId713" Type="http://schemas.openxmlformats.org/officeDocument/2006/relationships/hyperlink" Target="mailto:ashwinee.hati@starkridgepaper.com" TargetMode="External"/><Relationship Id="rId3960" Type="http://schemas.openxmlformats.org/officeDocument/2006/relationships/hyperlink" Target="https://akshar-exim-company-pvt-ltd.odoo.com/web" TargetMode="External"/><Relationship Id="rId2630" Type="http://schemas.openxmlformats.org/officeDocument/2006/relationships/hyperlink" Target="https://akshar-exim-company-pvt-ltd.odoo.com/web" TargetMode="External"/><Relationship Id="rId3962" Type="http://schemas.openxmlformats.org/officeDocument/2006/relationships/hyperlink" Target="https://akshar-exim-company-pvt-ltd.odoo.com/web" TargetMode="External"/><Relationship Id="rId1300" Type="http://schemas.openxmlformats.org/officeDocument/2006/relationships/hyperlink" Target="mailto:harshnolkha035@gmail.com" TargetMode="External"/><Relationship Id="rId2631" Type="http://schemas.openxmlformats.org/officeDocument/2006/relationships/hyperlink" Target="https://akshar-exim-company-pvt-ltd.odoo.com/web" TargetMode="External"/><Relationship Id="rId3961" Type="http://schemas.openxmlformats.org/officeDocument/2006/relationships/hyperlink" Target="mailto:tarakbiswaskk@gmail.com" TargetMode="External"/><Relationship Id="rId3117" Type="http://schemas.openxmlformats.org/officeDocument/2006/relationships/hyperlink" Target="mailto:sougata26837912@gmail.com" TargetMode="External"/><Relationship Id="rId4448" Type="http://schemas.openxmlformats.org/officeDocument/2006/relationships/hyperlink" Target="https://akshar-exim-company-pvt-ltd.odoo.com/web" TargetMode="External"/><Relationship Id="rId3116" Type="http://schemas.openxmlformats.org/officeDocument/2006/relationships/hyperlink" Target="https://akshar-exim-company-pvt-ltd.odoo.com/web" TargetMode="External"/><Relationship Id="rId4447" Type="http://schemas.openxmlformats.org/officeDocument/2006/relationships/hyperlink" Target="https://akshar-exim-company-pvt-ltd.odoo.com/web" TargetMode="External"/><Relationship Id="rId3119" Type="http://schemas.openxmlformats.org/officeDocument/2006/relationships/hyperlink" Target="mailto:pmajumder.web@gmail.com" TargetMode="External"/><Relationship Id="rId3118" Type="http://schemas.openxmlformats.org/officeDocument/2006/relationships/hyperlink" Target="https://akshar-exim-company-pvt-ltd.odoo.com/web" TargetMode="External"/><Relationship Id="rId4449" Type="http://schemas.openxmlformats.org/officeDocument/2006/relationships/hyperlink" Target="https://akshar-exim-company-pvt-ltd.odoo.com/web" TargetMode="External"/><Relationship Id="rId4440" Type="http://schemas.openxmlformats.org/officeDocument/2006/relationships/hyperlink" Target="https://akshar-exim-company-pvt-ltd.odoo.com/web" TargetMode="External"/><Relationship Id="rId3111" Type="http://schemas.openxmlformats.org/officeDocument/2006/relationships/hyperlink" Target="https://akshar-exim-company-pvt-ltd.odoo.com/web" TargetMode="External"/><Relationship Id="rId4442" Type="http://schemas.openxmlformats.org/officeDocument/2006/relationships/hyperlink" Target="https://akshar-exim-company-pvt-ltd.odoo.com/web" TargetMode="External"/><Relationship Id="rId3110" Type="http://schemas.openxmlformats.org/officeDocument/2006/relationships/hyperlink" Target="https://akshar-exim-company-pvt-ltd.odoo.com/web" TargetMode="External"/><Relationship Id="rId4441" Type="http://schemas.openxmlformats.org/officeDocument/2006/relationships/hyperlink" Target="https://akshar-exim-company-pvt-ltd.odoo.com/web" TargetMode="External"/><Relationship Id="rId3113" Type="http://schemas.openxmlformats.org/officeDocument/2006/relationships/hyperlink" Target="https://akshar-exim-company-pvt-ltd.odoo.com/web" TargetMode="External"/><Relationship Id="rId4444" Type="http://schemas.openxmlformats.org/officeDocument/2006/relationships/hyperlink" Target="https://akshar-exim-company-pvt-ltd.odoo.com/web" TargetMode="External"/><Relationship Id="rId3112" Type="http://schemas.openxmlformats.org/officeDocument/2006/relationships/hyperlink" Target="mailto:tapasmajumdar2012@yahoo.in" TargetMode="External"/><Relationship Id="rId4443" Type="http://schemas.openxmlformats.org/officeDocument/2006/relationships/hyperlink" Target="https://akshar-exim-company-pvt-ltd.odoo.com/web" TargetMode="External"/><Relationship Id="rId3115" Type="http://schemas.openxmlformats.org/officeDocument/2006/relationships/hyperlink" Target="mailto:rajyashvns061@gmail.com" TargetMode="External"/><Relationship Id="rId4446" Type="http://schemas.openxmlformats.org/officeDocument/2006/relationships/hyperlink" Target="https://akshar-exim-company-pvt-ltd.odoo.com/web" TargetMode="External"/><Relationship Id="rId3114" Type="http://schemas.openxmlformats.org/officeDocument/2006/relationships/hyperlink" Target="https://akshar-exim-company-pvt-ltd.odoo.com/web" TargetMode="External"/><Relationship Id="rId4445" Type="http://schemas.openxmlformats.org/officeDocument/2006/relationships/hyperlink" Target="https://akshar-exim-company-pvt-ltd.odoo.com/web" TargetMode="External"/><Relationship Id="rId3106" Type="http://schemas.openxmlformats.org/officeDocument/2006/relationships/hyperlink" Target="mailto:jabirtmt@gmail.com" TargetMode="External"/><Relationship Id="rId4437" Type="http://schemas.openxmlformats.org/officeDocument/2006/relationships/hyperlink" Target="https://akshar-exim-company-pvt-ltd.odoo.com/web" TargetMode="External"/><Relationship Id="rId3105" Type="http://schemas.openxmlformats.org/officeDocument/2006/relationships/hyperlink" Target="https://akshar-exim-company-pvt-ltd.odoo.com/web" TargetMode="External"/><Relationship Id="rId4436" Type="http://schemas.openxmlformats.org/officeDocument/2006/relationships/hyperlink" Target="https://akshar-exim-company-pvt-ltd.odoo.com/web" TargetMode="External"/><Relationship Id="rId3108" Type="http://schemas.openxmlformats.org/officeDocument/2006/relationships/hyperlink" Target="https://akshar-exim-company-pvt-ltd.odoo.com/web" TargetMode="External"/><Relationship Id="rId4439" Type="http://schemas.openxmlformats.org/officeDocument/2006/relationships/hyperlink" Target="https://akshar-exim-company-pvt-ltd.odoo.com/web" TargetMode="External"/><Relationship Id="rId3107" Type="http://schemas.openxmlformats.org/officeDocument/2006/relationships/hyperlink" Target="https://akshar-exim-company-pvt-ltd.odoo.com/web" TargetMode="External"/><Relationship Id="rId4438" Type="http://schemas.openxmlformats.org/officeDocument/2006/relationships/hyperlink" Target="https://akshar-exim-company-pvt-ltd.odoo.com/web" TargetMode="External"/><Relationship Id="rId3109" Type="http://schemas.openxmlformats.org/officeDocument/2006/relationships/hyperlink" Target="mailto:drbpaul@drpaulsonline.com" TargetMode="External"/><Relationship Id="rId3100" Type="http://schemas.openxmlformats.org/officeDocument/2006/relationships/hyperlink" Target="mailto:mgoel73@yahoo.co.in" TargetMode="External"/><Relationship Id="rId4431" Type="http://schemas.openxmlformats.org/officeDocument/2006/relationships/hyperlink" Target="https://akshar-exim-company-pvt-ltd.odoo.com/web" TargetMode="External"/><Relationship Id="rId4430" Type="http://schemas.openxmlformats.org/officeDocument/2006/relationships/hyperlink" Target="https://akshar-exim-company-pvt-ltd.odoo.com/web" TargetMode="External"/><Relationship Id="rId3102" Type="http://schemas.openxmlformats.org/officeDocument/2006/relationships/hyperlink" Target="mailto:mrunmay.1984@gmail.com" TargetMode="External"/><Relationship Id="rId4433" Type="http://schemas.openxmlformats.org/officeDocument/2006/relationships/hyperlink" Target="https://akshar-exim-company-pvt-ltd.odoo.com/web" TargetMode="External"/><Relationship Id="rId3101" Type="http://schemas.openxmlformats.org/officeDocument/2006/relationships/hyperlink" Target="https://akshar-exim-company-pvt-ltd.odoo.com/web" TargetMode="External"/><Relationship Id="rId4432" Type="http://schemas.openxmlformats.org/officeDocument/2006/relationships/hyperlink" Target="https://akshar-exim-company-pvt-ltd.odoo.com/web" TargetMode="External"/><Relationship Id="rId3104" Type="http://schemas.openxmlformats.org/officeDocument/2006/relationships/hyperlink" Target="mailto:nitin.ssb.tiwari@gmail.com" TargetMode="External"/><Relationship Id="rId4435" Type="http://schemas.openxmlformats.org/officeDocument/2006/relationships/hyperlink" Target="https://akshar-exim-company-pvt-ltd.odoo.com/web" TargetMode="External"/><Relationship Id="rId3103" Type="http://schemas.openxmlformats.org/officeDocument/2006/relationships/hyperlink" Target="https://akshar-exim-company-pvt-ltd.odoo.com/web" TargetMode="External"/><Relationship Id="rId4434" Type="http://schemas.openxmlformats.org/officeDocument/2006/relationships/hyperlink" Target="https://akshar-exim-company-pvt-ltd.odoo.com/web" TargetMode="External"/><Relationship Id="rId3139" Type="http://schemas.openxmlformats.org/officeDocument/2006/relationships/hyperlink" Target="https://akshar-exim-company-pvt-ltd.odoo.com/web" TargetMode="External"/><Relationship Id="rId3138" Type="http://schemas.openxmlformats.org/officeDocument/2006/relationships/hyperlink" Target="mailto:dasranjitkumar831@gmail.com" TargetMode="External"/><Relationship Id="rId4469" Type="http://schemas.openxmlformats.org/officeDocument/2006/relationships/hyperlink" Target="https://akshar-exim-company-pvt-ltd.odoo.com/web" TargetMode="External"/><Relationship Id="rId4460" Type="http://schemas.openxmlformats.org/officeDocument/2006/relationships/hyperlink" Target="https://akshar-exim-company-pvt-ltd.odoo.com/web" TargetMode="External"/><Relationship Id="rId3131" Type="http://schemas.openxmlformats.org/officeDocument/2006/relationships/hyperlink" Target="https://akshar-exim-company-pvt-ltd.odoo.com/web" TargetMode="External"/><Relationship Id="rId4462" Type="http://schemas.openxmlformats.org/officeDocument/2006/relationships/hyperlink" Target="https://akshar-exim-company-pvt-ltd.odoo.com/web" TargetMode="External"/><Relationship Id="rId3130" Type="http://schemas.openxmlformats.org/officeDocument/2006/relationships/hyperlink" Target="mailto:goudar.ajay@gmail.com" TargetMode="External"/><Relationship Id="rId4461" Type="http://schemas.openxmlformats.org/officeDocument/2006/relationships/hyperlink" Target="https://akshar-exim-company-pvt-ltd.odoo.com/web" TargetMode="External"/><Relationship Id="rId3133" Type="http://schemas.openxmlformats.org/officeDocument/2006/relationships/hyperlink" Target="https://akshar-exim-company-pvt-ltd.odoo.com/web" TargetMode="External"/><Relationship Id="rId4464" Type="http://schemas.openxmlformats.org/officeDocument/2006/relationships/hyperlink" Target="https://akshar-exim-company-pvt-ltd.odoo.com/web" TargetMode="External"/><Relationship Id="rId3132" Type="http://schemas.openxmlformats.org/officeDocument/2006/relationships/hyperlink" Target="mailto:mondalalamgir650@gmail.com" TargetMode="External"/><Relationship Id="rId4463" Type="http://schemas.openxmlformats.org/officeDocument/2006/relationships/hyperlink" Target="https://akshar-exim-company-pvt-ltd.odoo.com/web" TargetMode="External"/><Relationship Id="rId3135" Type="http://schemas.openxmlformats.org/officeDocument/2006/relationships/hyperlink" Target="https://akshar-exim-company-pvt-ltd.odoo.com/web" TargetMode="External"/><Relationship Id="rId4466" Type="http://schemas.openxmlformats.org/officeDocument/2006/relationships/hyperlink" Target="https://akshar-exim-company-pvt-ltd.odoo.com/web" TargetMode="External"/><Relationship Id="rId3134" Type="http://schemas.openxmlformats.org/officeDocument/2006/relationships/hyperlink" Target="mailto:vinay.daga@rediffmail.com" TargetMode="External"/><Relationship Id="rId4465" Type="http://schemas.openxmlformats.org/officeDocument/2006/relationships/hyperlink" Target="https://akshar-exim-company-pvt-ltd.odoo.com/web" TargetMode="External"/><Relationship Id="rId3137" Type="http://schemas.openxmlformats.org/officeDocument/2006/relationships/hyperlink" Target="https://akshar-exim-company-pvt-ltd.odoo.com/web" TargetMode="External"/><Relationship Id="rId4468" Type="http://schemas.openxmlformats.org/officeDocument/2006/relationships/hyperlink" Target="https://akshar-exim-company-pvt-ltd.odoo.com/web" TargetMode="External"/><Relationship Id="rId3136" Type="http://schemas.openxmlformats.org/officeDocument/2006/relationships/hyperlink" Target="https://akshar-exim-company-pvt-ltd.odoo.com/web" TargetMode="External"/><Relationship Id="rId4467" Type="http://schemas.openxmlformats.org/officeDocument/2006/relationships/hyperlink" Target="https://akshar-exim-company-pvt-ltd.odoo.com/web" TargetMode="External"/><Relationship Id="rId3128" Type="http://schemas.openxmlformats.org/officeDocument/2006/relationships/hyperlink" Target="https://akshar-exim-company-pvt-ltd.odoo.com/web" TargetMode="External"/><Relationship Id="rId4459" Type="http://schemas.openxmlformats.org/officeDocument/2006/relationships/hyperlink" Target="https://akshar-exim-company-pvt-ltd.odoo.com/web" TargetMode="External"/><Relationship Id="rId3127" Type="http://schemas.openxmlformats.org/officeDocument/2006/relationships/hyperlink" Target="mailto:manaranjanmandal9232@gmail.com" TargetMode="External"/><Relationship Id="rId4458" Type="http://schemas.openxmlformats.org/officeDocument/2006/relationships/hyperlink" Target="https://akshar-exim-company-pvt-ltd.odoo.com/web" TargetMode="External"/><Relationship Id="rId3129" Type="http://schemas.openxmlformats.org/officeDocument/2006/relationships/hyperlink" Target="https://akshar-exim-company-pvt-ltd.odoo.com/web" TargetMode="External"/><Relationship Id="rId3120" Type="http://schemas.openxmlformats.org/officeDocument/2006/relationships/hyperlink" Target="https://akshar-exim-company-pvt-ltd.odoo.com/web" TargetMode="External"/><Relationship Id="rId4451" Type="http://schemas.openxmlformats.org/officeDocument/2006/relationships/hyperlink" Target="https://akshar-exim-company-pvt-ltd.odoo.com/web" TargetMode="External"/><Relationship Id="rId4450" Type="http://schemas.openxmlformats.org/officeDocument/2006/relationships/hyperlink" Target="https://akshar-exim-company-pvt-ltd.odoo.com/web" TargetMode="External"/><Relationship Id="rId3122" Type="http://schemas.openxmlformats.org/officeDocument/2006/relationships/hyperlink" Target="https://akshar-exim-company-pvt-ltd.odoo.com/web" TargetMode="External"/><Relationship Id="rId4453" Type="http://schemas.openxmlformats.org/officeDocument/2006/relationships/hyperlink" Target="https://akshar-exim-company-pvt-ltd.odoo.com/web" TargetMode="External"/><Relationship Id="rId3121" Type="http://schemas.openxmlformats.org/officeDocument/2006/relationships/hyperlink" Target="https://akshar-exim-company-pvt-ltd.odoo.com/web" TargetMode="External"/><Relationship Id="rId4452" Type="http://schemas.openxmlformats.org/officeDocument/2006/relationships/hyperlink" Target="https://akshar-exim-company-pvt-ltd.odoo.com/web" TargetMode="External"/><Relationship Id="rId3124" Type="http://schemas.openxmlformats.org/officeDocument/2006/relationships/hyperlink" Target="https://akshar-exim-company-pvt-ltd.odoo.com/web" TargetMode="External"/><Relationship Id="rId4455" Type="http://schemas.openxmlformats.org/officeDocument/2006/relationships/hyperlink" Target="https://akshar-exim-company-pvt-ltd.odoo.com/web" TargetMode="External"/><Relationship Id="rId3123" Type="http://schemas.openxmlformats.org/officeDocument/2006/relationships/hyperlink" Target="mailto:ashokmohanty076@gmail.com" TargetMode="External"/><Relationship Id="rId4454" Type="http://schemas.openxmlformats.org/officeDocument/2006/relationships/hyperlink" Target="https://akshar-exim-company-pvt-ltd.odoo.com/web" TargetMode="External"/><Relationship Id="rId3126" Type="http://schemas.openxmlformats.org/officeDocument/2006/relationships/hyperlink" Target="https://akshar-exim-company-pvt-ltd.odoo.com/web" TargetMode="External"/><Relationship Id="rId4457" Type="http://schemas.openxmlformats.org/officeDocument/2006/relationships/hyperlink" Target="https://akshar-exim-company-pvt-ltd.odoo.com/web" TargetMode="External"/><Relationship Id="rId3125" Type="http://schemas.openxmlformats.org/officeDocument/2006/relationships/hyperlink" Target="mailto:kmpandey022@gmail.com" TargetMode="External"/><Relationship Id="rId4456" Type="http://schemas.openxmlformats.org/officeDocument/2006/relationships/hyperlink" Target="https://akshar-exim-company-pvt-ltd.odoo.com/web" TargetMode="External"/><Relationship Id="rId1378" Type="http://schemas.openxmlformats.org/officeDocument/2006/relationships/hyperlink" Target="mailto:rajiv.singh121@gmail.com" TargetMode="External"/><Relationship Id="rId4404" Type="http://schemas.openxmlformats.org/officeDocument/2006/relationships/hyperlink" Target="https://akshar-exim-company-pvt-ltd.odoo.com/web" TargetMode="External"/><Relationship Id="rId1379" Type="http://schemas.openxmlformats.org/officeDocument/2006/relationships/hyperlink" Target="https://akshar-exim-company-pvt-ltd.odoo.com/web" TargetMode="External"/><Relationship Id="rId4403" Type="http://schemas.openxmlformats.org/officeDocument/2006/relationships/hyperlink" Target="https://akshar-exim-company-pvt-ltd.odoo.com/web" TargetMode="External"/><Relationship Id="rId4406" Type="http://schemas.openxmlformats.org/officeDocument/2006/relationships/hyperlink" Target="https://akshar-exim-company-pvt-ltd.odoo.com/web" TargetMode="External"/><Relationship Id="rId4405" Type="http://schemas.openxmlformats.org/officeDocument/2006/relationships/hyperlink" Target="https://akshar-exim-company-pvt-ltd.odoo.com/web" TargetMode="External"/><Relationship Id="rId4408" Type="http://schemas.openxmlformats.org/officeDocument/2006/relationships/hyperlink" Target="https://akshar-exim-company-pvt-ltd.odoo.com/web" TargetMode="External"/><Relationship Id="rId4407" Type="http://schemas.openxmlformats.org/officeDocument/2006/relationships/hyperlink" Target="https://akshar-exim-company-pvt-ltd.odoo.com/web" TargetMode="External"/><Relationship Id="rId4409" Type="http://schemas.openxmlformats.org/officeDocument/2006/relationships/hyperlink" Target="https://akshar-exim-company-pvt-ltd.odoo.com/web" TargetMode="External"/><Relationship Id="rId789" Type="http://schemas.openxmlformats.org/officeDocument/2006/relationships/hyperlink" Target="https://akshar-exim-company-pvt-ltd.odoo.com/web" TargetMode="External"/><Relationship Id="rId788" Type="http://schemas.openxmlformats.org/officeDocument/2006/relationships/hyperlink" Target="mailto:anduljabbarsekh@gmail.com" TargetMode="External"/><Relationship Id="rId787" Type="http://schemas.openxmlformats.org/officeDocument/2006/relationships/hyperlink" Target="https://akshar-exim-company-pvt-ltd.odoo.com/web" TargetMode="External"/><Relationship Id="rId786" Type="http://schemas.openxmlformats.org/officeDocument/2006/relationships/hyperlink" Target="mailto:rajaryanshaw08@gmail.com" TargetMode="External"/><Relationship Id="rId781" Type="http://schemas.openxmlformats.org/officeDocument/2006/relationships/hyperlink" Target="https://akshar-exim-company-pvt-ltd.odoo.com/web" TargetMode="External"/><Relationship Id="rId1370" Type="http://schemas.openxmlformats.org/officeDocument/2006/relationships/hyperlink" Target="mailto:pc@rausheenagroup.com" TargetMode="External"/><Relationship Id="rId780" Type="http://schemas.openxmlformats.org/officeDocument/2006/relationships/hyperlink" Target="mailto:ashis.2016.ghosh98@gmail.com" TargetMode="External"/><Relationship Id="rId1371" Type="http://schemas.openxmlformats.org/officeDocument/2006/relationships/hyperlink" Target="https://akshar-exim-company-pvt-ltd.odoo.com/web" TargetMode="External"/><Relationship Id="rId1372" Type="http://schemas.openxmlformats.org/officeDocument/2006/relationships/hyperlink" Target="mailto:xmanojx@yahoo.com" TargetMode="External"/><Relationship Id="rId1373" Type="http://schemas.openxmlformats.org/officeDocument/2006/relationships/hyperlink" Target="https://akshar-exim-company-pvt-ltd.odoo.com/web" TargetMode="External"/><Relationship Id="rId785" Type="http://schemas.openxmlformats.org/officeDocument/2006/relationships/hyperlink" Target="https://akshar-exim-company-pvt-ltd.odoo.com/web" TargetMode="External"/><Relationship Id="rId1374" Type="http://schemas.openxmlformats.org/officeDocument/2006/relationships/hyperlink" Target="mailto:priyojitdey3@gmail.com" TargetMode="External"/><Relationship Id="rId4400" Type="http://schemas.openxmlformats.org/officeDocument/2006/relationships/hyperlink" Target="https://akshar-exim-company-pvt-ltd.odoo.com/web" TargetMode="External"/><Relationship Id="rId784" Type="http://schemas.openxmlformats.org/officeDocument/2006/relationships/hyperlink" Target="https://akshar-exim-company-pvt-ltd.odoo.com/web" TargetMode="External"/><Relationship Id="rId1375" Type="http://schemas.openxmlformats.org/officeDocument/2006/relationships/hyperlink" Target="https://akshar-exim-company-pvt-ltd.odoo.com/web" TargetMode="External"/><Relationship Id="rId783" Type="http://schemas.openxmlformats.org/officeDocument/2006/relationships/hyperlink" Target="mailto:jagarnathshaw1989@gmail.com" TargetMode="External"/><Relationship Id="rId1376" Type="http://schemas.openxmlformats.org/officeDocument/2006/relationships/hyperlink" Target="mailto:tanishqmittal0713@gmail.com" TargetMode="External"/><Relationship Id="rId4402" Type="http://schemas.openxmlformats.org/officeDocument/2006/relationships/hyperlink" Target="https://akshar-exim-company-pvt-ltd.odoo.com/web" TargetMode="External"/><Relationship Id="rId782" Type="http://schemas.openxmlformats.org/officeDocument/2006/relationships/hyperlink" Target="https://akshar-exim-company-pvt-ltd.odoo.com/web" TargetMode="External"/><Relationship Id="rId1377" Type="http://schemas.openxmlformats.org/officeDocument/2006/relationships/hyperlink" Target="https://akshar-exim-company-pvt-ltd.odoo.com/web" TargetMode="External"/><Relationship Id="rId4401" Type="http://schemas.openxmlformats.org/officeDocument/2006/relationships/hyperlink" Target="https://akshar-exim-company-pvt-ltd.odoo.com/web" TargetMode="External"/><Relationship Id="rId1367" Type="http://schemas.openxmlformats.org/officeDocument/2006/relationships/hyperlink" Target="https://akshar-exim-company-pvt-ltd.odoo.com/web" TargetMode="External"/><Relationship Id="rId2698" Type="http://schemas.openxmlformats.org/officeDocument/2006/relationships/hyperlink" Target="https://akshar-exim-company-pvt-ltd.odoo.com/web" TargetMode="External"/><Relationship Id="rId1368" Type="http://schemas.openxmlformats.org/officeDocument/2006/relationships/hyperlink" Target="mailto:urjadhaani.egroup@gmail.com" TargetMode="External"/><Relationship Id="rId2699" Type="http://schemas.openxmlformats.org/officeDocument/2006/relationships/hyperlink" Target="https://akshar-exim-company-pvt-ltd.odoo.com/web" TargetMode="External"/><Relationship Id="rId1369" Type="http://schemas.openxmlformats.org/officeDocument/2006/relationships/hyperlink" Target="https://akshar-exim-company-pvt-ltd.odoo.com/web" TargetMode="External"/><Relationship Id="rId778" Type="http://schemas.openxmlformats.org/officeDocument/2006/relationships/hyperlink" Target="mailto:dineshch@live.com" TargetMode="External"/><Relationship Id="rId777" Type="http://schemas.openxmlformats.org/officeDocument/2006/relationships/hyperlink" Target="https://akshar-exim-company-pvt-ltd.odoo.com/web" TargetMode="External"/><Relationship Id="rId776" Type="http://schemas.openxmlformats.org/officeDocument/2006/relationships/hyperlink" Target="https://akshar-exim-company-pvt-ltd.odoo.com/web" TargetMode="External"/><Relationship Id="rId775" Type="http://schemas.openxmlformats.org/officeDocument/2006/relationships/hyperlink" Target="mailto:mesatyajit.dey0406@gmail.com" TargetMode="External"/><Relationship Id="rId779" Type="http://schemas.openxmlformats.org/officeDocument/2006/relationships/hyperlink" Target="https://akshar-exim-company-pvt-ltd.odoo.com/web" TargetMode="External"/><Relationship Id="rId770" Type="http://schemas.openxmlformats.org/officeDocument/2006/relationships/hyperlink" Target="mailto:sriramci@yahoo.co.in" TargetMode="External"/><Relationship Id="rId2690" Type="http://schemas.openxmlformats.org/officeDocument/2006/relationships/hyperlink" Target="https://akshar-exim-company-pvt-ltd.odoo.com/web" TargetMode="External"/><Relationship Id="rId1360" Type="http://schemas.openxmlformats.org/officeDocument/2006/relationships/hyperlink" Target="mailto:elitezoneraju@gmail.com" TargetMode="External"/><Relationship Id="rId2691" Type="http://schemas.openxmlformats.org/officeDocument/2006/relationships/hyperlink" Target="https://akshar-exim-company-pvt-ltd.odoo.com/web" TargetMode="External"/><Relationship Id="rId1361" Type="http://schemas.openxmlformats.org/officeDocument/2006/relationships/hyperlink" Target="https://akshar-exim-company-pvt-ltd.odoo.com/web" TargetMode="External"/><Relationship Id="rId2692" Type="http://schemas.openxmlformats.org/officeDocument/2006/relationships/hyperlink" Target="https://akshar-exim-company-pvt-ltd.odoo.com/web" TargetMode="External"/><Relationship Id="rId1362" Type="http://schemas.openxmlformats.org/officeDocument/2006/relationships/hyperlink" Target="mailto:anupkhan18@gmail.com" TargetMode="External"/><Relationship Id="rId2693" Type="http://schemas.openxmlformats.org/officeDocument/2006/relationships/hyperlink" Target="https://akshar-exim-company-pvt-ltd.odoo.com/web" TargetMode="External"/><Relationship Id="rId774" Type="http://schemas.openxmlformats.org/officeDocument/2006/relationships/hyperlink" Target="https://akshar-exim-company-pvt-ltd.odoo.com/web" TargetMode="External"/><Relationship Id="rId1363" Type="http://schemas.openxmlformats.org/officeDocument/2006/relationships/hyperlink" Target="https://akshar-exim-company-pvt-ltd.odoo.com/web" TargetMode="External"/><Relationship Id="rId2694" Type="http://schemas.openxmlformats.org/officeDocument/2006/relationships/hyperlink" Target="https://akshar-exim-company-pvt-ltd.odoo.com/web" TargetMode="External"/><Relationship Id="rId773" Type="http://schemas.openxmlformats.org/officeDocument/2006/relationships/hyperlink" Target="https://akshar-exim-company-pvt-ltd.odoo.com/web" TargetMode="External"/><Relationship Id="rId1364" Type="http://schemas.openxmlformats.org/officeDocument/2006/relationships/hyperlink" Target="mailto:ranadhar52@gmail.com" TargetMode="External"/><Relationship Id="rId2695" Type="http://schemas.openxmlformats.org/officeDocument/2006/relationships/hyperlink" Target="https://akshar-exim-company-pvt-ltd.odoo.com/web" TargetMode="External"/><Relationship Id="rId772" Type="http://schemas.openxmlformats.org/officeDocument/2006/relationships/hyperlink" Target="mailto:trexim.corporation@gmail.com" TargetMode="External"/><Relationship Id="rId1365" Type="http://schemas.openxmlformats.org/officeDocument/2006/relationships/hyperlink" Target="https://akshar-exim-company-pvt-ltd.odoo.com/web" TargetMode="External"/><Relationship Id="rId2696" Type="http://schemas.openxmlformats.org/officeDocument/2006/relationships/hyperlink" Target="https://akshar-exim-company-pvt-ltd.odoo.com/web" TargetMode="External"/><Relationship Id="rId771" Type="http://schemas.openxmlformats.org/officeDocument/2006/relationships/hyperlink" Target="https://akshar-exim-company-pvt-ltd.odoo.com/web" TargetMode="External"/><Relationship Id="rId1366" Type="http://schemas.openxmlformats.org/officeDocument/2006/relationships/hyperlink" Target="mailto:ghanshyammalpani6@gmail.com" TargetMode="External"/><Relationship Id="rId2697" Type="http://schemas.openxmlformats.org/officeDocument/2006/relationships/hyperlink" Target="https://akshar-exim-company-pvt-ltd.odoo.com/web" TargetMode="External"/><Relationship Id="rId4426" Type="http://schemas.openxmlformats.org/officeDocument/2006/relationships/hyperlink" Target="https://akshar-exim-company-pvt-ltd.odoo.com/web" TargetMode="External"/><Relationship Id="rId4425" Type="http://schemas.openxmlformats.org/officeDocument/2006/relationships/hyperlink" Target="https://akshar-exim-company-pvt-ltd.odoo.com/web" TargetMode="External"/><Relationship Id="rId4428" Type="http://schemas.openxmlformats.org/officeDocument/2006/relationships/hyperlink" Target="https://akshar-exim-company-pvt-ltd.odoo.com/web" TargetMode="External"/><Relationship Id="rId4427" Type="http://schemas.openxmlformats.org/officeDocument/2006/relationships/hyperlink" Target="https://akshar-exim-company-pvt-ltd.odoo.com/web" TargetMode="External"/><Relationship Id="rId4429" Type="http://schemas.openxmlformats.org/officeDocument/2006/relationships/hyperlink" Target="https://akshar-exim-company-pvt-ltd.odoo.com/web" TargetMode="External"/><Relationship Id="rId1390" Type="http://schemas.openxmlformats.org/officeDocument/2006/relationships/hyperlink" Target="https://akshar-exim-company-pvt-ltd.odoo.com/web" TargetMode="External"/><Relationship Id="rId1391" Type="http://schemas.openxmlformats.org/officeDocument/2006/relationships/hyperlink" Target="mailto:shivchem@hotmail.com" TargetMode="External"/><Relationship Id="rId1392" Type="http://schemas.openxmlformats.org/officeDocument/2006/relationships/hyperlink" Target="https://akshar-exim-company-pvt-ltd.odoo.com/web" TargetMode="External"/><Relationship Id="rId1393" Type="http://schemas.openxmlformats.org/officeDocument/2006/relationships/hyperlink" Target="mailto:malaya123avit@gmail.com" TargetMode="External"/><Relationship Id="rId1394" Type="http://schemas.openxmlformats.org/officeDocument/2006/relationships/hyperlink" Target="https://akshar-exim-company-pvt-ltd.odoo.com/web" TargetMode="External"/><Relationship Id="rId4420" Type="http://schemas.openxmlformats.org/officeDocument/2006/relationships/hyperlink" Target="https://akshar-exim-company-pvt-ltd.odoo.com/web" TargetMode="External"/><Relationship Id="rId1395" Type="http://schemas.openxmlformats.org/officeDocument/2006/relationships/hyperlink" Target="mailto:tanmay.bhakta88@gmail.com" TargetMode="External"/><Relationship Id="rId1396" Type="http://schemas.openxmlformats.org/officeDocument/2006/relationships/hyperlink" Target="https://akshar-exim-company-pvt-ltd.odoo.com/web" TargetMode="External"/><Relationship Id="rId4422" Type="http://schemas.openxmlformats.org/officeDocument/2006/relationships/hyperlink" Target="https://akshar-exim-company-pvt-ltd.odoo.com/web" TargetMode="External"/><Relationship Id="rId1397" Type="http://schemas.openxmlformats.org/officeDocument/2006/relationships/hyperlink" Target="https://akshar-exim-company-pvt-ltd.odoo.com/web" TargetMode="External"/><Relationship Id="rId4421" Type="http://schemas.openxmlformats.org/officeDocument/2006/relationships/hyperlink" Target="https://akshar-exim-company-pvt-ltd.odoo.com/web" TargetMode="External"/><Relationship Id="rId1398" Type="http://schemas.openxmlformats.org/officeDocument/2006/relationships/hyperlink" Target="mailto:konersanjoysvist1984@gmail.com" TargetMode="External"/><Relationship Id="rId4424" Type="http://schemas.openxmlformats.org/officeDocument/2006/relationships/hyperlink" Target="https://akshar-exim-company-pvt-ltd.odoo.com/web" TargetMode="External"/><Relationship Id="rId1399" Type="http://schemas.openxmlformats.org/officeDocument/2006/relationships/hyperlink" Target="https://akshar-exim-company-pvt-ltd.odoo.com/web" TargetMode="External"/><Relationship Id="rId4423" Type="http://schemas.openxmlformats.org/officeDocument/2006/relationships/hyperlink" Target="https://akshar-exim-company-pvt-ltd.odoo.com/web" TargetMode="External"/><Relationship Id="rId1389" Type="http://schemas.openxmlformats.org/officeDocument/2006/relationships/hyperlink" Target="mailto:kumar6soumen985100@gmail.com" TargetMode="External"/><Relationship Id="rId4415" Type="http://schemas.openxmlformats.org/officeDocument/2006/relationships/hyperlink" Target="https://akshar-exim-company-pvt-ltd.odoo.com/web" TargetMode="External"/><Relationship Id="rId4414" Type="http://schemas.openxmlformats.org/officeDocument/2006/relationships/hyperlink" Target="https://akshar-exim-company-pvt-ltd.odoo.com/web" TargetMode="External"/><Relationship Id="rId4417" Type="http://schemas.openxmlformats.org/officeDocument/2006/relationships/hyperlink" Target="https://akshar-exim-company-pvt-ltd.odoo.com/web" TargetMode="External"/><Relationship Id="rId4416" Type="http://schemas.openxmlformats.org/officeDocument/2006/relationships/hyperlink" Target="https://akshar-exim-company-pvt-ltd.odoo.com/web" TargetMode="External"/><Relationship Id="rId4419" Type="http://schemas.openxmlformats.org/officeDocument/2006/relationships/hyperlink" Target="https://akshar-exim-company-pvt-ltd.odoo.com/web" TargetMode="External"/><Relationship Id="rId4418" Type="http://schemas.openxmlformats.org/officeDocument/2006/relationships/hyperlink" Target="https://akshar-exim-company-pvt-ltd.odoo.com/web" TargetMode="External"/><Relationship Id="rId799" Type="http://schemas.openxmlformats.org/officeDocument/2006/relationships/hyperlink" Target="https://akshar-exim-company-pvt-ltd.odoo.com/web" TargetMode="External"/><Relationship Id="rId798" Type="http://schemas.openxmlformats.org/officeDocument/2006/relationships/hyperlink" Target="mailto:goyalsanjay4374@gmail.com" TargetMode="External"/><Relationship Id="rId797" Type="http://schemas.openxmlformats.org/officeDocument/2006/relationships/hyperlink" Target="mailto:minahajquadri786@gmail.com" TargetMode="External"/><Relationship Id="rId1380" Type="http://schemas.openxmlformats.org/officeDocument/2006/relationships/hyperlink" Target="https://akshar-exim-company-pvt-ltd.odoo.com/web" TargetMode="External"/><Relationship Id="rId792" Type="http://schemas.openxmlformats.org/officeDocument/2006/relationships/hyperlink" Target="mailto:masawmajh@gmail.com" TargetMode="External"/><Relationship Id="rId1381" Type="http://schemas.openxmlformats.org/officeDocument/2006/relationships/hyperlink" Target="mailto:prosenjit.chakraborty@yahoo.co.in" TargetMode="External"/><Relationship Id="rId791" Type="http://schemas.openxmlformats.org/officeDocument/2006/relationships/hyperlink" Target="https://akshar-exim-company-pvt-ltd.odoo.com/web" TargetMode="External"/><Relationship Id="rId1382" Type="http://schemas.openxmlformats.org/officeDocument/2006/relationships/hyperlink" Target="https://akshar-exim-company-pvt-ltd.odoo.com/web" TargetMode="External"/><Relationship Id="rId790" Type="http://schemas.openxmlformats.org/officeDocument/2006/relationships/hyperlink" Target="mailto:agarwalsanjaykumar76@gmail.com" TargetMode="External"/><Relationship Id="rId1383" Type="http://schemas.openxmlformats.org/officeDocument/2006/relationships/hyperlink" Target="https://akshar-exim-company-pvt-ltd.odoo.com/web" TargetMode="External"/><Relationship Id="rId1384" Type="http://schemas.openxmlformats.org/officeDocument/2006/relationships/hyperlink" Target="mailto:exportsganapati@gmail.com" TargetMode="External"/><Relationship Id="rId796" Type="http://schemas.openxmlformats.org/officeDocument/2006/relationships/hyperlink" Target="https://akshar-exim-company-pvt-ltd.odoo.com/web" TargetMode="External"/><Relationship Id="rId1385" Type="http://schemas.openxmlformats.org/officeDocument/2006/relationships/hyperlink" Target="https://akshar-exim-company-pvt-ltd.odoo.com/web" TargetMode="External"/><Relationship Id="rId4411" Type="http://schemas.openxmlformats.org/officeDocument/2006/relationships/hyperlink" Target="https://akshar-exim-company-pvt-ltd.odoo.com/web" TargetMode="External"/><Relationship Id="rId795" Type="http://schemas.openxmlformats.org/officeDocument/2006/relationships/hyperlink" Target="https://akshar-exim-company-pvt-ltd.odoo.com/web" TargetMode="External"/><Relationship Id="rId1386" Type="http://schemas.openxmlformats.org/officeDocument/2006/relationships/hyperlink" Target="mailto:broy90@gmail.com" TargetMode="External"/><Relationship Id="rId4410" Type="http://schemas.openxmlformats.org/officeDocument/2006/relationships/hyperlink" Target="https://akshar-exim-company-pvt-ltd.odoo.com/web" TargetMode="External"/><Relationship Id="rId794" Type="http://schemas.openxmlformats.org/officeDocument/2006/relationships/hyperlink" Target="mailto:rkchem12@gmail.com" TargetMode="External"/><Relationship Id="rId1387" Type="http://schemas.openxmlformats.org/officeDocument/2006/relationships/hyperlink" Target="https://akshar-exim-company-pvt-ltd.odoo.com/web" TargetMode="External"/><Relationship Id="rId4413" Type="http://schemas.openxmlformats.org/officeDocument/2006/relationships/hyperlink" Target="https://akshar-exim-company-pvt-ltd.odoo.com/web" TargetMode="External"/><Relationship Id="rId793" Type="http://schemas.openxmlformats.org/officeDocument/2006/relationships/hyperlink" Target="https://akshar-exim-company-pvt-ltd.odoo.com/web" TargetMode="External"/><Relationship Id="rId1388" Type="http://schemas.openxmlformats.org/officeDocument/2006/relationships/hyperlink" Target="https://akshar-exim-company-pvt-ltd.odoo.com/web" TargetMode="External"/><Relationship Id="rId4412" Type="http://schemas.openxmlformats.org/officeDocument/2006/relationships/hyperlink" Target="https://akshar-exim-company-pvt-ltd.odoo.com/web" TargetMode="External"/><Relationship Id="rId3191" Type="http://schemas.openxmlformats.org/officeDocument/2006/relationships/hyperlink" Target="http://kshar-exim-company-pvt-ltd.odoo.com/web" TargetMode="External"/><Relationship Id="rId3190" Type="http://schemas.openxmlformats.org/officeDocument/2006/relationships/hyperlink" Target="https://akshar-exim-company-pvt-ltd.odoo.com/web" TargetMode="External"/><Relationship Id="rId3193" Type="http://schemas.openxmlformats.org/officeDocument/2006/relationships/hyperlink" Target="mailto:samson_traders@ymail.com" TargetMode="External"/><Relationship Id="rId3192" Type="http://schemas.openxmlformats.org/officeDocument/2006/relationships/hyperlink" Target="https://akshar-exim-company-pvt-ltd.odoo.com/web" TargetMode="External"/><Relationship Id="rId3195" Type="http://schemas.openxmlformats.org/officeDocument/2006/relationships/hyperlink" Target="https://akshar-exim-company-pvt-ltd.odoo.com/web" TargetMode="External"/><Relationship Id="rId3194" Type="http://schemas.openxmlformats.org/officeDocument/2006/relationships/hyperlink" Target="https://akshar-exim-company-pvt-ltd.odoo.com/web" TargetMode="External"/><Relationship Id="rId3197" Type="http://schemas.openxmlformats.org/officeDocument/2006/relationships/hyperlink" Target="https://akshar-exim-company-pvt-ltd.odoo.com/web" TargetMode="External"/><Relationship Id="rId3196" Type="http://schemas.openxmlformats.org/officeDocument/2006/relationships/hyperlink" Target="https://akshar-exim-company-pvt-ltd.odoo.com/web" TargetMode="External"/><Relationship Id="rId3199" Type="http://schemas.openxmlformats.org/officeDocument/2006/relationships/hyperlink" Target="mailto:sourojitpal@cumi.murugappa.com" TargetMode="External"/><Relationship Id="rId3198" Type="http://schemas.openxmlformats.org/officeDocument/2006/relationships/hyperlink" Target="http://kshar-exim-company-pvt-ltd.odoo.com/web" TargetMode="External"/><Relationship Id="rId3180" Type="http://schemas.openxmlformats.org/officeDocument/2006/relationships/hyperlink" Target="mailto:bansalsumit416@gmail.com" TargetMode="External"/><Relationship Id="rId3182" Type="http://schemas.openxmlformats.org/officeDocument/2006/relationships/hyperlink" Target="mailto:tufazulhasan@gmail.com" TargetMode="External"/><Relationship Id="rId3181" Type="http://schemas.openxmlformats.org/officeDocument/2006/relationships/hyperlink" Target="https://akshar-exim-company-pvt-ltd.odoo.com/web" TargetMode="External"/><Relationship Id="rId3184" Type="http://schemas.openxmlformats.org/officeDocument/2006/relationships/hyperlink" Target="mailto:anandmaniyar0303@gmail.com" TargetMode="External"/><Relationship Id="rId3183" Type="http://schemas.openxmlformats.org/officeDocument/2006/relationships/hyperlink" Target="https://akshar-exim-company-pvt-ltd.odoo.com/web" TargetMode="External"/><Relationship Id="rId3186" Type="http://schemas.openxmlformats.org/officeDocument/2006/relationships/hyperlink" Target="https://akshar-exim-company-pvt-ltd.odoo.com/web" TargetMode="External"/><Relationship Id="rId3185" Type="http://schemas.openxmlformats.org/officeDocument/2006/relationships/hyperlink" Target="https://akshar-exim-company-pvt-ltd.odoo.com/web" TargetMode="External"/><Relationship Id="rId3188" Type="http://schemas.openxmlformats.org/officeDocument/2006/relationships/hyperlink" Target="https://akshar-exim-company-pvt-ltd.odoo.com/web" TargetMode="External"/><Relationship Id="rId3187" Type="http://schemas.openxmlformats.org/officeDocument/2006/relationships/hyperlink" Target="https://akshar-exim-company-pvt-ltd.odoo.com/web" TargetMode="External"/><Relationship Id="rId3189" Type="http://schemas.openxmlformats.org/officeDocument/2006/relationships/hyperlink" Target="https://akshar-exim-company-pvt-ltd.odoo.com/web" TargetMode="External"/><Relationship Id="rId4480" Type="http://schemas.openxmlformats.org/officeDocument/2006/relationships/hyperlink" Target="https://akshar-exim-company-pvt-ltd.odoo.com/web" TargetMode="External"/><Relationship Id="rId3151" Type="http://schemas.openxmlformats.org/officeDocument/2006/relationships/hyperlink" Target="https://akshar-exim-company-pvt-ltd.odoo.com/web" TargetMode="External"/><Relationship Id="rId4482" Type="http://schemas.openxmlformats.org/officeDocument/2006/relationships/hyperlink" Target="https://akshar-exim-company-pvt-ltd.odoo.com/web" TargetMode="External"/><Relationship Id="rId3150" Type="http://schemas.openxmlformats.org/officeDocument/2006/relationships/hyperlink" Target="mailto:spancocareer@gmail.com" TargetMode="External"/><Relationship Id="rId4481" Type="http://schemas.openxmlformats.org/officeDocument/2006/relationships/hyperlink" Target="https://akshar-exim-company-pvt-ltd.odoo.com/web" TargetMode="External"/><Relationship Id="rId3153" Type="http://schemas.openxmlformats.org/officeDocument/2006/relationships/hyperlink" Target="https://akshar-exim-company-pvt-ltd.odoo.com/web" TargetMode="External"/><Relationship Id="rId4484" Type="http://schemas.openxmlformats.org/officeDocument/2006/relationships/hyperlink" Target="https://akshar-exim-company-pvt-ltd.odoo.com/web" TargetMode="External"/><Relationship Id="rId3152" Type="http://schemas.openxmlformats.org/officeDocument/2006/relationships/hyperlink" Target="mailto:amalcsekhar34@gmail.com" TargetMode="External"/><Relationship Id="rId4483" Type="http://schemas.openxmlformats.org/officeDocument/2006/relationships/hyperlink" Target="https://akshar-exim-company-pvt-ltd.odoo.com/web" TargetMode="External"/><Relationship Id="rId3155" Type="http://schemas.openxmlformats.org/officeDocument/2006/relationships/hyperlink" Target="https://akshar-exim-company-pvt-ltd.odoo.com/web" TargetMode="External"/><Relationship Id="rId4486" Type="http://schemas.openxmlformats.org/officeDocument/2006/relationships/hyperlink" Target="https://akshar-exim-company-pvt-ltd.odoo.com/web" TargetMode="External"/><Relationship Id="rId3154" Type="http://schemas.openxmlformats.org/officeDocument/2006/relationships/hyperlink" Target="mailto:xamarsinghx@gmail.com" TargetMode="External"/><Relationship Id="rId4485" Type="http://schemas.openxmlformats.org/officeDocument/2006/relationships/hyperlink" Target="https://akshar-exim-company-pvt-ltd.odoo.com/web" TargetMode="External"/><Relationship Id="rId3157" Type="http://schemas.openxmlformats.org/officeDocument/2006/relationships/hyperlink" Target="https://akshar-exim-company-pvt-ltd.odoo.com/web" TargetMode="External"/><Relationship Id="rId4488" Type="http://schemas.openxmlformats.org/officeDocument/2006/relationships/hyperlink" Target="https://akshar-exim-company-pvt-ltd.odoo.com/web" TargetMode="External"/><Relationship Id="rId3156" Type="http://schemas.openxmlformats.org/officeDocument/2006/relationships/hyperlink" Target="mailto:purchase@synovachemicals.com" TargetMode="External"/><Relationship Id="rId4487" Type="http://schemas.openxmlformats.org/officeDocument/2006/relationships/hyperlink" Target="https://akshar-exim-company-pvt-ltd.odoo.com/web" TargetMode="External"/><Relationship Id="rId3159" Type="http://schemas.openxmlformats.org/officeDocument/2006/relationships/hyperlink" Target="https://akshar-exim-company-pvt-ltd.odoo.com/web" TargetMode="External"/><Relationship Id="rId3158" Type="http://schemas.openxmlformats.org/officeDocument/2006/relationships/hyperlink" Target="mailto:sumitsamanta544@gmail.com" TargetMode="External"/><Relationship Id="rId4489" Type="http://schemas.openxmlformats.org/officeDocument/2006/relationships/hyperlink" Target="https://akshar-exim-company-pvt-ltd.odoo.com/web" TargetMode="External"/><Relationship Id="rId3149" Type="http://schemas.openxmlformats.org/officeDocument/2006/relationships/hyperlink" Target="https://akshar-exim-company-pvt-ltd.odoo.com/web" TargetMode="External"/><Relationship Id="rId3140" Type="http://schemas.openxmlformats.org/officeDocument/2006/relationships/hyperlink" Target="mailto:info@desmet.in" TargetMode="External"/><Relationship Id="rId4471" Type="http://schemas.openxmlformats.org/officeDocument/2006/relationships/hyperlink" Target="https://akshar-exim-company-pvt-ltd.odoo.com/web" TargetMode="External"/><Relationship Id="rId4470" Type="http://schemas.openxmlformats.org/officeDocument/2006/relationships/hyperlink" Target="https://akshar-exim-company-pvt-ltd.odoo.com/web" TargetMode="External"/><Relationship Id="rId3142" Type="http://schemas.openxmlformats.org/officeDocument/2006/relationships/hyperlink" Target="mailto:yashy9510@gmail.com" TargetMode="External"/><Relationship Id="rId4473" Type="http://schemas.openxmlformats.org/officeDocument/2006/relationships/hyperlink" Target="https://akshar-exim-company-pvt-ltd.odoo.com/web" TargetMode="External"/><Relationship Id="rId3141" Type="http://schemas.openxmlformats.org/officeDocument/2006/relationships/hyperlink" Target="https://akshar-exim-company-pvt-ltd.odoo.com/web" TargetMode="External"/><Relationship Id="rId4472" Type="http://schemas.openxmlformats.org/officeDocument/2006/relationships/hyperlink" Target="https://akshar-exim-company-pvt-ltd.odoo.com/web" TargetMode="External"/><Relationship Id="rId3144" Type="http://schemas.openxmlformats.org/officeDocument/2006/relationships/hyperlink" Target="https://akshar-exim-company-pvt-ltd.odoo.com/web" TargetMode="External"/><Relationship Id="rId4475" Type="http://schemas.openxmlformats.org/officeDocument/2006/relationships/hyperlink" Target="https://akshar-exim-company-pvt-ltd.odoo.com/web" TargetMode="External"/><Relationship Id="rId3143" Type="http://schemas.openxmlformats.org/officeDocument/2006/relationships/hyperlink" Target="https://akshar-exim-company-pvt-ltd.odoo.com/web" TargetMode="External"/><Relationship Id="rId4474" Type="http://schemas.openxmlformats.org/officeDocument/2006/relationships/hyperlink" Target="https://akshar-exim-company-pvt-ltd.odoo.com/web" TargetMode="External"/><Relationship Id="rId3146" Type="http://schemas.openxmlformats.org/officeDocument/2006/relationships/hyperlink" Target="mailto:nitish.2670@gmail.com" TargetMode="External"/><Relationship Id="rId4477" Type="http://schemas.openxmlformats.org/officeDocument/2006/relationships/hyperlink" Target="https://akshar-exim-company-pvt-ltd.odoo.com/web" TargetMode="External"/><Relationship Id="rId3145" Type="http://schemas.openxmlformats.org/officeDocument/2006/relationships/hyperlink" Target="https://akshar-exim-company-pvt-ltd.odoo.com/web" TargetMode="External"/><Relationship Id="rId4476" Type="http://schemas.openxmlformats.org/officeDocument/2006/relationships/hyperlink" Target="https://akshar-exim-company-pvt-ltd.odoo.com/web" TargetMode="External"/><Relationship Id="rId3148" Type="http://schemas.openxmlformats.org/officeDocument/2006/relationships/hyperlink" Target="mailto:mehta.traders@gmail.com" TargetMode="External"/><Relationship Id="rId4479" Type="http://schemas.openxmlformats.org/officeDocument/2006/relationships/hyperlink" Target="https://akshar-exim-company-pvt-ltd.odoo.com/web" TargetMode="External"/><Relationship Id="rId3147" Type="http://schemas.openxmlformats.org/officeDocument/2006/relationships/hyperlink" Target="https://akshar-exim-company-pvt-ltd.odoo.com/web" TargetMode="External"/><Relationship Id="rId4478" Type="http://schemas.openxmlformats.org/officeDocument/2006/relationships/hyperlink" Target="https://akshar-exim-company-pvt-ltd.odoo.com/web" TargetMode="External"/><Relationship Id="rId3171" Type="http://schemas.openxmlformats.org/officeDocument/2006/relationships/hyperlink" Target="https://akshar-exim-company-pvt-ltd.odoo.com/web" TargetMode="External"/><Relationship Id="rId3170" Type="http://schemas.openxmlformats.org/officeDocument/2006/relationships/hyperlink" Target="mailto:svsantosh47@gmail.com" TargetMode="External"/><Relationship Id="rId3173" Type="http://schemas.openxmlformats.org/officeDocument/2006/relationships/hyperlink" Target="mailto:abhaikumarshukla@gmail.com" TargetMode="External"/><Relationship Id="rId3172" Type="http://schemas.openxmlformats.org/officeDocument/2006/relationships/hyperlink" Target="https://akshar-exim-company-pvt-ltd.odoo.com/web" TargetMode="External"/><Relationship Id="rId3175" Type="http://schemas.openxmlformats.org/officeDocument/2006/relationships/hyperlink" Target="https://akshar-exim-company-pvt-ltd.odoo.com/web" TargetMode="External"/><Relationship Id="rId3174" Type="http://schemas.openxmlformats.org/officeDocument/2006/relationships/hyperlink" Target="https://akshar-exim-company-pvt-ltd.odoo.com/web" TargetMode="External"/><Relationship Id="rId3177" Type="http://schemas.openxmlformats.org/officeDocument/2006/relationships/hyperlink" Target="https://akshar-exim-company-pvt-ltd.odoo.com/web" TargetMode="External"/><Relationship Id="rId3176" Type="http://schemas.openxmlformats.org/officeDocument/2006/relationships/hyperlink" Target="https://akshar-exim-company-pvt-ltd.odoo.com/web" TargetMode="External"/><Relationship Id="rId3179" Type="http://schemas.openxmlformats.org/officeDocument/2006/relationships/hyperlink" Target="https://akshar-exim-company-pvt-ltd.odoo.com/web" TargetMode="External"/><Relationship Id="rId3178" Type="http://schemas.openxmlformats.org/officeDocument/2006/relationships/hyperlink" Target="https://akshar-exim-company-pvt-ltd.odoo.com/web" TargetMode="External"/><Relationship Id="rId3160" Type="http://schemas.openxmlformats.org/officeDocument/2006/relationships/hyperlink" Target="mailto:manojchoudhary33@yahoo.co.in" TargetMode="External"/><Relationship Id="rId4491" Type="http://schemas.openxmlformats.org/officeDocument/2006/relationships/hyperlink" Target="https://akshar-exim-company-pvt-ltd.odoo.com/web" TargetMode="External"/><Relationship Id="rId4490" Type="http://schemas.openxmlformats.org/officeDocument/2006/relationships/hyperlink" Target="https://akshar-exim-company-pvt-ltd.odoo.com/web" TargetMode="External"/><Relationship Id="rId3162" Type="http://schemas.openxmlformats.org/officeDocument/2006/relationships/hyperlink" Target="mailto:fazilq86899@gmail.com" TargetMode="External"/><Relationship Id="rId4493" Type="http://schemas.openxmlformats.org/officeDocument/2006/relationships/hyperlink" Target="https://akshar-exim-company-pvt-ltd.odoo.com/web" TargetMode="External"/><Relationship Id="rId3161" Type="http://schemas.openxmlformats.org/officeDocument/2006/relationships/hyperlink" Target="https://akshar-exim-company-pvt-ltd.odoo.com/web" TargetMode="External"/><Relationship Id="rId4492" Type="http://schemas.openxmlformats.org/officeDocument/2006/relationships/hyperlink" Target="https://akshar-exim-company-pvt-ltd.odoo.com/web" TargetMode="External"/><Relationship Id="rId3164" Type="http://schemas.openxmlformats.org/officeDocument/2006/relationships/hyperlink" Target="mailto:salauddinsheikh@rediffmail.com" TargetMode="External"/><Relationship Id="rId4495" Type="http://schemas.openxmlformats.org/officeDocument/2006/relationships/hyperlink" Target="https://akshar-exim-company-pvt-ltd.odoo.com/web" TargetMode="External"/><Relationship Id="rId3163" Type="http://schemas.openxmlformats.org/officeDocument/2006/relationships/hyperlink" Target="https://akshar-exim-company-pvt-ltd.odoo.com/web" TargetMode="External"/><Relationship Id="rId4494" Type="http://schemas.openxmlformats.org/officeDocument/2006/relationships/hyperlink" Target="https://akshar-exim-company-pvt-ltd.odoo.com/web" TargetMode="External"/><Relationship Id="rId3166" Type="http://schemas.openxmlformats.org/officeDocument/2006/relationships/hyperlink" Target="https://akshar-exim-company-pvt-ltd.odoo.com/web" TargetMode="External"/><Relationship Id="rId4497" Type="http://schemas.openxmlformats.org/officeDocument/2006/relationships/hyperlink" Target="https://akshar-exim-company-pvt-ltd.odoo.com/web" TargetMode="External"/><Relationship Id="rId3165" Type="http://schemas.openxmlformats.org/officeDocument/2006/relationships/hyperlink" Target="https://akshar-exim-company-pvt-ltd.odoo.com/web" TargetMode="External"/><Relationship Id="rId4496" Type="http://schemas.openxmlformats.org/officeDocument/2006/relationships/hyperlink" Target="https://akshar-exim-company-pvt-ltd.odoo.com/web" TargetMode="External"/><Relationship Id="rId3168" Type="http://schemas.openxmlformats.org/officeDocument/2006/relationships/hyperlink" Target="mailto:ratnament@yahoo.com" TargetMode="External"/><Relationship Id="rId4499" Type="http://schemas.openxmlformats.org/officeDocument/2006/relationships/hyperlink" Target="https://akshar-exim-company-pvt-ltd.odoo.com/web" TargetMode="External"/><Relationship Id="rId3167" Type="http://schemas.openxmlformats.org/officeDocument/2006/relationships/hyperlink" Target="https://akshar-exim-company-pvt-ltd.odoo.com/web" TargetMode="External"/><Relationship Id="rId4498" Type="http://schemas.openxmlformats.org/officeDocument/2006/relationships/hyperlink" Target="https://akshar-exim-company-pvt-ltd.odoo.com/web" TargetMode="External"/><Relationship Id="rId3169" Type="http://schemas.openxmlformats.org/officeDocument/2006/relationships/hyperlink" Target="https://akshar-exim-company-pvt-ltd.odoo.com/web" TargetMode="External"/><Relationship Id="rId2700" Type="http://schemas.openxmlformats.org/officeDocument/2006/relationships/hyperlink" Target="https://akshar-exim-company-pvt-ltd.odoo.com/web" TargetMode="External"/><Relationship Id="rId2701" Type="http://schemas.openxmlformats.org/officeDocument/2006/relationships/hyperlink" Target="https://akshar-exim-company-pvt-ltd.odoo.com/web" TargetMode="External"/><Relationship Id="rId2702" Type="http://schemas.openxmlformats.org/officeDocument/2006/relationships/hyperlink" Target="https://akshar-exim-company-pvt-ltd.odoo.com/web" TargetMode="External"/><Relationship Id="rId2703" Type="http://schemas.openxmlformats.org/officeDocument/2006/relationships/hyperlink" Target="https://akshar-exim-company-pvt-ltd.odoo.com/web" TargetMode="External"/><Relationship Id="rId2704" Type="http://schemas.openxmlformats.org/officeDocument/2006/relationships/hyperlink" Target="https://akshar-exim-company-pvt-ltd.odoo.com/web" TargetMode="External"/><Relationship Id="rId2705" Type="http://schemas.openxmlformats.org/officeDocument/2006/relationships/hyperlink" Target="https://akshar-exim-company-pvt-ltd.odoo.com/web" TargetMode="External"/><Relationship Id="rId2706" Type="http://schemas.openxmlformats.org/officeDocument/2006/relationships/hyperlink" Target="mailto:technotankindustries@gmail.com" TargetMode="External"/><Relationship Id="rId2707" Type="http://schemas.openxmlformats.org/officeDocument/2006/relationships/hyperlink" Target="https://akshar-exim-company-pvt-ltd.odoo.com/web" TargetMode="External"/><Relationship Id="rId2708" Type="http://schemas.openxmlformats.org/officeDocument/2006/relationships/hyperlink" Target="https://akshar-exim-company-pvt-ltd.odoo.com/web" TargetMode="External"/><Relationship Id="rId2709" Type="http://schemas.openxmlformats.org/officeDocument/2006/relationships/hyperlink" Target="https://akshar-exim-company-pvt-ltd.odoo.com/web" TargetMode="External"/><Relationship Id="rId2720" Type="http://schemas.openxmlformats.org/officeDocument/2006/relationships/hyperlink" Target="https://akshar-exim-company-pvt-ltd.odoo.com/web" TargetMode="External"/><Relationship Id="rId2721" Type="http://schemas.openxmlformats.org/officeDocument/2006/relationships/hyperlink" Target="https://akshar-exim-company-pvt-ltd.odoo.com/web" TargetMode="External"/><Relationship Id="rId2722" Type="http://schemas.openxmlformats.org/officeDocument/2006/relationships/hyperlink" Target="https://akshar-exim-company-pvt-ltd.odoo.com/web" TargetMode="External"/><Relationship Id="rId2723" Type="http://schemas.openxmlformats.org/officeDocument/2006/relationships/hyperlink" Target="https://akshar-exim-company-pvt-ltd.odoo.com/web" TargetMode="External"/><Relationship Id="rId2724" Type="http://schemas.openxmlformats.org/officeDocument/2006/relationships/hyperlink" Target="https://akshar-exim-company-pvt-ltd.odoo.com/web" TargetMode="External"/><Relationship Id="rId2725" Type="http://schemas.openxmlformats.org/officeDocument/2006/relationships/hyperlink" Target="https://akshar-exim-company-pvt-ltd.odoo.com/web" TargetMode="External"/><Relationship Id="rId2726" Type="http://schemas.openxmlformats.org/officeDocument/2006/relationships/hyperlink" Target="https://akshar-exim-company-pvt-ltd.odoo.com/web" TargetMode="External"/><Relationship Id="rId2727" Type="http://schemas.openxmlformats.org/officeDocument/2006/relationships/hyperlink" Target="https://akshar-exim-company-pvt-ltd.odoo.com/web" TargetMode="External"/><Relationship Id="rId2728" Type="http://schemas.openxmlformats.org/officeDocument/2006/relationships/hyperlink" Target="https://akshar-exim-company-pvt-ltd.odoo.com/web" TargetMode="External"/><Relationship Id="rId2729" Type="http://schemas.openxmlformats.org/officeDocument/2006/relationships/hyperlink" Target="https://akshar-exim-company-pvt-ltd.odoo.com/web" TargetMode="External"/><Relationship Id="rId2710" Type="http://schemas.openxmlformats.org/officeDocument/2006/relationships/hyperlink" Target="https://akshar-exim-company-pvt-ltd.odoo.com/web" TargetMode="External"/><Relationship Id="rId2711" Type="http://schemas.openxmlformats.org/officeDocument/2006/relationships/hyperlink" Target="https://akshar-exim-company-pvt-ltd.odoo.com/web" TargetMode="External"/><Relationship Id="rId2712" Type="http://schemas.openxmlformats.org/officeDocument/2006/relationships/hyperlink" Target="https://akshar-exim-company-pvt-ltd.odoo.com/web" TargetMode="External"/><Relationship Id="rId2713" Type="http://schemas.openxmlformats.org/officeDocument/2006/relationships/hyperlink" Target="https://akshar-exim-company-pvt-ltd.odoo.com/web" TargetMode="External"/><Relationship Id="rId2714" Type="http://schemas.openxmlformats.org/officeDocument/2006/relationships/hyperlink" Target="https://akshar-exim-company-pvt-ltd.odoo.com/web" TargetMode="External"/><Relationship Id="rId2715" Type="http://schemas.openxmlformats.org/officeDocument/2006/relationships/hyperlink" Target="https://akshar-exim-company-pvt-ltd.odoo.com/web" TargetMode="External"/><Relationship Id="rId2716" Type="http://schemas.openxmlformats.org/officeDocument/2006/relationships/hyperlink" Target="https://akshar-exim-company-pvt-ltd.odoo.com/web" TargetMode="External"/><Relationship Id="rId2717" Type="http://schemas.openxmlformats.org/officeDocument/2006/relationships/hyperlink" Target="https://akshar-exim-company-pvt-ltd.odoo.com/web" TargetMode="External"/><Relationship Id="rId2718" Type="http://schemas.openxmlformats.org/officeDocument/2006/relationships/hyperlink" Target="https://akshar-exim-company-pvt-ltd.odoo.com/web" TargetMode="External"/><Relationship Id="rId2719" Type="http://schemas.openxmlformats.org/officeDocument/2006/relationships/hyperlink" Target="https://akshar-exim-company-pvt-ltd.odoo.com/web" TargetMode="External"/><Relationship Id="rId1455" Type="http://schemas.openxmlformats.org/officeDocument/2006/relationships/hyperlink" Target="https://akshar-exim-company-pvt-ltd.odoo.com/web" TargetMode="External"/><Relationship Id="rId2786" Type="http://schemas.openxmlformats.org/officeDocument/2006/relationships/hyperlink" Target="https://akshar-exim-company-pvt-ltd.odoo.com/web" TargetMode="External"/><Relationship Id="rId1456" Type="http://schemas.openxmlformats.org/officeDocument/2006/relationships/hyperlink" Target="mailto:arpitado@gmail.com" TargetMode="External"/><Relationship Id="rId2787" Type="http://schemas.openxmlformats.org/officeDocument/2006/relationships/hyperlink" Target="https://akshar-exim-company-pvt-ltd.odoo.com/web" TargetMode="External"/><Relationship Id="rId1457" Type="http://schemas.openxmlformats.org/officeDocument/2006/relationships/hyperlink" Target="https://akshar-exim-company-pvt-ltd.odoo.com/web" TargetMode="External"/><Relationship Id="rId2788" Type="http://schemas.openxmlformats.org/officeDocument/2006/relationships/hyperlink" Target="https://akshar-exim-company-pvt-ltd.odoo.com/web" TargetMode="External"/><Relationship Id="rId1458" Type="http://schemas.openxmlformats.org/officeDocument/2006/relationships/hyperlink" Target="mailto:anujchemicals4@gmail.com" TargetMode="External"/><Relationship Id="rId2789" Type="http://schemas.openxmlformats.org/officeDocument/2006/relationships/hyperlink" Target="https://akshar-exim-company-pvt-ltd.odoo.com/web" TargetMode="External"/><Relationship Id="rId1459" Type="http://schemas.openxmlformats.org/officeDocument/2006/relationships/hyperlink" Target="https://akshar-exim-company-pvt-ltd.odoo.com/web" TargetMode="External"/><Relationship Id="rId629" Type="http://schemas.openxmlformats.org/officeDocument/2006/relationships/hyperlink" Target="mailto:niketsaraf@sudarshangroup.net" TargetMode="External"/><Relationship Id="rId624" Type="http://schemas.openxmlformats.org/officeDocument/2006/relationships/hyperlink" Target="mailto:syedh0448@gmail.com" TargetMode="External"/><Relationship Id="rId623" Type="http://schemas.openxmlformats.org/officeDocument/2006/relationships/hyperlink" Target="https://akshar-exim-company-pvt-ltd.odoo.com/web" TargetMode="External"/><Relationship Id="rId622" Type="http://schemas.openxmlformats.org/officeDocument/2006/relationships/hyperlink" Target="mailto:ambition.technical@gmail.com" TargetMode="External"/><Relationship Id="rId621" Type="http://schemas.openxmlformats.org/officeDocument/2006/relationships/hyperlink" Target="https://akshar-exim-company-pvt-ltd.odoo.com/web" TargetMode="External"/><Relationship Id="rId628" Type="http://schemas.openxmlformats.org/officeDocument/2006/relationships/hyperlink" Target="https://akshar-exim-company-pvt-ltd.odoo.com/web" TargetMode="External"/><Relationship Id="rId627" Type="http://schemas.openxmlformats.org/officeDocument/2006/relationships/hyperlink" Target="mailto:asif.chiplunkar@oycindia.com" TargetMode="External"/><Relationship Id="rId626" Type="http://schemas.openxmlformats.org/officeDocument/2006/relationships/hyperlink" Target="https://akshar-exim-company-pvt-ltd.odoo.com/web" TargetMode="External"/><Relationship Id="rId625" Type="http://schemas.openxmlformats.org/officeDocument/2006/relationships/hyperlink" Target="https://akshar-exim-company-pvt-ltd.odoo.com/web" TargetMode="External"/><Relationship Id="rId2780" Type="http://schemas.openxmlformats.org/officeDocument/2006/relationships/hyperlink" Target="https://akshar-exim-company-pvt-ltd.odoo.com/web" TargetMode="External"/><Relationship Id="rId1450" Type="http://schemas.openxmlformats.org/officeDocument/2006/relationships/hyperlink" Target="mailto:basu.sudipta@rediffmail.com" TargetMode="External"/><Relationship Id="rId2781" Type="http://schemas.openxmlformats.org/officeDocument/2006/relationships/hyperlink" Target="mailto:yashink4724@gmail.com" TargetMode="External"/><Relationship Id="rId620" Type="http://schemas.openxmlformats.org/officeDocument/2006/relationships/hyperlink" Target="https://akshar-exim-company-pvt-ltd.odoo.com/web" TargetMode="External"/><Relationship Id="rId1451" Type="http://schemas.openxmlformats.org/officeDocument/2006/relationships/hyperlink" Target="https://akshar-exim-company-pvt-ltd.odoo.com/web" TargetMode="External"/><Relationship Id="rId2782" Type="http://schemas.openxmlformats.org/officeDocument/2006/relationships/hyperlink" Target="https://akshar-exim-company-pvt-ltd.odoo.com/web" TargetMode="External"/><Relationship Id="rId1452" Type="http://schemas.openxmlformats.org/officeDocument/2006/relationships/hyperlink" Target="mailto:Kanha05@yahoo.com" TargetMode="External"/><Relationship Id="rId2783" Type="http://schemas.openxmlformats.org/officeDocument/2006/relationships/hyperlink" Target="https://akshar-exim-company-pvt-ltd.odoo.com/web" TargetMode="External"/><Relationship Id="rId1453" Type="http://schemas.openxmlformats.org/officeDocument/2006/relationships/hyperlink" Target="https://akshar-exim-company-pvt-ltd.odoo.com/web" TargetMode="External"/><Relationship Id="rId2784" Type="http://schemas.openxmlformats.org/officeDocument/2006/relationships/hyperlink" Target="mailto:dawnasit1234@gmail.com" TargetMode="External"/><Relationship Id="rId1454" Type="http://schemas.openxmlformats.org/officeDocument/2006/relationships/hyperlink" Target="mailto:universalproductssyb@gmail.com" TargetMode="External"/><Relationship Id="rId2785" Type="http://schemas.openxmlformats.org/officeDocument/2006/relationships/hyperlink" Target="http://sendgrid1.indiamart.com/ls/click?upn=7ZjsvDssK5dFAFsVN68Sn5hnmQo-2Frnyor48Y7e4HV-2BaYPQZO4ACCY5qRDXJ3Y-2BEzaU5avYAxAm2vW73u-2FBebbQ-3D-3DwHH6_xZzzR7eUdv-2BX6QkrpVLiiMBZ9LVGYpH3n58IcrMmG-2BnLBD3t6HkIBqHp0hbBHiGFFatwptsYbVQnKw5GpB5o0ZdH8LcERzKOyqefZOeiygibDn4LNjjGXLgccw-2FgYslyk2JaTra8zb-2BNE8lBGEQP5ogejZ7-2Bax8R3TF4f-2B9oZ9J67mkqvDDJwRrycPX8LH54MwkwW0eG9lXD0uVoiOT-2Bx93r8A0YaxW6D8ey-2FWPVBseMryY-2Ba7YcvvfyEdTqXnwzjJKcpOvAPDn7UycwDWI-2F1qhAX3KGbAaArnmn2yBksvGuM018TSMHOtrWN-2BbAuWB6siwWMWSa2MbfvhatH0uS8JSz0uWW7w6RqGfE1LxjqwprGH940C7TBxTedphzYZHltxUYWnsT9GQahzpfqOhFkKLt5QN7qi8518E7Kx3ZjkXwl33Xpw2PJ5rFnWp9bKimw1Ih8x0y3Oo-2FlWl1K6G0-2Fg-3D-3D" TargetMode="External"/><Relationship Id="rId1444" Type="http://schemas.openxmlformats.org/officeDocument/2006/relationships/hyperlink" Target="mailto:biranchi.cfa@gmail.com" TargetMode="External"/><Relationship Id="rId2775" Type="http://schemas.openxmlformats.org/officeDocument/2006/relationships/hyperlink" Target="https://akshar-exim-company-pvt-ltd.odoo.com/web" TargetMode="External"/><Relationship Id="rId1445" Type="http://schemas.openxmlformats.org/officeDocument/2006/relationships/hyperlink" Target="https://akshar-exim-company-pvt-ltd.odoo.com/web" TargetMode="External"/><Relationship Id="rId2776" Type="http://schemas.openxmlformats.org/officeDocument/2006/relationships/hyperlink" Target="https://akshar-exim-company-pvt-ltd.odoo.com/web" TargetMode="External"/><Relationship Id="rId1446" Type="http://schemas.openxmlformats.org/officeDocument/2006/relationships/hyperlink" Target="mailto:sudipmajee76@gmail.com" TargetMode="External"/><Relationship Id="rId2777" Type="http://schemas.openxmlformats.org/officeDocument/2006/relationships/hyperlink" Target="https://akshar-exim-company-pvt-ltd.odoo.com/web" TargetMode="External"/><Relationship Id="rId1447" Type="http://schemas.openxmlformats.org/officeDocument/2006/relationships/hyperlink" Target="https://akshar-exim-company-pvt-ltd.odoo.com/web" TargetMode="External"/><Relationship Id="rId2778" Type="http://schemas.openxmlformats.org/officeDocument/2006/relationships/hyperlink" Target="mailto:pkbajaj@gmail.com" TargetMode="External"/><Relationship Id="rId1448" Type="http://schemas.openxmlformats.org/officeDocument/2006/relationships/hyperlink" Target="mailto:padamjain.2011@rediffmail.com" TargetMode="External"/><Relationship Id="rId2779" Type="http://schemas.openxmlformats.org/officeDocument/2006/relationships/hyperlink" Target="https://akshar-exim-company-pvt-ltd.odoo.com/web" TargetMode="External"/><Relationship Id="rId1449" Type="http://schemas.openxmlformats.org/officeDocument/2006/relationships/hyperlink" Target="https://akshar-exim-company-pvt-ltd.odoo.com/web" TargetMode="External"/><Relationship Id="rId619" Type="http://schemas.openxmlformats.org/officeDocument/2006/relationships/hyperlink" Target="mailto:amitsenrocking@gmail.com" TargetMode="External"/><Relationship Id="rId618" Type="http://schemas.openxmlformats.org/officeDocument/2006/relationships/hyperlink" Target="https://akshar-exim-company-pvt-ltd.odoo.com/web" TargetMode="External"/><Relationship Id="rId613" Type="http://schemas.openxmlformats.org/officeDocument/2006/relationships/hyperlink" Target="https://akshar-exim-company-pvt-ltd.odoo.com/web" TargetMode="External"/><Relationship Id="rId612" Type="http://schemas.openxmlformats.org/officeDocument/2006/relationships/hyperlink" Target="mailto:paul.akp12@gmail.com" TargetMode="External"/><Relationship Id="rId611" Type="http://schemas.openxmlformats.org/officeDocument/2006/relationships/hyperlink" Target="https://akshar-exim-company-pvt-ltd.odoo.com/web" TargetMode="External"/><Relationship Id="rId610" Type="http://schemas.openxmlformats.org/officeDocument/2006/relationships/hyperlink" Target="https://akshar-exim-company-pvt-ltd.odoo.com/web" TargetMode="External"/><Relationship Id="rId617" Type="http://schemas.openxmlformats.org/officeDocument/2006/relationships/hyperlink" Target="https://akshar-exim-company-pvt-ltd.odoo.com/web" TargetMode="External"/><Relationship Id="rId616" Type="http://schemas.openxmlformats.org/officeDocument/2006/relationships/hyperlink" Target="mailto:aradhaenterprise.service@gmail.com" TargetMode="External"/><Relationship Id="rId615" Type="http://schemas.openxmlformats.org/officeDocument/2006/relationships/hyperlink" Target="https://akshar-exim-company-pvt-ltd.odoo.com/web" TargetMode="External"/><Relationship Id="rId614" Type="http://schemas.openxmlformats.org/officeDocument/2006/relationships/hyperlink" Target="mailto:mobaraque.chem@gmail.com" TargetMode="External"/><Relationship Id="rId2770" Type="http://schemas.openxmlformats.org/officeDocument/2006/relationships/hyperlink" Target="https://akshar-exim-company-pvt-ltd.odoo.com/web" TargetMode="External"/><Relationship Id="rId1440" Type="http://schemas.openxmlformats.org/officeDocument/2006/relationships/hyperlink" Target="mailto:hindrasayan@hotmail.com" TargetMode="External"/><Relationship Id="rId2771" Type="http://schemas.openxmlformats.org/officeDocument/2006/relationships/hyperlink" Target="mailto:purchase@autonic.in" TargetMode="External"/><Relationship Id="rId1441" Type="http://schemas.openxmlformats.org/officeDocument/2006/relationships/hyperlink" Target="https://akshar-exim-company-pvt-ltd.odoo.com/web" TargetMode="External"/><Relationship Id="rId2772" Type="http://schemas.openxmlformats.org/officeDocument/2006/relationships/hyperlink" Target="https://akshar-exim-company-pvt-ltd.odoo.com/web" TargetMode="External"/><Relationship Id="rId1442" Type="http://schemas.openxmlformats.org/officeDocument/2006/relationships/hyperlink" Target="mailto:shreejieximcorp@gmail.com" TargetMode="External"/><Relationship Id="rId2773" Type="http://schemas.openxmlformats.org/officeDocument/2006/relationships/hyperlink" Target="https://akshar-exim-company-pvt-ltd.odoo.com/web" TargetMode="External"/><Relationship Id="rId1443" Type="http://schemas.openxmlformats.org/officeDocument/2006/relationships/hyperlink" Target="https://akshar-exim-company-pvt-ltd.odoo.com/web" TargetMode="External"/><Relationship Id="rId2774" Type="http://schemas.openxmlformats.org/officeDocument/2006/relationships/hyperlink" Target="https://akshar-exim-company-pvt-ltd.odoo.com/web" TargetMode="External"/><Relationship Id="rId1477" Type="http://schemas.openxmlformats.org/officeDocument/2006/relationships/hyperlink" Target="https://akshar-exim-company-pvt-ltd.odoo.com/web" TargetMode="External"/><Relationship Id="rId4503" Type="http://schemas.openxmlformats.org/officeDocument/2006/relationships/hyperlink" Target="https://akshar-exim-company-pvt-ltd.odoo.com/web" TargetMode="External"/><Relationship Id="rId1478" Type="http://schemas.openxmlformats.org/officeDocument/2006/relationships/hyperlink" Target="mailto:mehulshah2422@yahoo.com" TargetMode="External"/><Relationship Id="rId4502" Type="http://schemas.openxmlformats.org/officeDocument/2006/relationships/hyperlink" Target="https://akshar-exim-company-pvt-ltd.odoo.com/web" TargetMode="External"/><Relationship Id="rId1479" Type="http://schemas.openxmlformats.org/officeDocument/2006/relationships/hyperlink" Target="https://akshar-exim-company-pvt-ltd.odoo.com/web" TargetMode="External"/><Relationship Id="rId4505" Type="http://schemas.openxmlformats.org/officeDocument/2006/relationships/hyperlink" Target="https://akshar-exim-company-pvt-ltd.odoo.com/web" TargetMode="External"/><Relationship Id="rId4504" Type="http://schemas.openxmlformats.org/officeDocument/2006/relationships/hyperlink" Target="https://akshar-exim-company-pvt-ltd.odoo.com/web" TargetMode="External"/><Relationship Id="rId4507" Type="http://schemas.openxmlformats.org/officeDocument/2006/relationships/hyperlink" Target="https://akshar-exim-company-pvt-ltd.odoo.com/web" TargetMode="External"/><Relationship Id="rId4506" Type="http://schemas.openxmlformats.org/officeDocument/2006/relationships/hyperlink" Target="https://akshar-exim-company-pvt-ltd.odoo.com/web" TargetMode="External"/><Relationship Id="rId4509" Type="http://schemas.openxmlformats.org/officeDocument/2006/relationships/hyperlink" Target="https://akshar-exim-company-pvt-ltd.odoo.com/web" TargetMode="External"/><Relationship Id="rId4508" Type="http://schemas.openxmlformats.org/officeDocument/2006/relationships/hyperlink" Target="https://akshar-exim-company-pvt-ltd.odoo.com/web" TargetMode="External"/><Relationship Id="rId646" Type="http://schemas.openxmlformats.org/officeDocument/2006/relationships/hyperlink" Target="https://akshar-exim-company-pvt-ltd.odoo.com/web" TargetMode="External"/><Relationship Id="rId645" Type="http://schemas.openxmlformats.org/officeDocument/2006/relationships/hyperlink" Target="mailto:munawaralam444@gmail.com" TargetMode="External"/><Relationship Id="rId644" Type="http://schemas.openxmlformats.org/officeDocument/2006/relationships/hyperlink" Target="https://akshar-exim-company-pvt-ltd.odoo.com/web" TargetMode="External"/><Relationship Id="rId643" Type="http://schemas.openxmlformats.org/officeDocument/2006/relationships/hyperlink" Target="https://akshar-exim-company-pvt-ltd.odoo.com/web" TargetMode="External"/><Relationship Id="rId649" Type="http://schemas.openxmlformats.org/officeDocument/2006/relationships/hyperlink" Target="mailto:clsappls@gmail.com" TargetMode="External"/><Relationship Id="rId648" Type="http://schemas.openxmlformats.org/officeDocument/2006/relationships/hyperlink" Target="https://akshar-exim-company-pvt-ltd.odoo.com/web" TargetMode="External"/><Relationship Id="rId647" Type="http://schemas.openxmlformats.org/officeDocument/2006/relationships/hyperlink" Target="mailto:Karanshahri@gmail.com" TargetMode="External"/><Relationship Id="rId1470" Type="http://schemas.openxmlformats.org/officeDocument/2006/relationships/hyperlink" Target="https://akshar-exim-company-pvt-ltd.odoo.com/web" TargetMode="External"/><Relationship Id="rId1471" Type="http://schemas.openxmlformats.org/officeDocument/2006/relationships/hyperlink" Target="mailto:dhiraj_das@rediffmail.com" TargetMode="External"/><Relationship Id="rId1472" Type="http://schemas.openxmlformats.org/officeDocument/2006/relationships/hyperlink" Target="https://akshar-exim-company-pvt-ltd.odoo.com/web" TargetMode="External"/><Relationship Id="rId642" Type="http://schemas.openxmlformats.org/officeDocument/2006/relationships/hyperlink" Target="mailto:kamlap93gbn@gmail.com" TargetMode="External"/><Relationship Id="rId1473" Type="http://schemas.openxmlformats.org/officeDocument/2006/relationships/hyperlink" Target="https://akshar-exim-company-pvt-ltd.odoo.com/web" TargetMode="External"/><Relationship Id="rId641" Type="http://schemas.openxmlformats.org/officeDocument/2006/relationships/hyperlink" Target="https://akshar-exim-company-pvt-ltd.odoo.com/web" TargetMode="External"/><Relationship Id="rId1474" Type="http://schemas.openxmlformats.org/officeDocument/2006/relationships/hyperlink" Target="mailto:mehtacomm@hotmail.com" TargetMode="External"/><Relationship Id="rId640" Type="http://schemas.openxmlformats.org/officeDocument/2006/relationships/hyperlink" Target="https://akshar-exim-company-pvt-ltd.odoo.com/web" TargetMode="External"/><Relationship Id="rId1475" Type="http://schemas.openxmlformats.org/officeDocument/2006/relationships/hyperlink" Target="https://akshar-exim-company-pvt-ltd.odoo.com/web" TargetMode="External"/><Relationship Id="rId4501" Type="http://schemas.openxmlformats.org/officeDocument/2006/relationships/hyperlink" Target="https://akshar-exim-company-pvt-ltd.odoo.com/web" TargetMode="External"/><Relationship Id="rId1476" Type="http://schemas.openxmlformats.org/officeDocument/2006/relationships/hyperlink" Target="mailto:info@mahavirexpochem.com" TargetMode="External"/><Relationship Id="rId4500" Type="http://schemas.openxmlformats.org/officeDocument/2006/relationships/hyperlink" Target="https://akshar-exim-company-pvt-ltd.odoo.com/web" TargetMode="External"/><Relationship Id="rId1466" Type="http://schemas.openxmlformats.org/officeDocument/2006/relationships/hyperlink" Target="https://akshar-exim-company-pvt-ltd.odoo.com/web" TargetMode="External"/><Relationship Id="rId2797" Type="http://schemas.openxmlformats.org/officeDocument/2006/relationships/hyperlink" Target="https://akshar-exim-company-pvt-ltd.odoo.com/web" TargetMode="External"/><Relationship Id="rId1467" Type="http://schemas.openxmlformats.org/officeDocument/2006/relationships/hyperlink" Target="mailto:sjayant735@gmail.com" TargetMode="External"/><Relationship Id="rId2798" Type="http://schemas.openxmlformats.org/officeDocument/2006/relationships/hyperlink" Target="https://akshar-exim-company-pvt-ltd.odoo.com/web" TargetMode="External"/><Relationship Id="rId1468" Type="http://schemas.openxmlformats.org/officeDocument/2006/relationships/hyperlink" Target="https://akshar-exim-company-pvt-ltd.odoo.com/web" TargetMode="External"/><Relationship Id="rId2799" Type="http://schemas.openxmlformats.org/officeDocument/2006/relationships/hyperlink" Target="mailto:mitul_2203@yahoo.co.in" TargetMode="External"/><Relationship Id="rId1469" Type="http://schemas.openxmlformats.org/officeDocument/2006/relationships/hyperlink" Target="mailto:nageshtendolkar@yahoo.com" TargetMode="External"/><Relationship Id="rId635" Type="http://schemas.openxmlformats.org/officeDocument/2006/relationships/hyperlink" Target="https://akshar-exim-company-pvt-ltd.odoo.com/web" TargetMode="External"/><Relationship Id="rId634" Type="http://schemas.openxmlformats.org/officeDocument/2006/relationships/hyperlink" Target="https://akshar-exim-company-pvt-ltd.odoo.com/web" TargetMode="External"/><Relationship Id="rId633" Type="http://schemas.openxmlformats.org/officeDocument/2006/relationships/hyperlink" Target="mailto:dipankarghosh988306@gmail.com" TargetMode="External"/><Relationship Id="rId632" Type="http://schemas.openxmlformats.org/officeDocument/2006/relationships/hyperlink" Target="https://akshar-exim-company-pvt-ltd.odoo.com/web" TargetMode="External"/><Relationship Id="rId639" Type="http://schemas.openxmlformats.org/officeDocument/2006/relationships/hyperlink" Target="mailto:kd.dinesh@polygonchemicals.com" TargetMode="External"/><Relationship Id="rId638" Type="http://schemas.openxmlformats.org/officeDocument/2006/relationships/hyperlink" Target="https://akshar-exim-company-pvt-ltd.odoo.com/web" TargetMode="External"/><Relationship Id="rId637" Type="http://schemas.openxmlformats.org/officeDocument/2006/relationships/hyperlink" Target="https://akshar-exim-company-pvt-ltd.odoo.com/web" TargetMode="External"/><Relationship Id="rId636" Type="http://schemas.openxmlformats.org/officeDocument/2006/relationships/hyperlink" Target="mailto:mafikul.sio@gmail.com" TargetMode="External"/><Relationship Id="rId2790" Type="http://schemas.openxmlformats.org/officeDocument/2006/relationships/hyperlink" Target="https://akshar-exim-company-pvt-ltd.odoo.com/web" TargetMode="External"/><Relationship Id="rId1460" Type="http://schemas.openxmlformats.org/officeDocument/2006/relationships/hyperlink" Target="mailto:ashokmanot@gmail.com" TargetMode="External"/><Relationship Id="rId2791" Type="http://schemas.openxmlformats.org/officeDocument/2006/relationships/hyperlink" Target="https://akshar-exim-company-pvt-ltd.odoo.com/web" TargetMode="External"/><Relationship Id="rId1461" Type="http://schemas.openxmlformats.org/officeDocument/2006/relationships/hyperlink" Target="https://akshar-exim-company-pvt-ltd.odoo.com/web" TargetMode="External"/><Relationship Id="rId2792" Type="http://schemas.openxmlformats.org/officeDocument/2006/relationships/hyperlink" Target="mailto:nirmal@abccpl.com" TargetMode="External"/><Relationship Id="rId631" Type="http://schemas.openxmlformats.org/officeDocument/2006/relationships/hyperlink" Target="mailto:anmspl@gmail.com" TargetMode="External"/><Relationship Id="rId1462" Type="http://schemas.openxmlformats.org/officeDocument/2006/relationships/hyperlink" Target="mailto:ac.aaeplp@sangkaj.com" TargetMode="External"/><Relationship Id="rId2793" Type="http://schemas.openxmlformats.org/officeDocument/2006/relationships/hyperlink" Target="https://akshar-exim-company-pvt-ltd.odoo.com/web" TargetMode="External"/><Relationship Id="rId630" Type="http://schemas.openxmlformats.org/officeDocument/2006/relationships/hyperlink" Target="https://akshar-exim-company-pvt-ltd.odoo.com/web" TargetMode="External"/><Relationship Id="rId1463" Type="http://schemas.openxmlformats.org/officeDocument/2006/relationships/hyperlink" Target="https://akshar-exim-company-pvt-ltd.odoo.com/web" TargetMode="External"/><Relationship Id="rId2794" Type="http://schemas.openxmlformats.org/officeDocument/2006/relationships/hyperlink" Target="mailto:raffath123@rediffmail.com" TargetMode="External"/><Relationship Id="rId1464" Type="http://schemas.openxmlformats.org/officeDocument/2006/relationships/hyperlink" Target="mailto:bapon.km@gmail.com" TargetMode="External"/><Relationship Id="rId2795" Type="http://schemas.openxmlformats.org/officeDocument/2006/relationships/hyperlink" Target="https://akshar-exim-company-pvt-ltd.odoo.com/web" TargetMode="External"/><Relationship Id="rId1465" Type="http://schemas.openxmlformats.org/officeDocument/2006/relationships/hyperlink" Target="https://akshar-exim-company-pvt-ltd.odoo.com/web" TargetMode="External"/><Relationship Id="rId2796" Type="http://schemas.openxmlformats.org/officeDocument/2006/relationships/hyperlink" Target="mailto:bijoyswain63@gmail.com" TargetMode="External"/><Relationship Id="rId1411" Type="http://schemas.openxmlformats.org/officeDocument/2006/relationships/hyperlink" Target="mailto:svikas7@yahoo.com" TargetMode="External"/><Relationship Id="rId2742" Type="http://schemas.openxmlformats.org/officeDocument/2006/relationships/hyperlink" Target="https://akshar-exim-company-pvt-ltd.odoo.com/web" TargetMode="External"/><Relationship Id="rId1412" Type="http://schemas.openxmlformats.org/officeDocument/2006/relationships/hyperlink" Target="https://akshar-exim-company-pvt-ltd.odoo.com/web" TargetMode="External"/><Relationship Id="rId2743" Type="http://schemas.openxmlformats.org/officeDocument/2006/relationships/hyperlink" Target="https://akshar-exim-company-pvt-ltd.odoo.com/web" TargetMode="External"/><Relationship Id="rId1413" Type="http://schemas.openxmlformats.org/officeDocument/2006/relationships/hyperlink" Target="https://akshar-exim-company-pvt-ltd.odoo.com/web" TargetMode="External"/><Relationship Id="rId2744" Type="http://schemas.openxmlformats.org/officeDocument/2006/relationships/hyperlink" Target="https://akshar-exim-company-pvt-ltd.odoo.com/web" TargetMode="External"/><Relationship Id="rId1414" Type="http://schemas.openxmlformats.org/officeDocument/2006/relationships/hyperlink" Target="mailto:rajesh.das4098@gmail.com" TargetMode="External"/><Relationship Id="rId2745" Type="http://schemas.openxmlformats.org/officeDocument/2006/relationships/hyperlink" Target="https://akshar-exim-company-pvt-ltd.odoo.com/web" TargetMode="External"/><Relationship Id="rId1415" Type="http://schemas.openxmlformats.org/officeDocument/2006/relationships/hyperlink" Target="https://akshar-exim-company-pvt-ltd.odoo.com/web" TargetMode="External"/><Relationship Id="rId2746" Type="http://schemas.openxmlformats.org/officeDocument/2006/relationships/hyperlink" Target="https://akshar-exim-company-pvt-ltd.odoo.com/web" TargetMode="External"/><Relationship Id="rId1416" Type="http://schemas.openxmlformats.org/officeDocument/2006/relationships/hyperlink" Target="https://akshar-exim-company-pvt-ltd.odoo.com/web" TargetMode="External"/><Relationship Id="rId2747" Type="http://schemas.openxmlformats.org/officeDocument/2006/relationships/hyperlink" Target="https://akshar-exim-company-pvt-ltd.odoo.com/web" TargetMode="External"/><Relationship Id="rId1417" Type="http://schemas.openxmlformats.org/officeDocument/2006/relationships/hyperlink" Target="https://akshar-exim-company-pvt-ltd.odoo.com/web" TargetMode="External"/><Relationship Id="rId2748" Type="http://schemas.openxmlformats.org/officeDocument/2006/relationships/hyperlink" Target="https://akshar-exim-company-pvt-ltd.odoo.com/web" TargetMode="External"/><Relationship Id="rId1418" Type="http://schemas.openxmlformats.org/officeDocument/2006/relationships/hyperlink" Target="http://akshar-exim-company-pvt-ltd.odoo.com/web" TargetMode="External"/><Relationship Id="rId2749" Type="http://schemas.openxmlformats.org/officeDocument/2006/relationships/hyperlink" Target="https://akshar-exim-company-pvt-ltd.odoo.com/web" TargetMode="External"/><Relationship Id="rId1419" Type="http://schemas.openxmlformats.org/officeDocument/2006/relationships/hyperlink" Target="mailto:shiladityaray2019@gmail.com" TargetMode="External"/><Relationship Id="rId2740" Type="http://schemas.openxmlformats.org/officeDocument/2006/relationships/hyperlink" Target="https://akshar-exim-company-pvt-ltd.odoo.com/web" TargetMode="External"/><Relationship Id="rId1410" Type="http://schemas.openxmlformats.org/officeDocument/2006/relationships/hyperlink" Target="https://akshar-exim-company-pvt-ltd.odoo.com/web" TargetMode="External"/><Relationship Id="rId2741" Type="http://schemas.openxmlformats.org/officeDocument/2006/relationships/hyperlink" Target="https://akshar-exim-company-pvt-ltd.odoo.com/web" TargetMode="External"/><Relationship Id="rId1400" Type="http://schemas.openxmlformats.org/officeDocument/2006/relationships/hyperlink" Target="mailto:rayhan@nowpurchase.com" TargetMode="External"/><Relationship Id="rId2731" Type="http://schemas.openxmlformats.org/officeDocument/2006/relationships/hyperlink" Target="https://akshar-exim-company-pvt-ltd.odoo.com/web" TargetMode="External"/><Relationship Id="rId1401" Type="http://schemas.openxmlformats.org/officeDocument/2006/relationships/hyperlink" Target="https://akshar-exim-company-pvt-ltd.odoo.com/web" TargetMode="External"/><Relationship Id="rId2732" Type="http://schemas.openxmlformats.org/officeDocument/2006/relationships/hyperlink" Target="https://akshar-exim-company-pvt-ltd.odoo.com/web" TargetMode="External"/><Relationship Id="rId1402" Type="http://schemas.openxmlformats.org/officeDocument/2006/relationships/hyperlink" Target="mailto:golchhagroup@gmail.com" TargetMode="External"/><Relationship Id="rId2733" Type="http://schemas.openxmlformats.org/officeDocument/2006/relationships/hyperlink" Target="https://akshar-exim-company-pvt-ltd.odoo.com/web" TargetMode="External"/><Relationship Id="rId1403" Type="http://schemas.openxmlformats.org/officeDocument/2006/relationships/hyperlink" Target="https://akshar-exim-company-pvt-ltd.odoo.com/web" TargetMode="External"/><Relationship Id="rId2734" Type="http://schemas.openxmlformats.org/officeDocument/2006/relationships/hyperlink" Target="https://akshar-exim-company-pvt-ltd.odoo.com/web" TargetMode="External"/><Relationship Id="rId1404" Type="http://schemas.openxmlformats.org/officeDocument/2006/relationships/hyperlink" Target="mailto:jerrybrown509@gmail.com" TargetMode="External"/><Relationship Id="rId2735" Type="http://schemas.openxmlformats.org/officeDocument/2006/relationships/hyperlink" Target="https://akshar-exim-company-pvt-ltd.odoo.com/web" TargetMode="External"/><Relationship Id="rId1405" Type="http://schemas.openxmlformats.org/officeDocument/2006/relationships/hyperlink" Target="https://akshar-exim-company-pvt-ltd.odoo.com/web" TargetMode="External"/><Relationship Id="rId2736" Type="http://schemas.openxmlformats.org/officeDocument/2006/relationships/hyperlink" Target="https://akshar-exim-company-pvt-ltd.odoo.com/web" TargetMode="External"/><Relationship Id="rId1406" Type="http://schemas.openxmlformats.org/officeDocument/2006/relationships/hyperlink" Target="https://akshar-exim-company-pvt-ltd.odoo.com/web" TargetMode="External"/><Relationship Id="rId2737" Type="http://schemas.openxmlformats.org/officeDocument/2006/relationships/hyperlink" Target="https://akshar-exim-company-pvt-ltd.odoo.com/web" TargetMode="External"/><Relationship Id="rId1407" Type="http://schemas.openxmlformats.org/officeDocument/2006/relationships/hyperlink" Target="mailto:mbtradeexpert@gmail.com" TargetMode="External"/><Relationship Id="rId2738" Type="http://schemas.openxmlformats.org/officeDocument/2006/relationships/hyperlink" Target="https://akshar-exim-company-pvt-ltd.odoo.com/web" TargetMode="External"/><Relationship Id="rId1408" Type="http://schemas.openxmlformats.org/officeDocument/2006/relationships/hyperlink" Target="https://akshar-exim-company-pvt-ltd.odoo.com/web" TargetMode="External"/><Relationship Id="rId2739" Type="http://schemas.openxmlformats.org/officeDocument/2006/relationships/hyperlink" Target="https://akshar-exim-company-pvt-ltd.odoo.com/web" TargetMode="External"/><Relationship Id="rId1409" Type="http://schemas.openxmlformats.org/officeDocument/2006/relationships/hyperlink" Target="mailto:sunrise_exports2002@yahoo.co.in" TargetMode="External"/><Relationship Id="rId2730" Type="http://schemas.openxmlformats.org/officeDocument/2006/relationships/hyperlink" Target="https://akshar-exim-company-pvt-ltd.odoo.com/web" TargetMode="External"/><Relationship Id="rId1433" Type="http://schemas.openxmlformats.org/officeDocument/2006/relationships/hyperlink" Target="mailto:mrfinechemi@gmail.com" TargetMode="External"/><Relationship Id="rId2764" Type="http://schemas.openxmlformats.org/officeDocument/2006/relationships/hyperlink" Target="https://akshar-exim-company-pvt-ltd.odoo.com/web" TargetMode="External"/><Relationship Id="rId1434" Type="http://schemas.openxmlformats.org/officeDocument/2006/relationships/hyperlink" Target="https://akshar-exim-company-pvt-ltd.odoo.com/web" TargetMode="External"/><Relationship Id="rId2765" Type="http://schemas.openxmlformats.org/officeDocument/2006/relationships/hyperlink" Target="https://akshar-exim-company-pvt-ltd.odoo.com/web" TargetMode="External"/><Relationship Id="rId1435" Type="http://schemas.openxmlformats.org/officeDocument/2006/relationships/hyperlink" Target="mailto:premiumglasshouse123@gmail.com" TargetMode="External"/><Relationship Id="rId2766" Type="http://schemas.openxmlformats.org/officeDocument/2006/relationships/hyperlink" Target="https://akshar-exim-company-pvt-ltd.odoo.com/web" TargetMode="External"/><Relationship Id="rId1436" Type="http://schemas.openxmlformats.org/officeDocument/2006/relationships/hyperlink" Target="https://akshar-exim-company-pvt-ltd.odoo.com/web" TargetMode="External"/><Relationship Id="rId2767" Type="http://schemas.openxmlformats.org/officeDocument/2006/relationships/hyperlink" Target="https://akshar-exim-company-pvt-ltd.odoo.com/web" TargetMode="External"/><Relationship Id="rId1437" Type="http://schemas.openxmlformats.org/officeDocument/2006/relationships/hyperlink" Target="https://akshar-exim-company-pvt-ltd.odoo.com/web" TargetMode="External"/><Relationship Id="rId2768" Type="http://schemas.openxmlformats.org/officeDocument/2006/relationships/hyperlink" Target="https://akshar-exim-company-pvt-ltd.odoo.com/web" TargetMode="External"/><Relationship Id="rId1438" Type="http://schemas.openxmlformats.org/officeDocument/2006/relationships/hyperlink" Target="mailto:kalim423@gmail.com" TargetMode="External"/><Relationship Id="rId2769" Type="http://schemas.openxmlformats.org/officeDocument/2006/relationships/hyperlink" Target="https://akshar-exim-company-pvt-ltd.odoo.com/web" TargetMode="External"/><Relationship Id="rId1439" Type="http://schemas.openxmlformats.org/officeDocument/2006/relationships/hyperlink" Target="https://akshar-exim-company-pvt-ltd.odoo.com/web" TargetMode="External"/><Relationship Id="rId609" Type="http://schemas.openxmlformats.org/officeDocument/2006/relationships/hyperlink" Target="https://akshar-exim-company-pvt-ltd.odoo.com/web" TargetMode="External"/><Relationship Id="rId608" Type="http://schemas.openxmlformats.org/officeDocument/2006/relationships/hyperlink" Target="https://akshar-exim-company-pvt-ltd.odoo.com/web" TargetMode="External"/><Relationship Id="rId607" Type="http://schemas.openxmlformats.org/officeDocument/2006/relationships/hyperlink" Target="mailto:vijayrajak0786@gmail.com" TargetMode="External"/><Relationship Id="rId602" Type="http://schemas.openxmlformats.org/officeDocument/2006/relationships/hyperlink" Target="mailto:rajeevsinhajsr@gmail.com" TargetMode="External"/><Relationship Id="rId601" Type="http://schemas.openxmlformats.org/officeDocument/2006/relationships/hyperlink" Target="https://akshar-exim-company-pvt-ltd.odoo.com/web" TargetMode="External"/><Relationship Id="rId600" Type="http://schemas.openxmlformats.org/officeDocument/2006/relationships/hyperlink" Target="https://akshar-exim-company-pvt-ltd.odoo.com/web" TargetMode="External"/><Relationship Id="rId606" Type="http://schemas.openxmlformats.org/officeDocument/2006/relationships/hyperlink" Target="https://akshar-exim-company-pvt-ltd.odoo.com/web" TargetMode="External"/><Relationship Id="rId605" Type="http://schemas.openxmlformats.org/officeDocument/2006/relationships/hyperlink" Target="https://akshar-exim-company-pvt-ltd.odoo.com/web" TargetMode="External"/><Relationship Id="rId604" Type="http://schemas.openxmlformats.org/officeDocument/2006/relationships/hyperlink" Target="mailto:gbram21@gmail.com" TargetMode="External"/><Relationship Id="rId603" Type="http://schemas.openxmlformats.org/officeDocument/2006/relationships/hyperlink" Target="https://akshar-exim-company-pvt-ltd.odoo.com/web" TargetMode="External"/><Relationship Id="rId2760" Type="http://schemas.openxmlformats.org/officeDocument/2006/relationships/hyperlink" Target="https://akshar-exim-company-pvt-ltd.odoo.com/web" TargetMode="External"/><Relationship Id="rId1430" Type="http://schemas.openxmlformats.org/officeDocument/2006/relationships/hyperlink" Target="https://akshar-exim-company-pvt-ltd.odoo.com/web" TargetMode="External"/><Relationship Id="rId2761" Type="http://schemas.openxmlformats.org/officeDocument/2006/relationships/hyperlink" Target="https://akshar-exim-company-pvt-ltd.odoo.com/web" TargetMode="External"/><Relationship Id="rId1431" Type="http://schemas.openxmlformats.org/officeDocument/2006/relationships/hyperlink" Target="mailto:info@svsmedicare.com" TargetMode="External"/><Relationship Id="rId2762" Type="http://schemas.openxmlformats.org/officeDocument/2006/relationships/hyperlink" Target="https://akshar-exim-company-pvt-ltd.odoo.com/web" TargetMode="External"/><Relationship Id="rId1432" Type="http://schemas.openxmlformats.org/officeDocument/2006/relationships/hyperlink" Target="https://akshar-exim-company-pvt-ltd.odoo.com/web" TargetMode="External"/><Relationship Id="rId2763" Type="http://schemas.openxmlformats.org/officeDocument/2006/relationships/hyperlink" Target="mailto:avikdas2010@gmail.com" TargetMode="External"/><Relationship Id="rId1422" Type="http://schemas.openxmlformats.org/officeDocument/2006/relationships/hyperlink" Target="mailto:monishchemicals@yahoo.com" TargetMode="External"/><Relationship Id="rId2753" Type="http://schemas.openxmlformats.org/officeDocument/2006/relationships/hyperlink" Target="https://akshar-exim-company-pvt-ltd.odoo.com/web" TargetMode="External"/><Relationship Id="rId1423" Type="http://schemas.openxmlformats.org/officeDocument/2006/relationships/hyperlink" Target="https://akshar-exim-company-pvt-ltd.odoo.com/web" TargetMode="External"/><Relationship Id="rId2754" Type="http://schemas.openxmlformats.org/officeDocument/2006/relationships/hyperlink" Target="https://akshar-exim-company-pvt-ltd.odoo.com/web" TargetMode="External"/><Relationship Id="rId1424" Type="http://schemas.openxmlformats.org/officeDocument/2006/relationships/hyperlink" Target="https://akshar-exim-company-pvt-ltd.odoo.com/web" TargetMode="External"/><Relationship Id="rId2755" Type="http://schemas.openxmlformats.org/officeDocument/2006/relationships/hyperlink" Target="https://akshar-exim-company-pvt-ltd.odoo.com/web" TargetMode="External"/><Relationship Id="rId1425" Type="http://schemas.openxmlformats.org/officeDocument/2006/relationships/hyperlink" Target="https://akshar-exim-company-pvt-ltd.odoo.com/web" TargetMode="External"/><Relationship Id="rId2756" Type="http://schemas.openxmlformats.org/officeDocument/2006/relationships/hyperlink" Target="https://akshar-exim-company-pvt-ltd.odoo.com/web" TargetMode="External"/><Relationship Id="rId1426" Type="http://schemas.openxmlformats.org/officeDocument/2006/relationships/hyperlink" Target="https://akshar-exim-company-pvt-ltd.odoo.com/web" TargetMode="External"/><Relationship Id="rId2757" Type="http://schemas.openxmlformats.org/officeDocument/2006/relationships/hyperlink" Target="https://akshar-exim-company-pvt-ltd.odoo.com/web" TargetMode="External"/><Relationship Id="rId1427" Type="http://schemas.openxmlformats.org/officeDocument/2006/relationships/hyperlink" Target="mailto:info@saralchem.com" TargetMode="External"/><Relationship Id="rId2758" Type="http://schemas.openxmlformats.org/officeDocument/2006/relationships/hyperlink" Target="https://akshar-exim-company-pvt-ltd.odoo.com/web" TargetMode="External"/><Relationship Id="rId1428" Type="http://schemas.openxmlformats.org/officeDocument/2006/relationships/hyperlink" Target="https://akshar-exim-company-pvt-ltd.odoo.com/web" TargetMode="External"/><Relationship Id="rId2759" Type="http://schemas.openxmlformats.org/officeDocument/2006/relationships/hyperlink" Target="https://akshar-exim-company-pvt-ltd.odoo.com/web" TargetMode="External"/><Relationship Id="rId1429" Type="http://schemas.openxmlformats.org/officeDocument/2006/relationships/hyperlink" Target="mailto:manasnature@rediffmail.com" TargetMode="External"/><Relationship Id="rId2750" Type="http://schemas.openxmlformats.org/officeDocument/2006/relationships/hyperlink" Target="https://akshar-exim-company-pvt-ltd.odoo.com/web" TargetMode="External"/><Relationship Id="rId1420" Type="http://schemas.openxmlformats.org/officeDocument/2006/relationships/hyperlink" Target="https://akshar-exim-company-pvt-ltd.odoo.com/web" TargetMode="External"/><Relationship Id="rId2751" Type="http://schemas.openxmlformats.org/officeDocument/2006/relationships/hyperlink" Target="https://akshar-exim-company-pvt-ltd.odoo.com/web" TargetMode="External"/><Relationship Id="rId1421" Type="http://schemas.openxmlformats.org/officeDocument/2006/relationships/hyperlink" Target="https://akshar-exim-company-pvt-ltd.odoo.com/web" TargetMode="External"/><Relationship Id="rId2752" Type="http://schemas.openxmlformats.org/officeDocument/2006/relationships/hyperlink" Target="https://akshar-exim-company-pvt-ltd.odoo.com/web" TargetMode="External"/><Relationship Id="rId3238" Type="http://schemas.openxmlformats.org/officeDocument/2006/relationships/hyperlink" Target="mailto:3staraqua@gmail.com" TargetMode="External"/><Relationship Id="rId4569" Type="http://schemas.openxmlformats.org/officeDocument/2006/relationships/hyperlink" Target="https://akshar-exim-company-pvt-ltd.odoo.com/web" TargetMode="External"/><Relationship Id="rId3237" Type="http://schemas.openxmlformats.org/officeDocument/2006/relationships/hyperlink" Target="https://akshar-exim-company-pvt-ltd.odoo.com/web" TargetMode="External"/><Relationship Id="rId4568" Type="http://schemas.openxmlformats.org/officeDocument/2006/relationships/hyperlink" Target="https://akshar-exim-company-pvt-ltd.odoo.com/web" TargetMode="External"/><Relationship Id="rId3239" Type="http://schemas.openxmlformats.org/officeDocument/2006/relationships/hyperlink" Target="https://akshar-exim-company-pvt-ltd.odoo.com/web" TargetMode="External"/><Relationship Id="rId3230" Type="http://schemas.openxmlformats.org/officeDocument/2006/relationships/hyperlink" Target="mailto:tapaskrdas5@gmail.com" TargetMode="External"/><Relationship Id="rId4561" Type="http://schemas.openxmlformats.org/officeDocument/2006/relationships/hyperlink" Target="https://akshar-exim-company-pvt-ltd.odoo.com/web" TargetMode="External"/><Relationship Id="rId4560" Type="http://schemas.openxmlformats.org/officeDocument/2006/relationships/hyperlink" Target="https://akshar-exim-company-pvt-ltd.odoo.com/web" TargetMode="External"/><Relationship Id="rId3232" Type="http://schemas.openxmlformats.org/officeDocument/2006/relationships/hyperlink" Target="mailto:rajendra1962chaibasa@gmail.com" TargetMode="External"/><Relationship Id="rId4563" Type="http://schemas.openxmlformats.org/officeDocument/2006/relationships/hyperlink" Target="https://akshar-exim-company-pvt-ltd.odoo.com/web" TargetMode="External"/><Relationship Id="rId3231" Type="http://schemas.openxmlformats.org/officeDocument/2006/relationships/hyperlink" Target="https://akshar-exim-company-pvt-ltd.odoo.com/web" TargetMode="External"/><Relationship Id="rId4562" Type="http://schemas.openxmlformats.org/officeDocument/2006/relationships/hyperlink" Target="https://akshar-exim-company-pvt-ltd.odoo.com/web" TargetMode="External"/><Relationship Id="rId3234" Type="http://schemas.openxmlformats.org/officeDocument/2006/relationships/hyperlink" Target="mailto:shahidgne@gmail.com" TargetMode="External"/><Relationship Id="rId4565" Type="http://schemas.openxmlformats.org/officeDocument/2006/relationships/hyperlink" Target="https://akshar-exim-company-pvt-ltd.odoo.com/web" TargetMode="External"/><Relationship Id="rId3233" Type="http://schemas.openxmlformats.org/officeDocument/2006/relationships/hyperlink" Target="https://akshar-exim-company-pvt-ltd.odoo.com/web" TargetMode="External"/><Relationship Id="rId4564" Type="http://schemas.openxmlformats.org/officeDocument/2006/relationships/hyperlink" Target="https://akshar-exim-company-pvt-ltd.odoo.com/web" TargetMode="External"/><Relationship Id="rId3236" Type="http://schemas.openxmlformats.org/officeDocument/2006/relationships/hyperlink" Target="mailto:anupam786chemicals@gmail.com" TargetMode="External"/><Relationship Id="rId4567" Type="http://schemas.openxmlformats.org/officeDocument/2006/relationships/hyperlink" Target="https://akshar-exim-company-pvt-ltd.odoo.com/web" TargetMode="External"/><Relationship Id="rId3235" Type="http://schemas.openxmlformats.org/officeDocument/2006/relationships/hyperlink" Target="https://akshar-exim-company-pvt-ltd.odoo.com/web" TargetMode="External"/><Relationship Id="rId4566" Type="http://schemas.openxmlformats.org/officeDocument/2006/relationships/hyperlink" Target="https://akshar-exim-company-pvt-ltd.odoo.com/web" TargetMode="External"/><Relationship Id="rId3227" Type="http://schemas.openxmlformats.org/officeDocument/2006/relationships/hyperlink" Target="https://akshar-exim-company-pvt-ltd.odoo.com/web" TargetMode="External"/><Relationship Id="rId4558" Type="http://schemas.openxmlformats.org/officeDocument/2006/relationships/hyperlink" Target="https://akshar-exim-company-pvt-ltd.odoo.com/web" TargetMode="External"/><Relationship Id="rId3226" Type="http://schemas.openxmlformats.org/officeDocument/2006/relationships/hyperlink" Target="mailto:pbhai85@gmail.com" TargetMode="External"/><Relationship Id="rId4557" Type="http://schemas.openxmlformats.org/officeDocument/2006/relationships/hyperlink" Target="https://akshar-exim-company-pvt-ltd.odoo.com/web" TargetMode="External"/><Relationship Id="rId3229" Type="http://schemas.openxmlformats.org/officeDocument/2006/relationships/hyperlink" Target="https://akshar-exim-company-pvt-ltd.odoo.com/web" TargetMode="External"/><Relationship Id="rId3228" Type="http://schemas.openxmlformats.org/officeDocument/2006/relationships/hyperlink" Target="mailto:snandan87@gmail.com" TargetMode="External"/><Relationship Id="rId4559" Type="http://schemas.openxmlformats.org/officeDocument/2006/relationships/hyperlink" Target="https://akshar-exim-company-pvt-ltd.odoo.com/web" TargetMode="External"/><Relationship Id="rId699" Type="http://schemas.openxmlformats.org/officeDocument/2006/relationships/hyperlink" Target="mailto:bappaguha4@gmail.com" TargetMode="External"/><Relationship Id="rId698" Type="http://schemas.openxmlformats.org/officeDocument/2006/relationships/hyperlink" Target="https://akshar-exim-company-pvt-ltd.odoo.com/web" TargetMode="External"/><Relationship Id="rId693" Type="http://schemas.openxmlformats.org/officeDocument/2006/relationships/hyperlink" Target="https://akshar-exim-company-pvt-ltd.odoo.com/web" TargetMode="External"/><Relationship Id="rId4550" Type="http://schemas.openxmlformats.org/officeDocument/2006/relationships/hyperlink" Target="https://akshar-exim-company-pvt-ltd.odoo.com/web" TargetMode="External"/><Relationship Id="rId692" Type="http://schemas.openxmlformats.org/officeDocument/2006/relationships/hyperlink" Target="mailto:sibusahu4@gmail.com" TargetMode="External"/><Relationship Id="rId691" Type="http://schemas.openxmlformats.org/officeDocument/2006/relationships/hyperlink" Target="https://akshar-exim-company-pvt-ltd.odoo.com/web" TargetMode="External"/><Relationship Id="rId3221" Type="http://schemas.openxmlformats.org/officeDocument/2006/relationships/hyperlink" Target="https://akshar-exim-company-pvt-ltd.odoo.com/web" TargetMode="External"/><Relationship Id="rId4552" Type="http://schemas.openxmlformats.org/officeDocument/2006/relationships/hyperlink" Target="https://akshar-exim-company-pvt-ltd.odoo.com/web" TargetMode="External"/><Relationship Id="rId690" Type="http://schemas.openxmlformats.org/officeDocument/2006/relationships/hyperlink" Target="mailto:dkpatra7@gmail.com" TargetMode="External"/><Relationship Id="rId3220" Type="http://schemas.openxmlformats.org/officeDocument/2006/relationships/hyperlink" Target="mailto:sujankumarmondal25@gmail.com" TargetMode="External"/><Relationship Id="rId4551" Type="http://schemas.openxmlformats.org/officeDocument/2006/relationships/hyperlink" Target="https://akshar-exim-company-pvt-ltd.odoo.com/web" TargetMode="External"/><Relationship Id="rId697" Type="http://schemas.openxmlformats.org/officeDocument/2006/relationships/hyperlink" Target="https://akshar-exim-company-pvt-ltd.odoo.com/web" TargetMode="External"/><Relationship Id="rId3223" Type="http://schemas.openxmlformats.org/officeDocument/2006/relationships/hyperlink" Target="https://akshar-exim-company-pvt-ltd.odoo.com/web" TargetMode="External"/><Relationship Id="rId4554" Type="http://schemas.openxmlformats.org/officeDocument/2006/relationships/hyperlink" Target="https://akshar-exim-company-pvt-ltd.odoo.com/web" TargetMode="External"/><Relationship Id="rId696" Type="http://schemas.openxmlformats.org/officeDocument/2006/relationships/hyperlink" Target="mailto:guin_abhra@yahoo.com" TargetMode="External"/><Relationship Id="rId3222" Type="http://schemas.openxmlformats.org/officeDocument/2006/relationships/hyperlink" Target="mailto:atiarrahaman71@gmail.com" TargetMode="External"/><Relationship Id="rId4553" Type="http://schemas.openxmlformats.org/officeDocument/2006/relationships/hyperlink" Target="https://akshar-exim-company-pvt-ltd.odoo.com/web" TargetMode="External"/><Relationship Id="rId695" Type="http://schemas.openxmlformats.org/officeDocument/2006/relationships/hyperlink" Target="https://akshar-exim-company-pvt-ltd.odoo.com/web" TargetMode="External"/><Relationship Id="rId3225" Type="http://schemas.openxmlformats.org/officeDocument/2006/relationships/hyperlink" Target="https://akshar-exim-company-pvt-ltd.odoo.com/web" TargetMode="External"/><Relationship Id="rId4556" Type="http://schemas.openxmlformats.org/officeDocument/2006/relationships/hyperlink" Target="https://akshar-exim-company-pvt-ltd.odoo.com/web" TargetMode="External"/><Relationship Id="rId694" Type="http://schemas.openxmlformats.org/officeDocument/2006/relationships/hyperlink" Target="mailto:rajeevmadanpur@gmail.com" TargetMode="External"/><Relationship Id="rId3224" Type="http://schemas.openxmlformats.org/officeDocument/2006/relationships/hyperlink" Target="mailto:conclave006@gmail.com" TargetMode="External"/><Relationship Id="rId4555" Type="http://schemas.openxmlformats.org/officeDocument/2006/relationships/hyperlink" Target="https://akshar-exim-company-pvt-ltd.odoo.com/web" TargetMode="External"/><Relationship Id="rId3259" Type="http://schemas.openxmlformats.org/officeDocument/2006/relationships/hyperlink" Target="https://akshar-exim-company-pvt-ltd.odoo.com/web" TargetMode="External"/><Relationship Id="rId3250" Type="http://schemas.openxmlformats.org/officeDocument/2006/relationships/hyperlink" Target="mailto:jayantamandal881@gmail.com" TargetMode="External"/><Relationship Id="rId4581" Type="http://schemas.openxmlformats.org/officeDocument/2006/relationships/hyperlink" Target="https://akshar-exim-company-pvt-ltd.odoo.com/web" TargetMode="External"/><Relationship Id="rId4580" Type="http://schemas.openxmlformats.org/officeDocument/2006/relationships/hyperlink" Target="https://akshar-exim-company-pvt-ltd.odoo.com/web" TargetMode="External"/><Relationship Id="rId3252" Type="http://schemas.openxmlformats.org/officeDocument/2006/relationships/hyperlink" Target="mailto:mdsahensah261@gmail.com" TargetMode="External"/><Relationship Id="rId4583" Type="http://schemas.openxmlformats.org/officeDocument/2006/relationships/hyperlink" Target="https://akshar-exim-company-pvt-ltd.odoo.com/web" TargetMode="External"/><Relationship Id="rId3251" Type="http://schemas.openxmlformats.org/officeDocument/2006/relationships/hyperlink" Target="https://akshar-exim-company-pvt-ltd.odoo.com/web" TargetMode="External"/><Relationship Id="rId4582" Type="http://schemas.openxmlformats.org/officeDocument/2006/relationships/hyperlink" Target="https://akshar-exim-company-pvt-ltd.odoo.com/web" TargetMode="External"/><Relationship Id="rId3254" Type="http://schemas.openxmlformats.org/officeDocument/2006/relationships/hyperlink" Target="mailto:superwingspetshop@gmail.com" TargetMode="External"/><Relationship Id="rId4585" Type="http://schemas.openxmlformats.org/officeDocument/2006/relationships/hyperlink" Target="https://akshar-exim-company-pvt-ltd.odoo.com/web" TargetMode="External"/><Relationship Id="rId3253" Type="http://schemas.openxmlformats.org/officeDocument/2006/relationships/hyperlink" Target="https://akshar-exim-company-pvt-ltd.odoo.com/web" TargetMode="External"/><Relationship Id="rId4584" Type="http://schemas.openxmlformats.org/officeDocument/2006/relationships/hyperlink" Target="https://akshar-exim-company-pvt-ltd.odoo.com/web" TargetMode="External"/><Relationship Id="rId3256" Type="http://schemas.openxmlformats.org/officeDocument/2006/relationships/hyperlink" Target="mailto:nintu.act@gmail.com" TargetMode="External"/><Relationship Id="rId4587" Type="http://schemas.openxmlformats.org/officeDocument/2006/relationships/hyperlink" Target="https://akshar-exim-company-pvt-ltd.odoo.com/web" TargetMode="External"/><Relationship Id="rId3255" Type="http://schemas.openxmlformats.org/officeDocument/2006/relationships/hyperlink" Target="https://akshar-exim-company-pvt-ltd.odoo.com/web" TargetMode="External"/><Relationship Id="rId4586" Type="http://schemas.openxmlformats.org/officeDocument/2006/relationships/hyperlink" Target="https://akshar-exim-company-pvt-ltd.odoo.com/web" TargetMode="External"/><Relationship Id="rId3258" Type="http://schemas.openxmlformats.org/officeDocument/2006/relationships/hyperlink" Target="mailto:ssrflyashbrick.sng@gmail.com" TargetMode="External"/><Relationship Id="rId4589" Type="http://schemas.openxmlformats.org/officeDocument/2006/relationships/hyperlink" Target="https://akshar-exim-company-pvt-ltd.odoo.com/web" TargetMode="External"/><Relationship Id="rId3257" Type="http://schemas.openxmlformats.org/officeDocument/2006/relationships/hyperlink" Target="https://akshar-exim-company-pvt-ltd.odoo.com/web" TargetMode="External"/><Relationship Id="rId4588" Type="http://schemas.openxmlformats.org/officeDocument/2006/relationships/hyperlink" Target="https://akshar-exim-company-pvt-ltd.odoo.com/web" TargetMode="External"/><Relationship Id="rId3249" Type="http://schemas.openxmlformats.org/officeDocument/2006/relationships/hyperlink" Target="https://akshar-exim-company-pvt-ltd.odoo.com/web" TargetMode="External"/><Relationship Id="rId3248" Type="http://schemas.openxmlformats.org/officeDocument/2006/relationships/hyperlink" Target="https://akshar-exim-company-pvt-ltd.odoo.com/web" TargetMode="External"/><Relationship Id="rId4579" Type="http://schemas.openxmlformats.org/officeDocument/2006/relationships/hyperlink" Target="https://akshar-exim-company-pvt-ltd.odoo.com/web" TargetMode="External"/><Relationship Id="rId4570" Type="http://schemas.openxmlformats.org/officeDocument/2006/relationships/hyperlink" Target="https://akshar-exim-company-pvt-ltd.odoo.com/web" TargetMode="External"/><Relationship Id="rId3241" Type="http://schemas.openxmlformats.org/officeDocument/2006/relationships/hyperlink" Target="https://akshar-exim-company-pvt-ltd.odoo.com/web" TargetMode="External"/><Relationship Id="rId4572" Type="http://schemas.openxmlformats.org/officeDocument/2006/relationships/hyperlink" Target="https://akshar-exim-company-pvt-ltd.odoo.com/web" TargetMode="External"/><Relationship Id="rId3240" Type="http://schemas.openxmlformats.org/officeDocument/2006/relationships/hyperlink" Target="mailto:piyushj1922@gmail.com" TargetMode="External"/><Relationship Id="rId4571" Type="http://schemas.openxmlformats.org/officeDocument/2006/relationships/hyperlink" Target="https://akshar-exim-company-pvt-ltd.odoo.com/web" TargetMode="External"/><Relationship Id="rId3243" Type="http://schemas.openxmlformats.org/officeDocument/2006/relationships/hyperlink" Target="https://akshar-exim-company-pvt-ltd.odoo.com/web" TargetMode="External"/><Relationship Id="rId4574" Type="http://schemas.openxmlformats.org/officeDocument/2006/relationships/hyperlink" Target="https://akshar-exim-company-pvt-ltd.odoo.com/web" TargetMode="External"/><Relationship Id="rId3242" Type="http://schemas.openxmlformats.org/officeDocument/2006/relationships/hyperlink" Target="mailto:munnamondol35@gmail.com" TargetMode="External"/><Relationship Id="rId4573" Type="http://schemas.openxmlformats.org/officeDocument/2006/relationships/hyperlink" Target="https://akshar-exim-company-pvt-ltd.odoo.com/web" TargetMode="External"/><Relationship Id="rId3245" Type="http://schemas.openxmlformats.org/officeDocument/2006/relationships/hyperlink" Target="https://akshar-exim-company-pvt-ltd.odoo.com/web" TargetMode="External"/><Relationship Id="rId4576" Type="http://schemas.openxmlformats.org/officeDocument/2006/relationships/hyperlink" Target="https://akshar-exim-company-pvt-ltd.odoo.com/web" TargetMode="External"/><Relationship Id="rId3244" Type="http://schemas.openxmlformats.org/officeDocument/2006/relationships/hyperlink" Target="mailto:haridasbaidya52@gmail.com" TargetMode="External"/><Relationship Id="rId4575" Type="http://schemas.openxmlformats.org/officeDocument/2006/relationships/hyperlink" Target="https://akshar-exim-company-pvt-ltd.odoo.com/web" TargetMode="External"/><Relationship Id="rId3247" Type="http://schemas.openxmlformats.org/officeDocument/2006/relationships/hyperlink" Target="https://akshar-exim-company-pvt-ltd.odoo.com/web" TargetMode="External"/><Relationship Id="rId4578" Type="http://schemas.openxmlformats.org/officeDocument/2006/relationships/hyperlink" Target="https://akshar-exim-company-pvt-ltd.odoo.com/web" TargetMode="External"/><Relationship Id="rId3246" Type="http://schemas.openxmlformats.org/officeDocument/2006/relationships/hyperlink" Target="mailto:kumarmishraabhijeet35@gmail.com" TargetMode="External"/><Relationship Id="rId4577" Type="http://schemas.openxmlformats.org/officeDocument/2006/relationships/hyperlink" Target="https://akshar-exim-company-pvt-ltd.odoo.com/web" TargetMode="External"/><Relationship Id="rId1499" Type="http://schemas.openxmlformats.org/officeDocument/2006/relationships/hyperlink" Target="https://akshar-exim-company-pvt-ltd.odoo.com/web" TargetMode="External"/><Relationship Id="rId4525" Type="http://schemas.openxmlformats.org/officeDocument/2006/relationships/hyperlink" Target="https://akshar-exim-company-pvt-ltd.odoo.com/web" TargetMode="External"/><Relationship Id="rId4524" Type="http://schemas.openxmlformats.org/officeDocument/2006/relationships/hyperlink" Target="https://akshar-exim-company-pvt-ltd.odoo.com/web" TargetMode="External"/><Relationship Id="rId4527" Type="http://schemas.openxmlformats.org/officeDocument/2006/relationships/hyperlink" Target="https://akshar-exim-company-pvt-ltd.odoo.com/web" TargetMode="External"/><Relationship Id="rId4526" Type="http://schemas.openxmlformats.org/officeDocument/2006/relationships/hyperlink" Target="https://akshar-exim-company-pvt-ltd.odoo.com/web" TargetMode="External"/><Relationship Id="rId4529" Type="http://schemas.openxmlformats.org/officeDocument/2006/relationships/hyperlink" Target="https://akshar-exim-company-pvt-ltd.odoo.com/web" TargetMode="External"/><Relationship Id="rId4528" Type="http://schemas.openxmlformats.org/officeDocument/2006/relationships/hyperlink" Target="https://akshar-exim-company-pvt-ltd.odoo.com/web" TargetMode="External"/><Relationship Id="rId668" Type="http://schemas.openxmlformats.org/officeDocument/2006/relationships/hyperlink" Target="https://akshar-exim-company-pvt-ltd.odoo.com/web" TargetMode="External"/><Relationship Id="rId667" Type="http://schemas.openxmlformats.org/officeDocument/2006/relationships/hyperlink" Target="mailto:koyelpks@gmail.com" TargetMode="External"/><Relationship Id="rId666" Type="http://schemas.openxmlformats.org/officeDocument/2006/relationships/hyperlink" Target="https://akshar-exim-company-pvt-ltd.odoo.com/web" TargetMode="External"/><Relationship Id="rId665" Type="http://schemas.openxmlformats.org/officeDocument/2006/relationships/hyperlink" Target="mailto:rjr6394@gmail.com" TargetMode="External"/><Relationship Id="rId669" Type="http://schemas.openxmlformats.org/officeDocument/2006/relationships/hyperlink" Target="https://akshar-exim-company-pvt-ltd.odoo.com/web" TargetMode="External"/><Relationship Id="rId1490" Type="http://schemas.openxmlformats.org/officeDocument/2006/relationships/hyperlink" Target="https://akshar-exim-company-pvt-ltd.odoo.com/web" TargetMode="External"/><Relationship Id="rId660" Type="http://schemas.openxmlformats.org/officeDocument/2006/relationships/hyperlink" Target="mailto:mahanta20032018@gmail.com" TargetMode="External"/><Relationship Id="rId1491" Type="http://schemas.openxmlformats.org/officeDocument/2006/relationships/hyperlink" Target="mailto:bdr.mittersystem@gmail.com" TargetMode="External"/><Relationship Id="rId1492" Type="http://schemas.openxmlformats.org/officeDocument/2006/relationships/hyperlink" Target="https://akshar-exim-company-pvt-ltd.odoo.com/web" TargetMode="External"/><Relationship Id="rId1493" Type="http://schemas.openxmlformats.org/officeDocument/2006/relationships/hyperlink" Target="mailto:gaj_sol@rediffmail.com" TargetMode="External"/><Relationship Id="rId1494" Type="http://schemas.openxmlformats.org/officeDocument/2006/relationships/hyperlink" Target="https://akshar-exim-company-pvt-ltd.odoo.com/web" TargetMode="External"/><Relationship Id="rId664" Type="http://schemas.openxmlformats.org/officeDocument/2006/relationships/hyperlink" Target="https://akshar-exim-company-pvt-ltd.odoo.com/web" TargetMode="External"/><Relationship Id="rId1495" Type="http://schemas.openxmlformats.org/officeDocument/2006/relationships/hyperlink" Target="mailto:info.nrchemicals@gmail.com" TargetMode="External"/><Relationship Id="rId4521" Type="http://schemas.openxmlformats.org/officeDocument/2006/relationships/hyperlink" Target="https://akshar-exim-company-pvt-ltd.odoo.com/web" TargetMode="External"/><Relationship Id="rId663" Type="http://schemas.openxmlformats.org/officeDocument/2006/relationships/hyperlink" Target="mailto:f.ash881@gmail.com" TargetMode="External"/><Relationship Id="rId1496" Type="http://schemas.openxmlformats.org/officeDocument/2006/relationships/hyperlink" Target="https://akshar-exim-company-pvt-ltd.odoo.com/web" TargetMode="External"/><Relationship Id="rId4520" Type="http://schemas.openxmlformats.org/officeDocument/2006/relationships/hyperlink" Target="https://akshar-exim-company-pvt-ltd.odoo.com/web" TargetMode="External"/><Relationship Id="rId662" Type="http://schemas.openxmlformats.org/officeDocument/2006/relationships/hyperlink" Target="https://akshar-exim-company-pvt-ltd.odoo.com/web" TargetMode="External"/><Relationship Id="rId1497" Type="http://schemas.openxmlformats.org/officeDocument/2006/relationships/hyperlink" Target="mailto:hemantndesai@yahoo.com" TargetMode="External"/><Relationship Id="rId4523" Type="http://schemas.openxmlformats.org/officeDocument/2006/relationships/hyperlink" Target="https://akshar-exim-company-pvt-ltd.odoo.com/web" TargetMode="External"/><Relationship Id="rId661" Type="http://schemas.openxmlformats.org/officeDocument/2006/relationships/hyperlink" Target="https://akshar-exim-company-pvt-ltd.odoo.com/web" TargetMode="External"/><Relationship Id="rId1498" Type="http://schemas.openxmlformats.org/officeDocument/2006/relationships/hyperlink" Target="https://akshar-exim-company-pvt-ltd.odoo.com/web" TargetMode="External"/><Relationship Id="rId4522" Type="http://schemas.openxmlformats.org/officeDocument/2006/relationships/hyperlink" Target="https://akshar-exim-company-pvt-ltd.odoo.com/web" TargetMode="External"/><Relationship Id="rId1488" Type="http://schemas.openxmlformats.org/officeDocument/2006/relationships/hyperlink" Target="https://akshar-exim-company-pvt-ltd.odoo.com/web" TargetMode="External"/><Relationship Id="rId4514" Type="http://schemas.openxmlformats.org/officeDocument/2006/relationships/hyperlink" Target="https://akshar-exim-company-pvt-ltd.odoo.com/web" TargetMode="External"/><Relationship Id="rId1489" Type="http://schemas.openxmlformats.org/officeDocument/2006/relationships/hyperlink" Target="mailto:chemicalsales2007@rediffmail.com" TargetMode="External"/><Relationship Id="rId4513" Type="http://schemas.openxmlformats.org/officeDocument/2006/relationships/hyperlink" Target="https://akshar-exim-company-pvt-ltd.odoo.com/web" TargetMode="External"/><Relationship Id="rId4516" Type="http://schemas.openxmlformats.org/officeDocument/2006/relationships/hyperlink" Target="https://akshar-exim-company-pvt-ltd.odoo.com/web" TargetMode="External"/><Relationship Id="rId4515" Type="http://schemas.openxmlformats.org/officeDocument/2006/relationships/hyperlink" Target="https://akshar-exim-company-pvt-ltd.odoo.com/web" TargetMode="External"/><Relationship Id="rId4518" Type="http://schemas.openxmlformats.org/officeDocument/2006/relationships/hyperlink" Target="https://akshar-exim-company-pvt-ltd.odoo.com/web" TargetMode="External"/><Relationship Id="rId4517" Type="http://schemas.openxmlformats.org/officeDocument/2006/relationships/hyperlink" Target="https://akshar-exim-company-pvt-ltd.odoo.com/web" TargetMode="External"/><Relationship Id="rId4519" Type="http://schemas.openxmlformats.org/officeDocument/2006/relationships/hyperlink" Target="https://akshar-exim-company-pvt-ltd.odoo.com/web" TargetMode="External"/><Relationship Id="rId657" Type="http://schemas.openxmlformats.org/officeDocument/2006/relationships/hyperlink" Target="https://akshar-exim-company-pvt-ltd.odoo.com/web" TargetMode="External"/><Relationship Id="rId656" Type="http://schemas.openxmlformats.org/officeDocument/2006/relationships/hyperlink" Target="https://akshar-exim-company-pvt-ltd.odoo.com/web" TargetMode="External"/><Relationship Id="rId655" Type="http://schemas.openxmlformats.org/officeDocument/2006/relationships/hyperlink" Target="mailto:info@oxfordpaints.com" TargetMode="External"/><Relationship Id="rId654" Type="http://schemas.openxmlformats.org/officeDocument/2006/relationships/hyperlink" Target="https://akshar-exim-company-pvt-ltd.odoo.com/web" TargetMode="External"/><Relationship Id="rId659" Type="http://schemas.openxmlformats.org/officeDocument/2006/relationships/hyperlink" Target="https://akshar-exim-company-pvt-ltd.odoo.com/web" TargetMode="External"/><Relationship Id="rId658" Type="http://schemas.openxmlformats.org/officeDocument/2006/relationships/hyperlink" Target="mailto:chandanks488@gmail.com" TargetMode="External"/><Relationship Id="rId1480" Type="http://schemas.openxmlformats.org/officeDocument/2006/relationships/hyperlink" Target="mailto:parwezahmad45@gmail.com" TargetMode="External"/><Relationship Id="rId1481" Type="http://schemas.openxmlformats.org/officeDocument/2006/relationships/hyperlink" Target="https://akshar-exim-company-pvt-ltd.odoo.com/web" TargetMode="External"/><Relationship Id="rId1482" Type="http://schemas.openxmlformats.org/officeDocument/2006/relationships/hyperlink" Target="https://akshar-exim-company-pvt-ltd.odoo.com/web" TargetMode="External"/><Relationship Id="rId1483" Type="http://schemas.openxmlformats.org/officeDocument/2006/relationships/hyperlink" Target="mailto:paresh_botadra@yahoo.com" TargetMode="External"/><Relationship Id="rId653" Type="http://schemas.openxmlformats.org/officeDocument/2006/relationships/hyperlink" Target="mailto:amananenterprises@gmail.com" TargetMode="External"/><Relationship Id="rId1484" Type="http://schemas.openxmlformats.org/officeDocument/2006/relationships/hyperlink" Target="https://akshar-exim-company-pvt-ltd.odoo.com/web" TargetMode="External"/><Relationship Id="rId4510" Type="http://schemas.openxmlformats.org/officeDocument/2006/relationships/hyperlink" Target="https://akshar-exim-company-pvt-ltd.odoo.com/web" TargetMode="External"/><Relationship Id="rId652" Type="http://schemas.openxmlformats.org/officeDocument/2006/relationships/hyperlink" Target="https://akshar-exim-company-pvt-ltd.odoo.com/web" TargetMode="External"/><Relationship Id="rId1485" Type="http://schemas.openxmlformats.org/officeDocument/2006/relationships/hyperlink" Target="mailto:javedkhan201989@gmail.com" TargetMode="External"/><Relationship Id="rId651" Type="http://schemas.openxmlformats.org/officeDocument/2006/relationships/hyperlink" Target="mailto:tarun.dokania@yahoo.com" TargetMode="External"/><Relationship Id="rId1486" Type="http://schemas.openxmlformats.org/officeDocument/2006/relationships/hyperlink" Target="https://akshar-exim-company-pvt-ltd.odoo.com/web" TargetMode="External"/><Relationship Id="rId4512" Type="http://schemas.openxmlformats.org/officeDocument/2006/relationships/hyperlink" Target="https://akshar-exim-company-pvt-ltd.odoo.com/web" TargetMode="External"/><Relationship Id="rId650" Type="http://schemas.openxmlformats.org/officeDocument/2006/relationships/hyperlink" Target="https://akshar-exim-company-pvt-ltd.odoo.com/web" TargetMode="External"/><Relationship Id="rId1487" Type="http://schemas.openxmlformats.org/officeDocument/2006/relationships/hyperlink" Target="mailto:moderndyechem@gmail.com" TargetMode="External"/><Relationship Id="rId4511" Type="http://schemas.openxmlformats.org/officeDocument/2006/relationships/hyperlink" Target="https://akshar-exim-company-pvt-ltd.odoo.com/web" TargetMode="External"/><Relationship Id="rId3216" Type="http://schemas.openxmlformats.org/officeDocument/2006/relationships/hyperlink" Target="mailto:riajulhaque561@gmail.com" TargetMode="External"/><Relationship Id="rId4547" Type="http://schemas.openxmlformats.org/officeDocument/2006/relationships/hyperlink" Target="https://akshar-exim-company-pvt-ltd.odoo.com/web" TargetMode="External"/><Relationship Id="rId3215" Type="http://schemas.openxmlformats.org/officeDocument/2006/relationships/hyperlink" Target="https://akshar-exim-company-pvt-ltd.odoo.com/web" TargetMode="External"/><Relationship Id="rId4546" Type="http://schemas.openxmlformats.org/officeDocument/2006/relationships/hyperlink" Target="https://akshar-exim-company-pvt-ltd.odoo.com/web" TargetMode="External"/><Relationship Id="rId3218" Type="http://schemas.openxmlformats.org/officeDocument/2006/relationships/hyperlink" Target="mailto:jagadale@minexindia.com" TargetMode="External"/><Relationship Id="rId4549" Type="http://schemas.openxmlformats.org/officeDocument/2006/relationships/hyperlink" Target="https://akshar-exim-company-pvt-ltd.odoo.com/web" TargetMode="External"/><Relationship Id="rId3217" Type="http://schemas.openxmlformats.org/officeDocument/2006/relationships/hyperlink" Target="https://akshar-exim-company-pvt-ltd.odoo.com/web" TargetMode="External"/><Relationship Id="rId4548" Type="http://schemas.openxmlformats.org/officeDocument/2006/relationships/hyperlink" Target="https://akshar-exim-company-pvt-ltd.odoo.com/web" TargetMode="External"/><Relationship Id="rId3219" Type="http://schemas.openxmlformats.org/officeDocument/2006/relationships/hyperlink" Target="https://akshar-exim-company-pvt-ltd.odoo.com/web" TargetMode="External"/><Relationship Id="rId689" Type="http://schemas.openxmlformats.org/officeDocument/2006/relationships/hyperlink" Target="https://akshar-exim-company-pvt-ltd.odoo.com/web" TargetMode="External"/><Relationship Id="rId688" Type="http://schemas.openxmlformats.org/officeDocument/2006/relationships/hyperlink" Target="https://akshar-exim-company-pvt-ltd.odoo.com/web" TargetMode="External"/><Relationship Id="rId687" Type="http://schemas.openxmlformats.org/officeDocument/2006/relationships/hyperlink" Target="https://akshar-exim-company-pvt-ltd.odoo.com/web" TargetMode="External"/><Relationship Id="rId682" Type="http://schemas.openxmlformats.org/officeDocument/2006/relationships/hyperlink" Target="https://akshar-exim-company-pvt-ltd.odoo.com/web" TargetMode="External"/><Relationship Id="rId681" Type="http://schemas.openxmlformats.org/officeDocument/2006/relationships/hyperlink" Target="mailto:om.rai2018@gmail.com" TargetMode="External"/><Relationship Id="rId680" Type="http://schemas.openxmlformats.org/officeDocument/2006/relationships/hyperlink" Target="https://akshar-exim-company-pvt-ltd.odoo.com/web" TargetMode="External"/><Relationship Id="rId3210" Type="http://schemas.openxmlformats.org/officeDocument/2006/relationships/hyperlink" Target="mailto:smtradersmdp@gmail.com" TargetMode="External"/><Relationship Id="rId4541" Type="http://schemas.openxmlformats.org/officeDocument/2006/relationships/hyperlink" Target="https://akshar-exim-company-pvt-ltd.odoo.com/web" TargetMode="External"/><Relationship Id="rId4540" Type="http://schemas.openxmlformats.org/officeDocument/2006/relationships/hyperlink" Target="https://akshar-exim-company-pvt-ltd.odoo.com/web" TargetMode="External"/><Relationship Id="rId686" Type="http://schemas.openxmlformats.org/officeDocument/2006/relationships/hyperlink" Target="https://indmrt.in/qrctjcjk/call+91-9051351522" TargetMode="External"/><Relationship Id="rId3212" Type="http://schemas.openxmlformats.org/officeDocument/2006/relationships/hyperlink" Target="mailto:agarwallaarun311@gmail.com" TargetMode="External"/><Relationship Id="rId4543" Type="http://schemas.openxmlformats.org/officeDocument/2006/relationships/hyperlink" Target="https://akshar-exim-company-pvt-ltd.odoo.com/web" TargetMode="External"/><Relationship Id="rId685" Type="http://schemas.openxmlformats.org/officeDocument/2006/relationships/hyperlink" Target="https://akshar-exim-company-pvt-ltd.odoo.com/web" TargetMode="External"/><Relationship Id="rId3211" Type="http://schemas.openxmlformats.org/officeDocument/2006/relationships/hyperlink" Target="https://akshar-exim-company-pvt-ltd.odoo.com/web" TargetMode="External"/><Relationship Id="rId4542" Type="http://schemas.openxmlformats.org/officeDocument/2006/relationships/hyperlink" Target="https://akshar-exim-company-pvt-ltd.odoo.com/web" TargetMode="External"/><Relationship Id="rId684" Type="http://schemas.openxmlformats.org/officeDocument/2006/relationships/hyperlink" Target="mailto:ahmadsft07@gmail.com" TargetMode="External"/><Relationship Id="rId3214" Type="http://schemas.openxmlformats.org/officeDocument/2006/relationships/hyperlink" Target="mailto:atlantaexports@rediffmail.com" TargetMode="External"/><Relationship Id="rId4545" Type="http://schemas.openxmlformats.org/officeDocument/2006/relationships/hyperlink" Target="https://akshar-exim-company-pvt-ltd.odoo.com/web" TargetMode="External"/><Relationship Id="rId683" Type="http://schemas.openxmlformats.org/officeDocument/2006/relationships/hyperlink" Target="https://akshar-exim-company-pvt-ltd.odoo.com/web" TargetMode="External"/><Relationship Id="rId3213" Type="http://schemas.openxmlformats.org/officeDocument/2006/relationships/hyperlink" Target="https://akshar-exim-company-pvt-ltd.odoo.com/web" TargetMode="External"/><Relationship Id="rId4544" Type="http://schemas.openxmlformats.org/officeDocument/2006/relationships/hyperlink" Target="https://akshar-exim-company-pvt-ltd.odoo.com/web" TargetMode="External"/><Relationship Id="rId3205" Type="http://schemas.openxmlformats.org/officeDocument/2006/relationships/hyperlink" Target="mailto:smgaus3@gmail.com" TargetMode="External"/><Relationship Id="rId4536" Type="http://schemas.openxmlformats.org/officeDocument/2006/relationships/hyperlink" Target="https://akshar-exim-company-pvt-ltd.odoo.com/web" TargetMode="External"/><Relationship Id="rId3204" Type="http://schemas.openxmlformats.org/officeDocument/2006/relationships/hyperlink" Target="https://akshar-exim-company-pvt-ltd.odoo.com/web" TargetMode="External"/><Relationship Id="rId4535" Type="http://schemas.openxmlformats.org/officeDocument/2006/relationships/hyperlink" Target="https://akshar-exim-company-pvt-ltd.odoo.com/web" TargetMode="External"/><Relationship Id="rId3207" Type="http://schemas.openxmlformats.org/officeDocument/2006/relationships/hyperlink" Target="mailto:skcblg@gmail.com" TargetMode="External"/><Relationship Id="rId4538" Type="http://schemas.openxmlformats.org/officeDocument/2006/relationships/hyperlink" Target="https://akshar-exim-company-pvt-ltd.odoo.com/web" TargetMode="External"/><Relationship Id="rId3206" Type="http://schemas.openxmlformats.org/officeDocument/2006/relationships/hyperlink" Target="https://akshar-exim-company-pvt-ltd.odoo.com/web" TargetMode="External"/><Relationship Id="rId4537" Type="http://schemas.openxmlformats.org/officeDocument/2006/relationships/hyperlink" Target="https://akshar-exim-company-pvt-ltd.odoo.com/web" TargetMode="External"/><Relationship Id="rId3209" Type="http://schemas.openxmlformats.org/officeDocument/2006/relationships/hyperlink" Target="https://akshar-exim-company-pvt-ltd.odoo.com/web" TargetMode="External"/><Relationship Id="rId3208" Type="http://schemas.openxmlformats.org/officeDocument/2006/relationships/hyperlink" Target="https://akshar-exim-company-pvt-ltd.odoo.com/web" TargetMode="External"/><Relationship Id="rId4539" Type="http://schemas.openxmlformats.org/officeDocument/2006/relationships/hyperlink" Target="https://akshar-exim-company-pvt-ltd.odoo.com/web" TargetMode="External"/><Relationship Id="rId679" Type="http://schemas.openxmlformats.org/officeDocument/2006/relationships/hyperlink" Target="mailto:osterchem@gmail.com" TargetMode="External"/><Relationship Id="rId678" Type="http://schemas.openxmlformats.org/officeDocument/2006/relationships/hyperlink" Target="https://akshar-exim-company-pvt-ltd.odoo.com/web" TargetMode="External"/><Relationship Id="rId677" Type="http://schemas.openxmlformats.org/officeDocument/2006/relationships/hyperlink" Target="mailto:chattopadhyayjayanta1@gmail.com" TargetMode="External"/><Relationship Id="rId676" Type="http://schemas.openxmlformats.org/officeDocument/2006/relationships/hyperlink" Target="https://akshar-exim-company-pvt-ltd.odoo.com/web" TargetMode="External"/><Relationship Id="rId671" Type="http://schemas.openxmlformats.org/officeDocument/2006/relationships/hyperlink" Target="mailto:shaikhtaufique1998@gmail.com" TargetMode="External"/><Relationship Id="rId670" Type="http://schemas.openxmlformats.org/officeDocument/2006/relationships/hyperlink" Target="https://akshar-exim-company-pvt-ltd.odoo.com/web" TargetMode="External"/><Relationship Id="rId4530" Type="http://schemas.openxmlformats.org/officeDocument/2006/relationships/hyperlink" Target="https://akshar-exim-company-pvt-ltd.odoo.com/web" TargetMode="External"/><Relationship Id="rId675" Type="http://schemas.openxmlformats.org/officeDocument/2006/relationships/hyperlink" Target="mailto:manishmetal@hotmail.com" TargetMode="External"/><Relationship Id="rId3201" Type="http://schemas.openxmlformats.org/officeDocument/2006/relationships/hyperlink" Target="mailto:jd.tradingco18@gmail.com" TargetMode="External"/><Relationship Id="rId4532" Type="http://schemas.openxmlformats.org/officeDocument/2006/relationships/hyperlink" Target="https://akshar-exim-company-pvt-ltd.odoo.com/web" TargetMode="External"/><Relationship Id="rId674" Type="http://schemas.openxmlformats.org/officeDocument/2006/relationships/hyperlink" Target="https://akshar-exim-company-pvt-ltd.odoo.com/web" TargetMode="External"/><Relationship Id="rId3200" Type="http://schemas.openxmlformats.org/officeDocument/2006/relationships/hyperlink" Target="https://akshar-exim-company-pvt-ltd.odoo.com/web" TargetMode="External"/><Relationship Id="rId4531" Type="http://schemas.openxmlformats.org/officeDocument/2006/relationships/hyperlink" Target="https://akshar-exim-company-pvt-ltd.odoo.com/web" TargetMode="External"/><Relationship Id="rId673" Type="http://schemas.openxmlformats.org/officeDocument/2006/relationships/hyperlink" Target="mailto:sudhansusekharbehera655@gmail.com" TargetMode="External"/><Relationship Id="rId3203" Type="http://schemas.openxmlformats.org/officeDocument/2006/relationships/hyperlink" Target="mailto:sumantalu2@gmail.com" TargetMode="External"/><Relationship Id="rId4534" Type="http://schemas.openxmlformats.org/officeDocument/2006/relationships/hyperlink" Target="https://akshar-exim-company-pvt-ltd.odoo.com/web" TargetMode="External"/><Relationship Id="rId672" Type="http://schemas.openxmlformats.org/officeDocument/2006/relationships/hyperlink" Target="https://akshar-exim-company-pvt-ltd.odoo.com/web" TargetMode="External"/><Relationship Id="rId3202" Type="http://schemas.openxmlformats.org/officeDocument/2006/relationships/hyperlink" Target="https://akshar-exim-company-pvt-ltd.odoo.com/web" TargetMode="External"/><Relationship Id="rId4533" Type="http://schemas.openxmlformats.org/officeDocument/2006/relationships/hyperlink" Target="https://akshar-exim-company-pvt-ltd.odoo.com/web" TargetMode="External"/><Relationship Id="rId190" Type="http://schemas.openxmlformats.org/officeDocument/2006/relationships/hyperlink" Target="https://akshar-exim-company-pvt-ltd.odoo.com/web" TargetMode="External"/><Relationship Id="rId5019" Type="http://schemas.openxmlformats.org/officeDocument/2006/relationships/hyperlink" Target="https://akshar-exim-company-pvt-ltd.odoo.com/web" TargetMode="External"/><Relationship Id="rId194" Type="http://schemas.openxmlformats.org/officeDocument/2006/relationships/hyperlink" Target="https://akshar-exim-company-pvt-ltd.odoo.com/web" TargetMode="External"/><Relationship Id="rId193" Type="http://schemas.openxmlformats.org/officeDocument/2006/relationships/hyperlink" Target="mailto:shankarhembram1991@gmail.com" TargetMode="External"/><Relationship Id="rId192" Type="http://schemas.openxmlformats.org/officeDocument/2006/relationships/hyperlink" Target="https://akshar-exim-company-pvt-ltd.odoo.com/web" TargetMode="External"/><Relationship Id="rId191" Type="http://schemas.openxmlformats.org/officeDocument/2006/relationships/hyperlink" Target="mailto:harikrishanjha@gmail.com" TargetMode="External"/><Relationship Id="rId5010" Type="http://schemas.openxmlformats.org/officeDocument/2006/relationships/hyperlink" Target="https://akshar-exim-company-pvt-ltd.odoo.com/web" TargetMode="External"/><Relationship Id="rId187" Type="http://schemas.openxmlformats.org/officeDocument/2006/relationships/hyperlink" Target="https://akshar-exim-company-pvt-ltd.odoo.com/web" TargetMode="External"/><Relationship Id="rId5013" Type="http://schemas.openxmlformats.org/officeDocument/2006/relationships/hyperlink" Target="https://akshar-exim-company-pvt-ltd.odoo.com/web" TargetMode="External"/><Relationship Id="rId186" Type="http://schemas.openxmlformats.org/officeDocument/2006/relationships/hyperlink" Target="mailto:roysoumya71@gmail.com" TargetMode="External"/><Relationship Id="rId5014" Type="http://schemas.openxmlformats.org/officeDocument/2006/relationships/hyperlink" Target="https://akshar-exim-company-pvt-ltd.odoo.com/web" TargetMode="External"/><Relationship Id="rId185" Type="http://schemas.openxmlformats.org/officeDocument/2006/relationships/hyperlink" Target="https://akshar-exim-company-pvt-ltd.odoo.com/web" TargetMode="External"/><Relationship Id="rId5011" Type="http://schemas.openxmlformats.org/officeDocument/2006/relationships/hyperlink" Target="https://akshar-exim-company-pvt-ltd.odoo.com/web" TargetMode="External"/><Relationship Id="rId184" Type="http://schemas.openxmlformats.org/officeDocument/2006/relationships/hyperlink" Target="mailto:pahilajani_dilip@hotmail.com" TargetMode="External"/><Relationship Id="rId5012" Type="http://schemas.openxmlformats.org/officeDocument/2006/relationships/hyperlink" Target="https://akshar-exim-company-pvt-ltd.odoo.com/web" TargetMode="External"/><Relationship Id="rId5017" Type="http://schemas.openxmlformats.org/officeDocument/2006/relationships/hyperlink" Target="https://akshar-exim-company-pvt-ltd.odoo.com/web" TargetMode="External"/><Relationship Id="rId5018" Type="http://schemas.openxmlformats.org/officeDocument/2006/relationships/hyperlink" Target="https://akshar-exim-company-pvt-ltd.odoo.com/web" TargetMode="External"/><Relationship Id="rId189" Type="http://schemas.openxmlformats.org/officeDocument/2006/relationships/hyperlink" Target="https://akshar-exim-company-pvt-ltd.odoo.com/web" TargetMode="External"/><Relationship Id="rId5015" Type="http://schemas.openxmlformats.org/officeDocument/2006/relationships/hyperlink" Target="https://akshar-exim-company-pvt-ltd.odoo.com/web" TargetMode="External"/><Relationship Id="rId188" Type="http://schemas.openxmlformats.org/officeDocument/2006/relationships/hyperlink" Target="mailto:alok90400@gmail.com" TargetMode="External"/><Relationship Id="rId5016" Type="http://schemas.openxmlformats.org/officeDocument/2006/relationships/hyperlink" Target="https://akshar-exim-company-pvt-ltd.odoo.com/web" TargetMode="External"/><Relationship Id="rId5008" Type="http://schemas.openxmlformats.org/officeDocument/2006/relationships/hyperlink" Target="https://akshar-exim-company-pvt-ltd.odoo.com/web" TargetMode="External"/><Relationship Id="rId5009" Type="http://schemas.openxmlformats.org/officeDocument/2006/relationships/hyperlink" Target="https://akshar-exim-company-pvt-ltd.odoo.com/web" TargetMode="External"/><Relationship Id="rId183" Type="http://schemas.openxmlformats.org/officeDocument/2006/relationships/hyperlink" Target="https://akshar-exim-company-pvt-ltd.odoo.com/web" TargetMode="External"/><Relationship Id="rId182" Type="http://schemas.openxmlformats.org/officeDocument/2006/relationships/hyperlink" Target="mailto:rameshwarmaind11@gmail.com" TargetMode="External"/><Relationship Id="rId181" Type="http://schemas.openxmlformats.org/officeDocument/2006/relationships/hyperlink" Target="https://akshar-exim-company-pvt-ltd.odoo.com/web" TargetMode="External"/><Relationship Id="rId180" Type="http://schemas.openxmlformats.org/officeDocument/2006/relationships/hyperlink" Target="https://akshar-exim-company-pvt-ltd.odoo.com/web" TargetMode="External"/><Relationship Id="rId176" Type="http://schemas.openxmlformats.org/officeDocument/2006/relationships/hyperlink" Target="mailto:apwvikram@gmail.com" TargetMode="External"/><Relationship Id="rId5002" Type="http://schemas.openxmlformats.org/officeDocument/2006/relationships/hyperlink" Target="https://akshar-exim-company-pvt-ltd.odoo.com/web" TargetMode="External"/><Relationship Id="rId175" Type="http://schemas.openxmlformats.org/officeDocument/2006/relationships/hyperlink" Target="https://akshar-exim-company-pvt-ltd.odoo.com/web" TargetMode="External"/><Relationship Id="rId5003" Type="http://schemas.openxmlformats.org/officeDocument/2006/relationships/hyperlink" Target="https://akshar-exim-company-pvt-ltd.odoo.com/web" TargetMode="External"/><Relationship Id="rId174" Type="http://schemas.openxmlformats.org/officeDocument/2006/relationships/hyperlink" Target="mailto:rnc2011@gmail.com" TargetMode="External"/><Relationship Id="rId5000" Type="http://schemas.openxmlformats.org/officeDocument/2006/relationships/hyperlink" Target="https://akshar-exim-company-pvt-ltd.odoo.com/web" TargetMode="External"/><Relationship Id="rId173" Type="http://schemas.openxmlformats.org/officeDocument/2006/relationships/hyperlink" Target="https://akshar-exim-company-pvt-ltd.odoo.com/web" TargetMode="External"/><Relationship Id="rId5001" Type="http://schemas.openxmlformats.org/officeDocument/2006/relationships/hyperlink" Target="https://akshar-exim-company-pvt-ltd.odoo.com/web" TargetMode="External"/><Relationship Id="rId5006" Type="http://schemas.openxmlformats.org/officeDocument/2006/relationships/hyperlink" Target="https://akshar-exim-company-pvt-ltd.odoo.com/web" TargetMode="External"/><Relationship Id="rId179" Type="http://schemas.openxmlformats.org/officeDocument/2006/relationships/hyperlink" Target="https://akshar-exim-company-pvt-ltd.odoo.com/web" TargetMode="External"/><Relationship Id="rId5007" Type="http://schemas.openxmlformats.org/officeDocument/2006/relationships/hyperlink" Target="https://akshar-exim-company-pvt-ltd.odoo.com/web" TargetMode="External"/><Relationship Id="rId178" Type="http://schemas.openxmlformats.org/officeDocument/2006/relationships/hyperlink" Target="mailto:harihardas09@gmail.com" TargetMode="External"/><Relationship Id="rId5004" Type="http://schemas.openxmlformats.org/officeDocument/2006/relationships/hyperlink" Target="https://akshar-exim-company-pvt-ltd.odoo.com/web" TargetMode="External"/><Relationship Id="rId177" Type="http://schemas.openxmlformats.org/officeDocument/2006/relationships/hyperlink" Target="https://akshar-exim-company-pvt-ltd.odoo.com/web" TargetMode="External"/><Relationship Id="rId5005" Type="http://schemas.openxmlformats.org/officeDocument/2006/relationships/hyperlink" Target="https://akshar-exim-company-pvt-ltd.odoo.com/web" TargetMode="External"/><Relationship Id="rId5031" Type="http://schemas.openxmlformats.org/officeDocument/2006/relationships/hyperlink" Target="https://akshar-exim-company-pvt-ltd.odoo.com/web" TargetMode="External"/><Relationship Id="rId5032" Type="http://schemas.openxmlformats.org/officeDocument/2006/relationships/hyperlink" Target="https://akshar-exim-company-pvt-ltd.odoo.com/web" TargetMode="External"/><Relationship Id="rId5030" Type="http://schemas.openxmlformats.org/officeDocument/2006/relationships/hyperlink" Target="https://akshar-exim-company-pvt-ltd.odoo.com/web" TargetMode="External"/><Relationship Id="rId5035" Type="http://schemas.openxmlformats.org/officeDocument/2006/relationships/hyperlink" Target="https://akshar-exim-company-pvt-ltd.odoo.com/web" TargetMode="External"/><Relationship Id="rId5036" Type="http://schemas.openxmlformats.org/officeDocument/2006/relationships/hyperlink" Target="https://akshar-exim-company-pvt-ltd.odoo.com/web" TargetMode="External"/><Relationship Id="rId5033" Type="http://schemas.openxmlformats.org/officeDocument/2006/relationships/hyperlink" Target="https://akshar-exim-company-pvt-ltd.odoo.com/web" TargetMode="External"/><Relationship Id="rId5034" Type="http://schemas.openxmlformats.org/officeDocument/2006/relationships/hyperlink" Target="https://akshar-exim-company-pvt-ltd.odoo.com/web" TargetMode="External"/><Relationship Id="rId5039" Type="http://schemas.openxmlformats.org/officeDocument/2006/relationships/hyperlink" Target="https://akshar-exim-company-pvt-ltd.odoo.com/web" TargetMode="External"/><Relationship Id="rId5037" Type="http://schemas.openxmlformats.org/officeDocument/2006/relationships/hyperlink" Target="https://akshar-exim-company-pvt-ltd.odoo.com/web" TargetMode="External"/><Relationship Id="rId5038" Type="http://schemas.openxmlformats.org/officeDocument/2006/relationships/hyperlink" Target="https://akshar-exim-company-pvt-ltd.odoo.com/web" TargetMode="External"/><Relationship Id="rId5020" Type="http://schemas.openxmlformats.org/officeDocument/2006/relationships/hyperlink" Target="https://akshar-exim-company-pvt-ltd.odoo.com/web" TargetMode="External"/><Relationship Id="rId5021" Type="http://schemas.openxmlformats.org/officeDocument/2006/relationships/hyperlink" Target="https://akshar-exim-company-pvt-ltd.odoo.com/web" TargetMode="External"/><Relationship Id="rId198" Type="http://schemas.openxmlformats.org/officeDocument/2006/relationships/hyperlink" Target="https://akshar-exim-company-pvt-ltd.odoo.com/web" TargetMode="External"/><Relationship Id="rId5024" Type="http://schemas.openxmlformats.org/officeDocument/2006/relationships/hyperlink" Target="https://akshar-exim-company-pvt-ltd.odoo.com/web" TargetMode="External"/><Relationship Id="rId197" Type="http://schemas.openxmlformats.org/officeDocument/2006/relationships/hyperlink" Target="mailto:bhargawa_entp@rediffmail.com" TargetMode="External"/><Relationship Id="rId5025" Type="http://schemas.openxmlformats.org/officeDocument/2006/relationships/hyperlink" Target="https://akshar-exim-company-pvt-ltd.odoo.com/web" TargetMode="External"/><Relationship Id="rId196" Type="http://schemas.openxmlformats.org/officeDocument/2006/relationships/hyperlink" Target="https://akshar-exim-company-pvt-ltd.odoo.com/web" TargetMode="External"/><Relationship Id="rId5022" Type="http://schemas.openxmlformats.org/officeDocument/2006/relationships/hyperlink" Target="https://akshar-exim-company-pvt-ltd.odoo.com/web" TargetMode="External"/><Relationship Id="rId195" Type="http://schemas.openxmlformats.org/officeDocument/2006/relationships/hyperlink" Target="mailto:abid.khan130@gmail.com" TargetMode="External"/><Relationship Id="rId5023" Type="http://schemas.openxmlformats.org/officeDocument/2006/relationships/hyperlink" Target="https://akshar-exim-company-pvt-ltd.odoo.com/web" TargetMode="External"/><Relationship Id="rId5028" Type="http://schemas.openxmlformats.org/officeDocument/2006/relationships/hyperlink" Target="https://akshar-exim-company-pvt-ltd.odoo.com/web" TargetMode="External"/><Relationship Id="rId5029" Type="http://schemas.openxmlformats.org/officeDocument/2006/relationships/hyperlink" Target="https://akshar-exim-company-pvt-ltd.odoo.com/web" TargetMode="External"/><Relationship Id="rId5026" Type="http://schemas.openxmlformats.org/officeDocument/2006/relationships/hyperlink" Target="https://akshar-exim-company-pvt-ltd.odoo.com/web" TargetMode="External"/><Relationship Id="rId199" Type="http://schemas.openxmlformats.org/officeDocument/2006/relationships/hyperlink" Target="https://akshar-exim-company-pvt-ltd.odoo.com/web" TargetMode="External"/><Relationship Id="rId5027" Type="http://schemas.openxmlformats.org/officeDocument/2006/relationships/hyperlink" Target="https://akshar-exim-company-pvt-ltd.odoo.com/web" TargetMode="External"/><Relationship Id="rId150" Type="http://schemas.openxmlformats.org/officeDocument/2006/relationships/hyperlink" Target="https://akshar-exim-company-pvt-ltd.odoo.com/web" TargetMode="External"/><Relationship Id="rId149" Type="http://schemas.openxmlformats.org/officeDocument/2006/relationships/hyperlink" Target="mailto:jaya.impo@gmail.com" TargetMode="External"/><Relationship Id="rId148" Type="http://schemas.openxmlformats.org/officeDocument/2006/relationships/hyperlink" Target="https://akshar-exim-company-pvt-ltd.odoo.com/web" TargetMode="External"/><Relationship Id="rId3270" Type="http://schemas.openxmlformats.org/officeDocument/2006/relationships/hyperlink" Target="mailto:sarifmollick219@gmail.com" TargetMode="External"/><Relationship Id="rId3272" Type="http://schemas.openxmlformats.org/officeDocument/2006/relationships/hyperlink" Target="mailto:aroyalbalaji@gmail.com" TargetMode="External"/><Relationship Id="rId3271" Type="http://schemas.openxmlformats.org/officeDocument/2006/relationships/hyperlink" Target="https://akshar-exim-company-pvt-ltd.odoo.com/web" TargetMode="External"/><Relationship Id="rId143" Type="http://schemas.openxmlformats.org/officeDocument/2006/relationships/hyperlink" Target="https://akshar-exim-company-pvt-ltd.odoo.com/web" TargetMode="External"/><Relationship Id="rId3274" Type="http://schemas.openxmlformats.org/officeDocument/2006/relationships/hyperlink" Target="https://akshar-exim-company-pvt-ltd.odoo.com/web" TargetMode="External"/><Relationship Id="rId142" Type="http://schemas.openxmlformats.org/officeDocument/2006/relationships/hyperlink" Target="mailto:nikhil.ca.sharma@gmail.com" TargetMode="External"/><Relationship Id="rId3273" Type="http://schemas.openxmlformats.org/officeDocument/2006/relationships/hyperlink" Target="https://akshar-exim-company-pvt-ltd.odoo.com/web" TargetMode="External"/><Relationship Id="rId141" Type="http://schemas.openxmlformats.org/officeDocument/2006/relationships/hyperlink" Target="https://akshar-exim-company-pvt-ltd.odoo.com/web" TargetMode="External"/><Relationship Id="rId3276" Type="http://schemas.openxmlformats.org/officeDocument/2006/relationships/hyperlink" Target="https://akshar-exim-company-pvt-ltd.odoo.com/web" TargetMode="External"/><Relationship Id="rId140" Type="http://schemas.openxmlformats.org/officeDocument/2006/relationships/hyperlink" Target="mailto:srikantk100@gmail.com" TargetMode="External"/><Relationship Id="rId3275" Type="http://schemas.openxmlformats.org/officeDocument/2006/relationships/hyperlink" Target="https://akshar-exim-company-pvt-ltd.odoo.com/web" TargetMode="External"/><Relationship Id="rId147" Type="http://schemas.openxmlformats.org/officeDocument/2006/relationships/hyperlink" Target="mailto:singhindrajit575@gmail.com" TargetMode="External"/><Relationship Id="rId3278" Type="http://schemas.openxmlformats.org/officeDocument/2006/relationships/hyperlink" Target="https://akshar-exim-company-pvt-ltd.odoo.com/web" TargetMode="External"/><Relationship Id="rId146" Type="http://schemas.openxmlformats.org/officeDocument/2006/relationships/hyperlink" Target="https://akshar-exim-company-pvt-ltd.odoo.com/web" TargetMode="External"/><Relationship Id="rId3277" Type="http://schemas.openxmlformats.org/officeDocument/2006/relationships/hyperlink" Target="mailto:babluanju1989@gmail.com" TargetMode="External"/><Relationship Id="rId145" Type="http://schemas.openxmlformats.org/officeDocument/2006/relationships/hyperlink" Target="https://akshar-exim-company-pvt-ltd.odoo.com/web" TargetMode="External"/><Relationship Id="rId144" Type="http://schemas.openxmlformats.org/officeDocument/2006/relationships/hyperlink" Target="mailto:omsspl@gmail.com" TargetMode="External"/><Relationship Id="rId3279" Type="http://schemas.openxmlformats.org/officeDocument/2006/relationships/hyperlink" Target="mailto:haldersuman093@gmail.com" TargetMode="External"/><Relationship Id="rId139" Type="http://schemas.openxmlformats.org/officeDocument/2006/relationships/hyperlink" Target="https://akshar-exim-company-pvt-ltd.odoo.com/web" TargetMode="External"/><Relationship Id="rId138" Type="http://schemas.openxmlformats.org/officeDocument/2006/relationships/hyperlink" Target="mailto:baburana207@gmail.com" TargetMode="External"/><Relationship Id="rId137" Type="http://schemas.openxmlformats.org/officeDocument/2006/relationships/hyperlink" Target="https://akshar-exim-company-pvt-ltd.odoo.com/web" TargetMode="External"/><Relationship Id="rId4590" Type="http://schemas.openxmlformats.org/officeDocument/2006/relationships/hyperlink" Target="https://akshar-exim-company-pvt-ltd.odoo.com/web" TargetMode="External"/><Relationship Id="rId3261" Type="http://schemas.openxmlformats.org/officeDocument/2006/relationships/hyperlink" Target="https://akshar-exim-company-pvt-ltd.odoo.com/web" TargetMode="External"/><Relationship Id="rId4592" Type="http://schemas.openxmlformats.org/officeDocument/2006/relationships/hyperlink" Target="https://akshar-exim-company-pvt-ltd.odoo.com/web" TargetMode="External"/><Relationship Id="rId3260" Type="http://schemas.openxmlformats.org/officeDocument/2006/relationships/hyperlink" Target="mailto:soumen.me01@gmail.com" TargetMode="External"/><Relationship Id="rId4591" Type="http://schemas.openxmlformats.org/officeDocument/2006/relationships/hyperlink" Target="https://akshar-exim-company-pvt-ltd.odoo.com/web" TargetMode="External"/><Relationship Id="rId132" Type="http://schemas.openxmlformats.org/officeDocument/2006/relationships/hyperlink" Target="https://akshar-exim-company-pvt-ltd.odoo.com/web" TargetMode="External"/><Relationship Id="rId3263" Type="http://schemas.openxmlformats.org/officeDocument/2006/relationships/hyperlink" Target="https://akshar-exim-company-pvt-ltd.odoo.com/web" TargetMode="External"/><Relationship Id="rId4594" Type="http://schemas.openxmlformats.org/officeDocument/2006/relationships/hyperlink" Target="https://akshar-exim-company-pvt-ltd.odoo.com/web" TargetMode="External"/><Relationship Id="rId131" Type="http://schemas.openxmlformats.org/officeDocument/2006/relationships/hyperlink" Target="mailto:mdameer120@gmail.com" TargetMode="External"/><Relationship Id="rId3262" Type="http://schemas.openxmlformats.org/officeDocument/2006/relationships/hyperlink" Target="mailto:nk11186@gmail.com" TargetMode="External"/><Relationship Id="rId4593" Type="http://schemas.openxmlformats.org/officeDocument/2006/relationships/hyperlink" Target="https://akshar-exim-company-pvt-ltd.odoo.com/web" TargetMode="External"/><Relationship Id="rId130" Type="http://schemas.openxmlformats.org/officeDocument/2006/relationships/hyperlink" Target="https://akshar-exim-company-pvt-ltd.odoo.com/web" TargetMode="External"/><Relationship Id="rId3265" Type="http://schemas.openxmlformats.org/officeDocument/2006/relationships/hyperlink" Target="https://akshar-exim-company-pvt-ltd.odoo.com/web" TargetMode="External"/><Relationship Id="rId4596" Type="http://schemas.openxmlformats.org/officeDocument/2006/relationships/hyperlink" Target="https://akshar-exim-company-pvt-ltd.odoo.com/web" TargetMode="External"/><Relationship Id="rId3264" Type="http://schemas.openxmlformats.org/officeDocument/2006/relationships/hyperlink" Target="mailto:prmrubber@hotmail.com" TargetMode="External"/><Relationship Id="rId4595" Type="http://schemas.openxmlformats.org/officeDocument/2006/relationships/hyperlink" Target="https://akshar-exim-company-pvt-ltd.odoo.com/web" TargetMode="External"/><Relationship Id="rId136" Type="http://schemas.openxmlformats.org/officeDocument/2006/relationships/hyperlink" Target="mailto:rahul.singh827013@gmail.com" TargetMode="External"/><Relationship Id="rId3267" Type="http://schemas.openxmlformats.org/officeDocument/2006/relationships/hyperlink" Target="https://akshar-exim-company-pvt-ltd.odoo.com/web" TargetMode="External"/><Relationship Id="rId4598" Type="http://schemas.openxmlformats.org/officeDocument/2006/relationships/hyperlink" Target="https://akshar-exim-company-pvt-ltd.odoo.com/web" TargetMode="External"/><Relationship Id="rId135" Type="http://schemas.openxmlformats.org/officeDocument/2006/relationships/hyperlink" Target="https://akshar-exim-company-pvt-ltd.odoo.com/web" TargetMode="External"/><Relationship Id="rId3266" Type="http://schemas.openxmlformats.org/officeDocument/2006/relationships/hyperlink" Target="mailto:cementcapsule@yahoo.co.in" TargetMode="External"/><Relationship Id="rId4597" Type="http://schemas.openxmlformats.org/officeDocument/2006/relationships/hyperlink" Target="https://akshar-exim-company-pvt-ltd.odoo.com/web" TargetMode="External"/><Relationship Id="rId134" Type="http://schemas.openxmlformats.org/officeDocument/2006/relationships/hyperlink" Target="mailto:srbtraders1@gmail.com" TargetMode="External"/><Relationship Id="rId3269" Type="http://schemas.openxmlformats.org/officeDocument/2006/relationships/hyperlink" Target="https://akshar-exim-company-pvt-ltd.odoo.com/web" TargetMode="External"/><Relationship Id="rId133" Type="http://schemas.openxmlformats.org/officeDocument/2006/relationships/hyperlink" Target="https://akshar-exim-company-pvt-ltd.odoo.com/web" TargetMode="External"/><Relationship Id="rId3268" Type="http://schemas.openxmlformats.org/officeDocument/2006/relationships/hyperlink" Target="mailto:mh7669015@gmail.com" TargetMode="External"/><Relationship Id="rId4599" Type="http://schemas.openxmlformats.org/officeDocument/2006/relationships/hyperlink" Target="https://akshar-exim-company-pvt-ltd.odoo.com/web" TargetMode="External"/><Relationship Id="rId172" Type="http://schemas.openxmlformats.org/officeDocument/2006/relationships/hyperlink" Target="https://akshar-exim-company-pvt-ltd.odoo.com/web" TargetMode="External"/><Relationship Id="rId171" Type="http://schemas.openxmlformats.org/officeDocument/2006/relationships/hyperlink" Target="mailto:pawanthakare18@gmail.com" TargetMode="External"/><Relationship Id="rId170" Type="http://schemas.openxmlformats.org/officeDocument/2006/relationships/hyperlink" Target="https://akshar-exim-company-pvt-ltd.odoo.com/web" TargetMode="External"/><Relationship Id="rId3290" Type="http://schemas.openxmlformats.org/officeDocument/2006/relationships/hyperlink" Target="https://akshar-exim-company-pvt-ltd.odoo.com/web" TargetMode="External"/><Relationship Id="rId3292" Type="http://schemas.openxmlformats.org/officeDocument/2006/relationships/hyperlink" Target="https://akshar-exim-company-pvt-ltd.odoo.com/web" TargetMode="External"/><Relationship Id="rId3291" Type="http://schemas.openxmlformats.org/officeDocument/2006/relationships/hyperlink" Target="mailto:a.s.enterprise@hotmail.com" TargetMode="External"/><Relationship Id="rId3294" Type="http://schemas.openxmlformats.org/officeDocument/2006/relationships/hyperlink" Target="https://akshar-exim-company-pvt-ltd.odoo.com/web" TargetMode="External"/><Relationship Id="rId3293" Type="http://schemas.openxmlformats.org/officeDocument/2006/relationships/hyperlink" Target="https://akshar-exim-company-pvt-ltd.odoo.com/web" TargetMode="External"/><Relationship Id="rId165" Type="http://schemas.openxmlformats.org/officeDocument/2006/relationships/hyperlink" Target="mailto:ashokkpami@gmail.com" TargetMode="External"/><Relationship Id="rId3296" Type="http://schemas.openxmlformats.org/officeDocument/2006/relationships/hyperlink" Target="https://akshar-exim-company-pvt-ltd.odoo.com/web" TargetMode="External"/><Relationship Id="rId164" Type="http://schemas.openxmlformats.org/officeDocument/2006/relationships/hyperlink" Target="https://akshar-exim-company-pvt-ltd.odoo.com/web" TargetMode="External"/><Relationship Id="rId3295" Type="http://schemas.openxmlformats.org/officeDocument/2006/relationships/hyperlink" Target="mailto:subratadutta16044@gmail.com" TargetMode="External"/><Relationship Id="rId163" Type="http://schemas.openxmlformats.org/officeDocument/2006/relationships/hyperlink" Target="mailto:sanjaychoudharykolkata@gmail.com" TargetMode="External"/><Relationship Id="rId3298" Type="http://schemas.openxmlformats.org/officeDocument/2006/relationships/hyperlink" Target="https://akshar-exim-company-pvt-ltd.odoo.com/web" TargetMode="External"/><Relationship Id="rId162" Type="http://schemas.openxmlformats.org/officeDocument/2006/relationships/hyperlink" Target="https://akshar-exim-company-pvt-ltd.odoo.com/web" TargetMode="External"/><Relationship Id="rId3297" Type="http://schemas.openxmlformats.org/officeDocument/2006/relationships/hyperlink" Target="mailto:lam.rnd@centuryply.com" TargetMode="External"/><Relationship Id="rId169" Type="http://schemas.openxmlformats.org/officeDocument/2006/relationships/hyperlink" Target="mailto:asitdawn1234@gmail.com" TargetMode="External"/><Relationship Id="rId168" Type="http://schemas.openxmlformats.org/officeDocument/2006/relationships/hyperlink" Target="https://akshar-exim-company-pvt-ltd.odoo.com/web" TargetMode="External"/><Relationship Id="rId3299" Type="http://schemas.openxmlformats.org/officeDocument/2006/relationships/hyperlink" Target="https://akshar-exim-company-pvt-ltd.odoo.com/web" TargetMode="External"/><Relationship Id="rId167" Type="http://schemas.openxmlformats.org/officeDocument/2006/relationships/hyperlink" Target="mailto:anand.roy08@gmail.com" TargetMode="External"/><Relationship Id="rId166" Type="http://schemas.openxmlformats.org/officeDocument/2006/relationships/hyperlink" Target="https://akshar-exim-company-pvt-ltd.odoo.com/web" TargetMode="External"/><Relationship Id="rId161" Type="http://schemas.openxmlformats.org/officeDocument/2006/relationships/hyperlink" Target="mailto:rishitengineering9@gmail.com" TargetMode="External"/><Relationship Id="rId160" Type="http://schemas.openxmlformats.org/officeDocument/2006/relationships/hyperlink" Target="https://akshar-exim-company-pvt-ltd.odoo.com/web" TargetMode="External"/><Relationship Id="rId159" Type="http://schemas.openxmlformats.org/officeDocument/2006/relationships/hyperlink" Target="mailto:sanjayshaws1010@gmail.com" TargetMode="External"/><Relationship Id="rId3281" Type="http://schemas.openxmlformats.org/officeDocument/2006/relationships/hyperlink" Target="mailto:rabiasultana945@gmail.com" TargetMode="External"/><Relationship Id="rId3280" Type="http://schemas.openxmlformats.org/officeDocument/2006/relationships/hyperlink" Target="https://akshar-exim-company-pvt-ltd.odoo.com/web" TargetMode="External"/><Relationship Id="rId3283" Type="http://schemas.openxmlformats.org/officeDocument/2006/relationships/hyperlink" Target="https://akshar-exim-company-pvt-ltd.odoo.com/web" TargetMode="External"/><Relationship Id="rId3282" Type="http://schemas.openxmlformats.org/officeDocument/2006/relationships/hyperlink" Target="https://akshar-exim-company-pvt-ltd.odoo.com/web" TargetMode="External"/><Relationship Id="rId154" Type="http://schemas.openxmlformats.org/officeDocument/2006/relationships/hyperlink" Target="https://akshar-exim-company-pvt-ltd.odoo.com/web" TargetMode="External"/><Relationship Id="rId3285" Type="http://schemas.openxmlformats.org/officeDocument/2006/relationships/hyperlink" Target="mailto:dr.linnlab@gmail.com" TargetMode="External"/><Relationship Id="rId153" Type="http://schemas.openxmlformats.org/officeDocument/2006/relationships/hyperlink" Target="mailto:primiji39@gmail.com" TargetMode="External"/><Relationship Id="rId3284" Type="http://schemas.openxmlformats.org/officeDocument/2006/relationships/hyperlink" Target="https://akshar-exim-company-pvt-ltd.odoo.com/web" TargetMode="External"/><Relationship Id="rId152" Type="http://schemas.openxmlformats.org/officeDocument/2006/relationships/hyperlink" Target="https://akshar-exim-company-pvt-ltd.odoo.com/web" TargetMode="External"/><Relationship Id="rId3287" Type="http://schemas.openxmlformats.org/officeDocument/2006/relationships/hyperlink" Target="mailto:sandip.misicon@gmail.com" TargetMode="External"/><Relationship Id="rId151" Type="http://schemas.openxmlformats.org/officeDocument/2006/relationships/hyperlink" Target="mailto:spark66mb@gmail.com" TargetMode="External"/><Relationship Id="rId3286" Type="http://schemas.openxmlformats.org/officeDocument/2006/relationships/hyperlink" Target="https://akshar-exim-company-pvt-ltd.odoo.com/web" TargetMode="External"/><Relationship Id="rId158" Type="http://schemas.openxmlformats.org/officeDocument/2006/relationships/hyperlink" Target="https://akshar-exim-company-pvt-ltd.odoo.com/web" TargetMode="External"/><Relationship Id="rId3289" Type="http://schemas.openxmlformats.org/officeDocument/2006/relationships/hyperlink" Target="mailto:santi.halder1989@gmail.com" TargetMode="External"/><Relationship Id="rId157" Type="http://schemas.openxmlformats.org/officeDocument/2006/relationships/hyperlink" Target="mailto:dk.rajwani@nspcl.co.in" TargetMode="External"/><Relationship Id="rId3288" Type="http://schemas.openxmlformats.org/officeDocument/2006/relationships/hyperlink" Target="https://akshar-exim-company-pvt-ltd.odoo.com/web" TargetMode="External"/><Relationship Id="rId156" Type="http://schemas.openxmlformats.org/officeDocument/2006/relationships/hyperlink" Target="https://akshar-exim-company-pvt-ltd.odoo.com/web" TargetMode="External"/><Relationship Id="rId155" Type="http://schemas.openxmlformats.org/officeDocument/2006/relationships/hyperlink" Target="mailto:shilpimukherjee74@gmail.com" TargetMode="External"/><Relationship Id="rId2820" Type="http://schemas.openxmlformats.org/officeDocument/2006/relationships/hyperlink" Target="https://akshar-exim-company-pvt-ltd.odoo.com/web" TargetMode="External"/><Relationship Id="rId2821" Type="http://schemas.openxmlformats.org/officeDocument/2006/relationships/hyperlink" Target="https://akshar-exim-company-pvt-ltd.odoo.com/web" TargetMode="External"/><Relationship Id="rId2822" Type="http://schemas.openxmlformats.org/officeDocument/2006/relationships/hyperlink" Target="mailto:dipnbh@gmail.com" TargetMode="External"/><Relationship Id="rId2823" Type="http://schemas.openxmlformats.org/officeDocument/2006/relationships/hyperlink" Target="https://akshar-exim-company-pvt-ltd.odoo.com/web" TargetMode="External"/><Relationship Id="rId2824" Type="http://schemas.openxmlformats.org/officeDocument/2006/relationships/hyperlink" Target="mailto:skmahmudulhasan05@gmail.com" TargetMode="External"/><Relationship Id="rId2825" Type="http://schemas.openxmlformats.org/officeDocument/2006/relationships/hyperlink" Target="https://akshar-exim-company-pvt-ltd.odoo.com/web" TargetMode="External"/><Relationship Id="rId2826" Type="http://schemas.openxmlformats.org/officeDocument/2006/relationships/hyperlink" Target="mailto:mondalmukul423@gmail.com" TargetMode="External"/><Relationship Id="rId2827" Type="http://schemas.openxmlformats.org/officeDocument/2006/relationships/hyperlink" Target="https://akshar-exim-company-pvt-ltd.odoo.com/web" TargetMode="External"/><Relationship Id="rId2828" Type="http://schemas.openxmlformats.org/officeDocument/2006/relationships/hyperlink" Target="https://akshar-exim-company-pvt-ltd.odoo.com/web" TargetMode="External"/><Relationship Id="rId2829" Type="http://schemas.openxmlformats.org/officeDocument/2006/relationships/hyperlink" Target="mailto:jailaxmipc@gmail.com" TargetMode="External"/><Relationship Id="rId5093" Type="http://schemas.openxmlformats.org/officeDocument/2006/relationships/hyperlink" Target="https://akshar-exim-company-pvt-ltd.odoo.com/web" TargetMode="External"/><Relationship Id="rId5094" Type="http://schemas.openxmlformats.org/officeDocument/2006/relationships/hyperlink" Target="https://akshar-exim-company-pvt-ltd.odoo.com/web" TargetMode="External"/><Relationship Id="rId5091" Type="http://schemas.openxmlformats.org/officeDocument/2006/relationships/hyperlink" Target="https://akshar-exim-company-pvt-ltd.odoo.com/web" TargetMode="External"/><Relationship Id="rId5092" Type="http://schemas.openxmlformats.org/officeDocument/2006/relationships/hyperlink" Target="https://akshar-exim-company-pvt-ltd.odoo.com/web" TargetMode="External"/><Relationship Id="rId5097" Type="http://schemas.openxmlformats.org/officeDocument/2006/relationships/hyperlink" Target="https://akshar-exim-company-pvt-ltd.odoo.com/web" TargetMode="External"/><Relationship Id="rId5098" Type="http://schemas.openxmlformats.org/officeDocument/2006/relationships/hyperlink" Target="https://akshar-exim-company-pvt-ltd.odoo.com/web" TargetMode="External"/><Relationship Id="rId5095" Type="http://schemas.openxmlformats.org/officeDocument/2006/relationships/hyperlink" Target="https://akshar-exim-company-pvt-ltd.odoo.com/web" TargetMode="External"/><Relationship Id="rId5096" Type="http://schemas.openxmlformats.org/officeDocument/2006/relationships/hyperlink" Target="https://akshar-exim-company-pvt-ltd.odoo.com/web" TargetMode="External"/><Relationship Id="rId5099" Type="http://schemas.openxmlformats.org/officeDocument/2006/relationships/hyperlink" Target="https://akshar-exim-company-pvt-ltd.odoo.com/web" TargetMode="External"/><Relationship Id="rId2810" Type="http://schemas.openxmlformats.org/officeDocument/2006/relationships/hyperlink" Target="https://akshar-exim-company-pvt-ltd.odoo.com/web" TargetMode="External"/><Relationship Id="rId2811" Type="http://schemas.openxmlformats.org/officeDocument/2006/relationships/hyperlink" Target="mailto:nadeem.kacchi786@gmail.com" TargetMode="External"/><Relationship Id="rId2812" Type="http://schemas.openxmlformats.org/officeDocument/2006/relationships/hyperlink" Target="https://akshar-exim-company-pvt-ltd.odoo.com/web" TargetMode="External"/><Relationship Id="rId2813" Type="http://schemas.openxmlformats.org/officeDocument/2006/relationships/hyperlink" Target="https://akshar-exim-company-pvt-ltd.odoo.com/web" TargetMode="External"/><Relationship Id="rId2814" Type="http://schemas.openxmlformats.org/officeDocument/2006/relationships/hyperlink" Target="mailto:tonmoymukherjee76@gmail.com" TargetMode="External"/><Relationship Id="rId2815" Type="http://schemas.openxmlformats.org/officeDocument/2006/relationships/hyperlink" Target="https://akshar-exim-company-pvt-ltd.odoo.com/web" TargetMode="External"/><Relationship Id="rId2816" Type="http://schemas.openxmlformats.org/officeDocument/2006/relationships/hyperlink" Target="mailto:mayankbhatiya99@gmail.com" TargetMode="External"/><Relationship Id="rId2817" Type="http://schemas.openxmlformats.org/officeDocument/2006/relationships/hyperlink" Target="https://akshar-exim-company-pvt-ltd.odoo.com/web" TargetMode="External"/><Relationship Id="rId2818" Type="http://schemas.openxmlformats.org/officeDocument/2006/relationships/hyperlink" Target="mailto:jwalaoven@gmail.com" TargetMode="External"/><Relationship Id="rId2819" Type="http://schemas.openxmlformats.org/officeDocument/2006/relationships/hyperlink" Target="https://akshar-exim-company-pvt-ltd.odoo.com/web" TargetMode="External"/><Relationship Id="rId5090" Type="http://schemas.openxmlformats.org/officeDocument/2006/relationships/hyperlink" Target="https://akshar-exim-company-pvt-ltd.odoo.com/web" TargetMode="External"/><Relationship Id="rId5082" Type="http://schemas.openxmlformats.org/officeDocument/2006/relationships/hyperlink" Target="https://akshar-exim-company-pvt-ltd.odoo.com/web" TargetMode="External"/><Relationship Id="rId5083" Type="http://schemas.openxmlformats.org/officeDocument/2006/relationships/hyperlink" Target="https://akshar-exim-company-pvt-ltd.odoo.com/web" TargetMode="External"/><Relationship Id="rId5080" Type="http://schemas.openxmlformats.org/officeDocument/2006/relationships/hyperlink" Target="https://akshar-exim-company-pvt-ltd.odoo.com/web" TargetMode="External"/><Relationship Id="rId5081" Type="http://schemas.openxmlformats.org/officeDocument/2006/relationships/hyperlink" Target="https://akshar-exim-company-pvt-ltd.odoo.com/web" TargetMode="External"/><Relationship Id="rId5086" Type="http://schemas.openxmlformats.org/officeDocument/2006/relationships/hyperlink" Target="https://akshar-exim-company-pvt-ltd.odoo.com/web" TargetMode="External"/><Relationship Id="rId5087" Type="http://schemas.openxmlformats.org/officeDocument/2006/relationships/hyperlink" Target="https://akshar-exim-company-pvt-ltd.odoo.com/web" TargetMode="External"/><Relationship Id="rId5084" Type="http://schemas.openxmlformats.org/officeDocument/2006/relationships/hyperlink" Target="https://akshar-exim-company-pvt-ltd.odoo.com/web" TargetMode="External"/><Relationship Id="rId5085" Type="http://schemas.openxmlformats.org/officeDocument/2006/relationships/hyperlink" Target="https://akshar-exim-company-pvt-ltd.odoo.com/web" TargetMode="External"/><Relationship Id="rId5088" Type="http://schemas.openxmlformats.org/officeDocument/2006/relationships/hyperlink" Target="https://akshar-exim-company-pvt-ltd.odoo.com/web" TargetMode="External"/><Relationship Id="rId5089" Type="http://schemas.openxmlformats.org/officeDocument/2006/relationships/hyperlink" Target="https://akshar-exim-company-pvt-ltd.odoo.com/web" TargetMode="External"/><Relationship Id="rId1510" Type="http://schemas.openxmlformats.org/officeDocument/2006/relationships/hyperlink" Target="mailto:mprkshshaw@gmail.com" TargetMode="External"/><Relationship Id="rId2841" Type="http://schemas.openxmlformats.org/officeDocument/2006/relationships/hyperlink" Target="https://akshar-exim-company-pvt-ltd.odoo.com/web" TargetMode="External"/><Relationship Id="rId1511" Type="http://schemas.openxmlformats.org/officeDocument/2006/relationships/hyperlink" Target="https://akshar-exim-company-pvt-ltd.odoo.com/web" TargetMode="External"/><Relationship Id="rId2842" Type="http://schemas.openxmlformats.org/officeDocument/2006/relationships/hyperlink" Target="mailto:madhavde700@gmail.com" TargetMode="External"/><Relationship Id="rId1512" Type="http://schemas.openxmlformats.org/officeDocument/2006/relationships/hyperlink" Target="mailto:tarak_singh_chetla@yahoo.com" TargetMode="External"/><Relationship Id="rId2843" Type="http://schemas.openxmlformats.org/officeDocument/2006/relationships/hyperlink" Target="https://akshar-exim-company-pvt-ltd.odoo.com/web" TargetMode="External"/><Relationship Id="rId1513" Type="http://schemas.openxmlformats.org/officeDocument/2006/relationships/hyperlink" Target="https://akshar-exim-company-pvt-ltd.odoo.com/web" TargetMode="External"/><Relationship Id="rId2844" Type="http://schemas.openxmlformats.org/officeDocument/2006/relationships/hyperlink" Target="https://akshar-exim-company-pvt-ltd.odoo.com/web" TargetMode="External"/><Relationship Id="rId1514" Type="http://schemas.openxmlformats.org/officeDocument/2006/relationships/hyperlink" Target="mailto:iftekarmpathan77@gmail.com" TargetMode="External"/><Relationship Id="rId2845" Type="http://schemas.openxmlformats.org/officeDocument/2006/relationships/hyperlink" Target="mailto:z.ansari.78600@gmail.com" TargetMode="External"/><Relationship Id="rId1515" Type="http://schemas.openxmlformats.org/officeDocument/2006/relationships/hyperlink" Target="https://akshar-exim-company-pvt-ltd.odoo.com/web" TargetMode="External"/><Relationship Id="rId2846" Type="http://schemas.openxmlformats.org/officeDocument/2006/relationships/hyperlink" Target="https://akshar-exim-company-pvt-ltd.odoo.com/web" TargetMode="External"/><Relationship Id="rId1516" Type="http://schemas.openxmlformats.org/officeDocument/2006/relationships/hyperlink" Target="mailto:pintumandal0099@gmail.com" TargetMode="External"/><Relationship Id="rId2847" Type="http://schemas.openxmlformats.org/officeDocument/2006/relationships/hyperlink" Target="mailto:SVR_DRUGS@yahoo.COM" TargetMode="External"/><Relationship Id="rId1517" Type="http://schemas.openxmlformats.org/officeDocument/2006/relationships/hyperlink" Target="https://akshar-exim-company-pvt-ltd.odoo.com/web" TargetMode="External"/><Relationship Id="rId2848" Type="http://schemas.openxmlformats.org/officeDocument/2006/relationships/hyperlink" Target="https://akshar-exim-company-pvt-ltd.odoo.com/web" TargetMode="External"/><Relationship Id="rId1518" Type="http://schemas.openxmlformats.org/officeDocument/2006/relationships/hyperlink" Target="mailto:info@sdaproducts.com" TargetMode="External"/><Relationship Id="rId2849" Type="http://schemas.openxmlformats.org/officeDocument/2006/relationships/hyperlink" Target="mailto:skenterprise4242@gmail.com" TargetMode="External"/><Relationship Id="rId1519" Type="http://schemas.openxmlformats.org/officeDocument/2006/relationships/hyperlink" Target="https://akshar-exim-company-pvt-ltd.odoo.com/web" TargetMode="External"/><Relationship Id="rId2840" Type="http://schemas.openxmlformats.org/officeDocument/2006/relationships/hyperlink" Target="mailto:avi0120@gmail.com" TargetMode="External"/><Relationship Id="rId2830" Type="http://schemas.openxmlformats.org/officeDocument/2006/relationships/hyperlink" Target="https://akshar-exim-company-pvt-ltd.odoo.com/web" TargetMode="External"/><Relationship Id="rId1500" Type="http://schemas.openxmlformats.org/officeDocument/2006/relationships/hyperlink" Target="mailto:neelchemicals@yahoo.co.in" TargetMode="External"/><Relationship Id="rId2831" Type="http://schemas.openxmlformats.org/officeDocument/2006/relationships/hyperlink" Target="mailto:greenmotorworld@gmail.com" TargetMode="External"/><Relationship Id="rId1501" Type="http://schemas.openxmlformats.org/officeDocument/2006/relationships/hyperlink" Target="https://akshar-exim-company-pvt-ltd.odoo.com/web" TargetMode="External"/><Relationship Id="rId2832" Type="http://schemas.openxmlformats.org/officeDocument/2006/relationships/hyperlink" Target="https://akshar-exim-company-pvt-ltd.odoo.com/web" TargetMode="External"/><Relationship Id="rId1502" Type="http://schemas.openxmlformats.org/officeDocument/2006/relationships/hyperlink" Target="mailto:raisherysi@gmail.com" TargetMode="External"/><Relationship Id="rId2833" Type="http://schemas.openxmlformats.org/officeDocument/2006/relationships/hyperlink" Target="mailto:nbg1941@gmail.com" TargetMode="External"/><Relationship Id="rId1503" Type="http://schemas.openxmlformats.org/officeDocument/2006/relationships/hyperlink" Target="https://akshar-exim-company-pvt-ltd.odoo.com/web" TargetMode="External"/><Relationship Id="rId2834" Type="http://schemas.openxmlformats.org/officeDocument/2006/relationships/hyperlink" Target="https://akshar-exim-company-pvt-ltd.odoo.com/web" TargetMode="External"/><Relationship Id="rId1504" Type="http://schemas.openxmlformats.org/officeDocument/2006/relationships/hyperlink" Target="mailto:darkron53@gmail.com" TargetMode="External"/><Relationship Id="rId2835" Type="http://schemas.openxmlformats.org/officeDocument/2006/relationships/hyperlink" Target="https://akshar-exim-company-pvt-ltd.odoo.com/web" TargetMode="External"/><Relationship Id="rId1505" Type="http://schemas.openxmlformats.org/officeDocument/2006/relationships/hyperlink" Target="https://akshar-exim-company-pvt-ltd.odoo.com/web" TargetMode="External"/><Relationship Id="rId2836" Type="http://schemas.openxmlformats.org/officeDocument/2006/relationships/hyperlink" Target="mailto:2harshmittal@gmail.com" TargetMode="External"/><Relationship Id="rId1506" Type="http://schemas.openxmlformats.org/officeDocument/2006/relationships/hyperlink" Target="mailto:sales@rakhiagencies.com" TargetMode="External"/><Relationship Id="rId2837" Type="http://schemas.openxmlformats.org/officeDocument/2006/relationships/hyperlink" Target="https://akshar-exim-company-pvt-ltd.odoo.com/web" TargetMode="External"/><Relationship Id="rId1507" Type="http://schemas.openxmlformats.org/officeDocument/2006/relationships/hyperlink" Target="https://akshar-exim-company-pvt-ltd.odoo.com/web" TargetMode="External"/><Relationship Id="rId2838" Type="http://schemas.openxmlformats.org/officeDocument/2006/relationships/hyperlink" Target="mailto:phuletushar603060@gmail.com" TargetMode="External"/><Relationship Id="rId1508" Type="http://schemas.openxmlformats.org/officeDocument/2006/relationships/hyperlink" Target="mailto:marriageclub.in@gmail.com" TargetMode="External"/><Relationship Id="rId2839" Type="http://schemas.openxmlformats.org/officeDocument/2006/relationships/hyperlink" Target="https://akshar-exim-company-pvt-ltd.odoo.com/web" TargetMode="External"/><Relationship Id="rId1509" Type="http://schemas.openxmlformats.org/officeDocument/2006/relationships/hyperlink" Target="https://akshar-exim-company-pvt-ltd.odoo.com/web" TargetMode="External"/><Relationship Id="rId5050" Type="http://schemas.openxmlformats.org/officeDocument/2006/relationships/hyperlink" Target="https://akshar-exim-company-pvt-ltd.odoo.com/web" TargetMode="External"/><Relationship Id="rId5053" Type="http://schemas.openxmlformats.org/officeDocument/2006/relationships/hyperlink" Target="https://akshar-exim-company-pvt-ltd.odoo.com/web" TargetMode="External"/><Relationship Id="rId5054" Type="http://schemas.openxmlformats.org/officeDocument/2006/relationships/hyperlink" Target="https://akshar-exim-company-pvt-ltd.odoo.com/web" TargetMode="External"/><Relationship Id="rId5051" Type="http://schemas.openxmlformats.org/officeDocument/2006/relationships/hyperlink" Target="https://akshar-exim-company-pvt-ltd.odoo.com/web" TargetMode="External"/><Relationship Id="rId5052" Type="http://schemas.openxmlformats.org/officeDocument/2006/relationships/hyperlink" Target="https://akshar-exim-company-pvt-ltd.odoo.com/web" TargetMode="External"/><Relationship Id="rId5057" Type="http://schemas.openxmlformats.org/officeDocument/2006/relationships/hyperlink" Target="https://akshar-exim-company-pvt-ltd.odoo.com/web" TargetMode="External"/><Relationship Id="rId5058" Type="http://schemas.openxmlformats.org/officeDocument/2006/relationships/hyperlink" Target="https://akshar-exim-company-pvt-ltd.odoo.com/web" TargetMode="External"/><Relationship Id="rId5055" Type="http://schemas.openxmlformats.org/officeDocument/2006/relationships/hyperlink" Target="https://akshar-exim-company-pvt-ltd.odoo.com/web" TargetMode="External"/><Relationship Id="rId5056" Type="http://schemas.openxmlformats.org/officeDocument/2006/relationships/hyperlink" Target="https://akshar-exim-company-pvt-ltd.odoo.com/web" TargetMode="External"/><Relationship Id="rId5059" Type="http://schemas.openxmlformats.org/officeDocument/2006/relationships/hyperlink" Target="https://akshar-exim-company-pvt-ltd.odoo.com/web" TargetMode="External"/><Relationship Id="rId5042" Type="http://schemas.openxmlformats.org/officeDocument/2006/relationships/hyperlink" Target="https://akshar-exim-company-pvt-ltd.odoo.com/web" TargetMode="External"/><Relationship Id="rId5043" Type="http://schemas.openxmlformats.org/officeDocument/2006/relationships/hyperlink" Target="https://akshar-exim-company-pvt-ltd.odoo.com/web" TargetMode="External"/><Relationship Id="rId5040" Type="http://schemas.openxmlformats.org/officeDocument/2006/relationships/hyperlink" Target="https://akshar-exim-company-pvt-ltd.odoo.com/web" TargetMode="External"/><Relationship Id="rId5041" Type="http://schemas.openxmlformats.org/officeDocument/2006/relationships/hyperlink" Target="https://akshar-exim-company-pvt-ltd.odoo.com/web" TargetMode="External"/><Relationship Id="rId5046" Type="http://schemas.openxmlformats.org/officeDocument/2006/relationships/hyperlink" Target="https://akshar-exim-company-pvt-ltd.odoo.com/web" TargetMode="External"/><Relationship Id="rId5047" Type="http://schemas.openxmlformats.org/officeDocument/2006/relationships/hyperlink" Target="https://akshar-exim-company-pvt-ltd.odoo.com/web" TargetMode="External"/><Relationship Id="rId5044" Type="http://schemas.openxmlformats.org/officeDocument/2006/relationships/hyperlink" Target="https://akshar-exim-company-pvt-ltd.odoo.com/web" TargetMode="External"/><Relationship Id="rId5045" Type="http://schemas.openxmlformats.org/officeDocument/2006/relationships/hyperlink" Target="https://akshar-exim-company-pvt-ltd.odoo.com/web" TargetMode="External"/><Relationship Id="rId5048" Type="http://schemas.openxmlformats.org/officeDocument/2006/relationships/hyperlink" Target="https://akshar-exim-company-pvt-ltd.odoo.com/web" TargetMode="External"/><Relationship Id="rId5049" Type="http://schemas.openxmlformats.org/officeDocument/2006/relationships/hyperlink" Target="https://akshar-exim-company-pvt-ltd.odoo.com/web" TargetMode="External"/><Relationship Id="rId2800" Type="http://schemas.openxmlformats.org/officeDocument/2006/relationships/hyperlink" Target="https://akshar-exim-company-pvt-ltd.odoo.com/web" TargetMode="External"/><Relationship Id="rId2801" Type="http://schemas.openxmlformats.org/officeDocument/2006/relationships/hyperlink" Target="mailto:patelperth@gmail.com" TargetMode="External"/><Relationship Id="rId2802" Type="http://schemas.openxmlformats.org/officeDocument/2006/relationships/hyperlink" Target="https://akshar-exim-company-pvt-ltd.odoo.com/web" TargetMode="External"/><Relationship Id="rId2803" Type="http://schemas.openxmlformats.org/officeDocument/2006/relationships/hyperlink" Target="mailto:archita.uit@gmail.com" TargetMode="External"/><Relationship Id="rId2804" Type="http://schemas.openxmlformats.org/officeDocument/2006/relationships/hyperlink" Target="https://akshar-exim-company-pvt-ltd.odoo.com/web" TargetMode="External"/><Relationship Id="rId2805" Type="http://schemas.openxmlformats.org/officeDocument/2006/relationships/hyperlink" Target="mailto:ranjeet@facorccp.in" TargetMode="External"/><Relationship Id="rId2806" Type="http://schemas.openxmlformats.org/officeDocument/2006/relationships/hyperlink" Target="https://akshar-exim-company-pvt-ltd.odoo.com/web" TargetMode="External"/><Relationship Id="rId2807" Type="http://schemas.openxmlformats.org/officeDocument/2006/relationships/hyperlink" Target="mailto:iru.tamboli@gmail.com" TargetMode="External"/><Relationship Id="rId2808" Type="http://schemas.openxmlformats.org/officeDocument/2006/relationships/hyperlink" Target="https://akshar-exim-company-pvt-ltd.odoo.com/web" TargetMode="External"/><Relationship Id="rId2809" Type="http://schemas.openxmlformats.org/officeDocument/2006/relationships/hyperlink" Target="mailto:rajendersaini2002@yahoo.co.in" TargetMode="External"/><Relationship Id="rId5071" Type="http://schemas.openxmlformats.org/officeDocument/2006/relationships/hyperlink" Target="https://akshar-exim-company-pvt-ltd.odoo.com/web" TargetMode="External"/><Relationship Id="rId5072" Type="http://schemas.openxmlformats.org/officeDocument/2006/relationships/hyperlink" Target="https://akshar-exim-company-pvt-ltd.odoo.com/web" TargetMode="External"/><Relationship Id="rId5070" Type="http://schemas.openxmlformats.org/officeDocument/2006/relationships/hyperlink" Target="https://akshar-exim-company-pvt-ltd.odoo.com/web" TargetMode="External"/><Relationship Id="rId5075" Type="http://schemas.openxmlformats.org/officeDocument/2006/relationships/hyperlink" Target="https://akshar-exim-company-pvt-ltd.odoo.com/web" TargetMode="External"/><Relationship Id="rId5076" Type="http://schemas.openxmlformats.org/officeDocument/2006/relationships/hyperlink" Target="https://akshar-exim-company-pvt-ltd.odoo.com/web" TargetMode="External"/><Relationship Id="rId5073" Type="http://schemas.openxmlformats.org/officeDocument/2006/relationships/hyperlink" Target="https://akshar-exim-company-pvt-ltd.odoo.com/web" TargetMode="External"/><Relationship Id="rId5074" Type="http://schemas.openxmlformats.org/officeDocument/2006/relationships/hyperlink" Target="https://akshar-exim-company-pvt-ltd.odoo.com/web" TargetMode="External"/><Relationship Id="rId5079" Type="http://schemas.openxmlformats.org/officeDocument/2006/relationships/hyperlink" Target="https://akshar-exim-company-pvt-ltd.odoo.com/web" TargetMode="External"/><Relationship Id="rId5077" Type="http://schemas.openxmlformats.org/officeDocument/2006/relationships/hyperlink" Target="https://akshar-exim-company-pvt-ltd.odoo.com/web" TargetMode="External"/><Relationship Id="rId5078" Type="http://schemas.openxmlformats.org/officeDocument/2006/relationships/hyperlink" Target="https://akshar-exim-company-pvt-ltd.odoo.com/web" TargetMode="External"/><Relationship Id="rId5060" Type="http://schemas.openxmlformats.org/officeDocument/2006/relationships/hyperlink" Target="https://akshar-exim-company-pvt-ltd.odoo.com/web" TargetMode="External"/><Relationship Id="rId5061" Type="http://schemas.openxmlformats.org/officeDocument/2006/relationships/hyperlink" Target="https://akshar-exim-company-pvt-ltd.odoo.com/web" TargetMode="External"/><Relationship Id="rId5064" Type="http://schemas.openxmlformats.org/officeDocument/2006/relationships/hyperlink" Target="https://akshar-exim-company-pvt-ltd.odoo.com/web" TargetMode="External"/><Relationship Id="rId5065" Type="http://schemas.openxmlformats.org/officeDocument/2006/relationships/hyperlink" Target="https://akshar-exim-company-pvt-ltd.odoo.com/web" TargetMode="External"/><Relationship Id="rId5062" Type="http://schemas.openxmlformats.org/officeDocument/2006/relationships/hyperlink" Target="https://akshar-exim-company-pvt-ltd.odoo.com/web" TargetMode="External"/><Relationship Id="rId5063" Type="http://schemas.openxmlformats.org/officeDocument/2006/relationships/hyperlink" Target="https://akshar-exim-company-pvt-ltd.odoo.com/web" TargetMode="External"/><Relationship Id="rId5068" Type="http://schemas.openxmlformats.org/officeDocument/2006/relationships/hyperlink" Target="https://akshar-exim-company-pvt-ltd.odoo.com/web" TargetMode="External"/><Relationship Id="rId5069" Type="http://schemas.openxmlformats.org/officeDocument/2006/relationships/hyperlink" Target="https://akshar-exim-company-pvt-ltd.odoo.com/web" TargetMode="External"/><Relationship Id="rId5066" Type="http://schemas.openxmlformats.org/officeDocument/2006/relationships/hyperlink" Target="https://akshar-exim-company-pvt-ltd.odoo.com/web" TargetMode="External"/><Relationship Id="rId5067" Type="http://schemas.openxmlformats.org/officeDocument/2006/relationships/hyperlink" Target="https://akshar-exim-company-pvt-ltd.odoo.com/web" TargetMode="External"/><Relationship Id="rId1576" Type="http://schemas.openxmlformats.org/officeDocument/2006/relationships/hyperlink" Target="https://akshar-exim-company-pvt-ltd.odoo.com/web" TargetMode="External"/><Relationship Id="rId4602" Type="http://schemas.openxmlformats.org/officeDocument/2006/relationships/hyperlink" Target="https://akshar-exim-company-pvt-ltd.odoo.com/web" TargetMode="External"/><Relationship Id="rId1577" Type="http://schemas.openxmlformats.org/officeDocument/2006/relationships/hyperlink" Target="mailto:nirmantradecom@gmail.com" TargetMode="External"/><Relationship Id="rId4601" Type="http://schemas.openxmlformats.org/officeDocument/2006/relationships/hyperlink" Target="https://akshar-exim-company-pvt-ltd.odoo.com/web" TargetMode="External"/><Relationship Id="rId1578" Type="http://schemas.openxmlformats.org/officeDocument/2006/relationships/hyperlink" Target="https://akshar-exim-company-pvt-ltd.odoo.com/web" TargetMode="External"/><Relationship Id="rId4604" Type="http://schemas.openxmlformats.org/officeDocument/2006/relationships/hyperlink" Target="https://akshar-exim-company-pvt-ltd.odoo.com/web" TargetMode="External"/><Relationship Id="rId1579" Type="http://schemas.openxmlformats.org/officeDocument/2006/relationships/hyperlink" Target="mailto:sandipresponse7@gmail.com" TargetMode="External"/><Relationship Id="rId4603" Type="http://schemas.openxmlformats.org/officeDocument/2006/relationships/hyperlink" Target="https://akshar-exim-company-pvt-ltd.odoo.com/web" TargetMode="External"/><Relationship Id="rId4606" Type="http://schemas.openxmlformats.org/officeDocument/2006/relationships/hyperlink" Target="https://akshar-exim-company-pvt-ltd.odoo.com/web" TargetMode="External"/><Relationship Id="rId4605" Type="http://schemas.openxmlformats.org/officeDocument/2006/relationships/hyperlink" Target="https://akshar-exim-company-pvt-ltd.odoo.com/web" TargetMode="External"/><Relationship Id="rId4608" Type="http://schemas.openxmlformats.org/officeDocument/2006/relationships/hyperlink" Target="https://akshar-exim-company-pvt-ltd.odoo.com/web" TargetMode="External"/><Relationship Id="rId4607" Type="http://schemas.openxmlformats.org/officeDocument/2006/relationships/hyperlink" Target="https://akshar-exim-company-pvt-ltd.odoo.com/web" TargetMode="External"/><Relationship Id="rId4609" Type="http://schemas.openxmlformats.org/officeDocument/2006/relationships/hyperlink" Target="https://akshar-exim-company-pvt-ltd.odoo.com/web" TargetMode="External"/><Relationship Id="rId987" Type="http://schemas.openxmlformats.org/officeDocument/2006/relationships/hyperlink" Target="mailto:sanjoymukherjee1990@gmail.com" TargetMode="External"/><Relationship Id="rId986" Type="http://schemas.openxmlformats.org/officeDocument/2006/relationships/hyperlink" Target="https://akshar-exim-company-pvt-ltd.odoo.com/web" TargetMode="External"/><Relationship Id="rId985" Type="http://schemas.openxmlformats.org/officeDocument/2006/relationships/hyperlink" Target="https://akshar-exim-company-pvt-ltd.odoo.com/web" TargetMode="External"/><Relationship Id="rId984" Type="http://schemas.openxmlformats.org/officeDocument/2006/relationships/hyperlink" Target="mailto:santra.subhra3@gmail.com" TargetMode="External"/><Relationship Id="rId989" Type="http://schemas.openxmlformats.org/officeDocument/2006/relationships/hyperlink" Target="https://akshar-exim-company-pvt-ltd.odoo.com/web" TargetMode="External"/><Relationship Id="rId988" Type="http://schemas.openxmlformats.org/officeDocument/2006/relationships/hyperlink" Target="https://akshar-exim-company-pvt-ltd.odoo.com/web" TargetMode="External"/><Relationship Id="rId1570" Type="http://schemas.openxmlformats.org/officeDocument/2006/relationships/hyperlink" Target="https://akshar-exim-company-pvt-ltd.odoo.com/web" TargetMode="External"/><Relationship Id="rId1571" Type="http://schemas.openxmlformats.org/officeDocument/2006/relationships/hyperlink" Target="mailto:manajit.pal@gmail.com" TargetMode="External"/><Relationship Id="rId983" Type="http://schemas.openxmlformats.org/officeDocument/2006/relationships/hyperlink" Target="https://akshar-exim-company-pvt-ltd.odoo.com/web" TargetMode="External"/><Relationship Id="rId1572" Type="http://schemas.openxmlformats.org/officeDocument/2006/relationships/hyperlink" Target="https://akshar-exim-company-pvt-ltd.odoo.com/web" TargetMode="External"/><Relationship Id="rId982" Type="http://schemas.openxmlformats.org/officeDocument/2006/relationships/hyperlink" Target="mailto:ravi8895@gmail.com" TargetMode="External"/><Relationship Id="rId1573" Type="http://schemas.openxmlformats.org/officeDocument/2006/relationships/hyperlink" Target="mailto:jsrikanta058@gmail.com" TargetMode="External"/><Relationship Id="rId981" Type="http://schemas.openxmlformats.org/officeDocument/2006/relationships/hyperlink" Target="https://akshar-exim-company-pvt-ltd.odoo.com/web" TargetMode="External"/><Relationship Id="rId1574" Type="http://schemas.openxmlformats.org/officeDocument/2006/relationships/hyperlink" Target="https://akshar-exim-company-pvt-ltd.odoo.com/web" TargetMode="External"/><Relationship Id="rId4600" Type="http://schemas.openxmlformats.org/officeDocument/2006/relationships/hyperlink" Target="https://akshar-exim-company-pvt-ltd.odoo.com/web" TargetMode="External"/><Relationship Id="rId980" Type="http://schemas.openxmlformats.org/officeDocument/2006/relationships/hyperlink" Target="https://akshar-exim-company-pvt-ltd.odoo.com/web" TargetMode="External"/><Relationship Id="rId1575" Type="http://schemas.openxmlformats.org/officeDocument/2006/relationships/hyperlink" Target="mailto:prateek.prabhu@gmail.com" TargetMode="External"/><Relationship Id="rId1565" Type="http://schemas.openxmlformats.org/officeDocument/2006/relationships/hyperlink" Target="https://akshar-exim-company-pvt-ltd.odoo.com/web" TargetMode="External"/><Relationship Id="rId2896" Type="http://schemas.openxmlformats.org/officeDocument/2006/relationships/hyperlink" Target="https://akshar-exim-company-pvt-ltd.odoo.com/web" TargetMode="External"/><Relationship Id="rId1566" Type="http://schemas.openxmlformats.org/officeDocument/2006/relationships/hyperlink" Target="https://akshar-exim-company-pvt-ltd.odoo.com/web" TargetMode="External"/><Relationship Id="rId2897" Type="http://schemas.openxmlformats.org/officeDocument/2006/relationships/hyperlink" Target="https://akshar-exim-company-pvt-ltd.odoo.com/web" TargetMode="External"/><Relationship Id="rId1567" Type="http://schemas.openxmlformats.org/officeDocument/2006/relationships/hyperlink" Target="mailto:bholapharmaceuticals@gmail.com" TargetMode="External"/><Relationship Id="rId2898" Type="http://schemas.openxmlformats.org/officeDocument/2006/relationships/hyperlink" Target="https://akshar-exim-company-pvt-ltd.odoo.com/web" TargetMode="External"/><Relationship Id="rId1568" Type="http://schemas.openxmlformats.org/officeDocument/2006/relationships/hyperlink" Target="https://akshar-exim-company-pvt-ltd.odoo.com/web" TargetMode="External"/><Relationship Id="rId2899" Type="http://schemas.openxmlformats.org/officeDocument/2006/relationships/hyperlink" Target="https://akshar-exim-company-pvt-ltd.odoo.com/web" TargetMode="External"/><Relationship Id="rId1569" Type="http://schemas.openxmlformats.org/officeDocument/2006/relationships/hyperlink" Target="mailto:bbe170511@gmail.com" TargetMode="External"/><Relationship Id="rId976" Type="http://schemas.openxmlformats.org/officeDocument/2006/relationships/hyperlink" Target="https://akshar-exim-company-pvt-ltd.odoo.com/web" TargetMode="External"/><Relationship Id="rId975" Type="http://schemas.openxmlformats.org/officeDocument/2006/relationships/hyperlink" Target="mailto:ihaveincime@gmail.com" TargetMode="External"/><Relationship Id="rId974" Type="http://schemas.openxmlformats.org/officeDocument/2006/relationships/hyperlink" Target="https://akshar-exim-company-pvt-ltd.odoo.com/web" TargetMode="External"/><Relationship Id="rId973" Type="http://schemas.openxmlformats.org/officeDocument/2006/relationships/hyperlink" Target="mailto:vossopcorporate@gmail.com" TargetMode="External"/><Relationship Id="rId979" Type="http://schemas.openxmlformats.org/officeDocument/2006/relationships/hyperlink" Target="mailto:somenath.mahato83@gmail.com" TargetMode="External"/><Relationship Id="rId978" Type="http://schemas.openxmlformats.org/officeDocument/2006/relationships/hyperlink" Target="https://akshar-exim-company-pvt-ltd.odoo.com/web" TargetMode="External"/><Relationship Id="rId977" Type="http://schemas.openxmlformats.org/officeDocument/2006/relationships/hyperlink" Target="mailto:nsai.guwahati@gmail.com" TargetMode="External"/><Relationship Id="rId2890" Type="http://schemas.openxmlformats.org/officeDocument/2006/relationships/hyperlink" Target="https://akshar-exim-company-pvt-ltd.odoo.com/web" TargetMode="External"/><Relationship Id="rId1560" Type="http://schemas.openxmlformats.org/officeDocument/2006/relationships/hyperlink" Target="mailto:praveen06k@gmail.com" TargetMode="External"/><Relationship Id="rId2891" Type="http://schemas.openxmlformats.org/officeDocument/2006/relationships/hyperlink" Target="https://akshar-exim-company-pvt-ltd.odoo.com/web" TargetMode="External"/><Relationship Id="rId972" Type="http://schemas.openxmlformats.org/officeDocument/2006/relationships/hyperlink" Target="https://akshar-exim-company-pvt-ltd.odoo.com/web" TargetMode="External"/><Relationship Id="rId1561" Type="http://schemas.openxmlformats.org/officeDocument/2006/relationships/hyperlink" Target="https://akshar-exim-company-pvt-ltd.odoo.com/web" TargetMode="External"/><Relationship Id="rId2892" Type="http://schemas.openxmlformats.org/officeDocument/2006/relationships/hyperlink" Target="https://akshar-exim-company-pvt-ltd.odoo.com/web" TargetMode="External"/><Relationship Id="rId971" Type="http://schemas.openxmlformats.org/officeDocument/2006/relationships/hyperlink" Target="mailto:biswasnarayan706@gmail.com" TargetMode="External"/><Relationship Id="rId1562" Type="http://schemas.openxmlformats.org/officeDocument/2006/relationships/hyperlink" Target="mailto:jayalatchu@yahoo.co.in" TargetMode="External"/><Relationship Id="rId2893" Type="http://schemas.openxmlformats.org/officeDocument/2006/relationships/hyperlink" Target="https://akshar-exim-company-pvt-ltd.odoo.com/web" TargetMode="External"/><Relationship Id="rId970" Type="http://schemas.openxmlformats.org/officeDocument/2006/relationships/hyperlink" Target="https://akshar-exim-company-pvt-ltd.odoo.com/web" TargetMode="External"/><Relationship Id="rId1563" Type="http://schemas.openxmlformats.org/officeDocument/2006/relationships/hyperlink" Target="https://akshar-exim-company-pvt-ltd.odoo.com/web" TargetMode="External"/><Relationship Id="rId2894" Type="http://schemas.openxmlformats.org/officeDocument/2006/relationships/hyperlink" Target="https://akshar-exim-company-pvt-ltd.odoo.com/web" TargetMode="External"/><Relationship Id="rId1564" Type="http://schemas.openxmlformats.org/officeDocument/2006/relationships/hyperlink" Target="mailto:bikramjitsha123@gmail.com" TargetMode="External"/><Relationship Id="rId2895" Type="http://schemas.openxmlformats.org/officeDocument/2006/relationships/hyperlink" Target="https://akshar-exim-company-pvt-ltd.odoo.com/web" TargetMode="External"/><Relationship Id="rId1598" Type="http://schemas.openxmlformats.org/officeDocument/2006/relationships/hyperlink" Target="https://akshar-exim-company-pvt-ltd.odoo.com/web" TargetMode="External"/><Relationship Id="rId4624" Type="http://schemas.openxmlformats.org/officeDocument/2006/relationships/hyperlink" Target="https://akshar-exim-company-pvt-ltd.odoo.com/web" TargetMode="External"/><Relationship Id="rId1599" Type="http://schemas.openxmlformats.org/officeDocument/2006/relationships/hyperlink" Target="mailto:siddeshwari47@rediffmail.com" TargetMode="External"/><Relationship Id="rId4623" Type="http://schemas.openxmlformats.org/officeDocument/2006/relationships/hyperlink" Target="https://akshar-exim-company-pvt-ltd.odoo.com/web" TargetMode="External"/><Relationship Id="rId4626" Type="http://schemas.openxmlformats.org/officeDocument/2006/relationships/hyperlink" Target="https://akshar-exim-company-pvt-ltd.odoo.com/web" TargetMode="External"/><Relationship Id="rId4625" Type="http://schemas.openxmlformats.org/officeDocument/2006/relationships/hyperlink" Target="https://akshar-exim-company-pvt-ltd.odoo.com/web" TargetMode="External"/><Relationship Id="rId4628" Type="http://schemas.openxmlformats.org/officeDocument/2006/relationships/hyperlink" Target="https://akshar-exim-company-pvt-ltd.odoo.com/web" TargetMode="External"/><Relationship Id="rId4627" Type="http://schemas.openxmlformats.org/officeDocument/2006/relationships/hyperlink" Target="https://akshar-exim-company-pvt-ltd.odoo.com/web" TargetMode="External"/><Relationship Id="rId4629" Type="http://schemas.openxmlformats.org/officeDocument/2006/relationships/hyperlink" Target="https://akshar-exim-company-pvt-ltd.odoo.com/web" TargetMode="External"/><Relationship Id="rId1590" Type="http://schemas.openxmlformats.org/officeDocument/2006/relationships/hyperlink" Target="mailto:pkbajaj@gmail.com" TargetMode="External"/><Relationship Id="rId1591" Type="http://schemas.openxmlformats.org/officeDocument/2006/relationships/hyperlink" Target="https://akshar-exim-company-pvt-ltd.odoo.com/web" TargetMode="External"/><Relationship Id="rId1592" Type="http://schemas.openxmlformats.org/officeDocument/2006/relationships/hyperlink" Target="mailto:ketan@mgoc.in" TargetMode="External"/><Relationship Id="rId1593" Type="http://schemas.openxmlformats.org/officeDocument/2006/relationships/hyperlink" Target="https://akshar-exim-company-pvt-ltd.odoo.com/web" TargetMode="External"/><Relationship Id="rId1594" Type="http://schemas.openxmlformats.org/officeDocument/2006/relationships/hyperlink" Target="https://akshar-exim-company-pvt-ltd.odoo.com/web" TargetMode="External"/><Relationship Id="rId4620" Type="http://schemas.openxmlformats.org/officeDocument/2006/relationships/hyperlink" Target="https://akshar-exim-company-pvt-ltd.odoo.com/web" TargetMode="External"/><Relationship Id="rId1595" Type="http://schemas.openxmlformats.org/officeDocument/2006/relationships/hyperlink" Target="mailto:sales58@greenjeeva.com" TargetMode="External"/><Relationship Id="rId1596" Type="http://schemas.openxmlformats.org/officeDocument/2006/relationships/hyperlink" Target="https://akshar-exim-company-pvt-ltd.odoo.com/web" TargetMode="External"/><Relationship Id="rId4622" Type="http://schemas.openxmlformats.org/officeDocument/2006/relationships/hyperlink" Target="https://akshar-exim-company-pvt-ltd.odoo.com/web" TargetMode="External"/><Relationship Id="rId1597" Type="http://schemas.openxmlformats.org/officeDocument/2006/relationships/hyperlink" Target="mailto:monarijit@gmail.com" TargetMode="External"/><Relationship Id="rId4621" Type="http://schemas.openxmlformats.org/officeDocument/2006/relationships/hyperlink" Target="https://akshar-exim-company-pvt-ltd.odoo.com/web" TargetMode="External"/><Relationship Id="rId1587" Type="http://schemas.openxmlformats.org/officeDocument/2006/relationships/hyperlink" Target="https://akshar-exim-company-pvt-ltd.odoo.com/web" TargetMode="External"/><Relationship Id="rId4613" Type="http://schemas.openxmlformats.org/officeDocument/2006/relationships/hyperlink" Target="https://akshar-exim-company-pvt-ltd.odoo.com/web" TargetMode="External"/><Relationship Id="rId1588" Type="http://schemas.openxmlformats.org/officeDocument/2006/relationships/hyperlink" Target="mailto:roesil_corp@yahoo.co.in" TargetMode="External"/><Relationship Id="rId4612" Type="http://schemas.openxmlformats.org/officeDocument/2006/relationships/hyperlink" Target="https://akshar-exim-company-pvt-ltd.odoo.com/web" TargetMode="External"/><Relationship Id="rId1589" Type="http://schemas.openxmlformats.org/officeDocument/2006/relationships/hyperlink" Target="https://akshar-exim-company-pvt-ltd.odoo.com/web" TargetMode="External"/><Relationship Id="rId4615" Type="http://schemas.openxmlformats.org/officeDocument/2006/relationships/hyperlink" Target="https://akshar-exim-company-pvt-ltd.odoo.com/web" TargetMode="External"/><Relationship Id="rId4614" Type="http://schemas.openxmlformats.org/officeDocument/2006/relationships/hyperlink" Target="https://akshar-exim-company-pvt-ltd.odoo.com/web" TargetMode="External"/><Relationship Id="rId4617" Type="http://schemas.openxmlformats.org/officeDocument/2006/relationships/hyperlink" Target="https://akshar-exim-company-pvt-ltd.odoo.com/web" TargetMode="External"/><Relationship Id="rId4616" Type="http://schemas.openxmlformats.org/officeDocument/2006/relationships/hyperlink" Target="https://akshar-exim-company-pvt-ltd.odoo.com/web" TargetMode="External"/><Relationship Id="rId4619" Type="http://schemas.openxmlformats.org/officeDocument/2006/relationships/hyperlink" Target="https://akshar-exim-company-pvt-ltd.odoo.com/web" TargetMode="External"/><Relationship Id="rId4618" Type="http://schemas.openxmlformats.org/officeDocument/2006/relationships/hyperlink" Target="https://akshar-exim-company-pvt-ltd.odoo.com/web" TargetMode="External"/><Relationship Id="rId998" Type="http://schemas.openxmlformats.org/officeDocument/2006/relationships/hyperlink" Target="https://akshar-exim-company-pvt-ltd.odoo.com/web" TargetMode="External"/><Relationship Id="rId997" Type="http://schemas.openxmlformats.org/officeDocument/2006/relationships/hyperlink" Target="mailto:sandeeppoddar73@yahoo.co.in" TargetMode="External"/><Relationship Id="rId996" Type="http://schemas.openxmlformats.org/officeDocument/2006/relationships/hyperlink" Target="https://akshar-exim-company-pvt-ltd.odoo.com/web" TargetMode="External"/><Relationship Id="rId995" Type="http://schemas.openxmlformats.org/officeDocument/2006/relationships/hyperlink" Target="mailto:ananyaenterprise13@gmail.com" TargetMode="External"/><Relationship Id="rId999" Type="http://schemas.openxmlformats.org/officeDocument/2006/relationships/hyperlink" Target="https://akshar-exim-company-pvt-ltd.odoo.com/web" TargetMode="External"/><Relationship Id="rId990" Type="http://schemas.openxmlformats.org/officeDocument/2006/relationships/hyperlink" Target="mailto:av8236110@gmail.com" TargetMode="External"/><Relationship Id="rId1580" Type="http://schemas.openxmlformats.org/officeDocument/2006/relationships/hyperlink" Target="https://akshar-exim-company-pvt-ltd.odoo.com/web" TargetMode="External"/><Relationship Id="rId1581" Type="http://schemas.openxmlformats.org/officeDocument/2006/relationships/hyperlink" Target="mailto:GLOBALSALES@AALPHAINC.IN" TargetMode="External"/><Relationship Id="rId1582" Type="http://schemas.openxmlformats.org/officeDocument/2006/relationships/hyperlink" Target="https://akshar-exim-company-pvt-ltd.odoo.com/web" TargetMode="External"/><Relationship Id="rId994" Type="http://schemas.openxmlformats.org/officeDocument/2006/relationships/hyperlink" Target="https://akshar-exim-company-pvt-ltd.odoo.com/web" TargetMode="External"/><Relationship Id="rId1583" Type="http://schemas.openxmlformats.org/officeDocument/2006/relationships/hyperlink" Target="mailto:chetankharkia1234@gmail.com" TargetMode="External"/><Relationship Id="rId993" Type="http://schemas.openxmlformats.org/officeDocument/2006/relationships/hyperlink" Target="https://akshar-exim-company-pvt-ltd.odoo.com/web" TargetMode="External"/><Relationship Id="rId1584" Type="http://schemas.openxmlformats.org/officeDocument/2006/relationships/hyperlink" Target="https://akshar-exim-company-pvt-ltd.odoo.com/web" TargetMode="External"/><Relationship Id="rId992" Type="http://schemas.openxmlformats.org/officeDocument/2006/relationships/hyperlink" Target="mailto:biswasinternational137@gmail.com" TargetMode="External"/><Relationship Id="rId1585" Type="http://schemas.openxmlformats.org/officeDocument/2006/relationships/hyperlink" Target="mailto:rkjenaandassociates@gmail.com" TargetMode="External"/><Relationship Id="rId4611" Type="http://schemas.openxmlformats.org/officeDocument/2006/relationships/hyperlink" Target="https://akshar-exim-company-pvt-ltd.odoo.com/web" TargetMode="External"/><Relationship Id="rId991" Type="http://schemas.openxmlformats.org/officeDocument/2006/relationships/hyperlink" Target="https://akshar-exim-company-pvt-ltd.odoo.com/web" TargetMode="External"/><Relationship Id="rId1586" Type="http://schemas.openxmlformats.org/officeDocument/2006/relationships/hyperlink" Target="https://akshar-exim-company-pvt-ltd.odoo.com/web" TargetMode="External"/><Relationship Id="rId4610" Type="http://schemas.openxmlformats.org/officeDocument/2006/relationships/hyperlink" Target="https://akshar-exim-company-pvt-ltd.odoo.com/web" TargetMode="External"/><Relationship Id="rId1532" Type="http://schemas.openxmlformats.org/officeDocument/2006/relationships/hyperlink" Target="https://akshar-exim-company-pvt-ltd.odoo.com/web" TargetMode="External"/><Relationship Id="rId2863" Type="http://schemas.openxmlformats.org/officeDocument/2006/relationships/hyperlink" Target="mailto:praveenrai21@gmail.com" TargetMode="External"/><Relationship Id="rId1533" Type="http://schemas.openxmlformats.org/officeDocument/2006/relationships/hyperlink" Target="https://akshar-exim-company-pvt-ltd.odoo.com/web" TargetMode="External"/><Relationship Id="rId2864" Type="http://schemas.openxmlformats.org/officeDocument/2006/relationships/hyperlink" Target="https://akshar-exim-company-pvt-ltd.odoo.com/web" TargetMode="External"/><Relationship Id="rId1534" Type="http://schemas.openxmlformats.org/officeDocument/2006/relationships/hyperlink" Target="mailto:vapimaruchem@yahoo.co.in" TargetMode="External"/><Relationship Id="rId2865" Type="http://schemas.openxmlformats.org/officeDocument/2006/relationships/hyperlink" Target="https://akshar-exim-company-pvt-ltd.odoo.com/web" TargetMode="External"/><Relationship Id="rId1535" Type="http://schemas.openxmlformats.org/officeDocument/2006/relationships/hyperlink" Target="https://akshar-exim-company-pvt-ltd.odoo.com/web" TargetMode="External"/><Relationship Id="rId2866" Type="http://schemas.openxmlformats.org/officeDocument/2006/relationships/hyperlink" Target="https://akshar-exim-company-pvt-ltd.odoo.com/web" TargetMode="External"/><Relationship Id="rId1536" Type="http://schemas.openxmlformats.org/officeDocument/2006/relationships/hyperlink" Target="mailto:ravi.sharma@balasorealloys.com" TargetMode="External"/><Relationship Id="rId2867" Type="http://schemas.openxmlformats.org/officeDocument/2006/relationships/hyperlink" Target="mailto:ait.mannuvishwakarma.786@gmail.com" TargetMode="External"/><Relationship Id="rId1537" Type="http://schemas.openxmlformats.org/officeDocument/2006/relationships/hyperlink" Target="https://akshar-exim-company-pvt-ltd.odoo.com/web" TargetMode="External"/><Relationship Id="rId2868" Type="http://schemas.openxmlformats.org/officeDocument/2006/relationships/hyperlink" Target="https://akshar-exim-company-pvt-ltd.odoo.com/web" TargetMode="External"/><Relationship Id="rId1538" Type="http://schemas.openxmlformats.org/officeDocument/2006/relationships/hyperlink" Target="mailto:jahirulhok740@gmail.com" TargetMode="External"/><Relationship Id="rId2869" Type="http://schemas.openxmlformats.org/officeDocument/2006/relationships/hyperlink" Target="mailto:mksharmagroup1978@gmail.com" TargetMode="External"/><Relationship Id="rId1539" Type="http://schemas.openxmlformats.org/officeDocument/2006/relationships/hyperlink" Target="https://akshar-exim-company-pvt-ltd.odoo.com/web" TargetMode="External"/><Relationship Id="rId949" Type="http://schemas.openxmlformats.org/officeDocument/2006/relationships/hyperlink" Target="mailto:roy92311jayanta@gmail.com" TargetMode="External"/><Relationship Id="rId948" Type="http://schemas.openxmlformats.org/officeDocument/2006/relationships/hyperlink" Target="https://akshar-exim-company-pvt-ltd.odoo.com/web" TargetMode="External"/><Relationship Id="rId943" Type="http://schemas.openxmlformats.org/officeDocument/2006/relationships/hyperlink" Target="mailto:alisubhan79@gmail.com" TargetMode="External"/><Relationship Id="rId942" Type="http://schemas.openxmlformats.org/officeDocument/2006/relationships/hyperlink" Target="https://akshar-exim-company-pvt-ltd.odoo.com/web" TargetMode="External"/><Relationship Id="rId941" Type="http://schemas.openxmlformats.org/officeDocument/2006/relationships/hyperlink" Target="https://akshar-exim-company-pvt-ltd.odoo.com/web" TargetMode="External"/><Relationship Id="rId940" Type="http://schemas.openxmlformats.org/officeDocument/2006/relationships/hyperlink" Target="https://akshar-exim-company-pvt-ltd.odoo.com/web" TargetMode="External"/><Relationship Id="rId947" Type="http://schemas.openxmlformats.org/officeDocument/2006/relationships/hyperlink" Target="mailto:animeshsa98@gmail.com" TargetMode="External"/><Relationship Id="rId946" Type="http://schemas.openxmlformats.org/officeDocument/2006/relationships/hyperlink" Target="https://akshar-exim-company-pvt-ltd.odoo.com/web" TargetMode="External"/><Relationship Id="rId945" Type="http://schemas.openxmlformats.org/officeDocument/2006/relationships/hyperlink" Target="mailto:tillingblades@gmail.com" TargetMode="External"/><Relationship Id="rId944" Type="http://schemas.openxmlformats.org/officeDocument/2006/relationships/hyperlink" Target="https://akshar-exim-company-pvt-ltd.odoo.com/web" TargetMode="External"/><Relationship Id="rId2860" Type="http://schemas.openxmlformats.org/officeDocument/2006/relationships/hyperlink" Target="https://akshar-exim-company-pvt-ltd.odoo.com/web" TargetMode="External"/><Relationship Id="rId1530" Type="http://schemas.openxmlformats.org/officeDocument/2006/relationships/hyperlink" Target="mailto:aksinghhalkor7661@gmail.com" TargetMode="External"/><Relationship Id="rId2861" Type="http://schemas.openxmlformats.org/officeDocument/2006/relationships/hyperlink" Target="https://akshar-exim-company-pvt-ltd.odoo.com/web" TargetMode="External"/><Relationship Id="rId1531" Type="http://schemas.openxmlformats.org/officeDocument/2006/relationships/hyperlink" Target="https://akshar-exim-company-pvt-ltd.odoo.com/web" TargetMode="External"/><Relationship Id="rId2862" Type="http://schemas.openxmlformats.org/officeDocument/2006/relationships/hyperlink" Target="https://akshar-exim-company-pvt-ltd.odoo.com/web" TargetMode="External"/><Relationship Id="rId1521" Type="http://schemas.openxmlformats.org/officeDocument/2006/relationships/hyperlink" Target="https://akshar-exim-company-pvt-ltd.odoo.com/web" TargetMode="External"/><Relationship Id="rId2852" Type="http://schemas.openxmlformats.org/officeDocument/2006/relationships/hyperlink" Target="mailto:sujit.pore@greenovera.com" TargetMode="External"/><Relationship Id="rId1522" Type="http://schemas.openxmlformats.org/officeDocument/2006/relationships/hyperlink" Target="https://akshar-exim-company-pvt-ltd.odoo.com/web" TargetMode="External"/><Relationship Id="rId2853" Type="http://schemas.openxmlformats.org/officeDocument/2006/relationships/hyperlink" Target="https://akshar-exim-company-pvt-ltd.odoo.com/web" TargetMode="External"/><Relationship Id="rId1523" Type="http://schemas.openxmlformats.org/officeDocument/2006/relationships/hyperlink" Target="mailto:marutisteelabrasives@gmail.com" TargetMode="External"/><Relationship Id="rId2854" Type="http://schemas.openxmlformats.org/officeDocument/2006/relationships/hyperlink" Target="https://akshar-exim-company-pvt-ltd.odoo.com/web" TargetMode="External"/><Relationship Id="rId1524" Type="http://schemas.openxmlformats.org/officeDocument/2006/relationships/hyperlink" Target="https://akshar-exim-company-pvt-ltd.odoo.com/web" TargetMode="External"/><Relationship Id="rId2855" Type="http://schemas.openxmlformats.org/officeDocument/2006/relationships/hyperlink" Target="https://akshar-exim-company-pvt-ltd.odoo.com/web" TargetMode="External"/><Relationship Id="rId1525" Type="http://schemas.openxmlformats.org/officeDocument/2006/relationships/hyperlink" Target="https://akshar-exim-company-pvt-ltd.odoo.com/web" TargetMode="External"/><Relationship Id="rId2856" Type="http://schemas.openxmlformats.org/officeDocument/2006/relationships/hyperlink" Target="mailto:%20brian.samuel@mapleorgtech.com" TargetMode="External"/><Relationship Id="rId1526" Type="http://schemas.openxmlformats.org/officeDocument/2006/relationships/hyperlink" Target="mailto:kundan.ks8051@gmail.com" TargetMode="External"/><Relationship Id="rId2857" Type="http://schemas.openxmlformats.org/officeDocument/2006/relationships/hyperlink" Target="https://akshar-exim-company-pvt-ltd.odoo.com/web" TargetMode="External"/><Relationship Id="rId1527" Type="http://schemas.openxmlformats.org/officeDocument/2006/relationships/hyperlink" Target="https://akshar-exim-company-pvt-ltd.odoo.com/web" TargetMode="External"/><Relationship Id="rId2858" Type="http://schemas.openxmlformats.org/officeDocument/2006/relationships/hyperlink" Target="https://akshar-exim-company-pvt-ltd.odoo.com/web" TargetMode="External"/><Relationship Id="rId1528" Type="http://schemas.openxmlformats.org/officeDocument/2006/relationships/hyperlink" Target="mailto:sureshboriwal143@gmail.com" TargetMode="External"/><Relationship Id="rId2859" Type="http://schemas.openxmlformats.org/officeDocument/2006/relationships/hyperlink" Target="mailto:greenchemicals077@gmail.com" TargetMode="External"/><Relationship Id="rId1529" Type="http://schemas.openxmlformats.org/officeDocument/2006/relationships/hyperlink" Target="https://akshar-exim-company-pvt-ltd.odoo.com/web" TargetMode="External"/><Relationship Id="rId939" Type="http://schemas.openxmlformats.org/officeDocument/2006/relationships/hyperlink" Target="mailto:mail.senapati@yahoo.co.in" TargetMode="External"/><Relationship Id="rId938" Type="http://schemas.openxmlformats.org/officeDocument/2006/relationships/hyperlink" Target="https://akshar-exim-company-pvt-ltd.odoo.com/web" TargetMode="External"/><Relationship Id="rId937" Type="http://schemas.openxmlformats.org/officeDocument/2006/relationships/hyperlink" Target="https://akshar-exim-company-pvt-ltd.odoo.com/web" TargetMode="External"/><Relationship Id="rId932" Type="http://schemas.openxmlformats.org/officeDocument/2006/relationships/hyperlink" Target="https://akshar-exim-company-pvt-ltd.odoo.com/web" TargetMode="External"/><Relationship Id="rId931" Type="http://schemas.openxmlformats.org/officeDocument/2006/relationships/hyperlink" Target="mailto:rahilchablani25@gmail.com" TargetMode="External"/><Relationship Id="rId930" Type="http://schemas.openxmlformats.org/officeDocument/2006/relationships/hyperlink" Target="https://akshar-exim-company-pvt-ltd.odoo.com/web" TargetMode="External"/><Relationship Id="rId936" Type="http://schemas.openxmlformats.org/officeDocument/2006/relationships/hyperlink" Target="https://akshar-exim-company-pvt-ltd.odoo.com/web" TargetMode="External"/><Relationship Id="rId935" Type="http://schemas.openxmlformats.org/officeDocument/2006/relationships/hyperlink" Target="mailto:sakuwathussain@gmail.com" TargetMode="External"/><Relationship Id="rId934" Type="http://schemas.openxmlformats.org/officeDocument/2006/relationships/hyperlink" Target="https://akshar-exim-company-pvt-ltd.odoo.com/web" TargetMode="External"/><Relationship Id="rId933" Type="http://schemas.openxmlformats.org/officeDocument/2006/relationships/hyperlink" Target="mailto:pariaranajit14@gmail.com" TargetMode="External"/><Relationship Id="rId2850" Type="http://schemas.openxmlformats.org/officeDocument/2006/relationships/hyperlink" Target="https://akshar-exim-company-pvt-ltd.odoo.com/web" TargetMode="External"/><Relationship Id="rId1520" Type="http://schemas.openxmlformats.org/officeDocument/2006/relationships/hyperlink" Target="mailto:raj4ur@hotmail.com" TargetMode="External"/><Relationship Id="rId2851" Type="http://schemas.openxmlformats.org/officeDocument/2006/relationships/hyperlink" Target="https://akshar-exim-company-pvt-ltd.odoo.com/web" TargetMode="External"/><Relationship Id="rId1554" Type="http://schemas.openxmlformats.org/officeDocument/2006/relationships/hyperlink" Target="mailto:sushilbirla@kwalitychemical.com" TargetMode="External"/><Relationship Id="rId2885" Type="http://schemas.openxmlformats.org/officeDocument/2006/relationships/hyperlink" Target="https://akshar-exim-company-pvt-ltd.odoo.com/web" TargetMode="External"/><Relationship Id="rId1555" Type="http://schemas.openxmlformats.org/officeDocument/2006/relationships/hyperlink" Target="https://akshar-exim-company-pvt-ltd.odoo.com/web" TargetMode="External"/><Relationship Id="rId2886" Type="http://schemas.openxmlformats.org/officeDocument/2006/relationships/hyperlink" Target="https://akshar-exim-company-pvt-ltd.odoo.com/web" TargetMode="External"/><Relationship Id="rId1556" Type="http://schemas.openxmlformats.org/officeDocument/2006/relationships/hyperlink" Target="mailto:agarwalumang001@gmail.com" TargetMode="External"/><Relationship Id="rId2887" Type="http://schemas.openxmlformats.org/officeDocument/2006/relationships/hyperlink" Target="https://akshar-exim-company-pvt-ltd.odoo.com/web" TargetMode="External"/><Relationship Id="rId1557" Type="http://schemas.openxmlformats.org/officeDocument/2006/relationships/hyperlink" Target="https://akshar-exim-company-pvt-ltd.odoo.com/web" TargetMode="External"/><Relationship Id="rId2888" Type="http://schemas.openxmlformats.org/officeDocument/2006/relationships/hyperlink" Target="https://akshar-exim-company-pvt-ltd.odoo.com/web" TargetMode="External"/><Relationship Id="rId1558" Type="http://schemas.openxmlformats.org/officeDocument/2006/relationships/hyperlink" Target="mailto:ziyaulmustafa0786@gmail.com" TargetMode="External"/><Relationship Id="rId2889" Type="http://schemas.openxmlformats.org/officeDocument/2006/relationships/hyperlink" Target="https://akshar-exim-company-pvt-ltd.odoo.com/web" TargetMode="External"/><Relationship Id="rId1559" Type="http://schemas.openxmlformats.org/officeDocument/2006/relationships/hyperlink" Target="https://akshar-exim-company-pvt-ltd.odoo.com/web" TargetMode="External"/><Relationship Id="rId965" Type="http://schemas.openxmlformats.org/officeDocument/2006/relationships/hyperlink" Target="mailto:abid.khan130@gmail.com" TargetMode="External"/><Relationship Id="rId964" Type="http://schemas.openxmlformats.org/officeDocument/2006/relationships/hyperlink" Target="https://akshar-exim-company-pvt-ltd.odoo.com/web" TargetMode="External"/><Relationship Id="rId963" Type="http://schemas.openxmlformats.org/officeDocument/2006/relationships/hyperlink" Target="https://akshar-exim-company-pvt-ltd.odoo.com/web" TargetMode="External"/><Relationship Id="rId962" Type="http://schemas.openxmlformats.org/officeDocument/2006/relationships/hyperlink" Target="https://akshar-exim-company-pvt-ltd.odoo.com/web" TargetMode="External"/><Relationship Id="rId969" Type="http://schemas.openxmlformats.org/officeDocument/2006/relationships/hyperlink" Target="mailto:skrocky225@gmail.com" TargetMode="External"/><Relationship Id="rId968" Type="http://schemas.openxmlformats.org/officeDocument/2006/relationships/hyperlink" Target="https://akshar-exim-company-pvt-ltd.odoo.com/web" TargetMode="External"/><Relationship Id="rId967" Type="http://schemas.openxmlformats.org/officeDocument/2006/relationships/hyperlink" Target="mailto:surajitsonu888@gmail.com" TargetMode="External"/><Relationship Id="rId966" Type="http://schemas.openxmlformats.org/officeDocument/2006/relationships/hyperlink" Target="https://akshar-exim-company-pvt-ltd.odoo.com/web" TargetMode="External"/><Relationship Id="rId2880" Type="http://schemas.openxmlformats.org/officeDocument/2006/relationships/hyperlink" Target="https://akshar-exim-company-pvt-ltd.odoo.com/web" TargetMode="External"/><Relationship Id="rId961" Type="http://schemas.openxmlformats.org/officeDocument/2006/relationships/hyperlink" Target="mailto:way2ajaydubey@gmail.com" TargetMode="External"/><Relationship Id="rId1550" Type="http://schemas.openxmlformats.org/officeDocument/2006/relationships/hyperlink" Target="mailto:mominabdulaziz9@gmail.com" TargetMode="External"/><Relationship Id="rId2881" Type="http://schemas.openxmlformats.org/officeDocument/2006/relationships/hyperlink" Target="mailto:mrunmay.1984@gmail.com" TargetMode="External"/><Relationship Id="rId960" Type="http://schemas.openxmlformats.org/officeDocument/2006/relationships/hyperlink" Target="https://akshar-exim-company-pvt-ltd.odoo.com/web" TargetMode="External"/><Relationship Id="rId1551" Type="http://schemas.openxmlformats.org/officeDocument/2006/relationships/hyperlink" Target="https://akshar-exim-company-pvt-ltd.odoo.com/web" TargetMode="External"/><Relationship Id="rId2882" Type="http://schemas.openxmlformats.org/officeDocument/2006/relationships/hyperlink" Target="https://akshar-exim-company-pvt-ltd.odoo.com/web" TargetMode="External"/><Relationship Id="rId1552" Type="http://schemas.openxmlformats.org/officeDocument/2006/relationships/hyperlink" Target="mailto:sanutamluk2015@gmail.com" TargetMode="External"/><Relationship Id="rId2883" Type="http://schemas.openxmlformats.org/officeDocument/2006/relationships/hyperlink" Target="mailto:ashisbal@gmail.com" TargetMode="External"/><Relationship Id="rId1553" Type="http://schemas.openxmlformats.org/officeDocument/2006/relationships/hyperlink" Target="https://akshar-exim-company-pvt-ltd.odoo.com/web" TargetMode="External"/><Relationship Id="rId2884" Type="http://schemas.openxmlformats.org/officeDocument/2006/relationships/hyperlink" Target="https://akshar-exim-company-pvt-ltd.odoo.com/web" TargetMode="External"/><Relationship Id="rId1543" Type="http://schemas.openxmlformats.org/officeDocument/2006/relationships/hyperlink" Target="https://akshar-exim-company-pvt-ltd.odoo.com/web" TargetMode="External"/><Relationship Id="rId2874" Type="http://schemas.openxmlformats.org/officeDocument/2006/relationships/hyperlink" Target="https://akshar-exim-company-pvt-ltd.odoo.com/web" TargetMode="External"/><Relationship Id="rId1544" Type="http://schemas.openxmlformats.org/officeDocument/2006/relationships/hyperlink" Target="mailto:sameermhaskar@indoaminesltd.com" TargetMode="External"/><Relationship Id="rId2875" Type="http://schemas.openxmlformats.org/officeDocument/2006/relationships/hyperlink" Target="mailto:adsolution111@gmail.com" TargetMode="External"/><Relationship Id="rId1545" Type="http://schemas.openxmlformats.org/officeDocument/2006/relationships/hyperlink" Target="https://akshar-exim-company-pvt-ltd.odoo.com/web" TargetMode="External"/><Relationship Id="rId2876" Type="http://schemas.openxmlformats.org/officeDocument/2006/relationships/hyperlink" Target="https://akshar-exim-company-pvt-ltd.odoo.com/web" TargetMode="External"/><Relationship Id="rId1546" Type="http://schemas.openxmlformats.org/officeDocument/2006/relationships/hyperlink" Target="mailto:ganeshpawar144@gmail.com" TargetMode="External"/><Relationship Id="rId2877" Type="http://schemas.openxmlformats.org/officeDocument/2006/relationships/hyperlink" Target="mailto:shreemahakaliinds@gmail.com" TargetMode="External"/><Relationship Id="rId1547" Type="http://schemas.openxmlformats.org/officeDocument/2006/relationships/hyperlink" Target="https://akshar-exim-company-pvt-ltd.odoo.com/web" TargetMode="External"/><Relationship Id="rId2878" Type="http://schemas.openxmlformats.org/officeDocument/2006/relationships/hyperlink" Target="https://akshar-exim-company-pvt-ltd.odoo.com/web" TargetMode="External"/><Relationship Id="rId1548" Type="http://schemas.openxmlformats.org/officeDocument/2006/relationships/hyperlink" Target="mailto:aksupremeagro21@gmail.com" TargetMode="External"/><Relationship Id="rId2879" Type="http://schemas.openxmlformats.org/officeDocument/2006/relationships/hyperlink" Target="mailto:purchasespectec@gmail.com" TargetMode="External"/><Relationship Id="rId1549" Type="http://schemas.openxmlformats.org/officeDocument/2006/relationships/hyperlink" Target="https://akshar-exim-company-pvt-ltd.odoo.com/web" TargetMode="External"/><Relationship Id="rId959" Type="http://schemas.openxmlformats.org/officeDocument/2006/relationships/hyperlink" Target="https://akshar-exim-company-pvt-ltd.odoo.com/web" TargetMode="External"/><Relationship Id="rId954" Type="http://schemas.openxmlformats.org/officeDocument/2006/relationships/hyperlink" Target="https://akshar-exim-company-pvt-ltd.odoo.com/web" TargetMode="External"/><Relationship Id="rId953" Type="http://schemas.openxmlformats.org/officeDocument/2006/relationships/hyperlink" Target="mailto:pradhansiconic@gmail.com" TargetMode="External"/><Relationship Id="rId952" Type="http://schemas.openxmlformats.org/officeDocument/2006/relationships/hyperlink" Target="https://akshar-exim-company-pvt-ltd.odoo.com/web" TargetMode="External"/><Relationship Id="rId951" Type="http://schemas.openxmlformats.org/officeDocument/2006/relationships/hyperlink" Target="https://akshar-exim-company-pvt-ltd.odoo.com/web" TargetMode="External"/><Relationship Id="rId958" Type="http://schemas.openxmlformats.org/officeDocument/2006/relationships/hyperlink" Target="mailto:bharatabrasives05@gmail.com" TargetMode="External"/><Relationship Id="rId957" Type="http://schemas.openxmlformats.org/officeDocument/2006/relationships/hyperlink" Target="https://akshar-exim-company-pvt-ltd.odoo.com/web" TargetMode="External"/><Relationship Id="rId956" Type="http://schemas.openxmlformats.org/officeDocument/2006/relationships/hyperlink" Target="https://akshar-exim-company-pvt-ltd.odoo.com/web" TargetMode="External"/><Relationship Id="rId955" Type="http://schemas.openxmlformats.org/officeDocument/2006/relationships/hyperlink" Target="mailto:kabcera@hotmail.com" TargetMode="External"/><Relationship Id="rId950" Type="http://schemas.openxmlformats.org/officeDocument/2006/relationships/hyperlink" Target="https://akshar-exim-company-pvt-ltd.odoo.com/web" TargetMode="External"/><Relationship Id="rId2870" Type="http://schemas.openxmlformats.org/officeDocument/2006/relationships/hyperlink" Target="https://akshar-exim-company-pvt-ltd.odoo.com/web" TargetMode="External"/><Relationship Id="rId1540" Type="http://schemas.openxmlformats.org/officeDocument/2006/relationships/hyperlink" Target="mailto:puiyakadhum@hotmail.com" TargetMode="External"/><Relationship Id="rId2871" Type="http://schemas.openxmlformats.org/officeDocument/2006/relationships/hyperlink" Target="mailto:apurva@arkchemicals.co.in" TargetMode="External"/><Relationship Id="rId1541" Type="http://schemas.openxmlformats.org/officeDocument/2006/relationships/hyperlink" Target="https://akshar-exim-company-pvt-ltd.odoo.com/web" TargetMode="External"/><Relationship Id="rId2872" Type="http://schemas.openxmlformats.org/officeDocument/2006/relationships/hyperlink" Target="https://akshar-exim-company-pvt-ltd.odoo.com/web" TargetMode="External"/><Relationship Id="rId1542" Type="http://schemas.openxmlformats.org/officeDocument/2006/relationships/hyperlink" Target="mailto:sterlingepc@gmail.com" TargetMode="External"/><Relationship Id="rId2873" Type="http://schemas.openxmlformats.org/officeDocument/2006/relationships/hyperlink" Target="https://akshar-exim-company-pvt-ltd.odoo.com/web" TargetMode="External"/><Relationship Id="rId2027" Type="http://schemas.openxmlformats.org/officeDocument/2006/relationships/hyperlink" Target="mailto:info@maxion.in" TargetMode="External"/><Relationship Id="rId3359" Type="http://schemas.openxmlformats.org/officeDocument/2006/relationships/hyperlink" Target="mailto:nitu_cool18@yahoo.co.in" TargetMode="External"/><Relationship Id="rId2028" Type="http://schemas.openxmlformats.org/officeDocument/2006/relationships/hyperlink" Target="https://akshar-exim-company-pvt-ltd.odoo.com/web" TargetMode="External"/><Relationship Id="rId3358" Type="http://schemas.openxmlformats.org/officeDocument/2006/relationships/hyperlink" Target="https://akshar-exim-company-pvt-ltd.odoo.com/web" TargetMode="External"/><Relationship Id="rId4689" Type="http://schemas.openxmlformats.org/officeDocument/2006/relationships/hyperlink" Target="https://akshar-exim-company-pvt-ltd.odoo.com/web" TargetMode="External"/><Relationship Id="rId2029" Type="http://schemas.openxmlformats.org/officeDocument/2006/relationships/hyperlink" Target="mailto:karganes9@gmail.com" TargetMode="External"/><Relationship Id="rId107" Type="http://schemas.openxmlformats.org/officeDocument/2006/relationships/hyperlink" Target="mailto:somakarnayak321@gmail.com" TargetMode="External"/><Relationship Id="rId106" Type="http://schemas.openxmlformats.org/officeDocument/2006/relationships/hyperlink" Target="https://akshar-exim-company-pvt-ltd.odoo.com/web" TargetMode="External"/><Relationship Id="rId105" Type="http://schemas.openxmlformats.org/officeDocument/2006/relationships/hyperlink" Target="mailto:ranjitbindhani79@gmail.com" TargetMode="External"/><Relationship Id="rId104" Type="http://schemas.openxmlformats.org/officeDocument/2006/relationships/hyperlink" Target="https://akshar-exim-company-pvt-ltd.odoo.com/web" TargetMode="External"/><Relationship Id="rId109" Type="http://schemas.openxmlformats.org/officeDocument/2006/relationships/hyperlink" Target="https://akshar-exim-company-pvt-ltd.odoo.com/web" TargetMode="External"/><Relationship Id="rId4680" Type="http://schemas.openxmlformats.org/officeDocument/2006/relationships/hyperlink" Target="https://akshar-exim-company-pvt-ltd.odoo.com/web" TargetMode="External"/><Relationship Id="rId108" Type="http://schemas.openxmlformats.org/officeDocument/2006/relationships/hyperlink" Target="https://akshar-exim-company-pvt-ltd.odoo.com/web" TargetMode="External"/><Relationship Id="rId3351" Type="http://schemas.openxmlformats.org/officeDocument/2006/relationships/hyperlink" Target="mailto:arunnandoliya364@gmail.com" TargetMode="External"/><Relationship Id="rId4682" Type="http://schemas.openxmlformats.org/officeDocument/2006/relationships/hyperlink" Target="https://akshar-exim-company-pvt-ltd.odoo.com/web" TargetMode="External"/><Relationship Id="rId2020" Type="http://schemas.openxmlformats.org/officeDocument/2006/relationships/hyperlink" Target="https://akshar-exim-company-pvt-ltd.odoo.com/web" TargetMode="External"/><Relationship Id="rId3350" Type="http://schemas.openxmlformats.org/officeDocument/2006/relationships/hyperlink" Target="https://akshar-exim-company-pvt-ltd.odoo.com/web" TargetMode="External"/><Relationship Id="rId4681" Type="http://schemas.openxmlformats.org/officeDocument/2006/relationships/hyperlink" Target="https://akshar-exim-company-pvt-ltd.odoo.com/web" TargetMode="External"/><Relationship Id="rId2021" Type="http://schemas.openxmlformats.org/officeDocument/2006/relationships/hyperlink" Target="mailto:saddamhussain115555@gmail.com" TargetMode="External"/><Relationship Id="rId3353" Type="http://schemas.openxmlformats.org/officeDocument/2006/relationships/hyperlink" Target="mailto:umesh@apidor.com" TargetMode="External"/><Relationship Id="rId4684" Type="http://schemas.openxmlformats.org/officeDocument/2006/relationships/hyperlink" Target="https://akshar-exim-company-pvt-ltd.odoo.com/web" TargetMode="External"/><Relationship Id="rId2022" Type="http://schemas.openxmlformats.org/officeDocument/2006/relationships/hyperlink" Target="https://akshar-exim-company-pvt-ltd.odoo.com/web" TargetMode="External"/><Relationship Id="rId3352" Type="http://schemas.openxmlformats.org/officeDocument/2006/relationships/hyperlink" Target="https://akshar-exim-company-pvt-ltd.odoo.com/web" TargetMode="External"/><Relationship Id="rId4683" Type="http://schemas.openxmlformats.org/officeDocument/2006/relationships/hyperlink" Target="https://akshar-exim-company-pvt-ltd.odoo.com/web" TargetMode="External"/><Relationship Id="rId103" Type="http://schemas.openxmlformats.org/officeDocument/2006/relationships/hyperlink" Target="https://akshar-exim-company-pvt-ltd.odoo.com/web" TargetMode="External"/><Relationship Id="rId2023" Type="http://schemas.openxmlformats.org/officeDocument/2006/relationships/hyperlink" Target="mailto:sales@vivanindustries.in" TargetMode="External"/><Relationship Id="rId3355" Type="http://schemas.openxmlformats.org/officeDocument/2006/relationships/hyperlink" Target="mailto:tanveer@singhotel.in" TargetMode="External"/><Relationship Id="rId4686" Type="http://schemas.openxmlformats.org/officeDocument/2006/relationships/hyperlink" Target="https://akshar-exim-company-pvt-ltd.odoo.com/web" TargetMode="External"/><Relationship Id="rId102" Type="http://schemas.openxmlformats.org/officeDocument/2006/relationships/hyperlink" Target="mailto:satyambubna@ambahind.com" TargetMode="External"/><Relationship Id="rId2024" Type="http://schemas.openxmlformats.org/officeDocument/2006/relationships/hyperlink" Target="https://akshar-exim-company-pvt-ltd.odoo.com/web" TargetMode="External"/><Relationship Id="rId3354" Type="http://schemas.openxmlformats.org/officeDocument/2006/relationships/hyperlink" Target="https://akshar-exim-company-pvt-ltd.odoo.com/web" TargetMode="External"/><Relationship Id="rId4685" Type="http://schemas.openxmlformats.org/officeDocument/2006/relationships/hyperlink" Target="https://akshar-exim-company-pvt-ltd.odoo.com/web" TargetMode="External"/><Relationship Id="rId101" Type="http://schemas.openxmlformats.org/officeDocument/2006/relationships/hyperlink" Target="https://akshar-exim-company-pvt-ltd.odoo.com/web" TargetMode="External"/><Relationship Id="rId2025" Type="http://schemas.openxmlformats.org/officeDocument/2006/relationships/hyperlink" Target="mailto:technochemtraders@ymail.com" TargetMode="External"/><Relationship Id="rId3357" Type="http://schemas.openxmlformats.org/officeDocument/2006/relationships/hyperlink" Target="mailto:rameshdasnfl@gmail.com" TargetMode="External"/><Relationship Id="rId4688" Type="http://schemas.openxmlformats.org/officeDocument/2006/relationships/hyperlink" Target="https://akshar-exim-company-pvt-ltd.odoo.com/web" TargetMode="External"/><Relationship Id="rId100" Type="http://schemas.openxmlformats.org/officeDocument/2006/relationships/hyperlink" Target="mailto:sibdasmukhopadhyay15@gmail.com" TargetMode="External"/><Relationship Id="rId2026" Type="http://schemas.openxmlformats.org/officeDocument/2006/relationships/hyperlink" Target="https://akshar-exim-company-pvt-ltd.odoo.com/web" TargetMode="External"/><Relationship Id="rId3356" Type="http://schemas.openxmlformats.org/officeDocument/2006/relationships/hyperlink" Target="https://akshar-exim-company-pvt-ltd.odoo.com/web" TargetMode="External"/><Relationship Id="rId4687" Type="http://schemas.openxmlformats.org/officeDocument/2006/relationships/hyperlink" Target="https://akshar-exim-company-pvt-ltd.odoo.com/web" TargetMode="External"/><Relationship Id="rId2016" Type="http://schemas.openxmlformats.org/officeDocument/2006/relationships/hyperlink" Target="mailto:purchase@wbcil.com" TargetMode="External"/><Relationship Id="rId3348" Type="http://schemas.openxmlformats.org/officeDocument/2006/relationships/hyperlink" Target="https://akshar-exim-company-pvt-ltd.odoo.com/web" TargetMode="External"/><Relationship Id="rId4679" Type="http://schemas.openxmlformats.org/officeDocument/2006/relationships/hyperlink" Target="https://akshar-exim-company-pvt-ltd.odoo.com/web" TargetMode="External"/><Relationship Id="rId2017" Type="http://schemas.openxmlformats.org/officeDocument/2006/relationships/hyperlink" Target="https://akshar-exim-company-pvt-ltd.odoo.com/web" TargetMode="External"/><Relationship Id="rId3347" Type="http://schemas.openxmlformats.org/officeDocument/2006/relationships/hyperlink" Target="mailto:mustafabdullha@gmail.com" TargetMode="External"/><Relationship Id="rId4678" Type="http://schemas.openxmlformats.org/officeDocument/2006/relationships/hyperlink" Target="https://akshar-exim-company-pvt-ltd.odoo.com/web" TargetMode="External"/><Relationship Id="rId2018" Type="http://schemas.openxmlformats.org/officeDocument/2006/relationships/hyperlink" Target="mailto:krishangchemicals@gmail.com" TargetMode="External"/><Relationship Id="rId2019" Type="http://schemas.openxmlformats.org/officeDocument/2006/relationships/hyperlink" Target="https://akshar-exim-company-pvt-ltd.odoo.com/web" TargetMode="External"/><Relationship Id="rId3349" Type="http://schemas.openxmlformats.org/officeDocument/2006/relationships/hyperlink" Target="mailto:sanjeevgupt9@gmail.com" TargetMode="External"/><Relationship Id="rId3340" Type="http://schemas.openxmlformats.org/officeDocument/2006/relationships/hyperlink" Target="https://akshar-exim-company-pvt-ltd.odoo.com/web" TargetMode="External"/><Relationship Id="rId4671" Type="http://schemas.openxmlformats.org/officeDocument/2006/relationships/hyperlink" Target="https://akshar-exim-company-pvt-ltd.odoo.com/web" TargetMode="External"/><Relationship Id="rId4670" Type="http://schemas.openxmlformats.org/officeDocument/2006/relationships/hyperlink" Target="https://akshar-exim-company-pvt-ltd.odoo.com/web" TargetMode="External"/><Relationship Id="rId2010" Type="http://schemas.openxmlformats.org/officeDocument/2006/relationships/hyperlink" Target="https://akshar-exim-company-pvt-ltd.odoo.com/web" TargetMode="External"/><Relationship Id="rId3342" Type="http://schemas.openxmlformats.org/officeDocument/2006/relationships/hyperlink" Target="mailto:kirtisheth@shwetmetals.com" TargetMode="External"/><Relationship Id="rId4673" Type="http://schemas.openxmlformats.org/officeDocument/2006/relationships/hyperlink" Target="https://akshar-exim-company-pvt-ltd.odoo.com/web" TargetMode="External"/><Relationship Id="rId2011" Type="http://schemas.openxmlformats.org/officeDocument/2006/relationships/hyperlink" Target="mailto:shankar_shw@rediffmail.com" TargetMode="External"/><Relationship Id="rId3341" Type="http://schemas.openxmlformats.org/officeDocument/2006/relationships/hyperlink" Target="https://akshar-exim-company-pvt-ltd.odoo.com/web" TargetMode="External"/><Relationship Id="rId4672" Type="http://schemas.openxmlformats.org/officeDocument/2006/relationships/hyperlink" Target="https://akshar-exim-company-pvt-ltd.odoo.com/web" TargetMode="External"/><Relationship Id="rId2012" Type="http://schemas.openxmlformats.org/officeDocument/2006/relationships/hyperlink" Target="https://akshar-exim-company-pvt-ltd.odoo.com/web" TargetMode="External"/><Relationship Id="rId3344" Type="http://schemas.openxmlformats.org/officeDocument/2006/relationships/hyperlink" Target="https://akshar-exim-company-pvt-ltd.odoo.com/web" TargetMode="External"/><Relationship Id="rId4675" Type="http://schemas.openxmlformats.org/officeDocument/2006/relationships/hyperlink" Target="https://akshar-exim-company-pvt-ltd.odoo.com/web" TargetMode="External"/><Relationship Id="rId2013" Type="http://schemas.openxmlformats.org/officeDocument/2006/relationships/hyperlink" Target="https://akshar-exim-company-pvt-ltd.odoo.com/web" TargetMode="External"/><Relationship Id="rId3343" Type="http://schemas.openxmlformats.org/officeDocument/2006/relationships/hyperlink" Target="https://akshar-exim-company-pvt-ltd.odoo.com/web" TargetMode="External"/><Relationship Id="rId4674" Type="http://schemas.openxmlformats.org/officeDocument/2006/relationships/hyperlink" Target="https://akshar-exim-company-pvt-ltd.odoo.com/web" TargetMode="External"/><Relationship Id="rId2014" Type="http://schemas.openxmlformats.org/officeDocument/2006/relationships/hyperlink" Target="mailto:motimanot@gmail.com" TargetMode="External"/><Relationship Id="rId3346" Type="http://schemas.openxmlformats.org/officeDocument/2006/relationships/hyperlink" Target="https://akshar-exim-company-pvt-ltd.odoo.com/web" TargetMode="External"/><Relationship Id="rId4677" Type="http://schemas.openxmlformats.org/officeDocument/2006/relationships/hyperlink" Target="https://akshar-exim-company-pvt-ltd.odoo.com/web" TargetMode="External"/><Relationship Id="rId2015" Type="http://schemas.openxmlformats.org/officeDocument/2006/relationships/hyperlink" Target="https://akshar-exim-company-pvt-ltd.odoo.com/web" TargetMode="External"/><Relationship Id="rId3345" Type="http://schemas.openxmlformats.org/officeDocument/2006/relationships/hyperlink" Target="mailto:barmankrittibas@gmail.com" TargetMode="External"/><Relationship Id="rId4676" Type="http://schemas.openxmlformats.org/officeDocument/2006/relationships/hyperlink" Target="https://akshar-exim-company-pvt-ltd.odoo.com/web" TargetMode="External"/><Relationship Id="rId2049" Type="http://schemas.openxmlformats.org/officeDocument/2006/relationships/hyperlink" Target="mailto:debajit73@gmail.com" TargetMode="External"/><Relationship Id="rId129" Type="http://schemas.openxmlformats.org/officeDocument/2006/relationships/hyperlink" Target="mailto:deshrajpandey1989@gmail.com" TargetMode="External"/><Relationship Id="rId128" Type="http://schemas.openxmlformats.org/officeDocument/2006/relationships/hyperlink" Target="https://akshar-exim-company-pvt-ltd.odoo.com/web" TargetMode="External"/><Relationship Id="rId127" Type="http://schemas.openxmlformats.org/officeDocument/2006/relationships/hyperlink" Target="https://akshar-exim-company-pvt-ltd.odoo.com/web" TargetMode="External"/><Relationship Id="rId126" Type="http://schemas.openxmlformats.org/officeDocument/2006/relationships/hyperlink" Target="mailto:service@nivtech.in" TargetMode="External"/><Relationship Id="rId3371" Type="http://schemas.openxmlformats.org/officeDocument/2006/relationships/hyperlink" Target="mailto:rameshroadways08@gmail.com" TargetMode="External"/><Relationship Id="rId2040" Type="http://schemas.openxmlformats.org/officeDocument/2006/relationships/hyperlink" Target="https://akshar-exim-company-pvt-ltd.odoo.com/web" TargetMode="External"/><Relationship Id="rId3370" Type="http://schemas.openxmlformats.org/officeDocument/2006/relationships/hyperlink" Target="https://akshar-exim-company-pvt-ltd.odoo.com/web" TargetMode="External"/><Relationship Id="rId121" Type="http://schemas.openxmlformats.org/officeDocument/2006/relationships/hyperlink" Target="mailto:ajoykejriwal10@gmail.com" TargetMode="External"/><Relationship Id="rId2041" Type="http://schemas.openxmlformats.org/officeDocument/2006/relationships/hyperlink" Target="mailto:duttasubha438@gmail.com" TargetMode="External"/><Relationship Id="rId3373" Type="http://schemas.openxmlformats.org/officeDocument/2006/relationships/hyperlink" Target="mailto:shabeervsha@gmail.com" TargetMode="External"/><Relationship Id="rId120" Type="http://schemas.openxmlformats.org/officeDocument/2006/relationships/hyperlink" Target="https://akshar-exim-company-pvt-ltd.odoo.com/web" TargetMode="External"/><Relationship Id="rId2042" Type="http://schemas.openxmlformats.org/officeDocument/2006/relationships/hyperlink" Target="https://akshar-exim-company-pvt-ltd.odoo.com/web" TargetMode="External"/><Relationship Id="rId3372" Type="http://schemas.openxmlformats.org/officeDocument/2006/relationships/hyperlink" Target="https://akshar-exim-company-pvt-ltd.odoo.com/web" TargetMode="External"/><Relationship Id="rId2043" Type="http://schemas.openxmlformats.org/officeDocument/2006/relationships/hyperlink" Target="mailto:avmslsharma@gmail.com" TargetMode="External"/><Relationship Id="rId3375" Type="http://schemas.openxmlformats.org/officeDocument/2006/relationships/hyperlink" Target="https://akshar-exim-company-pvt-ltd.odoo.com/web" TargetMode="External"/><Relationship Id="rId2044" Type="http://schemas.openxmlformats.org/officeDocument/2006/relationships/hyperlink" Target="https://akshar-exim-company-pvt-ltd.odoo.com/web" TargetMode="External"/><Relationship Id="rId3374" Type="http://schemas.openxmlformats.org/officeDocument/2006/relationships/hyperlink" Target="https://akshar-exim-company-pvt-ltd.odoo.com/web" TargetMode="External"/><Relationship Id="rId125" Type="http://schemas.openxmlformats.org/officeDocument/2006/relationships/hyperlink" Target="https://akshar-exim-company-pvt-ltd.odoo.com/web" TargetMode="External"/><Relationship Id="rId2045" Type="http://schemas.openxmlformats.org/officeDocument/2006/relationships/hyperlink" Target="mailto:dikshitandco@gmail.com" TargetMode="External"/><Relationship Id="rId3377" Type="http://schemas.openxmlformats.org/officeDocument/2006/relationships/hyperlink" Target="mailto:kaleavdhut@gmail.com" TargetMode="External"/><Relationship Id="rId124" Type="http://schemas.openxmlformats.org/officeDocument/2006/relationships/hyperlink" Target="https://akshar-exim-company-pvt-ltd.odoo.com/web" TargetMode="External"/><Relationship Id="rId2046" Type="http://schemas.openxmlformats.org/officeDocument/2006/relationships/hyperlink" Target="https://akshar-exim-company-pvt-ltd.odoo.com/web" TargetMode="External"/><Relationship Id="rId3376" Type="http://schemas.openxmlformats.org/officeDocument/2006/relationships/hyperlink" Target="https://akshar-exim-company-pvt-ltd.odoo.com/web" TargetMode="External"/><Relationship Id="rId123" Type="http://schemas.openxmlformats.org/officeDocument/2006/relationships/hyperlink" Target="mailto:maleyrohit328@gmail.com" TargetMode="External"/><Relationship Id="rId2047" Type="http://schemas.openxmlformats.org/officeDocument/2006/relationships/hyperlink" Target="mailto:pritamkhalko15@gamil.com" TargetMode="External"/><Relationship Id="rId3379" Type="http://schemas.openxmlformats.org/officeDocument/2006/relationships/hyperlink" Target="mailto:psahu524@gmail.com" TargetMode="External"/><Relationship Id="rId122" Type="http://schemas.openxmlformats.org/officeDocument/2006/relationships/hyperlink" Target="https://akshar-exim-company-pvt-ltd.odoo.com/web" TargetMode="External"/><Relationship Id="rId2048" Type="http://schemas.openxmlformats.org/officeDocument/2006/relationships/hyperlink" Target="https://akshar-exim-company-pvt-ltd.odoo.com/web" TargetMode="External"/><Relationship Id="rId3378" Type="http://schemas.openxmlformats.org/officeDocument/2006/relationships/hyperlink" Target="https://akshar-exim-company-pvt-ltd.odoo.com/web" TargetMode="External"/><Relationship Id="rId2038" Type="http://schemas.openxmlformats.org/officeDocument/2006/relationships/hyperlink" Target="mailto:swattikpatra1998@gmail.com" TargetMode="External"/><Relationship Id="rId2039" Type="http://schemas.openxmlformats.org/officeDocument/2006/relationships/hyperlink" Target="https://akshar-exim-company-pvt-ltd.odoo.com/web" TargetMode="External"/><Relationship Id="rId3369" Type="http://schemas.openxmlformats.org/officeDocument/2006/relationships/hyperlink" Target="mailto:pariaranajit14@gmail.com" TargetMode="External"/><Relationship Id="rId118" Type="http://schemas.openxmlformats.org/officeDocument/2006/relationships/hyperlink" Target="https://akshar-exim-company-pvt-ltd.odoo.com/web" TargetMode="External"/><Relationship Id="rId117" Type="http://schemas.openxmlformats.org/officeDocument/2006/relationships/hyperlink" Target="https://akshar-exim-company-pvt-ltd.odoo.com/web" TargetMode="External"/><Relationship Id="rId116" Type="http://schemas.openxmlformats.org/officeDocument/2006/relationships/hyperlink" Target="mailto:KrishnenduDutta@live.co.uk" TargetMode="External"/><Relationship Id="rId115" Type="http://schemas.openxmlformats.org/officeDocument/2006/relationships/hyperlink" Target="https://akshar-exim-company-pvt-ltd.odoo.com/web" TargetMode="External"/><Relationship Id="rId3360" Type="http://schemas.openxmlformats.org/officeDocument/2006/relationships/hyperlink" Target="https://akshar-exim-company-pvt-ltd.odoo.com/web" TargetMode="External"/><Relationship Id="rId4691" Type="http://schemas.openxmlformats.org/officeDocument/2006/relationships/hyperlink" Target="https://akshar-exim-company-pvt-ltd.odoo.com/web" TargetMode="External"/><Relationship Id="rId119" Type="http://schemas.openxmlformats.org/officeDocument/2006/relationships/hyperlink" Target="mailto:asana.mitra@runaya.com" TargetMode="External"/><Relationship Id="rId4690" Type="http://schemas.openxmlformats.org/officeDocument/2006/relationships/hyperlink" Target="https://akshar-exim-company-pvt-ltd.odoo.com/web" TargetMode="External"/><Relationship Id="rId110" Type="http://schemas.openxmlformats.org/officeDocument/2006/relationships/hyperlink" Target="mailto:shreeshyam.kol@gmail.com" TargetMode="External"/><Relationship Id="rId2030" Type="http://schemas.openxmlformats.org/officeDocument/2006/relationships/hyperlink" Target="https://akshar-exim-company-pvt-ltd.odoo.com/web" TargetMode="External"/><Relationship Id="rId3362" Type="http://schemas.openxmlformats.org/officeDocument/2006/relationships/hyperlink" Target="https://akshar-exim-company-pvt-ltd.odoo.com/web" TargetMode="External"/><Relationship Id="rId4693" Type="http://schemas.openxmlformats.org/officeDocument/2006/relationships/hyperlink" Target="https://akshar-exim-company-pvt-ltd.odoo.com/web" TargetMode="External"/><Relationship Id="rId2031" Type="http://schemas.openxmlformats.org/officeDocument/2006/relationships/hyperlink" Target="mailto:kashinath2811989@gmail.com" TargetMode="External"/><Relationship Id="rId3361" Type="http://schemas.openxmlformats.org/officeDocument/2006/relationships/hyperlink" Target="mailto:vinodmittal1977@gmail.com" TargetMode="External"/><Relationship Id="rId4692" Type="http://schemas.openxmlformats.org/officeDocument/2006/relationships/hyperlink" Target="https://akshar-exim-company-pvt-ltd.odoo.com/web" TargetMode="External"/><Relationship Id="rId2032" Type="http://schemas.openxmlformats.org/officeDocument/2006/relationships/hyperlink" Target="https://akshar-exim-company-pvt-ltd.odoo.com/web" TargetMode="External"/><Relationship Id="rId3364" Type="http://schemas.openxmlformats.org/officeDocument/2006/relationships/hyperlink" Target="https://akshar-exim-company-pvt-ltd.odoo.com/web" TargetMode="External"/><Relationship Id="rId4695" Type="http://schemas.openxmlformats.org/officeDocument/2006/relationships/hyperlink" Target="https://akshar-exim-company-pvt-ltd.odoo.com/web" TargetMode="External"/><Relationship Id="rId2033" Type="http://schemas.openxmlformats.org/officeDocument/2006/relationships/hyperlink" Target="https://akshar-exim-company-pvt-ltd.odoo.com/web" TargetMode="External"/><Relationship Id="rId3363" Type="http://schemas.openxmlformats.org/officeDocument/2006/relationships/hyperlink" Target="mailto:hindproco@gmail.com" TargetMode="External"/><Relationship Id="rId4694" Type="http://schemas.openxmlformats.org/officeDocument/2006/relationships/hyperlink" Target="https://akshar-exim-company-pvt-ltd.odoo.com/web" TargetMode="External"/><Relationship Id="rId114" Type="http://schemas.openxmlformats.org/officeDocument/2006/relationships/hyperlink" Target="mailto:dandu.maheshreddy@gmail.com" TargetMode="External"/><Relationship Id="rId2034" Type="http://schemas.openxmlformats.org/officeDocument/2006/relationships/hyperlink" Target="mailto:harshchem@hotmail.com" TargetMode="External"/><Relationship Id="rId3366" Type="http://schemas.openxmlformats.org/officeDocument/2006/relationships/hyperlink" Target="https://akshar-exim-company-pvt-ltd.odoo.com/web" TargetMode="External"/><Relationship Id="rId4697" Type="http://schemas.openxmlformats.org/officeDocument/2006/relationships/hyperlink" Target="https://akshar-exim-company-pvt-ltd.odoo.com/web" TargetMode="External"/><Relationship Id="rId113" Type="http://schemas.openxmlformats.org/officeDocument/2006/relationships/hyperlink" Target="https://akshar-exim-company-pvt-ltd.odoo.com/web" TargetMode="External"/><Relationship Id="rId2035" Type="http://schemas.openxmlformats.org/officeDocument/2006/relationships/hyperlink" Target="https://akshar-exim-company-pvt-ltd.odoo.com/web" TargetMode="External"/><Relationship Id="rId3365" Type="http://schemas.openxmlformats.org/officeDocument/2006/relationships/hyperlink" Target="mailto:abdurrahamanalmamun2015@gmail.com" TargetMode="External"/><Relationship Id="rId4696" Type="http://schemas.openxmlformats.org/officeDocument/2006/relationships/hyperlink" Target="https://akshar-exim-company-pvt-ltd.odoo.com/web" TargetMode="External"/><Relationship Id="rId112" Type="http://schemas.openxmlformats.org/officeDocument/2006/relationships/hyperlink" Target="mailto:rajaram.nanjundan@yahoo.com" TargetMode="External"/><Relationship Id="rId2036" Type="http://schemas.openxmlformats.org/officeDocument/2006/relationships/hyperlink" Target="mailto:vapimaruchem@yahoo.co.in" TargetMode="External"/><Relationship Id="rId3368" Type="http://schemas.openxmlformats.org/officeDocument/2006/relationships/hyperlink" Target="https://akshar-exim-company-pvt-ltd.odoo.com/web" TargetMode="External"/><Relationship Id="rId4699" Type="http://schemas.openxmlformats.org/officeDocument/2006/relationships/hyperlink" Target="https://akshar-exim-company-pvt-ltd.odoo.com/web" TargetMode="External"/><Relationship Id="rId111" Type="http://schemas.openxmlformats.org/officeDocument/2006/relationships/hyperlink" Target="https://akshar-exim-company-pvt-ltd.odoo.com/web" TargetMode="External"/><Relationship Id="rId2037" Type="http://schemas.openxmlformats.org/officeDocument/2006/relationships/hyperlink" Target="https://akshar-exim-company-pvt-ltd.odoo.com/web" TargetMode="External"/><Relationship Id="rId3367" Type="http://schemas.openxmlformats.org/officeDocument/2006/relationships/hyperlink" Target="mailto:rathgyana1@gmail.com" TargetMode="External"/><Relationship Id="rId4698" Type="http://schemas.openxmlformats.org/officeDocument/2006/relationships/hyperlink" Target="https://akshar-exim-company-pvt-ltd.odoo.com/web" TargetMode="External"/><Relationship Id="rId3315" Type="http://schemas.openxmlformats.org/officeDocument/2006/relationships/hyperlink" Target="https://akshar-exim-company-pvt-ltd.odoo.com/web" TargetMode="External"/><Relationship Id="rId4646" Type="http://schemas.openxmlformats.org/officeDocument/2006/relationships/hyperlink" Target="https://akshar-exim-company-pvt-ltd.odoo.com/web" TargetMode="External"/><Relationship Id="rId3314" Type="http://schemas.openxmlformats.org/officeDocument/2006/relationships/hyperlink" Target="mailto:shahbazkhan0124@gmail.com" TargetMode="External"/><Relationship Id="rId4645" Type="http://schemas.openxmlformats.org/officeDocument/2006/relationships/hyperlink" Target="https://akshar-exim-company-pvt-ltd.odoo.com/web" TargetMode="External"/><Relationship Id="rId3317" Type="http://schemas.openxmlformats.org/officeDocument/2006/relationships/hyperlink" Target="https://akshar-exim-company-pvt-ltd.odoo.com/web" TargetMode="External"/><Relationship Id="rId4648" Type="http://schemas.openxmlformats.org/officeDocument/2006/relationships/hyperlink" Target="https://akshar-exim-company-pvt-ltd.odoo.com/web" TargetMode="External"/><Relationship Id="rId3316" Type="http://schemas.openxmlformats.org/officeDocument/2006/relationships/hyperlink" Target="mailto:garasiyahuzefa@gmail.com" TargetMode="External"/><Relationship Id="rId4647" Type="http://schemas.openxmlformats.org/officeDocument/2006/relationships/hyperlink" Target="https://akshar-exim-company-pvt-ltd.odoo.com/web" TargetMode="External"/><Relationship Id="rId3319" Type="http://schemas.openxmlformats.org/officeDocument/2006/relationships/hyperlink" Target="https://akshar-exim-company-pvt-ltd.odoo.com/web" TargetMode="External"/><Relationship Id="rId3318" Type="http://schemas.openxmlformats.org/officeDocument/2006/relationships/hyperlink" Target="mailto:876858671a@gmail.com" TargetMode="External"/><Relationship Id="rId4649" Type="http://schemas.openxmlformats.org/officeDocument/2006/relationships/hyperlink" Target="https://akshar-exim-company-pvt-ltd.odoo.com/web" TargetMode="External"/><Relationship Id="rId4640" Type="http://schemas.openxmlformats.org/officeDocument/2006/relationships/hyperlink" Target="https://akshar-exim-company-pvt-ltd.odoo.com/web" TargetMode="External"/><Relationship Id="rId3311" Type="http://schemas.openxmlformats.org/officeDocument/2006/relationships/hyperlink" Target="https://akshar-exim-company-pvt-ltd.odoo.com/web" TargetMode="External"/><Relationship Id="rId4642" Type="http://schemas.openxmlformats.org/officeDocument/2006/relationships/hyperlink" Target="https://akshar-exim-company-pvt-ltd.odoo.com/web" TargetMode="External"/><Relationship Id="rId3310" Type="http://schemas.openxmlformats.org/officeDocument/2006/relationships/hyperlink" Target="mailto:p78623xz@gmail.com" TargetMode="External"/><Relationship Id="rId4641" Type="http://schemas.openxmlformats.org/officeDocument/2006/relationships/hyperlink" Target="https://akshar-exim-company-pvt-ltd.odoo.com/web" TargetMode="External"/><Relationship Id="rId3313" Type="http://schemas.openxmlformats.org/officeDocument/2006/relationships/hyperlink" Target="https://akshar-exim-company-pvt-ltd.odoo.com/web" TargetMode="External"/><Relationship Id="rId4644" Type="http://schemas.openxmlformats.org/officeDocument/2006/relationships/hyperlink" Target="https://akshar-exim-company-pvt-ltd.odoo.com/web" TargetMode="External"/><Relationship Id="rId3312" Type="http://schemas.openxmlformats.org/officeDocument/2006/relationships/hyperlink" Target="mailto:delightsuraj@gmail.com" TargetMode="External"/><Relationship Id="rId4643" Type="http://schemas.openxmlformats.org/officeDocument/2006/relationships/hyperlink" Target="https://akshar-exim-company-pvt-ltd.odoo.com/web" TargetMode="External"/><Relationship Id="rId3304" Type="http://schemas.openxmlformats.org/officeDocument/2006/relationships/hyperlink" Target="mailto:gaurishjazz123@gmail.com" TargetMode="External"/><Relationship Id="rId4635" Type="http://schemas.openxmlformats.org/officeDocument/2006/relationships/hyperlink" Target="https://akshar-exim-company-pvt-ltd.odoo.com/web" TargetMode="External"/><Relationship Id="rId3303" Type="http://schemas.openxmlformats.org/officeDocument/2006/relationships/hyperlink" Target="https://akshar-exim-company-pvt-ltd.odoo.com/web" TargetMode="External"/><Relationship Id="rId4634" Type="http://schemas.openxmlformats.org/officeDocument/2006/relationships/hyperlink" Target="https://akshar-exim-company-pvt-ltd.odoo.com/web" TargetMode="External"/><Relationship Id="rId3306" Type="http://schemas.openxmlformats.org/officeDocument/2006/relationships/hyperlink" Target="mailto:nirajbhaskar1216@gmail.com" TargetMode="External"/><Relationship Id="rId4637" Type="http://schemas.openxmlformats.org/officeDocument/2006/relationships/hyperlink" Target="https://akshar-exim-company-pvt-ltd.odoo.com/web" TargetMode="External"/><Relationship Id="rId3305" Type="http://schemas.openxmlformats.org/officeDocument/2006/relationships/hyperlink" Target="https://akshar-exim-company-pvt-ltd.odoo.com/web" TargetMode="External"/><Relationship Id="rId4636" Type="http://schemas.openxmlformats.org/officeDocument/2006/relationships/hyperlink" Target="https://akshar-exim-company-pvt-ltd.odoo.com/web" TargetMode="External"/><Relationship Id="rId3308" Type="http://schemas.openxmlformats.org/officeDocument/2006/relationships/hyperlink" Target="mailto:ajayagarwal7044@gmail.com" TargetMode="External"/><Relationship Id="rId4639" Type="http://schemas.openxmlformats.org/officeDocument/2006/relationships/hyperlink" Target="https://akshar-exim-company-pvt-ltd.odoo.com/web" TargetMode="External"/><Relationship Id="rId3307" Type="http://schemas.openxmlformats.org/officeDocument/2006/relationships/hyperlink" Target="https://akshar-exim-company-pvt-ltd.odoo.com/web" TargetMode="External"/><Relationship Id="rId4638" Type="http://schemas.openxmlformats.org/officeDocument/2006/relationships/hyperlink" Target="https://akshar-exim-company-pvt-ltd.odoo.com/web" TargetMode="External"/><Relationship Id="rId3309" Type="http://schemas.openxmlformats.org/officeDocument/2006/relationships/hyperlink" Target="https://akshar-exim-company-pvt-ltd.odoo.com/web" TargetMode="External"/><Relationship Id="rId3300" Type="http://schemas.openxmlformats.org/officeDocument/2006/relationships/hyperlink" Target="mailto:guptanitin83@gmail.com" TargetMode="External"/><Relationship Id="rId4631" Type="http://schemas.openxmlformats.org/officeDocument/2006/relationships/hyperlink" Target="https://akshar-exim-company-pvt-ltd.odoo.com/web" TargetMode="External"/><Relationship Id="rId4630" Type="http://schemas.openxmlformats.org/officeDocument/2006/relationships/hyperlink" Target="https://akshar-exim-company-pvt-ltd.odoo.com/web" TargetMode="External"/><Relationship Id="rId3302" Type="http://schemas.openxmlformats.org/officeDocument/2006/relationships/hyperlink" Target="mailto:tapaspanda2009@gmail.com" TargetMode="External"/><Relationship Id="rId4633" Type="http://schemas.openxmlformats.org/officeDocument/2006/relationships/hyperlink" Target="https://akshar-exim-company-pvt-ltd.odoo.com/web" TargetMode="External"/><Relationship Id="rId3301" Type="http://schemas.openxmlformats.org/officeDocument/2006/relationships/hyperlink" Target="https://akshar-exim-company-pvt-ltd.odoo.com/web" TargetMode="External"/><Relationship Id="rId4632" Type="http://schemas.openxmlformats.org/officeDocument/2006/relationships/hyperlink" Target="https://akshar-exim-company-pvt-ltd.odoo.com/web" TargetMode="External"/><Relationship Id="rId2005" Type="http://schemas.openxmlformats.org/officeDocument/2006/relationships/hyperlink" Target="https://akshar-exim-company-pvt-ltd.odoo.com/web" TargetMode="External"/><Relationship Id="rId3337" Type="http://schemas.openxmlformats.org/officeDocument/2006/relationships/hyperlink" Target="https://akshar-exim-company-pvt-ltd.odoo.com/web" TargetMode="External"/><Relationship Id="rId4668" Type="http://schemas.openxmlformats.org/officeDocument/2006/relationships/hyperlink" Target="https://akshar-exim-company-pvt-ltd.odoo.com/web" TargetMode="External"/><Relationship Id="rId2006" Type="http://schemas.openxmlformats.org/officeDocument/2006/relationships/hyperlink" Target="https://akshar-exim-company-pvt-ltd.odoo.com/web" TargetMode="External"/><Relationship Id="rId3336" Type="http://schemas.openxmlformats.org/officeDocument/2006/relationships/hyperlink" Target="https://akshar-exim-company-pvt-ltd.odoo.com/web" TargetMode="External"/><Relationship Id="rId4667" Type="http://schemas.openxmlformats.org/officeDocument/2006/relationships/hyperlink" Target="https://akshar-exim-company-pvt-ltd.odoo.com/web" TargetMode="External"/><Relationship Id="rId2007" Type="http://schemas.openxmlformats.org/officeDocument/2006/relationships/hyperlink" Target="https://akshar-exim-company-pvt-ltd.odoo.com/web" TargetMode="External"/><Relationship Id="rId3339" Type="http://schemas.openxmlformats.org/officeDocument/2006/relationships/hyperlink" Target="https://akshar-exim-company-pvt-ltd.odoo.com/web" TargetMode="External"/><Relationship Id="rId2008" Type="http://schemas.openxmlformats.org/officeDocument/2006/relationships/hyperlink" Target="https://akshar-exim-company-pvt-ltd.odoo.com/web" TargetMode="External"/><Relationship Id="rId3338" Type="http://schemas.openxmlformats.org/officeDocument/2006/relationships/hyperlink" Target="mailto:lipakdas80@gmail.com" TargetMode="External"/><Relationship Id="rId4669" Type="http://schemas.openxmlformats.org/officeDocument/2006/relationships/hyperlink" Target="https://akshar-exim-company-pvt-ltd.odoo.com/web" TargetMode="External"/><Relationship Id="rId2009" Type="http://schemas.openxmlformats.org/officeDocument/2006/relationships/hyperlink" Target="mailto:ersusnath@gmail.com" TargetMode="External"/><Relationship Id="rId4660" Type="http://schemas.openxmlformats.org/officeDocument/2006/relationships/hyperlink" Target="https://akshar-exim-company-pvt-ltd.odoo.com/web" TargetMode="External"/><Relationship Id="rId3331" Type="http://schemas.openxmlformats.org/officeDocument/2006/relationships/hyperlink" Target="https://akshar-exim-company-pvt-ltd.odoo.com/web" TargetMode="External"/><Relationship Id="rId4662" Type="http://schemas.openxmlformats.org/officeDocument/2006/relationships/hyperlink" Target="https://akshar-exim-company-pvt-ltd.odoo.com/web" TargetMode="External"/><Relationship Id="rId2000" Type="http://schemas.openxmlformats.org/officeDocument/2006/relationships/hyperlink" Target="https://akshar-exim-company-pvt-ltd.odoo.com/web" TargetMode="External"/><Relationship Id="rId3330" Type="http://schemas.openxmlformats.org/officeDocument/2006/relationships/hyperlink" Target="mailto:ksprigspares@gmail.com" TargetMode="External"/><Relationship Id="rId4661" Type="http://schemas.openxmlformats.org/officeDocument/2006/relationships/hyperlink" Target="https://akshar-exim-company-pvt-ltd.odoo.com/web" TargetMode="External"/><Relationship Id="rId2001" Type="http://schemas.openxmlformats.org/officeDocument/2006/relationships/hyperlink" Target="https://akshar-exim-company-pvt-ltd.odoo.com/web" TargetMode="External"/><Relationship Id="rId3333" Type="http://schemas.openxmlformats.org/officeDocument/2006/relationships/hyperlink" Target="https://akshar-exim-company-pvt-ltd.odoo.com/web" TargetMode="External"/><Relationship Id="rId4664" Type="http://schemas.openxmlformats.org/officeDocument/2006/relationships/hyperlink" Target="https://akshar-exim-company-pvt-ltd.odoo.com/web" TargetMode="External"/><Relationship Id="rId2002" Type="http://schemas.openxmlformats.org/officeDocument/2006/relationships/hyperlink" Target="https://akshar-exim-company-pvt-ltd.odoo.com/web" TargetMode="External"/><Relationship Id="rId3332" Type="http://schemas.openxmlformats.org/officeDocument/2006/relationships/hyperlink" Target="mailto:ps.ssenterprises1@gmail.com" TargetMode="External"/><Relationship Id="rId4663" Type="http://schemas.openxmlformats.org/officeDocument/2006/relationships/hyperlink" Target="https://akshar-exim-company-pvt-ltd.odoo.com/web" TargetMode="External"/><Relationship Id="rId2003" Type="http://schemas.openxmlformats.org/officeDocument/2006/relationships/hyperlink" Target="https://akshar-exim-company-pvt-ltd.odoo.com/web" TargetMode="External"/><Relationship Id="rId3335" Type="http://schemas.openxmlformats.org/officeDocument/2006/relationships/hyperlink" Target="https://akshar-exim-company-pvt-ltd.odoo.com/web" TargetMode="External"/><Relationship Id="rId4666" Type="http://schemas.openxmlformats.org/officeDocument/2006/relationships/hyperlink" Target="https://akshar-exim-company-pvt-ltd.odoo.com/web" TargetMode="External"/><Relationship Id="rId2004" Type="http://schemas.openxmlformats.org/officeDocument/2006/relationships/hyperlink" Target="https://akshar-exim-company-pvt-ltd.odoo.com/web" TargetMode="External"/><Relationship Id="rId3334" Type="http://schemas.openxmlformats.org/officeDocument/2006/relationships/hyperlink" Target="mailto:kalachanddas918@gmail.com" TargetMode="External"/><Relationship Id="rId4665" Type="http://schemas.openxmlformats.org/officeDocument/2006/relationships/hyperlink" Target="https://akshar-exim-company-pvt-ltd.odoo.com/web" TargetMode="External"/><Relationship Id="rId3326" Type="http://schemas.openxmlformats.org/officeDocument/2006/relationships/hyperlink" Target="mailto:mahadev329@yahoo.com" TargetMode="External"/><Relationship Id="rId4657" Type="http://schemas.openxmlformats.org/officeDocument/2006/relationships/hyperlink" Target="https://akshar-exim-company-pvt-ltd.odoo.com/web" TargetMode="External"/><Relationship Id="rId3325" Type="http://schemas.openxmlformats.org/officeDocument/2006/relationships/hyperlink" Target="https://akshar-exim-company-pvt-ltd.odoo.com/web" TargetMode="External"/><Relationship Id="rId4656" Type="http://schemas.openxmlformats.org/officeDocument/2006/relationships/hyperlink" Target="https://akshar-exim-company-pvt-ltd.odoo.com/web" TargetMode="External"/><Relationship Id="rId3328" Type="http://schemas.openxmlformats.org/officeDocument/2006/relationships/hyperlink" Target="mailto:itsmeneeraj26@gmail.com" TargetMode="External"/><Relationship Id="rId4659" Type="http://schemas.openxmlformats.org/officeDocument/2006/relationships/hyperlink" Target="https://akshar-exim-company-pvt-ltd.odoo.com/web" TargetMode="External"/><Relationship Id="rId3327" Type="http://schemas.openxmlformats.org/officeDocument/2006/relationships/hyperlink" Target="https://akshar-exim-company-pvt-ltd.odoo.com/web" TargetMode="External"/><Relationship Id="rId4658" Type="http://schemas.openxmlformats.org/officeDocument/2006/relationships/hyperlink" Target="https://akshar-exim-company-pvt-ltd.odoo.com/web" TargetMode="External"/><Relationship Id="rId3329" Type="http://schemas.openxmlformats.org/officeDocument/2006/relationships/hyperlink" Target="https://akshar-exim-company-pvt-ltd.odoo.com/web" TargetMode="External"/><Relationship Id="rId3320" Type="http://schemas.openxmlformats.org/officeDocument/2006/relationships/hyperlink" Target="mailto:modi_corp@rediffmail.com" TargetMode="External"/><Relationship Id="rId4651" Type="http://schemas.openxmlformats.org/officeDocument/2006/relationships/hyperlink" Target="https://akshar-exim-company-pvt-ltd.odoo.com/web" TargetMode="External"/><Relationship Id="rId4650" Type="http://schemas.openxmlformats.org/officeDocument/2006/relationships/hyperlink" Target="https://akshar-exim-company-pvt-ltd.odoo.com/web" TargetMode="External"/><Relationship Id="rId3322" Type="http://schemas.openxmlformats.org/officeDocument/2006/relationships/hyperlink" Target="mailto:sachendrasingh282@gmail.com" TargetMode="External"/><Relationship Id="rId4653" Type="http://schemas.openxmlformats.org/officeDocument/2006/relationships/hyperlink" Target="https://akshar-exim-company-pvt-ltd.odoo.com/web" TargetMode="External"/><Relationship Id="rId3321" Type="http://schemas.openxmlformats.org/officeDocument/2006/relationships/hyperlink" Target="https://akshar-exim-company-pvt-ltd.odoo.com/web" TargetMode="External"/><Relationship Id="rId4652" Type="http://schemas.openxmlformats.org/officeDocument/2006/relationships/hyperlink" Target="https://akshar-exim-company-pvt-ltd.odoo.com/web" TargetMode="External"/><Relationship Id="rId3324" Type="http://schemas.openxmlformats.org/officeDocument/2006/relationships/hyperlink" Target="mailto:mdalamgirhaque2@gmail.com" TargetMode="External"/><Relationship Id="rId4655" Type="http://schemas.openxmlformats.org/officeDocument/2006/relationships/hyperlink" Target="https://akshar-exim-company-pvt-ltd.odoo.com/web" TargetMode="External"/><Relationship Id="rId3323" Type="http://schemas.openxmlformats.org/officeDocument/2006/relationships/hyperlink" Target="https://akshar-exim-company-pvt-ltd.odoo.com/web" TargetMode="External"/><Relationship Id="rId4654" Type="http://schemas.openxmlformats.org/officeDocument/2006/relationships/hyperlink" Target="https://akshar-exim-company-pvt-ltd.odoo.com/web" TargetMode="External"/><Relationship Id="rId5130" Type="http://schemas.openxmlformats.org/officeDocument/2006/relationships/hyperlink" Target="https://akshar-exim-company-pvt-ltd.odoo.com/web" TargetMode="External"/><Relationship Id="rId5131" Type="http://schemas.openxmlformats.org/officeDocument/2006/relationships/hyperlink" Target="https://akshar-exim-company-pvt-ltd.odoo.com/web" TargetMode="External"/><Relationship Id="rId5134" Type="http://schemas.openxmlformats.org/officeDocument/2006/relationships/hyperlink" Target="https://akshar-exim-company-pvt-ltd.odoo.com/web" TargetMode="External"/><Relationship Id="rId5135" Type="http://schemas.openxmlformats.org/officeDocument/2006/relationships/hyperlink" Target="https://akshar-exim-company-pvt-ltd.odoo.com/web" TargetMode="External"/><Relationship Id="rId5132" Type="http://schemas.openxmlformats.org/officeDocument/2006/relationships/hyperlink" Target="https://akshar-exim-company-pvt-ltd.odoo.com/web" TargetMode="External"/><Relationship Id="rId5133" Type="http://schemas.openxmlformats.org/officeDocument/2006/relationships/hyperlink" Target="https://akshar-exim-company-pvt-ltd.odoo.com/web" TargetMode="External"/><Relationship Id="rId5138" Type="http://schemas.openxmlformats.org/officeDocument/2006/relationships/hyperlink" Target="https://akshar-exim-company-pvt-ltd.odoo.com/web" TargetMode="External"/><Relationship Id="rId5139" Type="http://schemas.openxmlformats.org/officeDocument/2006/relationships/hyperlink" Target="https://akshar-exim-company-pvt-ltd.odoo.com/web" TargetMode="External"/><Relationship Id="rId5136" Type="http://schemas.openxmlformats.org/officeDocument/2006/relationships/hyperlink" Target="https://akshar-exim-company-pvt-ltd.odoo.com/web" TargetMode="External"/><Relationship Id="rId5137" Type="http://schemas.openxmlformats.org/officeDocument/2006/relationships/hyperlink" Target="https://akshar-exim-company-pvt-ltd.odoo.com/web" TargetMode="External"/><Relationship Id="rId5129" Type="http://schemas.openxmlformats.org/officeDocument/2006/relationships/hyperlink" Target="https://akshar-exim-company-pvt-ltd.odoo.com/web" TargetMode="External"/><Relationship Id="rId2090" Type="http://schemas.openxmlformats.org/officeDocument/2006/relationships/hyperlink" Target="https://akshar-exim-company-pvt-ltd.odoo.com/web" TargetMode="External"/><Relationship Id="rId2091" Type="http://schemas.openxmlformats.org/officeDocument/2006/relationships/hyperlink" Target="https://akshar-exim-company-pvt-ltd.odoo.com/web" TargetMode="External"/><Relationship Id="rId2092" Type="http://schemas.openxmlformats.org/officeDocument/2006/relationships/hyperlink" Target="https://akshar-exim-company-pvt-ltd.odoo.com/web" TargetMode="External"/><Relationship Id="rId2093" Type="http://schemas.openxmlformats.org/officeDocument/2006/relationships/hyperlink" Target="https://akshar-exim-company-pvt-ltd.odoo.com/web" TargetMode="External"/><Relationship Id="rId5120" Type="http://schemas.openxmlformats.org/officeDocument/2006/relationships/hyperlink" Target="https://akshar-exim-company-pvt-ltd.odoo.com/web" TargetMode="External"/><Relationship Id="rId2094" Type="http://schemas.openxmlformats.org/officeDocument/2006/relationships/hyperlink" Target="https://akshar-exim-company-pvt-ltd.odoo.com/web" TargetMode="External"/><Relationship Id="rId2095" Type="http://schemas.openxmlformats.org/officeDocument/2006/relationships/hyperlink" Target="https://akshar-exim-company-pvt-ltd.odoo.com/web" TargetMode="External"/><Relationship Id="rId2096" Type="http://schemas.openxmlformats.org/officeDocument/2006/relationships/hyperlink" Target="https://akshar-exim-company-pvt-ltd.odoo.com/web" TargetMode="External"/><Relationship Id="rId5123" Type="http://schemas.openxmlformats.org/officeDocument/2006/relationships/hyperlink" Target="https://akshar-exim-company-pvt-ltd.odoo.com/web" TargetMode="External"/><Relationship Id="rId2097" Type="http://schemas.openxmlformats.org/officeDocument/2006/relationships/hyperlink" Target="https://akshar-exim-company-pvt-ltd.odoo.com/web" TargetMode="External"/><Relationship Id="rId5124" Type="http://schemas.openxmlformats.org/officeDocument/2006/relationships/hyperlink" Target="https://akshar-exim-company-pvt-ltd.odoo.com/web" TargetMode="External"/><Relationship Id="rId2098" Type="http://schemas.openxmlformats.org/officeDocument/2006/relationships/hyperlink" Target="https://akshar-exim-company-pvt-ltd.odoo.com/web" TargetMode="External"/><Relationship Id="rId5121" Type="http://schemas.openxmlformats.org/officeDocument/2006/relationships/hyperlink" Target="https://akshar-exim-company-pvt-ltd.odoo.com/web" TargetMode="External"/><Relationship Id="rId2099" Type="http://schemas.openxmlformats.org/officeDocument/2006/relationships/hyperlink" Target="https://akshar-exim-company-pvt-ltd.odoo.com/web" TargetMode="External"/><Relationship Id="rId5122" Type="http://schemas.openxmlformats.org/officeDocument/2006/relationships/hyperlink" Target="https://akshar-exim-company-pvt-ltd.odoo.com/web" TargetMode="External"/><Relationship Id="rId5127" Type="http://schemas.openxmlformats.org/officeDocument/2006/relationships/hyperlink" Target="https://akshar-exim-company-pvt-ltd.odoo.com/web" TargetMode="External"/><Relationship Id="rId5128" Type="http://schemas.openxmlformats.org/officeDocument/2006/relationships/hyperlink" Target="https://akshar-exim-company-pvt-ltd.odoo.com/web" TargetMode="External"/><Relationship Id="rId5125" Type="http://schemas.openxmlformats.org/officeDocument/2006/relationships/hyperlink" Target="https://akshar-exim-company-pvt-ltd.odoo.com/web" TargetMode="External"/><Relationship Id="rId5126" Type="http://schemas.openxmlformats.org/officeDocument/2006/relationships/hyperlink" Target="https://akshar-exim-company-pvt-ltd.odoo.com/web" TargetMode="External"/><Relationship Id="rId5152" Type="http://schemas.openxmlformats.org/officeDocument/2006/relationships/hyperlink" Target="https://akshar-exim-company-pvt-ltd.odoo.com/web" TargetMode="External"/><Relationship Id="rId5153" Type="http://schemas.openxmlformats.org/officeDocument/2006/relationships/hyperlink" Target="https://akshar-exim-company-pvt-ltd.odoo.com/web" TargetMode="External"/><Relationship Id="rId5150" Type="http://schemas.openxmlformats.org/officeDocument/2006/relationships/hyperlink" Target="https://akshar-exim-company-pvt-ltd.odoo.com/web" TargetMode="External"/><Relationship Id="rId5151" Type="http://schemas.openxmlformats.org/officeDocument/2006/relationships/hyperlink" Target="https://akshar-exim-company-pvt-ltd.odoo.com/web" TargetMode="External"/><Relationship Id="rId5156" Type="http://schemas.openxmlformats.org/officeDocument/2006/relationships/hyperlink" Target="https://akshar-exim-company-pvt-ltd.odoo.com/web" TargetMode="External"/><Relationship Id="rId5157" Type="http://schemas.openxmlformats.org/officeDocument/2006/relationships/hyperlink" Target="https://akshar-exim-company-pvt-ltd.odoo.com/web" TargetMode="External"/><Relationship Id="rId5154" Type="http://schemas.openxmlformats.org/officeDocument/2006/relationships/hyperlink" Target="https://akshar-exim-company-pvt-ltd.odoo.com/web" TargetMode="External"/><Relationship Id="rId5155" Type="http://schemas.openxmlformats.org/officeDocument/2006/relationships/hyperlink" Target="https://akshar-exim-company-pvt-ltd.odoo.com/web" TargetMode="External"/><Relationship Id="rId5158" Type="http://schemas.openxmlformats.org/officeDocument/2006/relationships/hyperlink" Target="https://akshar-exim-company-pvt-ltd.odoo.com/web" TargetMode="External"/><Relationship Id="rId5159" Type="http://schemas.openxmlformats.org/officeDocument/2006/relationships/hyperlink" Target="https://akshar-exim-company-pvt-ltd.odoo.com/web" TargetMode="External"/><Relationship Id="rId5141" Type="http://schemas.openxmlformats.org/officeDocument/2006/relationships/hyperlink" Target="https://akshar-exim-company-pvt-ltd.odoo.com/web" TargetMode="External"/><Relationship Id="rId5142" Type="http://schemas.openxmlformats.org/officeDocument/2006/relationships/hyperlink" Target="https://akshar-exim-company-pvt-ltd.odoo.com/web" TargetMode="External"/><Relationship Id="rId5140" Type="http://schemas.openxmlformats.org/officeDocument/2006/relationships/hyperlink" Target="https://akshar-exim-company-pvt-ltd.odoo.com/web" TargetMode="External"/><Relationship Id="rId5145" Type="http://schemas.openxmlformats.org/officeDocument/2006/relationships/hyperlink" Target="https://akshar-exim-company-pvt-ltd.odoo.com/web" TargetMode="External"/><Relationship Id="rId5146" Type="http://schemas.openxmlformats.org/officeDocument/2006/relationships/hyperlink" Target="https://akshar-exim-company-pvt-ltd.odoo.com/web" TargetMode="External"/><Relationship Id="rId5143" Type="http://schemas.openxmlformats.org/officeDocument/2006/relationships/hyperlink" Target="https://akshar-exim-company-pvt-ltd.odoo.com/web" TargetMode="External"/><Relationship Id="rId5144" Type="http://schemas.openxmlformats.org/officeDocument/2006/relationships/hyperlink" Target="https://akshar-exim-company-pvt-ltd.odoo.com/web" TargetMode="External"/><Relationship Id="rId5149" Type="http://schemas.openxmlformats.org/officeDocument/2006/relationships/hyperlink" Target="https://akshar-exim-company-pvt-ltd.odoo.com/web" TargetMode="External"/><Relationship Id="rId5147" Type="http://schemas.openxmlformats.org/officeDocument/2006/relationships/hyperlink" Target="https://akshar-exim-company-pvt-ltd.odoo.com/web" TargetMode="External"/><Relationship Id="rId5148" Type="http://schemas.openxmlformats.org/officeDocument/2006/relationships/hyperlink" Target="https://akshar-exim-company-pvt-ltd.odoo.com/web" TargetMode="External"/><Relationship Id="rId3391" Type="http://schemas.openxmlformats.org/officeDocument/2006/relationships/hyperlink" Target="mailto:ashis170786@gmail.com" TargetMode="External"/><Relationship Id="rId2060" Type="http://schemas.openxmlformats.org/officeDocument/2006/relationships/hyperlink" Target="https://akshar-exim-company-pvt-ltd.odoo.com/web" TargetMode="External"/><Relationship Id="rId3390" Type="http://schemas.openxmlformats.org/officeDocument/2006/relationships/hyperlink" Target="https://akshar-exim-company-pvt-ltd.odoo.com/web" TargetMode="External"/><Relationship Id="rId2061" Type="http://schemas.openxmlformats.org/officeDocument/2006/relationships/hyperlink" Target="https://akshar-exim-company-pvt-ltd.odoo.com/web" TargetMode="External"/><Relationship Id="rId3393" Type="http://schemas.openxmlformats.org/officeDocument/2006/relationships/hyperlink" Target="mailto:nooralammolla115@gmail.com" TargetMode="External"/><Relationship Id="rId2062" Type="http://schemas.openxmlformats.org/officeDocument/2006/relationships/hyperlink" Target="https://akshar-exim-company-pvt-ltd.odoo.com/web" TargetMode="External"/><Relationship Id="rId3392" Type="http://schemas.openxmlformats.org/officeDocument/2006/relationships/hyperlink" Target="https://akshar-exim-company-pvt-ltd.odoo.com/web" TargetMode="External"/><Relationship Id="rId2063" Type="http://schemas.openxmlformats.org/officeDocument/2006/relationships/hyperlink" Target="https://akshar-exim-company-pvt-ltd.odoo.com/web" TargetMode="External"/><Relationship Id="rId3395" Type="http://schemas.openxmlformats.org/officeDocument/2006/relationships/hyperlink" Target="mailto:avijit.avi.24@gmail.com" TargetMode="External"/><Relationship Id="rId2064" Type="http://schemas.openxmlformats.org/officeDocument/2006/relationships/hyperlink" Target="https://akshar-exim-company-pvt-ltd.odoo.com/web" TargetMode="External"/><Relationship Id="rId3394" Type="http://schemas.openxmlformats.org/officeDocument/2006/relationships/hyperlink" Target="https://akshar-exim-company-pvt-ltd.odoo.com/web" TargetMode="External"/><Relationship Id="rId2065" Type="http://schemas.openxmlformats.org/officeDocument/2006/relationships/hyperlink" Target="https://akshar-exim-company-pvt-ltd.odoo.com/web" TargetMode="External"/><Relationship Id="rId3397" Type="http://schemas.openxmlformats.org/officeDocument/2006/relationships/hyperlink" Target="https://akshar-exim-company-pvt-ltd.odoo.com/web" TargetMode="External"/><Relationship Id="rId2066" Type="http://schemas.openxmlformats.org/officeDocument/2006/relationships/hyperlink" Target="https://akshar-exim-company-pvt-ltd.odoo.com/web" TargetMode="External"/><Relationship Id="rId3396" Type="http://schemas.openxmlformats.org/officeDocument/2006/relationships/hyperlink" Target="https://akshar-exim-company-pvt-ltd.odoo.com/web" TargetMode="External"/><Relationship Id="rId2067" Type="http://schemas.openxmlformats.org/officeDocument/2006/relationships/hyperlink" Target="https://akshar-exim-company-pvt-ltd.odoo.com/web" TargetMode="External"/><Relationship Id="rId3399" Type="http://schemas.openxmlformats.org/officeDocument/2006/relationships/hyperlink" Target="https://akshar-exim-company-pvt-ltd.odoo.com/web" TargetMode="External"/><Relationship Id="rId2068" Type="http://schemas.openxmlformats.org/officeDocument/2006/relationships/hyperlink" Target="https://akshar-exim-company-pvt-ltd.odoo.com/web" TargetMode="External"/><Relationship Id="rId3398" Type="http://schemas.openxmlformats.org/officeDocument/2006/relationships/hyperlink" Target="mailto:acos.chem@gmail.com" TargetMode="External"/><Relationship Id="rId2069" Type="http://schemas.openxmlformats.org/officeDocument/2006/relationships/hyperlink" Target="https://akshar-exim-company-pvt-ltd.odoo.com/web" TargetMode="External"/><Relationship Id="rId3380" Type="http://schemas.openxmlformats.org/officeDocument/2006/relationships/hyperlink" Target="https://akshar-exim-company-pvt-ltd.odoo.com/web" TargetMode="External"/><Relationship Id="rId2050" Type="http://schemas.openxmlformats.org/officeDocument/2006/relationships/hyperlink" Target="https://akshar-exim-company-pvt-ltd.odoo.com/web" TargetMode="External"/><Relationship Id="rId3382" Type="http://schemas.openxmlformats.org/officeDocument/2006/relationships/hyperlink" Target="https://akshar-exim-company-pvt-ltd.odoo.com/web" TargetMode="External"/><Relationship Id="rId2051" Type="http://schemas.openxmlformats.org/officeDocument/2006/relationships/hyperlink" Target="mailto:kdmdsaif@gmail.com" TargetMode="External"/><Relationship Id="rId3381" Type="http://schemas.openxmlformats.org/officeDocument/2006/relationships/hyperlink" Target="mailto:deboshmita.saha@gmail.com" TargetMode="External"/><Relationship Id="rId2052" Type="http://schemas.openxmlformats.org/officeDocument/2006/relationships/hyperlink" Target="https://akshar-exim-company-pvt-ltd.odoo.com/web" TargetMode="External"/><Relationship Id="rId3384" Type="http://schemas.openxmlformats.org/officeDocument/2006/relationships/hyperlink" Target="https://akshar-exim-company-pvt-ltd.odoo.com/web" TargetMode="External"/><Relationship Id="rId2053" Type="http://schemas.openxmlformats.org/officeDocument/2006/relationships/hyperlink" Target="mailto:debopriyo@me.com" TargetMode="External"/><Relationship Id="rId3383" Type="http://schemas.openxmlformats.org/officeDocument/2006/relationships/hyperlink" Target="mailto:gauravg46@gmail.com" TargetMode="External"/><Relationship Id="rId2054" Type="http://schemas.openxmlformats.org/officeDocument/2006/relationships/hyperlink" Target="https://akshar-exim-company-pvt-ltd.odoo.com/web" TargetMode="External"/><Relationship Id="rId3386" Type="http://schemas.openxmlformats.org/officeDocument/2006/relationships/hyperlink" Target="https://akshar-exim-company-pvt-ltd.odoo.com/web" TargetMode="External"/><Relationship Id="rId2055" Type="http://schemas.openxmlformats.org/officeDocument/2006/relationships/hyperlink" Target="mailto:ranvijayyadav44@gmail.com" TargetMode="External"/><Relationship Id="rId3385" Type="http://schemas.openxmlformats.org/officeDocument/2006/relationships/hyperlink" Target="mailto:tradesindia1962@gmail.com" TargetMode="External"/><Relationship Id="rId2056" Type="http://schemas.openxmlformats.org/officeDocument/2006/relationships/hyperlink" Target="https://akshar-exim-company-pvt-ltd.odoo.com/web" TargetMode="External"/><Relationship Id="rId3388" Type="http://schemas.openxmlformats.org/officeDocument/2006/relationships/hyperlink" Target="https://akshar-exim-company-pvt-ltd.odoo.com/web" TargetMode="External"/><Relationship Id="rId2057" Type="http://schemas.openxmlformats.org/officeDocument/2006/relationships/hyperlink" Target="mailto:vinodp@regnantpharmas.com" TargetMode="External"/><Relationship Id="rId3387" Type="http://schemas.openxmlformats.org/officeDocument/2006/relationships/hyperlink" Target="mailto:purchase.starkridgepaper@gmail.com" TargetMode="External"/><Relationship Id="rId2058" Type="http://schemas.openxmlformats.org/officeDocument/2006/relationships/hyperlink" Target="https://akshar-exim-company-pvt-ltd.odoo.com/web" TargetMode="External"/><Relationship Id="rId2059" Type="http://schemas.openxmlformats.org/officeDocument/2006/relationships/hyperlink" Target="https://akshar-exim-company-pvt-ltd.odoo.com/web" TargetMode="External"/><Relationship Id="rId3389" Type="http://schemas.openxmlformats.org/officeDocument/2006/relationships/hyperlink" Target="mailto:howrahmineral@gmail.com" TargetMode="External"/><Relationship Id="rId5118" Type="http://schemas.openxmlformats.org/officeDocument/2006/relationships/hyperlink" Target="https://akshar-exim-company-pvt-ltd.odoo.com/web" TargetMode="External"/><Relationship Id="rId5119" Type="http://schemas.openxmlformats.org/officeDocument/2006/relationships/hyperlink" Target="https://akshar-exim-company-pvt-ltd.odoo.com/web" TargetMode="External"/><Relationship Id="rId2080" Type="http://schemas.openxmlformats.org/officeDocument/2006/relationships/hyperlink" Target="https://akshar-exim-company-pvt-ltd.odoo.com/web" TargetMode="External"/><Relationship Id="rId2081" Type="http://schemas.openxmlformats.org/officeDocument/2006/relationships/hyperlink" Target="https://akshar-exim-company-pvt-ltd.odoo.com/web" TargetMode="External"/><Relationship Id="rId2082" Type="http://schemas.openxmlformats.org/officeDocument/2006/relationships/hyperlink" Target="https://akshar-exim-company-pvt-ltd.odoo.com/web" TargetMode="External"/><Relationship Id="rId2083" Type="http://schemas.openxmlformats.org/officeDocument/2006/relationships/hyperlink" Target="https://akshar-exim-company-pvt-ltd.odoo.com/web" TargetMode="External"/><Relationship Id="rId2084" Type="http://schemas.openxmlformats.org/officeDocument/2006/relationships/hyperlink" Target="https://akshar-exim-company-pvt-ltd.odoo.com/web" TargetMode="External"/><Relationship Id="rId2085" Type="http://schemas.openxmlformats.org/officeDocument/2006/relationships/hyperlink" Target="https://akshar-exim-company-pvt-ltd.odoo.com/web" TargetMode="External"/><Relationship Id="rId5112" Type="http://schemas.openxmlformats.org/officeDocument/2006/relationships/hyperlink" Target="https://akshar-exim-company-pvt-ltd.odoo.com/web" TargetMode="External"/><Relationship Id="rId2086" Type="http://schemas.openxmlformats.org/officeDocument/2006/relationships/hyperlink" Target="https://akshar-exim-company-pvt-ltd.odoo.com/web" TargetMode="External"/><Relationship Id="rId5113" Type="http://schemas.openxmlformats.org/officeDocument/2006/relationships/hyperlink" Target="https://akshar-exim-company-pvt-ltd.odoo.com/web" TargetMode="External"/><Relationship Id="rId2087" Type="http://schemas.openxmlformats.org/officeDocument/2006/relationships/hyperlink" Target="https://akshar-exim-company-pvt-ltd.odoo.com/web" TargetMode="External"/><Relationship Id="rId5110" Type="http://schemas.openxmlformats.org/officeDocument/2006/relationships/hyperlink" Target="https://akshar-exim-company-pvt-ltd.odoo.com/web" TargetMode="External"/><Relationship Id="rId2088" Type="http://schemas.openxmlformats.org/officeDocument/2006/relationships/hyperlink" Target="https://akshar-exim-company-pvt-ltd.odoo.com/web" TargetMode="External"/><Relationship Id="rId5111" Type="http://schemas.openxmlformats.org/officeDocument/2006/relationships/hyperlink" Target="https://akshar-exim-company-pvt-ltd.odoo.com/web" TargetMode="External"/><Relationship Id="rId2089" Type="http://schemas.openxmlformats.org/officeDocument/2006/relationships/hyperlink" Target="https://akshar-exim-company-pvt-ltd.odoo.com/web" TargetMode="External"/><Relationship Id="rId5116" Type="http://schemas.openxmlformats.org/officeDocument/2006/relationships/hyperlink" Target="https://akshar-exim-company-pvt-ltd.odoo.com/web" TargetMode="External"/><Relationship Id="rId5117" Type="http://schemas.openxmlformats.org/officeDocument/2006/relationships/hyperlink" Target="https://akshar-exim-company-pvt-ltd.odoo.com/web" TargetMode="External"/><Relationship Id="rId5114" Type="http://schemas.openxmlformats.org/officeDocument/2006/relationships/hyperlink" Target="https://akshar-exim-company-pvt-ltd.odoo.com/web" TargetMode="External"/><Relationship Id="rId5115" Type="http://schemas.openxmlformats.org/officeDocument/2006/relationships/hyperlink" Target="https://akshar-exim-company-pvt-ltd.odoo.com/web" TargetMode="External"/><Relationship Id="rId5109" Type="http://schemas.openxmlformats.org/officeDocument/2006/relationships/hyperlink" Target="https://akshar-exim-company-pvt-ltd.odoo.com/web" TargetMode="External"/><Relationship Id="rId5107" Type="http://schemas.openxmlformats.org/officeDocument/2006/relationships/hyperlink" Target="https://akshar-exim-company-pvt-ltd.odoo.com/web" TargetMode="External"/><Relationship Id="rId5108" Type="http://schemas.openxmlformats.org/officeDocument/2006/relationships/hyperlink" Target="https://akshar-exim-company-pvt-ltd.odoo.com/web" TargetMode="External"/><Relationship Id="rId2070" Type="http://schemas.openxmlformats.org/officeDocument/2006/relationships/hyperlink" Target="https://akshar-exim-company-pvt-ltd.odoo.com/web" TargetMode="External"/><Relationship Id="rId2071" Type="http://schemas.openxmlformats.org/officeDocument/2006/relationships/hyperlink" Target="https://akshar-exim-company-pvt-ltd.odoo.com/web" TargetMode="External"/><Relationship Id="rId2072" Type="http://schemas.openxmlformats.org/officeDocument/2006/relationships/hyperlink" Target="https://akshar-exim-company-pvt-ltd.odoo.com/web" TargetMode="External"/><Relationship Id="rId2073" Type="http://schemas.openxmlformats.org/officeDocument/2006/relationships/hyperlink" Target="https://akshar-exim-company-pvt-ltd.odoo.com/web" TargetMode="External"/><Relationship Id="rId2074" Type="http://schemas.openxmlformats.org/officeDocument/2006/relationships/hyperlink" Target="https://akshar-exim-company-pvt-ltd.odoo.com/web" TargetMode="External"/><Relationship Id="rId5101" Type="http://schemas.openxmlformats.org/officeDocument/2006/relationships/hyperlink" Target="https://akshar-exim-company-pvt-ltd.odoo.com/web" TargetMode="External"/><Relationship Id="rId2075" Type="http://schemas.openxmlformats.org/officeDocument/2006/relationships/hyperlink" Target="https://akshar-exim-company-pvt-ltd.odoo.com/web" TargetMode="External"/><Relationship Id="rId5102" Type="http://schemas.openxmlformats.org/officeDocument/2006/relationships/hyperlink" Target="https://akshar-exim-company-pvt-ltd.odoo.com/web" TargetMode="External"/><Relationship Id="rId2076" Type="http://schemas.openxmlformats.org/officeDocument/2006/relationships/hyperlink" Target="https://akshar-exim-company-pvt-ltd.odoo.com/web" TargetMode="External"/><Relationship Id="rId2077" Type="http://schemas.openxmlformats.org/officeDocument/2006/relationships/hyperlink" Target="https://akshar-exim-company-pvt-ltd.odoo.com/web" TargetMode="External"/><Relationship Id="rId5100" Type="http://schemas.openxmlformats.org/officeDocument/2006/relationships/hyperlink" Target="https://akshar-exim-company-pvt-ltd.odoo.com/web" TargetMode="External"/><Relationship Id="rId2078" Type="http://schemas.openxmlformats.org/officeDocument/2006/relationships/hyperlink" Target="https://akshar-exim-company-pvt-ltd.odoo.com/web" TargetMode="External"/><Relationship Id="rId5105" Type="http://schemas.openxmlformats.org/officeDocument/2006/relationships/hyperlink" Target="https://akshar-exim-company-pvt-ltd.odoo.com/web" TargetMode="External"/><Relationship Id="rId2079" Type="http://schemas.openxmlformats.org/officeDocument/2006/relationships/hyperlink" Target="https://akshar-exim-company-pvt-ltd.odoo.com/web" TargetMode="External"/><Relationship Id="rId5106" Type="http://schemas.openxmlformats.org/officeDocument/2006/relationships/hyperlink" Target="https://akshar-exim-company-pvt-ltd.odoo.com/web" TargetMode="External"/><Relationship Id="rId5103" Type="http://schemas.openxmlformats.org/officeDocument/2006/relationships/hyperlink" Target="https://akshar-exim-company-pvt-ltd.odoo.com/web" TargetMode="External"/><Relationship Id="rId5104" Type="http://schemas.openxmlformats.org/officeDocument/2006/relationships/hyperlink" Target="https://akshar-exim-company-pvt-ltd.odoo.com/web" TargetMode="External"/><Relationship Id="rId2940" Type="http://schemas.openxmlformats.org/officeDocument/2006/relationships/hyperlink" Target="https://akshar-exim-company-pvt-ltd.odoo.com/web" TargetMode="External"/><Relationship Id="rId1610" Type="http://schemas.openxmlformats.org/officeDocument/2006/relationships/hyperlink" Target="mailto:aslamk5691@gmail.com" TargetMode="External"/><Relationship Id="rId2941" Type="http://schemas.openxmlformats.org/officeDocument/2006/relationships/hyperlink" Target="mailto:meetshadmaan@gmail.com" TargetMode="External"/><Relationship Id="rId1611" Type="http://schemas.openxmlformats.org/officeDocument/2006/relationships/hyperlink" Target="https://akshar-exim-company-pvt-ltd.odoo.com/web" TargetMode="External"/><Relationship Id="rId2942" Type="http://schemas.openxmlformats.org/officeDocument/2006/relationships/hyperlink" Target="https://akshar-exim-company-pvt-ltd.odoo.com/web" TargetMode="External"/><Relationship Id="rId1612" Type="http://schemas.openxmlformats.org/officeDocument/2006/relationships/hyperlink" Target="mailto:info@sdaproducts.com" TargetMode="External"/><Relationship Id="rId2943" Type="http://schemas.openxmlformats.org/officeDocument/2006/relationships/hyperlink" Target="https://akshar-exim-company-pvt-ltd.odoo.com/web" TargetMode="External"/><Relationship Id="rId1613" Type="http://schemas.openxmlformats.org/officeDocument/2006/relationships/hyperlink" Target="https://akshar-exim-company-pvt-ltd.odoo.com/web" TargetMode="External"/><Relationship Id="rId2944" Type="http://schemas.openxmlformats.org/officeDocument/2006/relationships/hyperlink" Target="https://akshar-exim-company-pvt-ltd.odoo.com/web" TargetMode="External"/><Relationship Id="rId1614" Type="http://schemas.openxmlformats.org/officeDocument/2006/relationships/hyperlink" Target="mailto:bipinaagam@gmail.com" TargetMode="External"/><Relationship Id="rId2945" Type="http://schemas.openxmlformats.org/officeDocument/2006/relationships/hyperlink" Target="https://akshar-exim-company-pvt-ltd.odoo.com/web" TargetMode="External"/><Relationship Id="rId1615" Type="http://schemas.openxmlformats.org/officeDocument/2006/relationships/hyperlink" Target="https://akshar-exim-company-pvt-ltd.odoo.com/web" TargetMode="External"/><Relationship Id="rId2946" Type="http://schemas.openxmlformats.org/officeDocument/2006/relationships/hyperlink" Target="https://akshar-exim-company-pvt-ltd.odoo.com/web" TargetMode="External"/><Relationship Id="rId1616" Type="http://schemas.openxmlformats.org/officeDocument/2006/relationships/hyperlink" Target="mailto:bmodi994@gmail.com" TargetMode="External"/><Relationship Id="rId2947" Type="http://schemas.openxmlformats.org/officeDocument/2006/relationships/hyperlink" Target="https://akshar-exim-company-pvt-ltd.odoo.com/web" TargetMode="External"/><Relationship Id="rId907" Type="http://schemas.openxmlformats.org/officeDocument/2006/relationships/hyperlink" Target="https://akshar-exim-company-pvt-ltd.odoo.com/web" TargetMode="External"/><Relationship Id="rId1617" Type="http://schemas.openxmlformats.org/officeDocument/2006/relationships/hyperlink" Target="https://akshar-exim-company-pvt-ltd.odoo.com/web" TargetMode="External"/><Relationship Id="rId2948" Type="http://schemas.openxmlformats.org/officeDocument/2006/relationships/hyperlink" Target="https://akshar-exim-company-pvt-ltd.odoo.com/web" TargetMode="External"/><Relationship Id="rId906" Type="http://schemas.openxmlformats.org/officeDocument/2006/relationships/hyperlink" Target="https://akshar-exim-company-pvt-ltd.odoo.com/web" TargetMode="External"/><Relationship Id="rId1618" Type="http://schemas.openxmlformats.org/officeDocument/2006/relationships/hyperlink" Target="https://akshar-exim-company-pvt-ltd.odoo.com/web" TargetMode="External"/><Relationship Id="rId2949" Type="http://schemas.openxmlformats.org/officeDocument/2006/relationships/hyperlink" Target="https://akshar-exim-company-pvt-ltd.odoo.com/web" TargetMode="External"/><Relationship Id="rId905" Type="http://schemas.openxmlformats.org/officeDocument/2006/relationships/hyperlink" Target="mailto:sudipkli777@gmail.com" TargetMode="External"/><Relationship Id="rId1619" Type="http://schemas.openxmlformats.org/officeDocument/2006/relationships/hyperlink" Target="https://akshar-exim-company-pvt-ltd.odoo.com/web" TargetMode="External"/><Relationship Id="rId904" Type="http://schemas.openxmlformats.org/officeDocument/2006/relationships/hyperlink" Target="https://akshar-exim-company-pvt-ltd.odoo.com/web" TargetMode="External"/><Relationship Id="rId909" Type="http://schemas.openxmlformats.org/officeDocument/2006/relationships/hyperlink" Target="https://akshar-exim-company-pvt-ltd.odoo.com/web" TargetMode="External"/><Relationship Id="rId908" Type="http://schemas.openxmlformats.org/officeDocument/2006/relationships/hyperlink" Target="mailto:bharatabrasives05@gmail.com" TargetMode="External"/><Relationship Id="rId903" Type="http://schemas.openxmlformats.org/officeDocument/2006/relationships/hyperlink" Target="mailto:gks226622@gmail.com" TargetMode="External"/><Relationship Id="rId902" Type="http://schemas.openxmlformats.org/officeDocument/2006/relationships/hyperlink" Target="https://akshar-exim-company-pvt-ltd.odoo.com/web" TargetMode="External"/><Relationship Id="rId901" Type="http://schemas.openxmlformats.org/officeDocument/2006/relationships/hyperlink" Target="mailto:rishibhutan@gmail.com" TargetMode="External"/><Relationship Id="rId900" Type="http://schemas.openxmlformats.org/officeDocument/2006/relationships/hyperlink" Target="https://akshar-exim-company-pvt-ltd.odoo.com/web" TargetMode="External"/><Relationship Id="rId2930" Type="http://schemas.openxmlformats.org/officeDocument/2006/relationships/hyperlink" Target="https://akshar-exim-company-pvt-ltd.odoo.com/web" TargetMode="External"/><Relationship Id="rId1600" Type="http://schemas.openxmlformats.org/officeDocument/2006/relationships/hyperlink" Target="https://akshar-exim-company-pvt-ltd.odoo.com/web" TargetMode="External"/><Relationship Id="rId2931" Type="http://schemas.openxmlformats.org/officeDocument/2006/relationships/hyperlink" Target="https://akshar-exim-company-pvt-ltd.odoo.com/web" TargetMode="External"/><Relationship Id="rId1601" Type="http://schemas.openxmlformats.org/officeDocument/2006/relationships/hyperlink" Target="mailto:universalproductssyb@gmail.com" TargetMode="External"/><Relationship Id="rId2932" Type="http://schemas.openxmlformats.org/officeDocument/2006/relationships/hyperlink" Target="https://akshar-exim-company-pvt-ltd.odoo.com/web" TargetMode="External"/><Relationship Id="rId1602" Type="http://schemas.openxmlformats.org/officeDocument/2006/relationships/hyperlink" Target="https://akshar-exim-company-pvt-ltd.odoo.com/web" TargetMode="External"/><Relationship Id="rId2933" Type="http://schemas.openxmlformats.org/officeDocument/2006/relationships/hyperlink" Target="https://akshar-exim-company-pvt-ltd.odoo.com/web" TargetMode="External"/><Relationship Id="rId1603" Type="http://schemas.openxmlformats.org/officeDocument/2006/relationships/hyperlink" Target="mailto:siddharth.vaidtoi@gmail.com" TargetMode="External"/><Relationship Id="rId2934" Type="http://schemas.openxmlformats.org/officeDocument/2006/relationships/hyperlink" Target="https://akshar-exim-company-pvt-ltd.odoo.com/web" TargetMode="External"/><Relationship Id="rId1604" Type="http://schemas.openxmlformats.org/officeDocument/2006/relationships/hyperlink" Target="https://akshar-exim-company-pvt-ltd.odoo.com/web" TargetMode="External"/><Relationship Id="rId2935" Type="http://schemas.openxmlformats.org/officeDocument/2006/relationships/hyperlink" Target="https://akshar-exim-company-pvt-ltd.odoo.com/web" TargetMode="External"/><Relationship Id="rId1605" Type="http://schemas.openxmlformats.org/officeDocument/2006/relationships/hyperlink" Target="mailto:orionindustries10@gmail.com" TargetMode="External"/><Relationship Id="rId2936" Type="http://schemas.openxmlformats.org/officeDocument/2006/relationships/hyperlink" Target="https://akshar-exim-company-pvt-ltd.odoo.com/web" TargetMode="External"/><Relationship Id="rId1606" Type="http://schemas.openxmlformats.org/officeDocument/2006/relationships/hyperlink" Target="https://akshar-exim-company-pvt-ltd.odoo.com/web" TargetMode="External"/><Relationship Id="rId2937" Type="http://schemas.openxmlformats.org/officeDocument/2006/relationships/hyperlink" Target="https://akshar-exim-company-pvt-ltd.odoo.com/web" TargetMode="External"/><Relationship Id="rId1607" Type="http://schemas.openxmlformats.org/officeDocument/2006/relationships/hyperlink" Target="mailto:shawsubham1996@gmail.com" TargetMode="External"/><Relationship Id="rId2938" Type="http://schemas.openxmlformats.org/officeDocument/2006/relationships/hyperlink" Target="https://akshar-exim-company-pvt-ltd.odoo.com/web" TargetMode="External"/><Relationship Id="rId1608" Type="http://schemas.openxmlformats.org/officeDocument/2006/relationships/hyperlink" Target="https://akshar-exim-company-pvt-ltd.odoo.com/web" TargetMode="External"/><Relationship Id="rId2939" Type="http://schemas.openxmlformats.org/officeDocument/2006/relationships/hyperlink" Target="https://akshar-exim-company-pvt-ltd.odoo.com/web" TargetMode="External"/><Relationship Id="rId1609" Type="http://schemas.openxmlformats.org/officeDocument/2006/relationships/hyperlink" Target="https://akshar-exim-company-pvt-ltd.odoo.com/web" TargetMode="External"/><Relationship Id="rId1631" Type="http://schemas.openxmlformats.org/officeDocument/2006/relationships/hyperlink" Target="https://akshar-exim-company-pvt-ltd.odoo.com/web" TargetMode="External"/><Relationship Id="rId2962" Type="http://schemas.openxmlformats.org/officeDocument/2006/relationships/hyperlink" Target="http://sample.at/" TargetMode="External"/><Relationship Id="rId1632" Type="http://schemas.openxmlformats.org/officeDocument/2006/relationships/hyperlink" Target="https://akshar-exim-company-pvt-ltd.odoo.com/web" TargetMode="External"/><Relationship Id="rId2963" Type="http://schemas.openxmlformats.org/officeDocument/2006/relationships/hyperlink" Target="https://akshar-exim-company-pvt-ltd.odoo.com/web" TargetMode="External"/><Relationship Id="rId1633" Type="http://schemas.openxmlformats.org/officeDocument/2006/relationships/hyperlink" Target="https://akshar-exim-company-pvt-ltd.odoo.com/web" TargetMode="External"/><Relationship Id="rId2964" Type="http://schemas.openxmlformats.org/officeDocument/2006/relationships/hyperlink" Target="https://akshar-exim-company-pvt-ltd.odoo.com/web" TargetMode="External"/><Relationship Id="rId1634" Type="http://schemas.openxmlformats.org/officeDocument/2006/relationships/hyperlink" Target="https://akshar-exim-company-pvt-ltd.odoo.com/web" TargetMode="External"/><Relationship Id="rId2965" Type="http://schemas.openxmlformats.org/officeDocument/2006/relationships/hyperlink" Target="https://akshar-exim-company-pvt-ltd.odoo.com/web" TargetMode="External"/><Relationship Id="rId1635" Type="http://schemas.openxmlformats.org/officeDocument/2006/relationships/hyperlink" Target="https://akshar-exim-company-pvt-ltd.odoo.com/web" TargetMode="External"/><Relationship Id="rId2966" Type="http://schemas.openxmlformats.org/officeDocument/2006/relationships/hyperlink" Target="https://akshar-exim-company-pvt-ltd.odoo.com/web" TargetMode="External"/><Relationship Id="rId1636" Type="http://schemas.openxmlformats.org/officeDocument/2006/relationships/hyperlink" Target="https://akshar-exim-company-pvt-ltd.odoo.com/web" TargetMode="External"/><Relationship Id="rId2967" Type="http://schemas.openxmlformats.org/officeDocument/2006/relationships/hyperlink" Target="https://akshar-exim-company-pvt-ltd.odoo.com/web" TargetMode="External"/><Relationship Id="rId1637" Type="http://schemas.openxmlformats.org/officeDocument/2006/relationships/hyperlink" Target="https://akshar-exim-company-pvt-ltd.odoo.com/web" TargetMode="External"/><Relationship Id="rId2968" Type="http://schemas.openxmlformats.org/officeDocument/2006/relationships/hyperlink" Target="https://akshar-exim-company-pvt-ltd.odoo.com/web" TargetMode="External"/><Relationship Id="rId1638" Type="http://schemas.openxmlformats.org/officeDocument/2006/relationships/hyperlink" Target="https://akshar-exim-company-pvt-ltd.odoo.com/web" TargetMode="External"/><Relationship Id="rId2969" Type="http://schemas.openxmlformats.org/officeDocument/2006/relationships/hyperlink" Target="https://akshar-exim-company-pvt-ltd.odoo.com/web" TargetMode="External"/><Relationship Id="rId929" Type="http://schemas.openxmlformats.org/officeDocument/2006/relationships/hyperlink" Target="mailto:mrunmay.1984@gmail.com" TargetMode="External"/><Relationship Id="rId1639" Type="http://schemas.openxmlformats.org/officeDocument/2006/relationships/hyperlink" Target="https://akshar-exim-company-pvt-ltd.odoo.com/web" TargetMode="External"/><Relationship Id="rId928" Type="http://schemas.openxmlformats.org/officeDocument/2006/relationships/hyperlink" Target="https://akshar-exim-company-pvt-ltd.odoo.com/web" TargetMode="External"/><Relationship Id="rId927" Type="http://schemas.openxmlformats.org/officeDocument/2006/relationships/hyperlink" Target="mailto:dipu25123@gmail.com" TargetMode="External"/><Relationship Id="rId926" Type="http://schemas.openxmlformats.org/officeDocument/2006/relationships/hyperlink" Target="https://akshar-exim-company-pvt-ltd.odoo.com/web" TargetMode="External"/><Relationship Id="rId921" Type="http://schemas.openxmlformats.org/officeDocument/2006/relationships/hyperlink" Target="mailto:namiakriti24@gmail.com" TargetMode="External"/><Relationship Id="rId920" Type="http://schemas.openxmlformats.org/officeDocument/2006/relationships/hyperlink" Target="https://akshar-exim-company-pvt-ltd.odoo.com/web" TargetMode="External"/><Relationship Id="rId925" Type="http://schemas.openxmlformats.org/officeDocument/2006/relationships/hyperlink" Target="mailto:purchasegroup.sujit@gmail.com" TargetMode="External"/><Relationship Id="rId924" Type="http://schemas.openxmlformats.org/officeDocument/2006/relationships/hyperlink" Target="https://akshar-exim-company-pvt-ltd.odoo.com/web" TargetMode="External"/><Relationship Id="rId923" Type="http://schemas.openxmlformats.org/officeDocument/2006/relationships/hyperlink" Target="mailto:rishitengineering9@gmail.com" TargetMode="External"/><Relationship Id="rId922" Type="http://schemas.openxmlformats.org/officeDocument/2006/relationships/hyperlink" Target="https://akshar-exim-company-pvt-ltd.odoo.com/web" TargetMode="External"/><Relationship Id="rId2960" Type="http://schemas.openxmlformats.org/officeDocument/2006/relationships/hyperlink" Target="https://akshar-exim-company-pvt-ltd.odoo.com/web" TargetMode="External"/><Relationship Id="rId1630" Type="http://schemas.openxmlformats.org/officeDocument/2006/relationships/hyperlink" Target="https://akshar-exim-company-pvt-ltd.odoo.com/web" TargetMode="External"/><Relationship Id="rId2961" Type="http://schemas.openxmlformats.org/officeDocument/2006/relationships/hyperlink" Target="https://akshar-exim-company-pvt-ltd.odoo.com/web" TargetMode="External"/><Relationship Id="rId1620" Type="http://schemas.openxmlformats.org/officeDocument/2006/relationships/hyperlink" Target="https://akshar-exim-company-pvt-ltd.odoo.com/web" TargetMode="External"/><Relationship Id="rId2951" Type="http://schemas.openxmlformats.org/officeDocument/2006/relationships/hyperlink" Target="https://akshar-exim-company-pvt-ltd.odoo.com/web" TargetMode="External"/><Relationship Id="rId1621" Type="http://schemas.openxmlformats.org/officeDocument/2006/relationships/hyperlink" Target="https://akshar-exim-company-pvt-ltd.odoo.com/web" TargetMode="External"/><Relationship Id="rId2952" Type="http://schemas.openxmlformats.org/officeDocument/2006/relationships/hyperlink" Target="https://akshar-exim-company-pvt-ltd.odoo.com/web" TargetMode="External"/><Relationship Id="rId1622" Type="http://schemas.openxmlformats.org/officeDocument/2006/relationships/hyperlink" Target="https://akshar-exim-company-pvt-ltd.odoo.com/web" TargetMode="External"/><Relationship Id="rId2953" Type="http://schemas.openxmlformats.org/officeDocument/2006/relationships/hyperlink" Target="https://akshar-exim-company-pvt-ltd.odoo.com/web" TargetMode="External"/><Relationship Id="rId1623" Type="http://schemas.openxmlformats.org/officeDocument/2006/relationships/hyperlink" Target="https://akshar-exim-company-pvt-ltd.odoo.com/web" TargetMode="External"/><Relationship Id="rId2954" Type="http://schemas.openxmlformats.org/officeDocument/2006/relationships/hyperlink" Target="https://akshar-exim-company-pvt-ltd.odoo.com/web" TargetMode="External"/><Relationship Id="rId1624" Type="http://schemas.openxmlformats.org/officeDocument/2006/relationships/hyperlink" Target="https://akshar-exim-company-pvt-ltd.odoo.com/web" TargetMode="External"/><Relationship Id="rId2955" Type="http://schemas.openxmlformats.org/officeDocument/2006/relationships/hyperlink" Target="mailto:samsundar.gorai@gmail.com" TargetMode="External"/><Relationship Id="rId1625" Type="http://schemas.openxmlformats.org/officeDocument/2006/relationships/hyperlink" Target="https://akshar-exim-company-pvt-ltd.odoo.com/web" TargetMode="External"/><Relationship Id="rId2956" Type="http://schemas.openxmlformats.org/officeDocument/2006/relationships/hyperlink" Target="https://akshar-exim-company-pvt-ltd.odoo.com/web" TargetMode="External"/><Relationship Id="rId1626" Type="http://schemas.openxmlformats.org/officeDocument/2006/relationships/hyperlink" Target="https://akshar-exim-company-pvt-ltd.odoo.com/web" TargetMode="External"/><Relationship Id="rId2957" Type="http://schemas.openxmlformats.org/officeDocument/2006/relationships/hyperlink" Target="https://akshar-exim-company-pvt-ltd.odoo.com/web" TargetMode="External"/><Relationship Id="rId1627" Type="http://schemas.openxmlformats.org/officeDocument/2006/relationships/hyperlink" Target="https://akshar-exim-company-pvt-ltd.odoo.com/web" TargetMode="External"/><Relationship Id="rId2958" Type="http://schemas.openxmlformats.org/officeDocument/2006/relationships/hyperlink" Target="https://akshar-exim-company-pvt-ltd.odoo.com/web" TargetMode="External"/><Relationship Id="rId918" Type="http://schemas.openxmlformats.org/officeDocument/2006/relationships/hyperlink" Target="https://akshar-exim-company-pvt-ltd.odoo.com/web" TargetMode="External"/><Relationship Id="rId1628" Type="http://schemas.openxmlformats.org/officeDocument/2006/relationships/hyperlink" Target="https://akshar-exim-company-pvt-ltd.odoo.com/web" TargetMode="External"/><Relationship Id="rId2959" Type="http://schemas.openxmlformats.org/officeDocument/2006/relationships/hyperlink" Target="https://akshar-exim-company-pvt-ltd.odoo.com/web" TargetMode="External"/><Relationship Id="rId917" Type="http://schemas.openxmlformats.org/officeDocument/2006/relationships/hyperlink" Target="mailto:rumitbhakst@gmail.com" TargetMode="External"/><Relationship Id="rId1629" Type="http://schemas.openxmlformats.org/officeDocument/2006/relationships/hyperlink" Target="https://akshar-exim-company-pvt-ltd.odoo.com/web" TargetMode="External"/><Relationship Id="rId916" Type="http://schemas.openxmlformats.org/officeDocument/2006/relationships/hyperlink" Target="https://akshar-exim-company-pvt-ltd.odoo.com/web" TargetMode="External"/><Relationship Id="rId915" Type="http://schemas.openxmlformats.org/officeDocument/2006/relationships/hyperlink" Target="https://akshar-exim-company-pvt-ltd.odoo.com/web" TargetMode="External"/><Relationship Id="rId919" Type="http://schemas.openxmlformats.org/officeDocument/2006/relationships/hyperlink" Target="mailto:ksurendrarao9@gmail.com" TargetMode="External"/><Relationship Id="rId910" Type="http://schemas.openxmlformats.org/officeDocument/2006/relationships/hyperlink" Target="mailto:manjurshah65@gmail.com" TargetMode="External"/><Relationship Id="rId914" Type="http://schemas.openxmlformats.org/officeDocument/2006/relationships/hyperlink" Target="mailto:chhotu111197@gmail.com" TargetMode="External"/><Relationship Id="rId913" Type="http://schemas.openxmlformats.org/officeDocument/2006/relationships/hyperlink" Target="https://akshar-exim-company-pvt-ltd.odoo.com/web" TargetMode="External"/><Relationship Id="rId912" Type="http://schemas.openxmlformats.org/officeDocument/2006/relationships/hyperlink" Target="mailto:mdtahirali09@gmail.com" TargetMode="External"/><Relationship Id="rId911" Type="http://schemas.openxmlformats.org/officeDocument/2006/relationships/hyperlink" Target="https://akshar-exim-company-pvt-ltd.odoo.com/web" TargetMode="External"/><Relationship Id="rId2950" Type="http://schemas.openxmlformats.org/officeDocument/2006/relationships/hyperlink" Target="https://akshar-exim-company-pvt-ltd.odoo.com/web" TargetMode="External"/><Relationship Id="rId2900" Type="http://schemas.openxmlformats.org/officeDocument/2006/relationships/hyperlink" Target="https://akshar-exim-company-pvt-ltd.odoo.com/web" TargetMode="External"/><Relationship Id="rId2901" Type="http://schemas.openxmlformats.org/officeDocument/2006/relationships/hyperlink" Target="https://akshar-exim-company-pvt-ltd.odoo.com/web" TargetMode="External"/><Relationship Id="rId2902" Type="http://schemas.openxmlformats.org/officeDocument/2006/relationships/hyperlink" Target="https://akshar-exim-company-pvt-ltd.odoo.com/web" TargetMode="External"/><Relationship Id="rId2903" Type="http://schemas.openxmlformats.org/officeDocument/2006/relationships/hyperlink" Target="https://akshar-exim-company-pvt-ltd.odoo.com/web" TargetMode="External"/><Relationship Id="rId2904" Type="http://schemas.openxmlformats.org/officeDocument/2006/relationships/hyperlink" Target="https://akshar-exim-company-pvt-ltd.odoo.com/web" TargetMode="External"/><Relationship Id="rId2905" Type="http://schemas.openxmlformats.org/officeDocument/2006/relationships/hyperlink" Target="https://akshar-exim-company-pvt-ltd.odoo.com/web" TargetMode="External"/><Relationship Id="rId2906" Type="http://schemas.openxmlformats.org/officeDocument/2006/relationships/hyperlink" Target="https://akshar-exim-company-pvt-ltd.odoo.com/web" TargetMode="External"/><Relationship Id="rId2907" Type="http://schemas.openxmlformats.org/officeDocument/2006/relationships/hyperlink" Target="https://akshar-exim-company-pvt-ltd.odoo.com/web" TargetMode="External"/><Relationship Id="rId2908" Type="http://schemas.openxmlformats.org/officeDocument/2006/relationships/hyperlink" Target="https://akshar-exim-company-pvt-ltd.odoo.com/web" TargetMode="External"/><Relationship Id="rId2909" Type="http://schemas.openxmlformats.org/officeDocument/2006/relationships/hyperlink" Target="https://akshar-exim-company-pvt-ltd.odoo.com/web" TargetMode="External"/><Relationship Id="rId5170" Type="http://schemas.openxmlformats.org/officeDocument/2006/relationships/hyperlink" Target="https://akshar-exim-company-pvt-ltd.odoo.com/web" TargetMode="External"/><Relationship Id="rId5171" Type="http://schemas.openxmlformats.org/officeDocument/2006/relationships/hyperlink" Target="https://akshar-exim-company-pvt-ltd.odoo.com/web" TargetMode="External"/><Relationship Id="rId5174" Type="http://schemas.openxmlformats.org/officeDocument/2006/relationships/hyperlink" Target="https://akshar-exim-company-pvt-ltd.odoo.com/web" TargetMode="External"/><Relationship Id="rId5175" Type="http://schemas.openxmlformats.org/officeDocument/2006/relationships/hyperlink" Target="https://akshar-exim-company-pvt-ltd.odoo.com/web" TargetMode="External"/><Relationship Id="rId5172" Type="http://schemas.openxmlformats.org/officeDocument/2006/relationships/hyperlink" Target="https://akshar-exim-company-pvt-ltd.odoo.com/web" TargetMode="External"/><Relationship Id="rId5173" Type="http://schemas.openxmlformats.org/officeDocument/2006/relationships/hyperlink" Target="https://akshar-exim-company-pvt-ltd.odoo.com/web" TargetMode="External"/><Relationship Id="rId5178" Type="http://schemas.openxmlformats.org/officeDocument/2006/relationships/hyperlink" Target="https://akshar-exim-company-pvt-ltd.odoo.com/web" TargetMode="External"/><Relationship Id="rId5179" Type="http://schemas.openxmlformats.org/officeDocument/2006/relationships/hyperlink" Target="https://akshar-exim-company-pvt-ltd.odoo.com/web" TargetMode="External"/><Relationship Id="rId5176" Type="http://schemas.openxmlformats.org/officeDocument/2006/relationships/hyperlink" Target="https://akshar-exim-company-pvt-ltd.odoo.com/web" TargetMode="External"/><Relationship Id="rId5177" Type="http://schemas.openxmlformats.org/officeDocument/2006/relationships/hyperlink" Target="https://akshar-exim-company-pvt-ltd.odoo.com/web" TargetMode="External"/><Relationship Id="rId5160" Type="http://schemas.openxmlformats.org/officeDocument/2006/relationships/hyperlink" Target="https://akshar-exim-company-pvt-ltd.odoo.com/web" TargetMode="External"/><Relationship Id="rId5163" Type="http://schemas.openxmlformats.org/officeDocument/2006/relationships/hyperlink" Target="https://akshar-exim-company-pvt-ltd.odoo.com/web" TargetMode="External"/><Relationship Id="rId5164" Type="http://schemas.openxmlformats.org/officeDocument/2006/relationships/hyperlink" Target="https://akshar-exim-company-pvt-ltd.odoo.com/web" TargetMode="External"/><Relationship Id="rId5161" Type="http://schemas.openxmlformats.org/officeDocument/2006/relationships/hyperlink" Target="https://akshar-exim-company-pvt-ltd.odoo.com/web" TargetMode="External"/><Relationship Id="rId5162" Type="http://schemas.openxmlformats.org/officeDocument/2006/relationships/hyperlink" Target="https://akshar-exim-company-pvt-ltd.odoo.com/web" TargetMode="External"/><Relationship Id="rId5167" Type="http://schemas.openxmlformats.org/officeDocument/2006/relationships/hyperlink" Target="https://akshar-exim-company-pvt-ltd.odoo.com/web" TargetMode="External"/><Relationship Id="rId5168" Type="http://schemas.openxmlformats.org/officeDocument/2006/relationships/hyperlink" Target="https://akshar-exim-company-pvt-ltd.odoo.com/web" TargetMode="External"/><Relationship Id="rId5165" Type="http://schemas.openxmlformats.org/officeDocument/2006/relationships/hyperlink" Target="https://akshar-exim-company-pvt-ltd.odoo.com/web" TargetMode="External"/><Relationship Id="rId5166" Type="http://schemas.openxmlformats.org/officeDocument/2006/relationships/hyperlink" Target="https://akshar-exim-company-pvt-ltd.odoo.com/web" TargetMode="External"/><Relationship Id="rId5169" Type="http://schemas.openxmlformats.org/officeDocument/2006/relationships/hyperlink" Target="https://akshar-exim-company-pvt-ltd.odoo.com/web" TargetMode="External"/><Relationship Id="rId2920" Type="http://schemas.openxmlformats.org/officeDocument/2006/relationships/hyperlink" Target="https://akshar-exim-company-pvt-ltd.odoo.com/web" TargetMode="External"/><Relationship Id="rId2921" Type="http://schemas.openxmlformats.org/officeDocument/2006/relationships/hyperlink" Target="https://akshar-exim-company-pvt-ltd.odoo.com/web" TargetMode="External"/><Relationship Id="rId2922" Type="http://schemas.openxmlformats.org/officeDocument/2006/relationships/hyperlink" Target="https://akshar-exim-company-pvt-ltd.odoo.com/web" TargetMode="External"/><Relationship Id="rId2923" Type="http://schemas.openxmlformats.org/officeDocument/2006/relationships/hyperlink" Target="https://akshar-exim-company-pvt-ltd.odoo.com/web" TargetMode="External"/><Relationship Id="rId2924" Type="http://schemas.openxmlformats.org/officeDocument/2006/relationships/hyperlink" Target="https://akshar-exim-company-pvt-ltd.odoo.com/web" TargetMode="External"/><Relationship Id="rId2925" Type="http://schemas.openxmlformats.org/officeDocument/2006/relationships/hyperlink" Target="https://akshar-exim-company-pvt-ltd.odoo.com/web" TargetMode="External"/><Relationship Id="rId2926" Type="http://schemas.openxmlformats.org/officeDocument/2006/relationships/hyperlink" Target="https://akshar-exim-company-pvt-ltd.odoo.com/web" TargetMode="External"/><Relationship Id="rId2927" Type="http://schemas.openxmlformats.org/officeDocument/2006/relationships/hyperlink" Target="https://akshar-exim-company-pvt-ltd.odoo.com/web" TargetMode="External"/><Relationship Id="rId2928" Type="http://schemas.openxmlformats.org/officeDocument/2006/relationships/hyperlink" Target="https://akshar-exim-company-pvt-ltd.odoo.com/web" TargetMode="External"/><Relationship Id="rId2929" Type="http://schemas.openxmlformats.org/officeDocument/2006/relationships/hyperlink" Target="https://akshar-exim-company-pvt-ltd.odoo.com/web" TargetMode="External"/><Relationship Id="rId5192" Type="http://schemas.openxmlformats.org/officeDocument/2006/relationships/hyperlink" Target="https://akshar-exim-company-pvt-ltd.odoo.com/web" TargetMode="External"/><Relationship Id="rId5193" Type="http://schemas.openxmlformats.org/officeDocument/2006/relationships/hyperlink" Target="https://akshar-exim-company-pvt-ltd.odoo.com/web" TargetMode="External"/><Relationship Id="rId5190" Type="http://schemas.openxmlformats.org/officeDocument/2006/relationships/hyperlink" Target="https://akshar-exim-company-pvt-ltd.odoo.com/web" TargetMode="External"/><Relationship Id="rId5191" Type="http://schemas.openxmlformats.org/officeDocument/2006/relationships/hyperlink" Target="https://akshar-exim-company-pvt-ltd.odoo.com/web" TargetMode="External"/><Relationship Id="rId5196" Type="http://schemas.openxmlformats.org/officeDocument/2006/relationships/hyperlink" Target="https://akshar-exim-company-pvt-ltd.odoo.com/web" TargetMode="External"/><Relationship Id="rId5197" Type="http://schemas.openxmlformats.org/officeDocument/2006/relationships/hyperlink" Target="https://akshar-exim-company-pvt-ltd.odoo.com/web" TargetMode="External"/><Relationship Id="rId5194" Type="http://schemas.openxmlformats.org/officeDocument/2006/relationships/hyperlink" Target="https://akshar-exim-company-pvt-ltd.odoo.com/web" TargetMode="External"/><Relationship Id="rId5195" Type="http://schemas.openxmlformats.org/officeDocument/2006/relationships/hyperlink" Target="https://akshar-exim-company-pvt-ltd.odoo.com/web" TargetMode="External"/><Relationship Id="rId5198" Type="http://schemas.openxmlformats.org/officeDocument/2006/relationships/hyperlink" Target="https://akshar-exim-company-pvt-ltd.odoo.com/web" TargetMode="External"/><Relationship Id="rId5199" Type="http://schemas.openxmlformats.org/officeDocument/2006/relationships/hyperlink" Target="https://akshar-exim-company-pvt-ltd.odoo.com/web" TargetMode="External"/><Relationship Id="rId2910" Type="http://schemas.openxmlformats.org/officeDocument/2006/relationships/hyperlink" Target="https://akshar-exim-company-pvt-ltd.odoo.com/web" TargetMode="External"/><Relationship Id="rId2911" Type="http://schemas.openxmlformats.org/officeDocument/2006/relationships/hyperlink" Target="https://akshar-exim-company-pvt-ltd.odoo.com/web" TargetMode="External"/><Relationship Id="rId2912" Type="http://schemas.openxmlformats.org/officeDocument/2006/relationships/hyperlink" Target="https://akshar-exim-company-pvt-ltd.odoo.com/web" TargetMode="External"/><Relationship Id="rId2913" Type="http://schemas.openxmlformats.org/officeDocument/2006/relationships/hyperlink" Target="https://akshar-exim-company-pvt-ltd.odoo.com/web" TargetMode="External"/><Relationship Id="rId2914" Type="http://schemas.openxmlformats.org/officeDocument/2006/relationships/hyperlink" Target="https://akshar-exim-company-pvt-ltd.odoo.com/web" TargetMode="External"/><Relationship Id="rId2915" Type="http://schemas.openxmlformats.org/officeDocument/2006/relationships/hyperlink" Target="https://akshar-exim-company-pvt-ltd.odoo.com/web" TargetMode="External"/><Relationship Id="rId2916" Type="http://schemas.openxmlformats.org/officeDocument/2006/relationships/hyperlink" Target="https://akshar-exim-company-pvt-ltd.odoo.com/web" TargetMode="External"/><Relationship Id="rId2917" Type="http://schemas.openxmlformats.org/officeDocument/2006/relationships/hyperlink" Target="https://akshar-exim-company-pvt-ltd.odoo.com/web" TargetMode="External"/><Relationship Id="rId2918" Type="http://schemas.openxmlformats.org/officeDocument/2006/relationships/hyperlink" Target="https://akshar-exim-company-pvt-ltd.odoo.com/web" TargetMode="External"/><Relationship Id="rId2919" Type="http://schemas.openxmlformats.org/officeDocument/2006/relationships/hyperlink" Target="https://akshar-exim-company-pvt-ltd.odoo.com/web" TargetMode="External"/><Relationship Id="rId5181" Type="http://schemas.openxmlformats.org/officeDocument/2006/relationships/hyperlink" Target="https://akshar-exim-company-pvt-ltd.odoo.com/web" TargetMode="External"/><Relationship Id="rId5182" Type="http://schemas.openxmlformats.org/officeDocument/2006/relationships/hyperlink" Target="https://akshar-exim-company-pvt-ltd.odoo.com/web" TargetMode="External"/><Relationship Id="rId5180" Type="http://schemas.openxmlformats.org/officeDocument/2006/relationships/hyperlink" Target="https://akshar-exim-company-pvt-ltd.odoo.com/web" TargetMode="External"/><Relationship Id="rId5185" Type="http://schemas.openxmlformats.org/officeDocument/2006/relationships/hyperlink" Target="https://akshar-exim-company-pvt-ltd.odoo.com/web" TargetMode="External"/><Relationship Id="rId5186" Type="http://schemas.openxmlformats.org/officeDocument/2006/relationships/hyperlink" Target="https://akshar-exim-company-pvt-ltd.odoo.com/web" TargetMode="External"/><Relationship Id="rId5183" Type="http://schemas.openxmlformats.org/officeDocument/2006/relationships/hyperlink" Target="https://akshar-exim-company-pvt-ltd.odoo.com/web" TargetMode="External"/><Relationship Id="rId5184" Type="http://schemas.openxmlformats.org/officeDocument/2006/relationships/hyperlink" Target="https://akshar-exim-company-pvt-ltd.odoo.com/web" TargetMode="External"/><Relationship Id="rId5189" Type="http://schemas.openxmlformats.org/officeDocument/2006/relationships/hyperlink" Target="https://akshar-exim-company-pvt-ltd.odoo.com/web" TargetMode="External"/><Relationship Id="rId5187" Type="http://schemas.openxmlformats.org/officeDocument/2006/relationships/hyperlink" Target="https://akshar-exim-company-pvt-ltd.odoo.com/web" TargetMode="External"/><Relationship Id="rId5188" Type="http://schemas.openxmlformats.org/officeDocument/2006/relationships/hyperlink" Target="https://akshar-exim-company-pvt-ltd.odoo.com/web" TargetMode="External"/><Relationship Id="rId1697" Type="http://schemas.openxmlformats.org/officeDocument/2006/relationships/hyperlink" Target="https://akshar-exim-company-pvt-ltd.odoo.com/web" TargetMode="External"/><Relationship Id="rId4723" Type="http://schemas.openxmlformats.org/officeDocument/2006/relationships/hyperlink" Target="https://akshar-exim-company-pvt-ltd.odoo.com/web" TargetMode="External"/><Relationship Id="rId1698" Type="http://schemas.openxmlformats.org/officeDocument/2006/relationships/hyperlink" Target="https://akshar-exim-company-pvt-ltd.odoo.com/web" TargetMode="External"/><Relationship Id="rId4722" Type="http://schemas.openxmlformats.org/officeDocument/2006/relationships/hyperlink" Target="https://akshar-exim-company-pvt-ltd.odoo.com/web" TargetMode="External"/><Relationship Id="rId1699" Type="http://schemas.openxmlformats.org/officeDocument/2006/relationships/hyperlink" Target="https://akshar-exim-company-pvt-ltd.odoo.com/web" TargetMode="External"/><Relationship Id="rId4725" Type="http://schemas.openxmlformats.org/officeDocument/2006/relationships/hyperlink" Target="https://akshar-exim-company-pvt-ltd.odoo.com/web" TargetMode="External"/><Relationship Id="rId4724" Type="http://schemas.openxmlformats.org/officeDocument/2006/relationships/hyperlink" Target="https://akshar-exim-company-pvt-ltd.odoo.com/web" TargetMode="External"/><Relationship Id="rId4727" Type="http://schemas.openxmlformats.org/officeDocument/2006/relationships/hyperlink" Target="https://akshar-exim-company-pvt-ltd.odoo.com/web" TargetMode="External"/><Relationship Id="rId4726" Type="http://schemas.openxmlformats.org/officeDocument/2006/relationships/hyperlink" Target="https://akshar-exim-company-pvt-ltd.odoo.com/web" TargetMode="External"/><Relationship Id="rId4729" Type="http://schemas.openxmlformats.org/officeDocument/2006/relationships/hyperlink" Target="https://akshar-exim-company-pvt-ltd.odoo.com/web" TargetMode="External"/><Relationship Id="rId4728" Type="http://schemas.openxmlformats.org/officeDocument/2006/relationships/hyperlink" Target="https://akshar-exim-company-pvt-ltd.odoo.com/web" TargetMode="External"/><Relationship Id="rId866" Type="http://schemas.openxmlformats.org/officeDocument/2006/relationships/hyperlink" Target="https://akshar-exim-company-pvt-ltd.odoo.com/web" TargetMode="External"/><Relationship Id="rId865" Type="http://schemas.openxmlformats.org/officeDocument/2006/relationships/hyperlink" Target="mailto:rajeshshaw123@gmail.com" TargetMode="External"/><Relationship Id="rId864" Type="http://schemas.openxmlformats.org/officeDocument/2006/relationships/hyperlink" Target="https://akshar-exim-company-pvt-ltd.odoo.com/web" TargetMode="External"/><Relationship Id="rId863" Type="http://schemas.openxmlformats.org/officeDocument/2006/relationships/hyperlink" Target="mailto:abdulshubhanmbt@gmail.com" TargetMode="External"/><Relationship Id="rId869" Type="http://schemas.openxmlformats.org/officeDocument/2006/relationships/hyperlink" Target="https://akshar-exim-company-pvt-ltd.odoo.com/web" TargetMode="External"/><Relationship Id="rId868" Type="http://schemas.openxmlformats.org/officeDocument/2006/relationships/hyperlink" Target="https://akshar-exim-company-pvt-ltd.odoo.com/web" TargetMode="External"/><Relationship Id="rId867" Type="http://schemas.openxmlformats.org/officeDocument/2006/relationships/hyperlink" Target="mailto:rockingamanrai9652@gmail.com" TargetMode="External"/><Relationship Id="rId1690" Type="http://schemas.openxmlformats.org/officeDocument/2006/relationships/hyperlink" Target="https://akshar-exim-company-pvt-ltd.odoo.com/web" TargetMode="External"/><Relationship Id="rId1691" Type="http://schemas.openxmlformats.org/officeDocument/2006/relationships/hyperlink" Target="https://akshar-exim-company-pvt-ltd.odoo.com/web" TargetMode="External"/><Relationship Id="rId1692" Type="http://schemas.openxmlformats.org/officeDocument/2006/relationships/hyperlink" Target="https://akshar-exim-company-pvt-ltd.odoo.com/web" TargetMode="External"/><Relationship Id="rId862" Type="http://schemas.openxmlformats.org/officeDocument/2006/relationships/hyperlink" Target="https://akshar-exim-company-pvt-ltd.odoo.com/web" TargetMode="External"/><Relationship Id="rId1693" Type="http://schemas.openxmlformats.org/officeDocument/2006/relationships/hyperlink" Target="https://akshar-exim-company-pvt-ltd.odoo.com/web" TargetMode="External"/><Relationship Id="rId861" Type="http://schemas.openxmlformats.org/officeDocument/2006/relationships/hyperlink" Target="mailto:pd.dekaassociates@gmail.com" TargetMode="External"/><Relationship Id="rId1694" Type="http://schemas.openxmlformats.org/officeDocument/2006/relationships/hyperlink" Target="https://akshar-exim-company-pvt-ltd.odoo.com/web" TargetMode="External"/><Relationship Id="rId860" Type="http://schemas.openxmlformats.org/officeDocument/2006/relationships/hyperlink" Target="https://akshar-exim-company-pvt-ltd.odoo.com/web" TargetMode="External"/><Relationship Id="rId1695" Type="http://schemas.openxmlformats.org/officeDocument/2006/relationships/hyperlink" Target="https://akshar-exim-company-pvt-ltd.odoo.com/web" TargetMode="External"/><Relationship Id="rId4721" Type="http://schemas.openxmlformats.org/officeDocument/2006/relationships/hyperlink" Target="https://akshar-exim-company-pvt-ltd.odoo.com/web" TargetMode="External"/><Relationship Id="rId1696" Type="http://schemas.openxmlformats.org/officeDocument/2006/relationships/hyperlink" Target="https://akshar-exim-company-pvt-ltd.odoo.com/web" TargetMode="External"/><Relationship Id="rId4720" Type="http://schemas.openxmlformats.org/officeDocument/2006/relationships/hyperlink" Target="https://akshar-exim-company-pvt-ltd.odoo.com/web" TargetMode="External"/><Relationship Id="rId1686" Type="http://schemas.openxmlformats.org/officeDocument/2006/relationships/hyperlink" Target="https://akshar-exim-company-pvt-ltd.odoo.com/web" TargetMode="External"/><Relationship Id="rId4712" Type="http://schemas.openxmlformats.org/officeDocument/2006/relationships/hyperlink" Target="https://akshar-exim-company-pvt-ltd.odoo.com/web" TargetMode="External"/><Relationship Id="rId1687" Type="http://schemas.openxmlformats.org/officeDocument/2006/relationships/hyperlink" Target="https://akshar-exim-company-pvt-ltd.odoo.com/web" TargetMode="External"/><Relationship Id="rId4711" Type="http://schemas.openxmlformats.org/officeDocument/2006/relationships/hyperlink" Target="https://akshar-exim-company-pvt-ltd.odoo.com/web" TargetMode="External"/><Relationship Id="rId1688" Type="http://schemas.openxmlformats.org/officeDocument/2006/relationships/hyperlink" Target="https://akshar-exim-company-pvt-ltd.odoo.com/web" TargetMode="External"/><Relationship Id="rId4714" Type="http://schemas.openxmlformats.org/officeDocument/2006/relationships/hyperlink" Target="https://akshar-exim-company-pvt-ltd.odoo.com/web" TargetMode="External"/><Relationship Id="rId1689" Type="http://schemas.openxmlformats.org/officeDocument/2006/relationships/hyperlink" Target="https://akshar-exim-company-pvt-ltd.odoo.com/web" TargetMode="External"/><Relationship Id="rId4713" Type="http://schemas.openxmlformats.org/officeDocument/2006/relationships/hyperlink" Target="https://akshar-exim-company-pvt-ltd.odoo.com/web" TargetMode="External"/><Relationship Id="rId4716" Type="http://schemas.openxmlformats.org/officeDocument/2006/relationships/hyperlink" Target="https://akshar-exim-company-pvt-ltd.odoo.com/web" TargetMode="External"/><Relationship Id="rId4715" Type="http://schemas.openxmlformats.org/officeDocument/2006/relationships/hyperlink" Target="https://akshar-exim-company-pvt-ltd.odoo.com/web" TargetMode="External"/><Relationship Id="rId4718" Type="http://schemas.openxmlformats.org/officeDocument/2006/relationships/hyperlink" Target="https://akshar-exim-company-pvt-ltd.odoo.com/web" TargetMode="External"/><Relationship Id="rId4717" Type="http://schemas.openxmlformats.org/officeDocument/2006/relationships/hyperlink" Target="https://akshar-exim-company-pvt-ltd.odoo.com/web" TargetMode="External"/><Relationship Id="rId4719" Type="http://schemas.openxmlformats.org/officeDocument/2006/relationships/hyperlink" Target="https://akshar-exim-company-pvt-ltd.odoo.com/web" TargetMode="External"/><Relationship Id="rId855" Type="http://schemas.openxmlformats.org/officeDocument/2006/relationships/hyperlink" Target="https://akshar-exim-company-pvt-ltd.odoo.com/web" TargetMode="External"/><Relationship Id="rId854" Type="http://schemas.openxmlformats.org/officeDocument/2006/relationships/hyperlink" Target="https://akshar-exim-company-pvt-ltd.odoo.com/web" TargetMode="External"/><Relationship Id="rId853" Type="http://schemas.openxmlformats.org/officeDocument/2006/relationships/hyperlink" Target="mailto:jayhobishnu@gmail.com" TargetMode="External"/><Relationship Id="rId852" Type="http://schemas.openxmlformats.org/officeDocument/2006/relationships/hyperlink" Target="https://akshar-exim-company-pvt-ltd.odoo.com/web" TargetMode="External"/><Relationship Id="rId859" Type="http://schemas.openxmlformats.org/officeDocument/2006/relationships/hyperlink" Target="https://akshar-exim-company-pvt-ltd.odoo.com/web" TargetMode="External"/><Relationship Id="rId858" Type="http://schemas.openxmlformats.org/officeDocument/2006/relationships/hyperlink" Target="https://akshar-exim-company-pvt-ltd.odoo.com/web" TargetMode="External"/><Relationship Id="rId857" Type="http://schemas.openxmlformats.org/officeDocument/2006/relationships/hyperlink" Target="https://akshar-exim-company-pvt-ltd.odoo.com/web" TargetMode="External"/><Relationship Id="rId856" Type="http://schemas.openxmlformats.org/officeDocument/2006/relationships/hyperlink" Target="mailto:atulbrajeshchandra@gmail.com" TargetMode="External"/><Relationship Id="rId1680" Type="http://schemas.openxmlformats.org/officeDocument/2006/relationships/hyperlink" Target="https://akshar-exim-company-pvt-ltd.odoo.com/web" TargetMode="External"/><Relationship Id="rId1681" Type="http://schemas.openxmlformats.org/officeDocument/2006/relationships/hyperlink" Target="https://akshar-exim-company-pvt-ltd.odoo.com/web" TargetMode="External"/><Relationship Id="rId851" Type="http://schemas.openxmlformats.org/officeDocument/2006/relationships/hyperlink" Target="mailto:jignesh.jaka@gmail.com" TargetMode="External"/><Relationship Id="rId1682" Type="http://schemas.openxmlformats.org/officeDocument/2006/relationships/hyperlink" Target="https://akshar-exim-company-pvt-ltd.odoo.com/web" TargetMode="External"/><Relationship Id="rId850" Type="http://schemas.openxmlformats.org/officeDocument/2006/relationships/hyperlink" Target="https://akshar-exim-company-pvt-ltd.odoo.com/web" TargetMode="External"/><Relationship Id="rId1683" Type="http://schemas.openxmlformats.org/officeDocument/2006/relationships/hyperlink" Target="https://akshar-exim-company-pvt-ltd.odoo.com/web" TargetMode="External"/><Relationship Id="rId1684" Type="http://schemas.openxmlformats.org/officeDocument/2006/relationships/hyperlink" Target="https://akshar-exim-company-pvt-ltd.odoo.com/web" TargetMode="External"/><Relationship Id="rId4710" Type="http://schemas.openxmlformats.org/officeDocument/2006/relationships/hyperlink" Target="https://akshar-exim-company-pvt-ltd.odoo.com/web" TargetMode="External"/><Relationship Id="rId1685" Type="http://schemas.openxmlformats.org/officeDocument/2006/relationships/hyperlink" Target="https://akshar-exim-company-pvt-ltd.odoo.com/web" TargetMode="External"/><Relationship Id="rId3414" Type="http://schemas.openxmlformats.org/officeDocument/2006/relationships/hyperlink" Target="https://akshar-exim-company-pvt-ltd.odoo.com/web" TargetMode="External"/><Relationship Id="rId4745" Type="http://schemas.openxmlformats.org/officeDocument/2006/relationships/hyperlink" Target="https://akshar-exim-company-pvt-ltd.odoo.com/web" TargetMode="External"/><Relationship Id="rId3413" Type="http://schemas.openxmlformats.org/officeDocument/2006/relationships/hyperlink" Target="mailto:arifahmad2930@gmail.com" TargetMode="External"/><Relationship Id="rId4744" Type="http://schemas.openxmlformats.org/officeDocument/2006/relationships/hyperlink" Target="https://akshar-exim-company-pvt-ltd.odoo.com/web" TargetMode="External"/><Relationship Id="rId3416" Type="http://schemas.openxmlformats.org/officeDocument/2006/relationships/hyperlink" Target="https://akshar-exim-company-pvt-ltd.odoo.com/web" TargetMode="External"/><Relationship Id="rId4747" Type="http://schemas.openxmlformats.org/officeDocument/2006/relationships/hyperlink" Target="https://akshar-exim-company-pvt-ltd.odoo.com/web" TargetMode="External"/><Relationship Id="rId3415" Type="http://schemas.openxmlformats.org/officeDocument/2006/relationships/hyperlink" Target="mailto:durgapowerchemical1788@gmail.com" TargetMode="External"/><Relationship Id="rId4746" Type="http://schemas.openxmlformats.org/officeDocument/2006/relationships/hyperlink" Target="https://akshar-exim-company-pvt-ltd.odoo.com/web" TargetMode="External"/><Relationship Id="rId3418" Type="http://schemas.openxmlformats.org/officeDocument/2006/relationships/hyperlink" Target="mailto:amithalder.1570@rediffmail.com" TargetMode="External"/><Relationship Id="rId4749" Type="http://schemas.openxmlformats.org/officeDocument/2006/relationships/hyperlink" Target="https://akshar-exim-company-pvt-ltd.odoo.com/web" TargetMode="External"/><Relationship Id="rId3417" Type="http://schemas.openxmlformats.org/officeDocument/2006/relationships/hyperlink" Target="https://akshar-exim-company-pvt-ltd.odoo.com/web" TargetMode="External"/><Relationship Id="rId4748" Type="http://schemas.openxmlformats.org/officeDocument/2006/relationships/hyperlink" Target="https://akshar-exim-company-pvt-ltd.odoo.com/web" TargetMode="External"/><Relationship Id="rId3419" Type="http://schemas.openxmlformats.org/officeDocument/2006/relationships/hyperlink" Target="https://akshar-exim-company-pvt-ltd.odoo.com/web" TargetMode="External"/><Relationship Id="rId888" Type="http://schemas.openxmlformats.org/officeDocument/2006/relationships/hyperlink" Target="mailto:khaitanbijay@gmail.com" TargetMode="External"/><Relationship Id="rId887" Type="http://schemas.openxmlformats.org/officeDocument/2006/relationships/hyperlink" Target="https://akshar-exim-company-pvt-ltd.odoo.com/web" TargetMode="External"/><Relationship Id="rId886" Type="http://schemas.openxmlformats.org/officeDocument/2006/relationships/hyperlink" Target="https://akshar-exim-company-pvt-ltd.odoo.com/web" TargetMode="External"/><Relationship Id="rId885" Type="http://schemas.openxmlformats.org/officeDocument/2006/relationships/hyperlink" Target="mailto:chaizupsocial@gmail.com" TargetMode="External"/><Relationship Id="rId889" Type="http://schemas.openxmlformats.org/officeDocument/2006/relationships/hyperlink" Target="https://akshar-exim-company-pvt-ltd.odoo.com/web" TargetMode="External"/><Relationship Id="rId880" Type="http://schemas.openxmlformats.org/officeDocument/2006/relationships/hyperlink" Target="mailto:kalindisteels@yahoo.in" TargetMode="External"/><Relationship Id="rId884" Type="http://schemas.openxmlformats.org/officeDocument/2006/relationships/hyperlink" Target="https://akshar-exim-company-pvt-ltd.odoo.com/web" TargetMode="External"/><Relationship Id="rId3410" Type="http://schemas.openxmlformats.org/officeDocument/2006/relationships/hyperlink" Target="https://akshar-exim-company-pvt-ltd.odoo.com/web" TargetMode="External"/><Relationship Id="rId4741" Type="http://schemas.openxmlformats.org/officeDocument/2006/relationships/hyperlink" Target="https://akshar-exim-company-pvt-ltd.odoo.com/web" TargetMode="External"/><Relationship Id="rId883" Type="http://schemas.openxmlformats.org/officeDocument/2006/relationships/hyperlink" Target="https://akshar-exim-company-pvt-ltd.odoo.com/web" TargetMode="External"/><Relationship Id="rId4740" Type="http://schemas.openxmlformats.org/officeDocument/2006/relationships/hyperlink" Target="https://akshar-exim-company-pvt-ltd.odoo.com/web" TargetMode="External"/><Relationship Id="rId882" Type="http://schemas.openxmlformats.org/officeDocument/2006/relationships/hyperlink" Target="mailto:singhgrish786@gmail.com" TargetMode="External"/><Relationship Id="rId3412" Type="http://schemas.openxmlformats.org/officeDocument/2006/relationships/hyperlink" Target="https://akshar-exim-company-pvt-ltd.odoo.com/web" TargetMode="External"/><Relationship Id="rId4743" Type="http://schemas.openxmlformats.org/officeDocument/2006/relationships/hyperlink" Target="https://akshar-exim-company-pvt-ltd.odoo.com/web" TargetMode="External"/><Relationship Id="rId881" Type="http://schemas.openxmlformats.org/officeDocument/2006/relationships/hyperlink" Target="https://akshar-exim-company-pvt-ltd.odoo.com/web" TargetMode="External"/><Relationship Id="rId3411" Type="http://schemas.openxmlformats.org/officeDocument/2006/relationships/hyperlink" Target="mailto:empldhanbad@gmail.com" TargetMode="External"/><Relationship Id="rId4742" Type="http://schemas.openxmlformats.org/officeDocument/2006/relationships/hyperlink" Target="https://akshar-exim-company-pvt-ltd.odoo.com/web" TargetMode="External"/><Relationship Id="rId3403" Type="http://schemas.openxmlformats.org/officeDocument/2006/relationships/hyperlink" Target="https://akshar-exim-company-pvt-ltd.odoo.com/web" TargetMode="External"/><Relationship Id="rId4734" Type="http://schemas.openxmlformats.org/officeDocument/2006/relationships/hyperlink" Target="https://akshar-exim-company-pvt-ltd.odoo.com/web" TargetMode="External"/><Relationship Id="rId3402" Type="http://schemas.openxmlformats.org/officeDocument/2006/relationships/hyperlink" Target="https://akshar-exim-company-pvt-ltd.odoo.com/web" TargetMode="External"/><Relationship Id="rId4733" Type="http://schemas.openxmlformats.org/officeDocument/2006/relationships/hyperlink" Target="https://akshar-exim-company-pvt-ltd.odoo.com/web" TargetMode="External"/><Relationship Id="rId3405" Type="http://schemas.openxmlformats.org/officeDocument/2006/relationships/hyperlink" Target="mailto:karmakar.bishnu11@gmail.com" TargetMode="External"/><Relationship Id="rId4736" Type="http://schemas.openxmlformats.org/officeDocument/2006/relationships/hyperlink" Target="https://akshar-exim-company-pvt-ltd.odoo.com/web" TargetMode="External"/><Relationship Id="rId3404" Type="http://schemas.openxmlformats.org/officeDocument/2006/relationships/hyperlink" Target="https://akshar-exim-company-pvt-ltd.odoo.com/web" TargetMode="External"/><Relationship Id="rId4735" Type="http://schemas.openxmlformats.org/officeDocument/2006/relationships/hyperlink" Target="https://akshar-exim-company-pvt-ltd.odoo.com/web" TargetMode="External"/><Relationship Id="rId3407" Type="http://schemas.openxmlformats.org/officeDocument/2006/relationships/hyperlink" Target="mailto:ramesh@nilachal.in" TargetMode="External"/><Relationship Id="rId4738" Type="http://schemas.openxmlformats.org/officeDocument/2006/relationships/hyperlink" Target="https://akshar-exim-company-pvt-ltd.odoo.com/web" TargetMode="External"/><Relationship Id="rId3406" Type="http://schemas.openxmlformats.org/officeDocument/2006/relationships/hyperlink" Target="https://akshar-exim-company-pvt-ltd.odoo.com/web" TargetMode="External"/><Relationship Id="rId4737" Type="http://schemas.openxmlformats.org/officeDocument/2006/relationships/hyperlink" Target="https://akshar-exim-company-pvt-ltd.odoo.com/web" TargetMode="External"/><Relationship Id="rId3409" Type="http://schemas.openxmlformats.org/officeDocument/2006/relationships/hyperlink" Target="mailto:bandr71074@gmail.com" TargetMode="External"/><Relationship Id="rId3408" Type="http://schemas.openxmlformats.org/officeDocument/2006/relationships/hyperlink" Target="https://akshar-exim-company-pvt-ltd.odoo.com/web" TargetMode="External"/><Relationship Id="rId4739" Type="http://schemas.openxmlformats.org/officeDocument/2006/relationships/hyperlink" Target="https://akshar-exim-company-pvt-ltd.odoo.com/web" TargetMode="External"/><Relationship Id="rId877" Type="http://schemas.openxmlformats.org/officeDocument/2006/relationships/hyperlink" Target="https://akshar-exim-company-pvt-ltd.odoo.com/web" TargetMode="External"/><Relationship Id="rId876" Type="http://schemas.openxmlformats.org/officeDocument/2006/relationships/hyperlink" Target="mailto:sanjaynathani1212@gmail.com" TargetMode="External"/><Relationship Id="rId875" Type="http://schemas.openxmlformats.org/officeDocument/2006/relationships/hyperlink" Target="https://akshar-exim-company-pvt-ltd.odoo.com/web" TargetMode="External"/><Relationship Id="rId874" Type="http://schemas.openxmlformats.org/officeDocument/2006/relationships/hyperlink" Target="mailto:mondaltumpa691@gmail.com" TargetMode="External"/><Relationship Id="rId879" Type="http://schemas.openxmlformats.org/officeDocument/2006/relationships/hyperlink" Target="https://akshar-exim-company-pvt-ltd.odoo.com/web" TargetMode="External"/><Relationship Id="rId878" Type="http://schemas.openxmlformats.org/officeDocument/2006/relationships/hyperlink" Target="mailto:jailaxmi.entrp@gmail.com" TargetMode="External"/><Relationship Id="rId873" Type="http://schemas.openxmlformats.org/officeDocument/2006/relationships/hyperlink" Target="https://akshar-exim-company-pvt-ltd.odoo.com/web" TargetMode="External"/><Relationship Id="rId4730" Type="http://schemas.openxmlformats.org/officeDocument/2006/relationships/hyperlink" Target="https://akshar-exim-company-pvt-ltd.odoo.com/web" TargetMode="External"/><Relationship Id="rId872" Type="http://schemas.openxmlformats.org/officeDocument/2006/relationships/hyperlink" Target="mailto:kakulidey98@gmail.com" TargetMode="External"/><Relationship Id="rId871" Type="http://schemas.openxmlformats.org/officeDocument/2006/relationships/hyperlink" Target="https://akshar-exim-company-pvt-ltd.odoo.com/web" TargetMode="External"/><Relationship Id="rId3401" Type="http://schemas.openxmlformats.org/officeDocument/2006/relationships/hyperlink" Target="https://akshar-exim-company-pvt-ltd.odoo.com/web" TargetMode="External"/><Relationship Id="rId4732" Type="http://schemas.openxmlformats.org/officeDocument/2006/relationships/hyperlink" Target="https://akshar-exim-company-pvt-ltd.odoo.com/web" TargetMode="External"/><Relationship Id="rId870" Type="http://schemas.openxmlformats.org/officeDocument/2006/relationships/hyperlink" Target="mailto:sandippal40@gmail.com" TargetMode="External"/><Relationship Id="rId3400" Type="http://schemas.openxmlformats.org/officeDocument/2006/relationships/hyperlink" Target="mailto:abhishek91.ak91@gmail.com" TargetMode="External"/><Relationship Id="rId4731" Type="http://schemas.openxmlformats.org/officeDocument/2006/relationships/hyperlink" Target="https://akshar-exim-company-pvt-ltd.odoo.com/web" TargetMode="External"/><Relationship Id="rId1653" Type="http://schemas.openxmlformats.org/officeDocument/2006/relationships/hyperlink" Target="https://akshar-exim-company-pvt-ltd.odoo.com/web" TargetMode="External"/><Relationship Id="rId2984" Type="http://schemas.openxmlformats.org/officeDocument/2006/relationships/hyperlink" Target="https://akshar-exim-company-pvt-ltd.odoo.com/web" TargetMode="External"/><Relationship Id="rId1654" Type="http://schemas.openxmlformats.org/officeDocument/2006/relationships/hyperlink" Target="https://akshar-exim-company-pvt-ltd.odoo.com/web" TargetMode="External"/><Relationship Id="rId2985" Type="http://schemas.openxmlformats.org/officeDocument/2006/relationships/hyperlink" Target="https://akshar-exim-company-pvt-ltd.odoo.com/web" TargetMode="External"/><Relationship Id="rId1655" Type="http://schemas.openxmlformats.org/officeDocument/2006/relationships/hyperlink" Target="https://akshar-exim-company-pvt-ltd.odoo.com/web" TargetMode="External"/><Relationship Id="rId2986" Type="http://schemas.openxmlformats.org/officeDocument/2006/relationships/hyperlink" Target="https://akshar-exim-company-pvt-ltd.odoo.com/web" TargetMode="External"/><Relationship Id="rId1656" Type="http://schemas.openxmlformats.org/officeDocument/2006/relationships/hyperlink" Target="https://akshar-exim-company-pvt-ltd.odoo.com/web" TargetMode="External"/><Relationship Id="rId2987" Type="http://schemas.openxmlformats.org/officeDocument/2006/relationships/hyperlink" Target="https://akshar-exim-company-pvt-ltd.odoo.com/web" TargetMode="External"/><Relationship Id="rId1657" Type="http://schemas.openxmlformats.org/officeDocument/2006/relationships/hyperlink" Target="https://akshar-exim-company-pvt-ltd.odoo.com/web" TargetMode="External"/><Relationship Id="rId2988" Type="http://schemas.openxmlformats.org/officeDocument/2006/relationships/hyperlink" Target="https://akshar-exim-company-pvt-ltd.odoo.com/web" TargetMode="External"/><Relationship Id="rId1658" Type="http://schemas.openxmlformats.org/officeDocument/2006/relationships/hyperlink" Target="https://akshar-exim-company-pvt-ltd.odoo.com/web" TargetMode="External"/><Relationship Id="rId2989" Type="http://schemas.openxmlformats.org/officeDocument/2006/relationships/hyperlink" Target="https://akshar-exim-company-pvt-ltd.odoo.com/web" TargetMode="External"/><Relationship Id="rId1659" Type="http://schemas.openxmlformats.org/officeDocument/2006/relationships/hyperlink" Target="https://akshar-exim-company-pvt-ltd.odoo.com/web" TargetMode="External"/><Relationship Id="rId829" Type="http://schemas.openxmlformats.org/officeDocument/2006/relationships/hyperlink" Target="mailto:bapidalui9@gmail.com" TargetMode="External"/><Relationship Id="rId828" Type="http://schemas.openxmlformats.org/officeDocument/2006/relationships/hyperlink" Target="https://akshar-exim-company-pvt-ltd.odoo.com/web" TargetMode="External"/><Relationship Id="rId827" Type="http://schemas.openxmlformats.org/officeDocument/2006/relationships/hyperlink" Target="https://akshar-exim-company-pvt-ltd.odoo.com/web" TargetMode="External"/><Relationship Id="rId822" Type="http://schemas.openxmlformats.org/officeDocument/2006/relationships/hyperlink" Target="mailto:ali.ribul786@gmail.com" TargetMode="External"/><Relationship Id="rId821" Type="http://schemas.openxmlformats.org/officeDocument/2006/relationships/hyperlink" Target="https://akshar-exim-company-pvt-ltd.odoo.com/web" TargetMode="External"/><Relationship Id="rId820" Type="http://schemas.openxmlformats.org/officeDocument/2006/relationships/hyperlink" Target="mailto:jaish.sengupta@iitkgp.ac.in" TargetMode="External"/><Relationship Id="rId826" Type="http://schemas.openxmlformats.org/officeDocument/2006/relationships/hyperlink" Target="mailto:rsclosures@gmail.com" TargetMode="External"/><Relationship Id="rId825" Type="http://schemas.openxmlformats.org/officeDocument/2006/relationships/hyperlink" Target="https://akshar-exim-company-pvt-ltd.odoo.com/web" TargetMode="External"/><Relationship Id="rId824" Type="http://schemas.openxmlformats.org/officeDocument/2006/relationships/hyperlink" Target="mailto:murtaza11092@gmail.com" TargetMode="External"/><Relationship Id="rId823" Type="http://schemas.openxmlformats.org/officeDocument/2006/relationships/hyperlink" Target="https://akshar-exim-company-pvt-ltd.odoo.com/web" TargetMode="External"/><Relationship Id="rId2980" Type="http://schemas.openxmlformats.org/officeDocument/2006/relationships/hyperlink" Target="https://akshar-exim-company-pvt-ltd.odoo.com/web" TargetMode="External"/><Relationship Id="rId1650" Type="http://schemas.openxmlformats.org/officeDocument/2006/relationships/hyperlink" Target="https://akshar-exim-company-pvt-ltd.odoo.com/web" TargetMode="External"/><Relationship Id="rId2981" Type="http://schemas.openxmlformats.org/officeDocument/2006/relationships/hyperlink" Target="https://akshar-exim-company-pvt-ltd.odoo.com/web" TargetMode="External"/><Relationship Id="rId1651" Type="http://schemas.openxmlformats.org/officeDocument/2006/relationships/hyperlink" Target="https://akshar-exim-company-pvt-ltd.odoo.com/web" TargetMode="External"/><Relationship Id="rId2982" Type="http://schemas.openxmlformats.org/officeDocument/2006/relationships/hyperlink" Target="https://akshar-exim-company-pvt-ltd.odoo.com/web" TargetMode="External"/><Relationship Id="rId1652" Type="http://schemas.openxmlformats.org/officeDocument/2006/relationships/hyperlink" Target="https://akshar-exim-company-pvt-ltd.odoo.com/web" TargetMode="External"/><Relationship Id="rId2983" Type="http://schemas.openxmlformats.org/officeDocument/2006/relationships/hyperlink" Target="https://akshar-exim-company-pvt-ltd.odoo.com/web" TargetMode="External"/><Relationship Id="rId1642" Type="http://schemas.openxmlformats.org/officeDocument/2006/relationships/hyperlink" Target="https://akshar-exim-company-pvt-ltd.odoo.com/web" TargetMode="External"/><Relationship Id="rId2973" Type="http://schemas.openxmlformats.org/officeDocument/2006/relationships/hyperlink" Target="https://akshar-exim-company-pvt-ltd.odoo.com/web" TargetMode="External"/><Relationship Id="rId1643" Type="http://schemas.openxmlformats.org/officeDocument/2006/relationships/hyperlink" Target="https://akshar-exim-company-pvt-ltd.odoo.com/web" TargetMode="External"/><Relationship Id="rId2974" Type="http://schemas.openxmlformats.org/officeDocument/2006/relationships/hyperlink" Target="https://akshar-exim-company-pvt-ltd.odoo.com/web" TargetMode="External"/><Relationship Id="rId1644" Type="http://schemas.openxmlformats.org/officeDocument/2006/relationships/hyperlink" Target="https://akshar-exim-company-pvt-ltd.odoo.com/web" TargetMode="External"/><Relationship Id="rId2975" Type="http://schemas.openxmlformats.org/officeDocument/2006/relationships/hyperlink" Target="https://akshar-exim-company-pvt-ltd.odoo.com/web" TargetMode="External"/><Relationship Id="rId1645" Type="http://schemas.openxmlformats.org/officeDocument/2006/relationships/hyperlink" Target="https://akshar-exim-company-pvt-ltd.odoo.com/web" TargetMode="External"/><Relationship Id="rId2976" Type="http://schemas.openxmlformats.org/officeDocument/2006/relationships/hyperlink" Target="https://akshar-exim-company-pvt-ltd.odoo.com/web" TargetMode="External"/><Relationship Id="rId1646" Type="http://schemas.openxmlformats.org/officeDocument/2006/relationships/hyperlink" Target="https://akshar-exim-company-pvt-ltd.odoo.com/web" TargetMode="External"/><Relationship Id="rId2977" Type="http://schemas.openxmlformats.org/officeDocument/2006/relationships/hyperlink" Target="https://akshar-exim-company-pvt-ltd.odoo.com/web" TargetMode="External"/><Relationship Id="rId1647" Type="http://schemas.openxmlformats.org/officeDocument/2006/relationships/hyperlink" Target="https://akshar-exim-company-pvt-ltd.odoo.com/web" TargetMode="External"/><Relationship Id="rId2978" Type="http://schemas.openxmlformats.org/officeDocument/2006/relationships/hyperlink" Target="https://akshar-exim-company-pvt-ltd.odoo.com/web" TargetMode="External"/><Relationship Id="rId1648" Type="http://schemas.openxmlformats.org/officeDocument/2006/relationships/hyperlink" Target="https://akshar-exim-company-pvt-ltd.odoo.com/web" TargetMode="External"/><Relationship Id="rId2979" Type="http://schemas.openxmlformats.org/officeDocument/2006/relationships/hyperlink" Target="https://akshar-exim-company-pvt-ltd.odoo.com/web" TargetMode="External"/><Relationship Id="rId1649" Type="http://schemas.openxmlformats.org/officeDocument/2006/relationships/hyperlink" Target="https://akshar-exim-company-pvt-ltd.odoo.com/web" TargetMode="External"/><Relationship Id="rId819" Type="http://schemas.openxmlformats.org/officeDocument/2006/relationships/hyperlink" Target="https://akshar-exim-company-pvt-ltd.odoo.com/web" TargetMode="External"/><Relationship Id="rId818" Type="http://schemas.openxmlformats.org/officeDocument/2006/relationships/hyperlink" Target="https://akshar-exim-company-pvt-ltd.odoo.com/web" TargetMode="External"/><Relationship Id="rId817" Type="http://schemas.openxmlformats.org/officeDocument/2006/relationships/hyperlink" Target="mailto:ubuntu.ahmed@gmail.com" TargetMode="External"/><Relationship Id="rId816" Type="http://schemas.openxmlformats.org/officeDocument/2006/relationships/hyperlink" Target="https://akshar-exim-company-pvt-ltd.odoo.com/web" TargetMode="External"/><Relationship Id="rId811" Type="http://schemas.openxmlformats.org/officeDocument/2006/relationships/hyperlink" Target="mailto:itechenterprises5@gmail.com" TargetMode="External"/><Relationship Id="rId810" Type="http://schemas.openxmlformats.org/officeDocument/2006/relationships/hyperlink" Target="https://akshar-exim-company-pvt-ltd.odoo.com/web" TargetMode="External"/><Relationship Id="rId815" Type="http://schemas.openxmlformats.org/officeDocument/2006/relationships/hyperlink" Target="mailto:sanjay.besra@allied-outfitters.com" TargetMode="External"/><Relationship Id="rId814" Type="http://schemas.openxmlformats.org/officeDocument/2006/relationships/hyperlink" Target="https://akshar-exim-company-pvt-ltd.odoo.com/web" TargetMode="External"/><Relationship Id="rId813" Type="http://schemas.openxmlformats.org/officeDocument/2006/relationships/hyperlink" Target="mailto:cotwas@gmail.com" TargetMode="External"/><Relationship Id="rId812" Type="http://schemas.openxmlformats.org/officeDocument/2006/relationships/hyperlink" Target="https://akshar-exim-company-pvt-ltd.odoo.com/web" TargetMode="External"/><Relationship Id="rId2970" Type="http://schemas.openxmlformats.org/officeDocument/2006/relationships/hyperlink" Target="https://akshar-exim-company-pvt-ltd.odoo.com/web" TargetMode="External"/><Relationship Id="rId1640" Type="http://schemas.openxmlformats.org/officeDocument/2006/relationships/hyperlink" Target="https://akshar-exim-company-pvt-ltd.odoo.com/web" TargetMode="External"/><Relationship Id="rId2971" Type="http://schemas.openxmlformats.org/officeDocument/2006/relationships/hyperlink" Target="https://akshar-exim-company-pvt-ltd.odoo.com/web" TargetMode="External"/><Relationship Id="rId1641" Type="http://schemas.openxmlformats.org/officeDocument/2006/relationships/hyperlink" Target="https://akshar-exim-company-pvt-ltd.odoo.com/web" TargetMode="External"/><Relationship Id="rId2972" Type="http://schemas.openxmlformats.org/officeDocument/2006/relationships/hyperlink" Target="https://akshar-exim-company-pvt-ltd.odoo.com/web" TargetMode="External"/><Relationship Id="rId1675" Type="http://schemas.openxmlformats.org/officeDocument/2006/relationships/hyperlink" Target="https://akshar-exim-company-pvt-ltd.odoo.com/web" TargetMode="External"/><Relationship Id="rId4701" Type="http://schemas.openxmlformats.org/officeDocument/2006/relationships/hyperlink" Target="https://akshar-exim-company-pvt-ltd.odoo.com/web" TargetMode="External"/><Relationship Id="rId1676" Type="http://schemas.openxmlformats.org/officeDocument/2006/relationships/hyperlink" Target="https://akshar-exim-company-pvt-ltd.odoo.com/web" TargetMode="External"/><Relationship Id="rId4700" Type="http://schemas.openxmlformats.org/officeDocument/2006/relationships/hyperlink" Target="https://akshar-exim-company-pvt-ltd.odoo.com/web" TargetMode="External"/><Relationship Id="rId1677" Type="http://schemas.openxmlformats.org/officeDocument/2006/relationships/hyperlink" Target="https://akshar-exim-company-pvt-ltd.odoo.com/web" TargetMode="External"/><Relationship Id="rId4703" Type="http://schemas.openxmlformats.org/officeDocument/2006/relationships/hyperlink" Target="https://akshar-exim-company-pvt-ltd.odoo.com/web" TargetMode="External"/><Relationship Id="rId1678" Type="http://schemas.openxmlformats.org/officeDocument/2006/relationships/hyperlink" Target="https://akshar-exim-company-pvt-ltd.odoo.com/web" TargetMode="External"/><Relationship Id="rId4702" Type="http://schemas.openxmlformats.org/officeDocument/2006/relationships/hyperlink" Target="https://akshar-exim-company-pvt-ltd.odoo.com/web" TargetMode="External"/><Relationship Id="rId1679" Type="http://schemas.openxmlformats.org/officeDocument/2006/relationships/hyperlink" Target="https://akshar-exim-company-pvt-ltd.odoo.com/web" TargetMode="External"/><Relationship Id="rId4705" Type="http://schemas.openxmlformats.org/officeDocument/2006/relationships/hyperlink" Target="https://akshar-exim-company-pvt-ltd.odoo.com/web" TargetMode="External"/><Relationship Id="rId4704" Type="http://schemas.openxmlformats.org/officeDocument/2006/relationships/hyperlink" Target="https://akshar-exim-company-pvt-ltd.odoo.com/web" TargetMode="External"/><Relationship Id="rId4707" Type="http://schemas.openxmlformats.org/officeDocument/2006/relationships/hyperlink" Target="https://akshar-exim-company-pvt-ltd.odoo.com/web" TargetMode="External"/><Relationship Id="rId4706" Type="http://schemas.openxmlformats.org/officeDocument/2006/relationships/hyperlink" Target="https://akshar-exim-company-pvt-ltd.odoo.com/web" TargetMode="External"/><Relationship Id="rId4709" Type="http://schemas.openxmlformats.org/officeDocument/2006/relationships/hyperlink" Target="https://akshar-exim-company-pvt-ltd.odoo.com/web" TargetMode="External"/><Relationship Id="rId4708" Type="http://schemas.openxmlformats.org/officeDocument/2006/relationships/hyperlink" Target="https://akshar-exim-company-pvt-ltd.odoo.com/web" TargetMode="External"/><Relationship Id="rId849" Type="http://schemas.openxmlformats.org/officeDocument/2006/relationships/hyperlink" Target="https://akshar-exim-company-pvt-ltd.odoo.com/web" TargetMode="External"/><Relationship Id="rId844" Type="http://schemas.openxmlformats.org/officeDocument/2006/relationships/hyperlink" Target="https://akshar-exim-company-pvt-ltd.odoo.com/web" TargetMode="External"/><Relationship Id="rId843" Type="http://schemas.openxmlformats.org/officeDocument/2006/relationships/hyperlink" Target="https://akshar-exim-company-pvt-ltd.odoo.com/web" TargetMode="External"/><Relationship Id="rId842" Type="http://schemas.openxmlformats.org/officeDocument/2006/relationships/hyperlink" Target="mailto:lalonbiswas83@gmail.com" TargetMode="External"/><Relationship Id="rId841" Type="http://schemas.openxmlformats.org/officeDocument/2006/relationships/hyperlink" Target="https://akshar-exim-company-pvt-ltd.odoo.com/web" TargetMode="External"/><Relationship Id="rId848" Type="http://schemas.openxmlformats.org/officeDocument/2006/relationships/hyperlink" Target="https://akshar-exim-company-pvt-ltd.odoo.com/web" TargetMode="External"/><Relationship Id="rId847" Type="http://schemas.openxmlformats.org/officeDocument/2006/relationships/hyperlink" Target="mailto:adhikaryenterprise666@gmail.com" TargetMode="External"/><Relationship Id="rId846" Type="http://schemas.openxmlformats.org/officeDocument/2006/relationships/hyperlink" Target="https://akshar-exim-company-pvt-ltd.odoo.com/web" TargetMode="External"/><Relationship Id="rId845" Type="http://schemas.openxmlformats.org/officeDocument/2006/relationships/hyperlink" Target="https://akshar-exim-company-pvt-ltd.odoo.com/web" TargetMode="External"/><Relationship Id="rId1670" Type="http://schemas.openxmlformats.org/officeDocument/2006/relationships/hyperlink" Target="https://akshar-exim-company-pvt-ltd.odoo.com/web" TargetMode="External"/><Relationship Id="rId840" Type="http://schemas.openxmlformats.org/officeDocument/2006/relationships/hyperlink" Target="mailto:parasdyeskolkata@gmail.com" TargetMode="External"/><Relationship Id="rId1671" Type="http://schemas.openxmlformats.org/officeDocument/2006/relationships/hyperlink" Target="https://akshar-exim-company-pvt-ltd.odoo.com/web" TargetMode="External"/><Relationship Id="rId1672" Type="http://schemas.openxmlformats.org/officeDocument/2006/relationships/hyperlink" Target="https://akshar-exim-company-pvt-ltd.odoo.com/web" TargetMode="External"/><Relationship Id="rId1673" Type="http://schemas.openxmlformats.org/officeDocument/2006/relationships/hyperlink" Target="https://akshar-exim-company-pvt-ltd.odoo.com/web" TargetMode="External"/><Relationship Id="rId1674" Type="http://schemas.openxmlformats.org/officeDocument/2006/relationships/hyperlink" Target="https://akshar-exim-company-pvt-ltd.odoo.com/web" TargetMode="External"/><Relationship Id="rId1664" Type="http://schemas.openxmlformats.org/officeDocument/2006/relationships/hyperlink" Target="https://akshar-exim-company-pvt-ltd.odoo.com/web" TargetMode="External"/><Relationship Id="rId2995" Type="http://schemas.openxmlformats.org/officeDocument/2006/relationships/hyperlink" Target="https://akshar-exim-company-pvt-ltd.odoo.com/web" TargetMode="External"/><Relationship Id="rId1665" Type="http://schemas.openxmlformats.org/officeDocument/2006/relationships/hyperlink" Target="https://akshar-exim-company-pvt-ltd.odoo.com/web" TargetMode="External"/><Relationship Id="rId2996" Type="http://schemas.openxmlformats.org/officeDocument/2006/relationships/hyperlink" Target="https://akshar-exim-company-pvt-ltd.odoo.com/web" TargetMode="External"/><Relationship Id="rId1666" Type="http://schemas.openxmlformats.org/officeDocument/2006/relationships/hyperlink" Target="https://akshar-exim-company-pvt-ltd.odoo.com/web" TargetMode="External"/><Relationship Id="rId2997" Type="http://schemas.openxmlformats.org/officeDocument/2006/relationships/hyperlink" Target="https://akshar-exim-company-pvt-ltd.odoo.com/web" TargetMode="External"/><Relationship Id="rId1667" Type="http://schemas.openxmlformats.org/officeDocument/2006/relationships/hyperlink" Target="https://akshar-exim-company-pvt-ltd.odoo.com/web" TargetMode="External"/><Relationship Id="rId2998" Type="http://schemas.openxmlformats.org/officeDocument/2006/relationships/hyperlink" Target="https://akshar-exim-company-pvt-ltd.odoo.com/web" TargetMode="External"/><Relationship Id="rId1668" Type="http://schemas.openxmlformats.org/officeDocument/2006/relationships/hyperlink" Target="https://akshar-exim-company-pvt-ltd.odoo.com/web" TargetMode="External"/><Relationship Id="rId2999" Type="http://schemas.openxmlformats.org/officeDocument/2006/relationships/hyperlink" Target="https://akshar-exim-company-pvt-ltd.odoo.com/web" TargetMode="External"/><Relationship Id="rId1669" Type="http://schemas.openxmlformats.org/officeDocument/2006/relationships/hyperlink" Target="https://akshar-exim-company-pvt-ltd.odoo.com/web" TargetMode="External"/><Relationship Id="rId839" Type="http://schemas.openxmlformats.org/officeDocument/2006/relationships/hyperlink" Target="https://akshar-exim-company-pvt-ltd.odoo.com/web" TargetMode="External"/><Relationship Id="rId838" Type="http://schemas.openxmlformats.org/officeDocument/2006/relationships/hyperlink" Target="https://akshar-exim-company-pvt-ltd.odoo.com/web" TargetMode="External"/><Relationship Id="rId833" Type="http://schemas.openxmlformats.org/officeDocument/2006/relationships/hyperlink" Target="https://akshar-exim-company-pvt-ltd.odoo.com/web" TargetMode="External"/><Relationship Id="rId832" Type="http://schemas.openxmlformats.org/officeDocument/2006/relationships/hyperlink" Target="https://akshar-exim-company-pvt-ltd.odoo.com/web" TargetMode="External"/><Relationship Id="rId831" Type="http://schemas.openxmlformats.org/officeDocument/2006/relationships/hyperlink" Target="mailto:soumyabanerjee63@gmail.com" TargetMode="External"/><Relationship Id="rId830" Type="http://schemas.openxmlformats.org/officeDocument/2006/relationships/hyperlink" Target="https://akshar-exim-company-pvt-ltd.odoo.com/web" TargetMode="External"/><Relationship Id="rId837" Type="http://schemas.openxmlformats.org/officeDocument/2006/relationships/hyperlink" Target="mailto:bablusardar@gmail.com" TargetMode="External"/><Relationship Id="rId836" Type="http://schemas.openxmlformats.org/officeDocument/2006/relationships/hyperlink" Target="https://akshar-exim-company-pvt-ltd.odoo.com/web" TargetMode="External"/><Relationship Id="rId835" Type="http://schemas.openxmlformats.org/officeDocument/2006/relationships/hyperlink" Target="https://akshar-exim-company-pvt-ltd.odoo.com/web" TargetMode="External"/><Relationship Id="rId834" Type="http://schemas.openxmlformats.org/officeDocument/2006/relationships/hyperlink" Target="mailto:furnitureworld.deoghar@gmail.com" TargetMode="External"/><Relationship Id="rId2990" Type="http://schemas.openxmlformats.org/officeDocument/2006/relationships/hyperlink" Target="https://akshar-exim-company-pvt-ltd.odoo.com/web" TargetMode="External"/><Relationship Id="rId1660" Type="http://schemas.openxmlformats.org/officeDocument/2006/relationships/hyperlink" Target="https://akshar-exim-company-pvt-ltd.odoo.com/web" TargetMode="External"/><Relationship Id="rId2991" Type="http://schemas.openxmlformats.org/officeDocument/2006/relationships/hyperlink" Target="https://akshar-exim-company-pvt-ltd.odoo.com/web" TargetMode="External"/><Relationship Id="rId1661" Type="http://schemas.openxmlformats.org/officeDocument/2006/relationships/hyperlink" Target="https://akshar-exim-company-pvt-ltd.odoo.com/web" TargetMode="External"/><Relationship Id="rId2992" Type="http://schemas.openxmlformats.org/officeDocument/2006/relationships/hyperlink" Target="https://akshar-exim-company-pvt-ltd.odoo.com/web" TargetMode="External"/><Relationship Id="rId1662" Type="http://schemas.openxmlformats.org/officeDocument/2006/relationships/hyperlink" Target="https://akshar-exim-company-pvt-ltd.odoo.com/web" TargetMode="External"/><Relationship Id="rId2993" Type="http://schemas.openxmlformats.org/officeDocument/2006/relationships/hyperlink" Target="https://akshar-exim-company-pvt-ltd.odoo.com/web" TargetMode="External"/><Relationship Id="rId1663" Type="http://schemas.openxmlformats.org/officeDocument/2006/relationships/hyperlink" Target="https://akshar-exim-company-pvt-ltd.odoo.com/web" TargetMode="External"/><Relationship Id="rId2994" Type="http://schemas.openxmlformats.org/officeDocument/2006/relationships/hyperlink" Target="https://akshar-exim-company-pvt-ltd.odoo.com/web" TargetMode="External"/><Relationship Id="rId2148" Type="http://schemas.openxmlformats.org/officeDocument/2006/relationships/hyperlink" Target="https://akshar-exim-company-pvt-ltd.odoo.com/web" TargetMode="External"/><Relationship Id="rId2149" Type="http://schemas.openxmlformats.org/officeDocument/2006/relationships/hyperlink" Target="https://akshar-exim-company-pvt-ltd.odoo.com/web" TargetMode="External"/><Relationship Id="rId3479" Type="http://schemas.openxmlformats.org/officeDocument/2006/relationships/hyperlink" Target="https://akshar-exim-company-pvt-ltd.odoo.com/web" TargetMode="External"/><Relationship Id="rId3470" Type="http://schemas.openxmlformats.org/officeDocument/2006/relationships/hyperlink" Target="mailto:omshivtrading1@gmail.com" TargetMode="External"/><Relationship Id="rId2140" Type="http://schemas.openxmlformats.org/officeDocument/2006/relationships/hyperlink" Target="https://akshar-exim-company-pvt-ltd.odoo.com/web" TargetMode="External"/><Relationship Id="rId3472" Type="http://schemas.openxmlformats.org/officeDocument/2006/relationships/hyperlink" Target="mailto:narayan@homeneed.com" TargetMode="External"/><Relationship Id="rId2141" Type="http://schemas.openxmlformats.org/officeDocument/2006/relationships/hyperlink" Target="https://akshar-exim-company-pvt-ltd.odoo.com/web" TargetMode="External"/><Relationship Id="rId3471" Type="http://schemas.openxmlformats.org/officeDocument/2006/relationships/hyperlink" Target="https://akshar-exim-company-pvt-ltd.odoo.com/web" TargetMode="External"/><Relationship Id="rId2142" Type="http://schemas.openxmlformats.org/officeDocument/2006/relationships/hyperlink" Target="https://akshar-exim-company-pvt-ltd.odoo.com/web" TargetMode="External"/><Relationship Id="rId3474" Type="http://schemas.openxmlformats.org/officeDocument/2006/relationships/hyperlink" Target="https://akshar-exim-company-pvt-ltd.odoo.com/web" TargetMode="External"/><Relationship Id="rId2143" Type="http://schemas.openxmlformats.org/officeDocument/2006/relationships/hyperlink" Target="https://akshar-exim-company-pvt-ltd.odoo.com/web" TargetMode="External"/><Relationship Id="rId3473" Type="http://schemas.openxmlformats.org/officeDocument/2006/relationships/hyperlink" Target="https://akshar-exim-company-pvt-ltd.odoo.com/web" TargetMode="External"/><Relationship Id="rId2144" Type="http://schemas.openxmlformats.org/officeDocument/2006/relationships/hyperlink" Target="https://akshar-exim-company-pvt-ltd.odoo.com/web" TargetMode="External"/><Relationship Id="rId3476" Type="http://schemas.openxmlformats.org/officeDocument/2006/relationships/hyperlink" Target="mailto:bibhuprasadsahoo70@gmail.com" TargetMode="External"/><Relationship Id="rId2145" Type="http://schemas.openxmlformats.org/officeDocument/2006/relationships/hyperlink" Target="https://akshar-exim-company-pvt-ltd.odoo.com/web" TargetMode="External"/><Relationship Id="rId3475" Type="http://schemas.openxmlformats.org/officeDocument/2006/relationships/hyperlink" Target="https://akshar-exim-company-pvt-ltd.odoo.com/web" TargetMode="External"/><Relationship Id="rId2146" Type="http://schemas.openxmlformats.org/officeDocument/2006/relationships/hyperlink" Target="https://akshar-exim-company-pvt-ltd.odoo.com/web" TargetMode="External"/><Relationship Id="rId3478" Type="http://schemas.openxmlformats.org/officeDocument/2006/relationships/hyperlink" Target="mailto:deepakthavanani@gmail.com" TargetMode="External"/><Relationship Id="rId2147" Type="http://schemas.openxmlformats.org/officeDocument/2006/relationships/hyperlink" Target="https://akshar-exim-company-pvt-ltd.odoo.com/web" TargetMode="External"/><Relationship Id="rId3477" Type="http://schemas.openxmlformats.org/officeDocument/2006/relationships/hyperlink" Target="https://akshar-exim-company-pvt-ltd.odoo.com/web" TargetMode="External"/><Relationship Id="rId2137" Type="http://schemas.openxmlformats.org/officeDocument/2006/relationships/hyperlink" Target="https://akshar-exim-company-pvt-ltd.odoo.com/web" TargetMode="External"/><Relationship Id="rId3469" Type="http://schemas.openxmlformats.org/officeDocument/2006/relationships/hyperlink" Target="https://akshar-exim-company-pvt-ltd.odoo.com/web" TargetMode="External"/><Relationship Id="rId2138" Type="http://schemas.openxmlformats.org/officeDocument/2006/relationships/hyperlink" Target="https://akshar-exim-company-pvt-ltd.odoo.com/web" TargetMode="External"/><Relationship Id="rId3468" Type="http://schemas.openxmlformats.org/officeDocument/2006/relationships/hyperlink" Target="mailto:haldiachery@yahoo.co.in" TargetMode="External"/><Relationship Id="rId4799" Type="http://schemas.openxmlformats.org/officeDocument/2006/relationships/hyperlink" Target="https://akshar-exim-company-pvt-ltd.odoo.com/web" TargetMode="External"/><Relationship Id="rId2139" Type="http://schemas.openxmlformats.org/officeDocument/2006/relationships/hyperlink" Target="https://akshar-exim-company-pvt-ltd.odoo.com/web" TargetMode="External"/><Relationship Id="rId4790" Type="http://schemas.openxmlformats.org/officeDocument/2006/relationships/hyperlink" Target="https://akshar-exim-company-pvt-ltd.odoo.com/web" TargetMode="External"/><Relationship Id="rId3461" Type="http://schemas.openxmlformats.org/officeDocument/2006/relationships/hyperlink" Target="https://akshar-exim-company-pvt-ltd.odoo.com/web" TargetMode="External"/><Relationship Id="rId4792" Type="http://schemas.openxmlformats.org/officeDocument/2006/relationships/hyperlink" Target="https://akshar-exim-company-pvt-ltd.odoo.com/web" TargetMode="External"/><Relationship Id="rId2130" Type="http://schemas.openxmlformats.org/officeDocument/2006/relationships/hyperlink" Target="https://akshar-exim-company-pvt-ltd.odoo.com/web" TargetMode="External"/><Relationship Id="rId3460" Type="http://schemas.openxmlformats.org/officeDocument/2006/relationships/hyperlink" Target="mailto:bishubisawas456@gmail.com" TargetMode="External"/><Relationship Id="rId4791" Type="http://schemas.openxmlformats.org/officeDocument/2006/relationships/hyperlink" Target="https://akshar-exim-company-pvt-ltd.odoo.com/web" TargetMode="External"/><Relationship Id="rId2131" Type="http://schemas.openxmlformats.org/officeDocument/2006/relationships/hyperlink" Target="https://akshar-exim-company-pvt-ltd.odoo.com/web" TargetMode="External"/><Relationship Id="rId3463" Type="http://schemas.openxmlformats.org/officeDocument/2006/relationships/hyperlink" Target="https://akshar-exim-company-pvt-ltd.odoo.com/web" TargetMode="External"/><Relationship Id="rId4794" Type="http://schemas.openxmlformats.org/officeDocument/2006/relationships/hyperlink" Target="https://akshar-exim-company-pvt-ltd.odoo.com/web" TargetMode="External"/><Relationship Id="rId2132" Type="http://schemas.openxmlformats.org/officeDocument/2006/relationships/hyperlink" Target="https://akshar-exim-company-pvt-ltd.odoo.com/web" TargetMode="External"/><Relationship Id="rId3462" Type="http://schemas.openxmlformats.org/officeDocument/2006/relationships/hyperlink" Target="mailto:naveen.aryan@gmail.com" TargetMode="External"/><Relationship Id="rId4793" Type="http://schemas.openxmlformats.org/officeDocument/2006/relationships/hyperlink" Target="https://akshar-exim-company-pvt-ltd.odoo.com/web" TargetMode="External"/><Relationship Id="rId2133" Type="http://schemas.openxmlformats.org/officeDocument/2006/relationships/hyperlink" Target="https://akshar-exim-company-pvt-ltd.odoo.com/web" TargetMode="External"/><Relationship Id="rId3465" Type="http://schemas.openxmlformats.org/officeDocument/2006/relationships/hyperlink" Target="https://akshar-exim-company-pvt-ltd.odoo.com/web" TargetMode="External"/><Relationship Id="rId4796" Type="http://schemas.openxmlformats.org/officeDocument/2006/relationships/hyperlink" Target="https://akshar-exim-company-pvt-ltd.odoo.com/web" TargetMode="External"/><Relationship Id="rId2134" Type="http://schemas.openxmlformats.org/officeDocument/2006/relationships/hyperlink" Target="https://akshar-exim-company-pvt-ltd.odoo.com/web" TargetMode="External"/><Relationship Id="rId3464" Type="http://schemas.openxmlformats.org/officeDocument/2006/relationships/hyperlink" Target="mailto:sachinomer.1@gmail.com" TargetMode="External"/><Relationship Id="rId4795" Type="http://schemas.openxmlformats.org/officeDocument/2006/relationships/hyperlink" Target="https://akshar-exim-company-pvt-ltd.odoo.com/web" TargetMode="External"/><Relationship Id="rId2135" Type="http://schemas.openxmlformats.org/officeDocument/2006/relationships/hyperlink" Target="https://akshar-exim-company-pvt-ltd.odoo.com/web" TargetMode="External"/><Relationship Id="rId3467" Type="http://schemas.openxmlformats.org/officeDocument/2006/relationships/hyperlink" Target="https://akshar-exim-company-pvt-ltd.odoo.com/web" TargetMode="External"/><Relationship Id="rId4798" Type="http://schemas.openxmlformats.org/officeDocument/2006/relationships/hyperlink" Target="https://akshar-exim-company-pvt-ltd.odoo.com/web" TargetMode="External"/><Relationship Id="rId2136" Type="http://schemas.openxmlformats.org/officeDocument/2006/relationships/hyperlink" Target="https://akshar-exim-company-pvt-ltd.odoo.com/web" TargetMode="External"/><Relationship Id="rId3466" Type="http://schemas.openxmlformats.org/officeDocument/2006/relationships/hyperlink" Target="mailto:ankushmali616@gmail.com" TargetMode="External"/><Relationship Id="rId4797" Type="http://schemas.openxmlformats.org/officeDocument/2006/relationships/hyperlink" Target="https://akshar-exim-company-pvt-ltd.odoo.com/web" TargetMode="External"/><Relationship Id="rId3490" Type="http://schemas.openxmlformats.org/officeDocument/2006/relationships/hyperlink" Target="mailto:jayanta_civil@yahoo.com" TargetMode="External"/><Relationship Id="rId2160" Type="http://schemas.openxmlformats.org/officeDocument/2006/relationships/hyperlink" Target="https://akshar-exim-company-pvt-ltd.odoo.com/web" TargetMode="External"/><Relationship Id="rId3492" Type="http://schemas.openxmlformats.org/officeDocument/2006/relationships/hyperlink" Target="mailto:sujitbakuli2020@gmail.com" TargetMode="External"/><Relationship Id="rId2161" Type="http://schemas.openxmlformats.org/officeDocument/2006/relationships/hyperlink" Target="https://akshar-exim-company-pvt-ltd.odoo.com/web" TargetMode="External"/><Relationship Id="rId3491" Type="http://schemas.openxmlformats.org/officeDocument/2006/relationships/hyperlink" Target="https://akshar-exim-company-pvt-ltd.odoo.com/web" TargetMode="External"/><Relationship Id="rId2162" Type="http://schemas.openxmlformats.org/officeDocument/2006/relationships/hyperlink" Target="https://akshar-exim-company-pvt-ltd.odoo.com/web" TargetMode="External"/><Relationship Id="rId3494" Type="http://schemas.openxmlformats.org/officeDocument/2006/relationships/hyperlink" Target="mailto:srikanta_basudev@yahoo.co.in" TargetMode="External"/><Relationship Id="rId2163" Type="http://schemas.openxmlformats.org/officeDocument/2006/relationships/hyperlink" Target="https://akshar-exim-company-pvt-ltd.odoo.com/web" TargetMode="External"/><Relationship Id="rId3493" Type="http://schemas.openxmlformats.org/officeDocument/2006/relationships/hyperlink" Target="https://akshar-exim-company-pvt-ltd.odoo.com/web" TargetMode="External"/><Relationship Id="rId2164" Type="http://schemas.openxmlformats.org/officeDocument/2006/relationships/hyperlink" Target="https://akshar-exim-company-pvt-ltd.odoo.com/web" TargetMode="External"/><Relationship Id="rId3496" Type="http://schemas.openxmlformats.org/officeDocument/2006/relationships/hyperlink" Target="mailto:rushil.sbfpharma@gmail.com" TargetMode="External"/><Relationship Id="rId2165" Type="http://schemas.openxmlformats.org/officeDocument/2006/relationships/hyperlink" Target="https://akshar-exim-company-pvt-ltd.odoo.com/web" TargetMode="External"/><Relationship Id="rId3495" Type="http://schemas.openxmlformats.org/officeDocument/2006/relationships/hyperlink" Target="https://akshar-exim-company-pvt-ltd.odoo.com/web" TargetMode="External"/><Relationship Id="rId2166" Type="http://schemas.openxmlformats.org/officeDocument/2006/relationships/hyperlink" Target="https://akshar-exim-company-pvt-ltd.odoo.com/web" TargetMode="External"/><Relationship Id="rId3498" Type="http://schemas.openxmlformats.org/officeDocument/2006/relationships/hyperlink" Target="mailto:dhanrajpatil0265@gmail.com" TargetMode="External"/><Relationship Id="rId2167" Type="http://schemas.openxmlformats.org/officeDocument/2006/relationships/hyperlink" Target="https://akshar-exim-company-pvt-ltd.odoo.com/web" TargetMode="External"/><Relationship Id="rId3497" Type="http://schemas.openxmlformats.org/officeDocument/2006/relationships/hyperlink" Target="https://akshar-exim-company-pvt-ltd.odoo.com/web" TargetMode="External"/><Relationship Id="rId2168" Type="http://schemas.openxmlformats.org/officeDocument/2006/relationships/hyperlink" Target="https://akshar-exim-company-pvt-ltd.odoo.com/web" TargetMode="External"/><Relationship Id="rId2169" Type="http://schemas.openxmlformats.org/officeDocument/2006/relationships/hyperlink" Target="https://akshar-exim-company-pvt-ltd.odoo.com/web" TargetMode="External"/><Relationship Id="rId3499" Type="http://schemas.openxmlformats.org/officeDocument/2006/relationships/hyperlink" Target="https://akshar-exim-company-pvt-ltd.odoo.com/web" TargetMode="External"/><Relationship Id="rId2159" Type="http://schemas.openxmlformats.org/officeDocument/2006/relationships/hyperlink" Target="https://akshar-exim-company-pvt-ltd.odoo.com/web" TargetMode="External"/><Relationship Id="rId3481" Type="http://schemas.openxmlformats.org/officeDocument/2006/relationships/hyperlink" Target="https://akshar-exim-company-pvt-ltd.odoo.com/web" TargetMode="External"/><Relationship Id="rId2150" Type="http://schemas.openxmlformats.org/officeDocument/2006/relationships/hyperlink" Target="https://akshar-exim-company-pvt-ltd.odoo.com/web" TargetMode="External"/><Relationship Id="rId3480" Type="http://schemas.openxmlformats.org/officeDocument/2006/relationships/hyperlink" Target="mailto:dasanimesh484@gmail.com" TargetMode="External"/><Relationship Id="rId2151" Type="http://schemas.openxmlformats.org/officeDocument/2006/relationships/hyperlink" Target="http://akshar-exim-company-pvt-ltd.odoo.com/web" TargetMode="External"/><Relationship Id="rId3483" Type="http://schemas.openxmlformats.org/officeDocument/2006/relationships/hyperlink" Target="https://akshar-exim-company-pvt-ltd.odoo.com/web" TargetMode="External"/><Relationship Id="rId2152" Type="http://schemas.openxmlformats.org/officeDocument/2006/relationships/hyperlink" Target="https://akshar-exim-company-pvt-ltd.odoo.com/web" TargetMode="External"/><Relationship Id="rId3482" Type="http://schemas.openxmlformats.org/officeDocument/2006/relationships/hyperlink" Target="mailto:ihjaffri@gmail.com" TargetMode="External"/><Relationship Id="rId2153" Type="http://schemas.openxmlformats.org/officeDocument/2006/relationships/hyperlink" Target="https://akshar-exim-company-pvt-ltd.odoo.com/web" TargetMode="External"/><Relationship Id="rId3485" Type="http://schemas.openxmlformats.org/officeDocument/2006/relationships/hyperlink" Target="https://akshar-exim-company-pvt-ltd.odoo.com/web" TargetMode="External"/><Relationship Id="rId2154" Type="http://schemas.openxmlformats.org/officeDocument/2006/relationships/hyperlink" Target="https://akshar-exim-company-pvt-ltd.odoo.com/web" TargetMode="External"/><Relationship Id="rId3484" Type="http://schemas.openxmlformats.org/officeDocument/2006/relationships/hyperlink" Target="mailto:rijukumarmishra9786@gmail.com" TargetMode="External"/><Relationship Id="rId2155" Type="http://schemas.openxmlformats.org/officeDocument/2006/relationships/hyperlink" Target="https://akshar-exim-company-pvt-ltd.odoo.com/web" TargetMode="External"/><Relationship Id="rId3487" Type="http://schemas.openxmlformats.org/officeDocument/2006/relationships/hyperlink" Target="https://akshar-exim-company-pvt-ltd.odoo.com/web" TargetMode="External"/><Relationship Id="rId2156" Type="http://schemas.openxmlformats.org/officeDocument/2006/relationships/hyperlink" Target="https://akshar-exim-company-pvt-ltd.odoo.com/web" TargetMode="External"/><Relationship Id="rId3486" Type="http://schemas.openxmlformats.org/officeDocument/2006/relationships/hyperlink" Target="mailto:interwellsteels@gmail.com" TargetMode="External"/><Relationship Id="rId2157" Type="http://schemas.openxmlformats.org/officeDocument/2006/relationships/hyperlink" Target="https://akshar-exim-company-pvt-ltd.odoo.com/web" TargetMode="External"/><Relationship Id="rId3489" Type="http://schemas.openxmlformats.org/officeDocument/2006/relationships/hyperlink" Target="https://akshar-exim-company-pvt-ltd.odoo.com/web" TargetMode="External"/><Relationship Id="rId2158" Type="http://schemas.openxmlformats.org/officeDocument/2006/relationships/hyperlink" Target="https://akshar-exim-company-pvt-ltd.odoo.com/web" TargetMode="External"/><Relationship Id="rId3488" Type="http://schemas.openxmlformats.org/officeDocument/2006/relationships/hyperlink" Target="mailto:nraghara0783@gmail.com" TargetMode="External"/><Relationship Id="rId2104" Type="http://schemas.openxmlformats.org/officeDocument/2006/relationships/hyperlink" Target="https://akshar-exim-company-pvt-ltd.odoo.com/web" TargetMode="External"/><Relationship Id="rId3436" Type="http://schemas.openxmlformats.org/officeDocument/2006/relationships/hyperlink" Target="https://akshar-exim-company-pvt-ltd.odoo.com/web" TargetMode="External"/><Relationship Id="rId4767" Type="http://schemas.openxmlformats.org/officeDocument/2006/relationships/hyperlink" Target="https://akshar-exim-company-pvt-ltd.odoo.com/web" TargetMode="External"/><Relationship Id="rId2105" Type="http://schemas.openxmlformats.org/officeDocument/2006/relationships/hyperlink" Target="https://akshar-exim-company-pvt-ltd.odoo.com/web" TargetMode="External"/><Relationship Id="rId3435" Type="http://schemas.openxmlformats.org/officeDocument/2006/relationships/hyperlink" Target="https://akshar-exim-company-pvt-ltd.odoo.com/web" TargetMode="External"/><Relationship Id="rId4766" Type="http://schemas.openxmlformats.org/officeDocument/2006/relationships/hyperlink" Target="https://akshar-exim-company-pvt-ltd.odoo.com/web" TargetMode="External"/><Relationship Id="rId2106" Type="http://schemas.openxmlformats.org/officeDocument/2006/relationships/hyperlink" Target="https://akshar-exim-company-pvt-ltd.odoo.com/web" TargetMode="External"/><Relationship Id="rId3438" Type="http://schemas.openxmlformats.org/officeDocument/2006/relationships/hyperlink" Target="https://akshar-exim-company-pvt-ltd.odoo.com/web" TargetMode="External"/><Relationship Id="rId4769" Type="http://schemas.openxmlformats.org/officeDocument/2006/relationships/hyperlink" Target="https://akshar-exim-company-pvt-ltd.odoo.com/web" TargetMode="External"/><Relationship Id="rId2107" Type="http://schemas.openxmlformats.org/officeDocument/2006/relationships/hyperlink" Target="https://akshar-exim-company-pvt-ltd.odoo.com/web" TargetMode="External"/><Relationship Id="rId3437" Type="http://schemas.openxmlformats.org/officeDocument/2006/relationships/hyperlink" Target="mailto:khmmalaviya.madhav@gmail.com" TargetMode="External"/><Relationship Id="rId4768" Type="http://schemas.openxmlformats.org/officeDocument/2006/relationships/hyperlink" Target="https://akshar-exim-company-pvt-ltd.odoo.com/web" TargetMode="External"/><Relationship Id="rId2108" Type="http://schemas.openxmlformats.org/officeDocument/2006/relationships/hyperlink" Target="https://akshar-exim-company-pvt-ltd.odoo.com/web" TargetMode="External"/><Relationship Id="rId2109" Type="http://schemas.openxmlformats.org/officeDocument/2006/relationships/hyperlink" Target="https://akshar-exim-company-pvt-ltd.odoo.com/web" TargetMode="External"/><Relationship Id="rId3439" Type="http://schemas.openxmlformats.org/officeDocument/2006/relationships/hyperlink" Target="https://akshar-exim-company-pvt-ltd.odoo.com/web" TargetMode="External"/><Relationship Id="rId3430" Type="http://schemas.openxmlformats.org/officeDocument/2006/relationships/hyperlink" Target="https://akshar-exim-company-pvt-ltd.odoo.com/web" TargetMode="External"/><Relationship Id="rId4761" Type="http://schemas.openxmlformats.org/officeDocument/2006/relationships/hyperlink" Target="https://akshar-exim-company-pvt-ltd.odoo.com/web" TargetMode="External"/><Relationship Id="rId4760" Type="http://schemas.openxmlformats.org/officeDocument/2006/relationships/hyperlink" Target="https://akshar-exim-company-pvt-ltd.odoo.com/web" TargetMode="External"/><Relationship Id="rId2100" Type="http://schemas.openxmlformats.org/officeDocument/2006/relationships/hyperlink" Target="https://akshar-exim-company-pvt-ltd.odoo.com/web" TargetMode="External"/><Relationship Id="rId3432" Type="http://schemas.openxmlformats.org/officeDocument/2006/relationships/hyperlink" Target="mailto:sharmarajesh111978@gmail.com" TargetMode="External"/><Relationship Id="rId4763" Type="http://schemas.openxmlformats.org/officeDocument/2006/relationships/hyperlink" Target="https://akshar-exim-company-pvt-ltd.odoo.com/web" TargetMode="External"/><Relationship Id="rId2101" Type="http://schemas.openxmlformats.org/officeDocument/2006/relationships/hyperlink" Target="https://akshar-exim-company-pvt-ltd.odoo.com/web" TargetMode="External"/><Relationship Id="rId3431" Type="http://schemas.openxmlformats.org/officeDocument/2006/relationships/hyperlink" Target="https://akshar-exim-company-pvt-ltd.odoo.com/web" TargetMode="External"/><Relationship Id="rId4762" Type="http://schemas.openxmlformats.org/officeDocument/2006/relationships/hyperlink" Target="https://akshar-exim-company-pvt-ltd.odoo.com/web" TargetMode="External"/><Relationship Id="rId2102" Type="http://schemas.openxmlformats.org/officeDocument/2006/relationships/hyperlink" Target="https://akshar-exim-company-pvt-ltd.odoo.com/web" TargetMode="External"/><Relationship Id="rId3434" Type="http://schemas.openxmlformats.org/officeDocument/2006/relationships/hyperlink" Target="mailto:rewatramdewasi@gmail.com" TargetMode="External"/><Relationship Id="rId4765" Type="http://schemas.openxmlformats.org/officeDocument/2006/relationships/hyperlink" Target="https://akshar-exim-company-pvt-ltd.odoo.com/web" TargetMode="External"/><Relationship Id="rId2103" Type="http://schemas.openxmlformats.org/officeDocument/2006/relationships/hyperlink" Target="https://akshar-exim-company-pvt-ltd.odoo.com/web" TargetMode="External"/><Relationship Id="rId3433" Type="http://schemas.openxmlformats.org/officeDocument/2006/relationships/hyperlink" Target="https://akshar-exim-company-pvt-ltd.odoo.com/web" TargetMode="External"/><Relationship Id="rId4764" Type="http://schemas.openxmlformats.org/officeDocument/2006/relationships/hyperlink" Target="https://akshar-exim-company-pvt-ltd.odoo.com/web" TargetMode="External"/><Relationship Id="rId3425" Type="http://schemas.openxmlformats.org/officeDocument/2006/relationships/hyperlink" Target="mailto:uidelivery2020@gmail.com" TargetMode="External"/><Relationship Id="rId4756" Type="http://schemas.openxmlformats.org/officeDocument/2006/relationships/hyperlink" Target="https://akshar-exim-company-pvt-ltd.odoo.com/web" TargetMode="External"/><Relationship Id="rId3424" Type="http://schemas.openxmlformats.org/officeDocument/2006/relationships/hyperlink" Target="https://akshar-exim-company-pvt-ltd.odoo.com/web" TargetMode="External"/><Relationship Id="rId4755" Type="http://schemas.openxmlformats.org/officeDocument/2006/relationships/hyperlink" Target="https://akshar-exim-company-pvt-ltd.odoo.com/web" TargetMode="External"/><Relationship Id="rId3427" Type="http://schemas.openxmlformats.org/officeDocument/2006/relationships/hyperlink" Target="mailto:swarnaagro28@gmail.com" TargetMode="External"/><Relationship Id="rId4758" Type="http://schemas.openxmlformats.org/officeDocument/2006/relationships/hyperlink" Target="https://akshar-exim-company-pvt-ltd.odoo.com/web" TargetMode="External"/><Relationship Id="rId3426" Type="http://schemas.openxmlformats.org/officeDocument/2006/relationships/hyperlink" Target="https://akshar-exim-company-pvt-ltd.odoo.com/web" TargetMode="External"/><Relationship Id="rId4757" Type="http://schemas.openxmlformats.org/officeDocument/2006/relationships/hyperlink" Target="https://akshar-exim-company-pvt-ltd.odoo.com/web" TargetMode="External"/><Relationship Id="rId3429" Type="http://schemas.openxmlformats.org/officeDocument/2006/relationships/hyperlink" Target="mailto:skmdjahangir1990@gmail.com" TargetMode="External"/><Relationship Id="rId3428" Type="http://schemas.openxmlformats.org/officeDocument/2006/relationships/hyperlink" Target="https://akshar-exim-company-pvt-ltd.odoo.com/web" TargetMode="External"/><Relationship Id="rId4759" Type="http://schemas.openxmlformats.org/officeDocument/2006/relationships/hyperlink" Target="https://akshar-exim-company-pvt-ltd.odoo.com/web" TargetMode="External"/><Relationship Id="rId899" Type="http://schemas.openxmlformats.org/officeDocument/2006/relationships/hyperlink" Target="https://akshar-exim-company-pvt-ltd.odoo.com/web" TargetMode="External"/><Relationship Id="rId898" Type="http://schemas.openxmlformats.org/officeDocument/2006/relationships/hyperlink" Target="mailto:fortunef651@gmail.com" TargetMode="External"/><Relationship Id="rId897" Type="http://schemas.openxmlformats.org/officeDocument/2006/relationships/hyperlink" Target="https://akshar-exim-company-pvt-ltd.odoo.com/web" TargetMode="External"/><Relationship Id="rId896" Type="http://schemas.openxmlformats.org/officeDocument/2006/relationships/hyperlink" Target="https://akshar-exim-company-pvt-ltd.odoo.com/web" TargetMode="External"/><Relationship Id="rId891" Type="http://schemas.openxmlformats.org/officeDocument/2006/relationships/hyperlink" Target="https://akshar-exim-company-pvt-ltd.odoo.com/web" TargetMode="External"/><Relationship Id="rId890" Type="http://schemas.openxmlformats.org/officeDocument/2006/relationships/hyperlink" Target="mailto:rgcorporation@yahoo.com" TargetMode="External"/><Relationship Id="rId4750" Type="http://schemas.openxmlformats.org/officeDocument/2006/relationships/hyperlink" Target="https://akshar-exim-company-pvt-ltd.odoo.com/web" TargetMode="External"/><Relationship Id="rId895" Type="http://schemas.openxmlformats.org/officeDocument/2006/relationships/hyperlink" Target="https://akshar-exim-company-pvt-ltd.odoo.com/web" TargetMode="External"/><Relationship Id="rId3421" Type="http://schemas.openxmlformats.org/officeDocument/2006/relationships/hyperlink" Target="https://akshar-exim-company-pvt-ltd.odoo.com/web" TargetMode="External"/><Relationship Id="rId4752" Type="http://schemas.openxmlformats.org/officeDocument/2006/relationships/hyperlink" Target="https://akshar-exim-company-pvt-ltd.odoo.com/web" TargetMode="External"/><Relationship Id="rId894" Type="http://schemas.openxmlformats.org/officeDocument/2006/relationships/hyperlink" Target="mailto:somenathbduratuf@gmail.com" TargetMode="External"/><Relationship Id="rId3420" Type="http://schemas.openxmlformats.org/officeDocument/2006/relationships/hyperlink" Target="mailto:haldersuman093@gmail.com" TargetMode="External"/><Relationship Id="rId4751" Type="http://schemas.openxmlformats.org/officeDocument/2006/relationships/hyperlink" Target="https://akshar-exim-company-pvt-ltd.odoo.com/web" TargetMode="External"/><Relationship Id="rId893" Type="http://schemas.openxmlformats.org/officeDocument/2006/relationships/hyperlink" Target="https://akshar-exim-company-pvt-ltd.odoo.com/web" TargetMode="External"/><Relationship Id="rId3423" Type="http://schemas.openxmlformats.org/officeDocument/2006/relationships/hyperlink" Target="https://akshar-exim-company-pvt-ltd.odoo.com/web" TargetMode="External"/><Relationship Id="rId4754" Type="http://schemas.openxmlformats.org/officeDocument/2006/relationships/hyperlink" Target="https://akshar-exim-company-pvt-ltd.odoo.com/web" TargetMode="External"/><Relationship Id="rId892" Type="http://schemas.openxmlformats.org/officeDocument/2006/relationships/hyperlink" Target="https://akshar-exim-company-pvt-ltd.odoo.com/web" TargetMode="External"/><Relationship Id="rId3422" Type="http://schemas.openxmlformats.org/officeDocument/2006/relationships/hyperlink" Target="mailto:dishainnovations01@gmail.com" TargetMode="External"/><Relationship Id="rId4753" Type="http://schemas.openxmlformats.org/officeDocument/2006/relationships/hyperlink" Target="https://akshar-exim-company-pvt-ltd.odoo.com/web" TargetMode="External"/><Relationship Id="rId2126" Type="http://schemas.openxmlformats.org/officeDocument/2006/relationships/hyperlink" Target="https://akshar-exim-company-pvt-ltd.odoo.com/web" TargetMode="External"/><Relationship Id="rId3458" Type="http://schemas.openxmlformats.org/officeDocument/2006/relationships/hyperlink" Target="mailto:sen.kumarprabir01@gmail.com" TargetMode="External"/><Relationship Id="rId4789" Type="http://schemas.openxmlformats.org/officeDocument/2006/relationships/hyperlink" Target="https://akshar-exim-company-pvt-ltd.odoo.com/web" TargetMode="External"/><Relationship Id="rId2127" Type="http://schemas.openxmlformats.org/officeDocument/2006/relationships/hyperlink" Target="https://akshar-exim-company-pvt-ltd.odoo.com/web" TargetMode="External"/><Relationship Id="rId3457" Type="http://schemas.openxmlformats.org/officeDocument/2006/relationships/hyperlink" Target="https://akshar-exim-company-pvt-ltd.odoo.com/web" TargetMode="External"/><Relationship Id="rId4788" Type="http://schemas.openxmlformats.org/officeDocument/2006/relationships/hyperlink" Target="https://akshar-exim-company-pvt-ltd.odoo.com/web" TargetMode="External"/><Relationship Id="rId2128" Type="http://schemas.openxmlformats.org/officeDocument/2006/relationships/hyperlink" Target="https://akshar-exim-company-pvt-ltd.odoo.com/web" TargetMode="External"/><Relationship Id="rId2129" Type="http://schemas.openxmlformats.org/officeDocument/2006/relationships/hyperlink" Target="https://akshar-exim-company-pvt-ltd.odoo.com/web" TargetMode="External"/><Relationship Id="rId3459" Type="http://schemas.openxmlformats.org/officeDocument/2006/relationships/hyperlink" Target="https://akshar-exim-company-pvt-ltd.odoo.com/web" TargetMode="External"/><Relationship Id="rId3450" Type="http://schemas.openxmlformats.org/officeDocument/2006/relationships/hyperlink" Target="https://akshar-exim-company-pvt-ltd.odoo.com/web" TargetMode="External"/><Relationship Id="rId4781" Type="http://schemas.openxmlformats.org/officeDocument/2006/relationships/hyperlink" Target="https://akshar-exim-company-pvt-ltd.odoo.com/web" TargetMode="External"/><Relationship Id="rId4780" Type="http://schemas.openxmlformats.org/officeDocument/2006/relationships/hyperlink" Target="https://akshar-exim-company-pvt-ltd.odoo.com/web" TargetMode="External"/><Relationship Id="rId2120" Type="http://schemas.openxmlformats.org/officeDocument/2006/relationships/hyperlink" Target="https://akshar-exim-company-pvt-ltd.odoo.com/web" TargetMode="External"/><Relationship Id="rId3452" Type="http://schemas.openxmlformats.org/officeDocument/2006/relationships/hyperlink" Target="https://akshar-exim-company-pvt-ltd.odoo.com/web" TargetMode="External"/><Relationship Id="rId4783" Type="http://schemas.openxmlformats.org/officeDocument/2006/relationships/hyperlink" Target="https://akshar-exim-company-pvt-ltd.odoo.com/web" TargetMode="External"/><Relationship Id="rId2121" Type="http://schemas.openxmlformats.org/officeDocument/2006/relationships/hyperlink" Target="https://akshar-exim-company-pvt-ltd.odoo.com/web" TargetMode="External"/><Relationship Id="rId3451" Type="http://schemas.openxmlformats.org/officeDocument/2006/relationships/hyperlink" Target="https://akshar-exim-company-pvt-ltd.odoo.com/web" TargetMode="External"/><Relationship Id="rId4782" Type="http://schemas.openxmlformats.org/officeDocument/2006/relationships/hyperlink" Target="https://akshar-exim-company-pvt-ltd.odoo.com/web" TargetMode="External"/><Relationship Id="rId2122" Type="http://schemas.openxmlformats.org/officeDocument/2006/relationships/hyperlink" Target="https://akshar-exim-company-pvt-ltd.odoo.com/web" TargetMode="External"/><Relationship Id="rId3454" Type="http://schemas.openxmlformats.org/officeDocument/2006/relationships/hyperlink" Target="https://akshar-exim-company-pvt-ltd.odoo.com/web" TargetMode="External"/><Relationship Id="rId4785" Type="http://schemas.openxmlformats.org/officeDocument/2006/relationships/hyperlink" Target="https://akshar-exim-company-pvt-ltd.odoo.com/web" TargetMode="External"/><Relationship Id="rId2123" Type="http://schemas.openxmlformats.org/officeDocument/2006/relationships/hyperlink" Target="https://akshar-exim-company-pvt-ltd.odoo.com/web" TargetMode="External"/><Relationship Id="rId3453" Type="http://schemas.openxmlformats.org/officeDocument/2006/relationships/hyperlink" Target="mailto:jpldas79@yahoo.co.in" TargetMode="External"/><Relationship Id="rId4784" Type="http://schemas.openxmlformats.org/officeDocument/2006/relationships/hyperlink" Target="https://akshar-exim-company-pvt-ltd.odoo.com/web" TargetMode="External"/><Relationship Id="rId2124" Type="http://schemas.openxmlformats.org/officeDocument/2006/relationships/hyperlink" Target="https://akshar-exim-company-pvt-ltd.odoo.com/web" TargetMode="External"/><Relationship Id="rId3456" Type="http://schemas.openxmlformats.org/officeDocument/2006/relationships/hyperlink" Target="mailto:tibrewalasunit@gmail.com" TargetMode="External"/><Relationship Id="rId4787" Type="http://schemas.openxmlformats.org/officeDocument/2006/relationships/hyperlink" Target="https://akshar-exim-company-pvt-ltd.odoo.com/web" TargetMode="External"/><Relationship Id="rId2125" Type="http://schemas.openxmlformats.org/officeDocument/2006/relationships/hyperlink" Target="https://akshar-exim-company-pvt-ltd.odoo.com/web" TargetMode="External"/><Relationship Id="rId3455" Type="http://schemas.openxmlformats.org/officeDocument/2006/relationships/hyperlink" Target="https://akshar-exim-company-pvt-ltd.odoo.com/web" TargetMode="External"/><Relationship Id="rId4786" Type="http://schemas.openxmlformats.org/officeDocument/2006/relationships/hyperlink" Target="https://akshar-exim-company-pvt-ltd.odoo.com/web" TargetMode="External"/><Relationship Id="rId2115" Type="http://schemas.openxmlformats.org/officeDocument/2006/relationships/hyperlink" Target="https://akshar-exim-company-pvt-ltd.odoo.com/web" TargetMode="External"/><Relationship Id="rId3447" Type="http://schemas.openxmlformats.org/officeDocument/2006/relationships/hyperlink" Target="https://akshar-exim-company-pvt-ltd.odoo.com/web" TargetMode="External"/><Relationship Id="rId4778" Type="http://schemas.openxmlformats.org/officeDocument/2006/relationships/hyperlink" Target="https://akshar-exim-company-pvt-ltd.odoo.com/web" TargetMode="External"/><Relationship Id="rId2116" Type="http://schemas.openxmlformats.org/officeDocument/2006/relationships/hyperlink" Target="https://akshar-exim-company-pvt-ltd.odoo.com/web" TargetMode="External"/><Relationship Id="rId3446" Type="http://schemas.openxmlformats.org/officeDocument/2006/relationships/hyperlink" Target="mailto:ranjitadhikaryblp@gmail.com" TargetMode="External"/><Relationship Id="rId4777" Type="http://schemas.openxmlformats.org/officeDocument/2006/relationships/hyperlink" Target="https://akshar-exim-company-pvt-ltd.odoo.com/web" TargetMode="External"/><Relationship Id="rId2117" Type="http://schemas.openxmlformats.org/officeDocument/2006/relationships/hyperlink" Target="https://akshar-exim-company-pvt-ltd.odoo.com/web" TargetMode="External"/><Relationship Id="rId3449" Type="http://schemas.openxmlformats.org/officeDocument/2006/relationships/hyperlink" Target="https://akshar-exim-company-pvt-ltd.odoo.com/web" TargetMode="External"/><Relationship Id="rId2118" Type="http://schemas.openxmlformats.org/officeDocument/2006/relationships/hyperlink" Target="https://akshar-exim-company-pvt-ltd.odoo.com/web" TargetMode="External"/><Relationship Id="rId3448" Type="http://schemas.openxmlformats.org/officeDocument/2006/relationships/hyperlink" Target="https://akshar-exim-company-pvt-ltd.odoo.com/web" TargetMode="External"/><Relationship Id="rId4779" Type="http://schemas.openxmlformats.org/officeDocument/2006/relationships/hyperlink" Target="https://akshar-exim-company-pvt-ltd.odoo.com/web" TargetMode="External"/><Relationship Id="rId2119" Type="http://schemas.openxmlformats.org/officeDocument/2006/relationships/hyperlink" Target="https://akshar-exim-company-pvt-ltd.odoo.com/web" TargetMode="External"/><Relationship Id="rId4770" Type="http://schemas.openxmlformats.org/officeDocument/2006/relationships/hyperlink" Target="https://akshar-exim-company-pvt-ltd.odoo.com/web" TargetMode="External"/><Relationship Id="rId3441" Type="http://schemas.openxmlformats.org/officeDocument/2006/relationships/hyperlink" Target="https://akshar-exim-company-pvt-ltd.odoo.com/web" TargetMode="External"/><Relationship Id="rId4772" Type="http://schemas.openxmlformats.org/officeDocument/2006/relationships/hyperlink" Target="https://akshar-exim-company-pvt-ltd.odoo.com/web" TargetMode="External"/><Relationship Id="rId2110" Type="http://schemas.openxmlformats.org/officeDocument/2006/relationships/hyperlink" Target="https://akshar-exim-company-pvt-ltd.odoo.com/web" TargetMode="External"/><Relationship Id="rId3440" Type="http://schemas.openxmlformats.org/officeDocument/2006/relationships/hyperlink" Target="mailto:prasenjitvarma63@gmail.com" TargetMode="External"/><Relationship Id="rId4771" Type="http://schemas.openxmlformats.org/officeDocument/2006/relationships/hyperlink" Target="https://akshar-exim-company-pvt-ltd.odoo.com/web" TargetMode="External"/><Relationship Id="rId2111" Type="http://schemas.openxmlformats.org/officeDocument/2006/relationships/hyperlink" Target="https://akshar-exim-company-pvt-ltd.odoo.com/web" TargetMode="External"/><Relationship Id="rId3443" Type="http://schemas.openxmlformats.org/officeDocument/2006/relationships/hyperlink" Target="https://akshar-exim-company-pvt-ltd.odoo.com/web" TargetMode="External"/><Relationship Id="rId4774" Type="http://schemas.openxmlformats.org/officeDocument/2006/relationships/hyperlink" Target="https://akshar-exim-company-pvt-ltd.odoo.com/web" TargetMode="External"/><Relationship Id="rId2112" Type="http://schemas.openxmlformats.org/officeDocument/2006/relationships/hyperlink" Target="https://akshar-exim-company-pvt-ltd.odoo.com/web" TargetMode="External"/><Relationship Id="rId3442" Type="http://schemas.openxmlformats.org/officeDocument/2006/relationships/hyperlink" Target="mailto:balajient.sharma@gmail.com" TargetMode="External"/><Relationship Id="rId4773" Type="http://schemas.openxmlformats.org/officeDocument/2006/relationships/hyperlink" Target="https://akshar-exim-company-pvt-ltd.odoo.com/web" TargetMode="External"/><Relationship Id="rId2113" Type="http://schemas.openxmlformats.org/officeDocument/2006/relationships/hyperlink" Target="https://akshar-exim-company-pvt-ltd.odoo.com/web" TargetMode="External"/><Relationship Id="rId3445" Type="http://schemas.openxmlformats.org/officeDocument/2006/relationships/hyperlink" Target="https://akshar-exim-company-pvt-ltd.odoo.com/web" TargetMode="External"/><Relationship Id="rId4776" Type="http://schemas.openxmlformats.org/officeDocument/2006/relationships/hyperlink" Target="https://akshar-exim-company-pvt-ltd.odoo.com/web" TargetMode="External"/><Relationship Id="rId2114" Type="http://schemas.openxmlformats.org/officeDocument/2006/relationships/hyperlink" Target="https://akshar-exim-company-pvt-ltd.odoo.com/web" TargetMode="External"/><Relationship Id="rId3444" Type="http://schemas.openxmlformats.org/officeDocument/2006/relationships/hyperlink" Target="mailto:mrinal6289513250@gmail.com" TargetMode="External"/><Relationship Id="rId4775" Type="http://schemas.openxmlformats.org/officeDocument/2006/relationships/hyperlink" Target="https://akshar-exim-company-pvt-ltd.odoo.com/web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akshar-exim-company-pvt-ltd.odoo.com/web" TargetMode="External"/><Relationship Id="rId2" Type="http://schemas.openxmlformats.org/officeDocument/2006/relationships/hyperlink" Target="http://mr.kleaner.com/" TargetMode="External"/><Relationship Id="rId3" Type="http://schemas.openxmlformats.org/officeDocument/2006/relationships/hyperlink" Target="https://www.leadsquared.com/what-is-lead-funnel/" TargetMode="External"/><Relationship Id="rId4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kshar-exim-company-pvt-ltd.odoo.com/web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2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akshar-exim-company-pvt-ltd.odoo.com/web" TargetMode="External"/><Relationship Id="rId2" Type="http://schemas.openxmlformats.org/officeDocument/2006/relationships/hyperlink" Target="https://akshar-exim-company-pvt-ltd.odoo.com/web" TargetMode="External"/><Relationship Id="rId3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mEREoqPjk-6N42betdZOcdOFuy5ixIIh/view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1" max="1" width="9.63"/>
    <col customWidth="1" min="2" max="2" width="9.0"/>
    <col customWidth="1" min="3" max="3" width="23.5"/>
    <col customWidth="1" min="4" max="4" width="11.63"/>
    <col customWidth="1" min="5" max="5" width="16.38"/>
    <col customWidth="1" min="6" max="6" width="10.63"/>
    <col customWidth="1" min="7" max="7" width="33.25"/>
    <col customWidth="1" min="8" max="8" width="13.13"/>
    <col customWidth="1" min="9" max="9" width="12.25"/>
    <col customWidth="1" min="10" max="10" width="9.75"/>
    <col customWidth="1" min="11" max="11" width="7.75"/>
    <col customWidth="1" min="12" max="12" width="7.0"/>
    <col customWidth="1" min="13" max="13" width="12.0"/>
    <col customWidth="1" min="14" max="14" width="6.88"/>
    <col customWidth="1" min="15" max="15" width="12.5"/>
    <col customWidth="1" min="16" max="16" width="34.75"/>
    <col customWidth="1" min="17" max="17" width="28.13"/>
    <col customWidth="1" min="19" max="19" width="26.88"/>
  </cols>
  <sheetData>
    <row r="1" ht="32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1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/>
      <c r="U1" s="4"/>
      <c r="V1" s="4"/>
      <c r="W1" s="4"/>
      <c r="X1" s="4"/>
      <c r="Y1" s="4"/>
      <c r="Z1" s="4"/>
      <c r="AA1" s="4"/>
    </row>
    <row r="2">
      <c r="A2" s="5"/>
      <c r="B2" s="6"/>
      <c r="C2" s="7"/>
      <c r="D2" s="8"/>
      <c r="E2" s="8"/>
      <c r="F2" s="9"/>
      <c r="G2" s="10"/>
      <c r="H2" s="11"/>
      <c r="I2" s="10"/>
      <c r="J2" s="11"/>
      <c r="K2" s="12"/>
      <c r="L2" s="13"/>
      <c r="M2" s="14"/>
      <c r="N2" s="15"/>
      <c r="O2" s="5"/>
      <c r="P2" s="5"/>
      <c r="Q2" s="15"/>
      <c r="R2" s="16"/>
      <c r="S2" s="15"/>
      <c r="T2" s="15"/>
      <c r="U2" s="15"/>
      <c r="V2" s="15"/>
      <c r="W2" s="15"/>
      <c r="X2" s="15"/>
      <c r="Y2" s="15"/>
      <c r="Z2" s="15"/>
      <c r="AA2" s="15"/>
    </row>
    <row r="3">
      <c r="A3" s="5"/>
      <c r="B3" s="6"/>
      <c r="C3" s="7"/>
      <c r="D3" s="8"/>
      <c r="E3" s="8"/>
      <c r="F3" s="9"/>
      <c r="G3" s="10"/>
      <c r="H3" s="11"/>
      <c r="I3" s="10"/>
      <c r="J3" s="11"/>
      <c r="K3" s="12"/>
      <c r="L3" s="13"/>
      <c r="M3" s="14"/>
      <c r="N3" s="15"/>
      <c r="O3" s="5"/>
      <c r="P3" s="5"/>
      <c r="Q3" s="15"/>
      <c r="R3" s="16"/>
      <c r="S3" s="15"/>
      <c r="T3" s="15"/>
      <c r="U3" s="15"/>
      <c r="V3" s="15"/>
      <c r="W3" s="15"/>
      <c r="X3" s="15"/>
      <c r="Y3" s="15"/>
      <c r="Z3" s="15"/>
      <c r="AA3" s="15"/>
    </row>
    <row r="4">
      <c r="A4" s="5"/>
      <c r="B4" s="6"/>
      <c r="C4" s="7"/>
      <c r="D4" s="8"/>
      <c r="E4" s="8"/>
      <c r="F4" s="9"/>
      <c r="G4" s="10"/>
      <c r="H4" s="11"/>
      <c r="I4" s="10"/>
      <c r="J4" s="11"/>
      <c r="K4" s="12"/>
      <c r="L4" s="13"/>
      <c r="M4" s="14"/>
      <c r="N4" s="15"/>
      <c r="O4" s="5"/>
      <c r="P4" s="5"/>
      <c r="Q4" s="15"/>
      <c r="R4" s="16"/>
      <c r="S4" s="15"/>
      <c r="T4" s="15"/>
      <c r="U4" s="15"/>
      <c r="V4" s="15"/>
      <c r="W4" s="15"/>
      <c r="X4" s="15"/>
      <c r="Y4" s="15"/>
      <c r="Z4" s="15"/>
      <c r="AA4" s="15"/>
    </row>
    <row r="5">
      <c r="A5" s="5" t="s">
        <v>19</v>
      </c>
      <c r="B5" s="17" t="s">
        <v>20</v>
      </c>
      <c r="C5" s="7" t="s">
        <v>21</v>
      </c>
      <c r="D5" s="8"/>
      <c r="E5" s="8" t="s">
        <v>22</v>
      </c>
      <c r="F5" s="9">
        <v>5000.0</v>
      </c>
      <c r="G5" s="18" t="s">
        <v>23</v>
      </c>
      <c r="H5" s="11" t="s">
        <v>24</v>
      </c>
      <c r="I5" s="10">
        <v>7.992273712E9</v>
      </c>
      <c r="J5" s="11" t="s">
        <v>25</v>
      </c>
      <c r="K5" s="12"/>
      <c r="L5" s="13"/>
      <c r="M5" s="14"/>
      <c r="N5" s="15"/>
      <c r="O5" s="5" t="s">
        <v>26</v>
      </c>
      <c r="P5" s="5" t="s">
        <v>27</v>
      </c>
      <c r="Q5" s="15"/>
      <c r="R5" s="16" t="s">
        <v>28</v>
      </c>
      <c r="S5" s="15"/>
      <c r="T5" s="15"/>
      <c r="U5" s="15"/>
      <c r="V5" s="15"/>
      <c r="W5" s="15"/>
      <c r="X5" s="15"/>
      <c r="Y5" s="15"/>
      <c r="Z5" s="15"/>
      <c r="AA5" s="15"/>
    </row>
    <row r="6">
      <c r="A6" s="5" t="s">
        <v>19</v>
      </c>
      <c r="B6" s="17" t="s">
        <v>29</v>
      </c>
      <c r="C6" s="7" t="s">
        <v>30</v>
      </c>
      <c r="D6" s="8"/>
      <c r="E6" s="8" t="s">
        <v>31</v>
      </c>
      <c r="F6" s="9">
        <v>1000.0</v>
      </c>
      <c r="G6" s="19" t="s">
        <v>32</v>
      </c>
      <c r="H6" s="11" t="s">
        <v>33</v>
      </c>
      <c r="I6" s="10">
        <v>8.250265696E9</v>
      </c>
      <c r="J6" s="11" t="s">
        <v>25</v>
      </c>
      <c r="K6" s="12"/>
      <c r="L6" s="13"/>
      <c r="M6" s="14"/>
      <c r="N6" s="15"/>
      <c r="O6" s="5" t="s">
        <v>34</v>
      </c>
      <c r="P6" s="5"/>
      <c r="Q6" s="15"/>
      <c r="R6" s="16" t="s">
        <v>28</v>
      </c>
      <c r="S6" s="15"/>
      <c r="T6" s="15"/>
      <c r="U6" s="15"/>
      <c r="V6" s="15"/>
      <c r="W6" s="15"/>
      <c r="X6" s="15"/>
      <c r="Y6" s="15"/>
      <c r="Z6" s="15"/>
      <c r="AA6" s="15"/>
    </row>
    <row r="7">
      <c r="A7" s="5" t="s">
        <v>35</v>
      </c>
      <c r="B7" s="17" t="s">
        <v>36</v>
      </c>
      <c r="C7" s="7" t="s">
        <v>37</v>
      </c>
      <c r="D7" s="8"/>
      <c r="E7" s="8" t="s">
        <v>38</v>
      </c>
      <c r="F7" s="9">
        <v>400.0</v>
      </c>
      <c r="G7" s="10"/>
      <c r="H7" s="11" t="s">
        <v>39</v>
      </c>
      <c r="I7" s="10">
        <v>8.917382624E9</v>
      </c>
      <c r="J7" s="11" t="s">
        <v>25</v>
      </c>
      <c r="K7" s="12"/>
      <c r="L7" s="13"/>
      <c r="M7" s="14"/>
      <c r="N7" s="15"/>
      <c r="O7" s="5" t="s">
        <v>34</v>
      </c>
      <c r="P7" s="5"/>
      <c r="Q7" s="15"/>
      <c r="R7" s="16" t="s">
        <v>28</v>
      </c>
      <c r="S7" s="15"/>
      <c r="T7" s="15"/>
      <c r="U7" s="15"/>
      <c r="V7" s="15"/>
      <c r="W7" s="15"/>
      <c r="X7" s="15"/>
      <c r="Y7" s="15"/>
      <c r="Z7" s="15"/>
      <c r="AA7" s="15"/>
    </row>
    <row r="8">
      <c r="A8" s="5" t="s">
        <v>40</v>
      </c>
      <c r="B8" s="17" t="s">
        <v>41</v>
      </c>
      <c r="C8" s="7" t="s">
        <v>42</v>
      </c>
      <c r="D8" s="8"/>
      <c r="E8" s="8" t="s">
        <v>43</v>
      </c>
      <c r="F8" s="9">
        <v>5000.0</v>
      </c>
      <c r="G8" s="10"/>
      <c r="H8" s="11" t="s">
        <v>44</v>
      </c>
      <c r="I8" s="10">
        <v>6.296973577E9</v>
      </c>
      <c r="J8" s="11" t="s">
        <v>25</v>
      </c>
      <c r="K8" s="12"/>
      <c r="L8" s="13"/>
      <c r="M8" s="14"/>
      <c r="N8" s="15"/>
      <c r="O8" s="5" t="s">
        <v>34</v>
      </c>
      <c r="P8" s="5"/>
      <c r="Q8" s="15"/>
      <c r="R8" s="16" t="s">
        <v>28</v>
      </c>
      <c r="S8" s="15"/>
      <c r="T8" s="15"/>
      <c r="U8" s="15"/>
      <c r="V8" s="15"/>
      <c r="W8" s="15"/>
      <c r="X8" s="15"/>
      <c r="Y8" s="15"/>
      <c r="Z8" s="15"/>
      <c r="AA8" s="15"/>
    </row>
    <row r="9">
      <c r="A9" s="5" t="s">
        <v>40</v>
      </c>
      <c r="B9" s="17" t="s">
        <v>45</v>
      </c>
      <c r="C9" s="7" t="s">
        <v>46</v>
      </c>
      <c r="D9" s="8"/>
      <c r="E9" s="8" t="s">
        <v>47</v>
      </c>
      <c r="F9" s="9">
        <v>30000.0</v>
      </c>
      <c r="G9" s="18" t="s">
        <v>48</v>
      </c>
      <c r="H9" s="11" t="s">
        <v>49</v>
      </c>
      <c r="I9" s="10">
        <v>9.433054839E9</v>
      </c>
      <c r="J9" s="11" t="s">
        <v>25</v>
      </c>
      <c r="K9" s="12"/>
      <c r="L9" s="13"/>
      <c r="M9" s="14"/>
      <c r="N9" s="15"/>
      <c r="O9" s="5" t="s">
        <v>26</v>
      </c>
      <c r="P9" s="5"/>
      <c r="Q9" s="15"/>
      <c r="R9" s="16" t="s">
        <v>28</v>
      </c>
      <c r="S9" s="15"/>
      <c r="T9" s="15"/>
      <c r="U9" s="15"/>
      <c r="V9" s="15"/>
      <c r="W9" s="15"/>
      <c r="X9" s="15"/>
      <c r="Y9" s="15"/>
      <c r="Z9" s="15"/>
      <c r="AA9" s="15"/>
    </row>
    <row r="10">
      <c r="A10" s="5" t="s">
        <v>50</v>
      </c>
      <c r="B10" s="17" t="s">
        <v>51</v>
      </c>
      <c r="C10" s="7" t="s">
        <v>52</v>
      </c>
      <c r="D10" s="8"/>
      <c r="E10" s="8" t="s">
        <v>53</v>
      </c>
      <c r="F10" s="9">
        <v>20000.0</v>
      </c>
      <c r="G10" s="18" t="s">
        <v>54</v>
      </c>
      <c r="H10" s="11" t="s">
        <v>44</v>
      </c>
      <c r="I10" s="10">
        <v>9.038348592E9</v>
      </c>
      <c r="J10" s="11" t="s">
        <v>25</v>
      </c>
      <c r="K10" s="12"/>
      <c r="L10" s="13"/>
      <c r="M10" s="14"/>
      <c r="N10" s="15"/>
      <c r="O10" s="5" t="s">
        <v>34</v>
      </c>
      <c r="P10" s="5" t="s">
        <v>55</v>
      </c>
      <c r="Q10" s="15"/>
      <c r="R10" s="16" t="s">
        <v>28</v>
      </c>
      <c r="S10" s="15"/>
      <c r="T10" s="15"/>
      <c r="U10" s="15"/>
      <c r="V10" s="15"/>
      <c r="W10" s="15"/>
      <c r="X10" s="15"/>
      <c r="Y10" s="15"/>
      <c r="Z10" s="15"/>
      <c r="AA10" s="15"/>
    </row>
    <row r="11">
      <c r="A11" s="5" t="s">
        <v>56</v>
      </c>
      <c r="B11" s="17" t="s">
        <v>57</v>
      </c>
      <c r="C11" s="7" t="s">
        <v>58</v>
      </c>
      <c r="D11" s="8"/>
      <c r="E11" s="8" t="s">
        <v>43</v>
      </c>
      <c r="F11" s="9">
        <v>25000.0</v>
      </c>
      <c r="G11" s="18" t="s">
        <v>59</v>
      </c>
      <c r="H11" s="11" t="s">
        <v>24</v>
      </c>
      <c r="I11" s="10">
        <v>8.628848178E9</v>
      </c>
      <c r="J11" s="11" t="s">
        <v>25</v>
      </c>
      <c r="K11" s="12"/>
      <c r="L11" s="13"/>
      <c r="M11" s="14"/>
      <c r="N11" s="15"/>
      <c r="O11" s="5" t="s">
        <v>60</v>
      </c>
      <c r="P11" s="5"/>
      <c r="Q11" s="15"/>
      <c r="R11" s="16" t="s">
        <v>28</v>
      </c>
      <c r="S11" s="15"/>
      <c r="T11" s="15"/>
      <c r="U11" s="15"/>
      <c r="V11" s="15"/>
      <c r="W11" s="15"/>
      <c r="X11" s="15"/>
      <c r="Y11" s="15"/>
      <c r="Z11" s="15"/>
      <c r="AA11" s="15"/>
    </row>
    <row r="12">
      <c r="A12" s="5" t="s">
        <v>56</v>
      </c>
      <c r="B12" s="17" t="s">
        <v>61</v>
      </c>
      <c r="C12" s="7" t="s">
        <v>62</v>
      </c>
      <c r="D12" s="8"/>
      <c r="E12" s="8" t="s">
        <v>63</v>
      </c>
      <c r="F12" s="9">
        <v>2000.0</v>
      </c>
      <c r="G12" s="18" t="s">
        <v>64</v>
      </c>
      <c r="H12" s="11" t="s">
        <v>65</v>
      </c>
      <c r="I12" s="10">
        <v>9.903808769E9</v>
      </c>
      <c r="J12" s="11" t="s">
        <v>25</v>
      </c>
      <c r="K12" s="12"/>
      <c r="L12" s="13"/>
      <c r="M12" s="14"/>
      <c r="N12" s="15"/>
      <c r="O12" s="5" t="s">
        <v>26</v>
      </c>
      <c r="P12" s="5" t="s">
        <v>66</v>
      </c>
      <c r="Q12" s="15"/>
      <c r="R12" s="16" t="s">
        <v>28</v>
      </c>
      <c r="S12" s="15"/>
      <c r="T12" s="15"/>
      <c r="U12" s="15"/>
      <c r="V12" s="15"/>
      <c r="W12" s="15"/>
      <c r="X12" s="15"/>
      <c r="Y12" s="15"/>
      <c r="Z12" s="15"/>
      <c r="AA12" s="15"/>
    </row>
    <row r="13">
      <c r="A13" s="5" t="s">
        <v>67</v>
      </c>
      <c r="B13" s="17" t="s">
        <v>68</v>
      </c>
      <c r="C13" s="7" t="s">
        <v>69</v>
      </c>
      <c r="D13" s="8"/>
      <c r="E13" s="8" t="s">
        <v>70</v>
      </c>
      <c r="F13" s="9">
        <v>500.0</v>
      </c>
      <c r="G13" s="10" t="s">
        <v>71</v>
      </c>
      <c r="H13" s="11" t="s">
        <v>72</v>
      </c>
      <c r="I13" s="10">
        <v>9.830336335E9</v>
      </c>
      <c r="J13" s="11" t="s">
        <v>25</v>
      </c>
      <c r="K13" s="12"/>
      <c r="L13" s="13"/>
      <c r="M13" s="14"/>
      <c r="N13" s="15"/>
      <c r="O13" s="5" t="s">
        <v>34</v>
      </c>
      <c r="P13" s="5" t="s">
        <v>73</v>
      </c>
      <c r="Q13" s="15"/>
      <c r="R13" s="16" t="s">
        <v>74</v>
      </c>
      <c r="S13" s="15"/>
      <c r="T13" s="15"/>
      <c r="U13" s="15"/>
      <c r="V13" s="15"/>
      <c r="W13" s="15"/>
      <c r="X13" s="15"/>
      <c r="Y13" s="15"/>
      <c r="Z13" s="15"/>
      <c r="AA13" s="15"/>
    </row>
    <row r="14">
      <c r="A14" s="5" t="s">
        <v>67</v>
      </c>
      <c r="B14" s="17" t="s">
        <v>75</v>
      </c>
      <c r="C14" s="7" t="s">
        <v>76</v>
      </c>
      <c r="D14" s="8"/>
      <c r="E14" s="8" t="s">
        <v>77</v>
      </c>
      <c r="F14" s="9">
        <v>30000.0</v>
      </c>
      <c r="G14" s="10"/>
      <c r="H14" s="11" t="s">
        <v>78</v>
      </c>
      <c r="I14" s="10">
        <v>7.250213001E9</v>
      </c>
      <c r="J14" s="11" t="s">
        <v>25</v>
      </c>
      <c r="K14" s="12"/>
      <c r="L14" s="13"/>
      <c r="M14" s="14"/>
      <c r="N14" s="15"/>
      <c r="O14" s="5" t="s">
        <v>26</v>
      </c>
      <c r="P14" s="5" t="s">
        <v>79</v>
      </c>
      <c r="Q14" s="15"/>
      <c r="R14" s="16" t="s">
        <v>28</v>
      </c>
      <c r="S14" s="15"/>
      <c r="T14" s="15"/>
      <c r="U14" s="15"/>
      <c r="V14" s="15"/>
      <c r="W14" s="15"/>
      <c r="X14" s="15"/>
      <c r="Y14" s="15"/>
      <c r="Z14" s="15"/>
      <c r="AA14" s="15"/>
    </row>
    <row r="15">
      <c r="A15" s="5" t="s">
        <v>80</v>
      </c>
      <c r="B15" s="17" t="s">
        <v>81</v>
      </c>
      <c r="C15" s="7" t="s">
        <v>82</v>
      </c>
      <c r="D15" s="8"/>
      <c r="E15" s="8" t="s">
        <v>83</v>
      </c>
      <c r="F15" s="9">
        <v>2000.0</v>
      </c>
      <c r="G15" s="18" t="s">
        <v>84</v>
      </c>
      <c r="H15" s="11" t="s">
        <v>44</v>
      </c>
      <c r="I15" s="10">
        <v>9.088826075E9</v>
      </c>
      <c r="J15" s="11" t="s">
        <v>25</v>
      </c>
      <c r="K15" s="12"/>
      <c r="L15" s="13"/>
      <c r="M15" s="14"/>
      <c r="N15" s="15"/>
      <c r="O15" s="5" t="s">
        <v>26</v>
      </c>
      <c r="P15" s="5"/>
      <c r="Q15" s="15"/>
      <c r="R15" s="16" t="s">
        <v>28</v>
      </c>
      <c r="S15" s="15"/>
      <c r="T15" s="15"/>
      <c r="U15" s="15"/>
      <c r="V15" s="15"/>
      <c r="W15" s="15"/>
      <c r="X15" s="15"/>
      <c r="Y15" s="15"/>
      <c r="Z15" s="15"/>
      <c r="AA15" s="15"/>
    </row>
    <row r="16">
      <c r="A16" s="5" t="s">
        <v>80</v>
      </c>
      <c r="B16" s="17" t="s">
        <v>85</v>
      </c>
      <c r="C16" s="7" t="s">
        <v>86</v>
      </c>
      <c r="D16" s="8"/>
      <c r="E16" s="8" t="s">
        <v>87</v>
      </c>
      <c r="F16" s="9">
        <v>500.0</v>
      </c>
      <c r="G16" s="18" t="s">
        <v>88</v>
      </c>
      <c r="H16" s="11" t="s">
        <v>44</v>
      </c>
      <c r="I16" s="10">
        <v>9.831978821E9</v>
      </c>
      <c r="J16" s="11" t="s">
        <v>25</v>
      </c>
      <c r="K16" s="12"/>
      <c r="L16" s="13"/>
      <c r="M16" s="14"/>
      <c r="N16" s="15"/>
      <c r="O16" s="5" t="s">
        <v>34</v>
      </c>
      <c r="P16" s="5" t="s">
        <v>79</v>
      </c>
      <c r="Q16" s="15"/>
      <c r="R16" s="16" t="s">
        <v>28</v>
      </c>
      <c r="S16" s="15"/>
      <c r="T16" s="15"/>
      <c r="U16" s="15"/>
      <c r="V16" s="15"/>
      <c r="W16" s="15"/>
      <c r="X16" s="15"/>
      <c r="Y16" s="15"/>
      <c r="Z16" s="15"/>
      <c r="AA16" s="15"/>
    </row>
    <row r="17">
      <c r="A17" s="5" t="s">
        <v>89</v>
      </c>
      <c r="B17" s="17" t="s">
        <v>90</v>
      </c>
      <c r="C17" s="7" t="s">
        <v>91</v>
      </c>
      <c r="D17" s="8"/>
      <c r="E17" s="8" t="s">
        <v>92</v>
      </c>
      <c r="F17" s="9">
        <v>1000.0</v>
      </c>
      <c r="G17" s="19" t="s">
        <v>93</v>
      </c>
      <c r="H17" s="11" t="s">
        <v>44</v>
      </c>
      <c r="I17" s="10">
        <v>9.00728636E9</v>
      </c>
      <c r="J17" s="11" t="s">
        <v>25</v>
      </c>
      <c r="K17" s="12"/>
      <c r="L17" s="13"/>
      <c r="M17" s="14"/>
      <c r="N17" s="15"/>
      <c r="O17" s="5" t="s">
        <v>26</v>
      </c>
      <c r="P17" s="5" t="s">
        <v>94</v>
      </c>
      <c r="Q17" s="15"/>
      <c r="R17" s="16" t="s">
        <v>28</v>
      </c>
      <c r="S17" s="15"/>
      <c r="T17" s="15"/>
      <c r="U17" s="15"/>
      <c r="V17" s="15"/>
      <c r="W17" s="15"/>
      <c r="X17" s="15"/>
      <c r="Y17" s="15"/>
      <c r="Z17" s="15"/>
      <c r="AA17" s="15"/>
    </row>
    <row r="18">
      <c r="A18" s="5" t="s">
        <v>89</v>
      </c>
      <c r="B18" s="17" t="s">
        <v>95</v>
      </c>
      <c r="C18" s="7" t="s">
        <v>96</v>
      </c>
      <c r="D18" s="8"/>
      <c r="E18" s="8" t="s">
        <v>97</v>
      </c>
      <c r="F18" s="9">
        <v>16000.0</v>
      </c>
      <c r="G18" s="19" t="s">
        <v>98</v>
      </c>
      <c r="H18" s="11" t="s">
        <v>99</v>
      </c>
      <c r="I18" s="10">
        <v>8.455092973E9</v>
      </c>
      <c r="J18" s="11" t="s">
        <v>25</v>
      </c>
      <c r="K18" s="12"/>
      <c r="L18" s="13"/>
      <c r="M18" s="14"/>
      <c r="N18" s="15"/>
      <c r="O18" s="5" t="s">
        <v>26</v>
      </c>
      <c r="P18" s="5"/>
      <c r="Q18" s="15"/>
      <c r="R18" s="16" t="s">
        <v>28</v>
      </c>
      <c r="S18" s="15"/>
      <c r="T18" s="15"/>
      <c r="U18" s="15"/>
      <c r="V18" s="15"/>
      <c r="W18" s="15"/>
      <c r="X18" s="15"/>
      <c r="Y18" s="15"/>
      <c r="Z18" s="15"/>
      <c r="AA18" s="15"/>
    </row>
    <row r="19">
      <c r="A19" s="5" t="s">
        <v>100</v>
      </c>
      <c r="B19" s="17" t="s">
        <v>101</v>
      </c>
      <c r="C19" s="7" t="s">
        <v>102</v>
      </c>
      <c r="D19" s="8"/>
      <c r="E19" s="8" t="s">
        <v>87</v>
      </c>
      <c r="F19" s="9">
        <v>5000.0</v>
      </c>
      <c r="G19" s="10"/>
      <c r="H19" s="11" t="s">
        <v>44</v>
      </c>
      <c r="I19" s="10">
        <v>9.831813814E9</v>
      </c>
      <c r="J19" s="11" t="s">
        <v>25</v>
      </c>
      <c r="K19" s="12"/>
      <c r="L19" s="13"/>
      <c r="M19" s="14"/>
      <c r="N19" s="15"/>
      <c r="O19" s="5" t="s">
        <v>60</v>
      </c>
      <c r="P19" s="5"/>
      <c r="Q19" s="15"/>
      <c r="R19" s="16" t="s">
        <v>28</v>
      </c>
      <c r="S19" s="15"/>
      <c r="T19" s="15"/>
      <c r="U19" s="15"/>
      <c r="V19" s="15"/>
      <c r="W19" s="15"/>
      <c r="X19" s="15"/>
      <c r="Y19" s="15"/>
      <c r="Z19" s="15"/>
      <c r="AA19" s="15"/>
    </row>
    <row r="20">
      <c r="A20" s="5" t="s">
        <v>103</v>
      </c>
      <c r="B20" s="17" t="s">
        <v>104</v>
      </c>
      <c r="C20" s="7" t="s">
        <v>105</v>
      </c>
      <c r="D20" s="8"/>
      <c r="E20" s="8" t="s">
        <v>106</v>
      </c>
      <c r="F20" s="9">
        <v>1500.0</v>
      </c>
      <c r="G20" s="10"/>
      <c r="H20" s="11" t="s">
        <v>107</v>
      </c>
      <c r="I20" s="10">
        <v>9.871127636E9</v>
      </c>
      <c r="J20" s="11" t="s">
        <v>25</v>
      </c>
      <c r="K20" s="12"/>
      <c r="L20" s="13"/>
      <c r="M20" s="14"/>
      <c r="N20" s="15"/>
      <c r="O20" s="5" t="s">
        <v>108</v>
      </c>
      <c r="P20" s="5"/>
      <c r="Q20" s="15"/>
      <c r="R20" s="16" t="s">
        <v>28</v>
      </c>
      <c r="S20" s="15"/>
      <c r="T20" s="15"/>
      <c r="U20" s="15"/>
      <c r="V20" s="15"/>
      <c r="W20" s="15"/>
      <c r="X20" s="15"/>
      <c r="Y20" s="15"/>
      <c r="Z20" s="15"/>
      <c r="AA20" s="15"/>
    </row>
    <row r="21">
      <c r="A21" s="5" t="s">
        <v>103</v>
      </c>
      <c r="B21" s="17" t="s">
        <v>109</v>
      </c>
      <c r="C21" s="7" t="s">
        <v>110</v>
      </c>
      <c r="D21" s="8"/>
      <c r="E21" s="8" t="s">
        <v>92</v>
      </c>
      <c r="F21" s="9">
        <v>1000.0</v>
      </c>
      <c r="G21" s="18" t="s">
        <v>111</v>
      </c>
      <c r="H21" s="11" t="s">
        <v>44</v>
      </c>
      <c r="I21" s="10">
        <v>7.980315559E9</v>
      </c>
      <c r="J21" s="11" t="s">
        <v>25</v>
      </c>
      <c r="K21" s="12"/>
      <c r="L21" s="13"/>
      <c r="M21" s="14"/>
      <c r="N21" s="15"/>
      <c r="O21" s="5" t="s">
        <v>26</v>
      </c>
      <c r="P21" s="5" t="s">
        <v>112</v>
      </c>
      <c r="Q21" s="15"/>
      <c r="R21" s="16" t="s">
        <v>28</v>
      </c>
      <c r="S21" s="15"/>
      <c r="T21" s="15"/>
      <c r="U21" s="15"/>
      <c r="V21" s="15"/>
      <c r="W21" s="15"/>
      <c r="X21" s="15"/>
      <c r="Y21" s="15"/>
      <c r="Z21" s="15"/>
      <c r="AA21" s="15"/>
    </row>
    <row r="22">
      <c r="A22" s="5" t="s">
        <v>113</v>
      </c>
      <c r="B22" s="17" t="s">
        <v>114</v>
      </c>
      <c r="C22" s="7" t="s">
        <v>115</v>
      </c>
      <c r="D22" s="8"/>
      <c r="E22" s="8" t="s">
        <v>116</v>
      </c>
      <c r="F22" s="9">
        <v>20000.0</v>
      </c>
      <c r="G22" s="18" t="s">
        <v>117</v>
      </c>
      <c r="H22" s="11" t="s">
        <v>118</v>
      </c>
      <c r="I22" s="10">
        <v>8.296344965E9</v>
      </c>
      <c r="J22" s="11" t="s">
        <v>25</v>
      </c>
      <c r="K22" s="12"/>
      <c r="L22" s="13"/>
      <c r="M22" s="14"/>
      <c r="N22" s="15"/>
      <c r="O22" s="5" t="s">
        <v>26</v>
      </c>
      <c r="P22" s="5"/>
      <c r="Q22" s="15"/>
      <c r="R22" s="16" t="s">
        <v>28</v>
      </c>
      <c r="S22" s="15"/>
      <c r="T22" s="15"/>
      <c r="U22" s="15"/>
      <c r="V22" s="15"/>
      <c r="W22" s="15"/>
      <c r="X22" s="15"/>
      <c r="Y22" s="15"/>
      <c r="Z22" s="15"/>
      <c r="AA22" s="15"/>
    </row>
    <row r="23">
      <c r="A23" s="5" t="s">
        <v>113</v>
      </c>
      <c r="B23" s="17" t="s">
        <v>119</v>
      </c>
      <c r="C23" s="7" t="s">
        <v>120</v>
      </c>
      <c r="D23" s="8"/>
      <c r="E23" s="8" t="s">
        <v>121</v>
      </c>
      <c r="F23" s="9">
        <v>200.0</v>
      </c>
      <c r="G23" s="18" t="s">
        <v>122</v>
      </c>
      <c r="H23" s="11" t="s">
        <v>44</v>
      </c>
      <c r="I23" s="10">
        <v>9.932204993E9</v>
      </c>
      <c r="J23" s="11" t="s">
        <v>25</v>
      </c>
      <c r="K23" s="12"/>
      <c r="L23" s="13"/>
      <c r="M23" s="14"/>
      <c r="N23" s="15"/>
      <c r="O23" s="5" t="s">
        <v>26</v>
      </c>
      <c r="P23" s="5" t="s">
        <v>123</v>
      </c>
      <c r="Q23" s="15"/>
      <c r="R23" s="16" t="s">
        <v>28</v>
      </c>
      <c r="S23" s="15"/>
      <c r="T23" s="15"/>
      <c r="U23" s="15"/>
      <c r="V23" s="15"/>
      <c r="W23" s="15"/>
      <c r="X23" s="15"/>
      <c r="Y23" s="15"/>
      <c r="Z23" s="15"/>
      <c r="AA23" s="15"/>
    </row>
    <row r="24">
      <c r="A24" s="5" t="s">
        <v>113</v>
      </c>
      <c r="B24" s="17" t="s">
        <v>124</v>
      </c>
      <c r="C24" s="7" t="s">
        <v>125</v>
      </c>
      <c r="D24" s="8"/>
      <c r="E24" s="8" t="s">
        <v>77</v>
      </c>
      <c r="F24" s="9">
        <v>2000.0</v>
      </c>
      <c r="G24" s="19" t="s">
        <v>126</v>
      </c>
      <c r="H24" s="11" t="s">
        <v>99</v>
      </c>
      <c r="I24" s="10">
        <v>9.338777177E9</v>
      </c>
      <c r="J24" s="11" t="s">
        <v>25</v>
      </c>
      <c r="K24" s="12"/>
      <c r="L24" s="13"/>
      <c r="M24" s="14"/>
      <c r="N24" s="15"/>
      <c r="O24" s="5" t="s">
        <v>34</v>
      </c>
      <c r="P24" s="5" t="s">
        <v>79</v>
      </c>
      <c r="Q24" s="15"/>
      <c r="R24" s="16" t="s">
        <v>28</v>
      </c>
      <c r="S24" s="15"/>
      <c r="T24" s="15"/>
      <c r="U24" s="15"/>
      <c r="V24" s="15"/>
      <c r="W24" s="15"/>
      <c r="X24" s="15"/>
      <c r="Y24" s="15"/>
      <c r="Z24" s="15"/>
      <c r="AA24" s="15"/>
    </row>
    <row r="25">
      <c r="A25" s="5" t="s">
        <v>127</v>
      </c>
      <c r="B25" s="17" t="s">
        <v>128</v>
      </c>
      <c r="C25" s="7" t="s">
        <v>129</v>
      </c>
      <c r="D25" s="8"/>
      <c r="E25" s="8" t="s">
        <v>130</v>
      </c>
      <c r="F25" s="9">
        <v>10000.0</v>
      </c>
      <c r="G25" s="10"/>
      <c r="H25" s="11" t="s">
        <v>131</v>
      </c>
      <c r="I25" s="10">
        <v>7.002756651E9</v>
      </c>
      <c r="J25" s="11" t="s">
        <v>25</v>
      </c>
      <c r="K25" s="12"/>
      <c r="L25" s="13"/>
      <c r="M25" s="14"/>
      <c r="N25" s="15"/>
      <c r="O25" s="5" t="s">
        <v>34</v>
      </c>
      <c r="P25" s="5" t="s">
        <v>132</v>
      </c>
      <c r="Q25" s="15"/>
      <c r="R25" s="16" t="s">
        <v>28</v>
      </c>
      <c r="S25" s="15"/>
      <c r="T25" s="15"/>
      <c r="U25" s="15"/>
      <c r="V25" s="15"/>
      <c r="W25" s="15"/>
      <c r="X25" s="15"/>
      <c r="Y25" s="15"/>
      <c r="Z25" s="15"/>
      <c r="AA25" s="15"/>
    </row>
    <row r="26">
      <c r="A26" s="5" t="s">
        <v>133</v>
      </c>
      <c r="B26" s="17" t="s">
        <v>134</v>
      </c>
      <c r="C26" s="20" t="s">
        <v>135</v>
      </c>
      <c r="D26" s="8"/>
      <c r="E26" s="8" t="s">
        <v>38</v>
      </c>
      <c r="F26" s="9">
        <v>1000.0</v>
      </c>
      <c r="G26" s="18" t="s">
        <v>136</v>
      </c>
      <c r="H26" s="11" t="s">
        <v>44</v>
      </c>
      <c r="I26" s="10">
        <v>7.044074281E9</v>
      </c>
      <c r="J26" s="11" t="s">
        <v>25</v>
      </c>
      <c r="K26" s="12" t="s">
        <v>137</v>
      </c>
      <c r="L26" s="13"/>
      <c r="M26" s="14"/>
      <c r="N26" s="15"/>
      <c r="O26" s="5" t="s">
        <v>26</v>
      </c>
      <c r="P26" s="5" t="s">
        <v>138</v>
      </c>
      <c r="Q26" s="15"/>
      <c r="R26" s="16" t="s">
        <v>28</v>
      </c>
      <c r="S26" s="15"/>
      <c r="T26" s="15"/>
      <c r="U26" s="15"/>
      <c r="V26" s="15"/>
      <c r="W26" s="15"/>
      <c r="X26" s="15"/>
      <c r="Y26" s="15"/>
      <c r="Z26" s="15"/>
      <c r="AA26" s="15"/>
    </row>
    <row r="27">
      <c r="A27" s="5" t="s">
        <v>133</v>
      </c>
      <c r="B27" s="17" t="s">
        <v>139</v>
      </c>
      <c r="C27" s="7" t="s">
        <v>140</v>
      </c>
      <c r="D27" s="8"/>
      <c r="E27" s="8" t="s">
        <v>141</v>
      </c>
      <c r="F27" s="9">
        <v>10000.0</v>
      </c>
      <c r="G27" s="18" t="s">
        <v>142</v>
      </c>
      <c r="H27" s="11" t="s">
        <v>44</v>
      </c>
      <c r="I27" s="10">
        <v>9.831122708E9</v>
      </c>
      <c r="J27" s="11" t="s">
        <v>25</v>
      </c>
      <c r="K27" s="12"/>
      <c r="L27" s="13"/>
      <c r="M27" s="14"/>
      <c r="N27" s="15"/>
      <c r="O27" s="5" t="s">
        <v>34</v>
      </c>
      <c r="P27" s="5" t="s">
        <v>143</v>
      </c>
      <c r="Q27" s="15"/>
      <c r="R27" s="16" t="s">
        <v>28</v>
      </c>
      <c r="S27" s="15"/>
      <c r="T27" s="15"/>
      <c r="U27" s="15"/>
      <c r="V27" s="15"/>
      <c r="W27" s="15"/>
      <c r="X27" s="15"/>
      <c r="Y27" s="15"/>
      <c r="Z27" s="15"/>
      <c r="AA27" s="15"/>
    </row>
    <row r="28">
      <c r="A28" s="5" t="s">
        <v>144</v>
      </c>
      <c r="B28" s="17" t="s">
        <v>145</v>
      </c>
      <c r="C28" s="7" t="s">
        <v>146</v>
      </c>
      <c r="D28" s="8"/>
      <c r="E28" s="8" t="s">
        <v>147</v>
      </c>
      <c r="F28" s="9">
        <v>250.0</v>
      </c>
      <c r="G28" s="21" t="s">
        <v>148</v>
      </c>
      <c r="H28" s="11" t="s">
        <v>44</v>
      </c>
      <c r="I28" s="10">
        <v>9.8311246E9</v>
      </c>
      <c r="J28" s="11" t="s">
        <v>25</v>
      </c>
      <c r="K28" s="12"/>
      <c r="L28" s="13"/>
      <c r="M28" s="14"/>
      <c r="N28" s="15"/>
      <c r="O28" s="5" t="s">
        <v>34</v>
      </c>
      <c r="P28" s="5" t="s">
        <v>149</v>
      </c>
      <c r="Q28" s="15"/>
      <c r="R28" s="16" t="s">
        <v>28</v>
      </c>
      <c r="S28" s="15"/>
      <c r="T28" s="15"/>
      <c r="U28" s="15"/>
      <c r="V28" s="15"/>
      <c r="W28" s="15"/>
      <c r="X28" s="15"/>
      <c r="Y28" s="15"/>
      <c r="Z28" s="15"/>
      <c r="AA28" s="15"/>
    </row>
    <row r="29">
      <c r="A29" s="5" t="s">
        <v>144</v>
      </c>
      <c r="B29" s="17" t="s">
        <v>150</v>
      </c>
      <c r="C29" s="7" t="s">
        <v>151</v>
      </c>
      <c r="D29" s="8"/>
      <c r="E29" s="8" t="s">
        <v>152</v>
      </c>
      <c r="F29" s="9">
        <v>20000.0</v>
      </c>
      <c r="G29" s="18" t="s">
        <v>153</v>
      </c>
      <c r="H29" s="11" t="s">
        <v>44</v>
      </c>
      <c r="I29" s="10">
        <v>9.83004853E9</v>
      </c>
      <c r="J29" s="11" t="s">
        <v>25</v>
      </c>
      <c r="K29" s="12"/>
      <c r="L29" s="13"/>
      <c r="M29" s="14"/>
      <c r="N29" s="15"/>
      <c r="O29" s="5" t="s">
        <v>26</v>
      </c>
      <c r="P29" s="5"/>
      <c r="Q29" s="15"/>
      <c r="R29" s="16" t="s">
        <v>28</v>
      </c>
      <c r="S29" s="15"/>
      <c r="T29" s="15"/>
      <c r="U29" s="15"/>
      <c r="V29" s="15"/>
      <c r="W29" s="15"/>
      <c r="X29" s="15"/>
      <c r="Y29" s="15"/>
      <c r="Z29" s="15"/>
      <c r="AA29" s="15"/>
    </row>
    <row r="30">
      <c r="A30" s="5" t="s">
        <v>144</v>
      </c>
      <c r="B30" s="17" t="s">
        <v>154</v>
      </c>
      <c r="C30" s="7" t="s">
        <v>155</v>
      </c>
      <c r="D30" s="8"/>
      <c r="E30" s="8" t="s">
        <v>156</v>
      </c>
      <c r="F30" s="9">
        <v>5000.0</v>
      </c>
      <c r="G30" s="19" t="s">
        <v>157</v>
      </c>
      <c r="H30" s="11" t="s">
        <v>158</v>
      </c>
      <c r="I30" s="10">
        <v>8.420625834E9</v>
      </c>
      <c r="J30" s="11" t="s">
        <v>25</v>
      </c>
      <c r="K30" s="12"/>
      <c r="L30" s="13"/>
      <c r="M30" s="14"/>
      <c r="N30" s="15"/>
      <c r="O30" s="5" t="s">
        <v>60</v>
      </c>
      <c r="P30" s="5"/>
      <c r="Q30" s="15"/>
      <c r="R30" s="16" t="s">
        <v>28</v>
      </c>
      <c r="S30" s="15"/>
      <c r="T30" s="15"/>
      <c r="U30" s="15"/>
      <c r="V30" s="15"/>
      <c r="W30" s="15"/>
      <c r="X30" s="15"/>
      <c r="Y30" s="15"/>
      <c r="Z30" s="15"/>
      <c r="AA30" s="15"/>
    </row>
    <row r="31">
      <c r="A31" s="5" t="s">
        <v>159</v>
      </c>
      <c r="B31" s="17" t="s">
        <v>160</v>
      </c>
      <c r="C31" s="7" t="s">
        <v>161</v>
      </c>
      <c r="D31" s="8"/>
      <c r="E31" s="8" t="s">
        <v>162</v>
      </c>
      <c r="F31" s="9">
        <v>1000.0</v>
      </c>
      <c r="G31" s="22" t="s">
        <v>163</v>
      </c>
      <c r="H31" s="11" t="s">
        <v>107</v>
      </c>
      <c r="I31" s="10">
        <v>7.217703931E9</v>
      </c>
      <c r="J31" s="11" t="s">
        <v>25</v>
      </c>
      <c r="K31" s="12"/>
      <c r="L31" s="13"/>
      <c r="M31" s="14"/>
      <c r="N31" s="15"/>
      <c r="O31" s="5" t="s">
        <v>108</v>
      </c>
      <c r="P31" s="5" t="s">
        <v>164</v>
      </c>
      <c r="Q31" s="15"/>
      <c r="R31" s="16" t="s">
        <v>28</v>
      </c>
      <c r="S31" s="15"/>
      <c r="T31" s="15"/>
      <c r="U31" s="15"/>
      <c r="V31" s="15"/>
      <c r="W31" s="15"/>
      <c r="X31" s="15"/>
      <c r="Y31" s="15"/>
      <c r="Z31" s="15"/>
      <c r="AA31" s="15"/>
    </row>
    <row r="32">
      <c r="A32" s="5" t="s">
        <v>159</v>
      </c>
      <c r="B32" s="17" t="s">
        <v>165</v>
      </c>
      <c r="C32" s="7" t="s">
        <v>166</v>
      </c>
      <c r="D32" s="8"/>
      <c r="E32" s="8" t="s">
        <v>167</v>
      </c>
      <c r="F32" s="9">
        <v>1000.0</v>
      </c>
      <c r="G32" s="18" t="s">
        <v>168</v>
      </c>
      <c r="H32" s="11" t="s">
        <v>44</v>
      </c>
      <c r="I32" s="10">
        <v>7.076742974E9</v>
      </c>
      <c r="J32" s="11" t="s">
        <v>25</v>
      </c>
      <c r="K32" s="12"/>
      <c r="L32" s="13"/>
      <c r="M32" s="14"/>
      <c r="N32" s="15"/>
      <c r="O32" s="5" t="s">
        <v>26</v>
      </c>
      <c r="P32" s="5"/>
      <c r="Q32" s="15"/>
      <c r="R32" s="16" t="s">
        <v>28</v>
      </c>
      <c r="S32" s="15"/>
      <c r="T32" s="15"/>
      <c r="U32" s="15"/>
      <c r="V32" s="15"/>
      <c r="W32" s="15"/>
      <c r="X32" s="15"/>
      <c r="Y32" s="15"/>
      <c r="Z32" s="15"/>
      <c r="AA32" s="15"/>
    </row>
    <row r="33">
      <c r="A33" s="5" t="s">
        <v>169</v>
      </c>
      <c r="B33" s="17" t="s">
        <v>170</v>
      </c>
      <c r="C33" s="7" t="s">
        <v>171</v>
      </c>
      <c r="D33" s="8"/>
      <c r="E33" s="8" t="s">
        <v>172</v>
      </c>
      <c r="F33" s="9">
        <v>1000.0</v>
      </c>
      <c r="G33" s="23" t="s">
        <v>173</v>
      </c>
      <c r="H33" s="24" t="s">
        <v>174</v>
      </c>
      <c r="I33" s="10">
        <v>9.775573741E9</v>
      </c>
      <c r="J33" s="11" t="s">
        <v>25</v>
      </c>
      <c r="K33" s="12"/>
      <c r="L33" s="13"/>
      <c r="M33" s="14"/>
      <c r="N33" s="15"/>
      <c r="O33" s="5" t="s">
        <v>26</v>
      </c>
      <c r="P33" s="5"/>
      <c r="Q33" s="15"/>
      <c r="R33" s="16" t="s">
        <v>28</v>
      </c>
      <c r="S33" s="15"/>
      <c r="T33" s="15"/>
      <c r="U33" s="15"/>
      <c r="V33" s="15"/>
      <c r="W33" s="15"/>
      <c r="X33" s="15"/>
      <c r="Y33" s="15"/>
      <c r="Z33" s="15"/>
      <c r="AA33" s="15"/>
    </row>
    <row r="34">
      <c r="A34" s="5" t="s">
        <v>175</v>
      </c>
      <c r="B34" s="17" t="s">
        <v>176</v>
      </c>
      <c r="C34" s="7" t="s">
        <v>177</v>
      </c>
      <c r="D34" s="8"/>
      <c r="E34" s="8" t="s">
        <v>178</v>
      </c>
      <c r="F34" s="9">
        <v>500.0</v>
      </c>
      <c r="G34" s="19" t="s">
        <v>179</v>
      </c>
      <c r="H34" s="11" t="s">
        <v>44</v>
      </c>
      <c r="I34" s="10">
        <v>8.637845292E9</v>
      </c>
      <c r="J34" s="11" t="s">
        <v>25</v>
      </c>
      <c r="K34" s="12"/>
      <c r="L34" s="13"/>
      <c r="M34" s="14"/>
      <c r="N34" s="15"/>
      <c r="O34" s="5" t="s">
        <v>60</v>
      </c>
      <c r="P34" s="5"/>
      <c r="Q34" s="15"/>
      <c r="R34" s="16" t="s">
        <v>28</v>
      </c>
      <c r="S34" s="15"/>
      <c r="T34" s="15"/>
      <c r="U34" s="15"/>
      <c r="V34" s="15"/>
      <c r="W34" s="15"/>
      <c r="X34" s="15"/>
      <c r="Y34" s="15"/>
      <c r="Z34" s="15"/>
      <c r="AA34" s="15"/>
    </row>
    <row r="35">
      <c r="A35" s="5" t="s">
        <v>175</v>
      </c>
      <c r="B35" s="17" t="s">
        <v>180</v>
      </c>
      <c r="C35" s="7" t="s">
        <v>181</v>
      </c>
      <c r="D35" s="8"/>
      <c r="E35" s="8" t="s">
        <v>182</v>
      </c>
      <c r="F35" s="9">
        <v>700.0</v>
      </c>
      <c r="G35" s="18" t="s">
        <v>183</v>
      </c>
      <c r="H35" s="11" t="s">
        <v>184</v>
      </c>
      <c r="I35" s="10">
        <v>8.789063283E9</v>
      </c>
      <c r="J35" s="11" t="s">
        <v>25</v>
      </c>
      <c r="K35" s="12"/>
      <c r="L35" s="13"/>
      <c r="M35" s="14"/>
      <c r="N35" s="15"/>
      <c r="O35" s="5" t="s">
        <v>34</v>
      </c>
      <c r="P35" s="5" t="s">
        <v>185</v>
      </c>
      <c r="Q35" s="15"/>
      <c r="R35" s="16" t="s">
        <v>28</v>
      </c>
      <c r="S35" s="15"/>
      <c r="T35" s="15"/>
      <c r="U35" s="15"/>
      <c r="V35" s="15"/>
      <c r="W35" s="15"/>
      <c r="X35" s="15"/>
      <c r="Y35" s="15"/>
      <c r="Z35" s="15"/>
      <c r="AA35" s="15"/>
    </row>
    <row r="36">
      <c r="A36" s="5" t="s">
        <v>186</v>
      </c>
      <c r="B36" s="17" t="s">
        <v>187</v>
      </c>
      <c r="C36" s="7" t="s">
        <v>188</v>
      </c>
      <c r="D36" s="8"/>
      <c r="E36" s="8" t="s">
        <v>189</v>
      </c>
      <c r="F36" s="9">
        <v>2000.0</v>
      </c>
      <c r="G36" s="19" t="s">
        <v>190</v>
      </c>
      <c r="H36" s="11" t="s">
        <v>191</v>
      </c>
      <c r="I36" s="10">
        <v>8.016921563E9</v>
      </c>
      <c r="J36" s="11" t="s">
        <v>25</v>
      </c>
      <c r="K36" s="12"/>
      <c r="L36" s="13"/>
      <c r="M36" s="14"/>
      <c r="N36" s="15"/>
      <c r="O36" s="5" t="s">
        <v>34</v>
      </c>
      <c r="P36" s="5" t="s">
        <v>79</v>
      </c>
      <c r="Q36" s="15"/>
      <c r="R36" s="16" t="s">
        <v>28</v>
      </c>
      <c r="S36" s="15"/>
      <c r="T36" s="15"/>
      <c r="U36" s="15"/>
      <c r="V36" s="15"/>
      <c r="W36" s="15"/>
      <c r="X36" s="15"/>
      <c r="Y36" s="15"/>
      <c r="Z36" s="15"/>
      <c r="AA36" s="15"/>
    </row>
    <row r="37">
      <c r="A37" s="5" t="s">
        <v>192</v>
      </c>
      <c r="B37" s="17" t="s">
        <v>193</v>
      </c>
      <c r="C37" s="7" t="s">
        <v>194</v>
      </c>
      <c r="D37" s="8"/>
      <c r="E37" s="8" t="s">
        <v>130</v>
      </c>
      <c r="F37" s="9">
        <v>500.0</v>
      </c>
      <c r="G37" s="18" t="s">
        <v>195</v>
      </c>
      <c r="H37" s="11" t="s">
        <v>196</v>
      </c>
      <c r="I37" s="25">
        <v>8.250010266E9</v>
      </c>
      <c r="J37" s="11" t="s">
        <v>25</v>
      </c>
      <c r="K37" s="12"/>
      <c r="L37" s="13"/>
      <c r="M37" s="14"/>
      <c r="N37" s="15"/>
      <c r="O37" s="5" t="s">
        <v>34</v>
      </c>
      <c r="P37" s="5" t="s">
        <v>197</v>
      </c>
      <c r="Q37" s="5" t="s">
        <v>198</v>
      </c>
      <c r="R37" s="16" t="s">
        <v>28</v>
      </c>
      <c r="S37" s="15"/>
      <c r="T37" s="15"/>
      <c r="U37" s="15"/>
      <c r="V37" s="15"/>
      <c r="W37" s="15"/>
      <c r="X37" s="15"/>
      <c r="Y37" s="15"/>
      <c r="Z37" s="15"/>
      <c r="AA37" s="15"/>
    </row>
    <row r="38">
      <c r="A38" s="5" t="s">
        <v>199</v>
      </c>
      <c r="B38" s="17" t="s">
        <v>200</v>
      </c>
      <c r="C38" s="7" t="s">
        <v>201</v>
      </c>
      <c r="D38" s="8"/>
      <c r="E38" s="8" t="s">
        <v>202</v>
      </c>
      <c r="F38" s="9">
        <v>10000.0</v>
      </c>
      <c r="G38" s="18" t="s">
        <v>203</v>
      </c>
      <c r="H38" s="11" t="s">
        <v>99</v>
      </c>
      <c r="I38" s="25">
        <v>7.205555455E9</v>
      </c>
      <c r="J38" s="11" t="s">
        <v>25</v>
      </c>
      <c r="K38" s="12"/>
      <c r="L38" s="13"/>
      <c r="M38" s="14"/>
      <c r="N38" s="15"/>
      <c r="O38" s="5" t="s">
        <v>34</v>
      </c>
      <c r="P38" s="5" t="s">
        <v>204</v>
      </c>
      <c r="Q38" s="15"/>
      <c r="R38" s="16" t="s">
        <v>28</v>
      </c>
      <c r="S38" s="15"/>
      <c r="T38" s="15"/>
      <c r="U38" s="15"/>
      <c r="V38" s="15"/>
      <c r="W38" s="15"/>
      <c r="X38" s="15"/>
      <c r="Y38" s="15"/>
      <c r="Z38" s="15"/>
      <c r="AA38" s="15"/>
    </row>
    <row r="39">
      <c r="A39" s="5" t="s">
        <v>199</v>
      </c>
      <c r="B39" s="17" t="s">
        <v>205</v>
      </c>
      <c r="C39" s="7" t="s">
        <v>206</v>
      </c>
      <c r="D39" s="8"/>
      <c r="E39" s="8" t="s">
        <v>207</v>
      </c>
      <c r="F39" s="9">
        <v>5000.0</v>
      </c>
      <c r="G39" s="18" t="s">
        <v>208</v>
      </c>
      <c r="H39" s="11" t="s">
        <v>99</v>
      </c>
      <c r="I39" s="25">
        <v>9.583498939E9</v>
      </c>
      <c r="J39" s="11" t="s">
        <v>25</v>
      </c>
      <c r="K39" s="12"/>
      <c r="L39" s="13"/>
      <c r="M39" s="14"/>
      <c r="N39" s="15"/>
      <c r="O39" s="5" t="s">
        <v>34</v>
      </c>
      <c r="P39" s="5" t="s">
        <v>209</v>
      </c>
      <c r="Q39" s="15"/>
      <c r="R39" s="16" t="s">
        <v>28</v>
      </c>
      <c r="S39" s="15"/>
      <c r="T39" s="15"/>
      <c r="U39" s="15"/>
      <c r="V39" s="15"/>
      <c r="W39" s="15"/>
      <c r="X39" s="15"/>
      <c r="Y39" s="15"/>
      <c r="Z39" s="15"/>
      <c r="AA39" s="15"/>
    </row>
    <row r="40">
      <c r="A40" s="5" t="s">
        <v>210</v>
      </c>
      <c r="B40" s="17" t="s">
        <v>211</v>
      </c>
      <c r="C40" s="7" t="s">
        <v>212</v>
      </c>
      <c r="D40" s="8"/>
      <c r="E40" s="8" t="s">
        <v>213</v>
      </c>
      <c r="F40" s="9">
        <v>1500.0</v>
      </c>
      <c r="G40" s="18" t="s">
        <v>214</v>
      </c>
      <c r="H40" s="11" t="s">
        <v>44</v>
      </c>
      <c r="I40" s="25">
        <v>7.044474506E9</v>
      </c>
      <c r="J40" s="11" t="s">
        <v>25</v>
      </c>
      <c r="K40" s="12"/>
      <c r="L40" s="13"/>
      <c r="M40" s="14"/>
      <c r="N40" s="15"/>
      <c r="O40" s="5" t="s">
        <v>34</v>
      </c>
      <c r="P40" s="5"/>
      <c r="Q40" s="15"/>
      <c r="R40" s="16" t="s">
        <v>28</v>
      </c>
      <c r="S40" s="15"/>
      <c r="T40" s="15"/>
      <c r="U40" s="15"/>
      <c r="V40" s="15"/>
      <c r="W40" s="15"/>
      <c r="X40" s="15"/>
      <c r="Y40" s="15"/>
      <c r="Z40" s="15"/>
      <c r="AA40" s="15"/>
    </row>
    <row r="41">
      <c r="A41" s="5" t="s">
        <v>210</v>
      </c>
      <c r="B41" s="17" t="s">
        <v>215</v>
      </c>
      <c r="C41" s="7" t="s">
        <v>216</v>
      </c>
      <c r="D41" s="8"/>
      <c r="E41" s="8" t="s">
        <v>178</v>
      </c>
      <c r="F41" s="9">
        <v>10000.0</v>
      </c>
      <c r="G41" s="19" t="s">
        <v>217</v>
      </c>
      <c r="H41" s="11" t="s">
        <v>218</v>
      </c>
      <c r="I41" s="25">
        <v>8.319156945E9</v>
      </c>
      <c r="J41" s="11" t="s">
        <v>25</v>
      </c>
      <c r="K41" s="12"/>
      <c r="L41" s="13"/>
      <c r="M41" s="14"/>
      <c r="N41" s="15"/>
      <c r="O41" s="5" t="s">
        <v>26</v>
      </c>
      <c r="P41" s="5"/>
      <c r="Q41" s="15"/>
      <c r="R41" s="16" t="s">
        <v>28</v>
      </c>
      <c r="S41" s="15"/>
      <c r="T41" s="15"/>
      <c r="U41" s="15"/>
      <c r="V41" s="15"/>
      <c r="W41" s="15"/>
      <c r="X41" s="15"/>
      <c r="Y41" s="15"/>
      <c r="Z41" s="15"/>
      <c r="AA41" s="15"/>
    </row>
    <row r="42">
      <c r="A42" s="5" t="s">
        <v>219</v>
      </c>
      <c r="B42" s="17" t="s">
        <v>220</v>
      </c>
      <c r="C42" s="7" t="s">
        <v>221</v>
      </c>
      <c r="D42" s="8"/>
      <c r="E42" s="8" t="s">
        <v>222</v>
      </c>
      <c r="F42" s="9">
        <v>4000.0</v>
      </c>
      <c r="G42" s="18" t="s">
        <v>223</v>
      </c>
      <c r="H42" s="11" t="s">
        <v>131</v>
      </c>
      <c r="I42" s="25">
        <v>7.991186752E9</v>
      </c>
      <c r="J42" s="11" t="s">
        <v>25</v>
      </c>
      <c r="K42" s="12"/>
      <c r="L42" s="13"/>
      <c r="M42" s="14"/>
      <c r="N42" s="15"/>
      <c r="O42" s="5" t="s">
        <v>34</v>
      </c>
      <c r="P42" s="5"/>
      <c r="Q42" s="15"/>
      <c r="R42" s="16" t="s">
        <v>28</v>
      </c>
      <c r="S42" s="15"/>
      <c r="T42" s="15"/>
      <c r="U42" s="15"/>
      <c r="V42" s="15"/>
      <c r="W42" s="15"/>
      <c r="X42" s="15"/>
      <c r="Y42" s="15"/>
      <c r="Z42" s="15"/>
      <c r="AA42" s="15"/>
    </row>
    <row r="43">
      <c r="A43" s="5" t="s">
        <v>224</v>
      </c>
      <c r="B43" s="17" t="s">
        <v>225</v>
      </c>
      <c r="C43" s="7" t="s">
        <v>226</v>
      </c>
      <c r="D43" s="8"/>
      <c r="E43" s="8" t="s">
        <v>227</v>
      </c>
      <c r="F43" s="9">
        <v>5000.0</v>
      </c>
      <c r="G43" s="26" t="s">
        <v>228</v>
      </c>
      <c r="H43" s="11" t="s">
        <v>44</v>
      </c>
      <c r="I43" s="25">
        <v>8.240534619E9</v>
      </c>
      <c r="J43" s="11" t="s">
        <v>25</v>
      </c>
      <c r="K43" s="12"/>
      <c r="L43" s="13"/>
      <c r="M43" s="14"/>
      <c r="N43" s="15"/>
      <c r="O43" s="5" t="s">
        <v>34</v>
      </c>
      <c r="P43" s="5"/>
      <c r="Q43" s="15"/>
      <c r="R43" s="16" t="s">
        <v>28</v>
      </c>
      <c r="S43" s="15"/>
      <c r="T43" s="15"/>
      <c r="U43" s="15"/>
      <c r="V43" s="15"/>
      <c r="W43" s="15"/>
      <c r="X43" s="15"/>
      <c r="Y43" s="15"/>
      <c r="Z43" s="15"/>
      <c r="AA43" s="15"/>
    </row>
    <row r="44">
      <c r="A44" s="5" t="s">
        <v>229</v>
      </c>
      <c r="B44" s="6"/>
      <c r="C44" s="7" t="s">
        <v>230</v>
      </c>
      <c r="D44" s="8" t="s">
        <v>231</v>
      </c>
      <c r="E44" s="8" t="s">
        <v>22</v>
      </c>
      <c r="F44" s="9">
        <v>5000.0</v>
      </c>
      <c r="G44" s="25"/>
      <c r="H44" s="11" t="s">
        <v>232</v>
      </c>
      <c r="I44" s="25">
        <v>7.020105758E9</v>
      </c>
      <c r="J44" s="11" t="s">
        <v>233</v>
      </c>
      <c r="K44" s="12"/>
      <c r="L44" s="13"/>
      <c r="M44" s="14"/>
      <c r="N44" s="15"/>
      <c r="O44" s="5"/>
      <c r="P44" s="5"/>
      <c r="Q44" s="15"/>
      <c r="R44" s="16"/>
      <c r="S44" s="15"/>
      <c r="T44" s="15"/>
      <c r="U44" s="15"/>
      <c r="V44" s="15"/>
      <c r="W44" s="15"/>
      <c r="X44" s="15"/>
      <c r="Y44" s="15"/>
      <c r="Z44" s="15"/>
      <c r="AA44" s="15"/>
    </row>
    <row r="45">
      <c r="A45" s="5" t="s">
        <v>229</v>
      </c>
      <c r="B45" s="6"/>
      <c r="C45" s="7" t="s">
        <v>234</v>
      </c>
      <c r="D45" s="8"/>
      <c r="E45" s="8" t="s">
        <v>235</v>
      </c>
      <c r="F45" s="9">
        <v>5000.0</v>
      </c>
      <c r="G45" s="25" t="s">
        <v>236</v>
      </c>
      <c r="H45" s="11" t="s">
        <v>237</v>
      </c>
      <c r="I45" s="25">
        <v>9.9255929E9</v>
      </c>
      <c r="J45" s="11" t="s">
        <v>233</v>
      </c>
      <c r="K45" s="12"/>
      <c r="L45" s="13"/>
      <c r="M45" s="14"/>
      <c r="N45" s="15"/>
      <c r="O45" s="5"/>
      <c r="P45" s="5"/>
      <c r="Q45" s="15"/>
      <c r="R45" s="16"/>
      <c r="S45" s="15"/>
      <c r="T45" s="15"/>
      <c r="U45" s="15"/>
      <c r="V45" s="15"/>
      <c r="W45" s="15"/>
      <c r="X45" s="15"/>
      <c r="Y45" s="15"/>
      <c r="Z45" s="15"/>
      <c r="AA45" s="15"/>
    </row>
    <row r="46">
      <c r="A46" s="5" t="s">
        <v>229</v>
      </c>
      <c r="B46" s="6"/>
      <c r="C46" s="7" t="s">
        <v>238</v>
      </c>
      <c r="D46" s="8" t="s">
        <v>239</v>
      </c>
      <c r="E46" s="8" t="s">
        <v>240</v>
      </c>
      <c r="F46" s="9">
        <v>30000.0</v>
      </c>
      <c r="G46" s="25" t="s">
        <v>241</v>
      </c>
      <c r="H46" s="11" t="s">
        <v>242</v>
      </c>
      <c r="I46" s="25">
        <v>9.033747637E9</v>
      </c>
      <c r="J46" s="11" t="s">
        <v>25</v>
      </c>
      <c r="K46" s="12"/>
      <c r="L46" s="13"/>
      <c r="M46" s="14"/>
      <c r="N46" s="15"/>
      <c r="O46" s="5" t="s">
        <v>243</v>
      </c>
      <c r="P46" s="5"/>
      <c r="Q46" s="15"/>
      <c r="R46" s="16"/>
      <c r="S46" s="15"/>
      <c r="T46" s="15"/>
      <c r="U46" s="15"/>
      <c r="V46" s="15"/>
      <c r="W46" s="15"/>
      <c r="X46" s="15"/>
      <c r="Y46" s="15"/>
      <c r="Z46" s="15"/>
      <c r="AA46" s="15"/>
    </row>
    <row r="47">
      <c r="A47" s="5" t="s">
        <v>244</v>
      </c>
      <c r="B47" s="17" t="s">
        <v>245</v>
      </c>
      <c r="C47" s="7" t="s">
        <v>246</v>
      </c>
      <c r="D47" s="8"/>
      <c r="E47" s="8" t="s">
        <v>87</v>
      </c>
      <c r="F47" s="9">
        <v>300.0</v>
      </c>
      <c r="G47" s="18" t="s">
        <v>247</v>
      </c>
      <c r="H47" s="11" t="s">
        <v>131</v>
      </c>
      <c r="I47" s="25">
        <v>8.135927315E9</v>
      </c>
      <c r="J47" s="11" t="s">
        <v>25</v>
      </c>
      <c r="K47" s="12"/>
      <c r="L47" s="13"/>
      <c r="M47" s="14"/>
      <c r="N47" s="15"/>
      <c r="O47" s="5" t="s">
        <v>34</v>
      </c>
      <c r="P47" s="5" t="s">
        <v>149</v>
      </c>
      <c r="Q47" s="15"/>
      <c r="R47" s="16" t="s">
        <v>248</v>
      </c>
      <c r="S47" s="15"/>
      <c r="T47" s="15"/>
      <c r="U47" s="15"/>
      <c r="V47" s="15"/>
      <c r="W47" s="15"/>
      <c r="X47" s="15"/>
      <c r="Y47" s="15"/>
      <c r="Z47" s="15"/>
      <c r="AA47" s="15"/>
    </row>
    <row r="48">
      <c r="A48" s="5" t="s">
        <v>249</v>
      </c>
      <c r="B48" s="17" t="s">
        <v>250</v>
      </c>
      <c r="C48" s="7" t="s">
        <v>251</v>
      </c>
      <c r="D48" s="8"/>
      <c r="E48" s="8" t="s">
        <v>252</v>
      </c>
      <c r="F48" s="9">
        <v>2000.0</v>
      </c>
      <c r="G48" s="18" t="s">
        <v>253</v>
      </c>
      <c r="H48" s="11" t="s">
        <v>44</v>
      </c>
      <c r="I48" s="25">
        <v>9.147095774E9</v>
      </c>
      <c r="J48" s="11" t="s">
        <v>25</v>
      </c>
      <c r="K48" s="12"/>
      <c r="L48" s="13"/>
      <c r="M48" s="14"/>
      <c r="N48" s="15"/>
      <c r="O48" s="5" t="s">
        <v>26</v>
      </c>
      <c r="P48" s="5"/>
      <c r="Q48" s="15"/>
      <c r="R48" s="16" t="s">
        <v>28</v>
      </c>
      <c r="S48" s="15"/>
      <c r="T48" s="15"/>
      <c r="U48" s="15"/>
      <c r="V48" s="15"/>
      <c r="W48" s="15"/>
      <c r="X48" s="15"/>
      <c r="Y48" s="15"/>
      <c r="Z48" s="15"/>
      <c r="AA48" s="15"/>
    </row>
    <row r="49">
      <c r="A49" s="5" t="s">
        <v>254</v>
      </c>
      <c r="B49" s="17" t="s">
        <v>255</v>
      </c>
      <c r="C49" s="7" t="s">
        <v>256</v>
      </c>
      <c r="D49" s="8"/>
      <c r="E49" s="8" t="s">
        <v>257</v>
      </c>
      <c r="F49" s="9">
        <v>10000.0</v>
      </c>
      <c r="G49" s="18" t="s">
        <v>258</v>
      </c>
      <c r="H49" s="11" t="s">
        <v>44</v>
      </c>
      <c r="I49" s="25">
        <v>7.044228098E9</v>
      </c>
      <c r="J49" s="11" t="s">
        <v>25</v>
      </c>
      <c r="K49" s="12"/>
      <c r="L49" s="13"/>
      <c r="M49" s="14"/>
      <c r="N49" s="15"/>
      <c r="O49" s="5" t="s">
        <v>34</v>
      </c>
      <c r="P49" s="5" t="s">
        <v>79</v>
      </c>
      <c r="Q49" s="15"/>
      <c r="R49" s="16" t="s">
        <v>28</v>
      </c>
      <c r="S49" s="15"/>
      <c r="T49" s="15"/>
      <c r="U49" s="15"/>
      <c r="V49" s="15"/>
      <c r="W49" s="15"/>
      <c r="X49" s="15"/>
      <c r="Y49" s="15"/>
      <c r="Z49" s="15"/>
      <c r="AA49" s="15"/>
    </row>
    <row r="50">
      <c r="A50" s="5" t="s">
        <v>259</v>
      </c>
      <c r="B50" s="17" t="s">
        <v>260</v>
      </c>
      <c r="C50" s="7" t="s">
        <v>261</v>
      </c>
      <c r="D50" s="8"/>
      <c r="E50" s="8" t="s">
        <v>262</v>
      </c>
      <c r="F50" s="9">
        <v>25000.0</v>
      </c>
      <c r="G50" s="18" t="s">
        <v>263</v>
      </c>
      <c r="H50" s="11" t="s">
        <v>107</v>
      </c>
      <c r="I50" s="25">
        <v>9.971170341E9</v>
      </c>
      <c r="J50" s="11" t="s">
        <v>25</v>
      </c>
      <c r="K50" s="12"/>
      <c r="L50" s="13"/>
      <c r="M50" s="14"/>
      <c r="N50" s="15"/>
      <c r="O50" s="5" t="s">
        <v>108</v>
      </c>
      <c r="P50" s="5"/>
      <c r="Q50" s="15"/>
      <c r="R50" s="16" t="s">
        <v>28</v>
      </c>
      <c r="S50" s="15"/>
      <c r="T50" s="15"/>
      <c r="U50" s="15"/>
      <c r="V50" s="15"/>
      <c r="W50" s="15"/>
      <c r="X50" s="15"/>
      <c r="Y50" s="15"/>
      <c r="Z50" s="15"/>
      <c r="AA50" s="15"/>
    </row>
    <row r="51">
      <c r="A51" s="5" t="s">
        <v>264</v>
      </c>
      <c r="B51" s="17" t="s">
        <v>265</v>
      </c>
      <c r="C51" s="7" t="s">
        <v>266</v>
      </c>
      <c r="D51" s="8"/>
      <c r="E51" s="8" t="s">
        <v>267</v>
      </c>
      <c r="F51" s="9">
        <v>500.0</v>
      </c>
      <c r="G51" s="25"/>
      <c r="H51" s="11" t="s">
        <v>268</v>
      </c>
      <c r="I51" s="25">
        <v>9.046731514E9</v>
      </c>
      <c r="J51" s="11" t="s">
        <v>25</v>
      </c>
      <c r="K51" s="12"/>
      <c r="L51" s="13"/>
      <c r="M51" s="14"/>
      <c r="N51" s="15"/>
      <c r="O51" s="5" t="s">
        <v>34</v>
      </c>
      <c r="P51" s="5" t="s">
        <v>269</v>
      </c>
      <c r="Q51" s="15"/>
      <c r="R51" s="16" t="s">
        <v>74</v>
      </c>
      <c r="S51" s="15"/>
      <c r="T51" s="15"/>
      <c r="U51" s="15"/>
      <c r="V51" s="15"/>
      <c r="W51" s="15"/>
      <c r="X51" s="15"/>
      <c r="Y51" s="15"/>
      <c r="Z51" s="15"/>
      <c r="AA51" s="15"/>
    </row>
    <row r="52">
      <c r="A52" s="5" t="s">
        <v>270</v>
      </c>
      <c r="B52" s="17" t="s">
        <v>271</v>
      </c>
      <c r="C52" s="7" t="s">
        <v>272</v>
      </c>
      <c r="D52" s="8"/>
      <c r="E52" s="8" t="s">
        <v>130</v>
      </c>
      <c r="F52" s="9">
        <v>3000.0</v>
      </c>
      <c r="G52" s="18" t="s">
        <v>273</v>
      </c>
      <c r="H52" s="11" t="s">
        <v>184</v>
      </c>
      <c r="I52" s="25">
        <v>8.873184572E9</v>
      </c>
      <c r="J52" s="11" t="s">
        <v>25</v>
      </c>
      <c r="K52" s="12"/>
      <c r="L52" s="13"/>
      <c r="M52" s="14"/>
      <c r="N52" s="15"/>
      <c r="O52" s="5" t="s">
        <v>34</v>
      </c>
      <c r="P52" s="5" t="s">
        <v>143</v>
      </c>
      <c r="Q52" s="15"/>
      <c r="R52" s="16" t="s">
        <v>28</v>
      </c>
      <c r="S52" s="15"/>
      <c r="T52" s="15"/>
      <c r="U52" s="15"/>
      <c r="V52" s="15"/>
      <c r="W52" s="15"/>
      <c r="X52" s="15"/>
      <c r="Y52" s="15"/>
      <c r="Z52" s="15"/>
      <c r="AA52" s="15"/>
    </row>
    <row r="53">
      <c r="A53" s="5" t="s">
        <v>274</v>
      </c>
      <c r="B53" s="17" t="s">
        <v>275</v>
      </c>
      <c r="C53" s="7" t="s">
        <v>276</v>
      </c>
      <c r="D53" s="8"/>
      <c r="E53" s="8" t="s">
        <v>116</v>
      </c>
      <c r="F53" s="9">
        <v>2500.0</v>
      </c>
      <c r="G53" s="18" t="s">
        <v>277</v>
      </c>
      <c r="H53" s="11" t="s">
        <v>278</v>
      </c>
      <c r="I53" s="25">
        <v>8.250759708E9</v>
      </c>
      <c r="J53" s="11" t="s">
        <v>25</v>
      </c>
      <c r="K53" s="12"/>
      <c r="L53" s="13"/>
      <c r="M53" s="14"/>
      <c r="N53" s="15"/>
      <c r="O53" s="5" t="s">
        <v>26</v>
      </c>
      <c r="P53" s="5"/>
      <c r="Q53" s="15"/>
      <c r="R53" s="16" t="s">
        <v>28</v>
      </c>
      <c r="S53" s="15"/>
      <c r="T53" s="15"/>
      <c r="U53" s="15"/>
      <c r="V53" s="15"/>
      <c r="W53" s="15"/>
      <c r="X53" s="15"/>
      <c r="Y53" s="15"/>
      <c r="Z53" s="15"/>
      <c r="AA53" s="15"/>
    </row>
    <row r="54">
      <c r="A54" s="5" t="s">
        <v>279</v>
      </c>
      <c r="B54" s="17" t="s">
        <v>280</v>
      </c>
      <c r="C54" s="7" t="s">
        <v>281</v>
      </c>
      <c r="D54" s="8"/>
      <c r="E54" s="8" t="s">
        <v>63</v>
      </c>
      <c r="F54" s="9">
        <v>500.0</v>
      </c>
      <c r="G54" s="18" t="s">
        <v>282</v>
      </c>
      <c r="H54" s="11" t="s">
        <v>283</v>
      </c>
      <c r="I54" s="25">
        <v>7.001493434E9</v>
      </c>
      <c r="J54" s="11" t="s">
        <v>25</v>
      </c>
      <c r="K54" s="12"/>
      <c r="L54" s="13"/>
      <c r="M54" s="14"/>
      <c r="N54" s="15"/>
      <c r="O54" s="5" t="s">
        <v>26</v>
      </c>
      <c r="P54" s="5"/>
      <c r="Q54" s="15"/>
      <c r="R54" s="16" t="s">
        <v>28</v>
      </c>
      <c r="S54" s="15"/>
      <c r="T54" s="15"/>
      <c r="U54" s="15"/>
      <c r="V54" s="15"/>
      <c r="W54" s="15"/>
      <c r="X54" s="15"/>
      <c r="Y54" s="15"/>
      <c r="Z54" s="15"/>
      <c r="AA54" s="15"/>
    </row>
    <row r="55">
      <c r="A55" s="5" t="s">
        <v>279</v>
      </c>
      <c r="B55" s="17" t="s">
        <v>284</v>
      </c>
      <c r="C55" s="7" t="s">
        <v>285</v>
      </c>
      <c r="D55" s="8"/>
      <c r="E55" s="8" t="s">
        <v>286</v>
      </c>
      <c r="F55" s="9">
        <v>300.0</v>
      </c>
      <c r="G55" s="18" t="s">
        <v>287</v>
      </c>
      <c r="H55" s="11" t="s">
        <v>288</v>
      </c>
      <c r="I55" s="25">
        <v>6.295375143E9</v>
      </c>
      <c r="J55" s="11" t="s">
        <v>25</v>
      </c>
      <c r="K55" s="12"/>
      <c r="L55" s="13"/>
      <c r="M55" s="14"/>
      <c r="N55" s="15"/>
      <c r="O55" s="5" t="s">
        <v>34</v>
      </c>
      <c r="P55" s="5"/>
      <c r="Q55" s="15"/>
      <c r="R55" s="16" t="s">
        <v>28</v>
      </c>
      <c r="S55" s="15"/>
      <c r="T55" s="15"/>
      <c r="U55" s="15"/>
      <c r="V55" s="15"/>
      <c r="W55" s="15"/>
      <c r="X55" s="15"/>
      <c r="Y55" s="15"/>
      <c r="Z55" s="15"/>
      <c r="AA55" s="15"/>
    </row>
    <row r="56">
      <c r="A56" s="5" t="s">
        <v>279</v>
      </c>
      <c r="B56" s="17" t="s">
        <v>289</v>
      </c>
      <c r="C56" s="7" t="s">
        <v>290</v>
      </c>
      <c r="D56" s="8"/>
      <c r="E56" s="8" t="s">
        <v>43</v>
      </c>
      <c r="F56" s="9">
        <v>5000.0</v>
      </c>
      <c r="G56" s="25"/>
      <c r="H56" s="11" t="s">
        <v>291</v>
      </c>
      <c r="I56" s="25">
        <v>6.297493584E9</v>
      </c>
      <c r="J56" s="11" t="s">
        <v>25</v>
      </c>
      <c r="K56" s="12"/>
      <c r="L56" s="13"/>
      <c r="M56" s="14"/>
      <c r="N56" s="15"/>
      <c r="O56" s="5" t="s">
        <v>34</v>
      </c>
      <c r="P56" s="5" t="s">
        <v>292</v>
      </c>
      <c r="Q56" s="15"/>
      <c r="R56" s="16" t="s">
        <v>28</v>
      </c>
      <c r="S56" s="15"/>
      <c r="T56" s="15"/>
      <c r="U56" s="15"/>
      <c r="V56" s="15"/>
      <c r="W56" s="15"/>
      <c r="X56" s="15"/>
      <c r="Y56" s="15"/>
      <c r="Z56" s="15"/>
      <c r="AA56" s="15"/>
    </row>
    <row r="57">
      <c r="A57" s="5" t="s">
        <v>293</v>
      </c>
      <c r="B57" s="17" t="s">
        <v>294</v>
      </c>
      <c r="C57" s="7" t="s">
        <v>295</v>
      </c>
      <c r="D57" s="8"/>
      <c r="E57" s="8" t="s">
        <v>296</v>
      </c>
      <c r="F57" s="9">
        <v>2500.0</v>
      </c>
      <c r="G57" s="27" t="s">
        <v>297</v>
      </c>
      <c r="H57" s="11" t="s">
        <v>298</v>
      </c>
      <c r="I57" s="25">
        <v>7.003047826E9</v>
      </c>
      <c r="J57" s="11" t="s">
        <v>25</v>
      </c>
      <c r="K57" s="12"/>
      <c r="L57" s="13"/>
      <c r="M57" s="14"/>
      <c r="N57" s="15"/>
      <c r="O57" s="5" t="s">
        <v>34</v>
      </c>
      <c r="P57" s="5" t="s">
        <v>299</v>
      </c>
      <c r="Q57" s="15"/>
      <c r="R57" s="16" t="s">
        <v>28</v>
      </c>
      <c r="S57" s="15"/>
      <c r="T57" s="15"/>
      <c r="U57" s="15"/>
      <c r="V57" s="15"/>
      <c r="W57" s="15"/>
      <c r="X57" s="15"/>
      <c r="Y57" s="15"/>
      <c r="Z57" s="15"/>
      <c r="AA57" s="15"/>
    </row>
    <row r="58">
      <c r="A58" s="5" t="s">
        <v>300</v>
      </c>
      <c r="B58" s="17" t="s">
        <v>301</v>
      </c>
      <c r="C58" s="7" t="s">
        <v>302</v>
      </c>
      <c r="D58" s="8"/>
      <c r="E58" s="8" t="s">
        <v>303</v>
      </c>
      <c r="F58" s="9">
        <v>1000.0</v>
      </c>
      <c r="G58" s="18" t="s">
        <v>304</v>
      </c>
      <c r="H58" s="11" t="s">
        <v>99</v>
      </c>
      <c r="I58" s="25">
        <v>9.166485068E9</v>
      </c>
      <c r="J58" s="11" t="s">
        <v>25</v>
      </c>
      <c r="K58" s="12"/>
      <c r="L58" s="13"/>
      <c r="M58" s="14"/>
      <c r="N58" s="15"/>
      <c r="O58" s="5" t="s">
        <v>34</v>
      </c>
      <c r="P58" s="5" t="s">
        <v>79</v>
      </c>
      <c r="Q58" s="15"/>
      <c r="R58" s="16" t="s">
        <v>28</v>
      </c>
      <c r="S58" s="15"/>
      <c r="T58" s="15"/>
      <c r="U58" s="15"/>
      <c r="V58" s="15"/>
      <c r="W58" s="15"/>
      <c r="X58" s="15"/>
      <c r="Y58" s="15"/>
      <c r="Z58" s="15"/>
      <c r="AA58" s="15"/>
    </row>
    <row r="59">
      <c r="A59" s="5" t="s">
        <v>305</v>
      </c>
      <c r="B59" s="17" t="s">
        <v>306</v>
      </c>
      <c r="C59" s="7" t="s">
        <v>307</v>
      </c>
      <c r="D59" s="8"/>
      <c r="E59" s="8" t="s">
        <v>308</v>
      </c>
      <c r="F59" s="9">
        <v>3000.0</v>
      </c>
      <c r="G59" s="25" t="s">
        <v>309</v>
      </c>
      <c r="H59" s="11" t="s">
        <v>310</v>
      </c>
      <c r="I59" s="25">
        <v>9.78021845E9</v>
      </c>
      <c r="J59" s="11" t="s">
        <v>25</v>
      </c>
      <c r="K59" s="12"/>
      <c r="L59" s="13"/>
      <c r="M59" s="14"/>
      <c r="N59" s="15"/>
      <c r="O59" s="5" t="s">
        <v>34</v>
      </c>
      <c r="P59" s="5" t="s">
        <v>311</v>
      </c>
      <c r="Q59" s="15"/>
      <c r="R59" s="16" t="s">
        <v>28</v>
      </c>
      <c r="S59" s="15"/>
      <c r="T59" s="15"/>
      <c r="U59" s="15"/>
      <c r="V59" s="15"/>
      <c r="W59" s="15"/>
      <c r="X59" s="15"/>
      <c r="Y59" s="15"/>
      <c r="Z59" s="15"/>
      <c r="AA59" s="15"/>
    </row>
    <row r="60">
      <c r="A60" s="5" t="s">
        <v>305</v>
      </c>
      <c r="B60" s="17" t="s">
        <v>312</v>
      </c>
      <c r="C60" s="7" t="s">
        <v>313</v>
      </c>
      <c r="D60" s="8"/>
      <c r="E60" s="8" t="s">
        <v>156</v>
      </c>
      <c r="F60" s="9">
        <v>5000.0</v>
      </c>
      <c r="G60" s="18" t="s">
        <v>314</v>
      </c>
      <c r="H60" s="11" t="s">
        <v>184</v>
      </c>
      <c r="I60" s="25">
        <v>8.789835519E9</v>
      </c>
      <c r="J60" s="11" t="s">
        <v>25</v>
      </c>
      <c r="K60" s="12"/>
      <c r="L60" s="13"/>
      <c r="M60" s="14"/>
      <c r="N60" s="15"/>
      <c r="O60" s="5" t="s">
        <v>26</v>
      </c>
      <c r="P60" s="5"/>
      <c r="Q60" s="15"/>
      <c r="R60" s="16" t="s">
        <v>28</v>
      </c>
      <c r="S60" s="15"/>
      <c r="T60" s="15"/>
      <c r="U60" s="15"/>
      <c r="V60" s="15"/>
      <c r="W60" s="15"/>
      <c r="X60" s="15"/>
      <c r="Y60" s="15"/>
      <c r="Z60" s="15"/>
      <c r="AA60" s="15"/>
    </row>
    <row r="61">
      <c r="A61" s="5" t="s">
        <v>315</v>
      </c>
      <c r="B61" s="17" t="s">
        <v>316</v>
      </c>
      <c r="C61" s="7" t="s">
        <v>317</v>
      </c>
      <c r="D61" s="8"/>
      <c r="E61" s="8" t="s">
        <v>152</v>
      </c>
      <c r="F61" s="9">
        <v>10000.0</v>
      </c>
      <c r="G61" s="18" t="s">
        <v>318</v>
      </c>
      <c r="H61" s="11" t="s">
        <v>319</v>
      </c>
      <c r="I61" s="25">
        <v>9.026271372E9</v>
      </c>
      <c r="J61" s="11" t="s">
        <v>25</v>
      </c>
      <c r="K61" s="12"/>
      <c r="L61" s="13"/>
      <c r="M61" s="14"/>
      <c r="N61" s="15"/>
      <c r="O61" s="5" t="s">
        <v>108</v>
      </c>
      <c r="P61" s="5"/>
      <c r="Q61" s="15"/>
      <c r="R61" s="16" t="s">
        <v>28</v>
      </c>
      <c r="S61" s="15"/>
      <c r="T61" s="15"/>
      <c r="U61" s="15"/>
      <c r="V61" s="15"/>
      <c r="W61" s="15"/>
      <c r="X61" s="15"/>
      <c r="Y61" s="15"/>
      <c r="Z61" s="15"/>
      <c r="AA61" s="15"/>
    </row>
    <row r="62">
      <c r="A62" s="5" t="s">
        <v>315</v>
      </c>
      <c r="B62" s="17" t="s">
        <v>320</v>
      </c>
      <c r="C62" s="7" t="s">
        <v>321</v>
      </c>
      <c r="D62" s="8"/>
      <c r="E62" s="8" t="s">
        <v>77</v>
      </c>
      <c r="F62" s="9">
        <v>35000.0</v>
      </c>
      <c r="G62" s="18" t="s">
        <v>322</v>
      </c>
      <c r="H62" s="11" t="s">
        <v>99</v>
      </c>
      <c r="I62" s="25">
        <v>9.040712121E9</v>
      </c>
      <c r="J62" s="11" t="s">
        <v>25</v>
      </c>
      <c r="K62" s="12"/>
      <c r="L62" s="13"/>
      <c r="M62" s="14"/>
      <c r="N62" s="15"/>
      <c r="O62" s="5" t="s">
        <v>26</v>
      </c>
      <c r="P62" s="5"/>
      <c r="Q62" s="15"/>
      <c r="R62" s="16" t="s">
        <v>28</v>
      </c>
      <c r="S62" s="15"/>
      <c r="T62" s="15"/>
      <c r="U62" s="15"/>
      <c r="V62" s="15"/>
      <c r="W62" s="15"/>
      <c r="X62" s="15"/>
      <c r="Y62" s="15"/>
      <c r="Z62" s="15"/>
      <c r="AA62" s="15"/>
    </row>
    <row r="63">
      <c r="A63" s="5" t="s">
        <v>323</v>
      </c>
      <c r="B63" s="17" t="s">
        <v>324</v>
      </c>
      <c r="C63" s="7" t="s">
        <v>325</v>
      </c>
      <c r="D63" s="8"/>
      <c r="E63" s="8" t="s">
        <v>326</v>
      </c>
      <c r="F63" s="9">
        <v>20000.0</v>
      </c>
      <c r="G63" s="18" t="s">
        <v>327</v>
      </c>
      <c r="H63" s="11" t="s">
        <v>328</v>
      </c>
      <c r="I63" s="25">
        <v>8.866574298E9</v>
      </c>
      <c r="J63" s="11" t="s">
        <v>25</v>
      </c>
      <c r="K63" s="12"/>
      <c r="L63" s="13"/>
      <c r="M63" s="14"/>
      <c r="N63" s="15"/>
      <c r="O63" s="5" t="s">
        <v>34</v>
      </c>
      <c r="P63" s="5" t="s">
        <v>329</v>
      </c>
      <c r="Q63" s="15"/>
      <c r="R63" s="16" t="s">
        <v>28</v>
      </c>
      <c r="S63" s="15"/>
      <c r="T63" s="15"/>
      <c r="U63" s="15"/>
      <c r="V63" s="15"/>
      <c r="W63" s="15"/>
      <c r="X63" s="15"/>
      <c r="Y63" s="15"/>
      <c r="Z63" s="15"/>
      <c r="AA63" s="15"/>
    </row>
    <row r="64">
      <c r="A64" s="5" t="s">
        <v>330</v>
      </c>
      <c r="B64" s="17" t="s">
        <v>331</v>
      </c>
      <c r="C64" s="7" t="s">
        <v>332</v>
      </c>
      <c r="D64" s="8"/>
      <c r="E64" s="8" t="s">
        <v>178</v>
      </c>
      <c r="F64" s="9">
        <v>10000.0</v>
      </c>
      <c r="G64" s="25" t="s">
        <v>333</v>
      </c>
      <c r="H64" s="11" t="s">
        <v>158</v>
      </c>
      <c r="I64" s="25">
        <v>7.81090025E9</v>
      </c>
      <c r="J64" s="11" t="s">
        <v>25</v>
      </c>
      <c r="K64" s="12"/>
      <c r="L64" s="13"/>
      <c r="M64" s="14"/>
      <c r="N64" s="15"/>
      <c r="O64" s="5" t="s">
        <v>26</v>
      </c>
      <c r="P64" s="5" t="s">
        <v>334</v>
      </c>
      <c r="Q64" s="15"/>
      <c r="R64" s="16" t="s">
        <v>28</v>
      </c>
      <c r="S64" s="15"/>
      <c r="T64" s="15"/>
      <c r="U64" s="15"/>
      <c r="V64" s="15"/>
      <c r="W64" s="15"/>
      <c r="X64" s="15"/>
      <c r="Y64" s="15"/>
      <c r="Z64" s="15"/>
      <c r="AA64" s="15"/>
    </row>
    <row r="65">
      <c r="A65" s="5" t="s">
        <v>330</v>
      </c>
      <c r="B65" s="17" t="s">
        <v>335</v>
      </c>
      <c r="C65" s="7" t="s">
        <v>336</v>
      </c>
      <c r="D65" s="8"/>
      <c r="E65" s="8" t="s">
        <v>43</v>
      </c>
      <c r="F65" s="9">
        <v>3000.0</v>
      </c>
      <c r="G65" s="25"/>
      <c r="H65" s="11" t="s">
        <v>99</v>
      </c>
      <c r="I65" s="25">
        <v>7.978157873E9</v>
      </c>
      <c r="J65" s="11" t="s">
        <v>25</v>
      </c>
      <c r="K65" s="12"/>
      <c r="L65" s="13"/>
      <c r="M65" s="14"/>
      <c r="N65" s="15"/>
      <c r="O65" s="5" t="s">
        <v>34</v>
      </c>
      <c r="P65" s="5" t="s">
        <v>143</v>
      </c>
      <c r="Q65" s="15"/>
      <c r="R65" s="16" t="s">
        <v>28</v>
      </c>
      <c r="S65" s="15"/>
      <c r="T65" s="15"/>
      <c r="U65" s="15"/>
      <c r="V65" s="15"/>
      <c r="W65" s="15"/>
      <c r="X65" s="15"/>
      <c r="Y65" s="15"/>
      <c r="Z65" s="15"/>
      <c r="AA65" s="15"/>
    </row>
    <row r="66">
      <c r="A66" s="5" t="s">
        <v>337</v>
      </c>
      <c r="B66" s="17" t="s">
        <v>338</v>
      </c>
      <c r="C66" s="7" t="s">
        <v>339</v>
      </c>
      <c r="D66" s="8"/>
      <c r="E66" s="8" t="s">
        <v>116</v>
      </c>
      <c r="F66" s="9">
        <v>1000.0</v>
      </c>
      <c r="G66" s="18" t="s">
        <v>340</v>
      </c>
      <c r="H66" s="11" t="s">
        <v>44</v>
      </c>
      <c r="I66" s="25">
        <v>8.910497117E9</v>
      </c>
      <c r="J66" s="11" t="s">
        <v>25</v>
      </c>
      <c r="K66" s="12"/>
      <c r="L66" s="13"/>
      <c r="M66" s="14"/>
      <c r="N66" s="15"/>
      <c r="O66" s="5" t="s">
        <v>26</v>
      </c>
      <c r="P66" s="5" t="s">
        <v>334</v>
      </c>
      <c r="Q66" s="15"/>
      <c r="R66" s="16" t="s">
        <v>28</v>
      </c>
      <c r="S66" s="15"/>
      <c r="T66" s="15"/>
      <c r="U66" s="15"/>
      <c r="V66" s="15"/>
      <c r="W66" s="15"/>
      <c r="X66" s="15"/>
      <c r="Y66" s="15"/>
      <c r="Z66" s="15"/>
      <c r="AA66" s="15"/>
    </row>
    <row r="67">
      <c r="A67" s="5" t="s">
        <v>341</v>
      </c>
      <c r="B67" s="17" t="s">
        <v>342</v>
      </c>
      <c r="C67" s="7" t="s">
        <v>343</v>
      </c>
      <c r="D67" s="8"/>
      <c r="E67" s="8" t="s">
        <v>344</v>
      </c>
      <c r="F67" s="9">
        <v>500.0</v>
      </c>
      <c r="G67" s="18" t="s">
        <v>345</v>
      </c>
      <c r="H67" s="11" t="s">
        <v>44</v>
      </c>
      <c r="I67" s="25">
        <v>9.885866691E9</v>
      </c>
      <c r="J67" s="11" t="s">
        <v>25</v>
      </c>
      <c r="K67" s="12"/>
      <c r="L67" s="13"/>
      <c r="M67" s="14"/>
      <c r="N67" s="15"/>
      <c r="O67" s="5" t="s">
        <v>26</v>
      </c>
      <c r="P67" s="5" t="s">
        <v>27</v>
      </c>
      <c r="Q67" s="15"/>
      <c r="R67" s="16" t="s">
        <v>28</v>
      </c>
      <c r="S67" s="15"/>
      <c r="T67" s="15"/>
      <c r="U67" s="15"/>
      <c r="V67" s="15"/>
      <c r="W67" s="15"/>
      <c r="X67" s="15"/>
      <c r="Y67" s="15"/>
      <c r="Z67" s="15"/>
      <c r="AA67" s="15"/>
    </row>
    <row r="68">
      <c r="A68" s="5" t="s">
        <v>341</v>
      </c>
      <c r="B68" s="17" t="s">
        <v>346</v>
      </c>
      <c r="C68" s="7" t="s">
        <v>347</v>
      </c>
      <c r="D68" s="8"/>
      <c r="E68" s="8" t="s">
        <v>83</v>
      </c>
      <c r="F68" s="9">
        <v>1000.0</v>
      </c>
      <c r="G68" s="19" t="s">
        <v>348</v>
      </c>
      <c r="H68" s="11" t="s">
        <v>349</v>
      </c>
      <c r="I68" s="25">
        <v>8.945943129E9</v>
      </c>
      <c r="J68" s="11" t="s">
        <v>25</v>
      </c>
      <c r="K68" s="12"/>
      <c r="L68" s="13"/>
      <c r="M68" s="14"/>
      <c r="N68" s="15"/>
      <c r="O68" s="5" t="s">
        <v>34</v>
      </c>
      <c r="P68" s="5"/>
      <c r="Q68" s="15"/>
      <c r="R68" s="16" t="s">
        <v>28</v>
      </c>
      <c r="S68" s="15"/>
      <c r="T68" s="15"/>
      <c r="U68" s="15"/>
      <c r="V68" s="15"/>
      <c r="W68" s="15"/>
      <c r="X68" s="15"/>
      <c r="Y68" s="15"/>
      <c r="Z68" s="15"/>
      <c r="AA68" s="15"/>
    </row>
    <row r="69">
      <c r="A69" s="5" t="s">
        <v>350</v>
      </c>
      <c r="B69" s="17" t="s">
        <v>351</v>
      </c>
      <c r="C69" s="7" t="s">
        <v>352</v>
      </c>
      <c r="D69" s="8"/>
      <c r="E69" s="8" t="s">
        <v>353</v>
      </c>
      <c r="F69" s="9">
        <v>1000.0</v>
      </c>
      <c r="G69" s="18" t="s">
        <v>354</v>
      </c>
      <c r="H69" s="11" t="s">
        <v>99</v>
      </c>
      <c r="I69" s="25">
        <v>9.937389187E9</v>
      </c>
      <c r="J69" s="11" t="s">
        <v>25</v>
      </c>
      <c r="K69" s="12"/>
      <c r="L69" s="13"/>
      <c r="M69" s="14"/>
      <c r="N69" s="15"/>
      <c r="O69" s="5" t="s">
        <v>26</v>
      </c>
      <c r="P69" s="5"/>
      <c r="Q69" s="15"/>
      <c r="R69" s="16" t="s">
        <v>28</v>
      </c>
      <c r="S69" s="15"/>
      <c r="T69" s="15"/>
      <c r="U69" s="15"/>
      <c r="V69" s="15"/>
      <c r="W69" s="15"/>
      <c r="X69" s="15"/>
      <c r="Y69" s="15"/>
      <c r="Z69" s="15"/>
      <c r="AA69" s="15"/>
    </row>
    <row r="70">
      <c r="A70" s="5" t="s">
        <v>350</v>
      </c>
      <c r="B70" s="17" t="s">
        <v>355</v>
      </c>
      <c r="C70" s="7" t="s">
        <v>356</v>
      </c>
      <c r="D70" s="8"/>
      <c r="E70" s="8" t="s">
        <v>357</v>
      </c>
      <c r="F70" s="9">
        <v>2000.0</v>
      </c>
      <c r="G70" s="18" t="s">
        <v>358</v>
      </c>
      <c r="H70" s="11" t="s">
        <v>359</v>
      </c>
      <c r="I70" s="25">
        <v>9.382566137E9</v>
      </c>
      <c r="J70" s="11" t="s">
        <v>25</v>
      </c>
      <c r="K70" s="12"/>
      <c r="L70" s="13"/>
      <c r="M70" s="14"/>
      <c r="N70" s="15"/>
      <c r="O70" s="5" t="s">
        <v>34</v>
      </c>
      <c r="P70" s="5" t="s">
        <v>79</v>
      </c>
      <c r="Q70" s="15"/>
      <c r="R70" s="16" t="s">
        <v>28</v>
      </c>
      <c r="S70" s="15"/>
      <c r="T70" s="15"/>
      <c r="U70" s="15"/>
      <c r="V70" s="15"/>
      <c r="W70" s="15"/>
      <c r="X70" s="15"/>
      <c r="Y70" s="15"/>
      <c r="Z70" s="15"/>
      <c r="AA70" s="15"/>
    </row>
    <row r="71">
      <c r="A71" s="5" t="s">
        <v>360</v>
      </c>
      <c r="B71" s="17" t="s">
        <v>361</v>
      </c>
      <c r="C71" s="7" t="s">
        <v>362</v>
      </c>
      <c r="D71" s="8"/>
      <c r="E71" s="8" t="s">
        <v>178</v>
      </c>
      <c r="F71" s="9">
        <v>25000.0</v>
      </c>
      <c r="G71" s="19" t="s">
        <v>363</v>
      </c>
      <c r="H71" s="11" t="s">
        <v>44</v>
      </c>
      <c r="I71" s="25">
        <v>9.511813743E9</v>
      </c>
      <c r="J71" s="11" t="s">
        <v>25</v>
      </c>
      <c r="K71" s="12"/>
      <c r="L71" s="13"/>
      <c r="M71" s="14"/>
      <c r="N71" s="15"/>
      <c r="O71" s="5" t="s">
        <v>26</v>
      </c>
      <c r="P71" s="5"/>
      <c r="Q71" s="15"/>
      <c r="R71" s="16" t="s">
        <v>28</v>
      </c>
      <c r="S71" s="15"/>
      <c r="T71" s="15"/>
      <c r="U71" s="15"/>
      <c r="V71" s="15"/>
      <c r="W71" s="15"/>
      <c r="X71" s="15"/>
      <c r="Y71" s="15"/>
      <c r="Z71" s="15"/>
      <c r="AA71" s="15"/>
    </row>
    <row r="72">
      <c r="A72" s="5" t="s">
        <v>364</v>
      </c>
      <c r="B72" s="17" t="s">
        <v>365</v>
      </c>
      <c r="C72" s="7" t="s">
        <v>366</v>
      </c>
      <c r="D72" s="8"/>
      <c r="E72" s="8" t="s">
        <v>31</v>
      </c>
      <c r="F72" s="9">
        <v>25000.0</v>
      </c>
      <c r="G72" s="18" t="s">
        <v>367</v>
      </c>
      <c r="H72" s="11" t="s">
        <v>44</v>
      </c>
      <c r="I72" s="25">
        <v>9.996656584E9</v>
      </c>
      <c r="J72" s="11" t="s">
        <v>25</v>
      </c>
      <c r="K72" s="12"/>
      <c r="L72" s="13"/>
      <c r="M72" s="14"/>
      <c r="N72" s="15"/>
      <c r="O72" s="5" t="s">
        <v>26</v>
      </c>
      <c r="P72" s="5" t="s">
        <v>368</v>
      </c>
      <c r="Q72" s="15"/>
      <c r="R72" s="16" t="s">
        <v>28</v>
      </c>
      <c r="S72" s="15"/>
      <c r="T72" s="15"/>
      <c r="U72" s="15"/>
      <c r="V72" s="15"/>
      <c r="W72" s="15"/>
      <c r="X72" s="15"/>
      <c r="Y72" s="15"/>
      <c r="Z72" s="15"/>
      <c r="AA72" s="15"/>
    </row>
    <row r="73">
      <c r="A73" s="5" t="s">
        <v>364</v>
      </c>
      <c r="B73" s="17" t="s">
        <v>369</v>
      </c>
      <c r="C73" s="7" t="s">
        <v>370</v>
      </c>
      <c r="D73" s="8"/>
      <c r="E73" s="8" t="s">
        <v>70</v>
      </c>
      <c r="F73" s="9">
        <v>3000.0</v>
      </c>
      <c r="G73" s="22" t="s">
        <v>371</v>
      </c>
      <c r="H73" s="11" t="s">
        <v>372</v>
      </c>
      <c r="I73" s="25">
        <v>8.698226442E9</v>
      </c>
      <c r="J73" s="11" t="s">
        <v>25</v>
      </c>
      <c r="K73" s="12"/>
      <c r="L73" s="12"/>
      <c r="M73" s="11" t="s">
        <v>373</v>
      </c>
      <c r="N73" s="15"/>
      <c r="O73" s="5" t="s">
        <v>108</v>
      </c>
      <c r="P73" s="5" t="s">
        <v>374</v>
      </c>
      <c r="Q73" s="15"/>
      <c r="R73" s="16" t="s">
        <v>28</v>
      </c>
      <c r="S73" s="15"/>
      <c r="T73" s="15"/>
      <c r="U73" s="15"/>
      <c r="V73" s="15"/>
      <c r="W73" s="15"/>
      <c r="X73" s="15"/>
      <c r="Y73" s="15"/>
      <c r="Z73" s="15"/>
      <c r="AA73" s="15"/>
    </row>
    <row r="74">
      <c r="A74" s="5" t="s">
        <v>375</v>
      </c>
      <c r="B74" s="17" t="s">
        <v>376</v>
      </c>
      <c r="C74" s="7" t="s">
        <v>377</v>
      </c>
      <c r="D74" s="8"/>
      <c r="E74" s="8" t="s">
        <v>116</v>
      </c>
      <c r="F74" s="9">
        <v>10000.0</v>
      </c>
      <c r="G74" s="18" t="s">
        <v>378</v>
      </c>
      <c r="H74" s="11" t="s">
        <v>379</v>
      </c>
      <c r="I74" s="25">
        <v>9.291330535E9</v>
      </c>
      <c r="J74" s="11" t="s">
        <v>25</v>
      </c>
      <c r="K74" s="12"/>
      <c r="L74" s="13"/>
      <c r="M74" s="14"/>
      <c r="N74" s="15"/>
      <c r="O74" s="5" t="s">
        <v>108</v>
      </c>
      <c r="P74" s="5"/>
      <c r="Q74" s="15"/>
      <c r="R74" s="16" t="s">
        <v>28</v>
      </c>
      <c r="S74" s="15"/>
      <c r="T74" s="15"/>
      <c r="U74" s="15"/>
      <c r="V74" s="15"/>
      <c r="W74" s="15"/>
      <c r="X74" s="15"/>
      <c r="Y74" s="15"/>
      <c r="Z74" s="15"/>
      <c r="AA74" s="15"/>
    </row>
    <row r="75">
      <c r="A75" s="5" t="s">
        <v>375</v>
      </c>
      <c r="B75" s="17" t="s">
        <v>380</v>
      </c>
      <c r="C75" s="7" t="s">
        <v>381</v>
      </c>
      <c r="D75" s="8"/>
      <c r="E75" s="8" t="s">
        <v>87</v>
      </c>
      <c r="F75" s="9">
        <v>1000.0</v>
      </c>
      <c r="G75" s="18" t="s">
        <v>382</v>
      </c>
      <c r="H75" s="11" t="s">
        <v>44</v>
      </c>
      <c r="I75" s="25">
        <v>9.051345515E9</v>
      </c>
      <c r="J75" s="11" t="s">
        <v>25</v>
      </c>
      <c r="K75" s="12"/>
      <c r="L75" s="13"/>
      <c r="M75" s="14"/>
      <c r="N75" s="15"/>
      <c r="O75" s="5" t="s">
        <v>60</v>
      </c>
      <c r="P75" s="5"/>
      <c r="Q75" s="15"/>
      <c r="R75" s="16" t="s">
        <v>28</v>
      </c>
      <c r="S75" s="15"/>
      <c r="T75" s="15"/>
      <c r="U75" s="15"/>
      <c r="V75" s="15"/>
      <c r="W75" s="15"/>
      <c r="X75" s="15"/>
      <c r="Y75" s="15"/>
      <c r="Z75" s="15"/>
      <c r="AA75" s="15"/>
    </row>
    <row r="76">
      <c r="A76" s="5" t="s">
        <v>375</v>
      </c>
      <c r="B76" s="17" t="s">
        <v>383</v>
      </c>
      <c r="C76" s="7" t="s">
        <v>384</v>
      </c>
      <c r="D76" s="8"/>
      <c r="E76" s="8" t="s">
        <v>222</v>
      </c>
      <c r="F76" s="9">
        <v>10000.0</v>
      </c>
      <c r="G76" s="25"/>
      <c r="H76" s="11" t="s">
        <v>99</v>
      </c>
      <c r="I76" s="25">
        <v>9.046036512E9</v>
      </c>
      <c r="J76" s="11" t="s">
        <v>25</v>
      </c>
      <c r="K76" s="12"/>
      <c r="L76" s="13"/>
      <c r="M76" s="14"/>
      <c r="N76" s="15"/>
      <c r="O76" s="5" t="s">
        <v>34</v>
      </c>
      <c r="P76" s="5" t="s">
        <v>185</v>
      </c>
      <c r="Q76" s="15"/>
      <c r="R76" s="16" t="s">
        <v>28</v>
      </c>
      <c r="S76" s="15"/>
      <c r="T76" s="15"/>
      <c r="U76" s="15"/>
      <c r="V76" s="15"/>
      <c r="W76" s="15"/>
      <c r="X76" s="15"/>
      <c r="Y76" s="15"/>
      <c r="Z76" s="15"/>
      <c r="AA76" s="15"/>
    </row>
    <row r="77">
      <c r="A77" s="5" t="s">
        <v>375</v>
      </c>
      <c r="B77" s="17" t="s">
        <v>385</v>
      </c>
      <c r="C77" s="7" t="s">
        <v>386</v>
      </c>
      <c r="D77" s="8"/>
      <c r="E77" s="8" t="s">
        <v>387</v>
      </c>
      <c r="F77" s="9">
        <v>10000.0</v>
      </c>
      <c r="G77" s="18" t="s">
        <v>388</v>
      </c>
      <c r="H77" s="11" t="s">
        <v>99</v>
      </c>
      <c r="I77" s="25">
        <v>7.008262152E9</v>
      </c>
      <c r="J77" s="11" t="s">
        <v>25</v>
      </c>
      <c r="K77" s="12"/>
      <c r="L77" s="13"/>
      <c r="M77" s="14"/>
      <c r="N77" s="15"/>
      <c r="O77" s="5" t="s">
        <v>26</v>
      </c>
      <c r="P77" s="5" t="s">
        <v>389</v>
      </c>
      <c r="Q77" s="15"/>
      <c r="R77" s="16" t="s">
        <v>28</v>
      </c>
      <c r="S77" s="15"/>
      <c r="T77" s="15"/>
      <c r="U77" s="15"/>
      <c r="V77" s="15"/>
      <c r="W77" s="15"/>
      <c r="X77" s="15"/>
      <c r="Y77" s="15"/>
      <c r="Z77" s="15"/>
      <c r="AA77" s="15"/>
    </row>
    <row r="78">
      <c r="A78" s="5" t="s">
        <v>390</v>
      </c>
      <c r="B78" s="17" t="s">
        <v>391</v>
      </c>
      <c r="C78" s="7" t="s">
        <v>392</v>
      </c>
      <c r="D78" s="8"/>
      <c r="E78" s="8" t="s">
        <v>130</v>
      </c>
      <c r="F78" s="9">
        <v>3000.0</v>
      </c>
      <c r="G78" s="18" t="s">
        <v>393</v>
      </c>
      <c r="H78" s="11" t="s">
        <v>184</v>
      </c>
      <c r="I78" s="25">
        <v>8.67033216E9</v>
      </c>
      <c r="J78" s="11" t="s">
        <v>25</v>
      </c>
      <c r="K78" s="12"/>
      <c r="L78" s="13"/>
      <c r="M78" s="14"/>
      <c r="N78" s="15"/>
      <c r="O78" s="5" t="s">
        <v>34</v>
      </c>
      <c r="P78" s="5" t="s">
        <v>79</v>
      </c>
      <c r="Q78" s="15"/>
      <c r="R78" s="16" t="s">
        <v>28</v>
      </c>
      <c r="S78" s="15"/>
      <c r="T78" s="15"/>
      <c r="U78" s="15"/>
      <c r="V78" s="15"/>
      <c r="W78" s="15"/>
      <c r="X78" s="15"/>
      <c r="Y78" s="15"/>
      <c r="Z78" s="15"/>
      <c r="AA78" s="15"/>
    </row>
    <row r="79">
      <c r="A79" s="5" t="s">
        <v>394</v>
      </c>
      <c r="B79" s="17" t="s">
        <v>395</v>
      </c>
      <c r="C79" s="7" t="s">
        <v>396</v>
      </c>
      <c r="D79" s="8"/>
      <c r="E79" s="8" t="s">
        <v>152</v>
      </c>
      <c r="F79" s="9">
        <v>20000.0</v>
      </c>
      <c r="G79" s="18" t="s">
        <v>397</v>
      </c>
      <c r="H79" s="11" t="s">
        <v>398</v>
      </c>
      <c r="I79" s="25">
        <v>8.319407037E9</v>
      </c>
      <c r="J79" s="11" t="s">
        <v>25</v>
      </c>
      <c r="K79" s="12"/>
      <c r="L79" s="13"/>
      <c r="M79" s="14"/>
      <c r="N79" s="15"/>
      <c r="O79" s="5" t="s">
        <v>108</v>
      </c>
      <c r="P79" s="5"/>
      <c r="Q79" s="15"/>
      <c r="R79" s="16" t="s">
        <v>28</v>
      </c>
      <c r="S79" s="15"/>
      <c r="T79" s="15"/>
      <c r="U79" s="15"/>
      <c r="V79" s="15"/>
      <c r="W79" s="15"/>
      <c r="X79" s="15"/>
      <c r="Y79" s="15"/>
      <c r="Z79" s="15"/>
      <c r="AA79" s="15"/>
    </row>
    <row r="80">
      <c r="A80" s="5" t="s">
        <v>394</v>
      </c>
      <c r="B80" s="17" t="s">
        <v>399</v>
      </c>
      <c r="C80" s="7" t="s">
        <v>400</v>
      </c>
      <c r="D80" s="8"/>
      <c r="E80" s="8" t="s">
        <v>178</v>
      </c>
      <c r="F80" s="9">
        <v>2000.0</v>
      </c>
      <c r="G80" s="25"/>
      <c r="H80" s="11" t="s">
        <v>44</v>
      </c>
      <c r="I80" s="25">
        <v>8.282839E9</v>
      </c>
      <c r="J80" s="11" t="s">
        <v>25</v>
      </c>
      <c r="K80" s="12"/>
      <c r="L80" s="13"/>
      <c r="M80" s="14"/>
      <c r="N80" s="15"/>
      <c r="O80" s="5" t="s">
        <v>34</v>
      </c>
      <c r="P80" s="5" t="s">
        <v>143</v>
      </c>
      <c r="Q80" s="15"/>
      <c r="R80" s="16" t="s">
        <v>28</v>
      </c>
      <c r="S80" s="15"/>
      <c r="T80" s="15"/>
      <c r="U80" s="15"/>
      <c r="V80" s="15"/>
      <c r="W80" s="15"/>
      <c r="X80" s="15"/>
      <c r="Y80" s="15"/>
      <c r="Z80" s="15"/>
      <c r="AA80" s="15"/>
    </row>
    <row r="81">
      <c r="A81" s="5" t="s">
        <v>401</v>
      </c>
      <c r="B81" s="17" t="s">
        <v>402</v>
      </c>
      <c r="C81" s="7" t="s">
        <v>403</v>
      </c>
      <c r="D81" s="8"/>
      <c r="E81" s="8" t="s">
        <v>97</v>
      </c>
      <c r="F81" s="9">
        <v>10000.0</v>
      </c>
      <c r="G81" s="18" t="s">
        <v>404</v>
      </c>
      <c r="H81" s="11" t="s">
        <v>99</v>
      </c>
      <c r="I81" s="25">
        <v>9.692779717E9</v>
      </c>
      <c r="J81" s="11" t="s">
        <v>25</v>
      </c>
      <c r="K81" s="12"/>
      <c r="L81" s="13"/>
      <c r="M81" s="14"/>
      <c r="N81" s="15"/>
      <c r="O81" s="5" t="s">
        <v>26</v>
      </c>
      <c r="P81" s="5" t="s">
        <v>405</v>
      </c>
      <c r="Q81" s="15"/>
      <c r="R81" s="16" t="s">
        <v>28</v>
      </c>
      <c r="S81" s="15"/>
      <c r="T81" s="15"/>
      <c r="U81" s="15"/>
      <c r="V81" s="15"/>
      <c r="W81" s="15"/>
      <c r="X81" s="15"/>
      <c r="Y81" s="15"/>
      <c r="Z81" s="15"/>
      <c r="AA81" s="15"/>
    </row>
    <row r="82">
      <c r="A82" s="5" t="s">
        <v>406</v>
      </c>
      <c r="B82" s="17" t="s">
        <v>407</v>
      </c>
      <c r="C82" s="7" t="s">
        <v>408</v>
      </c>
      <c r="D82" s="8"/>
      <c r="E82" s="8" t="s">
        <v>87</v>
      </c>
      <c r="F82" s="9">
        <v>10000.0</v>
      </c>
      <c r="G82" s="19" t="s">
        <v>409</v>
      </c>
      <c r="H82" s="11" t="s">
        <v>24</v>
      </c>
      <c r="I82" s="25">
        <v>6.201976172E9</v>
      </c>
      <c r="J82" s="11" t="s">
        <v>25</v>
      </c>
      <c r="K82" s="12"/>
      <c r="L82" s="13"/>
      <c r="M82" s="14"/>
      <c r="N82" s="15"/>
      <c r="O82" s="5" t="s">
        <v>26</v>
      </c>
      <c r="P82" s="5" t="s">
        <v>79</v>
      </c>
      <c r="Q82" s="15"/>
      <c r="R82" s="16" t="s">
        <v>28</v>
      </c>
      <c r="S82" s="15"/>
      <c r="T82" s="15"/>
      <c r="U82" s="15"/>
      <c r="V82" s="15"/>
      <c r="W82" s="15"/>
      <c r="X82" s="15"/>
      <c r="Y82" s="15"/>
      <c r="Z82" s="15"/>
      <c r="AA82" s="15"/>
    </row>
    <row r="83">
      <c r="A83" s="5" t="s">
        <v>406</v>
      </c>
      <c r="B83" s="17" t="s">
        <v>410</v>
      </c>
      <c r="C83" s="7" t="s">
        <v>411</v>
      </c>
      <c r="D83" s="8"/>
      <c r="E83" s="8" t="s">
        <v>412</v>
      </c>
      <c r="F83" s="9">
        <v>1000.0</v>
      </c>
      <c r="G83" s="23" t="s">
        <v>413</v>
      </c>
      <c r="H83" s="11" t="s">
        <v>24</v>
      </c>
      <c r="I83" s="25">
        <v>9.204012877E9</v>
      </c>
      <c r="J83" s="11" t="s">
        <v>25</v>
      </c>
      <c r="K83" s="12"/>
      <c r="L83" s="13"/>
      <c r="M83" s="14"/>
      <c r="N83" s="15"/>
      <c r="O83" s="5" t="s">
        <v>26</v>
      </c>
      <c r="P83" s="5" t="s">
        <v>414</v>
      </c>
      <c r="Q83" s="15"/>
      <c r="R83" s="16" t="s">
        <v>28</v>
      </c>
      <c r="S83" s="15"/>
      <c r="T83" s="15"/>
      <c r="U83" s="15"/>
      <c r="V83" s="15"/>
      <c r="W83" s="15"/>
      <c r="X83" s="15"/>
      <c r="Y83" s="15"/>
      <c r="Z83" s="15"/>
      <c r="AA83" s="15"/>
    </row>
    <row r="84">
      <c r="A84" s="5" t="s">
        <v>406</v>
      </c>
      <c r="B84" s="17" t="s">
        <v>415</v>
      </c>
      <c r="C84" s="7" t="s">
        <v>416</v>
      </c>
      <c r="D84" s="8"/>
      <c r="E84" s="8" t="s">
        <v>189</v>
      </c>
      <c r="F84" s="9">
        <v>2000.0</v>
      </c>
      <c r="G84" s="18" t="s">
        <v>417</v>
      </c>
      <c r="H84" s="11" t="s">
        <v>99</v>
      </c>
      <c r="I84" s="25">
        <v>9.437060489E9</v>
      </c>
      <c r="J84" s="11" t="s">
        <v>25</v>
      </c>
      <c r="K84" s="12"/>
      <c r="L84" s="13"/>
      <c r="M84" s="14"/>
      <c r="N84" s="15"/>
      <c r="O84" s="5" t="s">
        <v>34</v>
      </c>
      <c r="P84" s="5" t="s">
        <v>143</v>
      </c>
      <c r="Q84" s="15"/>
      <c r="R84" s="16" t="s">
        <v>28</v>
      </c>
      <c r="S84" s="15"/>
      <c r="T84" s="15"/>
      <c r="U84" s="15"/>
      <c r="V84" s="15"/>
      <c r="W84" s="15"/>
      <c r="X84" s="15"/>
      <c r="Y84" s="15"/>
      <c r="Z84" s="15"/>
      <c r="AA84" s="15"/>
    </row>
    <row r="85">
      <c r="A85" s="5" t="s">
        <v>418</v>
      </c>
      <c r="B85" s="17" t="s">
        <v>419</v>
      </c>
      <c r="C85" s="7" t="s">
        <v>420</v>
      </c>
      <c r="D85" s="8"/>
      <c r="E85" s="8" t="s">
        <v>421</v>
      </c>
      <c r="F85" s="9">
        <v>500.0</v>
      </c>
      <c r="G85" s="25"/>
      <c r="H85" s="11" t="s">
        <v>422</v>
      </c>
      <c r="I85" s="25">
        <v>9.432523354E9</v>
      </c>
      <c r="J85" s="11" t="s">
        <v>25</v>
      </c>
      <c r="K85" s="12"/>
      <c r="L85" s="13"/>
      <c r="M85" s="14"/>
      <c r="N85" s="15"/>
      <c r="O85" s="5" t="s">
        <v>34</v>
      </c>
      <c r="P85" s="5" t="s">
        <v>423</v>
      </c>
      <c r="Q85" s="15"/>
      <c r="R85" s="16" t="s">
        <v>74</v>
      </c>
      <c r="S85" s="15"/>
      <c r="T85" s="15"/>
      <c r="U85" s="15"/>
      <c r="V85" s="15"/>
      <c r="W85" s="15"/>
      <c r="X85" s="15"/>
      <c r="Y85" s="15"/>
      <c r="Z85" s="15"/>
      <c r="AA85" s="15"/>
    </row>
    <row r="86">
      <c r="A86" s="5" t="s">
        <v>418</v>
      </c>
      <c r="B86" s="17" t="s">
        <v>424</v>
      </c>
      <c r="C86" s="7" t="s">
        <v>425</v>
      </c>
      <c r="D86" s="8"/>
      <c r="E86" s="8" t="s">
        <v>116</v>
      </c>
      <c r="F86" s="9">
        <v>25000.0</v>
      </c>
      <c r="G86" s="18" t="s">
        <v>426</v>
      </c>
      <c r="H86" s="11" t="s">
        <v>218</v>
      </c>
      <c r="I86" s="25">
        <v>7.872501928E9</v>
      </c>
      <c r="J86" s="11" t="s">
        <v>25</v>
      </c>
      <c r="K86" s="12"/>
      <c r="L86" s="13"/>
      <c r="M86" s="14"/>
      <c r="N86" s="15"/>
      <c r="O86" s="5" t="s">
        <v>26</v>
      </c>
      <c r="P86" s="5"/>
      <c r="Q86" s="15"/>
      <c r="R86" s="16" t="s">
        <v>28</v>
      </c>
      <c r="S86" s="15"/>
      <c r="T86" s="15"/>
      <c r="U86" s="15"/>
      <c r="V86" s="15"/>
      <c r="W86" s="15"/>
      <c r="X86" s="15"/>
      <c r="Y86" s="15"/>
      <c r="Z86" s="15"/>
      <c r="AA86" s="15"/>
    </row>
    <row r="87">
      <c r="A87" s="5" t="s">
        <v>427</v>
      </c>
      <c r="B87" s="17" t="s">
        <v>428</v>
      </c>
      <c r="C87" s="7" t="s">
        <v>429</v>
      </c>
      <c r="D87" s="8"/>
      <c r="E87" s="8" t="s">
        <v>116</v>
      </c>
      <c r="F87" s="9">
        <v>10000.0</v>
      </c>
      <c r="G87" s="18" t="s">
        <v>430</v>
      </c>
      <c r="H87" s="11" t="s">
        <v>184</v>
      </c>
      <c r="I87" s="25">
        <v>8.877998866E9</v>
      </c>
      <c r="J87" s="11" t="s">
        <v>25</v>
      </c>
      <c r="K87" s="12"/>
      <c r="L87" s="13"/>
      <c r="M87" s="14"/>
      <c r="N87" s="15"/>
      <c r="O87" s="5" t="s">
        <v>26</v>
      </c>
      <c r="P87" s="5"/>
      <c r="Q87" s="15"/>
      <c r="R87" s="16" t="s">
        <v>28</v>
      </c>
      <c r="S87" s="15"/>
      <c r="T87" s="15"/>
      <c r="U87" s="15"/>
      <c r="V87" s="15"/>
      <c r="W87" s="15"/>
      <c r="X87" s="15"/>
      <c r="Y87" s="15"/>
      <c r="Z87" s="15"/>
      <c r="AA87" s="15"/>
    </row>
    <row r="88">
      <c r="A88" s="5" t="s">
        <v>427</v>
      </c>
      <c r="B88" s="17" t="s">
        <v>431</v>
      </c>
      <c r="C88" s="7" t="s">
        <v>432</v>
      </c>
      <c r="D88" s="8"/>
      <c r="E88" s="8" t="s">
        <v>43</v>
      </c>
      <c r="F88" s="9">
        <v>10000.0</v>
      </c>
      <c r="G88" s="18" t="s">
        <v>433</v>
      </c>
      <c r="H88" s="11" t="s">
        <v>288</v>
      </c>
      <c r="I88" s="25">
        <v>8.436110043E9</v>
      </c>
      <c r="J88" s="11" t="s">
        <v>25</v>
      </c>
      <c r="K88" s="12"/>
      <c r="L88" s="13"/>
      <c r="M88" s="14"/>
      <c r="N88" s="15"/>
      <c r="O88" s="5" t="s">
        <v>34</v>
      </c>
      <c r="P88" s="5" t="s">
        <v>209</v>
      </c>
      <c r="Q88" s="15"/>
      <c r="R88" s="16" t="s">
        <v>28</v>
      </c>
      <c r="S88" s="15"/>
      <c r="T88" s="15"/>
      <c r="U88" s="15"/>
      <c r="V88" s="15"/>
      <c r="W88" s="15"/>
      <c r="X88" s="15"/>
      <c r="Y88" s="15"/>
      <c r="Z88" s="15"/>
      <c r="AA88" s="15"/>
    </row>
    <row r="89">
      <c r="A89" s="5" t="s">
        <v>434</v>
      </c>
      <c r="B89" s="17" t="s">
        <v>435</v>
      </c>
      <c r="C89" s="7" t="s">
        <v>436</v>
      </c>
      <c r="D89" s="8"/>
      <c r="E89" s="8" t="s">
        <v>326</v>
      </c>
      <c r="F89" s="9">
        <v>5000.0</v>
      </c>
      <c r="G89" s="18" t="s">
        <v>437</v>
      </c>
      <c r="H89" s="11" t="s">
        <v>438</v>
      </c>
      <c r="I89" s="25">
        <v>9.733637947E9</v>
      </c>
      <c r="J89" s="11" t="s">
        <v>25</v>
      </c>
      <c r="K89" s="12"/>
      <c r="L89" s="13"/>
      <c r="M89" s="14"/>
      <c r="N89" s="15"/>
      <c r="O89" s="5" t="s">
        <v>34</v>
      </c>
      <c r="P89" s="5" t="s">
        <v>143</v>
      </c>
      <c r="Q89" s="15"/>
      <c r="R89" s="16" t="s">
        <v>28</v>
      </c>
      <c r="S89" s="15"/>
      <c r="T89" s="15"/>
      <c r="U89" s="15"/>
      <c r="V89" s="15"/>
      <c r="W89" s="15"/>
      <c r="X89" s="15"/>
      <c r="Y89" s="15"/>
      <c r="Z89" s="15"/>
      <c r="AA89" s="15"/>
    </row>
    <row r="90">
      <c r="A90" s="5" t="s">
        <v>434</v>
      </c>
      <c r="B90" s="17" t="s">
        <v>439</v>
      </c>
      <c r="C90" s="7" t="s">
        <v>440</v>
      </c>
      <c r="D90" s="8"/>
      <c r="E90" s="8" t="s">
        <v>152</v>
      </c>
      <c r="F90" s="9">
        <v>100000.0</v>
      </c>
      <c r="G90" s="18" t="s">
        <v>441</v>
      </c>
      <c r="H90" s="11" t="s">
        <v>44</v>
      </c>
      <c r="I90" s="25">
        <v>8.091715227E9</v>
      </c>
      <c r="J90" s="11" t="s">
        <v>25</v>
      </c>
      <c r="K90" s="12"/>
      <c r="L90" s="13"/>
      <c r="M90" s="14"/>
      <c r="N90" s="15"/>
      <c r="O90" s="5" t="s">
        <v>26</v>
      </c>
      <c r="P90" s="5"/>
      <c r="Q90" s="15"/>
      <c r="R90" s="16" t="s">
        <v>28</v>
      </c>
      <c r="S90" s="15"/>
      <c r="T90" s="15"/>
      <c r="U90" s="15"/>
      <c r="V90" s="15"/>
      <c r="W90" s="15"/>
      <c r="X90" s="15"/>
      <c r="Y90" s="15"/>
      <c r="Z90" s="15"/>
      <c r="AA90" s="15"/>
    </row>
    <row r="91">
      <c r="A91" s="5" t="s">
        <v>434</v>
      </c>
      <c r="B91" s="17" t="s">
        <v>442</v>
      </c>
      <c r="C91" s="7" t="s">
        <v>443</v>
      </c>
      <c r="D91" s="8"/>
      <c r="E91" s="8" t="s">
        <v>444</v>
      </c>
      <c r="F91" s="9">
        <v>1000.0</v>
      </c>
      <c r="G91" s="18" t="s">
        <v>445</v>
      </c>
      <c r="H91" s="11" t="s">
        <v>44</v>
      </c>
      <c r="I91" s="25">
        <v>9.874961598E9</v>
      </c>
      <c r="J91" s="11" t="s">
        <v>25</v>
      </c>
      <c r="K91" s="12"/>
      <c r="L91" s="13"/>
      <c r="M91" s="14"/>
      <c r="N91" s="15"/>
      <c r="O91" s="5" t="s">
        <v>34</v>
      </c>
      <c r="P91" s="5" t="s">
        <v>79</v>
      </c>
      <c r="Q91" s="15"/>
      <c r="R91" s="16" t="s">
        <v>28</v>
      </c>
      <c r="S91" s="15"/>
      <c r="T91" s="15"/>
      <c r="U91" s="15"/>
      <c r="V91" s="15"/>
      <c r="W91" s="15"/>
      <c r="X91" s="15"/>
      <c r="Y91" s="15"/>
      <c r="Z91" s="15"/>
      <c r="AA91" s="15"/>
    </row>
    <row r="92">
      <c r="A92" s="5" t="s">
        <v>446</v>
      </c>
      <c r="B92" s="17" t="s">
        <v>447</v>
      </c>
      <c r="C92" s="7" t="s">
        <v>448</v>
      </c>
      <c r="D92" s="8"/>
      <c r="E92" s="8" t="s">
        <v>147</v>
      </c>
      <c r="F92" s="9">
        <v>2000.0</v>
      </c>
      <c r="G92" s="25"/>
      <c r="H92" s="11" t="s">
        <v>449</v>
      </c>
      <c r="I92" s="25">
        <v>9.083474217E9</v>
      </c>
      <c r="J92" s="11" t="s">
        <v>25</v>
      </c>
      <c r="K92" s="12"/>
      <c r="L92" s="13"/>
      <c r="M92" s="14"/>
      <c r="N92" s="15"/>
      <c r="O92" s="5" t="s">
        <v>34</v>
      </c>
      <c r="P92" s="5" t="s">
        <v>143</v>
      </c>
      <c r="Q92" s="15"/>
      <c r="R92" s="16" t="s">
        <v>28</v>
      </c>
      <c r="S92" s="15"/>
      <c r="T92" s="15"/>
      <c r="U92" s="15"/>
      <c r="V92" s="15"/>
      <c r="W92" s="15"/>
      <c r="X92" s="15"/>
      <c r="Y92" s="15"/>
      <c r="Z92" s="15"/>
      <c r="AA92" s="15"/>
    </row>
    <row r="93">
      <c r="A93" s="5" t="s">
        <v>446</v>
      </c>
      <c r="B93" s="17" t="s">
        <v>450</v>
      </c>
      <c r="C93" s="7" t="s">
        <v>451</v>
      </c>
      <c r="D93" s="8"/>
      <c r="E93" s="8" t="s">
        <v>178</v>
      </c>
      <c r="F93" s="9">
        <v>40000.0</v>
      </c>
      <c r="G93" s="18" t="s">
        <v>452</v>
      </c>
      <c r="H93" s="11" t="s">
        <v>158</v>
      </c>
      <c r="I93" s="25">
        <v>9.163757684E9</v>
      </c>
      <c r="J93" s="11" t="s">
        <v>25</v>
      </c>
      <c r="K93" s="12"/>
      <c r="L93" s="13"/>
      <c r="M93" s="14"/>
      <c r="N93" s="15"/>
      <c r="O93" s="5" t="s">
        <v>26</v>
      </c>
      <c r="P93" s="5" t="s">
        <v>453</v>
      </c>
      <c r="Q93" s="15"/>
      <c r="R93" s="16" t="s">
        <v>28</v>
      </c>
      <c r="S93" s="15"/>
      <c r="T93" s="15"/>
      <c r="U93" s="15"/>
      <c r="V93" s="15"/>
      <c r="W93" s="15"/>
      <c r="X93" s="15"/>
      <c r="Y93" s="15"/>
      <c r="Z93" s="15"/>
      <c r="AA93" s="15"/>
    </row>
    <row r="94">
      <c r="A94" s="5" t="s">
        <v>454</v>
      </c>
      <c r="B94" s="17" t="s">
        <v>455</v>
      </c>
      <c r="C94" s="7" t="s">
        <v>456</v>
      </c>
      <c r="D94" s="8"/>
      <c r="E94" s="8" t="s">
        <v>207</v>
      </c>
      <c r="F94" s="9">
        <v>20000.0</v>
      </c>
      <c r="G94" s="18" t="s">
        <v>457</v>
      </c>
      <c r="H94" s="11" t="s">
        <v>44</v>
      </c>
      <c r="I94" s="25">
        <v>8.697723895E9</v>
      </c>
      <c r="J94" s="11" t="s">
        <v>25</v>
      </c>
      <c r="K94" s="12"/>
      <c r="L94" s="13"/>
      <c r="M94" s="14"/>
      <c r="N94" s="15"/>
      <c r="O94" s="5" t="s">
        <v>26</v>
      </c>
      <c r="P94" s="5"/>
      <c r="Q94" s="15"/>
      <c r="R94" s="16" t="s">
        <v>28</v>
      </c>
      <c r="S94" s="15"/>
      <c r="T94" s="15"/>
      <c r="U94" s="15"/>
      <c r="V94" s="15"/>
      <c r="W94" s="15"/>
      <c r="X94" s="15"/>
      <c r="Y94" s="15"/>
      <c r="Z94" s="15"/>
      <c r="AA94" s="15"/>
    </row>
    <row r="95">
      <c r="A95" s="5" t="s">
        <v>454</v>
      </c>
      <c r="B95" s="17" t="s">
        <v>458</v>
      </c>
      <c r="C95" s="7" t="s">
        <v>459</v>
      </c>
      <c r="D95" s="8"/>
      <c r="E95" s="8" t="s">
        <v>152</v>
      </c>
      <c r="F95" s="9">
        <v>5000.0</v>
      </c>
      <c r="G95" s="18" t="s">
        <v>460</v>
      </c>
      <c r="H95" s="11" t="s">
        <v>461</v>
      </c>
      <c r="I95" s="25">
        <v>8.826733735E9</v>
      </c>
      <c r="J95" s="11" t="s">
        <v>25</v>
      </c>
      <c r="K95" s="12"/>
      <c r="L95" s="13"/>
      <c r="M95" s="14"/>
      <c r="N95" s="15"/>
      <c r="O95" s="5" t="s">
        <v>108</v>
      </c>
      <c r="P95" s="5"/>
      <c r="Q95" s="15"/>
      <c r="R95" s="16" t="s">
        <v>28</v>
      </c>
      <c r="S95" s="15"/>
      <c r="T95" s="15"/>
      <c r="U95" s="15"/>
      <c r="V95" s="15"/>
      <c r="W95" s="15"/>
      <c r="X95" s="15"/>
      <c r="Y95" s="15"/>
      <c r="Z95" s="15"/>
      <c r="AA95" s="15"/>
    </row>
    <row r="96">
      <c r="A96" s="5" t="s">
        <v>462</v>
      </c>
      <c r="B96" s="17" t="s">
        <v>463</v>
      </c>
      <c r="C96" s="7" t="s">
        <v>464</v>
      </c>
      <c r="D96" s="8"/>
      <c r="E96" s="8" t="s">
        <v>465</v>
      </c>
      <c r="F96" s="9">
        <v>12000.0</v>
      </c>
      <c r="G96" s="18" t="s">
        <v>466</v>
      </c>
      <c r="H96" s="24" t="s">
        <v>467</v>
      </c>
      <c r="I96" s="25">
        <v>9.140421128E9</v>
      </c>
      <c r="J96" s="11" t="s">
        <v>25</v>
      </c>
      <c r="K96" s="12"/>
      <c r="L96" s="13"/>
      <c r="M96" s="14"/>
      <c r="N96" s="15"/>
      <c r="O96" s="5" t="s">
        <v>108</v>
      </c>
      <c r="P96" s="5" t="s">
        <v>468</v>
      </c>
      <c r="Q96" s="15"/>
      <c r="R96" s="16" t="s">
        <v>28</v>
      </c>
      <c r="S96" s="15"/>
      <c r="T96" s="15"/>
      <c r="U96" s="15"/>
      <c r="V96" s="15"/>
      <c r="W96" s="15"/>
      <c r="X96" s="15"/>
      <c r="Y96" s="15"/>
      <c r="Z96" s="15"/>
      <c r="AA96" s="15"/>
    </row>
    <row r="97">
      <c r="A97" s="5" t="s">
        <v>462</v>
      </c>
      <c r="B97" s="17" t="s">
        <v>469</v>
      </c>
      <c r="C97" s="7" t="s">
        <v>470</v>
      </c>
      <c r="D97" s="8"/>
      <c r="E97" s="8" t="s">
        <v>43</v>
      </c>
      <c r="F97" s="9">
        <v>1000.0</v>
      </c>
      <c r="G97" s="18" t="s">
        <v>471</v>
      </c>
      <c r="H97" s="11" t="s">
        <v>472</v>
      </c>
      <c r="I97" s="25">
        <v>9.064544304E9</v>
      </c>
      <c r="J97" s="11" t="s">
        <v>25</v>
      </c>
      <c r="K97" s="12"/>
      <c r="L97" s="13"/>
      <c r="M97" s="14"/>
      <c r="N97" s="15"/>
      <c r="O97" s="5" t="s">
        <v>34</v>
      </c>
      <c r="P97" s="5" t="s">
        <v>79</v>
      </c>
      <c r="Q97" s="15"/>
      <c r="R97" s="16" t="s">
        <v>28</v>
      </c>
      <c r="S97" s="15"/>
      <c r="T97" s="15"/>
      <c r="U97" s="15"/>
      <c r="V97" s="15"/>
      <c r="W97" s="15"/>
      <c r="X97" s="15"/>
      <c r="Y97" s="15"/>
      <c r="Z97" s="15"/>
      <c r="AA97" s="15"/>
    </row>
    <row r="98">
      <c r="A98" s="5" t="s">
        <v>462</v>
      </c>
      <c r="B98" s="17" t="s">
        <v>473</v>
      </c>
      <c r="C98" s="7" t="s">
        <v>474</v>
      </c>
      <c r="D98" s="8"/>
      <c r="E98" s="8" t="s">
        <v>130</v>
      </c>
      <c r="F98" s="9">
        <v>10000.0</v>
      </c>
      <c r="G98" s="18" t="s">
        <v>475</v>
      </c>
      <c r="H98" s="11" t="s">
        <v>472</v>
      </c>
      <c r="I98" s="25">
        <v>9.650992421E9</v>
      </c>
      <c r="J98" s="11" t="s">
        <v>25</v>
      </c>
      <c r="K98" s="12"/>
      <c r="L98" s="13"/>
      <c r="M98" s="14"/>
      <c r="N98" s="15"/>
      <c r="O98" s="5" t="s">
        <v>26</v>
      </c>
      <c r="P98" s="5" t="s">
        <v>476</v>
      </c>
      <c r="Q98" s="15"/>
      <c r="R98" s="16" t="s">
        <v>28</v>
      </c>
      <c r="S98" s="15"/>
      <c r="T98" s="15"/>
      <c r="U98" s="15"/>
      <c r="V98" s="15"/>
      <c r="W98" s="15"/>
      <c r="X98" s="15"/>
      <c r="Y98" s="15"/>
      <c r="Z98" s="15"/>
      <c r="AA98" s="15"/>
    </row>
    <row r="99">
      <c r="A99" s="5" t="s">
        <v>477</v>
      </c>
      <c r="B99" s="17" t="s">
        <v>478</v>
      </c>
      <c r="C99" s="7" t="s">
        <v>479</v>
      </c>
      <c r="D99" s="8"/>
      <c r="E99" s="8" t="s">
        <v>130</v>
      </c>
      <c r="F99" s="9">
        <v>15000.0</v>
      </c>
      <c r="G99" s="18" t="s">
        <v>480</v>
      </c>
      <c r="H99" s="11" t="s">
        <v>481</v>
      </c>
      <c r="I99" s="25">
        <v>8.240542125E9</v>
      </c>
      <c r="J99" s="11" t="s">
        <v>25</v>
      </c>
      <c r="K99" s="12"/>
      <c r="L99" s="13"/>
      <c r="M99" s="14"/>
      <c r="N99" s="15"/>
      <c r="O99" s="5" t="s">
        <v>26</v>
      </c>
      <c r="P99" s="5" t="s">
        <v>482</v>
      </c>
      <c r="Q99" s="5" t="s">
        <v>483</v>
      </c>
      <c r="R99" s="16" t="s">
        <v>28</v>
      </c>
      <c r="S99" s="15"/>
      <c r="T99" s="15"/>
      <c r="U99" s="15"/>
      <c r="V99" s="15"/>
      <c r="W99" s="15"/>
      <c r="X99" s="15"/>
      <c r="Y99" s="15"/>
      <c r="Z99" s="15"/>
      <c r="AA99" s="15"/>
    </row>
    <row r="100">
      <c r="A100" s="5" t="s">
        <v>477</v>
      </c>
      <c r="B100" s="17" t="s">
        <v>484</v>
      </c>
      <c r="C100" s="7" t="s">
        <v>485</v>
      </c>
      <c r="D100" s="8"/>
      <c r="E100" s="8" t="s">
        <v>235</v>
      </c>
      <c r="F100" s="9">
        <v>2000.0</v>
      </c>
      <c r="G100" s="18" t="s">
        <v>486</v>
      </c>
      <c r="H100" s="11" t="s">
        <v>44</v>
      </c>
      <c r="I100" s="25">
        <v>9.748776179E9</v>
      </c>
      <c r="J100" s="11" t="s">
        <v>25</v>
      </c>
      <c r="K100" s="12"/>
      <c r="L100" s="13"/>
      <c r="M100" s="14"/>
      <c r="N100" s="15"/>
      <c r="O100" s="5" t="s">
        <v>34</v>
      </c>
      <c r="P100" s="5" t="s">
        <v>185</v>
      </c>
      <c r="Q100" s="15"/>
      <c r="R100" s="16" t="s">
        <v>28</v>
      </c>
      <c r="S100" s="15"/>
      <c r="T100" s="15"/>
      <c r="U100" s="15"/>
      <c r="V100" s="15"/>
      <c r="W100" s="15"/>
      <c r="X100" s="15"/>
      <c r="Y100" s="15"/>
      <c r="Z100" s="15"/>
      <c r="AA100" s="15"/>
    </row>
    <row r="101">
      <c r="A101" s="5" t="s">
        <v>477</v>
      </c>
      <c r="B101" s="17" t="s">
        <v>487</v>
      </c>
      <c r="C101" s="7" t="s">
        <v>488</v>
      </c>
      <c r="D101" s="8"/>
      <c r="E101" s="8" t="s">
        <v>130</v>
      </c>
      <c r="F101" s="9">
        <v>2000.0</v>
      </c>
      <c r="G101" s="18" t="s">
        <v>489</v>
      </c>
      <c r="H101" s="11" t="s">
        <v>44</v>
      </c>
      <c r="I101" s="25">
        <v>7.00376211E9</v>
      </c>
      <c r="J101" s="11" t="s">
        <v>25</v>
      </c>
      <c r="K101" s="12"/>
      <c r="L101" s="13"/>
      <c r="M101" s="14"/>
      <c r="N101" s="15"/>
      <c r="O101" s="5" t="s">
        <v>34</v>
      </c>
      <c r="P101" s="5" t="s">
        <v>79</v>
      </c>
      <c r="Q101" s="15"/>
      <c r="R101" s="16" t="s">
        <v>28</v>
      </c>
      <c r="S101" s="15"/>
      <c r="T101" s="15"/>
      <c r="U101" s="15"/>
      <c r="V101" s="15"/>
      <c r="W101" s="15"/>
      <c r="X101" s="15"/>
      <c r="Y101" s="15"/>
      <c r="Z101" s="15"/>
      <c r="AA101" s="15"/>
    </row>
    <row r="102">
      <c r="A102" s="5" t="s">
        <v>490</v>
      </c>
      <c r="B102" s="17" t="s">
        <v>491</v>
      </c>
      <c r="C102" s="7" t="s">
        <v>492</v>
      </c>
      <c r="D102" s="8"/>
      <c r="E102" s="8" t="s">
        <v>493</v>
      </c>
      <c r="F102" s="9">
        <v>5000.0</v>
      </c>
      <c r="G102" s="18" t="s">
        <v>494</v>
      </c>
      <c r="H102" s="11" t="s">
        <v>495</v>
      </c>
      <c r="I102" s="25">
        <v>9.852660519E9</v>
      </c>
      <c r="J102" s="11" t="s">
        <v>25</v>
      </c>
      <c r="K102" s="12"/>
      <c r="L102" s="13"/>
      <c r="M102" s="14"/>
      <c r="N102" s="15"/>
      <c r="O102" s="5" t="s">
        <v>26</v>
      </c>
      <c r="P102" s="5"/>
      <c r="Q102" s="15"/>
      <c r="R102" s="16" t="s">
        <v>28</v>
      </c>
      <c r="S102" s="15"/>
      <c r="T102" s="15"/>
      <c r="U102" s="15"/>
      <c r="V102" s="15"/>
      <c r="W102" s="15"/>
      <c r="X102" s="15"/>
      <c r="Y102" s="15"/>
      <c r="Z102" s="15"/>
      <c r="AA102" s="15"/>
    </row>
    <row r="103">
      <c r="A103" s="5" t="s">
        <v>490</v>
      </c>
      <c r="B103" s="17" t="s">
        <v>496</v>
      </c>
      <c r="C103" s="7" t="s">
        <v>497</v>
      </c>
      <c r="D103" s="8"/>
      <c r="E103" s="8" t="s">
        <v>227</v>
      </c>
      <c r="F103" s="9">
        <v>1000.0</v>
      </c>
      <c r="G103" s="18" t="s">
        <v>498</v>
      </c>
      <c r="H103" s="11" t="s">
        <v>44</v>
      </c>
      <c r="I103" s="25">
        <v>9.74803278E9</v>
      </c>
      <c r="J103" s="11" t="s">
        <v>25</v>
      </c>
      <c r="K103" s="12"/>
      <c r="L103" s="13"/>
      <c r="M103" s="14"/>
      <c r="N103" s="15"/>
      <c r="O103" s="5" t="s">
        <v>34</v>
      </c>
      <c r="P103" s="5"/>
      <c r="Q103" s="15"/>
      <c r="R103" s="16" t="s">
        <v>28</v>
      </c>
      <c r="S103" s="15"/>
      <c r="T103" s="15"/>
      <c r="U103" s="15"/>
      <c r="V103" s="15"/>
      <c r="W103" s="15"/>
      <c r="X103" s="15"/>
      <c r="Y103" s="15"/>
      <c r="Z103" s="15"/>
      <c r="AA103" s="15"/>
    </row>
    <row r="104">
      <c r="A104" s="5" t="s">
        <v>490</v>
      </c>
      <c r="B104" s="17" t="s">
        <v>499</v>
      </c>
      <c r="C104" s="7" t="s">
        <v>500</v>
      </c>
      <c r="D104" s="8"/>
      <c r="E104" s="8" t="s">
        <v>501</v>
      </c>
      <c r="F104" s="9">
        <v>4000.0</v>
      </c>
      <c r="G104" s="18" t="s">
        <v>502</v>
      </c>
      <c r="H104" s="11" t="s">
        <v>44</v>
      </c>
      <c r="I104" s="25">
        <v>7.431897443E9</v>
      </c>
      <c r="J104" s="11" t="s">
        <v>25</v>
      </c>
      <c r="K104" s="12"/>
      <c r="L104" s="13"/>
      <c r="M104" s="14"/>
      <c r="N104" s="15"/>
      <c r="O104" s="5" t="s">
        <v>34</v>
      </c>
      <c r="P104" s="5" t="s">
        <v>79</v>
      </c>
      <c r="Q104" s="15"/>
      <c r="R104" s="16" t="s">
        <v>28</v>
      </c>
      <c r="S104" s="15"/>
      <c r="T104" s="15"/>
      <c r="U104" s="15"/>
      <c r="V104" s="15"/>
      <c r="W104" s="15"/>
      <c r="X104" s="15"/>
      <c r="Y104" s="15"/>
      <c r="Z104" s="15"/>
      <c r="AA104" s="15"/>
    </row>
    <row r="105">
      <c r="A105" s="5" t="s">
        <v>503</v>
      </c>
      <c r="B105" s="17" t="s">
        <v>504</v>
      </c>
      <c r="C105" s="7" t="s">
        <v>505</v>
      </c>
      <c r="D105" s="8"/>
      <c r="E105" s="8" t="s">
        <v>152</v>
      </c>
      <c r="F105" s="9">
        <v>10000.0</v>
      </c>
      <c r="G105" s="18" t="s">
        <v>506</v>
      </c>
      <c r="H105" s="11" t="s">
        <v>507</v>
      </c>
      <c r="I105" s="25">
        <v>9.960818288E9</v>
      </c>
      <c r="J105" s="11" t="s">
        <v>25</v>
      </c>
      <c r="K105" s="12"/>
      <c r="L105" s="13"/>
      <c r="M105" s="14"/>
      <c r="N105" s="15"/>
      <c r="O105" s="5" t="s">
        <v>108</v>
      </c>
      <c r="P105" s="5" t="s">
        <v>508</v>
      </c>
      <c r="Q105" s="15"/>
      <c r="R105" s="16" t="s">
        <v>28</v>
      </c>
      <c r="S105" s="15"/>
      <c r="T105" s="15"/>
      <c r="U105" s="15"/>
      <c r="V105" s="15"/>
      <c r="W105" s="15"/>
      <c r="X105" s="15"/>
      <c r="Y105" s="15"/>
      <c r="Z105" s="15"/>
      <c r="AA105" s="15"/>
    </row>
    <row r="106">
      <c r="A106" s="5" t="s">
        <v>503</v>
      </c>
      <c r="B106" s="17" t="s">
        <v>509</v>
      </c>
      <c r="C106" s="7" t="s">
        <v>510</v>
      </c>
      <c r="D106" s="8"/>
      <c r="E106" s="8" t="s">
        <v>43</v>
      </c>
      <c r="F106" s="9">
        <v>18000.0</v>
      </c>
      <c r="G106" s="25"/>
      <c r="H106" s="11" t="s">
        <v>99</v>
      </c>
      <c r="I106" s="25">
        <v>7.86292827E9</v>
      </c>
      <c r="J106" s="11" t="s">
        <v>25</v>
      </c>
      <c r="K106" s="12"/>
      <c r="L106" s="13"/>
      <c r="M106" s="14"/>
      <c r="N106" s="15"/>
      <c r="O106" s="5" t="s">
        <v>60</v>
      </c>
      <c r="P106" s="5"/>
      <c r="Q106" s="15"/>
      <c r="R106" s="16" t="s">
        <v>28</v>
      </c>
      <c r="S106" s="15"/>
      <c r="T106" s="15"/>
      <c r="U106" s="15"/>
      <c r="V106" s="15"/>
      <c r="W106" s="15"/>
      <c r="X106" s="15"/>
      <c r="Y106" s="15"/>
      <c r="Z106" s="15"/>
      <c r="AA106" s="15"/>
    </row>
    <row r="107">
      <c r="A107" s="5" t="s">
        <v>503</v>
      </c>
      <c r="B107" s="17" t="s">
        <v>511</v>
      </c>
      <c r="C107" s="28" t="s">
        <v>512</v>
      </c>
      <c r="D107" s="8"/>
      <c r="E107" s="8" t="s">
        <v>130</v>
      </c>
      <c r="F107" s="9">
        <v>6000.0</v>
      </c>
      <c r="G107" s="18" t="s">
        <v>513</v>
      </c>
      <c r="H107" s="11" t="s">
        <v>514</v>
      </c>
      <c r="I107" s="25">
        <v>9.476310918E9</v>
      </c>
      <c r="J107" s="11" t="s">
        <v>25</v>
      </c>
      <c r="K107" s="12"/>
      <c r="L107" s="13"/>
      <c r="M107" s="14"/>
      <c r="N107" s="15"/>
      <c r="O107" s="5" t="s">
        <v>34</v>
      </c>
      <c r="P107" s="5" t="s">
        <v>143</v>
      </c>
      <c r="Q107" s="15"/>
      <c r="R107" s="16" t="s">
        <v>28</v>
      </c>
      <c r="S107" s="15"/>
      <c r="T107" s="15"/>
      <c r="U107" s="15"/>
      <c r="V107" s="15"/>
      <c r="W107" s="15"/>
      <c r="X107" s="15"/>
      <c r="Y107" s="15"/>
      <c r="Z107" s="15"/>
      <c r="AA107" s="15"/>
    </row>
    <row r="108">
      <c r="A108" s="5" t="s">
        <v>503</v>
      </c>
      <c r="B108" s="17" t="s">
        <v>515</v>
      </c>
      <c r="C108" s="7" t="s">
        <v>516</v>
      </c>
      <c r="D108" s="8"/>
      <c r="E108" s="8" t="s">
        <v>517</v>
      </c>
      <c r="F108" s="9">
        <v>10000.0</v>
      </c>
      <c r="G108" s="18" t="s">
        <v>518</v>
      </c>
      <c r="H108" s="11" t="s">
        <v>519</v>
      </c>
      <c r="I108" s="25">
        <v>9.909972198E9</v>
      </c>
      <c r="J108" s="11" t="s">
        <v>25</v>
      </c>
      <c r="K108" s="12"/>
      <c r="L108" s="13"/>
      <c r="M108" s="14"/>
      <c r="N108" s="15"/>
      <c r="O108" s="5" t="s">
        <v>26</v>
      </c>
      <c r="P108" s="5" t="s">
        <v>405</v>
      </c>
      <c r="Q108" s="15"/>
      <c r="R108" s="16" t="s">
        <v>28</v>
      </c>
      <c r="S108" s="15"/>
      <c r="T108" s="15"/>
      <c r="U108" s="15"/>
      <c r="V108" s="15"/>
      <c r="W108" s="15"/>
      <c r="X108" s="15"/>
      <c r="Y108" s="15"/>
      <c r="Z108" s="15"/>
      <c r="AA108" s="15"/>
    </row>
    <row r="109">
      <c r="A109" s="5" t="s">
        <v>520</v>
      </c>
      <c r="B109" s="17" t="s">
        <v>521</v>
      </c>
      <c r="C109" s="7" t="s">
        <v>522</v>
      </c>
      <c r="D109" s="8"/>
      <c r="E109" s="8" t="s">
        <v>523</v>
      </c>
      <c r="F109" s="9">
        <v>2000.0</v>
      </c>
      <c r="G109" s="18" t="s">
        <v>524</v>
      </c>
      <c r="H109" s="11" t="s">
        <v>99</v>
      </c>
      <c r="I109" s="25">
        <v>9.836931483E9</v>
      </c>
      <c r="J109" s="11" t="s">
        <v>25</v>
      </c>
      <c r="K109" s="12"/>
      <c r="L109" s="13"/>
      <c r="M109" s="14"/>
      <c r="N109" s="15"/>
      <c r="O109" s="5" t="s">
        <v>34</v>
      </c>
      <c r="P109" s="5" t="s">
        <v>79</v>
      </c>
      <c r="Q109" s="15"/>
      <c r="R109" s="16" t="s">
        <v>28</v>
      </c>
      <c r="S109" s="15"/>
      <c r="T109" s="15"/>
      <c r="U109" s="15"/>
      <c r="V109" s="15"/>
      <c r="W109" s="15"/>
      <c r="X109" s="15"/>
      <c r="Y109" s="15"/>
      <c r="Z109" s="15"/>
      <c r="AA109" s="15"/>
    </row>
    <row r="110">
      <c r="A110" s="5" t="s">
        <v>525</v>
      </c>
      <c r="B110" s="17" t="s">
        <v>526</v>
      </c>
      <c r="C110" s="7" t="s">
        <v>527</v>
      </c>
      <c r="D110" s="8"/>
      <c r="E110" s="8" t="s">
        <v>87</v>
      </c>
      <c r="F110" s="9">
        <v>1000.0</v>
      </c>
      <c r="G110" s="19" t="s">
        <v>528</v>
      </c>
      <c r="H110" s="11" t="s">
        <v>44</v>
      </c>
      <c r="I110" s="25">
        <v>9.804040276E9</v>
      </c>
      <c r="J110" s="11" t="s">
        <v>25</v>
      </c>
      <c r="K110" s="12"/>
      <c r="L110" s="13"/>
      <c r="M110" s="14"/>
      <c r="N110" s="15"/>
      <c r="O110" s="5" t="s">
        <v>34</v>
      </c>
      <c r="P110" s="5" t="s">
        <v>143</v>
      </c>
      <c r="Q110" s="15"/>
      <c r="R110" s="16" t="s">
        <v>28</v>
      </c>
      <c r="S110" s="15"/>
      <c r="T110" s="15"/>
      <c r="U110" s="15"/>
      <c r="V110" s="15"/>
      <c r="W110" s="15"/>
      <c r="X110" s="15"/>
      <c r="Y110" s="15"/>
      <c r="Z110" s="15"/>
      <c r="AA110" s="15"/>
    </row>
    <row r="111">
      <c r="A111" s="5" t="s">
        <v>525</v>
      </c>
      <c r="B111" s="17" t="s">
        <v>529</v>
      </c>
      <c r="C111" s="7" t="s">
        <v>530</v>
      </c>
      <c r="D111" s="8"/>
      <c r="E111" s="8" t="s">
        <v>531</v>
      </c>
      <c r="F111" s="9">
        <v>385.0</v>
      </c>
      <c r="G111" s="25"/>
      <c r="H111" s="11" t="s">
        <v>268</v>
      </c>
      <c r="I111" s="25">
        <v>9.702830342E9</v>
      </c>
      <c r="J111" s="11" t="s">
        <v>25</v>
      </c>
      <c r="K111" s="12"/>
      <c r="L111" s="13"/>
      <c r="M111" s="14"/>
      <c r="N111" s="15"/>
      <c r="O111" s="5" t="s">
        <v>34</v>
      </c>
      <c r="P111" s="5" t="s">
        <v>292</v>
      </c>
      <c r="Q111" s="15"/>
      <c r="R111" s="16" t="s">
        <v>74</v>
      </c>
      <c r="S111" s="15"/>
      <c r="T111" s="15"/>
      <c r="U111" s="15"/>
      <c r="V111" s="15"/>
      <c r="W111" s="15"/>
      <c r="X111" s="15"/>
      <c r="Y111" s="15"/>
      <c r="Z111" s="15"/>
      <c r="AA111" s="15"/>
    </row>
    <row r="112">
      <c r="A112" s="5" t="s">
        <v>525</v>
      </c>
      <c r="B112" s="17" t="s">
        <v>532</v>
      </c>
      <c r="C112" s="7" t="s">
        <v>533</v>
      </c>
      <c r="D112" s="8"/>
      <c r="E112" s="8" t="s">
        <v>152</v>
      </c>
      <c r="F112" s="9">
        <v>2000.0</v>
      </c>
      <c r="G112" s="18" t="s">
        <v>534</v>
      </c>
      <c r="H112" s="11" t="s">
        <v>507</v>
      </c>
      <c r="I112" s="25">
        <v>9.325240037E9</v>
      </c>
      <c r="J112" s="11" t="s">
        <v>25</v>
      </c>
      <c r="K112" s="12"/>
      <c r="L112" s="13"/>
      <c r="M112" s="14"/>
      <c r="N112" s="15"/>
      <c r="O112" s="5" t="s">
        <v>108</v>
      </c>
      <c r="P112" s="5" t="s">
        <v>535</v>
      </c>
      <c r="Q112" s="15"/>
      <c r="R112" s="16" t="s">
        <v>28</v>
      </c>
      <c r="S112" s="15"/>
      <c r="T112" s="15"/>
      <c r="U112" s="15"/>
      <c r="V112" s="15"/>
      <c r="W112" s="15"/>
      <c r="X112" s="15"/>
      <c r="Y112" s="15"/>
      <c r="Z112" s="15"/>
      <c r="AA112" s="15"/>
    </row>
    <row r="113">
      <c r="A113" s="5" t="s">
        <v>536</v>
      </c>
      <c r="B113" s="17" t="s">
        <v>537</v>
      </c>
      <c r="C113" s="7" t="s">
        <v>538</v>
      </c>
      <c r="D113" s="8"/>
      <c r="E113" s="8" t="s">
        <v>539</v>
      </c>
      <c r="F113" s="9">
        <v>480.0</v>
      </c>
      <c r="G113" s="18" t="s">
        <v>540</v>
      </c>
      <c r="H113" s="11" t="s">
        <v>44</v>
      </c>
      <c r="I113" s="25">
        <v>9.883296669E9</v>
      </c>
      <c r="J113" s="11" t="s">
        <v>25</v>
      </c>
      <c r="K113" s="12"/>
      <c r="L113" s="13"/>
      <c r="M113" s="14"/>
      <c r="N113" s="15"/>
      <c r="O113" s="5" t="s">
        <v>34</v>
      </c>
      <c r="P113" s="5"/>
      <c r="Q113" s="15"/>
      <c r="R113" s="16" t="s">
        <v>28</v>
      </c>
      <c r="S113" s="15"/>
      <c r="T113" s="15"/>
      <c r="U113" s="15"/>
      <c r="V113" s="15"/>
      <c r="W113" s="15"/>
      <c r="X113" s="15"/>
      <c r="Y113" s="15"/>
      <c r="Z113" s="15"/>
      <c r="AA113" s="15"/>
    </row>
    <row r="114">
      <c r="A114" s="5" t="s">
        <v>536</v>
      </c>
      <c r="B114" s="17" t="s">
        <v>541</v>
      </c>
      <c r="C114" s="7" t="s">
        <v>542</v>
      </c>
      <c r="D114" s="8"/>
      <c r="E114" s="8" t="s">
        <v>77</v>
      </c>
      <c r="F114" s="9">
        <v>20000.0</v>
      </c>
      <c r="G114" s="18" t="s">
        <v>543</v>
      </c>
      <c r="H114" s="11" t="s">
        <v>44</v>
      </c>
      <c r="I114" s="25">
        <v>6.362461534E9</v>
      </c>
      <c r="J114" s="11" t="s">
        <v>25</v>
      </c>
      <c r="K114" s="12"/>
      <c r="L114" s="13"/>
      <c r="M114" s="14"/>
      <c r="N114" s="15"/>
      <c r="O114" s="5" t="s">
        <v>26</v>
      </c>
      <c r="P114" s="5" t="s">
        <v>544</v>
      </c>
      <c r="Q114" s="15"/>
      <c r="R114" s="16" t="s">
        <v>28</v>
      </c>
      <c r="S114" s="15"/>
      <c r="T114" s="15"/>
      <c r="U114" s="15"/>
      <c r="V114" s="15"/>
      <c r="W114" s="15"/>
      <c r="X114" s="15"/>
      <c r="Y114" s="15"/>
      <c r="Z114" s="15"/>
      <c r="AA114" s="15"/>
    </row>
    <row r="115">
      <c r="A115" s="29"/>
      <c r="B115" s="30"/>
      <c r="C115" s="7"/>
      <c r="D115" s="8"/>
      <c r="E115" s="8"/>
      <c r="F115" s="9"/>
      <c r="G115" s="25"/>
      <c r="H115" s="11"/>
      <c r="I115" s="25"/>
      <c r="J115" s="11"/>
      <c r="K115" s="12"/>
      <c r="L115" s="13"/>
      <c r="M115" s="14"/>
      <c r="N115" s="15"/>
      <c r="O115" s="5"/>
      <c r="P115" s="5"/>
      <c r="Q115" s="15"/>
      <c r="R115" s="16"/>
      <c r="S115" s="15"/>
      <c r="T115" s="15"/>
      <c r="U115" s="15"/>
      <c r="V115" s="15"/>
      <c r="W115" s="15"/>
      <c r="X115" s="15"/>
      <c r="Y115" s="15"/>
      <c r="Z115" s="15"/>
      <c r="AA115" s="15"/>
    </row>
    <row r="116">
      <c r="A116" s="5" t="s">
        <v>545</v>
      </c>
      <c r="B116" s="17" t="s">
        <v>546</v>
      </c>
      <c r="C116" s="7" t="s">
        <v>547</v>
      </c>
      <c r="D116" s="8"/>
      <c r="E116" s="8" t="s">
        <v>116</v>
      </c>
      <c r="F116" s="9">
        <v>1000.0</v>
      </c>
      <c r="G116" s="18" t="s">
        <v>548</v>
      </c>
      <c r="H116" s="11" t="s">
        <v>184</v>
      </c>
      <c r="I116" s="25">
        <v>7.004902706E9</v>
      </c>
      <c r="J116" s="11" t="s">
        <v>25</v>
      </c>
      <c r="K116" s="12"/>
      <c r="L116" s="13"/>
      <c r="M116" s="14"/>
      <c r="N116" s="15"/>
      <c r="O116" s="5" t="s">
        <v>26</v>
      </c>
      <c r="P116" s="5"/>
      <c r="Q116" s="15"/>
      <c r="R116" s="16" t="s">
        <v>28</v>
      </c>
      <c r="S116" s="15"/>
      <c r="T116" s="15"/>
      <c r="U116" s="15"/>
      <c r="V116" s="15"/>
      <c r="W116" s="15"/>
      <c r="X116" s="15"/>
      <c r="Y116" s="15"/>
      <c r="Z116" s="15"/>
      <c r="AA116" s="15"/>
    </row>
    <row r="117">
      <c r="A117" s="5" t="s">
        <v>545</v>
      </c>
      <c r="B117" s="17" t="s">
        <v>549</v>
      </c>
      <c r="C117" s="20" t="s">
        <v>550</v>
      </c>
      <c r="D117" s="8"/>
      <c r="E117" s="8" t="s">
        <v>130</v>
      </c>
      <c r="F117" s="9">
        <v>1000.0</v>
      </c>
      <c r="G117" s="25"/>
      <c r="H117" s="11" t="s">
        <v>218</v>
      </c>
      <c r="I117" s="25">
        <v>9.830814669E9</v>
      </c>
      <c r="J117" s="11" t="s">
        <v>25</v>
      </c>
      <c r="K117" s="12"/>
      <c r="L117" s="13"/>
      <c r="M117" s="14"/>
      <c r="N117" s="15"/>
      <c r="O117" s="5" t="s">
        <v>34</v>
      </c>
      <c r="P117" s="5" t="s">
        <v>292</v>
      </c>
      <c r="Q117" s="15"/>
      <c r="R117" s="16" t="s">
        <v>551</v>
      </c>
      <c r="S117" s="15"/>
      <c r="T117" s="15"/>
      <c r="U117" s="15"/>
      <c r="V117" s="15"/>
      <c r="W117" s="15"/>
      <c r="X117" s="15"/>
      <c r="Y117" s="15"/>
      <c r="Z117" s="15"/>
      <c r="AA117" s="15"/>
    </row>
    <row r="118">
      <c r="A118" s="5" t="s">
        <v>545</v>
      </c>
      <c r="B118" s="17" t="s">
        <v>552</v>
      </c>
      <c r="C118" s="28" t="s">
        <v>553</v>
      </c>
      <c r="D118" s="8"/>
      <c r="E118" s="8" t="s">
        <v>130</v>
      </c>
      <c r="F118" s="9">
        <v>500.0</v>
      </c>
      <c r="G118" s="18" t="s">
        <v>554</v>
      </c>
      <c r="H118" s="11" t="s">
        <v>555</v>
      </c>
      <c r="I118" s="25">
        <v>7.903790687E9</v>
      </c>
      <c r="J118" s="11" t="s">
        <v>25</v>
      </c>
      <c r="K118" s="12"/>
      <c r="L118" s="13"/>
      <c r="M118" s="14"/>
      <c r="N118" s="15"/>
      <c r="O118" s="5" t="s">
        <v>60</v>
      </c>
      <c r="P118" s="5"/>
      <c r="Q118" s="15"/>
      <c r="R118" s="16" t="s">
        <v>28</v>
      </c>
      <c r="S118" s="15"/>
      <c r="T118" s="15"/>
      <c r="U118" s="15"/>
      <c r="V118" s="15"/>
      <c r="W118" s="15"/>
      <c r="X118" s="15"/>
      <c r="Y118" s="15"/>
      <c r="Z118" s="15"/>
      <c r="AA118" s="15"/>
    </row>
    <row r="119">
      <c r="A119" s="5" t="s">
        <v>556</v>
      </c>
      <c r="B119" s="17" t="s">
        <v>557</v>
      </c>
      <c r="C119" s="28" t="s">
        <v>558</v>
      </c>
      <c r="D119" s="8"/>
      <c r="E119" s="8" t="s">
        <v>130</v>
      </c>
      <c r="F119" s="9">
        <v>10000.0</v>
      </c>
      <c r="G119" s="25" t="s">
        <v>559</v>
      </c>
      <c r="H119" s="11" t="s">
        <v>24</v>
      </c>
      <c r="I119" s="25">
        <v>9.110029043E9</v>
      </c>
      <c r="J119" s="11" t="s">
        <v>25</v>
      </c>
      <c r="K119" s="12"/>
      <c r="L119" s="13"/>
      <c r="M119" s="14"/>
      <c r="N119" s="15"/>
      <c r="O119" s="5" t="s">
        <v>34</v>
      </c>
      <c r="P119" s="5" t="s">
        <v>79</v>
      </c>
      <c r="Q119" s="15"/>
      <c r="R119" s="16" t="s">
        <v>28</v>
      </c>
      <c r="S119" s="15"/>
      <c r="T119" s="15"/>
      <c r="U119" s="15"/>
      <c r="V119" s="15"/>
      <c r="W119" s="15"/>
      <c r="X119" s="15"/>
      <c r="Y119" s="15"/>
      <c r="Z119" s="15"/>
      <c r="AA119" s="15"/>
    </row>
    <row r="120">
      <c r="A120" s="5" t="s">
        <v>560</v>
      </c>
      <c r="B120" s="6" t="s">
        <v>561</v>
      </c>
      <c r="C120" s="28" t="s">
        <v>562</v>
      </c>
      <c r="D120" s="8"/>
      <c r="E120" s="8" t="s">
        <v>130</v>
      </c>
      <c r="F120" s="9">
        <v>5000.0</v>
      </c>
      <c r="G120" s="31" t="s">
        <v>563</v>
      </c>
      <c r="H120" s="11" t="s">
        <v>99</v>
      </c>
      <c r="I120" s="25"/>
      <c r="J120" s="11" t="s">
        <v>25</v>
      </c>
      <c r="K120" s="12"/>
      <c r="L120" s="13"/>
      <c r="M120" s="14"/>
      <c r="N120" s="15"/>
      <c r="O120" s="5" t="s">
        <v>564</v>
      </c>
      <c r="P120" s="5" t="s">
        <v>565</v>
      </c>
      <c r="Q120" s="15"/>
      <c r="R120" s="16"/>
      <c r="S120" s="15"/>
      <c r="T120" s="15"/>
      <c r="U120" s="15"/>
      <c r="V120" s="15"/>
      <c r="W120" s="15"/>
      <c r="X120" s="15"/>
      <c r="Y120" s="15"/>
      <c r="Z120" s="15"/>
      <c r="AA120" s="15"/>
    </row>
    <row r="121">
      <c r="A121" s="5" t="s">
        <v>560</v>
      </c>
      <c r="B121" s="17" t="s">
        <v>566</v>
      </c>
      <c r="C121" s="28" t="s">
        <v>567</v>
      </c>
      <c r="D121" s="8"/>
      <c r="E121" s="8" t="s">
        <v>568</v>
      </c>
      <c r="F121" s="9">
        <v>3000.0</v>
      </c>
      <c r="G121" s="18" t="s">
        <v>569</v>
      </c>
      <c r="H121" s="11" t="s">
        <v>99</v>
      </c>
      <c r="I121" s="25">
        <v>7.008101497E9</v>
      </c>
      <c r="J121" s="11" t="s">
        <v>25</v>
      </c>
      <c r="K121" s="12"/>
      <c r="L121" s="13"/>
      <c r="M121" s="14"/>
      <c r="N121" s="15"/>
      <c r="O121" s="5" t="s">
        <v>34</v>
      </c>
      <c r="P121" s="5" t="s">
        <v>143</v>
      </c>
      <c r="Q121" s="15"/>
      <c r="R121" s="16" t="s">
        <v>28</v>
      </c>
      <c r="S121" s="15"/>
      <c r="T121" s="15"/>
      <c r="U121" s="15"/>
      <c r="V121" s="15"/>
      <c r="W121" s="15"/>
      <c r="X121" s="15"/>
      <c r="Y121" s="15"/>
      <c r="Z121" s="15"/>
      <c r="AA121" s="15"/>
    </row>
    <row r="122">
      <c r="A122" s="5" t="s">
        <v>560</v>
      </c>
      <c r="B122" s="17" t="s">
        <v>570</v>
      </c>
      <c r="C122" s="32" t="s">
        <v>571</v>
      </c>
      <c r="D122" s="8"/>
      <c r="E122" s="8" t="s">
        <v>572</v>
      </c>
      <c r="F122" s="9">
        <v>1000.0</v>
      </c>
      <c r="G122" s="18" t="s">
        <v>573</v>
      </c>
      <c r="H122" s="11" t="s">
        <v>184</v>
      </c>
      <c r="I122" s="25">
        <v>9.431301961E9</v>
      </c>
      <c r="J122" s="11" t="s">
        <v>25</v>
      </c>
      <c r="K122" s="12"/>
      <c r="L122" s="13"/>
      <c r="M122" s="14"/>
      <c r="N122" s="15"/>
      <c r="O122" s="5" t="s">
        <v>34</v>
      </c>
      <c r="P122" s="5" t="s">
        <v>143</v>
      </c>
      <c r="Q122" s="15"/>
      <c r="R122" s="16" t="s">
        <v>28</v>
      </c>
      <c r="S122" s="15"/>
      <c r="T122" s="15"/>
      <c r="U122" s="15"/>
      <c r="V122" s="15"/>
      <c r="W122" s="15"/>
      <c r="X122" s="15"/>
      <c r="Y122" s="15"/>
      <c r="Z122" s="15"/>
      <c r="AA122" s="15"/>
    </row>
    <row r="123">
      <c r="A123" s="5" t="s">
        <v>560</v>
      </c>
      <c r="B123" s="17" t="s">
        <v>574</v>
      </c>
      <c r="C123" s="20" t="s">
        <v>575</v>
      </c>
      <c r="D123" s="8"/>
      <c r="E123" s="8" t="s">
        <v>576</v>
      </c>
      <c r="F123" s="9">
        <v>300.0</v>
      </c>
      <c r="G123" s="25"/>
      <c r="H123" s="11" t="s">
        <v>577</v>
      </c>
      <c r="I123" s="25">
        <v>9.348784928E9</v>
      </c>
      <c r="J123" s="11" t="s">
        <v>25</v>
      </c>
      <c r="K123" s="12"/>
      <c r="L123" s="13"/>
      <c r="M123" s="14"/>
      <c r="N123" s="15"/>
      <c r="O123" s="5" t="s">
        <v>34</v>
      </c>
      <c r="P123" s="5" t="s">
        <v>292</v>
      </c>
      <c r="Q123" s="15"/>
      <c r="R123" s="16" t="s">
        <v>248</v>
      </c>
      <c r="S123" s="15"/>
      <c r="T123" s="15"/>
      <c r="U123" s="15"/>
      <c r="V123" s="15"/>
      <c r="W123" s="15"/>
      <c r="X123" s="15"/>
      <c r="Y123" s="15"/>
      <c r="Z123" s="15"/>
      <c r="AA123" s="15"/>
    </row>
    <row r="124">
      <c r="A124" s="5" t="s">
        <v>578</v>
      </c>
      <c r="B124" s="17" t="s">
        <v>579</v>
      </c>
      <c r="C124" s="7" t="s">
        <v>580</v>
      </c>
      <c r="D124" s="8"/>
      <c r="E124" s="8" t="s">
        <v>43</v>
      </c>
      <c r="F124" s="9">
        <v>3000.0</v>
      </c>
      <c r="G124" s="18" t="s">
        <v>581</v>
      </c>
      <c r="H124" s="11" t="s">
        <v>99</v>
      </c>
      <c r="I124" s="25">
        <v>9.096815132E9</v>
      </c>
      <c r="J124" s="11" t="s">
        <v>25</v>
      </c>
      <c r="K124" s="12"/>
      <c r="L124" s="13"/>
      <c r="M124" s="14"/>
      <c r="N124" s="15"/>
      <c r="O124" s="5" t="s">
        <v>26</v>
      </c>
      <c r="P124" s="5"/>
      <c r="Q124" s="15"/>
      <c r="R124" s="16" t="s">
        <v>28</v>
      </c>
      <c r="S124" s="15"/>
      <c r="T124" s="15"/>
      <c r="U124" s="15"/>
      <c r="V124" s="15"/>
      <c r="W124" s="15"/>
      <c r="X124" s="15"/>
      <c r="Y124" s="15"/>
      <c r="Z124" s="15"/>
      <c r="AA124" s="15"/>
    </row>
    <row r="125">
      <c r="A125" s="5" t="s">
        <v>582</v>
      </c>
      <c r="B125" s="17" t="s">
        <v>583</v>
      </c>
      <c r="C125" s="7" t="s">
        <v>584</v>
      </c>
      <c r="D125" s="8"/>
      <c r="E125" s="8" t="s">
        <v>501</v>
      </c>
      <c r="F125" s="9">
        <v>2500.0</v>
      </c>
      <c r="G125" s="18" t="s">
        <v>585</v>
      </c>
      <c r="H125" s="11" t="s">
        <v>586</v>
      </c>
      <c r="I125" s="25">
        <v>7.980930051E9</v>
      </c>
      <c r="J125" s="11" t="s">
        <v>25</v>
      </c>
      <c r="K125" s="12"/>
      <c r="L125" s="13"/>
      <c r="M125" s="14"/>
      <c r="N125" s="15"/>
      <c r="O125" s="5" t="s">
        <v>60</v>
      </c>
      <c r="P125" s="5"/>
      <c r="Q125" s="15"/>
      <c r="R125" s="16" t="s">
        <v>28</v>
      </c>
      <c r="S125" s="15"/>
      <c r="T125" s="15"/>
      <c r="U125" s="15"/>
      <c r="V125" s="15"/>
      <c r="W125" s="15"/>
      <c r="X125" s="15"/>
      <c r="Y125" s="15"/>
      <c r="Z125" s="15"/>
      <c r="AA125" s="15"/>
    </row>
    <row r="126">
      <c r="A126" s="5" t="s">
        <v>582</v>
      </c>
      <c r="B126" s="17" t="s">
        <v>587</v>
      </c>
      <c r="C126" s="7" t="s">
        <v>588</v>
      </c>
      <c r="D126" s="8"/>
      <c r="E126" s="8" t="s">
        <v>213</v>
      </c>
      <c r="F126" s="9">
        <v>500.0</v>
      </c>
      <c r="G126" s="18" t="s">
        <v>589</v>
      </c>
      <c r="H126" s="11" t="s">
        <v>590</v>
      </c>
      <c r="I126" s="25">
        <v>7.060171171E9</v>
      </c>
      <c r="J126" s="11" t="s">
        <v>25</v>
      </c>
      <c r="K126" s="12"/>
      <c r="L126" s="13"/>
      <c r="M126" s="14"/>
      <c r="N126" s="15"/>
      <c r="O126" s="5" t="s">
        <v>34</v>
      </c>
      <c r="P126" s="5"/>
      <c r="Q126" s="15"/>
      <c r="R126" s="16" t="s">
        <v>28</v>
      </c>
      <c r="S126" s="15"/>
      <c r="T126" s="15"/>
      <c r="U126" s="15"/>
      <c r="V126" s="15"/>
      <c r="W126" s="15"/>
      <c r="X126" s="15"/>
      <c r="Y126" s="15"/>
      <c r="Z126" s="15"/>
      <c r="AA126" s="15"/>
    </row>
    <row r="127">
      <c r="A127" s="5" t="s">
        <v>582</v>
      </c>
      <c r="B127" s="17" t="s">
        <v>591</v>
      </c>
      <c r="C127" s="7" t="s">
        <v>592</v>
      </c>
      <c r="D127" s="8"/>
      <c r="E127" s="8" t="s">
        <v>593</v>
      </c>
      <c r="F127" s="9">
        <v>500.0</v>
      </c>
      <c r="G127" s="18" t="s">
        <v>594</v>
      </c>
      <c r="H127" s="11" t="s">
        <v>595</v>
      </c>
      <c r="I127" s="25">
        <v>7.003530843E9</v>
      </c>
      <c r="J127" s="11" t="s">
        <v>25</v>
      </c>
      <c r="K127" s="12"/>
      <c r="L127" s="13"/>
      <c r="M127" s="14"/>
      <c r="N127" s="15"/>
      <c r="O127" s="5" t="s">
        <v>26</v>
      </c>
      <c r="P127" s="5"/>
      <c r="Q127" s="15"/>
      <c r="R127" s="16" t="s">
        <v>28</v>
      </c>
      <c r="S127" s="15"/>
      <c r="T127" s="15"/>
      <c r="U127" s="15"/>
      <c r="V127" s="15"/>
      <c r="W127" s="15"/>
      <c r="X127" s="15"/>
      <c r="Y127" s="15"/>
      <c r="Z127" s="15"/>
      <c r="AA127" s="15"/>
    </row>
    <row r="128">
      <c r="A128" s="5" t="s">
        <v>596</v>
      </c>
      <c r="B128" s="17" t="s">
        <v>597</v>
      </c>
      <c r="C128" s="33" t="s">
        <v>598</v>
      </c>
      <c r="D128" s="8"/>
      <c r="E128" s="8" t="s">
        <v>599</v>
      </c>
      <c r="F128" s="9">
        <v>5000.0</v>
      </c>
      <c r="G128" s="18" t="s">
        <v>600</v>
      </c>
      <c r="H128" s="11" t="s">
        <v>601</v>
      </c>
      <c r="I128" s="25">
        <v>8.870290222E9</v>
      </c>
      <c r="J128" s="11" t="s">
        <v>25</v>
      </c>
      <c r="K128" s="12" t="s">
        <v>602</v>
      </c>
      <c r="L128" s="13"/>
      <c r="M128" s="14"/>
      <c r="N128" s="15"/>
      <c r="O128" s="5" t="s">
        <v>108</v>
      </c>
      <c r="P128" s="5" t="s">
        <v>603</v>
      </c>
      <c r="Q128" s="15"/>
      <c r="R128" s="16" t="s">
        <v>28</v>
      </c>
      <c r="S128" s="15"/>
      <c r="T128" s="15"/>
      <c r="U128" s="15"/>
      <c r="V128" s="15"/>
      <c r="W128" s="15"/>
      <c r="X128" s="15"/>
      <c r="Y128" s="15"/>
      <c r="Z128" s="15"/>
      <c r="AA128" s="15"/>
    </row>
    <row r="129">
      <c r="A129" s="5" t="s">
        <v>596</v>
      </c>
      <c r="B129" s="17" t="s">
        <v>604</v>
      </c>
      <c r="C129" s="7" t="s">
        <v>605</v>
      </c>
      <c r="D129" s="8"/>
      <c r="E129" s="8" t="s">
        <v>606</v>
      </c>
      <c r="F129" s="9">
        <v>1000.0</v>
      </c>
      <c r="G129" s="18" t="s">
        <v>607</v>
      </c>
      <c r="H129" s="11" t="s">
        <v>608</v>
      </c>
      <c r="I129" s="25">
        <v>7.044740189E9</v>
      </c>
      <c r="J129" s="11" t="s">
        <v>25</v>
      </c>
      <c r="K129" s="12"/>
      <c r="L129" s="13"/>
      <c r="M129" s="14"/>
      <c r="N129" s="15"/>
      <c r="O129" s="5" t="s">
        <v>34</v>
      </c>
      <c r="P129" s="5" t="s">
        <v>609</v>
      </c>
      <c r="Q129" s="15"/>
      <c r="R129" s="16" t="s">
        <v>28</v>
      </c>
      <c r="S129" s="15"/>
      <c r="T129" s="15"/>
      <c r="U129" s="15"/>
      <c r="V129" s="15"/>
      <c r="W129" s="15"/>
      <c r="X129" s="15"/>
      <c r="Y129" s="15"/>
      <c r="Z129" s="15"/>
      <c r="AA129" s="15"/>
    </row>
    <row r="130">
      <c r="A130" s="5" t="s">
        <v>596</v>
      </c>
      <c r="B130" s="17" t="s">
        <v>610</v>
      </c>
      <c r="C130" s="7" t="s">
        <v>611</v>
      </c>
      <c r="D130" s="8"/>
      <c r="E130" s="8" t="s">
        <v>130</v>
      </c>
      <c r="F130" s="9">
        <v>12000.0</v>
      </c>
      <c r="G130" s="18" t="s">
        <v>612</v>
      </c>
      <c r="H130" s="11" t="s">
        <v>184</v>
      </c>
      <c r="I130" s="25">
        <v>9.057580443E9</v>
      </c>
      <c r="J130" s="11" t="s">
        <v>25</v>
      </c>
      <c r="K130" s="12"/>
      <c r="L130" s="13"/>
      <c r="M130" s="14"/>
      <c r="N130" s="15"/>
      <c r="O130" s="5" t="s">
        <v>26</v>
      </c>
      <c r="P130" s="5"/>
      <c r="Q130" s="15"/>
      <c r="R130" s="16" t="s">
        <v>28</v>
      </c>
      <c r="S130" s="15"/>
      <c r="T130" s="15"/>
      <c r="U130" s="15"/>
      <c r="V130" s="15"/>
      <c r="W130" s="15"/>
      <c r="X130" s="15"/>
      <c r="Y130" s="15"/>
      <c r="Z130" s="15"/>
      <c r="AA130" s="15"/>
    </row>
    <row r="131">
      <c r="A131" s="5" t="s">
        <v>613</v>
      </c>
      <c r="B131" s="17" t="s">
        <v>614</v>
      </c>
      <c r="C131" s="7" t="s">
        <v>615</v>
      </c>
      <c r="D131" s="8"/>
      <c r="E131" s="8" t="s">
        <v>152</v>
      </c>
      <c r="F131" s="9">
        <v>30000.0</v>
      </c>
      <c r="G131" s="18" t="s">
        <v>616</v>
      </c>
      <c r="H131" s="11" t="s">
        <v>617</v>
      </c>
      <c r="I131" s="25">
        <v>8.605643255E9</v>
      </c>
      <c r="J131" s="11" t="s">
        <v>25</v>
      </c>
      <c r="K131" s="12"/>
      <c r="L131" s="13"/>
      <c r="M131" s="14"/>
      <c r="N131" s="15"/>
      <c r="O131" s="5" t="s">
        <v>108</v>
      </c>
      <c r="P131" s="5" t="s">
        <v>618</v>
      </c>
      <c r="Q131" s="15"/>
      <c r="R131" s="16" t="s">
        <v>28</v>
      </c>
      <c r="S131" s="15"/>
      <c r="T131" s="15"/>
      <c r="U131" s="15"/>
      <c r="V131" s="15"/>
      <c r="W131" s="15"/>
      <c r="X131" s="15"/>
      <c r="Y131" s="15"/>
      <c r="Z131" s="15"/>
      <c r="AA131" s="15"/>
    </row>
    <row r="132">
      <c r="A132" s="5" t="s">
        <v>613</v>
      </c>
      <c r="B132" s="17" t="s">
        <v>619</v>
      </c>
      <c r="C132" s="20" t="s">
        <v>620</v>
      </c>
      <c r="D132" s="8"/>
      <c r="E132" s="8" t="s">
        <v>182</v>
      </c>
      <c r="F132" s="9">
        <v>2000.0</v>
      </c>
      <c r="G132" s="18" t="s">
        <v>621</v>
      </c>
      <c r="H132" s="11" t="s">
        <v>44</v>
      </c>
      <c r="I132" s="25">
        <v>8.420119788E9</v>
      </c>
      <c r="J132" s="11" t="s">
        <v>25</v>
      </c>
      <c r="K132" s="12"/>
      <c r="L132" s="13"/>
      <c r="M132" s="14"/>
      <c r="N132" s="15"/>
      <c r="O132" s="5" t="s">
        <v>34</v>
      </c>
      <c r="P132" s="5" t="s">
        <v>79</v>
      </c>
      <c r="Q132" s="15"/>
      <c r="R132" s="16" t="s">
        <v>28</v>
      </c>
      <c r="S132" s="15"/>
      <c r="T132" s="15"/>
      <c r="U132" s="15"/>
      <c r="V132" s="15"/>
      <c r="W132" s="15"/>
      <c r="X132" s="15"/>
      <c r="Y132" s="15"/>
      <c r="Z132" s="15"/>
      <c r="AA132" s="15"/>
    </row>
    <row r="133">
      <c r="A133" s="5" t="s">
        <v>622</v>
      </c>
      <c r="B133" s="17" t="s">
        <v>623</v>
      </c>
      <c r="C133" s="7" t="s">
        <v>624</v>
      </c>
      <c r="D133" s="8"/>
      <c r="E133" s="8" t="s">
        <v>625</v>
      </c>
      <c r="F133" s="9">
        <v>2000.0</v>
      </c>
      <c r="G133" s="18" t="s">
        <v>626</v>
      </c>
      <c r="H133" s="11" t="s">
        <v>44</v>
      </c>
      <c r="I133" s="25">
        <v>9.330181668E9</v>
      </c>
      <c r="J133" s="11" t="s">
        <v>25</v>
      </c>
      <c r="K133" s="12"/>
      <c r="L133" s="13"/>
      <c r="M133" s="14"/>
      <c r="N133" s="15"/>
      <c r="O133" s="5" t="s">
        <v>34</v>
      </c>
      <c r="P133" s="5" t="s">
        <v>79</v>
      </c>
      <c r="Q133" s="15"/>
      <c r="R133" s="16" t="s">
        <v>28</v>
      </c>
      <c r="S133" s="15"/>
      <c r="T133" s="15"/>
      <c r="U133" s="15"/>
      <c r="V133" s="15"/>
      <c r="W133" s="15"/>
      <c r="X133" s="15"/>
      <c r="Y133" s="15"/>
      <c r="Z133" s="15"/>
      <c r="AA133" s="15"/>
    </row>
    <row r="134">
      <c r="A134" s="5" t="s">
        <v>622</v>
      </c>
      <c r="B134" s="17" t="s">
        <v>627</v>
      </c>
      <c r="C134" s="7" t="s">
        <v>628</v>
      </c>
      <c r="D134" s="8"/>
      <c r="E134" s="8" t="s">
        <v>43</v>
      </c>
      <c r="F134" s="9">
        <v>20000.0</v>
      </c>
      <c r="G134" s="18" t="s">
        <v>629</v>
      </c>
      <c r="H134" s="11" t="s">
        <v>44</v>
      </c>
      <c r="I134" s="25">
        <v>7.980723771E9</v>
      </c>
      <c r="J134" s="11" t="s">
        <v>25</v>
      </c>
      <c r="K134" s="12"/>
      <c r="L134" s="13"/>
      <c r="M134" s="14"/>
      <c r="N134" s="15"/>
      <c r="O134" s="5" t="s">
        <v>26</v>
      </c>
      <c r="P134" s="5"/>
      <c r="Q134" s="15"/>
      <c r="R134" s="16" t="s">
        <v>28</v>
      </c>
      <c r="S134" s="15"/>
      <c r="T134" s="15"/>
      <c r="U134" s="15"/>
      <c r="V134" s="15"/>
      <c r="W134" s="15"/>
      <c r="X134" s="15"/>
      <c r="Y134" s="15"/>
      <c r="Z134" s="15"/>
      <c r="AA134" s="15"/>
    </row>
    <row r="135">
      <c r="A135" s="5" t="s">
        <v>622</v>
      </c>
      <c r="B135" s="17" t="s">
        <v>630</v>
      </c>
      <c r="C135" s="7" t="s">
        <v>631</v>
      </c>
      <c r="D135" s="8"/>
      <c r="E135" s="8" t="s">
        <v>141</v>
      </c>
      <c r="F135" s="9">
        <v>10000.0</v>
      </c>
      <c r="G135" s="18" t="s">
        <v>632</v>
      </c>
      <c r="H135" s="11" t="s">
        <v>495</v>
      </c>
      <c r="I135" s="25">
        <v>7.004852874E9</v>
      </c>
      <c r="J135" s="11" t="s">
        <v>25</v>
      </c>
      <c r="K135" s="12"/>
      <c r="L135" s="13"/>
      <c r="M135" s="14"/>
      <c r="N135" s="15"/>
      <c r="O135" s="5" t="s">
        <v>34</v>
      </c>
      <c r="P135" s="5" t="s">
        <v>633</v>
      </c>
      <c r="Q135" s="15"/>
      <c r="R135" s="16" t="s">
        <v>634</v>
      </c>
      <c r="S135" s="15"/>
      <c r="T135" s="15"/>
      <c r="U135" s="15"/>
      <c r="V135" s="15"/>
      <c r="W135" s="15"/>
      <c r="X135" s="15"/>
      <c r="Y135" s="15"/>
      <c r="Z135" s="15"/>
      <c r="AA135" s="15"/>
    </row>
    <row r="136">
      <c r="A136" s="5" t="s">
        <v>635</v>
      </c>
      <c r="B136" s="17" t="s">
        <v>636</v>
      </c>
      <c r="C136" s="7" t="s">
        <v>637</v>
      </c>
      <c r="D136" s="8"/>
      <c r="E136" s="8" t="s">
        <v>130</v>
      </c>
      <c r="F136" s="9">
        <v>1500.0</v>
      </c>
      <c r="G136" s="25"/>
      <c r="H136" s="11" t="s">
        <v>638</v>
      </c>
      <c r="I136" s="25">
        <v>9.931332377E9</v>
      </c>
      <c r="J136" s="11" t="s">
        <v>25</v>
      </c>
      <c r="K136" s="12"/>
      <c r="L136" s="13"/>
      <c r="M136" s="14"/>
      <c r="N136" s="15"/>
      <c r="O136" s="5" t="s">
        <v>34</v>
      </c>
      <c r="P136" s="5" t="s">
        <v>292</v>
      </c>
      <c r="Q136" s="15"/>
      <c r="R136" s="16" t="s">
        <v>74</v>
      </c>
      <c r="S136" s="15"/>
      <c r="T136" s="15"/>
      <c r="U136" s="15"/>
      <c r="V136" s="15"/>
      <c r="W136" s="15"/>
      <c r="X136" s="15"/>
      <c r="Y136" s="15"/>
      <c r="Z136" s="15"/>
      <c r="AA136" s="15"/>
    </row>
    <row r="137">
      <c r="A137" s="5" t="s">
        <v>635</v>
      </c>
      <c r="B137" s="17" t="s">
        <v>639</v>
      </c>
      <c r="C137" s="7" t="s">
        <v>640</v>
      </c>
      <c r="D137" s="8"/>
      <c r="E137" s="8" t="s">
        <v>116</v>
      </c>
      <c r="F137" s="9">
        <v>5000.0</v>
      </c>
      <c r="G137" s="18" t="s">
        <v>641</v>
      </c>
      <c r="H137" s="11" t="s">
        <v>44</v>
      </c>
      <c r="I137" s="25">
        <v>7.718387808E9</v>
      </c>
      <c r="J137" s="11" t="s">
        <v>25</v>
      </c>
      <c r="K137" s="12"/>
      <c r="L137" s="13"/>
      <c r="M137" s="14"/>
      <c r="N137" s="15"/>
      <c r="O137" s="5" t="s">
        <v>26</v>
      </c>
      <c r="P137" s="5" t="s">
        <v>453</v>
      </c>
      <c r="Q137" s="15"/>
      <c r="R137" s="16" t="s">
        <v>28</v>
      </c>
      <c r="S137" s="15"/>
      <c r="T137" s="15"/>
      <c r="U137" s="15"/>
      <c r="V137" s="15"/>
      <c r="W137" s="15"/>
      <c r="X137" s="15"/>
      <c r="Y137" s="15"/>
      <c r="Z137" s="15"/>
      <c r="AA137" s="15"/>
    </row>
    <row r="138">
      <c r="A138" s="5" t="s">
        <v>635</v>
      </c>
      <c r="B138" s="17" t="s">
        <v>642</v>
      </c>
      <c r="C138" s="7" t="s">
        <v>643</v>
      </c>
      <c r="D138" s="8"/>
      <c r="E138" s="8" t="s">
        <v>189</v>
      </c>
      <c r="F138" s="9">
        <v>10000.0</v>
      </c>
      <c r="G138" s="25"/>
      <c r="H138" s="11" t="s">
        <v>449</v>
      </c>
      <c r="I138" s="25">
        <v>8.652149661E9</v>
      </c>
      <c r="J138" s="11" t="s">
        <v>25</v>
      </c>
      <c r="K138" s="12"/>
      <c r="L138" s="13"/>
      <c r="M138" s="14"/>
      <c r="N138" s="15"/>
      <c r="O138" s="5" t="s">
        <v>26</v>
      </c>
      <c r="P138" s="5"/>
      <c r="Q138" s="15"/>
      <c r="R138" s="16" t="s">
        <v>28</v>
      </c>
      <c r="S138" s="15"/>
      <c r="T138" s="15"/>
      <c r="U138" s="15"/>
      <c r="V138" s="15"/>
      <c r="W138" s="15"/>
      <c r="X138" s="15"/>
      <c r="Y138" s="15"/>
      <c r="Z138" s="15"/>
      <c r="AA138" s="15"/>
    </row>
    <row r="139">
      <c r="A139" s="5" t="s">
        <v>635</v>
      </c>
      <c r="B139" s="17" t="s">
        <v>644</v>
      </c>
      <c r="C139" s="7" t="s">
        <v>645</v>
      </c>
      <c r="D139" s="8"/>
      <c r="E139" s="8" t="s">
        <v>130</v>
      </c>
      <c r="F139" s="9">
        <v>50000.0</v>
      </c>
      <c r="G139" s="25"/>
      <c r="H139" s="11" t="s">
        <v>467</v>
      </c>
      <c r="I139" s="25">
        <v>9.453201976E9</v>
      </c>
      <c r="J139" s="11" t="s">
        <v>25</v>
      </c>
      <c r="K139" s="12"/>
      <c r="L139" s="13"/>
      <c r="M139" s="14"/>
      <c r="N139" s="15"/>
      <c r="O139" s="5" t="s">
        <v>108</v>
      </c>
      <c r="P139" s="5"/>
      <c r="Q139" s="15"/>
      <c r="R139" s="16" t="s">
        <v>28</v>
      </c>
      <c r="S139" s="15"/>
      <c r="T139" s="15"/>
      <c r="U139" s="15"/>
      <c r="V139" s="15"/>
      <c r="W139" s="15"/>
      <c r="X139" s="15"/>
      <c r="Y139" s="15"/>
      <c r="Z139" s="15"/>
      <c r="AA139" s="15"/>
    </row>
    <row r="140">
      <c r="A140" s="5" t="s">
        <v>635</v>
      </c>
      <c r="B140" s="17" t="s">
        <v>646</v>
      </c>
      <c r="C140" s="7" t="s">
        <v>647</v>
      </c>
      <c r="D140" s="8"/>
      <c r="E140" s="8" t="s">
        <v>648</v>
      </c>
      <c r="F140" s="9">
        <v>1000.0</v>
      </c>
      <c r="G140" s="18" t="s">
        <v>649</v>
      </c>
      <c r="H140" s="11" t="s">
        <v>44</v>
      </c>
      <c r="I140" s="25">
        <v>9.831070999E9</v>
      </c>
      <c r="J140" s="11" t="s">
        <v>25</v>
      </c>
      <c r="K140" s="12"/>
      <c r="L140" s="13"/>
      <c r="M140" s="14"/>
      <c r="N140" s="15"/>
      <c r="O140" s="5" t="s">
        <v>60</v>
      </c>
      <c r="P140" s="5"/>
      <c r="Q140" s="15"/>
      <c r="R140" s="16" t="s">
        <v>28</v>
      </c>
      <c r="S140" s="15"/>
      <c r="T140" s="15"/>
      <c r="U140" s="15"/>
      <c r="V140" s="15"/>
      <c r="W140" s="15"/>
      <c r="X140" s="15"/>
      <c r="Y140" s="15"/>
      <c r="Z140" s="15"/>
      <c r="AA140" s="15"/>
    </row>
    <row r="141">
      <c r="A141" s="5" t="s">
        <v>635</v>
      </c>
      <c r="B141" s="17" t="s">
        <v>650</v>
      </c>
      <c r="C141" s="7" t="s">
        <v>651</v>
      </c>
      <c r="D141" s="8"/>
      <c r="E141" s="8" t="s">
        <v>652</v>
      </c>
      <c r="F141" s="9">
        <v>30000.0</v>
      </c>
      <c r="G141" s="18" t="s">
        <v>653</v>
      </c>
      <c r="H141" s="11" t="s">
        <v>467</v>
      </c>
      <c r="I141" s="25">
        <v>9.891986157E9</v>
      </c>
      <c r="J141" s="11" t="s">
        <v>25</v>
      </c>
      <c r="K141" s="12">
        <v>104.5</v>
      </c>
      <c r="L141" s="13"/>
      <c r="M141" s="14"/>
      <c r="N141" s="15"/>
      <c r="O141" s="5" t="s">
        <v>108</v>
      </c>
      <c r="P141" s="5" t="s">
        <v>654</v>
      </c>
      <c r="Q141" s="15"/>
      <c r="R141" s="16" t="s">
        <v>28</v>
      </c>
      <c r="S141" s="15"/>
      <c r="T141" s="15"/>
      <c r="U141" s="15"/>
      <c r="V141" s="15"/>
      <c r="W141" s="15"/>
      <c r="X141" s="15"/>
      <c r="Y141" s="15"/>
      <c r="Z141" s="15"/>
      <c r="AA141" s="15"/>
    </row>
    <row r="142">
      <c r="A142" s="5" t="s">
        <v>635</v>
      </c>
      <c r="B142" s="17" t="s">
        <v>655</v>
      </c>
      <c r="C142" s="7" t="s">
        <v>656</v>
      </c>
      <c r="D142" s="8"/>
      <c r="E142" s="8" t="s">
        <v>130</v>
      </c>
      <c r="F142" s="9">
        <v>500.0</v>
      </c>
      <c r="G142" s="18" t="s">
        <v>657</v>
      </c>
      <c r="H142" s="11" t="s">
        <v>158</v>
      </c>
      <c r="I142" s="25">
        <v>8.250471752E9</v>
      </c>
      <c r="J142" s="11" t="s">
        <v>25</v>
      </c>
      <c r="K142" s="12"/>
      <c r="L142" s="13"/>
      <c r="M142" s="14"/>
      <c r="N142" s="15"/>
      <c r="O142" s="5" t="s">
        <v>34</v>
      </c>
      <c r="P142" s="5" t="s">
        <v>79</v>
      </c>
      <c r="Q142" s="15"/>
      <c r="R142" s="16" t="s">
        <v>28</v>
      </c>
      <c r="S142" s="15"/>
      <c r="T142" s="15"/>
      <c r="U142" s="15"/>
      <c r="V142" s="15"/>
      <c r="W142" s="15"/>
      <c r="X142" s="15"/>
      <c r="Y142" s="15"/>
      <c r="Z142" s="15"/>
      <c r="AA142" s="15"/>
    </row>
    <row r="143">
      <c r="A143" s="5" t="s">
        <v>658</v>
      </c>
      <c r="B143" s="17" t="s">
        <v>659</v>
      </c>
      <c r="C143" s="7" t="s">
        <v>660</v>
      </c>
      <c r="D143" s="8"/>
      <c r="E143" s="8" t="s">
        <v>130</v>
      </c>
      <c r="F143" s="9">
        <v>8000.0</v>
      </c>
      <c r="G143" s="18" t="s">
        <v>661</v>
      </c>
      <c r="H143" s="11" t="s">
        <v>99</v>
      </c>
      <c r="I143" s="25">
        <v>9.558090157E9</v>
      </c>
      <c r="J143" s="11" t="s">
        <v>25</v>
      </c>
      <c r="K143" s="12"/>
      <c r="L143" s="13"/>
      <c r="M143" s="14"/>
      <c r="N143" s="15"/>
      <c r="O143" s="5" t="s">
        <v>34</v>
      </c>
      <c r="P143" s="5" t="s">
        <v>662</v>
      </c>
      <c r="Q143" s="15"/>
      <c r="R143" s="16" t="s">
        <v>28</v>
      </c>
      <c r="S143" s="15"/>
      <c r="T143" s="15"/>
      <c r="U143" s="15"/>
      <c r="V143" s="15"/>
      <c r="W143" s="15"/>
      <c r="X143" s="15"/>
      <c r="Y143" s="15"/>
      <c r="Z143" s="15"/>
      <c r="AA143" s="15"/>
    </row>
    <row r="144">
      <c r="A144" s="5" t="s">
        <v>663</v>
      </c>
      <c r="B144" s="17" t="s">
        <v>664</v>
      </c>
      <c r="C144" s="7" t="s">
        <v>665</v>
      </c>
      <c r="D144" s="8"/>
      <c r="E144" s="8" t="s">
        <v>130</v>
      </c>
      <c r="F144" s="9">
        <v>500.0</v>
      </c>
      <c r="G144" s="18" t="s">
        <v>666</v>
      </c>
      <c r="H144" s="11" t="s">
        <v>44</v>
      </c>
      <c r="I144" s="25">
        <v>7.449523621E9</v>
      </c>
      <c r="J144" s="11" t="s">
        <v>25</v>
      </c>
      <c r="K144" s="12"/>
      <c r="L144" s="13"/>
      <c r="M144" s="14"/>
      <c r="N144" s="15"/>
      <c r="O144" s="5" t="s">
        <v>34</v>
      </c>
      <c r="P144" s="5" t="s">
        <v>143</v>
      </c>
      <c r="Q144" s="15"/>
      <c r="R144" s="16" t="s">
        <v>28</v>
      </c>
      <c r="S144" s="15"/>
      <c r="T144" s="15"/>
      <c r="U144" s="15"/>
      <c r="V144" s="15"/>
      <c r="W144" s="15"/>
      <c r="X144" s="15"/>
      <c r="Y144" s="15"/>
      <c r="Z144" s="15"/>
      <c r="AA144" s="15"/>
    </row>
    <row r="145">
      <c r="A145" s="5" t="s">
        <v>667</v>
      </c>
      <c r="B145" s="6" t="s">
        <v>668</v>
      </c>
      <c r="C145" s="34" t="s">
        <v>669</v>
      </c>
      <c r="D145" s="8"/>
      <c r="E145" s="8" t="s">
        <v>670</v>
      </c>
      <c r="F145" s="9">
        <v>1500.0</v>
      </c>
      <c r="G145" s="35" t="s">
        <v>671</v>
      </c>
      <c r="H145" s="36" t="s">
        <v>672</v>
      </c>
      <c r="I145" s="31">
        <v>9.547929477E9</v>
      </c>
      <c r="J145" s="11" t="s">
        <v>25</v>
      </c>
      <c r="K145" s="12" t="s">
        <v>673</v>
      </c>
      <c r="L145" s="13"/>
      <c r="M145" s="14"/>
      <c r="N145" s="15"/>
      <c r="O145" s="5" t="s">
        <v>564</v>
      </c>
      <c r="P145" s="5" t="s">
        <v>674</v>
      </c>
      <c r="Q145" s="15"/>
      <c r="R145" s="16" t="s">
        <v>28</v>
      </c>
      <c r="S145" s="5" t="s">
        <v>675</v>
      </c>
      <c r="T145" s="15"/>
      <c r="U145" s="15"/>
      <c r="V145" s="15"/>
      <c r="W145" s="15"/>
      <c r="X145" s="15"/>
      <c r="Y145" s="15"/>
      <c r="Z145" s="15"/>
      <c r="AA145" s="15"/>
    </row>
    <row r="146">
      <c r="A146" s="5" t="s">
        <v>667</v>
      </c>
      <c r="B146" s="17" t="s">
        <v>676</v>
      </c>
      <c r="C146" s="28" t="s">
        <v>677</v>
      </c>
      <c r="D146" s="8"/>
      <c r="E146" s="8" t="s">
        <v>63</v>
      </c>
      <c r="F146" s="9">
        <v>1000.0</v>
      </c>
      <c r="G146" s="10"/>
      <c r="H146" s="11" t="s">
        <v>174</v>
      </c>
      <c r="I146" s="10">
        <v>8.777276157E9</v>
      </c>
      <c r="J146" s="11" t="s">
        <v>25</v>
      </c>
      <c r="K146" s="12"/>
      <c r="L146" s="13"/>
      <c r="M146" s="14"/>
      <c r="N146" s="15"/>
      <c r="O146" s="5" t="s">
        <v>34</v>
      </c>
      <c r="P146" s="5" t="s">
        <v>678</v>
      </c>
      <c r="Q146" s="15"/>
      <c r="R146" s="16" t="s">
        <v>28</v>
      </c>
      <c r="S146" s="15"/>
      <c r="T146" s="15"/>
      <c r="U146" s="15"/>
      <c r="V146" s="15"/>
      <c r="W146" s="15"/>
      <c r="X146" s="15"/>
      <c r="Y146" s="15"/>
      <c r="Z146" s="15"/>
      <c r="AA146" s="15"/>
    </row>
    <row r="147">
      <c r="A147" s="5" t="s">
        <v>667</v>
      </c>
      <c r="B147" s="17" t="s">
        <v>679</v>
      </c>
      <c r="C147" s="28" t="s">
        <v>680</v>
      </c>
      <c r="D147" s="8"/>
      <c r="E147" s="8" t="s">
        <v>38</v>
      </c>
      <c r="F147" s="9">
        <v>200.0</v>
      </c>
      <c r="G147" s="18" t="s">
        <v>681</v>
      </c>
      <c r="H147" s="11" t="s">
        <v>44</v>
      </c>
      <c r="I147" s="10">
        <v>7.908772447E9</v>
      </c>
      <c r="J147" s="11" t="s">
        <v>25</v>
      </c>
      <c r="K147" s="12"/>
      <c r="L147" s="13"/>
      <c r="M147" s="14"/>
      <c r="N147" s="15"/>
      <c r="O147" s="5" t="s">
        <v>34</v>
      </c>
      <c r="P147" s="5" t="s">
        <v>682</v>
      </c>
      <c r="Q147" s="15"/>
      <c r="R147" s="16" t="s">
        <v>28</v>
      </c>
      <c r="S147" s="15"/>
      <c r="T147" s="15"/>
      <c r="U147" s="15"/>
      <c r="V147" s="15"/>
      <c r="W147" s="15"/>
      <c r="X147" s="15"/>
      <c r="Y147" s="15"/>
      <c r="Z147" s="15"/>
      <c r="AA147" s="15"/>
    </row>
    <row r="148">
      <c r="A148" s="5" t="s">
        <v>667</v>
      </c>
      <c r="B148" s="6" t="s">
        <v>683</v>
      </c>
      <c r="C148" s="37" t="s">
        <v>684</v>
      </c>
      <c r="D148" s="8"/>
      <c r="E148" s="8" t="s">
        <v>685</v>
      </c>
      <c r="F148" s="9">
        <v>10000.0</v>
      </c>
      <c r="G148" s="38" t="s">
        <v>686</v>
      </c>
      <c r="H148" s="11" t="s">
        <v>449</v>
      </c>
      <c r="I148" s="39">
        <v>9.434052293E9</v>
      </c>
      <c r="J148" s="11" t="s">
        <v>25</v>
      </c>
      <c r="K148" s="12"/>
      <c r="L148" s="13"/>
      <c r="M148" s="14"/>
      <c r="N148" s="15"/>
      <c r="O148" s="5" t="s">
        <v>564</v>
      </c>
      <c r="P148" s="5" t="s">
        <v>405</v>
      </c>
      <c r="Q148" s="15"/>
      <c r="R148" s="16"/>
      <c r="S148" s="5" t="s">
        <v>687</v>
      </c>
      <c r="T148" s="15"/>
      <c r="U148" s="15"/>
      <c r="V148" s="15"/>
      <c r="W148" s="15"/>
      <c r="X148" s="15"/>
      <c r="Y148" s="15"/>
      <c r="Z148" s="15"/>
      <c r="AA148" s="15"/>
    </row>
    <row r="149">
      <c r="A149" s="5" t="s">
        <v>667</v>
      </c>
      <c r="B149" s="17" t="s">
        <v>688</v>
      </c>
      <c r="C149" s="28" t="s">
        <v>689</v>
      </c>
      <c r="D149" s="8"/>
      <c r="E149" s="8" t="s">
        <v>690</v>
      </c>
      <c r="F149" s="9">
        <v>2000.0</v>
      </c>
      <c r="G149" s="18" t="s">
        <v>691</v>
      </c>
      <c r="H149" s="11" t="s">
        <v>44</v>
      </c>
      <c r="I149" s="10">
        <v>6.297788767E9</v>
      </c>
      <c r="J149" s="11" t="s">
        <v>25</v>
      </c>
      <c r="K149" s="12"/>
      <c r="L149" s="13"/>
      <c r="M149" s="14"/>
      <c r="N149" s="15"/>
      <c r="O149" s="5" t="s">
        <v>34</v>
      </c>
      <c r="P149" s="5" t="s">
        <v>79</v>
      </c>
      <c r="Q149" s="15"/>
      <c r="R149" s="16" t="s">
        <v>28</v>
      </c>
      <c r="S149" s="15"/>
      <c r="T149" s="15"/>
      <c r="U149" s="15"/>
      <c r="V149" s="15"/>
      <c r="W149" s="15"/>
      <c r="X149" s="15"/>
      <c r="Y149" s="15"/>
      <c r="Z149" s="15"/>
      <c r="AA149" s="15"/>
    </row>
    <row r="150">
      <c r="A150" s="5" t="s">
        <v>692</v>
      </c>
      <c r="B150" s="6" t="s">
        <v>693</v>
      </c>
      <c r="C150" s="34" t="s">
        <v>694</v>
      </c>
      <c r="D150" s="8" t="s">
        <v>695</v>
      </c>
      <c r="E150" s="8" t="s">
        <v>696</v>
      </c>
      <c r="F150" s="9">
        <v>5000.0</v>
      </c>
      <c r="G150" s="31" t="s">
        <v>697</v>
      </c>
      <c r="H150" s="11" t="s">
        <v>698</v>
      </c>
      <c r="I150" s="31">
        <v>7.001454615E9</v>
      </c>
      <c r="J150" s="11" t="s">
        <v>25</v>
      </c>
      <c r="K150" s="12"/>
      <c r="L150" s="13"/>
      <c r="M150" s="14"/>
      <c r="N150" s="15"/>
      <c r="O150" s="5" t="s">
        <v>564</v>
      </c>
      <c r="P150" s="5" t="s">
        <v>405</v>
      </c>
      <c r="Q150" s="15"/>
      <c r="R150" s="16" t="s">
        <v>699</v>
      </c>
      <c r="S150" s="15"/>
      <c r="T150" s="15"/>
      <c r="U150" s="15"/>
      <c r="V150" s="15"/>
      <c r="W150" s="15"/>
      <c r="X150" s="15"/>
      <c r="Y150" s="15"/>
      <c r="Z150" s="15"/>
      <c r="AA150" s="15"/>
    </row>
    <row r="151">
      <c r="A151" s="5" t="s">
        <v>700</v>
      </c>
      <c r="B151" s="17" t="s">
        <v>701</v>
      </c>
      <c r="C151" s="40" t="s">
        <v>702</v>
      </c>
      <c r="D151" s="8"/>
      <c r="E151" s="8" t="s">
        <v>116</v>
      </c>
      <c r="F151" s="9">
        <v>5000.0</v>
      </c>
      <c r="G151" s="18" t="s">
        <v>703</v>
      </c>
      <c r="H151" s="24" t="s">
        <v>49</v>
      </c>
      <c r="I151" s="41">
        <v>9.333495057E9</v>
      </c>
      <c r="J151" s="11" t="s">
        <v>25</v>
      </c>
      <c r="K151" s="12"/>
      <c r="L151" s="13"/>
      <c r="M151" s="14"/>
      <c r="N151" s="15"/>
      <c r="O151" s="5" t="s">
        <v>26</v>
      </c>
      <c r="P151" s="5" t="s">
        <v>453</v>
      </c>
      <c r="Q151" s="15"/>
      <c r="R151" s="16" t="s">
        <v>28</v>
      </c>
      <c r="S151" s="15"/>
      <c r="T151" s="15"/>
      <c r="U151" s="15"/>
      <c r="V151" s="15"/>
      <c r="W151" s="15"/>
      <c r="X151" s="15"/>
      <c r="Y151" s="15"/>
      <c r="Z151" s="15"/>
      <c r="AA151" s="15"/>
    </row>
    <row r="152">
      <c r="A152" s="5" t="s">
        <v>700</v>
      </c>
      <c r="B152" s="17" t="s">
        <v>704</v>
      </c>
      <c r="C152" s="40" t="s">
        <v>705</v>
      </c>
      <c r="D152" s="8"/>
      <c r="E152" s="8" t="s">
        <v>31</v>
      </c>
      <c r="F152" s="9">
        <v>20000.0</v>
      </c>
      <c r="G152" s="42" t="s">
        <v>706</v>
      </c>
      <c r="H152" s="11" t="s">
        <v>44</v>
      </c>
      <c r="I152" s="41">
        <v>9.435070966E9</v>
      </c>
      <c r="J152" s="11" t="s">
        <v>25</v>
      </c>
      <c r="K152" s="12"/>
      <c r="L152" s="13"/>
      <c r="M152" s="14"/>
      <c r="N152" s="15"/>
      <c r="O152" s="5" t="s">
        <v>34</v>
      </c>
      <c r="P152" s="5" t="s">
        <v>707</v>
      </c>
      <c r="Q152" s="15"/>
      <c r="R152" s="16" t="s">
        <v>28</v>
      </c>
      <c r="S152" s="15"/>
      <c r="T152" s="15"/>
      <c r="U152" s="15"/>
      <c r="V152" s="15"/>
      <c r="W152" s="15"/>
      <c r="X152" s="15"/>
      <c r="Y152" s="15"/>
      <c r="Z152" s="15"/>
      <c r="AA152" s="15"/>
    </row>
    <row r="153">
      <c r="A153" s="5" t="s">
        <v>700</v>
      </c>
      <c r="B153" s="17" t="s">
        <v>708</v>
      </c>
      <c r="C153" s="40" t="s">
        <v>709</v>
      </c>
      <c r="D153" s="8"/>
      <c r="E153" s="8" t="s">
        <v>43</v>
      </c>
      <c r="F153" s="9">
        <v>10000.0</v>
      </c>
      <c r="G153" s="43" t="s">
        <v>710</v>
      </c>
      <c r="H153" s="11" t="s">
        <v>99</v>
      </c>
      <c r="I153" s="41">
        <v>9.438532415E9</v>
      </c>
      <c r="J153" s="11" t="s">
        <v>25</v>
      </c>
      <c r="K153" s="12"/>
      <c r="L153" s="13"/>
      <c r="M153" s="14"/>
      <c r="N153" s="15"/>
      <c r="O153" s="5" t="s">
        <v>34</v>
      </c>
      <c r="P153" s="5" t="s">
        <v>292</v>
      </c>
      <c r="Q153" s="15"/>
      <c r="R153" s="16" t="s">
        <v>28</v>
      </c>
      <c r="S153" s="15"/>
      <c r="T153" s="15"/>
      <c r="U153" s="15"/>
      <c r="V153" s="15"/>
      <c r="W153" s="15"/>
      <c r="X153" s="15"/>
      <c r="Y153" s="15"/>
      <c r="Z153" s="15"/>
      <c r="AA153" s="15"/>
    </row>
    <row r="154">
      <c r="A154" s="5" t="s">
        <v>700</v>
      </c>
      <c r="B154" s="17" t="s">
        <v>711</v>
      </c>
      <c r="C154" s="40" t="s">
        <v>712</v>
      </c>
      <c r="D154" s="8"/>
      <c r="E154" s="8" t="s">
        <v>713</v>
      </c>
      <c r="F154" s="9">
        <v>1000.0</v>
      </c>
      <c r="G154" s="19" t="s">
        <v>714</v>
      </c>
      <c r="H154" s="11" t="s">
        <v>99</v>
      </c>
      <c r="I154" s="41">
        <v>9.348784928E9</v>
      </c>
      <c r="J154" s="11" t="s">
        <v>25</v>
      </c>
      <c r="K154" s="12"/>
      <c r="L154" s="13"/>
      <c r="M154" s="14"/>
      <c r="N154" s="15"/>
      <c r="O154" s="5" t="s">
        <v>34</v>
      </c>
      <c r="P154" s="5" t="s">
        <v>79</v>
      </c>
      <c r="Q154" s="15"/>
      <c r="R154" s="16" t="s">
        <v>28</v>
      </c>
      <c r="S154" s="15"/>
      <c r="T154" s="15"/>
      <c r="U154" s="15"/>
      <c r="V154" s="15"/>
      <c r="W154" s="15"/>
      <c r="X154" s="15"/>
      <c r="Y154" s="15"/>
      <c r="Z154" s="15"/>
      <c r="AA154" s="15"/>
    </row>
    <row r="155">
      <c r="A155" s="5" t="s">
        <v>715</v>
      </c>
      <c r="B155" s="17" t="s">
        <v>716</v>
      </c>
      <c r="C155" s="40" t="s">
        <v>717</v>
      </c>
      <c r="D155" s="8"/>
      <c r="E155" s="8" t="s">
        <v>718</v>
      </c>
      <c r="F155" s="9">
        <v>30000.0</v>
      </c>
      <c r="G155" s="18" t="s">
        <v>719</v>
      </c>
      <c r="H155" s="11" t="s">
        <v>44</v>
      </c>
      <c r="I155" s="41">
        <v>8.777849385E9</v>
      </c>
      <c r="J155" s="11" t="s">
        <v>25</v>
      </c>
      <c r="K155" s="12"/>
      <c r="L155" s="13"/>
      <c r="M155" s="14"/>
      <c r="N155" s="15"/>
      <c r="O155" s="5" t="s">
        <v>60</v>
      </c>
      <c r="P155" s="5"/>
      <c r="Q155" s="15"/>
      <c r="R155" s="16" t="s">
        <v>28</v>
      </c>
      <c r="S155" s="15"/>
      <c r="T155" s="15"/>
      <c r="U155" s="15"/>
      <c r="V155" s="15"/>
      <c r="W155" s="15"/>
      <c r="X155" s="15"/>
      <c r="Y155" s="15"/>
      <c r="Z155" s="15"/>
      <c r="AA155" s="15"/>
    </row>
    <row r="156">
      <c r="A156" s="5" t="s">
        <v>715</v>
      </c>
      <c r="B156" s="17" t="s">
        <v>720</v>
      </c>
      <c r="C156" s="40" t="s">
        <v>721</v>
      </c>
      <c r="D156" s="8"/>
      <c r="E156" s="8" t="s">
        <v>22</v>
      </c>
      <c r="F156" s="9">
        <v>10000.0</v>
      </c>
      <c r="G156" s="44"/>
      <c r="H156" s="11" t="s">
        <v>131</v>
      </c>
      <c r="I156" s="41">
        <v>8.811902352E9</v>
      </c>
      <c r="J156" s="11" t="s">
        <v>25</v>
      </c>
      <c r="K156" s="12"/>
      <c r="L156" s="13"/>
      <c r="M156" s="14"/>
      <c r="N156" s="15"/>
      <c r="O156" s="5" t="s">
        <v>34</v>
      </c>
      <c r="P156" s="5" t="s">
        <v>722</v>
      </c>
      <c r="Q156" s="15"/>
      <c r="R156" s="16" t="s">
        <v>723</v>
      </c>
      <c r="S156" s="15"/>
      <c r="T156" s="15"/>
      <c r="U156" s="15"/>
      <c r="V156" s="15"/>
      <c r="W156" s="15"/>
      <c r="X156" s="15"/>
      <c r="Y156" s="15"/>
      <c r="Z156" s="15"/>
      <c r="AA156" s="15"/>
    </row>
    <row r="157">
      <c r="A157" s="5" t="s">
        <v>715</v>
      </c>
      <c r="B157" s="17" t="s">
        <v>724</v>
      </c>
      <c r="C157" s="40" t="s">
        <v>725</v>
      </c>
      <c r="D157" s="8"/>
      <c r="E157" s="8" t="s">
        <v>156</v>
      </c>
      <c r="F157" s="9">
        <v>20000.0</v>
      </c>
      <c r="G157" s="42" t="s">
        <v>726</v>
      </c>
      <c r="H157" s="11" t="s">
        <v>44</v>
      </c>
      <c r="I157" s="41">
        <v>8.697926943E9</v>
      </c>
      <c r="J157" s="11" t="s">
        <v>25</v>
      </c>
      <c r="K157" s="12"/>
      <c r="L157" s="13"/>
      <c r="M157" s="14"/>
      <c r="N157" s="15"/>
      <c r="O157" s="5" t="s">
        <v>34</v>
      </c>
      <c r="P157" s="5" t="s">
        <v>79</v>
      </c>
      <c r="Q157" s="5" t="s">
        <v>727</v>
      </c>
      <c r="R157" s="16" t="s">
        <v>28</v>
      </c>
      <c r="S157" s="15"/>
      <c r="T157" s="15"/>
      <c r="U157" s="15"/>
      <c r="V157" s="15"/>
      <c r="W157" s="15"/>
      <c r="X157" s="15"/>
      <c r="Y157" s="15"/>
      <c r="Z157" s="15"/>
      <c r="AA157" s="15"/>
    </row>
    <row r="158">
      <c r="A158" s="5" t="s">
        <v>728</v>
      </c>
      <c r="B158" s="17" t="s">
        <v>729</v>
      </c>
      <c r="C158" s="40" t="s">
        <v>730</v>
      </c>
      <c r="D158" s="8"/>
      <c r="E158" s="8" t="s">
        <v>130</v>
      </c>
      <c r="F158" s="9">
        <v>2000.0</v>
      </c>
      <c r="G158" s="18" t="s">
        <v>731</v>
      </c>
      <c r="H158" s="11" t="s">
        <v>495</v>
      </c>
      <c r="I158" s="41" t="s">
        <v>732</v>
      </c>
      <c r="J158" s="11" t="s">
        <v>25</v>
      </c>
      <c r="K158" s="12"/>
      <c r="L158" s="13"/>
      <c r="M158" s="14"/>
      <c r="N158" s="15"/>
      <c r="O158" s="5" t="s">
        <v>60</v>
      </c>
      <c r="P158" s="5"/>
      <c r="Q158" s="15"/>
      <c r="R158" s="16" t="s">
        <v>28</v>
      </c>
      <c r="S158" s="15"/>
      <c r="T158" s="15"/>
      <c r="U158" s="15"/>
      <c r="V158" s="15"/>
      <c r="W158" s="15"/>
      <c r="X158" s="15"/>
      <c r="Y158" s="15"/>
      <c r="Z158" s="15"/>
      <c r="AA158" s="15"/>
    </row>
    <row r="159">
      <c r="A159" s="5" t="s">
        <v>728</v>
      </c>
      <c r="B159" s="17" t="s">
        <v>733</v>
      </c>
      <c r="C159" s="40" t="s">
        <v>734</v>
      </c>
      <c r="D159" s="8"/>
      <c r="E159" s="8" t="s">
        <v>130</v>
      </c>
      <c r="F159" s="9">
        <v>800.0</v>
      </c>
      <c r="G159" s="44"/>
      <c r="H159" s="11" t="s">
        <v>735</v>
      </c>
      <c r="I159" s="41">
        <v>7.908013516E9</v>
      </c>
      <c r="J159" s="11" t="s">
        <v>25</v>
      </c>
      <c r="K159" s="12"/>
      <c r="L159" s="13"/>
      <c r="M159" s="14"/>
      <c r="N159" s="15"/>
      <c r="O159" s="5" t="s">
        <v>34</v>
      </c>
      <c r="P159" s="5" t="s">
        <v>185</v>
      </c>
      <c r="Q159" s="15"/>
      <c r="R159" s="16" t="s">
        <v>28</v>
      </c>
      <c r="S159" s="15"/>
      <c r="T159" s="15"/>
      <c r="U159" s="15"/>
      <c r="V159" s="15"/>
      <c r="W159" s="15"/>
      <c r="X159" s="15"/>
      <c r="Y159" s="15"/>
      <c r="Z159" s="15"/>
      <c r="AA159" s="15"/>
    </row>
    <row r="160">
      <c r="A160" s="5" t="s">
        <v>736</v>
      </c>
      <c r="B160" s="17" t="s">
        <v>737</v>
      </c>
      <c r="C160" s="40" t="s">
        <v>738</v>
      </c>
      <c r="D160" s="8"/>
      <c r="E160" s="8" t="s">
        <v>739</v>
      </c>
      <c r="F160" s="9" t="s">
        <v>740</v>
      </c>
      <c r="G160" s="18" t="s">
        <v>741</v>
      </c>
      <c r="H160" s="11" t="s">
        <v>742</v>
      </c>
      <c r="I160" s="41">
        <v>8.074205906E9</v>
      </c>
      <c r="J160" s="11" t="s">
        <v>25</v>
      </c>
      <c r="K160" s="12"/>
      <c r="L160" s="13"/>
      <c r="M160" s="14"/>
      <c r="N160" s="15"/>
      <c r="O160" s="5" t="s">
        <v>108</v>
      </c>
      <c r="P160" s="5" t="s">
        <v>743</v>
      </c>
      <c r="Q160" s="15"/>
      <c r="R160" s="16" t="s">
        <v>28</v>
      </c>
      <c r="S160" s="15"/>
      <c r="T160" s="15"/>
      <c r="U160" s="15"/>
      <c r="V160" s="15"/>
      <c r="W160" s="15"/>
      <c r="X160" s="15"/>
      <c r="Y160" s="15"/>
      <c r="Z160" s="15"/>
      <c r="AA160" s="15"/>
    </row>
    <row r="161">
      <c r="A161" s="5" t="s">
        <v>736</v>
      </c>
      <c r="B161" s="17" t="s">
        <v>744</v>
      </c>
      <c r="C161" s="40" t="s">
        <v>745</v>
      </c>
      <c r="D161" s="8"/>
      <c r="E161" s="8" t="s">
        <v>130</v>
      </c>
      <c r="F161" s="9">
        <v>1000.0</v>
      </c>
      <c r="G161" s="19" t="s">
        <v>746</v>
      </c>
      <c r="H161" s="11" t="s">
        <v>184</v>
      </c>
      <c r="I161" s="41">
        <v>8.987412323E9</v>
      </c>
      <c r="J161" s="11" t="s">
        <v>25</v>
      </c>
      <c r="K161" s="12"/>
      <c r="L161" s="13"/>
      <c r="M161" s="14"/>
      <c r="N161" s="15"/>
      <c r="O161" s="5" t="s">
        <v>34</v>
      </c>
      <c r="P161" s="11" t="s">
        <v>292</v>
      </c>
      <c r="Q161" s="15"/>
      <c r="R161" s="16" t="s">
        <v>551</v>
      </c>
      <c r="S161" s="15"/>
      <c r="T161" s="15"/>
      <c r="U161" s="15"/>
      <c r="V161" s="15"/>
      <c r="W161" s="15"/>
      <c r="X161" s="15"/>
      <c r="Y161" s="15"/>
      <c r="Z161" s="15"/>
      <c r="AA161" s="15"/>
    </row>
    <row r="162">
      <c r="A162" s="5" t="s">
        <v>747</v>
      </c>
      <c r="B162" s="17" t="s">
        <v>748</v>
      </c>
      <c r="C162" s="40" t="s">
        <v>749</v>
      </c>
      <c r="D162" s="8"/>
      <c r="E162" s="8" t="s">
        <v>130</v>
      </c>
      <c r="F162" s="9">
        <v>1500.0</v>
      </c>
      <c r="G162" s="18" t="s">
        <v>750</v>
      </c>
      <c r="H162" s="11" t="s">
        <v>472</v>
      </c>
      <c r="I162" s="41">
        <v>9.641414776E9</v>
      </c>
      <c r="J162" s="11" t="s">
        <v>25</v>
      </c>
      <c r="K162" s="12"/>
      <c r="L162" s="13"/>
      <c r="M162" s="14"/>
      <c r="N162" s="15"/>
      <c r="O162" s="5" t="s">
        <v>26</v>
      </c>
      <c r="P162" s="5"/>
      <c r="Q162" s="15"/>
      <c r="R162" s="16" t="s">
        <v>28</v>
      </c>
      <c r="S162" s="15"/>
      <c r="T162" s="15"/>
      <c r="U162" s="15"/>
      <c r="V162" s="15"/>
      <c r="W162" s="15"/>
      <c r="X162" s="15"/>
      <c r="Y162" s="15"/>
      <c r="Z162" s="15"/>
      <c r="AA162" s="15"/>
    </row>
    <row r="163">
      <c r="A163" s="5" t="s">
        <v>747</v>
      </c>
      <c r="B163" s="17" t="s">
        <v>751</v>
      </c>
      <c r="C163" s="40" t="s">
        <v>752</v>
      </c>
      <c r="D163" s="8"/>
      <c r="E163" s="8" t="s">
        <v>753</v>
      </c>
      <c r="F163" s="9">
        <v>10000.0</v>
      </c>
      <c r="G163" s="18" t="s">
        <v>754</v>
      </c>
      <c r="H163" s="11" t="s">
        <v>131</v>
      </c>
      <c r="I163" s="41">
        <v>9.706044495E9</v>
      </c>
      <c r="J163" s="11" t="s">
        <v>25</v>
      </c>
      <c r="K163" s="12"/>
      <c r="L163" s="13"/>
      <c r="M163" s="14"/>
      <c r="N163" s="15"/>
      <c r="O163" s="5" t="s">
        <v>34</v>
      </c>
      <c r="P163" s="5" t="s">
        <v>755</v>
      </c>
      <c r="Q163" s="15"/>
      <c r="R163" s="16" t="s">
        <v>28</v>
      </c>
      <c r="S163" s="15"/>
      <c r="T163" s="15"/>
      <c r="U163" s="15"/>
      <c r="V163" s="15"/>
      <c r="W163" s="15"/>
      <c r="X163" s="15"/>
      <c r="Y163" s="15"/>
      <c r="Z163" s="15"/>
      <c r="AA163" s="15"/>
    </row>
    <row r="164">
      <c r="A164" s="5" t="s">
        <v>747</v>
      </c>
      <c r="B164" s="17" t="s">
        <v>756</v>
      </c>
      <c r="C164" s="40" t="s">
        <v>757</v>
      </c>
      <c r="D164" s="8"/>
      <c r="E164" s="8" t="s">
        <v>87</v>
      </c>
      <c r="F164" s="9">
        <v>2000.0</v>
      </c>
      <c r="G164" s="42" t="s">
        <v>758</v>
      </c>
      <c r="H164" s="11" t="s">
        <v>218</v>
      </c>
      <c r="I164" s="41">
        <v>8.910055978E9</v>
      </c>
      <c r="J164" s="11" t="s">
        <v>25</v>
      </c>
      <c r="K164" s="12"/>
      <c r="L164" s="13"/>
      <c r="M164" s="14"/>
      <c r="N164" s="15"/>
      <c r="O164" s="5" t="s">
        <v>34</v>
      </c>
      <c r="P164" s="5" t="s">
        <v>759</v>
      </c>
      <c r="Q164" s="15"/>
      <c r="R164" s="16" t="s">
        <v>28</v>
      </c>
      <c r="S164" s="15"/>
      <c r="T164" s="15"/>
      <c r="U164" s="15"/>
      <c r="V164" s="15"/>
      <c r="W164" s="15"/>
      <c r="X164" s="15"/>
      <c r="Y164" s="15"/>
      <c r="Z164" s="15"/>
      <c r="AA164" s="15"/>
    </row>
    <row r="165">
      <c r="A165" s="5" t="s">
        <v>760</v>
      </c>
      <c r="B165" s="17" t="s">
        <v>761</v>
      </c>
      <c r="C165" s="40" t="s">
        <v>762</v>
      </c>
      <c r="D165" s="8"/>
      <c r="E165" s="8" t="s">
        <v>38</v>
      </c>
      <c r="F165" s="9">
        <v>18000.0</v>
      </c>
      <c r="G165" s="42" t="s">
        <v>763</v>
      </c>
      <c r="H165" s="11" t="s">
        <v>107</v>
      </c>
      <c r="I165" s="41">
        <v>9.599038949E9</v>
      </c>
      <c r="J165" s="11" t="s">
        <v>25</v>
      </c>
      <c r="K165" s="12"/>
      <c r="L165" s="13"/>
      <c r="M165" s="14"/>
      <c r="N165" s="15"/>
      <c r="O165" s="5" t="s">
        <v>108</v>
      </c>
      <c r="P165" s="5" t="s">
        <v>764</v>
      </c>
      <c r="Q165" s="15"/>
      <c r="R165" s="16" t="s">
        <v>28</v>
      </c>
      <c r="S165" s="15"/>
      <c r="T165" s="15"/>
      <c r="U165" s="15"/>
      <c r="V165" s="15"/>
      <c r="W165" s="15"/>
      <c r="X165" s="15"/>
      <c r="Y165" s="15"/>
      <c r="Z165" s="15"/>
      <c r="AA165" s="15"/>
    </row>
    <row r="166">
      <c r="A166" s="5" t="s">
        <v>765</v>
      </c>
      <c r="B166" s="17" t="s">
        <v>766</v>
      </c>
      <c r="C166" s="40" t="s">
        <v>767</v>
      </c>
      <c r="D166" s="8"/>
      <c r="E166" s="8" t="s">
        <v>130</v>
      </c>
      <c r="F166" s="9">
        <v>50000.0</v>
      </c>
      <c r="G166" s="18" t="s">
        <v>768</v>
      </c>
      <c r="H166" s="11" t="s">
        <v>507</v>
      </c>
      <c r="I166" s="41">
        <v>7.972052615E9</v>
      </c>
      <c r="J166" s="11" t="s">
        <v>25</v>
      </c>
      <c r="K166" s="12"/>
      <c r="L166" s="13"/>
      <c r="M166" s="14"/>
      <c r="N166" s="15"/>
      <c r="O166" s="5" t="s">
        <v>108</v>
      </c>
      <c r="P166" s="5"/>
      <c r="Q166" s="15"/>
      <c r="R166" s="16" t="s">
        <v>28</v>
      </c>
      <c r="S166" s="15"/>
      <c r="T166" s="15"/>
      <c r="U166" s="15"/>
      <c r="V166" s="15"/>
      <c r="W166" s="15"/>
      <c r="X166" s="15"/>
      <c r="Y166" s="15"/>
      <c r="Z166" s="15"/>
      <c r="AA166" s="15"/>
    </row>
    <row r="167">
      <c r="A167" s="5" t="s">
        <v>765</v>
      </c>
      <c r="B167" s="17" t="s">
        <v>769</v>
      </c>
      <c r="C167" s="40" t="s">
        <v>770</v>
      </c>
      <c r="D167" s="8"/>
      <c r="E167" s="8" t="s">
        <v>227</v>
      </c>
      <c r="F167" s="9">
        <v>5000.0</v>
      </c>
      <c r="G167" s="44" t="s">
        <v>771</v>
      </c>
      <c r="H167" s="11" t="s">
        <v>184</v>
      </c>
      <c r="I167" s="41">
        <v>9.431301084E9</v>
      </c>
      <c r="J167" s="11" t="s">
        <v>25</v>
      </c>
      <c r="K167" s="12"/>
      <c r="L167" s="13"/>
      <c r="M167" s="14"/>
      <c r="N167" s="15"/>
      <c r="O167" s="5" t="s">
        <v>34</v>
      </c>
      <c r="P167" s="5" t="s">
        <v>772</v>
      </c>
      <c r="Q167" s="15"/>
      <c r="R167" s="16" t="s">
        <v>28</v>
      </c>
      <c r="S167" s="15"/>
      <c r="T167" s="15"/>
      <c r="U167" s="15"/>
      <c r="V167" s="15"/>
      <c r="W167" s="15"/>
      <c r="X167" s="15"/>
      <c r="Y167" s="15"/>
      <c r="Z167" s="15"/>
      <c r="AA167" s="15"/>
    </row>
    <row r="168">
      <c r="A168" s="5" t="s">
        <v>773</v>
      </c>
      <c r="B168" s="17" t="s">
        <v>774</v>
      </c>
      <c r="C168" s="40" t="s">
        <v>775</v>
      </c>
      <c r="D168" s="8"/>
      <c r="E168" s="8" t="s">
        <v>130</v>
      </c>
      <c r="F168" s="9">
        <v>2000.0</v>
      </c>
      <c r="G168" s="19" t="s">
        <v>776</v>
      </c>
      <c r="H168" s="11" t="s">
        <v>283</v>
      </c>
      <c r="I168" s="41">
        <v>9.931332377E9</v>
      </c>
      <c r="J168" s="11" t="s">
        <v>25</v>
      </c>
      <c r="K168" s="12"/>
      <c r="L168" s="13"/>
      <c r="M168" s="14"/>
      <c r="N168" s="15"/>
      <c r="O168" s="5" t="s">
        <v>34</v>
      </c>
      <c r="P168" s="5" t="s">
        <v>777</v>
      </c>
      <c r="Q168" s="15"/>
      <c r="R168" s="16" t="s">
        <v>723</v>
      </c>
      <c r="S168" s="15"/>
      <c r="T168" s="15"/>
      <c r="U168" s="15"/>
      <c r="V168" s="15"/>
      <c r="W168" s="15"/>
      <c r="X168" s="15"/>
      <c r="Y168" s="15"/>
      <c r="Z168" s="15"/>
      <c r="AA168" s="15"/>
    </row>
    <row r="169">
      <c r="A169" s="5" t="s">
        <v>773</v>
      </c>
      <c r="B169" s="17" t="s">
        <v>778</v>
      </c>
      <c r="C169" s="40" t="s">
        <v>779</v>
      </c>
      <c r="D169" s="8"/>
      <c r="E169" s="8" t="s">
        <v>780</v>
      </c>
      <c r="F169" s="9">
        <v>22000.0</v>
      </c>
      <c r="G169" s="44"/>
      <c r="H169" s="11" t="s">
        <v>44</v>
      </c>
      <c r="I169" s="41">
        <v>8.910014826E9</v>
      </c>
      <c r="J169" s="11" t="s">
        <v>25</v>
      </c>
      <c r="K169" s="12"/>
      <c r="L169" s="13"/>
      <c r="M169" s="14"/>
      <c r="N169" s="15"/>
      <c r="O169" s="5" t="s">
        <v>26</v>
      </c>
      <c r="P169" s="5"/>
      <c r="Q169" s="15"/>
      <c r="R169" s="16" t="s">
        <v>28</v>
      </c>
      <c r="S169" s="15"/>
      <c r="T169" s="15"/>
      <c r="U169" s="15"/>
      <c r="V169" s="15"/>
      <c r="W169" s="15"/>
      <c r="X169" s="15"/>
      <c r="Y169" s="15"/>
      <c r="Z169" s="15"/>
      <c r="AA169" s="15"/>
    </row>
    <row r="170">
      <c r="A170" s="5" t="s">
        <v>781</v>
      </c>
      <c r="B170" s="17" t="s">
        <v>782</v>
      </c>
      <c r="C170" s="40" t="s">
        <v>783</v>
      </c>
      <c r="D170" s="8"/>
      <c r="E170" s="8" t="s">
        <v>130</v>
      </c>
      <c r="F170" s="9">
        <v>100000.0</v>
      </c>
      <c r="G170" s="44"/>
      <c r="H170" s="11" t="s">
        <v>44</v>
      </c>
      <c r="I170" s="41">
        <v>9.608560096E9</v>
      </c>
      <c r="J170" s="11" t="s">
        <v>25</v>
      </c>
      <c r="K170" s="12"/>
      <c r="L170" s="13"/>
      <c r="M170" s="14"/>
      <c r="N170" s="15"/>
      <c r="O170" s="5" t="s">
        <v>26</v>
      </c>
      <c r="P170" s="5"/>
      <c r="Q170" s="15"/>
      <c r="R170" s="16" t="s">
        <v>28</v>
      </c>
      <c r="S170" s="15"/>
      <c r="T170" s="15"/>
      <c r="U170" s="15"/>
      <c r="V170" s="15"/>
      <c r="W170" s="15"/>
      <c r="X170" s="15"/>
      <c r="Y170" s="15"/>
      <c r="Z170" s="15"/>
      <c r="AA170" s="15"/>
    </row>
    <row r="171">
      <c r="A171" s="5" t="s">
        <v>781</v>
      </c>
      <c r="B171" s="17" t="s">
        <v>784</v>
      </c>
      <c r="C171" s="40" t="s">
        <v>785</v>
      </c>
      <c r="D171" s="8"/>
      <c r="E171" s="8" t="s">
        <v>786</v>
      </c>
      <c r="F171" s="9">
        <v>250.0</v>
      </c>
      <c r="G171" s="18" t="s">
        <v>787</v>
      </c>
      <c r="H171" s="11" t="s">
        <v>44</v>
      </c>
      <c r="I171" s="41">
        <v>7.003101345E9</v>
      </c>
      <c r="J171" s="11" t="s">
        <v>25</v>
      </c>
      <c r="K171" s="12"/>
      <c r="L171" s="13"/>
      <c r="M171" s="14"/>
      <c r="N171" s="15"/>
      <c r="O171" s="5" t="s">
        <v>34</v>
      </c>
      <c r="P171" s="5" t="s">
        <v>79</v>
      </c>
      <c r="Q171" s="15"/>
      <c r="R171" s="16" t="s">
        <v>28</v>
      </c>
      <c r="S171" s="15"/>
      <c r="T171" s="15"/>
      <c r="U171" s="15"/>
      <c r="V171" s="15"/>
      <c r="W171" s="15"/>
      <c r="X171" s="15"/>
      <c r="Y171" s="15"/>
      <c r="Z171" s="15"/>
      <c r="AA171" s="15"/>
    </row>
    <row r="172">
      <c r="A172" s="5" t="s">
        <v>788</v>
      </c>
      <c r="B172" s="17" t="s">
        <v>789</v>
      </c>
      <c r="C172" s="40" t="s">
        <v>790</v>
      </c>
      <c r="D172" s="8"/>
      <c r="E172" s="8" t="s">
        <v>130</v>
      </c>
      <c r="F172" s="9">
        <v>10000.0</v>
      </c>
      <c r="G172" s="18" t="s">
        <v>791</v>
      </c>
      <c r="H172" s="11" t="s">
        <v>99</v>
      </c>
      <c r="I172" s="41">
        <v>9.861012141E9</v>
      </c>
      <c r="J172" s="11" t="s">
        <v>25</v>
      </c>
      <c r="K172" s="12"/>
      <c r="L172" s="13"/>
      <c r="M172" s="14"/>
      <c r="N172" s="15"/>
      <c r="O172" s="5" t="s">
        <v>34</v>
      </c>
      <c r="P172" s="5" t="s">
        <v>79</v>
      </c>
      <c r="Q172" s="15"/>
      <c r="R172" s="16" t="s">
        <v>28</v>
      </c>
      <c r="S172" s="15"/>
      <c r="T172" s="15"/>
      <c r="U172" s="15"/>
      <c r="V172" s="15"/>
      <c r="W172" s="15"/>
      <c r="X172" s="15"/>
      <c r="Y172" s="15"/>
      <c r="Z172" s="15"/>
      <c r="AA172" s="15"/>
    </row>
    <row r="173">
      <c r="A173" s="5" t="s">
        <v>788</v>
      </c>
      <c r="B173" s="17" t="s">
        <v>792</v>
      </c>
      <c r="C173" s="40" t="s">
        <v>793</v>
      </c>
      <c r="D173" s="8"/>
      <c r="E173" s="8" t="s">
        <v>794</v>
      </c>
      <c r="F173" s="9">
        <v>2000.0</v>
      </c>
      <c r="G173" s="18" t="s">
        <v>795</v>
      </c>
      <c r="H173" s="11" t="s">
        <v>191</v>
      </c>
      <c r="I173" s="41">
        <v>8.016764055E9</v>
      </c>
      <c r="J173" s="11" t="s">
        <v>25</v>
      </c>
      <c r="K173" s="12"/>
      <c r="L173" s="13"/>
      <c r="M173" s="14"/>
      <c r="N173" s="15"/>
      <c r="O173" s="5" t="s">
        <v>26</v>
      </c>
      <c r="P173" s="5"/>
      <c r="Q173" s="15"/>
      <c r="R173" s="16" t="s">
        <v>28</v>
      </c>
      <c r="S173" s="15"/>
      <c r="T173" s="15"/>
      <c r="U173" s="15"/>
      <c r="V173" s="15"/>
      <c r="W173" s="15"/>
      <c r="X173" s="15"/>
      <c r="Y173" s="15"/>
      <c r="Z173" s="15"/>
      <c r="AA173" s="15"/>
    </row>
    <row r="174">
      <c r="A174" s="5" t="s">
        <v>788</v>
      </c>
      <c r="B174" s="17" t="s">
        <v>796</v>
      </c>
      <c r="C174" s="40" t="s">
        <v>797</v>
      </c>
      <c r="D174" s="8"/>
      <c r="E174" s="8" t="s">
        <v>798</v>
      </c>
      <c r="F174" s="9">
        <v>500.0</v>
      </c>
      <c r="G174" s="18" t="s">
        <v>799</v>
      </c>
      <c r="H174" s="11" t="s">
        <v>495</v>
      </c>
      <c r="I174" s="41">
        <v>9.09781833E9</v>
      </c>
      <c r="J174" s="11" t="s">
        <v>25</v>
      </c>
      <c r="K174" s="12"/>
      <c r="L174" s="13"/>
      <c r="M174" s="14"/>
      <c r="N174" s="15"/>
      <c r="O174" s="5" t="s">
        <v>60</v>
      </c>
      <c r="P174" s="5"/>
      <c r="Q174" s="15"/>
      <c r="R174" s="16" t="s">
        <v>28</v>
      </c>
      <c r="S174" s="15"/>
      <c r="T174" s="15"/>
      <c r="U174" s="15"/>
      <c r="V174" s="15"/>
      <c r="W174" s="15"/>
      <c r="X174" s="15"/>
      <c r="Y174" s="15"/>
      <c r="Z174" s="15"/>
      <c r="AA174" s="15"/>
    </row>
    <row r="175">
      <c r="A175" s="5" t="s">
        <v>800</v>
      </c>
      <c r="B175" s="17" t="s">
        <v>801</v>
      </c>
      <c r="C175" s="40" t="s">
        <v>802</v>
      </c>
      <c r="D175" s="8"/>
      <c r="E175" s="8" t="s">
        <v>152</v>
      </c>
      <c r="F175" s="9">
        <v>1000.0</v>
      </c>
      <c r="G175" s="44"/>
      <c r="H175" s="11" t="s">
        <v>44</v>
      </c>
      <c r="I175" s="41">
        <v>9.903460855E9</v>
      </c>
      <c r="J175" s="11" t="s">
        <v>25</v>
      </c>
      <c r="K175" s="12"/>
      <c r="L175" s="13"/>
      <c r="M175" s="14"/>
      <c r="N175" s="15"/>
      <c r="O175" s="5" t="s">
        <v>60</v>
      </c>
      <c r="P175" s="5"/>
      <c r="Q175" s="15"/>
      <c r="R175" s="16" t="s">
        <v>28</v>
      </c>
      <c r="S175" s="15"/>
      <c r="T175" s="15"/>
      <c r="U175" s="15"/>
      <c r="V175" s="15"/>
      <c r="W175" s="15"/>
      <c r="X175" s="15"/>
      <c r="Y175" s="15"/>
      <c r="Z175" s="15"/>
      <c r="AA175" s="15"/>
    </row>
    <row r="176">
      <c r="A176" s="5" t="s">
        <v>800</v>
      </c>
      <c r="B176" s="17" t="s">
        <v>803</v>
      </c>
      <c r="C176" s="40" t="s">
        <v>804</v>
      </c>
      <c r="D176" s="8"/>
      <c r="E176" s="8" t="s">
        <v>130</v>
      </c>
      <c r="F176" s="9">
        <v>3000.0</v>
      </c>
      <c r="G176" s="42" t="s">
        <v>805</v>
      </c>
      <c r="H176" s="11" t="s">
        <v>107</v>
      </c>
      <c r="I176" s="41">
        <v>8.700039887E9</v>
      </c>
      <c r="J176" s="11" t="s">
        <v>25</v>
      </c>
      <c r="K176" s="12"/>
      <c r="L176" s="13"/>
      <c r="M176" s="14"/>
      <c r="N176" s="15"/>
      <c r="O176" s="5" t="s">
        <v>34</v>
      </c>
      <c r="P176" s="5"/>
      <c r="Q176" s="15"/>
      <c r="R176" s="16" t="s">
        <v>28</v>
      </c>
      <c r="S176" s="15"/>
      <c r="T176" s="15"/>
      <c r="U176" s="15"/>
      <c r="V176" s="15"/>
      <c r="W176" s="15"/>
      <c r="X176" s="15"/>
      <c r="Y176" s="15"/>
      <c r="Z176" s="15"/>
      <c r="AA176" s="15"/>
    </row>
    <row r="177">
      <c r="A177" s="5" t="s">
        <v>800</v>
      </c>
      <c r="B177" s="6" t="s">
        <v>806</v>
      </c>
      <c r="C177" s="39" t="s">
        <v>807</v>
      </c>
      <c r="D177" s="8"/>
      <c r="E177" s="8" t="s">
        <v>808</v>
      </c>
      <c r="F177" s="9">
        <v>20000.0</v>
      </c>
      <c r="G177" s="39" t="s">
        <v>809</v>
      </c>
      <c r="H177" s="11" t="s">
        <v>44</v>
      </c>
      <c r="I177" s="45">
        <v>7.889395635E9</v>
      </c>
      <c r="J177" s="11" t="s">
        <v>25</v>
      </c>
      <c r="K177" s="12"/>
      <c r="L177" s="13"/>
      <c r="M177" s="14"/>
      <c r="N177" s="15"/>
      <c r="O177" s="5" t="s">
        <v>810</v>
      </c>
      <c r="P177" s="5" t="s">
        <v>811</v>
      </c>
      <c r="Q177" s="15"/>
      <c r="R177" s="16"/>
      <c r="S177" s="15"/>
      <c r="T177" s="15"/>
      <c r="U177" s="15"/>
      <c r="V177" s="15"/>
      <c r="W177" s="15"/>
      <c r="X177" s="15"/>
      <c r="Y177" s="15"/>
      <c r="Z177" s="15"/>
      <c r="AA177" s="15"/>
    </row>
    <row r="178">
      <c r="A178" s="5" t="s">
        <v>800</v>
      </c>
      <c r="B178" s="17" t="s">
        <v>812</v>
      </c>
      <c r="C178" s="40" t="s">
        <v>813</v>
      </c>
      <c r="D178" s="8"/>
      <c r="E178" s="8" t="s">
        <v>22</v>
      </c>
      <c r="F178" s="9">
        <v>3000.0</v>
      </c>
      <c r="G178" s="19" t="s">
        <v>814</v>
      </c>
      <c r="H178" s="11" t="s">
        <v>495</v>
      </c>
      <c r="I178" s="41">
        <v>9.931209199E9</v>
      </c>
      <c r="J178" s="11" t="s">
        <v>25</v>
      </c>
      <c r="K178" s="12"/>
      <c r="L178" s="13"/>
      <c r="M178" s="14"/>
      <c r="N178" s="15"/>
      <c r="O178" s="5" t="s">
        <v>34</v>
      </c>
      <c r="P178" s="5" t="s">
        <v>79</v>
      </c>
      <c r="Q178" s="15"/>
      <c r="R178" s="16" t="s">
        <v>28</v>
      </c>
      <c r="S178" s="15"/>
      <c r="T178" s="15"/>
      <c r="U178" s="15"/>
      <c r="V178" s="15"/>
      <c r="W178" s="15"/>
      <c r="X178" s="15"/>
      <c r="Y178" s="15"/>
      <c r="Z178" s="15"/>
      <c r="AA178" s="15"/>
    </row>
    <row r="179">
      <c r="A179" s="5" t="s">
        <v>815</v>
      </c>
      <c r="B179" s="17" t="s">
        <v>816</v>
      </c>
      <c r="C179" s="40" t="s">
        <v>817</v>
      </c>
      <c r="D179" s="8"/>
      <c r="E179" s="8" t="s">
        <v>178</v>
      </c>
      <c r="F179" s="9">
        <v>15000.0</v>
      </c>
      <c r="G179" s="44" t="s">
        <v>818</v>
      </c>
      <c r="H179" s="11" t="s">
        <v>44</v>
      </c>
      <c r="I179" s="41">
        <v>9.748739624E9</v>
      </c>
      <c r="J179" s="11" t="s">
        <v>25</v>
      </c>
      <c r="K179" s="12"/>
      <c r="L179" s="13"/>
      <c r="M179" s="14"/>
      <c r="N179" s="15"/>
      <c r="O179" s="5" t="s">
        <v>34</v>
      </c>
      <c r="P179" s="5" t="s">
        <v>185</v>
      </c>
      <c r="Q179" s="15"/>
      <c r="R179" s="16" t="s">
        <v>28</v>
      </c>
      <c r="S179" s="15"/>
      <c r="T179" s="15"/>
      <c r="U179" s="15"/>
      <c r="V179" s="15"/>
      <c r="W179" s="15"/>
      <c r="X179" s="15"/>
      <c r="Y179" s="15"/>
      <c r="Z179" s="15"/>
      <c r="AA179" s="15"/>
    </row>
    <row r="180">
      <c r="A180" s="5" t="s">
        <v>815</v>
      </c>
      <c r="B180" s="17" t="s">
        <v>819</v>
      </c>
      <c r="C180" s="40" t="s">
        <v>820</v>
      </c>
      <c r="D180" s="8"/>
      <c r="E180" s="8" t="s">
        <v>87</v>
      </c>
      <c r="F180" s="9">
        <v>12000.0</v>
      </c>
      <c r="G180" s="18" t="s">
        <v>821</v>
      </c>
      <c r="H180" s="11" t="s">
        <v>822</v>
      </c>
      <c r="I180" s="41">
        <v>9.733518905E9</v>
      </c>
      <c r="J180" s="11" t="s">
        <v>25</v>
      </c>
      <c r="K180" s="12"/>
      <c r="L180" s="13"/>
      <c r="M180" s="14"/>
      <c r="N180" s="15"/>
      <c r="O180" s="5" t="s">
        <v>60</v>
      </c>
      <c r="P180" s="5"/>
      <c r="Q180" s="15"/>
      <c r="R180" s="16" t="s">
        <v>28</v>
      </c>
      <c r="S180" s="15"/>
      <c r="T180" s="15"/>
      <c r="U180" s="15"/>
      <c r="V180" s="15"/>
      <c r="W180" s="15"/>
      <c r="X180" s="15"/>
      <c r="Y180" s="15"/>
      <c r="Z180" s="15"/>
      <c r="AA180" s="15"/>
    </row>
    <row r="181">
      <c r="A181" s="5" t="s">
        <v>815</v>
      </c>
      <c r="B181" s="17" t="s">
        <v>823</v>
      </c>
      <c r="C181" s="40" t="s">
        <v>824</v>
      </c>
      <c r="D181" s="8"/>
      <c r="E181" s="8" t="s">
        <v>286</v>
      </c>
      <c r="F181" s="9">
        <v>250.0</v>
      </c>
      <c r="G181" s="18" t="s">
        <v>825</v>
      </c>
      <c r="H181" s="11" t="s">
        <v>44</v>
      </c>
      <c r="I181" s="41">
        <v>9.007096055E9</v>
      </c>
      <c r="J181" s="11" t="s">
        <v>25</v>
      </c>
      <c r="K181" s="12"/>
      <c r="L181" s="13"/>
      <c r="M181" s="14"/>
      <c r="N181" s="15"/>
      <c r="O181" s="5" t="s">
        <v>34</v>
      </c>
      <c r="P181" s="5" t="s">
        <v>55</v>
      </c>
      <c r="Q181" s="15"/>
      <c r="R181" s="16" t="s">
        <v>28</v>
      </c>
      <c r="S181" s="15"/>
      <c r="T181" s="15"/>
      <c r="U181" s="15"/>
      <c r="V181" s="15"/>
      <c r="W181" s="15"/>
      <c r="X181" s="15"/>
      <c r="Y181" s="15"/>
      <c r="Z181" s="15"/>
      <c r="AA181" s="15"/>
    </row>
    <row r="182">
      <c r="A182" s="5" t="s">
        <v>826</v>
      </c>
      <c r="B182" s="17" t="s">
        <v>827</v>
      </c>
      <c r="C182" s="40" t="s">
        <v>828</v>
      </c>
      <c r="D182" s="8"/>
      <c r="E182" s="8" t="s">
        <v>829</v>
      </c>
      <c r="F182" s="9">
        <v>1000.0</v>
      </c>
      <c r="G182" s="44"/>
      <c r="H182" s="11" t="s">
        <v>184</v>
      </c>
      <c r="I182" s="46">
        <v>7.461942652E9</v>
      </c>
      <c r="J182" s="11" t="s">
        <v>25</v>
      </c>
      <c r="K182" s="12"/>
      <c r="L182" s="13"/>
      <c r="M182" s="14"/>
      <c r="N182" s="15"/>
      <c r="O182" s="5" t="s">
        <v>34</v>
      </c>
      <c r="P182" s="5"/>
      <c r="Q182" s="15"/>
      <c r="R182" s="16" t="s">
        <v>28</v>
      </c>
      <c r="S182" s="15"/>
      <c r="T182" s="15"/>
      <c r="U182" s="15"/>
      <c r="V182" s="15"/>
      <c r="W182" s="15"/>
      <c r="X182" s="15"/>
      <c r="Y182" s="15"/>
      <c r="Z182" s="15"/>
      <c r="AA182" s="15"/>
    </row>
    <row r="183">
      <c r="A183" s="5" t="s">
        <v>826</v>
      </c>
      <c r="B183" s="17" t="s">
        <v>830</v>
      </c>
      <c r="C183" s="40" t="s">
        <v>831</v>
      </c>
      <c r="D183" s="8"/>
      <c r="E183" s="8" t="s">
        <v>832</v>
      </c>
      <c r="F183" s="9">
        <v>1000.0</v>
      </c>
      <c r="G183" s="18" t="s">
        <v>833</v>
      </c>
      <c r="H183" s="11" t="s">
        <v>449</v>
      </c>
      <c r="I183" s="41">
        <v>9.800122228E9</v>
      </c>
      <c r="J183" s="11" t="s">
        <v>25</v>
      </c>
      <c r="K183" s="12"/>
      <c r="L183" s="13"/>
      <c r="M183" s="14"/>
      <c r="N183" s="15"/>
      <c r="O183" s="5" t="s">
        <v>26</v>
      </c>
      <c r="P183" s="5"/>
      <c r="Q183" s="15"/>
      <c r="R183" s="16" t="s">
        <v>28</v>
      </c>
      <c r="S183" s="15"/>
      <c r="T183" s="15"/>
      <c r="U183" s="15"/>
      <c r="V183" s="15"/>
      <c r="W183" s="15"/>
      <c r="X183" s="15"/>
      <c r="Y183" s="15"/>
      <c r="Z183" s="15"/>
      <c r="AA183" s="15"/>
    </row>
    <row r="184">
      <c r="A184" s="5" t="s">
        <v>834</v>
      </c>
      <c r="B184" s="17" t="s">
        <v>835</v>
      </c>
      <c r="C184" s="40" t="s">
        <v>836</v>
      </c>
      <c r="D184" s="8"/>
      <c r="E184" s="8" t="s">
        <v>130</v>
      </c>
      <c r="F184" s="9">
        <v>500.0</v>
      </c>
      <c r="G184" s="18" t="s">
        <v>837</v>
      </c>
      <c r="H184" s="11" t="s">
        <v>268</v>
      </c>
      <c r="I184" s="41">
        <v>7.001150757E9</v>
      </c>
      <c r="J184" s="11" t="s">
        <v>25</v>
      </c>
      <c r="K184" s="12"/>
      <c r="L184" s="13"/>
      <c r="M184" s="14"/>
      <c r="N184" s="15"/>
      <c r="O184" s="5" t="s">
        <v>34</v>
      </c>
      <c r="P184" s="5" t="s">
        <v>79</v>
      </c>
      <c r="Q184" s="15"/>
      <c r="R184" s="16" t="s">
        <v>28</v>
      </c>
      <c r="S184" s="15"/>
      <c r="T184" s="15"/>
      <c r="U184" s="15"/>
      <c r="V184" s="15"/>
      <c r="W184" s="15"/>
      <c r="X184" s="15"/>
      <c r="Y184" s="15"/>
      <c r="Z184" s="15"/>
      <c r="AA184" s="15"/>
    </row>
    <row r="185">
      <c r="A185" s="5" t="s">
        <v>838</v>
      </c>
      <c r="B185" s="17" t="s">
        <v>839</v>
      </c>
      <c r="C185" s="40" t="s">
        <v>840</v>
      </c>
      <c r="D185" s="8"/>
      <c r="E185" s="8" t="s">
        <v>841</v>
      </c>
      <c r="F185" s="9">
        <v>1000.0</v>
      </c>
      <c r="G185" s="18" t="s">
        <v>842</v>
      </c>
      <c r="H185" s="11" t="s">
        <v>843</v>
      </c>
      <c r="I185" s="41">
        <v>7.365881618E9</v>
      </c>
      <c r="J185" s="11" t="s">
        <v>25</v>
      </c>
      <c r="K185" s="12"/>
      <c r="L185" s="13"/>
      <c r="M185" s="14"/>
      <c r="N185" s="15"/>
      <c r="O185" s="5" t="s">
        <v>26</v>
      </c>
      <c r="P185" s="5" t="s">
        <v>844</v>
      </c>
      <c r="Q185" s="15"/>
      <c r="R185" s="16" t="s">
        <v>28</v>
      </c>
      <c r="S185" s="15"/>
      <c r="T185" s="15"/>
      <c r="U185" s="15"/>
      <c r="V185" s="15"/>
      <c r="W185" s="15"/>
      <c r="X185" s="15"/>
      <c r="Y185" s="15"/>
      <c r="Z185" s="15"/>
      <c r="AA185" s="15"/>
    </row>
    <row r="186">
      <c r="A186" s="5" t="s">
        <v>838</v>
      </c>
      <c r="B186" s="17" t="s">
        <v>845</v>
      </c>
      <c r="C186" s="40" t="s">
        <v>846</v>
      </c>
      <c r="D186" s="8"/>
      <c r="E186" s="8" t="s">
        <v>130</v>
      </c>
      <c r="F186" s="9">
        <v>1000.0</v>
      </c>
      <c r="G186" s="44"/>
      <c r="H186" s="11" t="s">
        <v>184</v>
      </c>
      <c r="I186" s="41">
        <v>8.340189703E9</v>
      </c>
      <c r="J186" s="11" t="s">
        <v>25</v>
      </c>
      <c r="K186" s="12"/>
      <c r="L186" s="13"/>
      <c r="M186" s="14"/>
      <c r="N186" s="15"/>
      <c r="O186" s="5" t="s">
        <v>34</v>
      </c>
      <c r="P186" s="5" t="s">
        <v>292</v>
      </c>
      <c r="Q186" s="15"/>
      <c r="R186" s="16" t="s">
        <v>634</v>
      </c>
      <c r="S186" s="15"/>
      <c r="T186" s="15"/>
      <c r="U186" s="15"/>
      <c r="V186" s="15"/>
      <c r="W186" s="15"/>
      <c r="X186" s="15"/>
      <c r="Y186" s="15"/>
      <c r="Z186" s="15"/>
      <c r="AA186" s="15"/>
    </row>
    <row r="187">
      <c r="A187" s="5" t="s">
        <v>838</v>
      </c>
      <c r="B187" s="17" t="s">
        <v>847</v>
      </c>
      <c r="C187" s="40" t="s">
        <v>848</v>
      </c>
      <c r="D187" s="8"/>
      <c r="E187" s="8" t="s">
        <v>116</v>
      </c>
      <c r="F187" s="9">
        <v>5000.0</v>
      </c>
      <c r="G187" s="44"/>
      <c r="H187" s="11" t="s">
        <v>44</v>
      </c>
      <c r="I187" s="41">
        <v>6.295939828E9</v>
      </c>
      <c r="J187" s="11" t="s">
        <v>25</v>
      </c>
      <c r="K187" s="12"/>
      <c r="L187" s="13"/>
      <c r="M187" s="14"/>
      <c r="N187" s="15"/>
      <c r="O187" s="5" t="s">
        <v>26</v>
      </c>
      <c r="P187" s="5" t="s">
        <v>453</v>
      </c>
      <c r="Q187" s="15"/>
      <c r="R187" s="16" t="s">
        <v>28</v>
      </c>
      <c r="S187" s="15"/>
      <c r="T187" s="15"/>
      <c r="U187" s="15"/>
      <c r="V187" s="15"/>
      <c r="W187" s="15"/>
      <c r="X187" s="15"/>
      <c r="Y187" s="15"/>
      <c r="Z187" s="15"/>
      <c r="AA187" s="15"/>
    </row>
    <row r="188">
      <c r="A188" s="5" t="s">
        <v>838</v>
      </c>
      <c r="B188" s="17" t="s">
        <v>849</v>
      </c>
      <c r="C188" s="40" t="s">
        <v>850</v>
      </c>
      <c r="D188" s="8"/>
      <c r="E188" s="8" t="s">
        <v>851</v>
      </c>
      <c r="F188" s="9">
        <v>100.0</v>
      </c>
      <c r="G188" s="18" t="s">
        <v>852</v>
      </c>
      <c r="H188" s="11" t="s">
        <v>44</v>
      </c>
      <c r="I188" s="41">
        <v>7.031451404E9</v>
      </c>
      <c r="J188" s="11" t="s">
        <v>25</v>
      </c>
      <c r="K188" s="12"/>
      <c r="L188" s="13"/>
      <c r="M188" s="14"/>
      <c r="N188" s="15"/>
      <c r="O188" s="5" t="s">
        <v>60</v>
      </c>
      <c r="P188" s="5"/>
      <c r="Q188" s="15"/>
      <c r="R188" s="16" t="s">
        <v>28</v>
      </c>
      <c r="S188" s="15"/>
      <c r="T188" s="15"/>
      <c r="U188" s="15"/>
      <c r="V188" s="15"/>
      <c r="W188" s="15"/>
      <c r="X188" s="15"/>
      <c r="Y188" s="15"/>
      <c r="Z188" s="15"/>
      <c r="AA188" s="15"/>
    </row>
    <row r="189">
      <c r="A189" s="5" t="s">
        <v>853</v>
      </c>
      <c r="B189" s="17" t="s">
        <v>854</v>
      </c>
      <c r="C189" s="40" t="s">
        <v>855</v>
      </c>
      <c r="D189" s="8"/>
      <c r="E189" s="8" t="s">
        <v>326</v>
      </c>
      <c r="F189" s="9">
        <v>1000.0</v>
      </c>
      <c r="G189" s="18" t="s">
        <v>856</v>
      </c>
      <c r="H189" s="11" t="s">
        <v>44</v>
      </c>
      <c r="I189" s="41">
        <v>9.432839203E9</v>
      </c>
      <c r="J189" s="11" t="s">
        <v>25</v>
      </c>
      <c r="K189" s="12"/>
      <c r="L189" s="13"/>
      <c r="M189" s="14"/>
      <c r="N189" s="15"/>
      <c r="O189" s="5" t="s">
        <v>34</v>
      </c>
      <c r="P189" s="5" t="s">
        <v>197</v>
      </c>
      <c r="Q189" s="15"/>
      <c r="R189" s="16" t="s">
        <v>28</v>
      </c>
      <c r="S189" s="15"/>
      <c r="T189" s="15"/>
      <c r="U189" s="15"/>
      <c r="V189" s="15"/>
      <c r="W189" s="15"/>
      <c r="X189" s="15"/>
      <c r="Y189" s="15"/>
      <c r="Z189" s="15"/>
      <c r="AA189" s="15"/>
    </row>
    <row r="190">
      <c r="A190" s="5" t="s">
        <v>853</v>
      </c>
      <c r="B190" s="17" t="s">
        <v>857</v>
      </c>
      <c r="C190" s="40" t="s">
        <v>858</v>
      </c>
      <c r="D190" s="8"/>
      <c r="E190" s="8" t="s">
        <v>130</v>
      </c>
      <c r="F190" s="9">
        <v>500.0</v>
      </c>
      <c r="G190" s="44"/>
      <c r="H190" s="11" t="s">
        <v>184</v>
      </c>
      <c r="I190" s="41">
        <v>8.374068821E9</v>
      </c>
      <c r="J190" s="11" t="s">
        <v>25</v>
      </c>
      <c r="K190" s="12"/>
      <c r="L190" s="13"/>
      <c r="M190" s="14"/>
      <c r="N190" s="15"/>
      <c r="O190" s="5" t="s">
        <v>34</v>
      </c>
      <c r="P190" s="5" t="s">
        <v>197</v>
      </c>
      <c r="Q190" s="15"/>
      <c r="R190" s="16" t="s">
        <v>28</v>
      </c>
      <c r="S190" s="15"/>
      <c r="T190" s="15"/>
      <c r="U190" s="15"/>
      <c r="V190" s="15"/>
      <c r="W190" s="15"/>
      <c r="X190" s="15"/>
      <c r="Y190" s="15"/>
      <c r="Z190" s="15"/>
      <c r="AA190" s="15"/>
    </row>
    <row r="191">
      <c r="A191" s="5" t="s">
        <v>853</v>
      </c>
      <c r="B191" s="17" t="s">
        <v>859</v>
      </c>
      <c r="C191" s="40" t="s">
        <v>860</v>
      </c>
      <c r="D191" s="8"/>
      <c r="E191" s="8" t="s">
        <v>130</v>
      </c>
      <c r="F191" s="9">
        <v>20000.0</v>
      </c>
      <c r="G191" s="19" t="s">
        <v>612</v>
      </c>
      <c r="H191" s="11" t="s">
        <v>184</v>
      </c>
      <c r="I191" s="41">
        <v>9.057580443E9</v>
      </c>
      <c r="J191" s="11" t="s">
        <v>25</v>
      </c>
      <c r="K191" s="12"/>
      <c r="L191" s="13"/>
      <c r="M191" s="14"/>
      <c r="N191" s="15"/>
      <c r="O191" s="5" t="s">
        <v>26</v>
      </c>
      <c r="P191" s="5"/>
      <c r="Q191" s="15"/>
      <c r="R191" s="16" t="s">
        <v>28</v>
      </c>
      <c r="S191" s="15"/>
      <c r="T191" s="15"/>
      <c r="U191" s="15"/>
      <c r="V191" s="15"/>
      <c r="W191" s="15"/>
      <c r="X191" s="15"/>
      <c r="Y191" s="15"/>
      <c r="Z191" s="15"/>
      <c r="AA191" s="15"/>
    </row>
    <row r="192">
      <c r="A192" s="5" t="s">
        <v>853</v>
      </c>
      <c r="B192" s="17" t="s">
        <v>861</v>
      </c>
      <c r="C192" s="40" t="s">
        <v>862</v>
      </c>
      <c r="D192" s="8"/>
      <c r="E192" s="8" t="s">
        <v>863</v>
      </c>
      <c r="F192" s="9">
        <v>200.0</v>
      </c>
      <c r="G192" s="23" t="s">
        <v>864</v>
      </c>
      <c r="H192" s="11" t="s">
        <v>44</v>
      </c>
      <c r="I192" s="41">
        <v>8.910439895E9</v>
      </c>
      <c r="J192" s="11" t="s">
        <v>25</v>
      </c>
      <c r="K192" s="12"/>
      <c r="L192" s="13"/>
      <c r="M192" s="14"/>
      <c r="N192" s="15"/>
      <c r="O192" s="5" t="s">
        <v>34</v>
      </c>
      <c r="P192" s="5" t="s">
        <v>79</v>
      </c>
      <c r="Q192" s="5" t="s">
        <v>55</v>
      </c>
      <c r="R192" s="16" t="s">
        <v>28</v>
      </c>
      <c r="S192" s="15"/>
      <c r="T192" s="15"/>
      <c r="U192" s="15"/>
      <c r="V192" s="15"/>
      <c r="W192" s="15"/>
      <c r="X192" s="15"/>
      <c r="Y192" s="15"/>
      <c r="Z192" s="15"/>
      <c r="AA192" s="15"/>
    </row>
    <row r="193">
      <c r="A193" s="5" t="s">
        <v>865</v>
      </c>
      <c r="B193" s="17" t="s">
        <v>866</v>
      </c>
      <c r="C193" s="40" t="s">
        <v>867</v>
      </c>
      <c r="D193" s="8"/>
      <c r="E193" s="8" t="s">
        <v>868</v>
      </c>
      <c r="F193" s="9">
        <v>3200.0</v>
      </c>
      <c r="G193" s="44"/>
      <c r="H193" s="11" t="s">
        <v>869</v>
      </c>
      <c r="I193" s="41">
        <v>9.368374147E9</v>
      </c>
      <c r="J193" s="11" t="s">
        <v>25</v>
      </c>
      <c r="K193" s="12"/>
      <c r="L193" s="13"/>
      <c r="M193" s="14"/>
      <c r="N193" s="15"/>
      <c r="O193" s="5" t="s">
        <v>34</v>
      </c>
      <c r="P193" s="11" t="s">
        <v>292</v>
      </c>
      <c r="Q193" s="15"/>
      <c r="R193" s="16" t="s">
        <v>634</v>
      </c>
      <c r="S193" s="15"/>
      <c r="T193" s="15"/>
      <c r="U193" s="15"/>
      <c r="V193" s="15"/>
      <c r="W193" s="15"/>
      <c r="X193" s="15"/>
      <c r="Y193" s="15"/>
      <c r="Z193" s="15"/>
      <c r="AA193" s="15"/>
    </row>
    <row r="194">
      <c r="A194" s="5" t="s">
        <v>865</v>
      </c>
      <c r="B194" s="17" t="s">
        <v>870</v>
      </c>
      <c r="C194" s="40" t="s">
        <v>871</v>
      </c>
      <c r="D194" s="8"/>
      <c r="E194" s="8" t="s">
        <v>872</v>
      </c>
      <c r="F194" s="9">
        <v>500.0</v>
      </c>
      <c r="G194" s="18" t="s">
        <v>873</v>
      </c>
      <c r="H194" s="11" t="s">
        <v>184</v>
      </c>
      <c r="I194" s="41">
        <v>9.38636972E9</v>
      </c>
      <c r="J194" s="11" t="s">
        <v>25</v>
      </c>
      <c r="K194" s="12"/>
      <c r="L194" s="13"/>
      <c r="M194" s="14"/>
      <c r="N194" s="15"/>
      <c r="O194" s="5" t="s">
        <v>34</v>
      </c>
      <c r="P194" s="5" t="s">
        <v>209</v>
      </c>
      <c r="Q194" s="15"/>
      <c r="R194" s="16" t="s">
        <v>28</v>
      </c>
      <c r="S194" s="15"/>
      <c r="T194" s="15"/>
      <c r="U194" s="15"/>
      <c r="V194" s="15"/>
      <c r="W194" s="15"/>
      <c r="X194" s="15"/>
      <c r="Y194" s="15"/>
      <c r="Z194" s="15"/>
      <c r="AA194" s="15"/>
    </row>
    <row r="195">
      <c r="A195" s="5" t="s">
        <v>865</v>
      </c>
      <c r="B195" s="17" t="s">
        <v>874</v>
      </c>
      <c r="C195" s="40" t="s">
        <v>875</v>
      </c>
      <c r="D195" s="8"/>
      <c r="E195" s="8" t="s">
        <v>116</v>
      </c>
      <c r="F195" s="9">
        <v>5000.0</v>
      </c>
      <c r="G195" s="44"/>
      <c r="H195" s="11" t="s">
        <v>44</v>
      </c>
      <c r="I195" s="41">
        <v>7.894427184E9</v>
      </c>
      <c r="J195" s="11" t="s">
        <v>25</v>
      </c>
      <c r="K195" s="12"/>
      <c r="L195" s="13"/>
      <c r="M195" s="14"/>
      <c r="N195" s="15"/>
      <c r="O195" s="5" t="s">
        <v>26</v>
      </c>
      <c r="P195" s="5" t="s">
        <v>876</v>
      </c>
      <c r="Q195" s="15"/>
      <c r="R195" s="16" t="s">
        <v>28</v>
      </c>
      <c r="S195" s="15"/>
      <c r="T195" s="15"/>
      <c r="U195" s="15"/>
      <c r="V195" s="15"/>
      <c r="W195" s="15"/>
      <c r="X195" s="15"/>
      <c r="Y195" s="15"/>
      <c r="Z195" s="15"/>
      <c r="AA195" s="15"/>
    </row>
    <row r="196">
      <c r="A196" s="5" t="s">
        <v>865</v>
      </c>
      <c r="B196" s="17" t="s">
        <v>877</v>
      </c>
      <c r="C196" s="40" t="s">
        <v>878</v>
      </c>
      <c r="D196" s="8"/>
      <c r="E196" s="8" t="s">
        <v>92</v>
      </c>
      <c r="F196" s="9">
        <v>100.0</v>
      </c>
      <c r="G196" s="18" t="s">
        <v>879</v>
      </c>
      <c r="H196" s="11" t="s">
        <v>44</v>
      </c>
      <c r="I196" s="41">
        <v>9.732871939E9</v>
      </c>
      <c r="J196" s="11" t="s">
        <v>25</v>
      </c>
      <c r="K196" s="12"/>
      <c r="L196" s="13"/>
      <c r="M196" s="14"/>
      <c r="N196" s="15"/>
      <c r="O196" s="5" t="s">
        <v>60</v>
      </c>
      <c r="P196" s="5"/>
      <c r="Q196" s="15"/>
      <c r="R196" s="16" t="s">
        <v>28</v>
      </c>
      <c r="S196" s="15"/>
      <c r="T196" s="15"/>
      <c r="U196" s="15"/>
      <c r="V196" s="15"/>
      <c r="W196" s="15"/>
      <c r="X196" s="15"/>
      <c r="Y196" s="15"/>
      <c r="Z196" s="15"/>
      <c r="AA196" s="15"/>
    </row>
    <row r="197">
      <c r="A197" s="5" t="s">
        <v>880</v>
      </c>
      <c r="B197" s="17" t="s">
        <v>881</v>
      </c>
      <c r="C197" s="40" t="s">
        <v>882</v>
      </c>
      <c r="D197" s="8"/>
      <c r="E197" s="8" t="s">
        <v>794</v>
      </c>
      <c r="F197" s="9">
        <v>1000.0</v>
      </c>
      <c r="G197" s="18" t="s">
        <v>883</v>
      </c>
      <c r="H197" s="11" t="s">
        <v>44</v>
      </c>
      <c r="I197" s="41">
        <v>9.051379331E9</v>
      </c>
      <c r="J197" s="11" t="s">
        <v>25</v>
      </c>
      <c r="K197" s="12"/>
      <c r="L197" s="13"/>
      <c r="M197" s="14"/>
      <c r="N197" s="15"/>
      <c r="O197" s="5" t="s">
        <v>26</v>
      </c>
      <c r="P197" s="5" t="s">
        <v>844</v>
      </c>
      <c r="Q197" s="15"/>
      <c r="R197" s="16" t="s">
        <v>28</v>
      </c>
      <c r="S197" s="15"/>
      <c r="T197" s="15"/>
      <c r="U197" s="15"/>
      <c r="V197" s="15"/>
      <c r="W197" s="15"/>
      <c r="X197" s="15"/>
      <c r="Y197" s="15"/>
      <c r="Z197" s="15"/>
      <c r="AA197" s="15"/>
    </row>
    <row r="198">
      <c r="A198" s="5" t="s">
        <v>880</v>
      </c>
      <c r="B198" s="17" t="s">
        <v>884</v>
      </c>
      <c r="C198" s="40" t="s">
        <v>885</v>
      </c>
      <c r="D198" s="8"/>
      <c r="E198" s="8" t="s">
        <v>63</v>
      </c>
      <c r="F198" s="9">
        <v>15000.0</v>
      </c>
      <c r="G198" s="18" t="s">
        <v>886</v>
      </c>
      <c r="H198" s="11" t="s">
        <v>44</v>
      </c>
      <c r="I198" s="41">
        <v>7.908096752E9</v>
      </c>
      <c r="J198" s="11" t="s">
        <v>25</v>
      </c>
      <c r="K198" s="12"/>
      <c r="L198" s="13"/>
      <c r="M198" s="14"/>
      <c r="N198" s="15"/>
      <c r="O198" s="5" t="s">
        <v>34</v>
      </c>
      <c r="P198" s="5" t="s">
        <v>185</v>
      </c>
      <c r="Q198" s="15"/>
      <c r="R198" s="16" t="s">
        <v>28</v>
      </c>
      <c r="S198" s="15"/>
      <c r="T198" s="15"/>
      <c r="U198" s="15"/>
      <c r="V198" s="15"/>
      <c r="W198" s="15"/>
      <c r="X198" s="15"/>
      <c r="Y198" s="15"/>
      <c r="Z198" s="15"/>
      <c r="AA198" s="15"/>
    </row>
    <row r="199">
      <c r="A199" s="5" t="s">
        <v>880</v>
      </c>
      <c r="B199" s="17" t="s">
        <v>887</v>
      </c>
      <c r="C199" s="40" t="s">
        <v>888</v>
      </c>
      <c r="D199" s="8"/>
      <c r="E199" s="8" t="s">
        <v>63</v>
      </c>
      <c r="F199" s="9">
        <v>2000.0</v>
      </c>
      <c r="G199" s="18" t="s">
        <v>889</v>
      </c>
      <c r="H199" s="11" t="s">
        <v>44</v>
      </c>
      <c r="I199" s="41">
        <v>9.073224476E9</v>
      </c>
      <c r="J199" s="11" t="s">
        <v>25</v>
      </c>
      <c r="K199" s="12" t="s">
        <v>890</v>
      </c>
      <c r="L199" s="13"/>
      <c r="M199" s="14"/>
      <c r="N199" s="15"/>
      <c r="O199" s="5" t="s">
        <v>26</v>
      </c>
      <c r="P199" s="5" t="s">
        <v>453</v>
      </c>
      <c r="Q199" s="15"/>
      <c r="R199" s="16" t="s">
        <v>28</v>
      </c>
      <c r="S199" s="15"/>
      <c r="T199" s="15"/>
      <c r="U199" s="15"/>
      <c r="V199" s="15"/>
      <c r="W199" s="15"/>
      <c r="X199" s="15"/>
      <c r="Y199" s="15"/>
      <c r="Z199" s="15"/>
      <c r="AA199" s="15"/>
    </row>
    <row r="200">
      <c r="A200" s="5" t="s">
        <v>891</v>
      </c>
      <c r="B200" s="17" t="s">
        <v>892</v>
      </c>
      <c r="C200" s="40" t="s">
        <v>893</v>
      </c>
      <c r="D200" s="8"/>
      <c r="E200" s="8" t="s">
        <v>894</v>
      </c>
      <c r="F200" s="9">
        <v>800.0</v>
      </c>
      <c r="G200" s="18" t="s">
        <v>895</v>
      </c>
      <c r="H200" s="11" t="s">
        <v>99</v>
      </c>
      <c r="I200" s="41">
        <v>7.853006292E9</v>
      </c>
      <c r="J200" s="11" t="s">
        <v>25</v>
      </c>
      <c r="K200" s="12"/>
      <c r="L200" s="13"/>
      <c r="M200" s="14"/>
      <c r="N200" s="15"/>
      <c r="O200" s="5" t="s">
        <v>34</v>
      </c>
      <c r="P200" s="5" t="s">
        <v>896</v>
      </c>
      <c r="Q200" s="15"/>
      <c r="R200" s="16" t="s">
        <v>28</v>
      </c>
      <c r="S200" s="15"/>
      <c r="T200" s="15"/>
      <c r="U200" s="15"/>
      <c r="V200" s="15"/>
      <c r="W200" s="15"/>
      <c r="X200" s="15"/>
      <c r="Y200" s="15"/>
      <c r="Z200" s="15"/>
      <c r="AA200" s="15"/>
    </row>
    <row r="201">
      <c r="A201" s="5" t="s">
        <v>897</v>
      </c>
      <c r="B201" s="17" t="s">
        <v>898</v>
      </c>
      <c r="C201" s="40" t="s">
        <v>899</v>
      </c>
      <c r="D201" s="8"/>
      <c r="E201" s="8" t="s">
        <v>156</v>
      </c>
      <c r="F201" s="9">
        <v>10000.0</v>
      </c>
      <c r="G201" s="42" t="s">
        <v>900</v>
      </c>
      <c r="H201" s="11" t="s">
        <v>44</v>
      </c>
      <c r="I201" s="41">
        <v>9.339736469E9</v>
      </c>
      <c r="J201" s="11" t="s">
        <v>25</v>
      </c>
      <c r="K201" s="12"/>
      <c r="L201" s="13"/>
      <c r="M201" s="14"/>
      <c r="N201" s="15"/>
      <c r="O201" s="5" t="s">
        <v>34</v>
      </c>
      <c r="P201" s="11" t="s">
        <v>901</v>
      </c>
      <c r="Q201" s="15"/>
      <c r="R201" s="16" t="s">
        <v>28</v>
      </c>
      <c r="S201" s="15"/>
      <c r="T201" s="15"/>
      <c r="U201" s="15"/>
      <c r="V201" s="15"/>
      <c r="W201" s="15"/>
      <c r="X201" s="15"/>
      <c r="Y201" s="15"/>
      <c r="Z201" s="15"/>
      <c r="AA201" s="15"/>
    </row>
    <row r="202">
      <c r="A202" s="5" t="s">
        <v>902</v>
      </c>
      <c r="B202" s="17" t="s">
        <v>903</v>
      </c>
      <c r="C202" s="40" t="s">
        <v>904</v>
      </c>
      <c r="D202" s="8"/>
      <c r="E202" s="8" t="s">
        <v>83</v>
      </c>
      <c r="F202" s="9">
        <v>5000.0</v>
      </c>
      <c r="G202" s="42" t="s">
        <v>905</v>
      </c>
      <c r="H202" s="11" t="s">
        <v>906</v>
      </c>
      <c r="I202" s="41">
        <v>9.990059136E9</v>
      </c>
      <c r="J202" s="11" t="s">
        <v>25</v>
      </c>
      <c r="K202" s="12"/>
      <c r="L202" s="13"/>
      <c r="M202" s="14"/>
      <c r="N202" s="15"/>
      <c r="O202" s="5" t="s">
        <v>108</v>
      </c>
      <c r="P202" s="5" t="s">
        <v>907</v>
      </c>
      <c r="Q202" s="15"/>
      <c r="R202" s="16" t="s">
        <v>28</v>
      </c>
      <c r="S202" s="15"/>
      <c r="T202" s="15"/>
      <c r="U202" s="15"/>
      <c r="V202" s="15"/>
      <c r="W202" s="15"/>
      <c r="X202" s="15"/>
      <c r="Y202" s="15"/>
      <c r="Z202" s="15"/>
      <c r="AA202" s="15"/>
    </row>
    <row r="203">
      <c r="A203" s="5" t="s">
        <v>902</v>
      </c>
      <c r="B203" s="17" t="s">
        <v>908</v>
      </c>
      <c r="C203" s="40" t="s">
        <v>909</v>
      </c>
      <c r="D203" s="8"/>
      <c r="E203" s="8" t="s">
        <v>130</v>
      </c>
      <c r="F203" s="9">
        <v>3000.0</v>
      </c>
      <c r="G203" s="19" t="s">
        <v>910</v>
      </c>
      <c r="H203" s="11" t="s">
        <v>44</v>
      </c>
      <c r="I203" s="41">
        <v>6.289249297E9</v>
      </c>
      <c r="J203" s="11" t="s">
        <v>25</v>
      </c>
      <c r="K203" s="12"/>
      <c r="L203" s="13"/>
      <c r="M203" s="14"/>
      <c r="N203" s="15"/>
      <c r="O203" s="5" t="s">
        <v>34</v>
      </c>
      <c r="P203" s="5" t="s">
        <v>707</v>
      </c>
      <c r="Q203" s="15"/>
      <c r="R203" s="16" t="s">
        <v>28</v>
      </c>
      <c r="S203" s="15"/>
      <c r="T203" s="15"/>
      <c r="U203" s="15"/>
      <c r="V203" s="15"/>
      <c r="W203" s="15"/>
      <c r="X203" s="15"/>
      <c r="Y203" s="15"/>
      <c r="Z203" s="15"/>
      <c r="AA203" s="15"/>
    </row>
    <row r="204">
      <c r="A204" s="5" t="s">
        <v>911</v>
      </c>
      <c r="B204" s="17" t="s">
        <v>912</v>
      </c>
      <c r="C204" s="40" t="s">
        <v>913</v>
      </c>
      <c r="D204" s="8"/>
      <c r="E204" s="8" t="s">
        <v>914</v>
      </c>
      <c r="F204" s="9">
        <v>10000.0</v>
      </c>
      <c r="G204" s="47" t="s">
        <v>915</v>
      </c>
      <c r="H204" s="11" t="s">
        <v>44</v>
      </c>
      <c r="I204" s="41">
        <v>9.830007027E9</v>
      </c>
      <c r="J204" s="11" t="s">
        <v>25</v>
      </c>
      <c r="K204" s="12"/>
      <c r="L204" s="13"/>
      <c r="M204" s="14"/>
      <c r="N204" s="15"/>
      <c r="O204" s="5" t="s">
        <v>34</v>
      </c>
      <c r="P204" s="5" t="s">
        <v>916</v>
      </c>
      <c r="Q204" s="15"/>
      <c r="R204" s="16" t="s">
        <v>28</v>
      </c>
      <c r="S204" s="15"/>
      <c r="T204" s="15"/>
      <c r="U204" s="15"/>
      <c r="V204" s="15"/>
      <c r="W204" s="15"/>
      <c r="X204" s="15"/>
      <c r="Y204" s="15"/>
      <c r="Z204" s="15"/>
      <c r="AA204" s="15"/>
    </row>
    <row r="205">
      <c r="A205" s="5" t="s">
        <v>911</v>
      </c>
      <c r="B205" s="17" t="s">
        <v>917</v>
      </c>
      <c r="C205" s="40" t="s">
        <v>918</v>
      </c>
      <c r="D205" s="8"/>
      <c r="E205" s="8" t="s">
        <v>919</v>
      </c>
      <c r="F205" s="9">
        <v>5000.0</v>
      </c>
      <c r="G205" s="18" t="s">
        <v>920</v>
      </c>
      <c r="H205" s="11" t="s">
        <v>107</v>
      </c>
      <c r="I205" s="41">
        <v>9.213171998E9</v>
      </c>
      <c r="J205" s="11" t="s">
        <v>25</v>
      </c>
      <c r="K205" s="12"/>
      <c r="L205" s="13"/>
      <c r="M205" s="14"/>
      <c r="N205" s="15"/>
      <c r="O205" s="5" t="s">
        <v>108</v>
      </c>
      <c r="P205" s="5" t="s">
        <v>921</v>
      </c>
      <c r="Q205" s="15"/>
      <c r="R205" s="16" t="s">
        <v>28</v>
      </c>
      <c r="S205" s="15"/>
      <c r="T205" s="15"/>
      <c r="U205" s="15"/>
      <c r="V205" s="15"/>
      <c r="W205" s="15"/>
      <c r="X205" s="15"/>
      <c r="Y205" s="15"/>
      <c r="Z205" s="15"/>
      <c r="AA205" s="15"/>
    </row>
    <row r="206">
      <c r="A206" s="5" t="s">
        <v>911</v>
      </c>
      <c r="B206" s="17" t="s">
        <v>922</v>
      </c>
      <c r="C206" s="40" t="s">
        <v>923</v>
      </c>
      <c r="D206" s="8"/>
      <c r="E206" s="8" t="s">
        <v>31</v>
      </c>
      <c r="F206" s="9">
        <v>4000.0</v>
      </c>
      <c r="G206" s="18" t="s">
        <v>924</v>
      </c>
      <c r="H206" s="11" t="s">
        <v>158</v>
      </c>
      <c r="I206" s="41">
        <v>9.331322777E9</v>
      </c>
      <c r="J206" s="11" t="s">
        <v>25</v>
      </c>
      <c r="K206" s="12"/>
      <c r="L206" s="13"/>
      <c r="M206" s="14"/>
      <c r="N206" s="15"/>
      <c r="O206" s="5" t="s">
        <v>34</v>
      </c>
      <c r="P206" s="5" t="s">
        <v>925</v>
      </c>
      <c r="Q206" s="15"/>
      <c r="R206" s="16" t="s">
        <v>723</v>
      </c>
      <c r="S206" s="15"/>
      <c r="T206" s="15"/>
      <c r="U206" s="15"/>
      <c r="V206" s="15"/>
      <c r="W206" s="15"/>
      <c r="X206" s="15"/>
      <c r="Y206" s="15"/>
      <c r="Z206" s="15"/>
      <c r="AA206" s="15"/>
    </row>
    <row r="207">
      <c r="A207" s="5" t="s">
        <v>911</v>
      </c>
      <c r="B207" s="17" t="s">
        <v>926</v>
      </c>
      <c r="C207" s="40" t="s">
        <v>927</v>
      </c>
      <c r="D207" s="8"/>
      <c r="E207" s="8" t="s">
        <v>928</v>
      </c>
      <c r="F207" s="9">
        <v>15000.0</v>
      </c>
      <c r="G207" s="18" t="s">
        <v>929</v>
      </c>
      <c r="H207" s="11" t="s">
        <v>930</v>
      </c>
      <c r="I207" s="41">
        <v>9.666900855E9</v>
      </c>
      <c r="J207" s="11" t="s">
        <v>25</v>
      </c>
      <c r="K207" s="12"/>
      <c r="L207" s="13"/>
      <c r="M207" s="14"/>
      <c r="N207" s="15"/>
      <c r="O207" s="5" t="s">
        <v>108</v>
      </c>
      <c r="P207" s="5" t="s">
        <v>931</v>
      </c>
      <c r="Q207" s="15"/>
      <c r="R207" s="16" t="s">
        <v>28</v>
      </c>
      <c r="S207" s="15"/>
      <c r="T207" s="15"/>
      <c r="U207" s="15"/>
      <c r="V207" s="15"/>
      <c r="W207" s="15"/>
      <c r="X207" s="15"/>
      <c r="Y207" s="15"/>
      <c r="Z207" s="15"/>
      <c r="AA207" s="15"/>
    </row>
    <row r="208">
      <c r="A208" s="5" t="s">
        <v>932</v>
      </c>
      <c r="B208" s="17" t="s">
        <v>933</v>
      </c>
      <c r="C208" s="40" t="s">
        <v>934</v>
      </c>
      <c r="D208" s="8"/>
      <c r="E208" s="8" t="s">
        <v>31</v>
      </c>
      <c r="F208" s="9">
        <v>30000.0</v>
      </c>
      <c r="G208" s="44" t="s">
        <v>935</v>
      </c>
      <c r="H208" s="11" t="s">
        <v>936</v>
      </c>
      <c r="I208" s="41">
        <v>9.937748357E9</v>
      </c>
      <c r="J208" s="11" t="s">
        <v>25</v>
      </c>
      <c r="K208" s="12"/>
      <c r="L208" s="13"/>
      <c r="M208" s="14"/>
      <c r="N208" s="15"/>
      <c r="O208" s="5" t="s">
        <v>34</v>
      </c>
      <c r="P208" s="5" t="s">
        <v>185</v>
      </c>
      <c r="Q208" s="5" t="s">
        <v>937</v>
      </c>
      <c r="R208" s="16" t="s">
        <v>28</v>
      </c>
      <c r="S208" s="15"/>
      <c r="T208" s="15"/>
      <c r="U208" s="15"/>
      <c r="V208" s="15"/>
      <c r="W208" s="15"/>
      <c r="X208" s="15"/>
      <c r="Y208" s="15"/>
      <c r="Z208" s="15"/>
      <c r="AA208" s="15"/>
    </row>
    <row r="209">
      <c r="A209" s="5" t="s">
        <v>932</v>
      </c>
      <c r="B209" s="17" t="s">
        <v>938</v>
      </c>
      <c r="C209" s="40" t="s">
        <v>939</v>
      </c>
      <c r="D209" s="8"/>
      <c r="E209" s="8" t="s">
        <v>116</v>
      </c>
      <c r="F209" s="9">
        <v>2000.0</v>
      </c>
      <c r="G209" s="18" t="s">
        <v>940</v>
      </c>
      <c r="H209" s="11" t="s">
        <v>44</v>
      </c>
      <c r="I209" s="41">
        <v>9.831195309E9</v>
      </c>
      <c r="J209" s="11" t="s">
        <v>25</v>
      </c>
      <c r="K209" s="12"/>
      <c r="L209" s="13"/>
      <c r="M209" s="14"/>
      <c r="N209" s="15"/>
      <c r="O209" s="5" t="s">
        <v>26</v>
      </c>
      <c r="P209" s="5"/>
      <c r="Q209" s="15"/>
      <c r="R209" s="16" t="s">
        <v>28</v>
      </c>
      <c r="S209" s="15"/>
      <c r="T209" s="15"/>
      <c r="U209" s="15"/>
      <c r="V209" s="15"/>
      <c r="W209" s="15"/>
      <c r="X209" s="15"/>
      <c r="Y209" s="15"/>
      <c r="Z209" s="15"/>
      <c r="AA209" s="15"/>
    </row>
    <row r="210">
      <c r="A210" s="5" t="s">
        <v>932</v>
      </c>
      <c r="B210" s="17" t="s">
        <v>941</v>
      </c>
      <c r="C210" s="40" t="s">
        <v>942</v>
      </c>
      <c r="D210" s="8"/>
      <c r="E210" s="8" t="s">
        <v>943</v>
      </c>
      <c r="F210" s="9">
        <v>500.0</v>
      </c>
      <c r="G210" s="18" t="s">
        <v>944</v>
      </c>
      <c r="H210" s="11" t="s">
        <v>44</v>
      </c>
      <c r="I210" s="41">
        <v>7.044991952E9</v>
      </c>
      <c r="J210" s="11" t="s">
        <v>25</v>
      </c>
      <c r="K210" s="12"/>
      <c r="L210" s="13"/>
      <c r="M210" s="14"/>
      <c r="N210" s="15"/>
      <c r="O210" s="5" t="s">
        <v>60</v>
      </c>
      <c r="P210" s="5"/>
      <c r="Q210" s="15"/>
      <c r="R210" s="16" t="s">
        <v>28</v>
      </c>
      <c r="S210" s="15"/>
      <c r="T210" s="15"/>
      <c r="U210" s="15"/>
      <c r="V210" s="15"/>
      <c r="W210" s="15"/>
      <c r="X210" s="15"/>
      <c r="Y210" s="15"/>
      <c r="Z210" s="15"/>
      <c r="AA210" s="15"/>
    </row>
    <row r="211">
      <c r="A211" s="5" t="s">
        <v>932</v>
      </c>
      <c r="B211" s="17" t="s">
        <v>945</v>
      </c>
      <c r="C211" s="40" t="s">
        <v>946</v>
      </c>
      <c r="D211" s="8"/>
      <c r="E211" s="8" t="s">
        <v>22</v>
      </c>
      <c r="F211" s="9">
        <v>10000.0</v>
      </c>
      <c r="G211" s="18" t="s">
        <v>947</v>
      </c>
      <c r="H211" s="11" t="s">
        <v>495</v>
      </c>
      <c r="I211" s="41">
        <v>9.128215339E9</v>
      </c>
      <c r="J211" s="11" t="s">
        <v>25</v>
      </c>
      <c r="K211" s="12"/>
      <c r="L211" s="13"/>
      <c r="M211" s="14"/>
      <c r="N211" s="15"/>
      <c r="O211" s="5" t="s">
        <v>60</v>
      </c>
      <c r="P211" s="5"/>
      <c r="Q211" s="15"/>
      <c r="R211" s="16" t="s">
        <v>28</v>
      </c>
      <c r="S211" s="15"/>
      <c r="T211" s="15"/>
      <c r="U211" s="15"/>
      <c r="V211" s="15"/>
      <c r="W211" s="15"/>
      <c r="X211" s="15"/>
      <c r="Y211" s="15"/>
      <c r="Z211" s="15"/>
      <c r="AA211" s="15"/>
    </row>
    <row r="212">
      <c r="A212" s="5" t="s">
        <v>948</v>
      </c>
      <c r="B212" s="17" t="s">
        <v>949</v>
      </c>
      <c r="C212" s="40" t="s">
        <v>950</v>
      </c>
      <c r="D212" s="8"/>
      <c r="E212" s="8" t="s">
        <v>951</v>
      </c>
      <c r="F212" s="9">
        <v>1000.0</v>
      </c>
      <c r="G212" s="18" t="s">
        <v>952</v>
      </c>
      <c r="H212" s="11" t="s">
        <v>507</v>
      </c>
      <c r="I212" s="41">
        <v>9.892709352E9</v>
      </c>
      <c r="J212" s="11" t="s">
        <v>25</v>
      </c>
      <c r="K212" s="12"/>
      <c r="L212" s="13"/>
      <c r="M212" s="14"/>
      <c r="N212" s="15"/>
      <c r="O212" s="5" t="s">
        <v>108</v>
      </c>
      <c r="P212" s="5" t="s">
        <v>953</v>
      </c>
      <c r="Q212" s="15"/>
      <c r="R212" s="16" t="s">
        <v>28</v>
      </c>
      <c r="S212" s="15"/>
      <c r="T212" s="15"/>
      <c r="U212" s="15"/>
      <c r="V212" s="15"/>
      <c r="W212" s="15"/>
      <c r="X212" s="15"/>
      <c r="Y212" s="15"/>
      <c r="Z212" s="15"/>
      <c r="AA212" s="15"/>
    </row>
    <row r="213">
      <c r="A213" s="5" t="s">
        <v>954</v>
      </c>
      <c r="B213" s="17" t="s">
        <v>955</v>
      </c>
      <c r="C213" s="40" t="s">
        <v>956</v>
      </c>
      <c r="D213" s="8"/>
      <c r="E213" s="8" t="s">
        <v>130</v>
      </c>
      <c r="F213" s="9">
        <v>4000.0</v>
      </c>
      <c r="G213" s="44"/>
      <c r="H213" s="11" t="s">
        <v>495</v>
      </c>
      <c r="I213" s="41">
        <v>9.304131665E9</v>
      </c>
      <c r="J213" s="11" t="s">
        <v>25</v>
      </c>
      <c r="K213" s="12"/>
      <c r="L213" s="13"/>
      <c r="M213" s="14"/>
      <c r="N213" s="15"/>
      <c r="O213" s="5" t="s">
        <v>34</v>
      </c>
      <c r="P213" s="5" t="s">
        <v>957</v>
      </c>
      <c r="Q213" s="15"/>
      <c r="R213" s="16" t="s">
        <v>28</v>
      </c>
      <c r="S213" s="15"/>
      <c r="T213" s="15"/>
      <c r="U213" s="15"/>
      <c r="V213" s="15"/>
      <c r="W213" s="15"/>
      <c r="X213" s="15"/>
      <c r="Y213" s="15"/>
      <c r="Z213" s="15"/>
      <c r="AA213" s="15"/>
    </row>
    <row r="214">
      <c r="A214" s="5" t="s">
        <v>954</v>
      </c>
      <c r="B214" s="17" t="s">
        <v>958</v>
      </c>
      <c r="C214" s="40" t="s">
        <v>959</v>
      </c>
      <c r="D214" s="8"/>
      <c r="E214" s="8" t="s">
        <v>960</v>
      </c>
      <c r="F214" s="9">
        <v>400.0</v>
      </c>
      <c r="G214" s="18" t="s">
        <v>961</v>
      </c>
      <c r="H214" s="11" t="s">
        <v>131</v>
      </c>
      <c r="I214" s="41">
        <v>7.408499461E9</v>
      </c>
      <c r="J214" s="11" t="s">
        <v>25</v>
      </c>
      <c r="K214" s="12"/>
      <c r="L214" s="13"/>
      <c r="M214" s="14"/>
      <c r="N214" s="15"/>
      <c r="O214" s="5" t="s">
        <v>34</v>
      </c>
      <c r="P214" s="5" t="s">
        <v>185</v>
      </c>
      <c r="Q214" s="15"/>
      <c r="R214" s="16" t="s">
        <v>28</v>
      </c>
      <c r="S214" s="15"/>
      <c r="T214" s="15"/>
      <c r="U214" s="15"/>
      <c r="V214" s="15"/>
      <c r="W214" s="15"/>
      <c r="X214" s="15"/>
      <c r="Y214" s="15"/>
      <c r="Z214" s="15"/>
      <c r="AA214" s="15"/>
    </row>
    <row r="215">
      <c r="A215" s="5" t="s">
        <v>954</v>
      </c>
      <c r="B215" s="17" t="s">
        <v>962</v>
      </c>
      <c r="C215" s="40" t="s">
        <v>963</v>
      </c>
      <c r="D215" s="8"/>
      <c r="E215" s="8" t="s">
        <v>130</v>
      </c>
      <c r="F215" s="9">
        <v>5000.0</v>
      </c>
      <c r="G215" s="18" t="s">
        <v>964</v>
      </c>
      <c r="H215" s="11" t="s">
        <v>965</v>
      </c>
      <c r="I215" s="41">
        <v>9.095668844E9</v>
      </c>
      <c r="J215" s="11" t="s">
        <v>25</v>
      </c>
      <c r="K215" s="12"/>
      <c r="L215" s="13"/>
      <c r="M215" s="14"/>
      <c r="N215" s="15"/>
      <c r="O215" s="5" t="s">
        <v>108</v>
      </c>
      <c r="P215" s="5"/>
      <c r="Q215" s="15"/>
      <c r="R215" s="16" t="s">
        <v>28</v>
      </c>
      <c r="S215" s="15"/>
      <c r="T215" s="15"/>
      <c r="U215" s="15"/>
      <c r="V215" s="15"/>
      <c r="W215" s="15"/>
      <c r="X215" s="15"/>
      <c r="Y215" s="15"/>
      <c r="Z215" s="15"/>
      <c r="AA215" s="15"/>
    </row>
    <row r="216">
      <c r="A216" s="5" t="s">
        <v>966</v>
      </c>
      <c r="B216" s="17" t="s">
        <v>967</v>
      </c>
      <c r="C216" s="40" t="s">
        <v>968</v>
      </c>
      <c r="D216" s="8"/>
      <c r="E216" s="8" t="s">
        <v>207</v>
      </c>
      <c r="F216" s="9">
        <v>10000.0</v>
      </c>
      <c r="G216" s="44"/>
      <c r="H216" s="11" t="s">
        <v>44</v>
      </c>
      <c r="I216" s="41">
        <v>9.631221883E9</v>
      </c>
      <c r="J216" s="11" t="s">
        <v>25</v>
      </c>
      <c r="K216" s="12"/>
      <c r="L216" s="13"/>
      <c r="M216" s="14"/>
      <c r="N216" s="15"/>
      <c r="O216" s="5" t="s">
        <v>26</v>
      </c>
      <c r="P216" s="5"/>
      <c r="Q216" s="15"/>
      <c r="R216" s="16" t="s">
        <v>28</v>
      </c>
      <c r="S216" s="15"/>
      <c r="T216" s="15"/>
      <c r="U216" s="15"/>
      <c r="V216" s="15"/>
      <c r="W216" s="15"/>
      <c r="X216" s="15"/>
      <c r="Y216" s="15"/>
      <c r="Z216" s="15"/>
      <c r="AA216" s="15"/>
    </row>
    <row r="217">
      <c r="A217" s="5" t="s">
        <v>966</v>
      </c>
      <c r="B217" s="17" t="s">
        <v>969</v>
      </c>
      <c r="C217" s="40" t="s">
        <v>970</v>
      </c>
      <c r="D217" s="8"/>
      <c r="E217" s="8" t="s">
        <v>971</v>
      </c>
      <c r="F217" s="9">
        <v>7200.0</v>
      </c>
      <c r="G217" s="18" t="s">
        <v>972</v>
      </c>
      <c r="H217" s="24" t="s">
        <v>467</v>
      </c>
      <c r="I217" s="41">
        <v>9.415103168E9</v>
      </c>
      <c r="J217" s="11" t="s">
        <v>25</v>
      </c>
      <c r="K217" s="12"/>
      <c r="L217" s="13"/>
      <c r="M217" s="14"/>
      <c r="N217" s="15"/>
      <c r="O217" s="5" t="s">
        <v>108</v>
      </c>
      <c r="P217" s="5" t="s">
        <v>973</v>
      </c>
      <c r="Q217" s="15"/>
      <c r="R217" s="16" t="s">
        <v>28</v>
      </c>
      <c r="S217" s="15"/>
      <c r="T217" s="15"/>
      <c r="U217" s="15"/>
      <c r="V217" s="15"/>
      <c r="W217" s="15"/>
      <c r="X217" s="15"/>
      <c r="Y217" s="15"/>
      <c r="Z217" s="15"/>
      <c r="AA217" s="15"/>
    </row>
    <row r="218">
      <c r="A218" s="5" t="s">
        <v>966</v>
      </c>
      <c r="B218" s="17" t="s">
        <v>974</v>
      </c>
      <c r="C218" s="40" t="s">
        <v>975</v>
      </c>
      <c r="D218" s="8"/>
      <c r="E218" s="8" t="s">
        <v>222</v>
      </c>
      <c r="F218" s="9">
        <v>5000.0</v>
      </c>
      <c r="G218" s="44" t="s">
        <v>976</v>
      </c>
      <c r="H218" s="11" t="s">
        <v>977</v>
      </c>
      <c r="I218" s="41">
        <v>7.463016056E9</v>
      </c>
      <c r="J218" s="11" t="s">
        <v>25</v>
      </c>
      <c r="K218" s="12"/>
      <c r="L218" s="13"/>
      <c r="M218" s="14"/>
      <c r="N218" s="15"/>
      <c r="O218" s="5" t="s">
        <v>34</v>
      </c>
      <c r="P218" s="5" t="s">
        <v>707</v>
      </c>
      <c r="Q218" s="15"/>
      <c r="R218" s="16" t="s">
        <v>634</v>
      </c>
      <c r="S218" s="15"/>
      <c r="T218" s="15"/>
      <c r="U218" s="15"/>
      <c r="V218" s="15"/>
      <c r="W218" s="15"/>
      <c r="X218" s="15"/>
      <c r="Y218" s="15"/>
      <c r="Z218" s="15"/>
      <c r="AA218" s="15"/>
    </row>
    <row r="219">
      <c r="A219" s="5" t="s">
        <v>966</v>
      </c>
      <c r="B219" s="17" t="s">
        <v>978</v>
      </c>
      <c r="C219" s="40" t="s">
        <v>979</v>
      </c>
      <c r="D219" s="8"/>
      <c r="E219" s="8" t="s">
        <v>189</v>
      </c>
      <c r="F219" s="9">
        <v>25000.0</v>
      </c>
      <c r="G219" s="18" t="s">
        <v>980</v>
      </c>
      <c r="H219" s="11" t="s">
        <v>981</v>
      </c>
      <c r="I219" s="41">
        <v>9.732609206E9</v>
      </c>
      <c r="J219" s="11" t="s">
        <v>25</v>
      </c>
      <c r="K219" s="12"/>
      <c r="L219" s="13"/>
      <c r="M219" s="14"/>
      <c r="N219" s="15"/>
      <c r="O219" s="5" t="s">
        <v>26</v>
      </c>
      <c r="P219" s="5"/>
      <c r="Q219" s="15"/>
      <c r="R219" s="16" t="s">
        <v>28</v>
      </c>
      <c r="S219" s="15"/>
      <c r="T219" s="15"/>
      <c r="U219" s="15"/>
      <c r="V219" s="15"/>
      <c r="W219" s="15"/>
      <c r="X219" s="15"/>
      <c r="Y219" s="15"/>
      <c r="Z219" s="15"/>
      <c r="AA219" s="15"/>
    </row>
    <row r="220">
      <c r="A220" s="5" t="s">
        <v>966</v>
      </c>
      <c r="B220" s="17" t="s">
        <v>982</v>
      </c>
      <c r="C220" s="40" t="s">
        <v>983</v>
      </c>
      <c r="D220" s="8"/>
      <c r="E220" s="8" t="s">
        <v>178</v>
      </c>
      <c r="F220" s="9">
        <v>4000.0</v>
      </c>
      <c r="G220" s="18" t="s">
        <v>984</v>
      </c>
      <c r="H220" s="11" t="s">
        <v>985</v>
      </c>
      <c r="I220" s="41">
        <v>8.238312412E9</v>
      </c>
      <c r="J220" s="11" t="s">
        <v>25</v>
      </c>
      <c r="K220" s="12"/>
      <c r="L220" s="13"/>
      <c r="M220" s="14"/>
      <c r="N220" s="15"/>
      <c r="O220" s="5" t="s">
        <v>34</v>
      </c>
      <c r="P220" s="5" t="s">
        <v>79</v>
      </c>
      <c r="Q220" s="15"/>
      <c r="R220" s="16" t="s">
        <v>28</v>
      </c>
      <c r="S220" s="15"/>
      <c r="T220" s="15"/>
      <c r="U220" s="15"/>
      <c r="V220" s="15"/>
      <c r="W220" s="15"/>
      <c r="X220" s="15"/>
      <c r="Y220" s="15"/>
      <c r="Z220" s="15"/>
      <c r="AA220" s="15"/>
    </row>
    <row r="221">
      <c r="A221" s="5" t="s">
        <v>986</v>
      </c>
      <c r="B221" s="17" t="s">
        <v>987</v>
      </c>
      <c r="C221" s="40" t="s">
        <v>988</v>
      </c>
      <c r="D221" s="8"/>
      <c r="E221" s="8" t="s">
        <v>116</v>
      </c>
      <c r="F221" s="9">
        <v>2000.0</v>
      </c>
      <c r="G221" s="18" t="s">
        <v>989</v>
      </c>
      <c r="H221" s="11" t="s">
        <v>99</v>
      </c>
      <c r="I221" s="41">
        <v>9.861069618E9</v>
      </c>
      <c r="J221" s="11" t="s">
        <v>25</v>
      </c>
      <c r="K221" s="12"/>
      <c r="L221" s="13"/>
      <c r="M221" s="14"/>
      <c r="N221" s="15"/>
      <c r="O221" s="5" t="s">
        <v>26</v>
      </c>
      <c r="P221" s="5"/>
      <c r="Q221" s="15"/>
      <c r="R221" s="16" t="s">
        <v>28</v>
      </c>
      <c r="S221" s="15"/>
      <c r="T221" s="15"/>
      <c r="U221" s="15"/>
      <c r="V221" s="15"/>
      <c r="W221" s="15"/>
      <c r="X221" s="15"/>
      <c r="Y221" s="15"/>
      <c r="Z221" s="15"/>
      <c r="AA221" s="15"/>
    </row>
    <row r="222">
      <c r="A222" s="5" t="s">
        <v>986</v>
      </c>
      <c r="B222" s="17" t="s">
        <v>990</v>
      </c>
      <c r="C222" s="40" t="s">
        <v>991</v>
      </c>
      <c r="D222" s="8"/>
      <c r="E222" s="8" t="s">
        <v>207</v>
      </c>
      <c r="F222" s="9">
        <v>50000.0</v>
      </c>
      <c r="G222" s="44"/>
      <c r="H222" s="11" t="s">
        <v>218</v>
      </c>
      <c r="I222" s="41">
        <v>7.980047029E9</v>
      </c>
      <c r="J222" s="11" t="s">
        <v>25</v>
      </c>
      <c r="K222" s="12" t="s">
        <v>992</v>
      </c>
      <c r="L222" s="13"/>
      <c r="M222" s="14"/>
      <c r="N222" s="15"/>
      <c r="O222" s="5" t="s">
        <v>26</v>
      </c>
      <c r="P222" s="5" t="s">
        <v>993</v>
      </c>
      <c r="Q222" s="15"/>
      <c r="R222" s="16" t="s">
        <v>28</v>
      </c>
      <c r="S222" s="15"/>
      <c r="T222" s="15"/>
      <c r="U222" s="15"/>
      <c r="V222" s="15"/>
      <c r="W222" s="15"/>
      <c r="X222" s="15"/>
      <c r="Y222" s="15"/>
      <c r="Z222" s="15"/>
      <c r="AA222" s="15"/>
    </row>
    <row r="223">
      <c r="A223" s="5" t="s">
        <v>986</v>
      </c>
      <c r="B223" s="17" t="s">
        <v>994</v>
      </c>
      <c r="C223" s="40" t="s">
        <v>995</v>
      </c>
      <c r="D223" s="8"/>
      <c r="E223" s="8" t="s">
        <v>718</v>
      </c>
      <c r="F223" s="9">
        <v>3000.0</v>
      </c>
      <c r="G223" s="44"/>
      <c r="H223" s="11" t="s">
        <v>44</v>
      </c>
      <c r="I223" s="41">
        <v>8.436210538E9</v>
      </c>
      <c r="J223" s="11" t="s">
        <v>25</v>
      </c>
      <c r="K223" s="12"/>
      <c r="L223" s="13"/>
      <c r="M223" s="14"/>
      <c r="N223" s="15"/>
      <c r="O223" s="5" t="s">
        <v>34</v>
      </c>
      <c r="P223" s="5" t="s">
        <v>996</v>
      </c>
      <c r="Q223" s="15"/>
      <c r="R223" s="16" t="s">
        <v>28</v>
      </c>
      <c r="S223" s="15"/>
      <c r="T223" s="15"/>
      <c r="U223" s="15"/>
      <c r="V223" s="15"/>
      <c r="W223" s="15"/>
      <c r="X223" s="15"/>
      <c r="Y223" s="15"/>
      <c r="Z223" s="15"/>
      <c r="AA223" s="15"/>
    </row>
    <row r="224">
      <c r="A224" s="5" t="s">
        <v>997</v>
      </c>
      <c r="B224" s="17" t="s">
        <v>998</v>
      </c>
      <c r="C224" s="40" t="s">
        <v>999</v>
      </c>
      <c r="D224" s="8"/>
      <c r="E224" s="8" t="s">
        <v>1000</v>
      </c>
      <c r="F224" s="9">
        <v>5000.0</v>
      </c>
      <c r="G224" s="18" t="s">
        <v>1001</v>
      </c>
      <c r="H224" s="11" t="s">
        <v>472</v>
      </c>
      <c r="I224" s="41">
        <v>9.811112074E9</v>
      </c>
      <c r="J224" s="11" t="s">
        <v>25</v>
      </c>
      <c r="K224" s="12"/>
      <c r="L224" s="13"/>
      <c r="M224" s="14"/>
      <c r="N224" s="15"/>
      <c r="O224" s="5" t="s">
        <v>34</v>
      </c>
      <c r="P224" s="5" t="s">
        <v>1002</v>
      </c>
      <c r="Q224" s="15"/>
      <c r="R224" s="16" t="s">
        <v>28</v>
      </c>
      <c r="S224" s="15"/>
      <c r="T224" s="15"/>
      <c r="U224" s="15"/>
      <c r="V224" s="15"/>
      <c r="W224" s="15"/>
      <c r="X224" s="15"/>
      <c r="Y224" s="15"/>
      <c r="Z224" s="15"/>
      <c r="AA224" s="15"/>
    </row>
    <row r="225">
      <c r="A225" s="5" t="s">
        <v>997</v>
      </c>
      <c r="B225" s="17" t="s">
        <v>1003</v>
      </c>
      <c r="C225" s="40" t="s">
        <v>1004</v>
      </c>
      <c r="D225" s="8"/>
      <c r="E225" s="8" t="s">
        <v>130</v>
      </c>
      <c r="F225" s="9">
        <v>10000.0</v>
      </c>
      <c r="G225" s="18" t="s">
        <v>1005</v>
      </c>
      <c r="H225" s="11" t="s">
        <v>1006</v>
      </c>
      <c r="I225" s="41">
        <v>8.006395546E9</v>
      </c>
      <c r="J225" s="11" t="s">
        <v>25</v>
      </c>
      <c r="K225" s="12"/>
      <c r="L225" s="13"/>
      <c r="M225" s="14"/>
      <c r="N225" s="15"/>
      <c r="O225" s="5" t="s">
        <v>108</v>
      </c>
      <c r="P225" s="5" t="s">
        <v>1007</v>
      </c>
      <c r="Q225" s="15"/>
      <c r="R225" s="16" t="s">
        <v>28</v>
      </c>
      <c r="S225" s="15"/>
      <c r="T225" s="15"/>
      <c r="U225" s="15"/>
      <c r="V225" s="15"/>
      <c r="W225" s="15"/>
      <c r="X225" s="15"/>
      <c r="Y225" s="15"/>
      <c r="Z225" s="15"/>
      <c r="AA225" s="15"/>
    </row>
    <row r="226">
      <c r="A226" s="5" t="s">
        <v>1008</v>
      </c>
      <c r="B226" s="6" t="s">
        <v>1009</v>
      </c>
      <c r="C226" s="39" t="s">
        <v>1010</v>
      </c>
      <c r="D226" s="8"/>
      <c r="E226" s="8" t="s">
        <v>357</v>
      </c>
      <c r="F226" s="9">
        <v>2500.0</v>
      </c>
      <c r="G226" s="44"/>
      <c r="H226" s="11" t="s">
        <v>44</v>
      </c>
      <c r="I226" s="41">
        <v>8.646804606E9</v>
      </c>
      <c r="J226" s="11" t="s">
        <v>25</v>
      </c>
      <c r="K226" s="12"/>
      <c r="L226" s="13"/>
      <c r="M226" s="14"/>
      <c r="N226" s="15"/>
      <c r="O226" s="5" t="s">
        <v>26</v>
      </c>
      <c r="P226" s="5" t="s">
        <v>1011</v>
      </c>
      <c r="Q226" s="15"/>
      <c r="R226" s="16" t="s">
        <v>28</v>
      </c>
      <c r="S226" s="15"/>
      <c r="T226" s="15"/>
      <c r="U226" s="15"/>
      <c r="V226" s="15"/>
      <c r="W226" s="15"/>
      <c r="X226" s="15"/>
      <c r="Y226" s="15"/>
      <c r="Z226" s="15"/>
      <c r="AA226" s="15"/>
    </row>
    <row r="227">
      <c r="A227" s="5" t="s">
        <v>1008</v>
      </c>
      <c r="B227" s="17" t="s">
        <v>1012</v>
      </c>
      <c r="C227" s="40" t="s">
        <v>1013</v>
      </c>
      <c r="D227" s="8"/>
      <c r="E227" s="8" t="s">
        <v>841</v>
      </c>
      <c r="F227" s="9">
        <v>20000.0</v>
      </c>
      <c r="G227" s="18" t="s">
        <v>1014</v>
      </c>
      <c r="H227" s="11" t="s">
        <v>44</v>
      </c>
      <c r="I227" s="41">
        <v>9.830844506E9</v>
      </c>
      <c r="J227" s="11" t="s">
        <v>25</v>
      </c>
      <c r="K227" s="12"/>
      <c r="L227" s="13"/>
      <c r="M227" s="14"/>
      <c r="N227" s="15"/>
      <c r="O227" s="5" t="s">
        <v>26</v>
      </c>
      <c r="P227" s="5"/>
      <c r="Q227" s="15"/>
      <c r="R227" s="16" t="s">
        <v>28</v>
      </c>
      <c r="S227" s="15"/>
      <c r="T227" s="15"/>
      <c r="U227" s="15"/>
      <c r="V227" s="15"/>
      <c r="W227" s="15"/>
      <c r="X227" s="15"/>
      <c r="Y227" s="15"/>
      <c r="Z227" s="15"/>
      <c r="AA227" s="15"/>
    </row>
    <row r="228">
      <c r="A228" s="5" t="s">
        <v>1015</v>
      </c>
      <c r="B228" s="17" t="s">
        <v>1016</v>
      </c>
      <c r="C228" s="40" t="s">
        <v>1017</v>
      </c>
      <c r="D228" s="8"/>
      <c r="E228" s="8" t="s">
        <v>1018</v>
      </c>
      <c r="F228" s="9">
        <v>10000.0</v>
      </c>
      <c r="G228" s="31" t="s">
        <v>1019</v>
      </c>
      <c r="H228" s="11" t="s">
        <v>507</v>
      </c>
      <c r="I228" s="41">
        <v>9.0676355E9</v>
      </c>
      <c r="J228" s="11" t="s">
        <v>25</v>
      </c>
      <c r="K228" s="12"/>
      <c r="L228" s="13"/>
      <c r="M228" s="14"/>
      <c r="N228" s="15"/>
      <c r="O228" s="5" t="s">
        <v>108</v>
      </c>
      <c r="P228" s="5" t="s">
        <v>1020</v>
      </c>
      <c r="Q228" s="15"/>
      <c r="R228" s="16" t="s">
        <v>28</v>
      </c>
      <c r="S228" s="15"/>
      <c r="T228" s="15"/>
      <c r="U228" s="15"/>
      <c r="V228" s="15"/>
      <c r="W228" s="15"/>
      <c r="X228" s="15"/>
      <c r="Y228" s="15"/>
      <c r="Z228" s="15"/>
      <c r="AA228" s="15"/>
    </row>
    <row r="229">
      <c r="A229" s="5" t="s">
        <v>1015</v>
      </c>
      <c r="B229" s="17" t="s">
        <v>1021</v>
      </c>
      <c r="C229" s="40" t="s">
        <v>1022</v>
      </c>
      <c r="D229" s="8"/>
      <c r="E229" s="8" t="s">
        <v>1023</v>
      </c>
      <c r="F229" s="9">
        <v>1000.0</v>
      </c>
      <c r="G229" s="31" t="s">
        <v>1024</v>
      </c>
      <c r="H229" s="11" t="s">
        <v>107</v>
      </c>
      <c r="I229" s="41">
        <v>9.953654615E9</v>
      </c>
      <c r="J229" s="11" t="s">
        <v>25</v>
      </c>
      <c r="K229" s="12"/>
      <c r="L229" s="13"/>
      <c r="M229" s="14"/>
      <c r="N229" s="15"/>
      <c r="O229" s="5" t="s">
        <v>108</v>
      </c>
      <c r="P229" s="5" t="s">
        <v>1025</v>
      </c>
      <c r="Q229" s="15"/>
      <c r="R229" s="16" t="s">
        <v>28</v>
      </c>
      <c r="S229" s="15"/>
      <c r="T229" s="15"/>
      <c r="U229" s="15"/>
      <c r="V229" s="15"/>
      <c r="W229" s="15"/>
      <c r="X229" s="15"/>
      <c r="Y229" s="15"/>
      <c r="Z229" s="15"/>
      <c r="AA229" s="15"/>
    </row>
    <row r="230">
      <c r="A230" s="5" t="s">
        <v>1026</v>
      </c>
      <c r="B230" s="17" t="s">
        <v>1027</v>
      </c>
      <c r="C230" s="40" t="s">
        <v>1028</v>
      </c>
      <c r="D230" s="8"/>
      <c r="E230" s="8" t="s">
        <v>116</v>
      </c>
      <c r="F230" s="9">
        <v>10000.0</v>
      </c>
      <c r="G230" s="44"/>
      <c r="H230" s="11" t="s">
        <v>1029</v>
      </c>
      <c r="I230" s="41">
        <v>8.789107932E9</v>
      </c>
      <c r="J230" s="11" t="s">
        <v>25</v>
      </c>
      <c r="K230" s="12"/>
      <c r="L230" s="13"/>
      <c r="M230" s="14"/>
      <c r="N230" s="15"/>
      <c r="O230" s="5" t="s">
        <v>1030</v>
      </c>
      <c r="P230" s="5" t="s">
        <v>1031</v>
      </c>
      <c r="Q230" s="15"/>
      <c r="R230" s="16" t="s">
        <v>28</v>
      </c>
      <c r="S230" s="15"/>
      <c r="T230" s="15"/>
      <c r="U230" s="15"/>
      <c r="V230" s="15"/>
      <c r="W230" s="15"/>
      <c r="X230" s="15"/>
      <c r="Y230" s="15"/>
      <c r="Z230" s="15"/>
      <c r="AA230" s="15"/>
    </row>
    <row r="231">
      <c r="A231" s="5" t="s">
        <v>1026</v>
      </c>
      <c r="B231" s="17" t="s">
        <v>1032</v>
      </c>
      <c r="C231" s="40" t="s">
        <v>1033</v>
      </c>
      <c r="D231" s="8"/>
      <c r="E231" s="8" t="s">
        <v>38</v>
      </c>
      <c r="F231" s="9">
        <v>200.0</v>
      </c>
      <c r="G231" s="31" t="s">
        <v>1034</v>
      </c>
      <c r="H231" s="11" t="s">
        <v>184</v>
      </c>
      <c r="I231" s="41">
        <v>9.504416713E9</v>
      </c>
      <c r="J231" s="11" t="s">
        <v>25</v>
      </c>
      <c r="K231" s="12"/>
      <c r="L231" s="13"/>
      <c r="M231" s="14"/>
      <c r="N231" s="15"/>
      <c r="O231" s="5" t="s">
        <v>34</v>
      </c>
      <c r="P231" s="5" t="s">
        <v>1035</v>
      </c>
      <c r="Q231" s="15"/>
      <c r="R231" s="16" t="s">
        <v>28</v>
      </c>
      <c r="S231" s="15"/>
      <c r="T231" s="15"/>
      <c r="U231" s="15"/>
      <c r="V231" s="15"/>
      <c r="W231" s="15"/>
      <c r="X231" s="15"/>
      <c r="Y231" s="15"/>
      <c r="Z231" s="15"/>
      <c r="AA231" s="15"/>
    </row>
    <row r="232">
      <c r="A232" s="5" t="s">
        <v>1036</v>
      </c>
      <c r="B232" s="17" t="s">
        <v>1037</v>
      </c>
      <c r="C232" s="40" t="s">
        <v>1038</v>
      </c>
      <c r="D232" s="8"/>
      <c r="E232" s="8" t="s">
        <v>43</v>
      </c>
      <c r="F232" s="9">
        <v>2500.0</v>
      </c>
      <c r="G232" s="44" t="s">
        <v>1039</v>
      </c>
      <c r="H232" s="11" t="s">
        <v>44</v>
      </c>
      <c r="I232" s="41">
        <v>9.903298598E9</v>
      </c>
      <c r="J232" s="11" t="s">
        <v>25</v>
      </c>
      <c r="K232" s="12"/>
      <c r="L232" s="13"/>
      <c r="M232" s="14"/>
      <c r="N232" s="15"/>
      <c r="O232" s="5" t="s">
        <v>34</v>
      </c>
      <c r="P232" s="5" t="s">
        <v>209</v>
      </c>
      <c r="Q232" s="15"/>
      <c r="R232" s="16" t="s">
        <v>28</v>
      </c>
      <c r="S232" s="15"/>
      <c r="T232" s="15"/>
      <c r="U232" s="15"/>
      <c r="V232" s="15"/>
      <c r="W232" s="15"/>
      <c r="X232" s="15"/>
      <c r="Y232" s="15"/>
      <c r="Z232" s="15"/>
      <c r="AA232" s="15"/>
    </row>
    <row r="233">
      <c r="A233" s="5" t="s">
        <v>1036</v>
      </c>
      <c r="B233" s="17" t="s">
        <v>1040</v>
      </c>
      <c r="C233" s="40" t="s">
        <v>1041</v>
      </c>
      <c r="D233" s="8"/>
      <c r="E233" s="8" t="s">
        <v>593</v>
      </c>
      <c r="F233" s="9">
        <v>500.0</v>
      </c>
      <c r="G233" s="44"/>
      <c r="H233" s="11" t="s">
        <v>977</v>
      </c>
      <c r="I233" s="41">
        <v>9.708657552E9</v>
      </c>
      <c r="J233" s="11" t="s">
        <v>25</v>
      </c>
      <c r="K233" s="12"/>
      <c r="L233" s="13"/>
      <c r="M233" s="14"/>
      <c r="N233" s="15"/>
      <c r="O233" s="5" t="s">
        <v>34</v>
      </c>
      <c r="P233" s="5" t="s">
        <v>1042</v>
      </c>
      <c r="Q233" s="15"/>
      <c r="R233" s="16" t="s">
        <v>28</v>
      </c>
      <c r="S233" s="15"/>
      <c r="T233" s="15"/>
      <c r="U233" s="15"/>
      <c r="V233" s="15"/>
      <c r="W233" s="15"/>
      <c r="X233" s="15"/>
      <c r="Y233" s="15"/>
      <c r="Z233" s="15"/>
      <c r="AA233" s="15"/>
    </row>
    <row r="234">
      <c r="A234" s="5" t="s">
        <v>1036</v>
      </c>
      <c r="B234" s="17" t="s">
        <v>1043</v>
      </c>
      <c r="C234" s="40" t="s">
        <v>1044</v>
      </c>
      <c r="D234" s="8"/>
      <c r="E234" s="8" t="s">
        <v>387</v>
      </c>
      <c r="F234" s="9">
        <v>5000.0</v>
      </c>
      <c r="G234" s="31" t="s">
        <v>1045</v>
      </c>
      <c r="H234" s="11" t="s">
        <v>44</v>
      </c>
      <c r="I234" s="41">
        <v>8.420227834E9</v>
      </c>
      <c r="J234" s="11" t="s">
        <v>25</v>
      </c>
      <c r="K234" s="12"/>
      <c r="L234" s="13"/>
      <c r="M234" s="14"/>
      <c r="N234" s="15"/>
      <c r="O234" s="5" t="s">
        <v>34</v>
      </c>
      <c r="P234" s="5" t="s">
        <v>79</v>
      </c>
      <c r="Q234" s="15"/>
      <c r="R234" s="16" t="s">
        <v>28</v>
      </c>
      <c r="S234" s="15"/>
      <c r="T234" s="15"/>
      <c r="U234" s="15"/>
      <c r="V234" s="15"/>
      <c r="W234" s="15"/>
      <c r="X234" s="15"/>
      <c r="Y234" s="15"/>
      <c r="Z234" s="15"/>
      <c r="AA234" s="15"/>
    </row>
    <row r="235">
      <c r="A235" s="5" t="s">
        <v>1046</v>
      </c>
      <c r="B235" s="17" t="s">
        <v>1047</v>
      </c>
      <c r="C235" s="40" t="s">
        <v>1048</v>
      </c>
      <c r="D235" s="8"/>
      <c r="E235" s="8" t="s">
        <v>130</v>
      </c>
      <c r="F235" s="9">
        <v>4000.0</v>
      </c>
      <c r="G235" s="31" t="s">
        <v>1049</v>
      </c>
      <c r="H235" s="11" t="s">
        <v>99</v>
      </c>
      <c r="I235" s="41">
        <v>7.978229578E9</v>
      </c>
      <c r="J235" s="11" t="s">
        <v>25</v>
      </c>
      <c r="K235" s="12"/>
      <c r="L235" s="13"/>
      <c r="M235" s="14"/>
      <c r="N235" s="15"/>
      <c r="O235" s="5" t="s">
        <v>34</v>
      </c>
      <c r="P235" s="5"/>
      <c r="Q235" s="15"/>
      <c r="R235" s="16" t="s">
        <v>28</v>
      </c>
      <c r="S235" s="15"/>
      <c r="T235" s="15"/>
      <c r="U235" s="15"/>
      <c r="V235" s="15"/>
      <c r="W235" s="15"/>
      <c r="X235" s="15"/>
      <c r="Y235" s="15"/>
      <c r="Z235" s="15"/>
      <c r="AA235" s="15"/>
    </row>
    <row r="236">
      <c r="A236" s="5" t="s">
        <v>1046</v>
      </c>
      <c r="B236" s="17" t="s">
        <v>1050</v>
      </c>
      <c r="C236" s="40" t="s">
        <v>1051</v>
      </c>
      <c r="D236" s="8"/>
      <c r="E236" s="8" t="s">
        <v>152</v>
      </c>
      <c r="F236" s="9">
        <v>5000.0</v>
      </c>
      <c r="G236" s="31" t="s">
        <v>1052</v>
      </c>
      <c r="H236" s="11" t="s">
        <v>1053</v>
      </c>
      <c r="I236" s="41">
        <v>9.673041148E9</v>
      </c>
      <c r="J236" s="11" t="s">
        <v>25</v>
      </c>
      <c r="K236" s="12"/>
      <c r="L236" s="13"/>
      <c r="M236" s="14"/>
      <c r="N236" s="15"/>
      <c r="O236" s="5" t="s">
        <v>108</v>
      </c>
      <c r="P236" s="5" t="s">
        <v>1054</v>
      </c>
      <c r="Q236" s="15"/>
      <c r="R236" s="16" t="s">
        <v>28</v>
      </c>
      <c r="S236" s="15"/>
      <c r="T236" s="15"/>
      <c r="U236" s="15"/>
      <c r="V236" s="15"/>
      <c r="W236" s="15"/>
      <c r="X236" s="15"/>
      <c r="Y236" s="15"/>
      <c r="Z236" s="15"/>
      <c r="AA236" s="15"/>
    </row>
    <row r="237">
      <c r="A237" s="5" t="s">
        <v>1046</v>
      </c>
      <c r="B237" s="17" t="s">
        <v>1055</v>
      </c>
      <c r="C237" s="40" t="s">
        <v>1056</v>
      </c>
      <c r="D237" s="8"/>
      <c r="E237" s="8" t="s">
        <v>189</v>
      </c>
      <c r="F237" s="9">
        <v>5000.0</v>
      </c>
      <c r="G237" s="31" t="s">
        <v>1057</v>
      </c>
      <c r="H237" s="11" t="s">
        <v>44</v>
      </c>
      <c r="I237" s="41">
        <v>9.831345343E9</v>
      </c>
      <c r="J237" s="11" t="s">
        <v>25</v>
      </c>
      <c r="K237" s="12"/>
      <c r="L237" s="13"/>
      <c r="M237" s="14"/>
      <c r="N237" s="15"/>
      <c r="O237" s="5" t="s">
        <v>34</v>
      </c>
      <c r="P237" s="5" t="s">
        <v>1058</v>
      </c>
      <c r="Q237" s="15"/>
      <c r="R237" s="16" t="s">
        <v>28</v>
      </c>
      <c r="S237" s="15"/>
      <c r="T237" s="15"/>
      <c r="U237" s="15"/>
      <c r="V237" s="15"/>
      <c r="W237" s="15"/>
      <c r="X237" s="15"/>
      <c r="Y237" s="15"/>
      <c r="Z237" s="15"/>
      <c r="AA237" s="15"/>
    </row>
    <row r="238">
      <c r="A238" s="5" t="s">
        <v>1046</v>
      </c>
      <c r="B238" s="17" t="s">
        <v>1059</v>
      </c>
      <c r="C238" s="40" t="s">
        <v>1060</v>
      </c>
      <c r="D238" s="8"/>
      <c r="E238" s="8" t="s">
        <v>753</v>
      </c>
      <c r="F238" s="9">
        <v>50000.0</v>
      </c>
      <c r="G238" s="31" t="s">
        <v>1061</v>
      </c>
      <c r="H238" s="11" t="s">
        <v>507</v>
      </c>
      <c r="I238" s="41">
        <v>9.637766929E9</v>
      </c>
      <c r="J238" s="11" t="s">
        <v>25</v>
      </c>
      <c r="K238" s="12"/>
      <c r="L238" s="13"/>
      <c r="M238" s="14"/>
      <c r="N238" s="15"/>
      <c r="O238" s="5" t="s">
        <v>108</v>
      </c>
      <c r="P238" s="5" t="s">
        <v>1062</v>
      </c>
      <c r="Q238" s="15"/>
      <c r="R238" s="16" t="s">
        <v>28</v>
      </c>
      <c r="S238" s="15"/>
      <c r="T238" s="15"/>
      <c r="U238" s="15"/>
      <c r="V238" s="15"/>
      <c r="W238" s="15"/>
      <c r="X238" s="15"/>
      <c r="Y238" s="15"/>
      <c r="Z238" s="15"/>
      <c r="AA238" s="15"/>
    </row>
    <row r="239">
      <c r="A239" s="5" t="s">
        <v>1046</v>
      </c>
      <c r="B239" s="17" t="s">
        <v>1063</v>
      </c>
      <c r="C239" s="40" t="s">
        <v>1064</v>
      </c>
      <c r="D239" s="8"/>
      <c r="E239" s="8" t="s">
        <v>235</v>
      </c>
      <c r="F239" s="9">
        <v>3000.0</v>
      </c>
      <c r="G239" s="31" t="s">
        <v>1065</v>
      </c>
      <c r="H239" s="11" t="s">
        <v>44</v>
      </c>
      <c r="I239" s="41">
        <v>9.433912847E9</v>
      </c>
      <c r="J239" s="11" t="s">
        <v>25</v>
      </c>
      <c r="K239" s="12"/>
      <c r="L239" s="13"/>
      <c r="M239" s="14"/>
      <c r="N239" s="15"/>
      <c r="O239" s="5" t="s">
        <v>34</v>
      </c>
      <c r="P239" s="5"/>
      <c r="Q239" s="15"/>
      <c r="R239" s="16" t="s">
        <v>28</v>
      </c>
      <c r="S239" s="15"/>
      <c r="T239" s="15"/>
      <c r="U239" s="15"/>
      <c r="V239" s="15"/>
      <c r="W239" s="15"/>
      <c r="X239" s="15"/>
      <c r="Y239" s="15"/>
      <c r="Z239" s="15"/>
      <c r="AA239" s="15"/>
    </row>
    <row r="240">
      <c r="A240" s="5" t="s">
        <v>1066</v>
      </c>
      <c r="B240" s="17" t="s">
        <v>1067</v>
      </c>
      <c r="C240" s="40" t="s">
        <v>1068</v>
      </c>
      <c r="D240" s="8"/>
      <c r="E240" s="8" t="s">
        <v>130</v>
      </c>
      <c r="F240" s="9">
        <v>2000.0</v>
      </c>
      <c r="G240" s="31" t="s">
        <v>1069</v>
      </c>
      <c r="H240" s="11" t="s">
        <v>495</v>
      </c>
      <c r="I240" s="41">
        <v>8.521711889E9</v>
      </c>
      <c r="J240" s="11" t="s">
        <v>25</v>
      </c>
      <c r="K240" s="12"/>
      <c r="L240" s="13"/>
      <c r="M240" s="14"/>
      <c r="N240" s="15"/>
      <c r="O240" s="5" t="s">
        <v>34</v>
      </c>
      <c r="P240" s="5" t="s">
        <v>1070</v>
      </c>
      <c r="Q240" s="15"/>
      <c r="R240" s="16" t="s">
        <v>28</v>
      </c>
      <c r="S240" s="15"/>
      <c r="T240" s="15"/>
      <c r="U240" s="15"/>
      <c r="V240" s="15"/>
      <c r="W240" s="15"/>
      <c r="X240" s="15"/>
      <c r="Y240" s="15"/>
      <c r="Z240" s="15"/>
      <c r="AA240" s="15"/>
    </row>
    <row r="241">
      <c r="A241" s="5" t="s">
        <v>1066</v>
      </c>
      <c r="B241" s="17" t="s">
        <v>1071</v>
      </c>
      <c r="C241" s="40" t="s">
        <v>1072</v>
      </c>
      <c r="D241" s="8"/>
      <c r="E241" s="8" t="s">
        <v>1073</v>
      </c>
      <c r="F241" s="9">
        <v>1000.0</v>
      </c>
      <c r="G241" s="31" t="s">
        <v>1074</v>
      </c>
      <c r="H241" s="11" t="s">
        <v>44</v>
      </c>
      <c r="I241" s="41">
        <v>9.748883899E9</v>
      </c>
      <c r="J241" s="11" t="s">
        <v>25</v>
      </c>
      <c r="K241" s="12"/>
      <c r="L241" s="13"/>
      <c r="M241" s="14"/>
      <c r="N241" s="15"/>
      <c r="O241" s="5" t="s">
        <v>34</v>
      </c>
      <c r="P241" s="5" t="s">
        <v>55</v>
      </c>
      <c r="Q241" s="15"/>
      <c r="R241" s="16" t="s">
        <v>28</v>
      </c>
      <c r="S241" s="15"/>
      <c r="T241" s="15"/>
      <c r="U241" s="15"/>
      <c r="V241" s="15"/>
      <c r="W241" s="15"/>
      <c r="X241" s="15"/>
      <c r="Y241" s="15"/>
      <c r="Z241" s="15"/>
      <c r="AA241" s="15"/>
    </row>
    <row r="242">
      <c r="A242" s="5" t="s">
        <v>1066</v>
      </c>
      <c r="B242" s="17" t="s">
        <v>1075</v>
      </c>
      <c r="C242" s="40" t="s">
        <v>1076</v>
      </c>
      <c r="D242" s="8"/>
      <c r="E242" s="8" t="s">
        <v>189</v>
      </c>
      <c r="F242" s="9">
        <v>3000.0</v>
      </c>
      <c r="G242" s="31" t="s">
        <v>1077</v>
      </c>
      <c r="H242" s="11" t="s">
        <v>99</v>
      </c>
      <c r="I242" s="41">
        <v>7.606006053E9</v>
      </c>
      <c r="J242" s="11" t="s">
        <v>25</v>
      </c>
      <c r="K242" s="12"/>
      <c r="L242" s="13"/>
      <c r="M242" s="14"/>
      <c r="N242" s="15"/>
      <c r="O242" s="5" t="s">
        <v>34</v>
      </c>
      <c r="P242" s="5" t="s">
        <v>55</v>
      </c>
      <c r="Q242" s="15"/>
      <c r="R242" s="16" t="s">
        <v>28</v>
      </c>
      <c r="S242" s="15"/>
      <c r="T242" s="15"/>
      <c r="U242" s="15"/>
      <c r="V242" s="15"/>
      <c r="W242" s="15"/>
      <c r="X242" s="15"/>
      <c r="Y242" s="15"/>
      <c r="Z242" s="15"/>
      <c r="AA242" s="15"/>
    </row>
    <row r="243">
      <c r="A243" s="5" t="s">
        <v>1066</v>
      </c>
      <c r="B243" s="6" t="s">
        <v>1078</v>
      </c>
      <c r="C243" s="40" t="s">
        <v>1079</v>
      </c>
      <c r="D243" s="8"/>
      <c r="E243" s="8" t="s">
        <v>1080</v>
      </c>
      <c r="F243" s="9">
        <v>1500.0</v>
      </c>
      <c r="G243" s="44" t="s">
        <v>1081</v>
      </c>
      <c r="H243" s="11" t="s">
        <v>1082</v>
      </c>
      <c r="I243" s="41" t="s">
        <v>1083</v>
      </c>
      <c r="J243" s="11" t="s">
        <v>25</v>
      </c>
      <c r="K243" s="12"/>
      <c r="L243" s="13"/>
      <c r="M243" s="14"/>
      <c r="N243" s="15"/>
      <c r="O243" s="5" t="s">
        <v>564</v>
      </c>
      <c r="P243" s="5" t="s">
        <v>1084</v>
      </c>
      <c r="Q243" s="5" t="s">
        <v>1085</v>
      </c>
      <c r="R243" s="16"/>
      <c r="S243" s="15"/>
      <c r="T243" s="15"/>
      <c r="U243" s="15"/>
      <c r="V243" s="15"/>
      <c r="W243" s="15"/>
      <c r="X243" s="15"/>
      <c r="Y243" s="15"/>
      <c r="Z243" s="15"/>
      <c r="AA243" s="15"/>
    </row>
    <row r="244">
      <c r="A244" s="5" t="s">
        <v>1086</v>
      </c>
      <c r="B244" s="17" t="s">
        <v>1087</v>
      </c>
      <c r="C244" s="40" t="s">
        <v>1088</v>
      </c>
      <c r="D244" s="8"/>
      <c r="E244" s="8" t="s">
        <v>202</v>
      </c>
      <c r="F244" s="9">
        <v>25000.0</v>
      </c>
      <c r="G244" s="31" t="s">
        <v>1089</v>
      </c>
      <c r="H244" s="11" t="s">
        <v>1090</v>
      </c>
      <c r="I244" s="41">
        <v>7.905749907E9</v>
      </c>
      <c r="J244" s="11" t="s">
        <v>25</v>
      </c>
      <c r="K244" s="12"/>
      <c r="L244" s="13"/>
      <c r="M244" s="14"/>
      <c r="N244" s="15"/>
      <c r="O244" s="5" t="s">
        <v>1030</v>
      </c>
      <c r="P244" s="5" t="s">
        <v>1091</v>
      </c>
      <c r="Q244" s="15"/>
      <c r="R244" s="16" t="s">
        <v>28</v>
      </c>
      <c r="S244" s="15"/>
      <c r="T244" s="15"/>
      <c r="U244" s="15"/>
      <c r="V244" s="15"/>
      <c r="W244" s="15"/>
      <c r="X244" s="15"/>
      <c r="Y244" s="15"/>
      <c r="Z244" s="15"/>
      <c r="AA244" s="15"/>
    </row>
    <row r="245">
      <c r="A245" s="5" t="s">
        <v>1092</v>
      </c>
      <c r="B245" s="17" t="s">
        <v>1093</v>
      </c>
      <c r="C245" s="40" t="s">
        <v>1094</v>
      </c>
      <c r="D245" s="8"/>
      <c r="E245" s="8" t="s">
        <v>130</v>
      </c>
      <c r="F245" s="9">
        <v>1000.0</v>
      </c>
      <c r="G245" s="31" t="s">
        <v>1095</v>
      </c>
      <c r="H245" s="11" t="s">
        <v>218</v>
      </c>
      <c r="I245" s="41">
        <v>9.830121614E9</v>
      </c>
      <c r="J245" s="11" t="s">
        <v>25</v>
      </c>
      <c r="K245" s="12"/>
      <c r="L245" s="13"/>
      <c r="M245" s="14"/>
      <c r="N245" s="15"/>
      <c r="O245" s="5" t="s">
        <v>34</v>
      </c>
      <c r="P245" s="5" t="s">
        <v>1096</v>
      </c>
      <c r="Q245" s="15"/>
      <c r="R245" s="16" t="s">
        <v>28</v>
      </c>
      <c r="S245" s="15"/>
      <c r="T245" s="15"/>
      <c r="U245" s="15"/>
      <c r="V245" s="15"/>
      <c r="W245" s="15"/>
      <c r="X245" s="15"/>
      <c r="Y245" s="15"/>
      <c r="Z245" s="15"/>
      <c r="AA245" s="15"/>
    </row>
    <row r="246">
      <c r="A246" s="5" t="s">
        <v>1092</v>
      </c>
      <c r="B246" s="17" t="s">
        <v>1097</v>
      </c>
      <c r="C246" s="40" t="s">
        <v>1098</v>
      </c>
      <c r="D246" s="8"/>
      <c r="E246" s="8" t="s">
        <v>152</v>
      </c>
      <c r="F246" s="9">
        <v>30000.0</v>
      </c>
      <c r="G246" s="31" t="s">
        <v>1099</v>
      </c>
      <c r="H246" s="11" t="s">
        <v>1100</v>
      </c>
      <c r="I246" s="41">
        <v>9.390385188E9</v>
      </c>
      <c r="J246" s="11" t="s">
        <v>25</v>
      </c>
      <c r="K246" s="12"/>
      <c r="L246" s="13"/>
      <c r="M246" s="14"/>
      <c r="N246" s="15"/>
      <c r="O246" s="5" t="s">
        <v>108</v>
      </c>
      <c r="P246" s="5"/>
      <c r="Q246" s="15"/>
      <c r="R246" s="16" t="s">
        <v>28</v>
      </c>
      <c r="S246" s="15"/>
      <c r="T246" s="15"/>
      <c r="U246" s="15"/>
      <c r="V246" s="15"/>
      <c r="W246" s="15"/>
      <c r="X246" s="15"/>
      <c r="Y246" s="15"/>
      <c r="Z246" s="15"/>
      <c r="AA246" s="15"/>
    </row>
    <row r="247">
      <c r="A247" s="5" t="s">
        <v>1101</v>
      </c>
      <c r="B247" s="17" t="s">
        <v>1102</v>
      </c>
      <c r="C247" s="40" t="s">
        <v>1103</v>
      </c>
      <c r="D247" s="8"/>
      <c r="E247" s="8" t="s">
        <v>130</v>
      </c>
      <c r="F247" s="9">
        <v>3000.0</v>
      </c>
      <c r="G247" s="44"/>
      <c r="H247" s="11" t="s">
        <v>507</v>
      </c>
      <c r="I247" s="41">
        <v>8.60522121E9</v>
      </c>
      <c r="J247" s="11" t="s">
        <v>25</v>
      </c>
      <c r="K247" s="12"/>
      <c r="L247" s="13"/>
      <c r="M247" s="14"/>
      <c r="N247" s="15"/>
      <c r="O247" s="5" t="s">
        <v>1030</v>
      </c>
      <c r="P247" s="5"/>
      <c r="Q247" s="15"/>
      <c r="R247" s="16" t="s">
        <v>28</v>
      </c>
      <c r="S247" s="15"/>
      <c r="T247" s="15"/>
      <c r="U247" s="15"/>
      <c r="V247" s="15"/>
      <c r="W247" s="15"/>
      <c r="X247" s="15"/>
      <c r="Y247" s="15"/>
      <c r="Z247" s="15"/>
      <c r="AA247" s="15"/>
    </row>
    <row r="248">
      <c r="A248" s="5" t="s">
        <v>1101</v>
      </c>
      <c r="B248" s="17" t="s">
        <v>1104</v>
      </c>
      <c r="C248" s="40" t="s">
        <v>1105</v>
      </c>
      <c r="D248" s="8"/>
      <c r="E248" s="8" t="s">
        <v>147</v>
      </c>
      <c r="F248" s="9">
        <v>2000.0</v>
      </c>
      <c r="G248" s="31" t="s">
        <v>1106</v>
      </c>
      <c r="H248" s="11" t="s">
        <v>1107</v>
      </c>
      <c r="I248" s="41">
        <v>7.044980403E9</v>
      </c>
      <c r="J248" s="11" t="s">
        <v>25</v>
      </c>
      <c r="K248" s="12"/>
      <c r="L248" s="13"/>
      <c r="M248" s="14"/>
      <c r="N248" s="15"/>
      <c r="O248" s="5" t="s">
        <v>34</v>
      </c>
      <c r="P248" s="5" t="s">
        <v>185</v>
      </c>
      <c r="Q248" s="15"/>
      <c r="R248" s="16" t="s">
        <v>28</v>
      </c>
      <c r="S248" s="15"/>
      <c r="T248" s="15"/>
      <c r="U248" s="15"/>
      <c r="V248" s="15"/>
      <c r="W248" s="15"/>
      <c r="X248" s="15"/>
      <c r="Y248" s="15"/>
      <c r="Z248" s="15"/>
      <c r="AA248" s="15"/>
    </row>
    <row r="249">
      <c r="A249" s="5" t="s">
        <v>1108</v>
      </c>
      <c r="B249" s="6" t="s">
        <v>1109</v>
      </c>
      <c r="C249" s="40" t="s">
        <v>1110</v>
      </c>
      <c r="D249" s="8"/>
      <c r="E249" s="48" t="s">
        <v>568</v>
      </c>
      <c r="F249" s="9">
        <v>1000.0</v>
      </c>
      <c r="G249" s="19" t="s">
        <v>1111</v>
      </c>
      <c r="H249" s="11" t="s">
        <v>158</v>
      </c>
      <c r="I249" s="49">
        <v>9.831675723E9</v>
      </c>
      <c r="J249" s="11" t="s">
        <v>25</v>
      </c>
      <c r="K249" s="12"/>
      <c r="L249" s="13"/>
      <c r="M249" s="14"/>
      <c r="N249" s="15"/>
      <c r="O249" s="5" t="s">
        <v>1112</v>
      </c>
      <c r="P249" s="5" t="s">
        <v>1113</v>
      </c>
      <c r="Q249" s="15"/>
      <c r="R249" s="16"/>
      <c r="S249" s="15"/>
      <c r="T249" s="15"/>
      <c r="U249" s="15"/>
      <c r="V249" s="15"/>
      <c r="W249" s="15"/>
      <c r="X249" s="15"/>
      <c r="Y249" s="15"/>
      <c r="Z249" s="15"/>
      <c r="AA249" s="15"/>
    </row>
    <row r="250">
      <c r="A250" s="5" t="s">
        <v>1108</v>
      </c>
      <c r="B250" s="17" t="s">
        <v>1114</v>
      </c>
      <c r="C250" s="40" t="s">
        <v>1115</v>
      </c>
      <c r="D250" s="8"/>
      <c r="E250" s="8" t="s">
        <v>262</v>
      </c>
      <c r="F250" s="9">
        <v>2000.0</v>
      </c>
      <c r="G250" s="31" t="s">
        <v>1116</v>
      </c>
      <c r="H250" s="11" t="s">
        <v>99</v>
      </c>
      <c r="I250" s="41">
        <v>7.381011181E9</v>
      </c>
      <c r="J250" s="11" t="s">
        <v>25</v>
      </c>
      <c r="K250" s="12"/>
      <c r="L250" s="13"/>
      <c r="M250" s="14"/>
      <c r="N250" s="15"/>
      <c r="O250" s="5" t="s">
        <v>34</v>
      </c>
      <c r="P250" s="5"/>
      <c r="Q250" s="15"/>
      <c r="R250" s="16" t="s">
        <v>28</v>
      </c>
      <c r="S250" s="15"/>
      <c r="T250" s="15"/>
      <c r="U250" s="15"/>
      <c r="V250" s="15"/>
      <c r="W250" s="15"/>
      <c r="X250" s="15"/>
      <c r="Y250" s="15"/>
      <c r="Z250" s="15"/>
      <c r="AA250" s="15"/>
    </row>
    <row r="251">
      <c r="A251" s="5" t="s">
        <v>1117</v>
      </c>
      <c r="B251" s="17" t="s">
        <v>1118</v>
      </c>
      <c r="C251" s="40" t="s">
        <v>1119</v>
      </c>
      <c r="D251" s="8"/>
      <c r="E251" s="8" t="s">
        <v>501</v>
      </c>
      <c r="F251" s="9">
        <v>2000.0</v>
      </c>
      <c r="G251" s="44"/>
      <c r="H251" s="11" t="s">
        <v>99</v>
      </c>
      <c r="I251" s="41">
        <v>9.937033824E9</v>
      </c>
      <c r="J251" s="11" t="s">
        <v>25</v>
      </c>
      <c r="K251" s="12"/>
      <c r="L251" s="13"/>
      <c r="M251" s="14"/>
      <c r="N251" s="15"/>
      <c r="O251" s="5" t="s">
        <v>60</v>
      </c>
      <c r="P251" s="5"/>
      <c r="Q251" s="15"/>
      <c r="R251" s="16" t="s">
        <v>28</v>
      </c>
      <c r="S251" s="15"/>
      <c r="T251" s="15"/>
      <c r="U251" s="15"/>
      <c r="V251" s="15"/>
      <c r="W251" s="15"/>
      <c r="X251" s="15"/>
      <c r="Y251" s="15"/>
      <c r="Z251" s="15"/>
      <c r="AA251" s="15"/>
    </row>
    <row r="252">
      <c r="A252" s="5" t="s">
        <v>1117</v>
      </c>
      <c r="B252" s="17" t="s">
        <v>1120</v>
      </c>
      <c r="C252" s="40" t="s">
        <v>1121</v>
      </c>
      <c r="D252" s="8"/>
      <c r="E252" s="8" t="s">
        <v>1122</v>
      </c>
      <c r="F252" s="9">
        <v>1000.0</v>
      </c>
      <c r="G252" s="31" t="s">
        <v>1123</v>
      </c>
      <c r="H252" s="11" t="s">
        <v>1124</v>
      </c>
      <c r="I252" s="41">
        <v>9.903494202E9</v>
      </c>
      <c r="J252" s="11" t="s">
        <v>25</v>
      </c>
      <c r="K252" s="12"/>
      <c r="L252" s="13"/>
      <c r="M252" s="14"/>
      <c r="N252" s="15"/>
      <c r="O252" s="5" t="s">
        <v>34</v>
      </c>
      <c r="P252" s="5" t="s">
        <v>149</v>
      </c>
      <c r="Q252" s="15"/>
      <c r="R252" s="16" t="s">
        <v>28</v>
      </c>
      <c r="S252" s="15"/>
      <c r="T252" s="15"/>
      <c r="U252" s="15"/>
      <c r="V252" s="15"/>
      <c r="W252" s="15"/>
      <c r="X252" s="15"/>
      <c r="Y252" s="15"/>
      <c r="Z252" s="15"/>
      <c r="AA252" s="15"/>
    </row>
    <row r="253">
      <c r="A253" s="5" t="s">
        <v>1117</v>
      </c>
      <c r="B253" s="17" t="s">
        <v>1125</v>
      </c>
      <c r="C253" s="40" t="s">
        <v>1126</v>
      </c>
      <c r="D253" s="8"/>
      <c r="E253" s="8" t="s">
        <v>326</v>
      </c>
      <c r="F253" s="9">
        <v>10000.0</v>
      </c>
      <c r="G253" s="31" t="s">
        <v>1127</v>
      </c>
      <c r="H253" s="11" t="s">
        <v>99</v>
      </c>
      <c r="I253" s="41">
        <v>7.205635447E9</v>
      </c>
      <c r="J253" s="11" t="s">
        <v>25</v>
      </c>
      <c r="K253" s="12"/>
      <c r="L253" s="13"/>
      <c r="M253" s="14"/>
      <c r="N253" s="15"/>
      <c r="O253" s="5" t="s">
        <v>34</v>
      </c>
      <c r="P253" s="5" t="s">
        <v>79</v>
      </c>
      <c r="Q253" s="15"/>
      <c r="R253" s="16" t="s">
        <v>28</v>
      </c>
      <c r="S253" s="15"/>
      <c r="T253" s="15"/>
      <c r="U253" s="15"/>
      <c r="V253" s="15"/>
      <c r="W253" s="15"/>
      <c r="X253" s="15"/>
      <c r="Y253" s="15"/>
      <c r="Z253" s="15"/>
      <c r="AA253" s="15"/>
    </row>
    <row r="254">
      <c r="A254" s="5" t="s">
        <v>1128</v>
      </c>
      <c r="B254" s="6" t="s">
        <v>1129</v>
      </c>
      <c r="C254" s="50" t="s">
        <v>1130</v>
      </c>
      <c r="D254" s="8"/>
      <c r="E254" s="8" t="s">
        <v>1131</v>
      </c>
      <c r="F254" s="9">
        <v>5000.0</v>
      </c>
      <c r="G254" s="19" t="s">
        <v>1132</v>
      </c>
      <c r="H254" s="11" t="s">
        <v>99</v>
      </c>
      <c r="I254" s="51">
        <v>9.43720203E9</v>
      </c>
      <c r="J254" s="11" t="s">
        <v>25</v>
      </c>
      <c r="K254" s="12"/>
      <c r="L254" s="13"/>
      <c r="M254" s="14"/>
      <c r="N254" s="15"/>
      <c r="O254" s="5" t="s">
        <v>26</v>
      </c>
      <c r="P254" s="5" t="s">
        <v>79</v>
      </c>
      <c r="Q254" s="15"/>
      <c r="R254" s="16"/>
      <c r="S254" s="15"/>
      <c r="T254" s="15"/>
      <c r="U254" s="15"/>
      <c r="V254" s="15"/>
      <c r="W254" s="15"/>
      <c r="X254" s="15"/>
      <c r="Y254" s="15"/>
      <c r="Z254" s="15"/>
      <c r="AA254" s="15"/>
    </row>
    <row r="255">
      <c r="A255" s="5" t="s">
        <v>1128</v>
      </c>
      <c r="B255" s="17" t="s">
        <v>1133</v>
      </c>
      <c r="C255" s="40" t="s">
        <v>1134</v>
      </c>
      <c r="D255" s="8"/>
      <c r="E255" s="8" t="s">
        <v>189</v>
      </c>
      <c r="F255" s="9">
        <v>5000.0</v>
      </c>
      <c r="G255" s="31" t="s">
        <v>1135</v>
      </c>
      <c r="H255" s="11" t="s">
        <v>44</v>
      </c>
      <c r="I255" s="41">
        <v>9.007669066E9</v>
      </c>
      <c r="J255" s="11" t="s">
        <v>25</v>
      </c>
      <c r="K255" s="12"/>
      <c r="L255" s="13"/>
      <c r="M255" s="14"/>
      <c r="N255" s="15"/>
      <c r="O255" s="5" t="s">
        <v>26</v>
      </c>
      <c r="P255" s="5"/>
      <c r="Q255" s="15"/>
      <c r="R255" s="16" t="s">
        <v>28</v>
      </c>
      <c r="S255" s="15"/>
      <c r="T255" s="15"/>
      <c r="U255" s="15"/>
      <c r="V255" s="15"/>
      <c r="W255" s="15"/>
      <c r="X255" s="15"/>
      <c r="Y255" s="15"/>
      <c r="Z255" s="15"/>
      <c r="AA255" s="15"/>
    </row>
    <row r="256">
      <c r="A256" s="5" t="s">
        <v>1128</v>
      </c>
      <c r="B256" s="17" t="s">
        <v>1136</v>
      </c>
      <c r="C256" s="40" t="s">
        <v>1137</v>
      </c>
      <c r="D256" s="8"/>
      <c r="E256" s="8" t="s">
        <v>87</v>
      </c>
      <c r="F256" s="9">
        <v>1000.0</v>
      </c>
      <c r="G256" s="44"/>
      <c r="H256" s="11" t="s">
        <v>44</v>
      </c>
      <c r="I256" s="41">
        <v>9.831933556E9</v>
      </c>
      <c r="J256" s="11" t="s">
        <v>25</v>
      </c>
      <c r="K256" s="12"/>
      <c r="L256" s="13"/>
      <c r="M256" s="14"/>
      <c r="N256" s="15"/>
      <c r="O256" s="5" t="s">
        <v>34</v>
      </c>
      <c r="P256" s="5" t="s">
        <v>55</v>
      </c>
      <c r="Q256" s="15"/>
      <c r="R256" s="16" t="s">
        <v>723</v>
      </c>
      <c r="S256" s="15"/>
      <c r="T256" s="15"/>
      <c r="U256" s="15"/>
      <c r="V256" s="15"/>
      <c r="W256" s="15"/>
      <c r="X256" s="15"/>
      <c r="Y256" s="15"/>
      <c r="Z256" s="15"/>
      <c r="AA256" s="15"/>
    </row>
    <row r="257">
      <c r="A257" s="5" t="s">
        <v>1138</v>
      </c>
      <c r="B257" s="17" t="s">
        <v>1139</v>
      </c>
      <c r="C257" s="40" t="s">
        <v>1140</v>
      </c>
      <c r="D257" s="8"/>
      <c r="E257" s="8" t="s">
        <v>1141</v>
      </c>
      <c r="F257" s="9">
        <v>25000.0</v>
      </c>
      <c r="G257" s="31" t="s">
        <v>1142</v>
      </c>
      <c r="H257" s="11" t="s">
        <v>1143</v>
      </c>
      <c r="I257" s="41">
        <v>8.770471292E9</v>
      </c>
      <c r="J257" s="11" t="s">
        <v>25</v>
      </c>
      <c r="K257" s="12"/>
      <c r="L257" s="13"/>
      <c r="M257" s="14"/>
      <c r="N257" s="15"/>
      <c r="O257" s="5" t="s">
        <v>34</v>
      </c>
      <c r="P257" s="5" t="s">
        <v>185</v>
      </c>
      <c r="Q257" s="15"/>
      <c r="R257" s="16" t="s">
        <v>28</v>
      </c>
      <c r="S257" s="15"/>
      <c r="T257" s="15"/>
      <c r="U257" s="15"/>
      <c r="V257" s="15"/>
      <c r="W257" s="15"/>
      <c r="X257" s="15"/>
      <c r="Y257" s="15"/>
      <c r="Z257" s="15"/>
      <c r="AA257" s="15"/>
    </row>
    <row r="258">
      <c r="A258" s="5" t="s">
        <v>1138</v>
      </c>
      <c r="B258" s="17" t="s">
        <v>1144</v>
      </c>
      <c r="C258" s="40" t="s">
        <v>1145</v>
      </c>
      <c r="D258" s="8"/>
      <c r="E258" s="8" t="s">
        <v>130</v>
      </c>
      <c r="F258" s="9">
        <v>20000.0</v>
      </c>
      <c r="G258" s="31" t="s">
        <v>1146</v>
      </c>
      <c r="H258" s="11" t="s">
        <v>268</v>
      </c>
      <c r="I258" s="41">
        <v>8.670366541E9</v>
      </c>
      <c r="J258" s="11" t="s">
        <v>25</v>
      </c>
      <c r="K258" s="12"/>
      <c r="L258" s="13"/>
      <c r="M258" s="14"/>
      <c r="N258" s="15"/>
      <c r="O258" s="5" t="s">
        <v>26</v>
      </c>
      <c r="P258" s="5"/>
      <c r="Q258" s="15"/>
      <c r="R258" s="16" t="s">
        <v>28</v>
      </c>
      <c r="S258" s="15"/>
      <c r="T258" s="15"/>
      <c r="U258" s="15"/>
      <c r="V258" s="15"/>
      <c r="W258" s="15"/>
      <c r="X258" s="15"/>
      <c r="Y258" s="15"/>
      <c r="Z258" s="15"/>
      <c r="AA258" s="15"/>
    </row>
    <row r="259">
      <c r="A259" s="5" t="s">
        <v>1138</v>
      </c>
      <c r="B259" s="17" t="s">
        <v>1147</v>
      </c>
      <c r="C259" s="40" t="s">
        <v>1148</v>
      </c>
      <c r="D259" s="8"/>
      <c r="E259" s="8" t="s">
        <v>444</v>
      </c>
      <c r="F259" s="9">
        <v>3000.0</v>
      </c>
      <c r="G259" s="31" t="s">
        <v>1149</v>
      </c>
      <c r="H259" s="11" t="s">
        <v>184</v>
      </c>
      <c r="I259" s="41">
        <v>7.07996029E9</v>
      </c>
      <c r="J259" s="11" t="s">
        <v>25</v>
      </c>
      <c r="K259" s="12"/>
      <c r="L259" s="13"/>
      <c r="M259" s="14"/>
      <c r="N259" s="15"/>
      <c r="O259" s="5" t="s">
        <v>26</v>
      </c>
      <c r="P259" s="5"/>
      <c r="Q259" s="15"/>
      <c r="R259" s="16" t="s">
        <v>28</v>
      </c>
      <c r="S259" s="15"/>
      <c r="T259" s="15"/>
      <c r="U259" s="15"/>
      <c r="V259" s="15"/>
      <c r="W259" s="15"/>
      <c r="X259" s="15"/>
      <c r="Y259" s="15"/>
      <c r="Z259" s="15"/>
      <c r="AA259" s="15"/>
    </row>
    <row r="260">
      <c r="A260" s="5" t="s">
        <v>1138</v>
      </c>
      <c r="B260" s="17" t="s">
        <v>1150</v>
      </c>
      <c r="C260" s="40" t="s">
        <v>1151</v>
      </c>
      <c r="D260" s="8"/>
      <c r="E260" s="8" t="s">
        <v>43</v>
      </c>
      <c r="F260" s="9">
        <v>2000.0</v>
      </c>
      <c r="G260" s="44"/>
      <c r="H260" s="11" t="s">
        <v>218</v>
      </c>
      <c r="I260" s="41">
        <v>7.551835869E9</v>
      </c>
      <c r="J260" s="11" t="s">
        <v>25</v>
      </c>
      <c r="K260" s="12"/>
      <c r="L260" s="13"/>
      <c r="M260" s="14"/>
      <c r="N260" s="15"/>
      <c r="O260" s="5" t="s">
        <v>26</v>
      </c>
      <c r="P260" s="5" t="s">
        <v>876</v>
      </c>
      <c r="Q260" s="15"/>
      <c r="R260" s="16" t="s">
        <v>28</v>
      </c>
      <c r="S260" s="15"/>
      <c r="T260" s="15"/>
      <c r="U260" s="15"/>
      <c r="V260" s="15"/>
      <c r="W260" s="15"/>
      <c r="X260" s="15"/>
      <c r="Y260" s="15"/>
      <c r="Z260" s="15"/>
      <c r="AA260" s="15"/>
    </row>
    <row r="261">
      <c r="A261" s="5" t="s">
        <v>1138</v>
      </c>
      <c r="B261" s="17" t="s">
        <v>1152</v>
      </c>
      <c r="C261" s="40" t="s">
        <v>1153</v>
      </c>
      <c r="D261" s="8"/>
      <c r="E261" s="8" t="s">
        <v>222</v>
      </c>
      <c r="F261" s="9">
        <v>2000.0</v>
      </c>
      <c r="G261" s="43"/>
      <c r="H261" s="52" t="s">
        <v>44</v>
      </c>
      <c r="I261" s="41">
        <v>8.770371443E9</v>
      </c>
      <c r="J261" s="11" t="s">
        <v>25</v>
      </c>
      <c r="K261" s="12"/>
      <c r="L261" s="13"/>
      <c r="M261" s="14"/>
      <c r="N261" s="15"/>
      <c r="O261" s="5" t="s">
        <v>34</v>
      </c>
      <c r="P261" s="5" t="s">
        <v>1154</v>
      </c>
      <c r="Q261" s="11" t="s">
        <v>1155</v>
      </c>
      <c r="R261" s="16" t="s">
        <v>28</v>
      </c>
      <c r="S261" s="15"/>
      <c r="T261" s="15"/>
      <c r="U261" s="15"/>
      <c r="V261" s="15"/>
      <c r="W261" s="15"/>
      <c r="X261" s="15"/>
      <c r="Y261" s="15"/>
      <c r="Z261" s="15"/>
      <c r="AA261" s="15"/>
    </row>
    <row r="262">
      <c r="A262" s="5" t="s">
        <v>1156</v>
      </c>
      <c r="B262" s="17" t="s">
        <v>1157</v>
      </c>
      <c r="C262" s="40" t="s">
        <v>1158</v>
      </c>
      <c r="D262" s="8"/>
      <c r="E262" s="8" t="s">
        <v>130</v>
      </c>
      <c r="F262" s="9">
        <v>15000.0</v>
      </c>
      <c r="G262" s="31" t="s">
        <v>1159</v>
      </c>
      <c r="H262" s="36" t="s">
        <v>1160</v>
      </c>
      <c r="I262" s="41">
        <v>9.492853364E9</v>
      </c>
      <c r="J262" s="11" t="s">
        <v>25</v>
      </c>
      <c r="K262" s="12"/>
      <c r="L262" s="13"/>
      <c r="M262" s="14"/>
      <c r="N262" s="15"/>
      <c r="O262" s="5" t="s">
        <v>108</v>
      </c>
      <c r="P262" s="5"/>
      <c r="Q262" s="15"/>
      <c r="R262" s="16" t="s">
        <v>28</v>
      </c>
      <c r="S262" s="15"/>
      <c r="T262" s="15"/>
      <c r="U262" s="15"/>
      <c r="V262" s="15"/>
      <c r="W262" s="15"/>
      <c r="X262" s="15"/>
      <c r="Y262" s="15"/>
      <c r="Z262" s="15"/>
      <c r="AA262" s="15"/>
    </row>
    <row r="263">
      <c r="A263" s="5" t="s">
        <v>1156</v>
      </c>
      <c r="B263" s="17" t="s">
        <v>1161</v>
      </c>
      <c r="C263" s="40" t="s">
        <v>1162</v>
      </c>
      <c r="D263" s="8"/>
      <c r="E263" s="8" t="s">
        <v>43</v>
      </c>
      <c r="F263" s="9">
        <v>2000.0</v>
      </c>
      <c r="G263" s="31" t="s">
        <v>1163</v>
      </c>
      <c r="H263" s="11" t="s">
        <v>44</v>
      </c>
      <c r="I263" s="41">
        <v>8.081873612E9</v>
      </c>
      <c r="J263" s="11" t="s">
        <v>25</v>
      </c>
      <c r="K263" s="12"/>
      <c r="L263" s="13"/>
      <c r="M263" s="14"/>
      <c r="N263" s="15"/>
      <c r="O263" s="5" t="s">
        <v>34</v>
      </c>
      <c r="P263" s="5" t="s">
        <v>1164</v>
      </c>
      <c r="Q263" s="15"/>
      <c r="R263" s="16" t="s">
        <v>28</v>
      </c>
      <c r="S263" s="15"/>
      <c r="T263" s="15"/>
      <c r="U263" s="15"/>
      <c r="V263" s="15"/>
      <c r="W263" s="15"/>
      <c r="X263" s="15"/>
      <c r="Y263" s="15"/>
      <c r="Z263" s="15"/>
      <c r="AA263" s="15"/>
    </row>
    <row r="264">
      <c r="A264" s="5" t="s">
        <v>1165</v>
      </c>
      <c r="B264" s="17" t="s">
        <v>1166</v>
      </c>
      <c r="C264" s="40" t="s">
        <v>1167</v>
      </c>
      <c r="D264" s="8"/>
      <c r="E264" s="8" t="s">
        <v>690</v>
      </c>
      <c r="F264" s="9">
        <v>1000.0</v>
      </c>
      <c r="G264" s="31" t="s">
        <v>1168</v>
      </c>
      <c r="H264" s="11" t="s">
        <v>44</v>
      </c>
      <c r="I264" s="41">
        <v>8.670262878E9</v>
      </c>
      <c r="J264" s="11" t="s">
        <v>25</v>
      </c>
      <c r="K264" s="12"/>
      <c r="L264" s="13"/>
      <c r="M264" s="14"/>
      <c r="N264" s="15"/>
      <c r="O264" s="5" t="s">
        <v>26</v>
      </c>
      <c r="P264" s="5" t="s">
        <v>1169</v>
      </c>
      <c r="Q264" s="15"/>
      <c r="R264" s="16" t="s">
        <v>28</v>
      </c>
      <c r="S264" s="15"/>
      <c r="T264" s="15"/>
      <c r="U264" s="15"/>
      <c r="V264" s="15"/>
      <c r="W264" s="15"/>
      <c r="X264" s="15"/>
      <c r="Y264" s="15"/>
      <c r="Z264" s="15"/>
      <c r="AA264" s="15"/>
    </row>
    <row r="265">
      <c r="A265" s="5" t="s">
        <v>1165</v>
      </c>
      <c r="B265" s="17" t="s">
        <v>1170</v>
      </c>
      <c r="C265" s="40" t="s">
        <v>1171</v>
      </c>
      <c r="D265" s="8"/>
      <c r="E265" s="8" t="s">
        <v>152</v>
      </c>
      <c r="F265" s="9">
        <v>1000.0</v>
      </c>
      <c r="G265" s="44"/>
      <c r="H265" s="11" t="s">
        <v>1172</v>
      </c>
      <c r="I265" s="41">
        <v>9.987049089E9</v>
      </c>
      <c r="J265" s="11" t="s">
        <v>25</v>
      </c>
      <c r="K265" s="12"/>
      <c r="L265" s="13"/>
      <c r="M265" s="14"/>
      <c r="N265" s="15"/>
      <c r="O265" s="5" t="s">
        <v>34</v>
      </c>
      <c r="P265" s="11" t="s">
        <v>1155</v>
      </c>
      <c r="Q265" s="15"/>
      <c r="R265" s="16" t="s">
        <v>28</v>
      </c>
      <c r="S265" s="15"/>
      <c r="T265" s="15"/>
      <c r="U265" s="15"/>
      <c r="V265" s="15"/>
      <c r="W265" s="15"/>
      <c r="X265" s="15"/>
      <c r="Y265" s="15"/>
      <c r="Z265" s="15"/>
      <c r="AA265" s="15"/>
    </row>
    <row r="266">
      <c r="A266" s="5" t="s">
        <v>1165</v>
      </c>
      <c r="B266" s="17" t="s">
        <v>1173</v>
      </c>
      <c r="C266" s="40" t="s">
        <v>1174</v>
      </c>
      <c r="D266" s="8"/>
      <c r="E266" s="8" t="s">
        <v>1175</v>
      </c>
      <c r="F266" s="9">
        <v>300.0</v>
      </c>
      <c r="G266" s="44"/>
      <c r="H266" s="11" t="s">
        <v>24</v>
      </c>
      <c r="I266" s="41">
        <v>7.488468885E9</v>
      </c>
      <c r="J266" s="11" t="s">
        <v>25</v>
      </c>
      <c r="K266" s="12"/>
      <c r="L266" s="13"/>
      <c r="M266" s="11" t="s">
        <v>1176</v>
      </c>
      <c r="N266" s="15"/>
      <c r="O266" s="5" t="s">
        <v>34</v>
      </c>
      <c r="P266" s="5" t="s">
        <v>149</v>
      </c>
      <c r="Q266" s="15"/>
      <c r="R266" s="16" t="s">
        <v>28</v>
      </c>
      <c r="S266" s="15"/>
      <c r="T266" s="15"/>
      <c r="U266" s="15"/>
      <c r="V266" s="15"/>
      <c r="W266" s="15"/>
      <c r="X266" s="15"/>
      <c r="Y266" s="15"/>
      <c r="Z266" s="15"/>
      <c r="AA266" s="15"/>
    </row>
    <row r="267">
      <c r="A267" s="5" t="s">
        <v>1165</v>
      </c>
      <c r="B267" s="17" t="s">
        <v>1177</v>
      </c>
      <c r="C267" s="40" t="s">
        <v>1178</v>
      </c>
      <c r="D267" s="8"/>
      <c r="E267" s="8" t="s">
        <v>130</v>
      </c>
      <c r="F267" s="9">
        <v>1000.0</v>
      </c>
      <c r="G267" s="31" t="s">
        <v>1179</v>
      </c>
      <c r="H267" s="11" t="s">
        <v>495</v>
      </c>
      <c r="I267" s="41">
        <v>9.122814575E9</v>
      </c>
      <c r="J267" s="11" t="s">
        <v>25</v>
      </c>
      <c r="K267" s="12"/>
      <c r="L267" s="13"/>
      <c r="M267" s="14"/>
      <c r="N267" s="15"/>
      <c r="O267" s="5" t="s">
        <v>34</v>
      </c>
      <c r="P267" s="5" t="s">
        <v>79</v>
      </c>
      <c r="Q267" s="15"/>
      <c r="R267" s="16" t="s">
        <v>28</v>
      </c>
      <c r="S267" s="15"/>
      <c r="T267" s="15"/>
      <c r="U267" s="15"/>
      <c r="V267" s="15"/>
      <c r="W267" s="15"/>
      <c r="X267" s="15"/>
      <c r="Y267" s="15"/>
      <c r="Z267" s="15"/>
      <c r="AA267" s="15"/>
    </row>
    <row r="268">
      <c r="A268" s="5" t="s">
        <v>1165</v>
      </c>
      <c r="B268" s="17" t="s">
        <v>1180</v>
      </c>
      <c r="C268" s="40" t="s">
        <v>1181</v>
      </c>
      <c r="D268" s="8"/>
      <c r="E268" s="8" t="s">
        <v>1182</v>
      </c>
      <c r="F268" s="9">
        <v>1000.0</v>
      </c>
      <c r="G268" s="31" t="s">
        <v>1183</v>
      </c>
      <c r="H268" s="11" t="s">
        <v>44</v>
      </c>
      <c r="I268" s="41">
        <v>9.83614478E9</v>
      </c>
      <c r="J268" s="11" t="s">
        <v>25</v>
      </c>
      <c r="K268" s="12"/>
      <c r="L268" s="13"/>
      <c r="M268" s="14"/>
      <c r="N268" s="15"/>
      <c r="O268" s="5" t="s">
        <v>26</v>
      </c>
      <c r="P268" s="5" t="s">
        <v>844</v>
      </c>
      <c r="Q268" s="15"/>
      <c r="R268" s="16" t="s">
        <v>28</v>
      </c>
      <c r="S268" s="15"/>
      <c r="T268" s="15"/>
      <c r="U268" s="15"/>
      <c r="V268" s="15"/>
      <c r="W268" s="15"/>
      <c r="X268" s="15"/>
      <c r="Y268" s="15"/>
      <c r="Z268" s="15"/>
      <c r="AA268" s="15"/>
    </row>
    <row r="269">
      <c r="A269" s="5" t="s">
        <v>1184</v>
      </c>
      <c r="B269" s="17" t="s">
        <v>1185</v>
      </c>
      <c r="C269" s="40" t="s">
        <v>1186</v>
      </c>
      <c r="D269" s="8"/>
      <c r="E269" s="8" t="s">
        <v>1182</v>
      </c>
      <c r="F269" s="9">
        <v>1000.0</v>
      </c>
      <c r="G269" s="31" t="s">
        <v>1187</v>
      </c>
      <c r="H269" s="11" t="s">
        <v>44</v>
      </c>
      <c r="I269" s="41">
        <v>9.830885094E9</v>
      </c>
      <c r="J269" s="11" t="s">
        <v>25</v>
      </c>
      <c r="K269" s="12"/>
      <c r="L269" s="13"/>
      <c r="M269" s="14"/>
      <c r="N269" s="15"/>
      <c r="O269" s="5" t="s">
        <v>34</v>
      </c>
      <c r="P269" s="5" t="s">
        <v>654</v>
      </c>
      <c r="Q269" s="15"/>
      <c r="R269" s="16" t="s">
        <v>28</v>
      </c>
      <c r="S269" s="15"/>
      <c r="T269" s="15"/>
      <c r="U269" s="15"/>
      <c r="V269" s="15"/>
      <c r="W269" s="15"/>
      <c r="X269" s="15"/>
      <c r="Y269" s="15"/>
      <c r="Z269" s="15"/>
      <c r="AA269" s="15"/>
    </row>
    <row r="270">
      <c r="A270" s="5" t="s">
        <v>1184</v>
      </c>
      <c r="B270" s="17" t="s">
        <v>1188</v>
      </c>
      <c r="C270" s="40" t="s">
        <v>1189</v>
      </c>
      <c r="D270" s="8"/>
      <c r="E270" s="8" t="s">
        <v>116</v>
      </c>
      <c r="F270" s="9">
        <v>500.0</v>
      </c>
      <c r="G270" s="31" t="s">
        <v>1190</v>
      </c>
      <c r="H270" s="11" t="s">
        <v>184</v>
      </c>
      <c r="I270" s="41">
        <v>9.131875695E9</v>
      </c>
      <c r="J270" s="11" t="s">
        <v>25</v>
      </c>
      <c r="K270" s="12"/>
      <c r="L270" s="13"/>
      <c r="M270" s="14"/>
      <c r="N270" s="15"/>
      <c r="O270" s="5" t="s">
        <v>26</v>
      </c>
      <c r="P270" s="5"/>
      <c r="Q270" s="15"/>
      <c r="R270" s="16" t="s">
        <v>28</v>
      </c>
      <c r="S270" s="15"/>
      <c r="T270" s="15"/>
      <c r="U270" s="15"/>
      <c r="V270" s="15"/>
      <c r="W270" s="15"/>
      <c r="X270" s="15"/>
      <c r="Y270" s="15"/>
      <c r="Z270" s="15"/>
      <c r="AA270" s="15"/>
    </row>
    <row r="271">
      <c r="A271" s="5" t="s">
        <v>1184</v>
      </c>
      <c r="B271" s="17" t="s">
        <v>1191</v>
      </c>
      <c r="C271" s="40" t="s">
        <v>1192</v>
      </c>
      <c r="D271" s="8"/>
      <c r="E271" s="8" t="s">
        <v>1193</v>
      </c>
      <c r="F271" s="9">
        <v>5000.0</v>
      </c>
      <c r="G271" s="31" t="s">
        <v>1194</v>
      </c>
      <c r="H271" s="11" t="s">
        <v>99</v>
      </c>
      <c r="I271" s="41">
        <v>8.801350541E9</v>
      </c>
      <c r="J271" s="11" t="s">
        <v>25</v>
      </c>
      <c r="K271" s="12"/>
      <c r="L271" s="13"/>
      <c r="M271" s="14"/>
      <c r="N271" s="15"/>
      <c r="O271" s="5" t="s">
        <v>60</v>
      </c>
      <c r="P271" s="5"/>
      <c r="Q271" s="15"/>
      <c r="R271" s="16" t="s">
        <v>28</v>
      </c>
      <c r="S271" s="15"/>
      <c r="T271" s="15"/>
      <c r="U271" s="15"/>
      <c r="V271" s="15"/>
      <c r="W271" s="15"/>
      <c r="X271" s="15"/>
      <c r="Y271" s="15"/>
      <c r="Z271" s="15"/>
      <c r="AA271" s="15"/>
    </row>
    <row r="272">
      <c r="A272" s="5" t="s">
        <v>1184</v>
      </c>
      <c r="B272" s="17" t="s">
        <v>1195</v>
      </c>
      <c r="C272" s="40" t="s">
        <v>1196</v>
      </c>
      <c r="D272" s="8"/>
      <c r="E272" s="8" t="s">
        <v>87</v>
      </c>
      <c r="F272" s="9">
        <v>500.0</v>
      </c>
      <c r="G272" s="31" t="s">
        <v>1197</v>
      </c>
      <c r="H272" s="11" t="s">
        <v>131</v>
      </c>
      <c r="I272" s="41">
        <v>8.471978667E9</v>
      </c>
      <c r="J272" s="11" t="s">
        <v>25</v>
      </c>
      <c r="K272" s="12"/>
      <c r="L272" s="13"/>
      <c r="M272" s="14"/>
      <c r="N272" s="15"/>
      <c r="O272" s="5" t="s">
        <v>34</v>
      </c>
      <c r="P272" s="5"/>
      <c r="Q272" s="15"/>
      <c r="R272" s="16" t="s">
        <v>28</v>
      </c>
      <c r="S272" s="15"/>
      <c r="T272" s="15"/>
      <c r="U272" s="15"/>
      <c r="V272" s="15"/>
      <c r="W272" s="15"/>
      <c r="X272" s="15"/>
      <c r="Y272" s="15"/>
      <c r="Z272" s="15"/>
      <c r="AA272" s="15"/>
    </row>
    <row r="273">
      <c r="A273" s="5" t="s">
        <v>1198</v>
      </c>
      <c r="B273" s="17" t="s">
        <v>1199</v>
      </c>
      <c r="C273" s="40" t="s">
        <v>1200</v>
      </c>
      <c r="D273" s="8"/>
      <c r="E273" s="8" t="s">
        <v>152</v>
      </c>
      <c r="F273" s="9">
        <v>500.0</v>
      </c>
      <c r="G273" s="31" t="s">
        <v>1201</v>
      </c>
      <c r="H273" s="11" t="s">
        <v>44</v>
      </c>
      <c r="I273" s="41">
        <v>9.907677839E9</v>
      </c>
      <c r="J273" s="11" t="s">
        <v>25</v>
      </c>
      <c r="K273" s="12"/>
      <c r="L273" s="13"/>
      <c r="M273" s="14"/>
      <c r="N273" s="15"/>
      <c r="O273" s="5" t="s">
        <v>26</v>
      </c>
      <c r="P273" s="5"/>
      <c r="Q273" s="15"/>
      <c r="R273" s="16" t="s">
        <v>28</v>
      </c>
      <c r="S273" s="15"/>
      <c r="T273" s="15"/>
      <c r="U273" s="15"/>
      <c r="V273" s="15"/>
      <c r="W273" s="15"/>
      <c r="X273" s="15"/>
      <c r="Y273" s="15"/>
      <c r="Z273" s="15"/>
      <c r="AA273" s="15"/>
    </row>
    <row r="274">
      <c r="A274" s="5" t="s">
        <v>1198</v>
      </c>
      <c r="B274" s="17" t="s">
        <v>1202</v>
      </c>
      <c r="C274" s="40" t="s">
        <v>1203</v>
      </c>
      <c r="D274" s="8"/>
      <c r="E274" s="8" t="s">
        <v>1204</v>
      </c>
      <c r="F274" s="9">
        <v>1000.0</v>
      </c>
      <c r="G274" s="31" t="s">
        <v>1205</v>
      </c>
      <c r="H274" s="11" t="s">
        <v>44</v>
      </c>
      <c r="I274" s="41">
        <v>7.678171383E9</v>
      </c>
      <c r="J274" s="11" t="s">
        <v>25</v>
      </c>
      <c r="K274" s="12"/>
      <c r="L274" s="13"/>
      <c r="M274" s="14"/>
      <c r="N274" s="15"/>
      <c r="O274" s="5" t="s">
        <v>26</v>
      </c>
      <c r="P274" s="5"/>
      <c r="Q274" s="15"/>
      <c r="R274" s="16" t="s">
        <v>28</v>
      </c>
      <c r="S274" s="15"/>
      <c r="T274" s="15"/>
      <c r="U274" s="15"/>
      <c r="V274" s="15"/>
      <c r="W274" s="15"/>
      <c r="X274" s="15"/>
      <c r="Y274" s="15"/>
      <c r="Z274" s="15"/>
      <c r="AA274" s="15"/>
    </row>
    <row r="275">
      <c r="A275" s="5" t="s">
        <v>1198</v>
      </c>
      <c r="B275" s="17" t="s">
        <v>1206</v>
      </c>
      <c r="C275" s="40" t="s">
        <v>1207</v>
      </c>
      <c r="D275" s="8"/>
      <c r="E275" s="8" t="s">
        <v>130</v>
      </c>
      <c r="F275" s="9">
        <v>2000.0</v>
      </c>
      <c r="G275" s="31" t="s">
        <v>1208</v>
      </c>
      <c r="H275" s="11" t="s">
        <v>1209</v>
      </c>
      <c r="I275" s="41">
        <v>9.932740313E9</v>
      </c>
      <c r="J275" s="11" t="s">
        <v>25</v>
      </c>
      <c r="K275" s="12"/>
      <c r="L275" s="13"/>
      <c r="M275" s="14"/>
      <c r="N275" s="15"/>
      <c r="O275" s="5" t="s">
        <v>34</v>
      </c>
      <c r="P275" s="5" t="s">
        <v>1210</v>
      </c>
      <c r="Q275" s="15"/>
      <c r="R275" s="16" t="s">
        <v>28</v>
      </c>
      <c r="S275" s="15"/>
      <c r="T275" s="15"/>
      <c r="U275" s="15"/>
      <c r="V275" s="15"/>
      <c r="W275" s="15"/>
      <c r="X275" s="15"/>
      <c r="Y275" s="15"/>
      <c r="Z275" s="15"/>
      <c r="AA275" s="15"/>
    </row>
    <row r="276">
      <c r="A276" s="5" t="s">
        <v>1198</v>
      </c>
      <c r="B276" s="17" t="s">
        <v>1211</v>
      </c>
      <c r="C276" s="40" t="s">
        <v>1212</v>
      </c>
      <c r="D276" s="8"/>
      <c r="E276" s="8" t="s">
        <v>63</v>
      </c>
      <c r="F276" s="9">
        <v>500.0</v>
      </c>
      <c r="G276" s="44"/>
      <c r="H276" s="11" t="s">
        <v>472</v>
      </c>
      <c r="I276" s="41">
        <v>7.00134487E9</v>
      </c>
      <c r="J276" s="11" t="s">
        <v>25</v>
      </c>
      <c r="K276" s="12"/>
      <c r="L276" s="13"/>
      <c r="M276" s="14"/>
      <c r="N276" s="15"/>
      <c r="O276" s="5" t="s">
        <v>34</v>
      </c>
      <c r="P276" s="5" t="s">
        <v>1213</v>
      </c>
      <c r="Q276" s="15"/>
      <c r="R276" s="16" t="s">
        <v>28</v>
      </c>
      <c r="S276" s="15"/>
      <c r="T276" s="15"/>
      <c r="U276" s="15"/>
      <c r="V276" s="15"/>
      <c r="W276" s="15"/>
      <c r="X276" s="15"/>
      <c r="Y276" s="15"/>
      <c r="Z276" s="15"/>
      <c r="AA276" s="15"/>
    </row>
    <row r="277">
      <c r="A277" s="5" t="s">
        <v>1214</v>
      </c>
      <c r="B277" s="17" t="s">
        <v>1215</v>
      </c>
      <c r="C277" s="40" t="s">
        <v>1216</v>
      </c>
      <c r="D277" s="8"/>
      <c r="E277" s="8" t="s">
        <v>1217</v>
      </c>
      <c r="F277" s="9">
        <v>220.0</v>
      </c>
      <c r="G277" s="31" t="s">
        <v>1218</v>
      </c>
      <c r="H277" s="11" t="s">
        <v>44</v>
      </c>
      <c r="I277" s="41">
        <v>8.647964459E9</v>
      </c>
      <c r="J277" s="11" t="s">
        <v>25</v>
      </c>
      <c r="K277" s="12"/>
      <c r="L277" s="13"/>
      <c r="M277" s="14"/>
      <c r="N277" s="15"/>
      <c r="O277" s="5" t="s">
        <v>26</v>
      </c>
      <c r="P277" s="5"/>
      <c r="Q277" s="15"/>
      <c r="R277" s="16" t="s">
        <v>28</v>
      </c>
      <c r="S277" s="15"/>
      <c r="T277" s="15"/>
      <c r="U277" s="15"/>
      <c r="V277" s="15"/>
      <c r="W277" s="15"/>
      <c r="X277" s="15"/>
      <c r="Y277" s="15"/>
      <c r="Z277" s="15"/>
      <c r="AA277" s="15"/>
    </row>
    <row r="278">
      <c r="A278" s="5" t="s">
        <v>1214</v>
      </c>
      <c r="B278" s="17" t="s">
        <v>1219</v>
      </c>
      <c r="C278" s="40" t="s">
        <v>1220</v>
      </c>
      <c r="D278" s="8"/>
      <c r="E278" s="8" t="s">
        <v>130</v>
      </c>
      <c r="F278" s="9">
        <v>1000.0</v>
      </c>
      <c r="G278" s="31" t="s">
        <v>1221</v>
      </c>
      <c r="H278" s="11" t="s">
        <v>1222</v>
      </c>
      <c r="I278" s="41">
        <v>7.980954242E9</v>
      </c>
      <c r="J278" s="11" t="s">
        <v>25</v>
      </c>
      <c r="K278" s="12"/>
      <c r="L278" s="13"/>
      <c r="M278" s="14"/>
      <c r="N278" s="15"/>
      <c r="O278" s="5" t="s">
        <v>34</v>
      </c>
      <c r="P278" s="5" t="s">
        <v>209</v>
      </c>
      <c r="Q278" s="15"/>
      <c r="R278" s="16" t="s">
        <v>28</v>
      </c>
      <c r="S278" s="15"/>
      <c r="T278" s="15"/>
      <c r="U278" s="15"/>
      <c r="V278" s="15"/>
      <c r="W278" s="15"/>
      <c r="X278" s="15"/>
      <c r="Y278" s="15"/>
      <c r="Z278" s="15"/>
      <c r="AA278" s="15"/>
    </row>
    <row r="279">
      <c r="A279" s="5" t="s">
        <v>1223</v>
      </c>
      <c r="B279" s="17" t="s">
        <v>1224</v>
      </c>
      <c r="C279" s="40" t="s">
        <v>1225</v>
      </c>
      <c r="D279" s="8"/>
      <c r="E279" s="8" t="s">
        <v>523</v>
      </c>
      <c r="F279" s="9">
        <v>1000.0</v>
      </c>
      <c r="G279" s="31" t="s">
        <v>1226</v>
      </c>
      <c r="H279" s="11" t="s">
        <v>1227</v>
      </c>
      <c r="I279" s="41">
        <v>7.797107845E9</v>
      </c>
      <c r="J279" s="11" t="s">
        <v>25</v>
      </c>
      <c r="K279" s="12"/>
      <c r="L279" s="13"/>
      <c r="M279" s="14"/>
      <c r="N279" s="15"/>
      <c r="O279" s="5" t="s">
        <v>26</v>
      </c>
      <c r="P279" s="5"/>
      <c r="Q279" s="15"/>
      <c r="R279" s="16" t="s">
        <v>28</v>
      </c>
      <c r="S279" s="15"/>
      <c r="T279" s="15"/>
      <c r="U279" s="15"/>
      <c r="V279" s="15"/>
      <c r="W279" s="15"/>
      <c r="X279" s="15"/>
      <c r="Y279" s="15"/>
      <c r="Z279" s="15"/>
      <c r="AA279" s="15"/>
    </row>
    <row r="280">
      <c r="A280" s="5" t="s">
        <v>1223</v>
      </c>
      <c r="B280" s="17" t="s">
        <v>1228</v>
      </c>
      <c r="C280" s="40" t="s">
        <v>1229</v>
      </c>
      <c r="D280" s="8"/>
      <c r="E280" s="8" t="s">
        <v>1230</v>
      </c>
      <c r="F280" s="9">
        <v>10000.0</v>
      </c>
      <c r="G280" s="31" t="s">
        <v>1231</v>
      </c>
      <c r="H280" s="11" t="s">
        <v>1232</v>
      </c>
      <c r="I280" s="41">
        <v>7.003858874E9</v>
      </c>
      <c r="J280" s="11" t="s">
        <v>25</v>
      </c>
      <c r="K280" s="12"/>
      <c r="L280" s="13"/>
      <c r="M280" s="14"/>
      <c r="N280" s="15"/>
      <c r="O280" s="5" t="s">
        <v>34</v>
      </c>
      <c r="P280" s="5" t="s">
        <v>654</v>
      </c>
      <c r="Q280" s="5" t="s">
        <v>55</v>
      </c>
      <c r="R280" s="16" t="s">
        <v>723</v>
      </c>
      <c r="S280" s="15"/>
      <c r="T280" s="15"/>
      <c r="U280" s="15"/>
      <c r="V280" s="15"/>
      <c r="W280" s="15"/>
      <c r="X280" s="15"/>
      <c r="Y280" s="15"/>
      <c r="Z280" s="15"/>
      <c r="AA280" s="15"/>
    </row>
    <row r="281">
      <c r="A281" s="5" t="s">
        <v>1233</v>
      </c>
      <c r="B281" s="17" t="s">
        <v>1234</v>
      </c>
      <c r="C281" s="40" t="s">
        <v>1235</v>
      </c>
      <c r="D281" s="8"/>
      <c r="E281" s="8" t="s">
        <v>130</v>
      </c>
      <c r="F281" s="9">
        <v>1000.0</v>
      </c>
      <c r="G281" s="31" t="s">
        <v>1236</v>
      </c>
      <c r="H281" s="11" t="s">
        <v>1237</v>
      </c>
      <c r="I281" s="41">
        <v>9.165638E9</v>
      </c>
      <c r="J281" s="11" t="s">
        <v>25</v>
      </c>
      <c r="K281" s="12"/>
      <c r="L281" s="13"/>
      <c r="M281" s="14"/>
      <c r="N281" s="15"/>
      <c r="O281" s="5" t="s">
        <v>108</v>
      </c>
      <c r="P281" s="5"/>
      <c r="Q281" s="15"/>
      <c r="R281" s="16" t="s">
        <v>28</v>
      </c>
      <c r="S281" s="15"/>
      <c r="T281" s="15"/>
      <c r="U281" s="15"/>
      <c r="V281" s="15"/>
      <c r="W281" s="15"/>
      <c r="X281" s="15"/>
      <c r="Y281" s="15"/>
      <c r="Z281" s="15"/>
      <c r="AA281" s="15"/>
    </row>
    <row r="282">
      <c r="A282" s="5" t="s">
        <v>1233</v>
      </c>
      <c r="B282" s="17" t="s">
        <v>1238</v>
      </c>
      <c r="C282" s="40" t="s">
        <v>1239</v>
      </c>
      <c r="D282" s="8"/>
      <c r="E282" s="8" t="s">
        <v>568</v>
      </c>
      <c r="F282" s="9">
        <v>5000.0</v>
      </c>
      <c r="G282" s="44"/>
      <c r="H282" s="11" t="s">
        <v>158</v>
      </c>
      <c r="I282" s="41">
        <v>6.291670308E9</v>
      </c>
      <c r="J282" s="11" t="s">
        <v>25</v>
      </c>
      <c r="K282" s="12"/>
      <c r="L282" s="13"/>
      <c r="M282" s="14"/>
      <c r="N282" s="15"/>
      <c r="O282" s="5" t="s">
        <v>26</v>
      </c>
      <c r="P282" s="5" t="s">
        <v>1240</v>
      </c>
      <c r="Q282" s="15"/>
      <c r="R282" s="16" t="s">
        <v>28</v>
      </c>
      <c r="S282" s="15"/>
      <c r="T282" s="15"/>
      <c r="U282" s="15"/>
      <c r="V282" s="15"/>
      <c r="W282" s="15"/>
      <c r="X282" s="15"/>
      <c r="Y282" s="15"/>
      <c r="Z282" s="15"/>
      <c r="AA282" s="15"/>
    </row>
    <row r="283">
      <c r="A283" s="5" t="s">
        <v>1233</v>
      </c>
      <c r="B283" s="17" t="s">
        <v>1241</v>
      </c>
      <c r="C283" s="40" t="s">
        <v>1242</v>
      </c>
      <c r="D283" s="8"/>
      <c r="E283" s="8" t="s">
        <v>130</v>
      </c>
      <c r="F283" s="9">
        <v>3000.0</v>
      </c>
      <c r="G283" s="31" t="s">
        <v>1243</v>
      </c>
      <c r="H283" s="11" t="s">
        <v>495</v>
      </c>
      <c r="I283" s="41">
        <v>7.979923385E9</v>
      </c>
      <c r="J283" s="11" t="s">
        <v>25</v>
      </c>
      <c r="K283" s="12"/>
      <c r="L283" s="13"/>
      <c r="M283" s="14"/>
      <c r="N283" s="15"/>
      <c r="O283" s="5" t="s">
        <v>34</v>
      </c>
      <c r="P283" s="5" t="s">
        <v>957</v>
      </c>
      <c r="Q283" s="15"/>
      <c r="R283" s="16" t="s">
        <v>28</v>
      </c>
      <c r="S283" s="15"/>
      <c r="T283" s="15"/>
      <c r="U283" s="15"/>
      <c r="V283" s="15"/>
      <c r="W283" s="15"/>
      <c r="X283" s="15"/>
      <c r="Y283" s="15"/>
      <c r="Z283" s="15"/>
      <c r="AA283" s="15"/>
    </row>
    <row r="284">
      <c r="A284" s="5" t="s">
        <v>1244</v>
      </c>
      <c r="B284" s="17" t="s">
        <v>1245</v>
      </c>
      <c r="C284" s="40" t="s">
        <v>1246</v>
      </c>
      <c r="D284" s="8"/>
      <c r="E284" s="8" t="s">
        <v>1247</v>
      </c>
      <c r="F284" s="9">
        <v>5000.0</v>
      </c>
      <c r="G284" s="31" t="s">
        <v>1248</v>
      </c>
      <c r="H284" s="11" t="s">
        <v>44</v>
      </c>
      <c r="I284" s="41">
        <v>9.664256593E9</v>
      </c>
      <c r="J284" s="11" t="s">
        <v>25</v>
      </c>
      <c r="K284" s="12"/>
      <c r="L284" s="13"/>
      <c r="M284" s="14"/>
      <c r="N284" s="15"/>
      <c r="O284" s="5" t="s">
        <v>34</v>
      </c>
      <c r="P284" s="5" t="s">
        <v>405</v>
      </c>
      <c r="Q284" s="15"/>
      <c r="R284" s="16" t="s">
        <v>28</v>
      </c>
      <c r="S284" s="15"/>
      <c r="T284" s="15"/>
      <c r="U284" s="15"/>
      <c r="V284" s="15"/>
      <c r="W284" s="15"/>
      <c r="X284" s="15"/>
      <c r="Y284" s="15"/>
      <c r="Z284" s="15"/>
      <c r="AA284" s="15"/>
    </row>
    <row r="285">
      <c r="A285" s="5" t="s">
        <v>1244</v>
      </c>
      <c r="B285" s="17" t="s">
        <v>1249</v>
      </c>
      <c r="C285" s="40" t="s">
        <v>1250</v>
      </c>
      <c r="D285" s="8"/>
      <c r="E285" s="8" t="s">
        <v>1251</v>
      </c>
      <c r="F285" s="9">
        <v>900.0</v>
      </c>
      <c r="G285" s="31" t="s">
        <v>1252</v>
      </c>
      <c r="H285" s="11" t="s">
        <v>44</v>
      </c>
      <c r="I285" s="41">
        <v>9.741098315E9</v>
      </c>
      <c r="J285" s="11" t="s">
        <v>25</v>
      </c>
      <c r="K285" s="12"/>
      <c r="L285" s="13"/>
      <c r="M285" s="14"/>
      <c r="N285" s="15"/>
      <c r="O285" s="5" t="s">
        <v>26</v>
      </c>
      <c r="P285" s="5"/>
      <c r="Q285" s="15"/>
      <c r="R285" s="16" t="s">
        <v>28</v>
      </c>
      <c r="S285" s="15"/>
      <c r="T285" s="15"/>
      <c r="U285" s="15"/>
      <c r="V285" s="15"/>
      <c r="W285" s="15"/>
      <c r="X285" s="15"/>
      <c r="Y285" s="15"/>
      <c r="Z285" s="15"/>
      <c r="AA285" s="15"/>
    </row>
    <row r="286">
      <c r="A286" s="5" t="s">
        <v>1244</v>
      </c>
      <c r="B286" s="17" t="s">
        <v>1253</v>
      </c>
      <c r="C286" s="40" t="s">
        <v>1254</v>
      </c>
      <c r="D286" s="8"/>
      <c r="E286" s="8" t="s">
        <v>43</v>
      </c>
      <c r="F286" s="9">
        <v>10000.0</v>
      </c>
      <c r="G286" s="44"/>
      <c r="H286" s="11" t="s">
        <v>1255</v>
      </c>
      <c r="I286" s="41">
        <v>9.339593849E9</v>
      </c>
      <c r="J286" s="11" t="s">
        <v>25</v>
      </c>
      <c r="K286" s="12"/>
      <c r="L286" s="13"/>
      <c r="M286" s="14"/>
      <c r="N286" s="15"/>
      <c r="O286" s="5" t="s">
        <v>34</v>
      </c>
      <c r="P286" s="5" t="s">
        <v>79</v>
      </c>
      <c r="Q286" s="15"/>
      <c r="R286" s="16" t="s">
        <v>28</v>
      </c>
      <c r="S286" s="15"/>
      <c r="T286" s="15"/>
      <c r="U286" s="15"/>
      <c r="V286" s="15"/>
      <c r="W286" s="15"/>
      <c r="X286" s="15"/>
      <c r="Y286" s="15"/>
      <c r="Z286" s="15"/>
      <c r="AA286" s="15"/>
    </row>
    <row r="287">
      <c r="A287" s="5" t="s">
        <v>1256</v>
      </c>
      <c r="B287" s="17" t="s">
        <v>1257</v>
      </c>
      <c r="C287" s="40" t="s">
        <v>1258</v>
      </c>
      <c r="D287" s="8"/>
      <c r="E287" s="8" t="s">
        <v>152</v>
      </c>
      <c r="F287" s="9">
        <v>1000.0</v>
      </c>
      <c r="G287" s="31" t="s">
        <v>1259</v>
      </c>
      <c r="H287" s="11" t="s">
        <v>1260</v>
      </c>
      <c r="I287" s="41">
        <v>8.125584977E9</v>
      </c>
      <c r="J287" s="11" t="s">
        <v>25</v>
      </c>
      <c r="K287" s="12"/>
      <c r="L287" s="13"/>
      <c r="M287" s="14"/>
      <c r="N287" s="15"/>
      <c r="O287" s="5" t="s">
        <v>108</v>
      </c>
      <c r="P287" s="5"/>
      <c r="Q287" s="15"/>
      <c r="R287" s="16" t="s">
        <v>28</v>
      </c>
      <c r="S287" s="15"/>
      <c r="T287" s="15"/>
      <c r="U287" s="15"/>
      <c r="V287" s="15"/>
      <c r="W287" s="15"/>
      <c r="X287" s="15"/>
      <c r="Y287" s="15"/>
      <c r="Z287" s="15"/>
      <c r="AA287" s="15"/>
    </row>
    <row r="288">
      <c r="A288" s="5" t="s">
        <v>1256</v>
      </c>
      <c r="B288" s="17" t="s">
        <v>1261</v>
      </c>
      <c r="C288" s="40" t="s">
        <v>1262</v>
      </c>
      <c r="D288" s="8"/>
      <c r="E288" s="8" t="s">
        <v>568</v>
      </c>
      <c r="F288" s="9">
        <v>5000.0</v>
      </c>
      <c r="G288" s="31" t="s">
        <v>1263</v>
      </c>
      <c r="H288" s="11" t="s">
        <v>44</v>
      </c>
      <c r="I288" s="41">
        <v>9.163355633E9</v>
      </c>
      <c r="J288" s="11" t="s">
        <v>25</v>
      </c>
      <c r="K288" s="12"/>
      <c r="L288" s="13"/>
      <c r="M288" s="14"/>
      <c r="N288" s="15"/>
      <c r="O288" s="5" t="s">
        <v>34</v>
      </c>
      <c r="P288" s="5" t="s">
        <v>1264</v>
      </c>
      <c r="Q288" s="15"/>
      <c r="R288" s="16" t="s">
        <v>28</v>
      </c>
      <c r="S288" s="15"/>
      <c r="T288" s="15"/>
      <c r="U288" s="15"/>
      <c r="V288" s="15"/>
      <c r="W288" s="15"/>
      <c r="X288" s="15"/>
      <c r="Y288" s="15"/>
      <c r="Z288" s="15"/>
      <c r="AA288" s="15"/>
    </row>
    <row r="289">
      <c r="A289" s="5" t="s">
        <v>1265</v>
      </c>
      <c r="B289" s="17" t="s">
        <v>1266</v>
      </c>
      <c r="C289" s="40" t="s">
        <v>1267</v>
      </c>
      <c r="D289" s="8"/>
      <c r="E289" s="8" t="s">
        <v>829</v>
      </c>
      <c r="F289" s="9">
        <v>1000.0</v>
      </c>
      <c r="G289" s="31" t="s">
        <v>1268</v>
      </c>
      <c r="H289" s="11" t="s">
        <v>24</v>
      </c>
      <c r="I289" s="41">
        <v>8.434270858E9</v>
      </c>
      <c r="J289" s="11" t="s">
        <v>25</v>
      </c>
      <c r="K289" s="12"/>
      <c r="L289" s="13"/>
      <c r="M289" s="14"/>
      <c r="N289" s="15"/>
      <c r="O289" s="5" t="s">
        <v>34</v>
      </c>
      <c r="P289" s="5" t="s">
        <v>209</v>
      </c>
      <c r="Q289" s="15"/>
      <c r="R289" s="16" t="s">
        <v>28</v>
      </c>
      <c r="S289" s="15"/>
      <c r="T289" s="15"/>
      <c r="U289" s="15"/>
      <c r="V289" s="15"/>
      <c r="W289" s="15"/>
      <c r="X289" s="15"/>
      <c r="Y289" s="15"/>
      <c r="Z289" s="15"/>
      <c r="AA289" s="15"/>
    </row>
    <row r="290">
      <c r="A290" s="5" t="s">
        <v>1265</v>
      </c>
      <c r="B290" s="17" t="s">
        <v>1269</v>
      </c>
      <c r="C290" s="40" t="s">
        <v>1270</v>
      </c>
      <c r="D290" s="8"/>
      <c r="E290" s="8" t="s">
        <v>202</v>
      </c>
      <c r="F290" s="9">
        <v>2000.0</v>
      </c>
      <c r="G290" s="31" t="s">
        <v>1271</v>
      </c>
      <c r="H290" s="11" t="s">
        <v>278</v>
      </c>
      <c r="I290" s="41">
        <v>9.733959623E9</v>
      </c>
      <c r="J290" s="11" t="s">
        <v>25</v>
      </c>
      <c r="K290" s="12"/>
      <c r="L290" s="13"/>
      <c r="M290" s="14"/>
      <c r="N290" s="15"/>
      <c r="O290" s="5" t="s">
        <v>34</v>
      </c>
      <c r="P290" s="5" t="s">
        <v>79</v>
      </c>
      <c r="Q290" s="15"/>
      <c r="R290" s="16" t="s">
        <v>28</v>
      </c>
      <c r="S290" s="15"/>
      <c r="T290" s="15"/>
      <c r="U290" s="15"/>
      <c r="V290" s="15"/>
      <c r="W290" s="15"/>
      <c r="X290" s="15"/>
      <c r="Y290" s="15"/>
      <c r="Z290" s="15"/>
      <c r="AA290" s="15"/>
    </row>
    <row r="291">
      <c r="A291" s="5" t="s">
        <v>1272</v>
      </c>
      <c r="B291" s="17" t="s">
        <v>1273</v>
      </c>
      <c r="C291" s="40" t="s">
        <v>1274</v>
      </c>
      <c r="D291" s="8"/>
      <c r="E291" s="8" t="s">
        <v>116</v>
      </c>
      <c r="F291" s="9">
        <v>1000.0</v>
      </c>
      <c r="G291" s="31" t="s">
        <v>1275</v>
      </c>
      <c r="H291" s="11" t="s">
        <v>99</v>
      </c>
      <c r="I291" s="41">
        <v>9.439392282E9</v>
      </c>
      <c r="J291" s="11" t="s">
        <v>25</v>
      </c>
      <c r="K291" s="12"/>
      <c r="L291" s="13"/>
      <c r="M291" s="14"/>
      <c r="N291" s="15"/>
      <c r="O291" s="5" t="s">
        <v>26</v>
      </c>
      <c r="P291" s="5" t="s">
        <v>1276</v>
      </c>
      <c r="Q291" s="15"/>
      <c r="R291" s="16" t="s">
        <v>28</v>
      </c>
      <c r="S291" s="15"/>
      <c r="T291" s="15"/>
      <c r="U291" s="15"/>
      <c r="V291" s="15"/>
      <c r="W291" s="15"/>
      <c r="X291" s="15"/>
      <c r="Y291" s="15"/>
      <c r="Z291" s="15"/>
      <c r="AA291" s="15"/>
    </row>
    <row r="292">
      <c r="A292" s="5" t="s">
        <v>1277</v>
      </c>
      <c r="B292" s="17" t="s">
        <v>1278</v>
      </c>
      <c r="C292" s="40" t="s">
        <v>1279</v>
      </c>
      <c r="D292" s="8"/>
      <c r="E292" s="8" t="s">
        <v>1280</v>
      </c>
      <c r="F292" s="9">
        <v>200.0</v>
      </c>
      <c r="G292" s="31" t="s">
        <v>1281</v>
      </c>
      <c r="H292" s="11" t="s">
        <v>1282</v>
      </c>
      <c r="I292" s="41">
        <v>9.647051561E9</v>
      </c>
      <c r="J292" s="11" t="s">
        <v>25</v>
      </c>
      <c r="K292" s="12"/>
      <c r="L292" s="13"/>
      <c r="M292" s="14"/>
      <c r="N292" s="15"/>
      <c r="O292" s="5" t="s">
        <v>34</v>
      </c>
      <c r="P292" s="5" t="s">
        <v>777</v>
      </c>
      <c r="Q292" s="15"/>
      <c r="R292" s="16" t="s">
        <v>723</v>
      </c>
      <c r="S292" s="15"/>
      <c r="T292" s="15"/>
      <c r="U292" s="15"/>
      <c r="V292" s="15"/>
      <c r="W292" s="15"/>
      <c r="X292" s="15"/>
      <c r="Y292" s="15"/>
      <c r="Z292" s="15"/>
      <c r="AA292" s="15"/>
    </row>
    <row r="293">
      <c r="A293" s="5" t="s">
        <v>1277</v>
      </c>
      <c r="B293" s="17" t="s">
        <v>1283</v>
      </c>
      <c r="C293" s="40" t="s">
        <v>1284</v>
      </c>
      <c r="D293" s="8"/>
      <c r="E293" s="8" t="s">
        <v>1285</v>
      </c>
      <c r="F293" s="9">
        <v>2000.0</v>
      </c>
      <c r="G293" s="53" t="s">
        <v>1286</v>
      </c>
      <c r="H293" s="11" t="s">
        <v>906</v>
      </c>
      <c r="I293" s="41">
        <v>7.666929298E9</v>
      </c>
      <c r="J293" s="11" t="s">
        <v>25</v>
      </c>
      <c r="K293" s="12"/>
      <c r="L293" s="13"/>
      <c r="M293" s="14"/>
      <c r="N293" s="15"/>
      <c r="O293" s="5" t="s">
        <v>1030</v>
      </c>
      <c r="P293" s="5" t="s">
        <v>1287</v>
      </c>
      <c r="Q293" s="15"/>
      <c r="R293" s="16" t="s">
        <v>28</v>
      </c>
      <c r="S293" s="15"/>
      <c r="T293" s="15"/>
      <c r="U293" s="15"/>
      <c r="V293" s="15"/>
      <c r="W293" s="15"/>
      <c r="X293" s="15"/>
      <c r="Y293" s="15"/>
      <c r="Z293" s="15"/>
      <c r="AA293" s="15"/>
    </row>
    <row r="294">
      <c r="A294" s="5" t="s">
        <v>1277</v>
      </c>
      <c r="B294" s="17" t="s">
        <v>1288</v>
      </c>
      <c r="C294" s="40" t="s">
        <v>1289</v>
      </c>
      <c r="D294" s="8"/>
      <c r="E294" s="8" t="s">
        <v>152</v>
      </c>
      <c r="F294" s="9">
        <v>5000.0</v>
      </c>
      <c r="G294" s="31" t="s">
        <v>1290</v>
      </c>
      <c r="H294" s="11" t="s">
        <v>24</v>
      </c>
      <c r="I294" s="41">
        <v>8.21085487E9</v>
      </c>
      <c r="J294" s="11" t="s">
        <v>25</v>
      </c>
      <c r="K294" s="12"/>
      <c r="L294" s="13"/>
      <c r="M294" s="14"/>
      <c r="N294" s="15"/>
      <c r="O294" s="5" t="s">
        <v>26</v>
      </c>
      <c r="P294" s="5"/>
      <c r="Q294" s="15"/>
      <c r="R294" s="16" t="s">
        <v>28</v>
      </c>
      <c r="S294" s="15"/>
      <c r="T294" s="15"/>
      <c r="U294" s="15"/>
      <c r="V294" s="15"/>
      <c r="W294" s="15"/>
      <c r="X294" s="15"/>
      <c r="Y294" s="15"/>
      <c r="Z294" s="15"/>
      <c r="AA294" s="15"/>
    </row>
    <row r="295">
      <c r="A295" s="5" t="s">
        <v>1277</v>
      </c>
      <c r="B295" s="17" t="s">
        <v>1291</v>
      </c>
      <c r="C295" s="40" t="s">
        <v>1292</v>
      </c>
      <c r="D295" s="8"/>
      <c r="E295" s="8" t="s">
        <v>130</v>
      </c>
      <c r="F295" s="9">
        <v>10000.0</v>
      </c>
      <c r="G295" s="44" t="s">
        <v>1293</v>
      </c>
      <c r="H295" s="11" t="s">
        <v>44</v>
      </c>
      <c r="I295" s="41">
        <v>8.910052379E9</v>
      </c>
      <c r="J295" s="11" t="s">
        <v>25</v>
      </c>
      <c r="K295" s="12"/>
      <c r="L295" s="13"/>
      <c r="M295" s="14"/>
      <c r="N295" s="15"/>
      <c r="O295" s="5" t="s">
        <v>34</v>
      </c>
      <c r="P295" s="5" t="s">
        <v>1294</v>
      </c>
      <c r="Q295" s="15"/>
      <c r="R295" s="16" t="s">
        <v>28</v>
      </c>
      <c r="S295" s="15"/>
      <c r="T295" s="15"/>
      <c r="U295" s="15"/>
      <c r="V295" s="15"/>
      <c r="W295" s="15"/>
      <c r="X295" s="15"/>
      <c r="Y295" s="15"/>
      <c r="Z295" s="15"/>
      <c r="AA295" s="15"/>
    </row>
    <row r="296">
      <c r="A296" s="5" t="s">
        <v>1277</v>
      </c>
      <c r="B296" s="17" t="s">
        <v>1295</v>
      </c>
      <c r="C296" s="40" t="s">
        <v>1296</v>
      </c>
      <c r="D296" s="8"/>
      <c r="E296" s="8" t="s">
        <v>357</v>
      </c>
      <c r="F296" s="9">
        <v>5000.0</v>
      </c>
      <c r="G296" s="31" t="s">
        <v>1297</v>
      </c>
      <c r="H296" s="11" t="s">
        <v>44</v>
      </c>
      <c r="I296" s="41">
        <v>7.908938413E9</v>
      </c>
      <c r="J296" s="11" t="s">
        <v>25</v>
      </c>
      <c r="K296" s="12"/>
      <c r="L296" s="13"/>
      <c r="M296" s="14"/>
      <c r="N296" s="15"/>
      <c r="O296" s="5" t="s">
        <v>34</v>
      </c>
      <c r="P296" s="11" t="s">
        <v>1298</v>
      </c>
      <c r="Q296" s="15"/>
      <c r="R296" s="16" t="s">
        <v>28</v>
      </c>
      <c r="S296" s="15"/>
      <c r="T296" s="15"/>
      <c r="U296" s="15"/>
      <c r="V296" s="15"/>
      <c r="W296" s="15"/>
      <c r="X296" s="15"/>
      <c r="Y296" s="15"/>
      <c r="Z296" s="15"/>
      <c r="AA296" s="15"/>
    </row>
    <row r="297">
      <c r="A297" s="5" t="s">
        <v>1299</v>
      </c>
      <c r="B297" s="17" t="s">
        <v>1300</v>
      </c>
      <c r="C297" s="40" t="s">
        <v>564</v>
      </c>
      <c r="D297" s="8"/>
      <c r="E297" s="8" t="s">
        <v>1230</v>
      </c>
      <c r="F297" s="9">
        <v>5000.0</v>
      </c>
      <c r="G297" s="31" t="s">
        <v>1301</v>
      </c>
      <c r="H297" s="11" t="s">
        <v>519</v>
      </c>
      <c r="I297" s="41">
        <v>7.873109002E9</v>
      </c>
      <c r="J297" s="11" t="s">
        <v>25</v>
      </c>
      <c r="K297" s="12"/>
      <c r="L297" s="13"/>
      <c r="M297" s="14"/>
      <c r="N297" s="15"/>
      <c r="O297" s="5" t="s">
        <v>1030</v>
      </c>
      <c r="P297" s="5"/>
      <c r="Q297" s="15"/>
      <c r="R297" s="16" t="s">
        <v>28</v>
      </c>
      <c r="S297" s="15"/>
      <c r="T297" s="15"/>
      <c r="U297" s="15"/>
      <c r="V297" s="15"/>
      <c r="W297" s="15"/>
      <c r="X297" s="15"/>
      <c r="Y297" s="15"/>
      <c r="Z297" s="15"/>
      <c r="AA297" s="15"/>
    </row>
    <row r="298">
      <c r="A298" s="5" t="s">
        <v>1302</v>
      </c>
      <c r="B298" s="17" t="s">
        <v>1303</v>
      </c>
      <c r="C298" s="40" t="s">
        <v>1304</v>
      </c>
      <c r="D298" s="8"/>
      <c r="E298" s="8" t="s">
        <v>872</v>
      </c>
      <c r="F298" s="9">
        <v>5000.0</v>
      </c>
      <c r="G298" s="31" t="s">
        <v>1305</v>
      </c>
      <c r="H298" s="11" t="s">
        <v>1029</v>
      </c>
      <c r="I298" s="41">
        <v>9.095531555E9</v>
      </c>
      <c r="J298" s="11" t="s">
        <v>25</v>
      </c>
      <c r="K298" s="12"/>
      <c r="L298" s="13"/>
      <c r="M298" s="14"/>
      <c r="N298" s="15"/>
      <c r="O298" s="5" t="s">
        <v>34</v>
      </c>
      <c r="P298" s="5" t="s">
        <v>1306</v>
      </c>
      <c r="Q298" s="15"/>
      <c r="R298" s="16" t="s">
        <v>28</v>
      </c>
      <c r="S298" s="15"/>
      <c r="T298" s="15"/>
      <c r="U298" s="15"/>
      <c r="V298" s="15"/>
      <c r="W298" s="15"/>
      <c r="X298" s="15"/>
      <c r="Y298" s="15"/>
      <c r="Z298" s="15"/>
      <c r="AA298" s="15"/>
    </row>
    <row r="299">
      <c r="A299" s="5" t="s">
        <v>1302</v>
      </c>
      <c r="B299" s="17" t="s">
        <v>1307</v>
      </c>
      <c r="C299" s="40" t="s">
        <v>1308</v>
      </c>
      <c r="D299" s="8"/>
      <c r="E299" s="8" t="s">
        <v>1309</v>
      </c>
      <c r="F299" s="9">
        <v>1000.0</v>
      </c>
      <c r="G299" s="31" t="s">
        <v>1310</v>
      </c>
      <c r="H299" s="11" t="s">
        <v>99</v>
      </c>
      <c r="I299" s="41">
        <v>7.008541835E9</v>
      </c>
      <c r="J299" s="11" t="s">
        <v>25</v>
      </c>
      <c r="K299" s="12"/>
      <c r="L299" s="13"/>
      <c r="M299" s="14"/>
      <c r="N299" s="15"/>
      <c r="O299" s="5" t="s">
        <v>26</v>
      </c>
      <c r="P299" s="5" t="s">
        <v>1311</v>
      </c>
      <c r="Q299" s="15"/>
      <c r="R299" s="16" t="s">
        <v>28</v>
      </c>
      <c r="S299" s="15"/>
      <c r="T299" s="15"/>
      <c r="U299" s="15"/>
      <c r="V299" s="15"/>
      <c r="W299" s="15"/>
      <c r="X299" s="15"/>
      <c r="Y299" s="15"/>
      <c r="Z299" s="15"/>
      <c r="AA299" s="15"/>
    </row>
    <row r="300">
      <c r="A300" s="5" t="s">
        <v>1302</v>
      </c>
      <c r="B300" s="17" t="s">
        <v>1312</v>
      </c>
      <c r="C300" s="40" t="s">
        <v>1313</v>
      </c>
      <c r="D300" s="8"/>
      <c r="E300" s="8" t="s">
        <v>501</v>
      </c>
      <c r="F300" s="9">
        <v>5000.0</v>
      </c>
      <c r="G300" s="31" t="s">
        <v>1314</v>
      </c>
      <c r="H300" s="11" t="s">
        <v>1315</v>
      </c>
      <c r="I300" s="41">
        <v>9.824892944E9</v>
      </c>
      <c r="J300" s="11" t="s">
        <v>1316</v>
      </c>
      <c r="K300" s="12"/>
      <c r="L300" s="13"/>
      <c r="M300" s="14"/>
      <c r="N300" s="15"/>
      <c r="O300" s="5" t="s">
        <v>108</v>
      </c>
      <c r="P300" s="5" t="s">
        <v>1317</v>
      </c>
      <c r="Q300" s="15"/>
      <c r="R300" s="16" t="s">
        <v>28</v>
      </c>
      <c r="S300" s="15"/>
      <c r="T300" s="15"/>
      <c r="U300" s="15"/>
      <c r="V300" s="15"/>
      <c r="W300" s="15"/>
      <c r="X300" s="15"/>
      <c r="Y300" s="15"/>
      <c r="Z300" s="15"/>
      <c r="AA300" s="15"/>
    </row>
    <row r="301">
      <c r="A301" s="5" t="s">
        <v>1302</v>
      </c>
      <c r="B301" s="17" t="s">
        <v>1318</v>
      </c>
      <c r="C301" s="40" t="s">
        <v>1319</v>
      </c>
      <c r="D301" s="8"/>
      <c r="E301" s="8" t="s">
        <v>1320</v>
      </c>
      <c r="F301" s="9">
        <v>1000.0</v>
      </c>
      <c r="G301" s="31" t="s">
        <v>1321</v>
      </c>
      <c r="H301" s="11" t="s">
        <v>99</v>
      </c>
      <c r="I301" s="41">
        <v>9.871484703E9</v>
      </c>
      <c r="J301" s="11" t="s">
        <v>25</v>
      </c>
      <c r="K301" s="12"/>
      <c r="L301" s="13"/>
      <c r="M301" s="14"/>
      <c r="N301" s="15"/>
      <c r="O301" s="5" t="s">
        <v>34</v>
      </c>
      <c r="P301" s="5"/>
      <c r="Q301" s="15"/>
      <c r="R301" s="16" t="s">
        <v>28</v>
      </c>
      <c r="S301" s="15"/>
      <c r="T301" s="15"/>
      <c r="U301" s="15"/>
      <c r="V301" s="15"/>
      <c r="W301" s="15"/>
      <c r="X301" s="15"/>
      <c r="Y301" s="15"/>
      <c r="Z301" s="15"/>
      <c r="AA301" s="15"/>
    </row>
    <row r="302">
      <c r="A302" s="5" t="s">
        <v>1302</v>
      </c>
      <c r="B302" s="17" t="s">
        <v>1322</v>
      </c>
      <c r="C302" s="40" t="s">
        <v>1323</v>
      </c>
      <c r="D302" s="8"/>
      <c r="E302" s="8" t="s">
        <v>152</v>
      </c>
      <c r="F302" s="9">
        <v>1000.0</v>
      </c>
      <c r="G302" s="31" t="s">
        <v>1324</v>
      </c>
      <c r="H302" s="11" t="s">
        <v>1237</v>
      </c>
      <c r="I302" s="41">
        <v>9.131336313E9</v>
      </c>
      <c r="J302" s="11" t="s">
        <v>25</v>
      </c>
      <c r="K302" s="12"/>
      <c r="L302" s="13"/>
      <c r="M302" s="14"/>
      <c r="N302" s="15"/>
      <c r="O302" s="5" t="s">
        <v>108</v>
      </c>
      <c r="P302" s="5"/>
      <c r="Q302" s="15"/>
      <c r="R302" s="16" t="s">
        <v>28</v>
      </c>
      <c r="S302" s="15"/>
      <c r="T302" s="15"/>
      <c r="U302" s="15"/>
      <c r="V302" s="15"/>
      <c r="W302" s="15"/>
      <c r="X302" s="15"/>
      <c r="Y302" s="15"/>
      <c r="Z302" s="15"/>
      <c r="AA302" s="15"/>
    </row>
    <row r="303">
      <c r="A303" s="5" t="s">
        <v>1325</v>
      </c>
      <c r="B303" s="17" t="s">
        <v>1326</v>
      </c>
      <c r="C303" s="40" t="s">
        <v>1327</v>
      </c>
      <c r="D303" s="8"/>
      <c r="E303" s="8" t="s">
        <v>130</v>
      </c>
      <c r="F303" s="9">
        <v>1000.0</v>
      </c>
      <c r="G303" s="31" t="s">
        <v>1328</v>
      </c>
      <c r="H303" s="11" t="s">
        <v>507</v>
      </c>
      <c r="I303" s="41">
        <v>8.698193953E9</v>
      </c>
      <c r="J303" s="11" t="s">
        <v>25</v>
      </c>
      <c r="K303" s="12"/>
      <c r="L303" s="13"/>
      <c r="M303" s="14"/>
      <c r="N303" s="15"/>
      <c r="O303" s="5" t="s">
        <v>108</v>
      </c>
      <c r="P303" s="5" t="s">
        <v>1329</v>
      </c>
      <c r="Q303" s="15"/>
      <c r="R303" s="16" t="s">
        <v>28</v>
      </c>
      <c r="S303" s="15"/>
      <c r="T303" s="15"/>
      <c r="U303" s="15"/>
      <c r="V303" s="15"/>
      <c r="W303" s="15"/>
      <c r="X303" s="15"/>
      <c r="Y303" s="15"/>
      <c r="Z303" s="15"/>
      <c r="AA303" s="15"/>
    </row>
    <row r="304">
      <c r="A304" s="5" t="s">
        <v>1325</v>
      </c>
      <c r="B304" s="17" t="s">
        <v>1330</v>
      </c>
      <c r="C304" s="40" t="s">
        <v>1331</v>
      </c>
      <c r="D304" s="8"/>
      <c r="E304" s="8" t="s">
        <v>152</v>
      </c>
      <c r="F304" s="9">
        <v>20000.0</v>
      </c>
      <c r="G304" s="31" t="s">
        <v>1332</v>
      </c>
      <c r="H304" s="11" t="s">
        <v>507</v>
      </c>
      <c r="I304" s="41">
        <v>9.892763623E9</v>
      </c>
      <c r="J304" s="11" t="s">
        <v>25</v>
      </c>
      <c r="K304" s="12"/>
      <c r="L304" s="13"/>
      <c r="M304" s="14"/>
      <c r="N304" s="15"/>
      <c r="O304" s="5" t="s">
        <v>108</v>
      </c>
      <c r="P304" s="5" t="s">
        <v>1333</v>
      </c>
      <c r="Q304" s="15"/>
      <c r="R304" s="16" t="s">
        <v>28</v>
      </c>
      <c r="S304" s="15"/>
      <c r="T304" s="15"/>
      <c r="U304" s="15"/>
      <c r="V304" s="15"/>
      <c r="W304" s="15"/>
      <c r="X304" s="15"/>
      <c r="Y304" s="15"/>
      <c r="Z304" s="15"/>
      <c r="AA304" s="15"/>
    </row>
    <row r="305">
      <c r="A305" s="5" t="s">
        <v>1325</v>
      </c>
      <c r="B305" s="17" t="s">
        <v>1334</v>
      </c>
      <c r="C305" s="40" t="s">
        <v>1335</v>
      </c>
      <c r="D305" s="8"/>
      <c r="E305" s="8" t="s">
        <v>116</v>
      </c>
      <c r="F305" s="9">
        <v>500.0</v>
      </c>
      <c r="G305" s="31" t="s">
        <v>1336</v>
      </c>
      <c r="H305" s="11" t="s">
        <v>1337</v>
      </c>
      <c r="I305" s="41">
        <v>7.002019618E9</v>
      </c>
      <c r="J305" s="11" t="s">
        <v>25</v>
      </c>
      <c r="K305" s="12"/>
      <c r="L305" s="13"/>
      <c r="M305" s="14"/>
      <c r="N305" s="15"/>
      <c r="O305" s="5" t="s">
        <v>26</v>
      </c>
      <c r="P305" s="5"/>
      <c r="Q305" s="15"/>
      <c r="R305" s="16" t="s">
        <v>28</v>
      </c>
      <c r="S305" s="15"/>
      <c r="T305" s="15"/>
      <c r="U305" s="15"/>
      <c r="V305" s="15"/>
      <c r="W305" s="15"/>
      <c r="X305" s="15"/>
      <c r="Y305" s="15"/>
      <c r="Z305" s="15"/>
      <c r="AA305" s="15"/>
    </row>
    <row r="306">
      <c r="A306" s="5" t="s">
        <v>1325</v>
      </c>
      <c r="B306" s="17" t="s">
        <v>1338</v>
      </c>
      <c r="C306" s="40" t="s">
        <v>1339</v>
      </c>
      <c r="D306" s="8"/>
      <c r="E306" s="8" t="s">
        <v>130</v>
      </c>
      <c r="F306" s="9">
        <v>10000.0</v>
      </c>
      <c r="G306" s="31" t="s">
        <v>1340</v>
      </c>
      <c r="H306" s="11" t="s">
        <v>118</v>
      </c>
      <c r="I306" s="41">
        <v>8.926688268E9</v>
      </c>
      <c r="J306" s="11" t="s">
        <v>25</v>
      </c>
      <c r="K306" s="12"/>
      <c r="L306" s="13"/>
      <c r="M306" s="14"/>
      <c r="N306" s="15"/>
      <c r="O306" s="5" t="s">
        <v>26</v>
      </c>
      <c r="P306" s="5" t="s">
        <v>1341</v>
      </c>
      <c r="Q306" s="15"/>
      <c r="R306" s="16" t="s">
        <v>28</v>
      </c>
      <c r="S306" s="15"/>
      <c r="T306" s="15"/>
      <c r="U306" s="15"/>
      <c r="V306" s="15"/>
      <c r="W306" s="15"/>
      <c r="X306" s="15"/>
      <c r="Y306" s="15"/>
      <c r="Z306" s="15"/>
      <c r="AA306" s="15"/>
    </row>
    <row r="307">
      <c r="A307" s="5" t="s">
        <v>1325</v>
      </c>
      <c r="B307" s="17" t="s">
        <v>1342</v>
      </c>
      <c r="C307" s="40" t="s">
        <v>1343</v>
      </c>
      <c r="D307" s="8"/>
      <c r="E307" s="8" t="s">
        <v>222</v>
      </c>
      <c r="F307" s="9">
        <v>5000.0</v>
      </c>
      <c r="G307" s="31" t="s">
        <v>1344</v>
      </c>
      <c r="H307" s="11" t="s">
        <v>131</v>
      </c>
      <c r="I307" s="41">
        <v>7.985570848E9</v>
      </c>
      <c r="J307" s="11" t="s">
        <v>25</v>
      </c>
      <c r="K307" s="12"/>
      <c r="L307" s="13"/>
      <c r="M307" s="14"/>
      <c r="N307" s="15"/>
      <c r="O307" s="5" t="s">
        <v>34</v>
      </c>
      <c r="P307" s="5" t="s">
        <v>79</v>
      </c>
      <c r="Q307" s="15"/>
      <c r="R307" s="16" t="s">
        <v>28</v>
      </c>
      <c r="S307" s="15"/>
      <c r="T307" s="15"/>
      <c r="U307" s="15"/>
      <c r="V307" s="15"/>
      <c r="W307" s="15"/>
      <c r="X307" s="15"/>
      <c r="Y307" s="15"/>
      <c r="Z307" s="15"/>
      <c r="AA307" s="15"/>
    </row>
    <row r="308">
      <c r="A308" s="5" t="s">
        <v>1345</v>
      </c>
      <c r="B308" s="6" t="s">
        <v>1346</v>
      </c>
      <c r="C308" s="36" t="s">
        <v>1347</v>
      </c>
      <c r="D308" s="8"/>
      <c r="E308" s="8" t="s">
        <v>130</v>
      </c>
      <c r="F308" s="9">
        <v>12000.0</v>
      </c>
      <c r="G308" s="31" t="s">
        <v>1348</v>
      </c>
      <c r="H308" s="36" t="s">
        <v>1349</v>
      </c>
      <c r="I308" s="54">
        <v>9.593828054E9</v>
      </c>
      <c r="J308" s="11" t="s">
        <v>25</v>
      </c>
      <c r="K308" s="12"/>
      <c r="L308" s="13"/>
      <c r="M308" s="14"/>
      <c r="N308" s="15"/>
      <c r="O308" s="5" t="s">
        <v>810</v>
      </c>
      <c r="P308" s="5" t="s">
        <v>79</v>
      </c>
      <c r="Q308" s="15"/>
      <c r="R308" s="16"/>
      <c r="S308" s="15"/>
      <c r="T308" s="15"/>
      <c r="U308" s="15"/>
      <c r="V308" s="15"/>
      <c r="W308" s="15"/>
      <c r="X308" s="15"/>
      <c r="Y308" s="15"/>
      <c r="Z308" s="15"/>
      <c r="AA308" s="15"/>
    </row>
    <row r="309">
      <c r="A309" s="5" t="s">
        <v>1345</v>
      </c>
      <c r="B309" s="17" t="s">
        <v>1350</v>
      </c>
      <c r="C309" s="40" t="s">
        <v>1351</v>
      </c>
      <c r="D309" s="8"/>
      <c r="E309" s="8" t="s">
        <v>1352</v>
      </c>
      <c r="F309" s="9">
        <v>2000.0</v>
      </c>
      <c r="G309" s="31" t="s">
        <v>1353</v>
      </c>
      <c r="H309" s="11" t="s">
        <v>44</v>
      </c>
      <c r="I309" s="41" t="s">
        <v>1354</v>
      </c>
      <c r="J309" s="11" t="s">
        <v>25</v>
      </c>
      <c r="K309" s="12"/>
      <c r="L309" s="13"/>
      <c r="M309" s="14"/>
      <c r="N309" s="15"/>
      <c r="O309" s="5" t="s">
        <v>26</v>
      </c>
      <c r="P309" s="5"/>
      <c r="Q309" s="15"/>
      <c r="R309" s="16" t="s">
        <v>28</v>
      </c>
      <c r="S309" s="15"/>
      <c r="T309" s="15"/>
      <c r="U309" s="15"/>
      <c r="V309" s="15"/>
      <c r="W309" s="15"/>
      <c r="X309" s="15"/>
      <c r="Y309" s="15"/>
      <c r="Z309" s="15"/>
      <c r="AA309" s="15"/>
    </row>
    <row r="310">
      <c r="A310" s="5" t="s">
        <v>1355</v>
      </c>
      <c r="B310" s="17" t="s">
        <v>1356</v>
      </c>
      <c r="C310" s="40" t="s">
        <v>1357</v>
      </c>
      <c r="D310" s="8"/>
      <c r="E310" s="8" t="s">
        <v>326</v>
      </c>
      <c r="F310" s="9">
        <v>3000.0</v>
      </c>
      <c r="G310" s="55" t="s">
        <v>1358</v>
      </c>
      <c r="H310" s="11" t="s">
        <v>906</v>
      </c>
      <c r="I310" s="41">
        <v>9.324570385E9</v>
      </c>
      <c r="J310" s="11" t="s">
        <v>25</v>
      </c>
      <c r="K310" s="12"/>
      <c r="L310" s="13"/>
      <c r="M310" s="14"/>
      <c r="N310" s="15"/>
      <c r="O310" s="5" t="s">
        <v>34</v>
      </c>
      <c r="P310" s="5" t="s">
        <v>1359</v>
      </c>
      <c r="Q310" s="15"/>
      <c r="R310" s="16" t="s">
        <v>28</v>
      </c>
      <c r="S310" s="15"/>
      <c r="T310" s="15"/>
      <c r="U310" s="15"/>
      <c r="V310" s="15"/>
      <c r="W310" s="15"/>
      <c r="X310" s="15"/>
      <c r="Y310" s="15"/>
      <c r="Z310" s="15"/>
      <c r="AA310" s="15"/>
    </row>
    <row r="311">
      <c r="A311" s="5" t="s">
        <v>1360</v>
      </c>
      <c r="B311" s="17" t="s">
        <v>1361</v>
      </c>
      <c r="C311" s="40" t="s">
        <v>1362</v>
      </c>
      <c r="D311" s="8"/>
      <c r="E311" s="8" t="s">
        <v>1363</v>
      </c>
      <c r="F311" s="9">
        <v>500.0</v>
      </c>
      <c r="G311" s="44"/>
      <c r="H311" s="11" t="s">
        <v>1364</v>
      </c>
      <c r="I311" s="41">
        <v>9.429003959E9</v>
      </c>
      <c r="J311" s="11" t="s">
        <v>25</v>
      </c>
      <c r="K311" s="12"/>
      <c r="L311" s="13"/>
      <c r="M311" s="14"/>
      <c r="N311" s="15"/>
      <c r="O311" s="5" t="s">
        <v>34</v>
      </c>
      <c r="P311" s="5" t="s">
        <v>1155</v>
      </c>
      <c r="Q311" s="15"/>
      <c r="R311" s="16" t="s">
        <v>74</v>
      </c>
      <c r="S311" s="15"/>
      <c r="T311" s="15"/>
      <c r="U311" s="15"/>
      <c r="V311" s="15"/>
      <c r="W311" s="15"/>
      <c r="X311" s="15"/>
      <c r="Y311" s="15"/>
      <c r="Z311" s="15"/>
      <c r="AA311" s="15"/>
    </row>
    <row r="312">
      <c r="A312" s="5" t="s">
        <v>1365</v>
      </c>
      <c r="B312" s="17" t="s">
        <v>1366</v>
      </c>
      <c r="C312" s="40" t="s">
        <v>1367</v>
      </c>
      <c r="D312" s="8"/>
      <c r="E312" s="8" t="s">
        <v>872</v>
      </c>
      <c r="F312" s="9">
        <v>2000.0</v>
      </c>
      <c r="G312" s="44"/>
      <c r="H312" s="11" t="s">
        <v>1029</v>
      </c>
      <c r="I312" s="41">
        <v>9.095531555E9</v>
      </c>
      <c r="J312" s="11" t="s">
        <v>25</v>
      </c>
      <c r="K312" s="12"/>
      <c r="L312" s="13"/>
      <c r="M312" s="14"/>
      <c r="N312" s="15"/>
      <c r="O312" s="5" t="s">
        <v>34</v>
      </c>
      <c r="P312" s="5" t="s">
        <v>1306</v>
      </c>
      <c r="Q312" s="15"/>
      <c r="R312" s="16" t="s">
        <v>634</v>
      </c>
      <c r="S312" s="15"/>
      <c r="T312" s="15"/>
      <c r="U312" s="15"/>
      <c r="V312" s="15"/>
      <c r="W312" s="15"/>
      <c r="X312" s="15"/>
      <c r="Y312" s="15"/>
      <c r="Z312" s="15"/>
      <c r="AA312" s="15"/>
    </row>
    <row r="313">
      <c r="A313" s="5" t="s">
        <v>1365</v>
      </c>
      <c r="B313" s="17" t="s">
        <v>1368</v>
      </c>
      <c r="C313" s="40" t="s">
        <v>1369</v>
      </c>
      <c r="D313" s="8"/>
      <c r="E313" s="8" t="s">
        <v>1280</v>
      </c>
      <c r="F313" s="9">
        <v>25000.0</v>
      </c>
      <c r="G313" s="31" t="s">
        <v>1370</v>
      </c>
      <c r="H313" s="36" t="s">
        <v>742</v>
      </c>
      <c r="I313" s="41">
        <v>9.892840369E9</v>
      </c>
      <c r="J313" s="11" t="s">
        <v>25</v>
      </c>
      <c r="K313" s="12"/>
      <c r="L313" s="13"/>
      <c r="M313" s="14"/>
      <c r="N313" s="15"/>
      <c r="O313" s="5" t="s">
        <v>108</v>
      </c>
      <c r="P313" s="5"/>
      <c r="Q313" s="15"/>
      <c r="R313" s="16" t="s">
        <v>28</v>
      </c>
      <c r="S313" s="15"/>
      <c r="T313" s="15"/>
      <c r="U313" s="15"/>
      <c r="V313" s="15"/>
      <c r="W313" s="15"/>
      <c r="X313" s="15"/>
      <c r="Y313" s="15"/>
      <c r="Z313" s="15"/>
      <c r="AA313" s="15"/>
    </row>
    <row r="314">
      <c r="A314" s="5" t="s">
        <v>1365</v>
      </c>
      <c r="B314" s="17" t="s">
        <v>1371</v>
      </c>
      <c r="C314" s="40" t="s">
        <v>1372</v>
      </c>
      <c r="D314" s="8"/>
      <c r="E314" s="8" t="s">
        <v>1373</v>
      </c>
      <c r="F314" s="9">
        <v>1000.0</v>
      </c>
      <c r="G314" s="31" t="s">
        <v>1374</v>
      </c>
      <c r="H314" s="11" t="s">
        <v>1375</v>
      </c>
      <c r="I314" s="41">
        <v>9.836280031E9</v>
      </c>
      <c r="J314" s="11" t="s">
        <v>25</v>
      </c>
      <c r="K314" s="12"/>
      <c r="L314" s="13"/>
      <c r="M314" s="14"/>
      <c r="N314" s="15"/>
      <c r="O314" s="5" t="s">
        <v>34</v>
      </c>
      <c r="P314" s="5" t="s">
        <v>1376</v>
      </c>
      <c r="Q314" s="15"/>
      <c r="R314" s="16" t="s">
        <v>28</v>
      </c>
      <c r="S314" s="15"/>
      <c r="T314" s="15"/>
      <c r="U314" s="15"/>
      <c r="V314" s="15"/>
      <c r="W314" s="15"/>
      <c r="X314" s="15"/>
      <c r="Y314" s="15"/>
      <c r="Z314" s="15"/>
      <c r="AA314" s="15"/>
    </row>
    <row r="315">
      <c r="A315" s="5" t="s">
        <v>1377</v>
      </c>
      <c r="B315" s="17" t="s">
        <v>1378</v>
      </c>
      <c r="C315" s="40" t="s">
        <v>1379</v>
      </c>
      <c r="D315" s="8"/>
      <c r="E315" s="8" t="s">
        <v>786</v>
      </c>
      <c r="F315" s="9">
        <v>21000.0</v>
      </c>
      <c r="G315" s="31" t="s">
        <v>1380</v>
      </c>
      <c r="H315" s="11" t="s">
        <v>44</v>
      </c>
      <c r="I315" s="41">
        <v>9.330286289E9</v>
      </c>
      <c r="J315" s="11" t="s">
        <v>25</v>
      </c>
      <c r="K315" s="12"/>
      <c r="L315" s="13"/>
      <c r="M315" s="14"/>
      <c r="N315" s="15"/>
      <c r="O315" s="5" t="s">
        <v>34</v>
      </c>
      <c r="P315" s="5" t="s">
        <v>79</v>
      </c>
      <c r="Q315" s="15"/>
      <c r="R315" s="16" t="s">
        <v>28</v>
      </c>
      <c r="S315" s="15"/>
      <c r="T315" s="15"/>
      <c r="U315" s="15"/>
      <c r="V315" s="15"/>
      <c r="W315" s="15"/>
      <c r="X315" s="15"/>
      <c r="Y315" s="15"/>
      <c r="Z315" s="15"/>
      <c r="AA315" s="15"/>
    </row>
    <row r="316">
      <c r="A316" s="5" t="s">
        <v>1377</v>
      </c>
      <c r="B316" s="17" t="s">
        <v>1381</v>
      </c>
      <c r="C316" s="40" t="s">
        <v>1382</v>
      </c>
      <c r="D316" s="8"/>
      <c r="E316" s="8" t="s">
        <v>130</v>
      </c>
      <c r="F316" s="9">
        <v>200.0</v>
      </c>
      <c r="G316" s="31" t="s">
        <v>1383</v>
      </c>
      <c r="H316" s="11" t="s">
        <v>158</v>
      </c>
      <c r="I316" s="41">
        <v>7.063623453E9</v>
      </c>
      <c r="J316" s="11" t="s">
        <v>25</v>
      </c>
      <c r="K316" s="12"/>
      <c r="L316" s="13"/>
      <c r="M316" s="14"/>
      <c r="N316" s="15"/>
      <c r="O316" s="5" t="s">
        <v>34</v>
      </c>
      <c r="P316" s="5" t="s">
        <v>1384</v>
      </c>
      <c r="Q316" s="15"/>
      <c r="R316" s="16" t="s">
        <v>28</v>
      </c>
      <c r="S316" s="15"/>
      <c r="T316" s="15"/>
      <c r="U316" s="15"/>
      <c r="V316" s="15"/>
      <c r="W316" s="15"/>
      <c r="X316" s="15"/>
      <c r="Y316" s="15"/>
      <c r="Z316" s="15"/>
      <c r="AA316" s="15"/>
    </row>
    <row r="317">
      <c r="A317" s="5" t="s">
        <v>1385</v>
      </c>
      <c r="B317" s="17" t="s">
        <v>1386</v>
      </c>
      <c r="C317" s="40" t="s">
        <v>1387</v>
      </c>
      <c r="D317" s="8"/>
      <c r="E317" s="8" t="s">
        <v>960</v>
      </c>
      <c r="F317" s="9">
        <v>300.0</v>
      </c>
      <c r="G317" s="44"/>
      <c r="H317" s="11" t="s">
        <v>1172</v>
      </c>
      <c r="I317" s="41">
        <v>9.485209221E9</v>
      </c>
      <c r="J317" s="11" t="s">
        <v>25</v>
      </c>
      <c r="K317" s="12"/>
      <c r="L317" s="13"/>
      <c r="M317" s="11" t="s">
        <v>1388</v>
      </c>
      <c r="N317" s="15"/>
      <c r="O317" s="5" t="s">
        <v>34</v>
      </c>
      <c r="P317" s="5" t="s">
        <v>1155</v>
      </c>
      <c r="Q317" s="15"/>
      <c r="R317" s="16" t="s">
        <v>74</v>
      </c>
      <c r="S317" s="15"/>
      <c r="T317" s="15"/>
      <c r="U317" s="15"/>
      <c r="V317" s="15"/>
      <c r="W317" s="15"/>
      <c r="X317" s="15"/>
      <c r="Y317" s="15"/>
      <c r="Z317" s="15"/>
      <c r="AA317" s="15"/>
    </row>
    <row r="318">
      <c r="A318" s="5" t="s">
        <v>1385</v>
      </c>
      <c r="B318" s="17" t="s">
        <v>1389</v>
      </c>
      <c r="C318" s="40" t="s">
        <v>1390</v>
      </c>
      <c r="D318" s="8"/>
      <c r="E318" s="8" t="s">
        <v>1391</v>
      </c>
      <c r="F318" s="9">
        <v>500.0</v>
      </c>
      <c r="G318" s="31" t="s">
        <v>1392</v>
      </c>
      <c r="H318" s="11" t="s">
        <v>99</v>
      </c>
      <c r="I318" s="41">
        <v>9.439278901E9</v>
      </c>
      <c r="J318" s="11" t="s">
        <v>25</v>
      </c>
      <c r="K318" s="12"/>
      <c r="L318" s="13"/>
      <c r="M318" s="14"/>
      <c r="N318" s="15"/>
      <c r="O318" s="5" t="s">
        <v>34</v>
      </c>
      <c r="P318" s="5" t="s">
        <v>79</v>
      </c>
      <c r="Q318" s="15"/>
      <c r="R318" s="16" t="s">
        <v>28</v>
      </c>
      <c r="S318" s="15"/>
      <c r="T318" s="15"/>
      <c r="U318" s="15"/>
      <c r="V318" s="15"/>
      <c r="W318" s="15"/>
      <c r="X318" s="15"/>
      <c r="Y318" s="15"/>
      <c r="Z318" s="15"/>
      <c r="AA318" s="15"/>
    </row>
    <row r="319">
      <c r="A319" s="5" t="s">
        <v>1393</v>
      </c>
      <c r="B319" s="17" t="s">
        <v>1394</v>
      </c>
      <c r="C319" s="40" t="s">
        <v>1395</v>
      </c>
      <c r="D319" s="8"/>
      <c r="E319" s="8" t="s">
        <v>1396</v>
      </c>
      <c r="F319" s="9">
        <v>400.0</v>
      </c>
      <c r="G319" s="53" t="s">
        <v>1397</v>
      </c>
      <c r="H319" s="11" t="s">
        <v>99</v>
      </c>
      <c r="I319" s="41">
        <v>8.926396675E9</v>
      </c>
      <c r="J319" s="11" t="s">
        <v>25</v>
      </c>
      <c r="K319" s="12"/>
      <c r="L319" s="13"/>
      <c r="M319" s="14"/>
      <c r="N319" s="15"/>
      <c r="O319" s="5" t="s">
        <v>34</v>
      </c>
      <c r="P319" s="5" t="s">
        <v>185</v>
      </c>
      <c r="Q319" s="15"/>
      <c r="R319" s="16" t="s">
        <v>28</v>
      </c>
      <c r="S319" s="15"/>
      <c r="T319" s="15"/>
      <c r="U319" s="15"/>
      <c r="V319" s="15"/>
      <c r="W319" s="15"/>
      <c r="X319" s="15"/>
      <c r="Y319" s="15"/>
      <c r="Z319" s="15"/>
      <c r="AA319" s="15"/>
    </row>
    <row r="320">
      <c r="A320" s="5" t="s">
        <v>1393</v>
      </c>
      <c r="B320" s="17" t="s">
        <v>1398</v>
      </c>
      <c r="C320" s="40" t="s">
        <v>1399</v>
      </c>
      <c r="D320" s="8"/>
      <c r="E320" s="8" t="s">
        <v>167</v>
      </c>
      <c r="F320" s="9">
        <v>1000.0</v>
      </c>
      <c r="G320" s="44"/>
      <c r="H320" s="11" t="s">
        <v>44</v>
      </c>
      <c r="I320" s="41">
        <v>8.348844238E9</v>
      </c>
      <c r="J320" s="11" t="s">
        <v>25</v>
      </c>
      <c r="K320" s="12"/>
      <c r="L320" s="13"/>
      <c r="M320" s="14"/>
      <c r="N320" s="15"/>
      <c r="O320" s="5" t="s">
        <v>26</v>
      </c>
      <c r="P320" s="5" t="s">
        <v>1400</v>
      </c>
      <c r="Q320" s="15"/>
      <c r="R320" s="16" t="s">
        <v>28</v>
      </c>
      <c r="S320" s="15"/>
      <c r="T320" s="15"/>
      <c r="U320" s="15"/>
      <c r="V320" s="15"/>
      <c r="W320" s="15"/>
      <c r="X320" s="15"/>
      <c r="Y320" s="15"/>
      <c r="Z320" s="15"/>
      <c r="AA320" s="15"/>
    </row>
    <row r="321">
      <c r="A321" s="5" t="s">
        <v>1393</v>
      </c>
      <c r="B321" s="17" t="s">
        <v>1401</v>
      </c>
      <c r="C321" s="40" t="s">
        <v>1402</v>
      </c>
      <c r="D321" s="8"/>
      <c r="E321" s="8" t="s">
        <v>222</v>
      </c>
      <c r="F321" s="9">
        <v>50000.0</v>
      </c>
      <c r="G321" s="31" t="s">
        <v>1403</v>
      </c>
      <c r="H321" s="11" t="s">
        <v>99</v>
      </c>
      <c r="I321" s="41">
        <v>9.437067967E9</v>
      </c>
      <c r="J321" s="11" t="s">
        <v>25</v>
      </c>
      <c r="K321" s="12"/>
      <c r="L321" s="13"/>
      <c r="M321" s="14"/>
      <c r="N321" s="15"/>
      <c r="O321" s="5" t="s">
        <v>26</v>
      </c>
      <c r="P321" s="5" t="s">
        <v>844</v>
      </c>
      <c r="Q321" s="15"/>
      <c r="R321" s="16" t="s">
        <v>28</v>
      </c>
      <c r="S321" s="15"/>
      <c r="T321" s="15"/>
      <c r="U321" s="15"/>
      <c r="V321" s="15"/>
      <c r="W321" s="15"/>
      <c r="X321" s="15"/>
      <c r="Y321" s="15"/>
      <c r="Z321" s="15"/>
      <c r="AA321" s="15"/>
    </row>
    <row r="322">
      <c r="A322" s="5" t="s">
        <v>1404</v>
      </c>
      <c r="B322" s="17" t="s">
        <v>1405</v>
      </c>
      <c r="C322" s="40" t="s">
        <v>1406</v>
      </c>
      <c r="D322" s="8"/>
      <c r="E322" s="8" t="s">
        <v>87</v>
      </c>
      <c r="F322" s="9">
        <v>5000.0</v>
      </c>
      <c r="G322" s="31" t="s">
        <v>1407</v>
      </c>
      <c r="H322" s="11" t="s">
        <v>1408</v>
      </c>
      <c r="I322" s="41">
        <v>8.257853065E9</v>
      </c>
      <c r="J322" s="11" t="s">
        <v>25</v>
      </c>
      <c r="K322" s="12"/>
      <c r="L322" s="13"/>
      <c r="M322" s="14"/>
      <c r="N322" s="15"/>
      <c r="O322" s="5" t="s">
        <v>34</v>
      </c>
      <c r="P322" s="5" t="s">
        <v>185</v>
      </c>
      <c r="Q322" s="15"/>
      <c r="R322" s="16" t="s">
        <v>28</v>
      </c>
      <c r="S322" s="15"/>
      <c r="T322" s="15"/>
      <c r="U322" s="15"/>
      <c r="V322" s="15"/>
      <c r="W322" s="15"/>
      <c r="X322" s="15"/>
      <c r="Y322" s="15"/>
      <c r="Z322" s="15"/>
      <c r="AA322" s="15"/>
    </row>
    <row r="323">
      <c r="A323" s="5" t="s">
        <v>1409</v>
      </c>
      <c r="B323" s="17" t="s">
        <v>1410</v>
      </c>
      <c r="C323" s="40" t="s">
        <v>1411</v>
      </c>
      <c r="D323" s="8"/>
      <c r="E323" s="8" t="s">
        <v>1412</v>
      </c>
      <c r="F323" s="9">
        <v>15000.0</v>
      </c>
      <c r="G323" s="31" t="s">
        <v>1413</v>
      </c>
      <c r="H323" s="11" t="s">
        <v>1414</v>
      </c>
      <c r="I323" s="41">
        <v>9.732856955E9</v>
      </c>
      <c r="J323" s="11" t="s">
        <v>25</v>
      </c>
      <c r="K323" s="12"/>
      <c r="L323" s="13"/>
      <c r="M323" s="14"/>
      <c r="N323" s="15"/>
      <c r="O323" s="5" t="s">
        <v>34</v>
      </c>
      <c r="P323" s="5" t="s">
        <v>1415</v>
      </c>
      <c r="Q323" s="15"/>
      <c r="R323" s="16" t="s">
        <v>28</v>
      </c>
      <c r="S323" s="15"/>
      <c r="T323" s="15"/>
      <c r="U323" s="15"/>
      <c r="V323" s="15"/>
      <c r="W323" s="15"/>
      <c r="X323" s="15"/>
      <c r="Y323" s="15"/>
      <c r="Z323" s="15"/>
      <c r="AA323" s="15"/>
    </row>
    <row r="324">
      <c r="A324" s="5" t="s">
        <v>1409</v>
      </c>
      <c r="B324" s="17" t="s">
        <v>1416</v>
      </c>
      <c r="C324" s="40" t="s">
        <v>1417</v>
      </c>
      <c r="D324" s="8"/>
      <c r="E324" s="8" t="s">
        <v>213</v>
      </c>
      <c r="F324" s="9">
        <v>300.0</v>
      </c>
      <c r="G324" s="31" t="s">
        <v>1418</v>
      </c>
      <c r="H324" s="11" t="s">
        <v>44</v>
      </c>
      <c r="I324" s="41">
        <v>7.890039969E9</v>
      </c>
      <c r="J324" s="11" t="s">
        <v>25</v>
      </c>
      <c r="K324" s="12"/>
      <c r="L324" s="13"/>
      <c r="M324" s="14"/>
      <c r="N324" s="15"/>
      <c r="O324" s="5" t="s">
        <v>34</v>
      </c>
      <c r="P324" s="5" t="s">
        <v>1419</v>
      </c>
      <c r="Q324" s="15"/>
      <c r="R324" s="16" t="s">
        <v>28</v>
      </c>
      <c r="S324" s="15"/>
      <c r="T324" s="15"/>
      <c r="U324" s="15"/>
      <c r="V324" s="15"/>
      <c r="W324" s="15"/>
      <c r="X324" s="15"/>
      <c r="Y324" s="15"/>
      <c r="Z324" s="15"/>
      <c r="AA324" s="15"/>
    </row>
    <row r="325">
      <c r="A325" s="5" t="s">
        <v>1420</v>
      </c>
      <c r="B325" s="17" t="s">
        <v>1421</v>
      </c>
      <c r="C325" s="40" t="s">
        <v>1422</v>
      </c>
      <c r="D325" s="8"/>
      <c r="E325" s="8" t="s">
        <v>130</v>
      </c>
      <c r="F325" s="9">
        <v>20000.0</v>
      </c>
      <c r="G325" s="31" t="s">
        <v>1423</v>
      </c>
      <c r="H325" s="11" t="s">
        <v>507</v>
      </c>
      <c r="I325" s="41">
        <v>9.822520386E9</v>
      </c>
      <c r="J325" s="11" t="s">
        <v>25</v>
      </c>
      <c r="K325" s="12"/>
      <c r="L325" s="13"/>
      <c r="M325" s="14"/>
      <c r="N325" s="15"/>
      <c r="O325" s="5" t="s">
        <v>108</v>
      </c>
      <c r="P325" s="5"/>
      <c r="Q325" s="15"/>
      <c r="R325" s="16" t="s">
        <v>28</v>
      </c>
      <c r="S325" s="15"/>
      <c r="T325" s="15"/>
      <c r="U325" s="15"/>
      <c r="V325" s="15"/>
      <c r="W325" s="15"/>
      <c r="X325" s="15"/>
      <c r="Y325" s="15"/>
      <c r="Z325" s="15"/>
      <c r="AA325" s="15"/>
    </row>
    <row r="326">
      <c r="A326" s="5" t="s">
        <v>1420</v>
      </c>
      <c r="B326" s="17" t="s">
        <v>1424</v>
      </c>
      <c r="C326" s="40" t="s">
        <v>1425</v>
      </c>
      <c r="D326" s="8"/>
      <c r="E326" s="8" t="s">
        <v>1280</v>
      </c>
      <c r="F326" s="9">
        <v>5000.0</v>
      </c>
      <c r="G326" s="31" t="s">
        <v>1426</v>
      </c>
      <c r="H326" s="11" t="s">
        <v>99</v>
      </c>
      <c r="I326" s="41">
        <v>8.670465789E9</v>
      </c>
      <c r="J326" s="11" t="s">
        <v>25</v>
      </c>
      <c r="K326" s="12"/>
      <c r="L326" s="13"/>
      <c r="M326" s="14"/>
      <c r="N326" s="15"/>
      <c r="O326" s="5" t="s">
        <v>34</v>
      </c>
      <c r="P326" s="5" t="s">
        <v>707</v>
      </c>
      <c r="Q326" s="15"/>
      <c r="R326" s="16" t="s">
        <v>28</v>
      </c>
      <c r="S326" s="15"/>
      <c r="T326" s="15"/>
      <c r="U326" s="15"/>
      <c r="V326" s="15"/>
      <c r="W326" s="15"/>
      <c r="X326" s="15"/>
      <c r="Y326" s="15"/>
      <c r="Z326" s="15"/>
      <c r="AA326" s="15"/>
    </row>
    <row r="327">
      <c r="A327" s="5" t="s">
        <v>1420</v>
      </c>
      <c r="B327" s="17" t="s">
        <v>1427</v>
      </c>
      <c r="C327" s="40" t="s">
        <v>1428</v>
      </c>
      <c r="D327" s="8"/>
      <c r="E327" s="8" t="s">
        <v>130</v>
      </c>
      <c r="F327" s="9">
        <v>10000.0</v>
      </c>
      <c r="G327" s="31" t="s">
        <v>1429</v>
      </c>
      <c r="H327" s="11" t="s">
        <v>638</v>
      </c>
      <c r="I327" s="41">
        <v>9.474378772E9</v>
      </c>
      <c r="J327" s="11" t="s">
        <v>25</v>
      </c>
      <c r="K327" s="12"/>
      <c r="L327" s="13"/>
      <c r="M327" s="14"/>
      <c r="N327" s="15"/>
      <c r="O327" s="5" t="s">
        <v>34</v>
      </c>
      <c r="P327" s="5" t="s">
        <v>707</v>
      </c>
      <c r="Q327" s="15"/>
      <c r="R327" s="16" t="s">
        <v>28</v>
      </c>
      <c r="S327" s="15"/>
      <c r="T327" s="15"/>
      <c r="U327" s="15"/>
      <c r="V327" s="15"/>
      <c r="W327" s="15"/>
      <c r="X327" s="15"/>
      <c r="Y327" s="15"/>
      <c r="Z327" s="15"/>
      <c r="AA327" s="15"/>
    </row>
    <row r="328">
      <c r="A328" s="5" t="s">
        <v>1420</v>
      </c>
      <c r="B328" s="17" t="s">
        <v>1430</v>
      </c>
      <c r="C328" s="40" t="s">
        <v>1431</v>
      </c>
      <c r="D328" s="8"/>
      <c r="E328" s="8" t="s">
        <v>189</v>
      </c>
      <c r="F328" s="9">
        <v>10000.0</v>
      </c>
      <c r="G328" s="31" t="s">
        <v>1432</v>
      </c>
      <c r="H328" s="11" t="s">
        <v>44</v>
      </c>
      <c r="I328" s="41">
        <v>6.289662977E9</v>
      </c>
      <c r="J328" s="11" t="s">
        <v>25</v>
      </c>
      <c r="K328" s="12"/>
      <c r="L328" s="13"/>
      <c r="M328" s="14"/>
      <c r="N328" s="15"/>
      <c r="O328" s="5" t="s">
        <v>26</v>
      </c>
      <c r="P328" s="5" t="s">
        <v>1433</v>
      </c>
      <c r="Q328" s="15"/>
      <c r="R328" s="16" t="s">
        <v>28</v>
      </c>
      <c r="S328" s="15"/>
      <c r="T328" s="15"/>
      <c r="U328" s="15"/>
      <c r="V328" s="15"/>
      <c r="W328" s="15"/>
      <c r="X328" s="15"/>
      <c r="Y328" s="15"/>
      <c r="Z328" s="15"/>
      <c r="AA328" s="15"/>
    </row>
    <row r="329">
      <c r="A329" s="5" t="s">
        <v>1420</v>
      </c>
      <c r="B329" s="17" t="s">
        <v>1434</v>
      </c>
      <c r="C329" s="40" t="s">
        <v>1435</v>
      </c>
      <c r="D329" s="8"/>
      <c r="E329" s="8" t="s">
        <v>1230</v>
      </c>
      <c r="F329" s="9">
        <v>1500.0</v>
      </c>
      <c r="G329" s="44"/>
      <c r="H329" s="11" t="s">
        <v>44</v>
      </c>
      <c r="I329" s="41">
        <v>8.158977616E9</v>
      </c>
      <c r="J329" s="11" t="s">
        <v>25</v>
      </c>
      <c r="K329" s="12"/>
      <c r="L329" s="13"/>
      <c r="M329" s="14"/>
      <c r="N329" s="15"/>
      <c r="O329" s="5" t="s">
        <v>34</v>
      </c>
      <c r="P329" s="5" t="s">
        <v>1154</v>
      </c>
      <c r="Q329" s="5" t="s">
        <v>1436</v>
      </c>
      <c r="R329" s="16" t="s">
        <v>28</v>
      </c>
      <c r="S329" s="15"/>
      <c r="T329" s="15"/>
      <c r="U329" s="15"/>
      <c r="V329" s="15"/>
      <c r="W329" s="15"/>
      <c r="X329" s="15"/>
      <c r="Y329" s="15"/>
      <c r="Z329" s="15"/>
      <c r="AA329" s="15"/>
    </row>
    <row r="330">
      <c r="A330" s="5" t="s">
        <v>1437</v>
      </c>
      <c r="B330" s="17" t="s">
        <v>1438</v>
      </c>
      <c r="C330" s="40" t="s">
        <v>1439</v>
      </c>
      <c r="D330" s="8"/>
      <c r="E330" s="8" t="s">
        <v>152</v>
      </c>
      <c r="F330" s="9">
        <v>10000.0</v>
      </c>
      <c r="G330" s="31" t="s">
        <v>1440</v>
      </c>
      <c r="H330" s="11" t="s">
        <v>467</v>
      </c>
      <c r="I330" s="41">
        <v>7.217571324E9</v>
      </c>
      <c r="J330" s="11" t="s">
        <v>25</v>
      </c>
      <c r="K330" s="12"/>
      <c r="L330" s="13"/>
      <c r="M330" s="14"/>
      <c r="N330" s="15"/>
      <c r="O330" s="5" t="s">
        <v>108</v>
      </c>
      <c r="P330" s="5" t="s">
        <v>1441</v>
      </c>
      <c r="Q330" s="15"/>
      <c r="R330" s="16" t="s">
        <v>28</v>
      </c>
      <c r="S330" s="15"/>
      <c r="T330" s="15"/>
      <c r="U330" s="15"/>
      <c r="V330" s="15"/>
      <c r="W330" s="15"/>
      <c r="X330" s="15"/>
      <c r="Y330" s="15"/>
      <c r="Z330" s="15"/>
      <c r="AA330" s="15"/>
    </row>
    <row r="331">
      <c r="A331" s="5" t="s">
        <v>1437</v>
      </c>
      <c r="B331" s="17" t="s">
        <v>1442</v>
      </c>
      <c r="C331" s="40" t="s">
        <v>1443</v>
      </c>
      <c r="D331" s="8"/>
      <c r="E331" s="8" t="s">
        <v>130</v>
      </c>
      <c r="F331" s="9">
        <v>3000.0</v>
      </c>
      <c r="G331" s="31" t="s">
        <v>1444</v>
      </c>
      <c r="H331" s="11" t="s">
        <v>1445</v>
      </c>
      <c r="I331" s="41">
        <v>7.389911339E9</v>
      </c>
      <c r="J331" s="11" t="s">
        <v>25</v>
      </c>
      <c r="K331" s="12"/>
      <c r="L331" s="13"/>
      <c r="M331" s="14"/>
      <c r="N331" s="15"/>
      <c r="O331" s="5" t="s">
        <v>108</v>
      </c>
      <c r="P331" s="5" t="s">
        <v>1446</v>
      </c>
      <c r="Q331" s="15"/>
      <c r="R331" s="16" t="s">
        <v>28</v>
      </c>
      <c r="S331" s="15"/>
      <c r="T331" s="15"/>
      <c r="U331" s="15"/>
      <c r="V331" s="15"/>
      <c r="W331" s="15"/>
      <c r="X331" s="15"/>
      <c r="Y331" s="15"/>
      <c r="Z331" s="15"/>
      <c r="AA331" s="15"/>
    </row>
    <row r="332">
      <c r="A332" s="5" t="s">
        <v>1437</v>
      </c>
      <c r="B332" s="17" t="s">
        <v>1447</v>
      </c>
      <c r="C332" s="40" t="s">
        <v>1448</v>
      </c>
      <c r="D332" s="8"/>
      <c r="E332" s="8" t="s">
        <v>178</v>
      </c>
      <c r="F332" s="9">
        <v>25000.0</v>
      </c>
      <c r="G332" s="44" t="s">
        <v>1449</v>
      </c>
      <c r="H332" s="11" t="s">
        <v>495</v>
      </c>
      <c r="I332" s="41">
        <v>9.773143202E9</v>
      </c>
      <c r="J332" s="11" t="s">
        <v>25</v>
      </c>
      <c r="K332" s="12"/>
      <c r="L332" s="13"/>
      <c r="M332" s="14"/>
      <c r="N332" s="15"/>
      <c r="O332" s="5" t="s">
        <v>34</v>
      </c>
      <c r="P332" s="5" t="s">
        <v>185</v>
      </c>
      <c r="Q332" s="15"/>
      <c r="R332" s="16" t="s">
        <v>28</v>
      </c>
      <c r="S332" s="15"/>
      <c r="T332" s="15"/>
      <c r="U332" s="15"/>
      <c r="V332" s="15"/>
      <c r="W332" s="15"/>
      <c r="X332" s="15"/>
      <c r="Y332" s="15"/>
      <c r="Z332" s="15"/>
      <c r="AA332" s="15"/>
    </row>
    <row r="333">
      <c r="A333" s="5" t="s">
        <v>1450</v>
      </c>
      <c r="B333" s="17" t="s">
        <v>1451</v>
      </c>
      <c r="C333" s="40" t="s">
        <v>1452</v>
      </c>
      <c r="D333" s="8"/>
      <c r="E333" s="8" t="s">
        <v>568</v>
      </c>
      <c r="F333" s="9">
        <v>5000.0</v>
      </c>
      <c r="G333" s="31" t="s">
        <v>1453</v>
      </c>
      <c r="H333" s="11" t="s">
        <v>44</v>
      </c>
      <c r="I333" s="41">
        <v>9.830047529E9</v>
      </c>
      <c r="J333" s="11" t="s">
        <v>25</v>
      </c>
      <c r="K333" s="12"/>
      <c r="L333" s="13"/>
      <c r="M333" s="14"/>
      <c r="N333" s="15"/>
      <c r="O333" s="5" t="s">
        <v>34</v>
      </c>
      <c r="P333" s="5" t="s">
        <v>1454</v>
      </c>
      <c r="Q333" s="15"/>
      <c r="R333" s="16" t="s">
        <v>28</v>
      </c>
      <c r="S333" s="15"/>
      <c r="T333" s="15"/>
      <c r="U333" s="15"/>
      <c r="V333" s="15"/>
      <c r="W333" s="15"/>
      <c r="X333" s="15"/>
      <c r="Y333" s="15"/>
      <c r="Z333" s="15"/>
      <c r="AA333" s="15"/>
    </row>
    <row r="334">
      <c r="A334" s="5" t="s">
        <v>1450</v>
      </c>
      <c r="B334" s="17" t="s">
        <v>1455</v>
      </c>
      <c r="C334" s="40" t="s">
        <v>1456</v>
      </c>
      <c r="D334" s="8"/>
      <c r="E334" s="8" t="s">
        <v>130</v>
      </c>
      <c r="F334" s="9">
        <v>6000.0</v>
      </c>
      <c r="G334" s="31" t="s">
        <v>1457</v>
      </c>
      <c r="H334" s="11" t="s">
        <v>495</v>
      </c>
      <c r="I334" s="41">
        <v>9.831923786E9</v>
      </c>
      <c r="J334" s="11" t="s">
        <v>25</v>
      </c>
      <c r="K334" s="12"/>
      <c r="L334" s="13"/>
      <c r="M334" s="14"/>
      <c r="N334" s="15"/>
      <c r="O334" s="5" t="s">
        <v>34</v>
      </c>
      <c r="P334" s="5" t="s">
        <v>209</v>
      </c>
      <c r="Q334" s="15"/>
      <c r="R334" s="16" t="s">
        <v>28</v>
      </c>
      <c r="S334" s="15"/>
      <c r="T334" s="15"/>
      <c r="U334" s="15"/>
      <c r="V334" s="15"/>
      <c r="W334" s="15"/>
      <c r="X334" s="15"/>
      <c r="Y334" s="15"/>
      <c r="Z334" s="15"/>
      <c r="AA334" s="15"/>
    </row>
    <row r="335">
      <c r="A335" s="5" t="s">
        <v>1458</v>
      </c>
      <c r="B335" s="17" t="s">
        <v>1459</v>
      </c>
      <c r="C335" s="40" t="s">
        <v>1460</v>
      </c>
      <c r="D335" s="8"/>
      <c r="E335" s="8" t="s">
        <v>152</v>
      </c>
      <c r="F335" s="9">
        <v>1000.0</v>
      </c>
      <c r="G335" s="44"/>
      <c r="H335" s="11" t="s">
        <v>1461</v>
      </c>
      <c r="I335" s="41">
        <v>9.785807402E9</v>
      </c>
      <c r="J335" s="11" t="s">
        <v>25</v>
      </c>
      <c r="K335" s="12"/>
      <c r="L335" s="13"/>
      <c r="M335" s="14"/>
      <c r="N335" s="15"/>
      <c r="O335" s="5" t="s">
        <v>108</v>
      </c>
      <c r="P335" s="5" t="s">
        <v>1462</v>
      </c>
      <c r="Q335" s="15"/>
      <c r="R335" s="16" t="s">
        <v>28</v>
      </c>
      <c r="S335" s="15"/>
      <c r="T335" s="15"/>
      <c r="U335" s="15"/>
      <c r="V335" s="15"/>
      <c r="W335" s="15"/>
      <c r="X335" s="15"/>
      <c r="Y335" s="15"/>
      <c r="Z335" s="15"/>
      <c r="AA335" s="15"/>
    </row>
    <row r="336">
      <c r="A336" s="5" t="s">
        <v>1458</v>
      </c>
      <c r="B336" s="17" t="s">
        <v>1463</v>
      </c>
      <c r="C336" s="40" t="s">
        <v>1464</v>
      </c>
      <c r="D336" s="8"/>
      <c r="E336" s="8" t="s">
        <v>1465</v>
      </c>
      <c r="F336" s="9">
        <v>1000.0</v>
      </c>
      <c r="G336" s="31" t="s">
        <v>1466</v>
      </c>
      <c r="H336" s="11" t="s">
        <v>519</v>
      </c>
      <c r="I336" s="41">
        <v>7.041590774E9</v>
      </c>
      <c r="J336" s="11" t="s">
        <v>25</v>
      </c>
      <c r="K336" s="12"/>
      <c r="L336" s="13"/>
      <c r="M336" s="14"/>
      <c r="N336" s="15"/>
      <c r="O336" s="5" t="s">
        <v>108</v>
      </c>
      <c r="P336" s="5"/>
      <c r="Q336" s="15"/>
      <c r="R336" s="16" t="s">
        <v>28</v>
      </c>
      <c r="S336" s="5" t="s">
        <v>1467</v>
      </c>
      <c r="T336" s="15"/>
      <c r="U336" s="15"/>
      <c r="V336" s="15"/>
      <c r="W336" s="15"/>
      <c r="X336" s="15"/>
      <c r="Y336" s="15"/>
      <c r="Z336" s="15"/>
      <c r="AA336" s="15"/>
    </row>
    <row r="337">
      <c r="A337" s="5" t="s">
        <v>1468</v>
      </c>
      <c r="B337" s="17" t="s">
        <v>1469</v>
      </c>
      <c r="C337" s="40" t="s">
        <v>1470</v>
      </c>
      <c r="D337" s="8"/>
      <c r="E337" s="8" t="s">
        <v>152</v>
      </c>
      <c r="F337" s="9">
        <v>25000.0</v>
      </c>
      <c r="G337" s="31" t="s">
        <v>1471</v>
      </c>
      <c r="H337" s="11" t="s">
        <v>507</v>
      </c>
      <c r="I337" s="41">
        <v>7.97201881E9</v>
      </c>
      <c r="J337" s="11" t="s">
        <v>25</v>
      </c>
      <c r="K337" s="12"/>
      <c r="L337" s="13"/>
      <c r="M337" s="14"/>
      <c r="N337" s="15"/>
      <c r="O337" s="5" t="s">
        <v>108</v>
      </c>
      <c r="P337" s="5" t="s">
        <v>1472</v>
      </c>
      <c r="Q337" s="15"/>
      <c r="R337" s="16" t="s">
        <v>28</v>
      </c>
      <c r="S337" s="15"/>
      <c r="T337" s="15"/>
      <c r="U337" s="15"/>
      <c r="V337" s="15"/>
      <c r="W337" s="15"/>
      <c r="X337" s="15"/>
      <c r="Y337" s="15"/>
      <c r="Z337" s="15"/>
      <c r="AA337" s="15"/>
    </row>
    <row r="338">
      <c r="A338" s="5" t="s">
        <v>1468</v>
      </c>
      <c r="B338" s="17" t="s">
        <v>1473</v>
      </c>
      <c r="C338" s="40" t="s">
        <v>1474</v>
      </c>
      <c r="D338" s="8"/>
      <c r="E338" s="8" t="s">
        <v>130</v>
      </c>
      <c r="F338" s="9">
        <v>10000.0</v>
      </c>
      <c r="G338" s="31" t="s">
        <v>1475</v>
      </c>
      <c r="H338" s="11" t="s">
        <v>99</v>
      </c>
      <c r="I338" s="41">
        <v>8.32891956E9</v>
      </c>
      <c r="J338" s="11" t="s">
        <v>25</v>
      </c>
      <c r="K338" s="12"/>
      <c r="L338" s="13"/>
      <c r="M338" s="14"/>
      <c r="N338" s="15"/>
      <c r="O338" s="5" t="s">
        <v>34</v>
      </c>
      <c r="P338" s="5"/>
      <c r="Q338" s="15"/>
      <c r="R338" s="16" t="s">
        <v>28</v>
      </c>
      <c r="S338" s="15"/>
      <c r="T338" s="15"/>
      <c r="U338" s="15"/>
      <c r="V338" s="15"/>
      <c r="W338" s="15"/>
      <c r="X338" s="15"/>
      <c r="Y338" s="15"/>
      <c r="Z338" s="15"/>
      <c r="AA338" s="15"/>
    </row>
    <row r="339">
      <c r="A339" s="5" t="s">
        <v>1468</v>
      </c>
      <c r="B339" s="17" t="s">
        <v>1476</v>
      </c>
      <c r="C339" s="40" t="s">
        <v>1477</v>
      </c>
      <c r="D339" s="8"/>
      <c r="E339" s="8" t="s">
        <v>353</v>
      </c>
      <c r="F339" s="9">
        <v>50000.0</v>
      </c>
      <c r="G339" s="31" t="s">
        <v>1478</v>
      </c>
      <c r="H339" s="11" t="s">
        <v>519</v>
      </c>
      <c r="I339" s="41">
        <v>9.824832816E9</v>
      </c>
      <c r="J339" s="11" t="s">
        <v>25</v>
      </c>
      <c r="K339" s="12"/>
      <c r="L339" s="13"/>
      <c r="M339" s="11" t="s">
        <v>1479</v>
      </c>
      <c r="N339" s="15"/>
      <c r="O339" s="5" t="s">
        <v>108</v>
      </c>
      <c r="P339" s="5" t="s">
        <v>1480</v>
      </c>
      <c r="Q339" s="15"/>
      <c r="R339" s="16" t="s">
        <v>28</v>
      </c>
      <c r="S339" s="15"/>
      <c r="T339" s="15"/>
      <c r="U339" s="15"/>
      <c r="V339" s="15"/>
      <c r="W339" s="15"/>
      <c r="X339" s="15"/>
      <c r="Y339" s="15"/>
      <c r="Z339" s="15"/>
      <c r="AA339" s="15"/>
    </row>
    <row r="340">
      <c r="A340" s="5" t="s">
        <v>1481</v>
      </c>
      <c r="B340" s="17" t="s">
        <v>1482</v>
      </c>
      <c r="C340" s="40" t="s">
        <v>1483</v>
      </c>
      <c r="D340" s="8"/>
      <c r="E340" s="8" t="s">
        <v>222</v>
      </c>
      <c r="F340" s="9">
        <v>100000.0</v>
      </c>
      <c r="G340" s="31" t="s">
        <v>1484</v>
      </c>
      <c r="H340" s="11" t="s">
        <v>472</v>
      </c>
      <c r="I340" s="41">
        <v>9.475496043E9</v>
      </c>
      <c r="J340" s="11" t="s">
        <v>25</v>
      </c>
      <c r="K340" s="12"/>
      <c r="L340" s="13"/>
      <c r="M340" s="14"/>
      <c r="N340" s="15"/>
      <c r="O340" s="5" t="s">
        <v>26</v>
      </c>
      <c r="P340" s="5" t="s">
        <v>453</v>
      </c>
      <c r="Q340" s="15"/>
      <c r="R340" s="16" t="s">
        <v>28</v>
      </c>
      <c r="S340" s="15"/>
      <c r="T340" s="15"/>
      <c r="U340" s="15"/>
      <c r="V340" s="15"/>
      <c r="W340" s="15"/>
      <c r="X340" s="15"/>
      <c r="Y340" s="15"/>
      <c r="Z340" s="15"/>
      <c r="AA340" s="15"/>
    </row>
    <row r="341">
      <c r="A341" s="5" t="s">
        <v>1481</v>
      </c>
      <c r="B341" s="17" t="s">
        <v>1485</v>
      </c>
      <c r="C341" s="40" t="s">
        <v>1486</v>
      </c>
      <c r="D341" s="8"/>
      <c r="E341" s="8" t="s">
        <v>718</v>
      </c>
      <c r="F341" s="9">
        <v>1000.0</v>
      </c>
      <c r="G341" s="31" t="s">
        <v>1487</v>
      </c>
      <c r="H341" s="11" t="s">
        <v>981</v>
      </c>
      <c r="I341" s="41">
        <v>9.734758886E9</v>
      </c>
      <c r="J341" s="11" t="s">
        <v>25</v>
      </c>
      <c r="K341" s="12"/>
      <c r="L341" s="13"/>
      <c r="M341" s="14"/>
      <c r="N341" s="15"/>
      <c r="O341" s="5" t="s">
        <v>34</v>
      </c>
      <c r="P341" s="5"/>
      <c r="Q341" s="15"/>
      <c r="R341" s="16" t="s">
        <v>28</v>
      </c>
      <c r="S341" s="15"/>
      <c r="T341" s="15"/>
      <c r="U341" s="15"/>
      <c r="V341" s="15"/>
      <c r="W341" s="15"/>
      <c r="X341" s="15"/>
      <c r="Y341" s="15"/>
      <c r="Z341" s="15"/>
      <c r="AA341" s="15"/>
    </row>
    <row r="342">
      <c r="A342" s="5" t="s">
        <v>1488</v>
      </c>
      <c r="B342" s="17" t="s">
        <v>1489</v>
      </c>
      <c r="C342" s="40" t="s">
        <v>1490</v>
      </c>
      <c r="D342" s="8"/>
      <c r="E342" s="8" t="s">
        <v>178</v>
      </c>
      <c r="F342" s="9">
        <v>1500.0</v>
      </c>
      <c r="G342" s="31" t="s">
        <v>1491</v>
      </c>
      <c r="H342" s="11" t="s">
        <v>1492</v>
      </c>
      <c r="I342" s="41">
        <v>9.862371085E9</v>
      </c>
      <c r="J342" s="11" t="s">
        <v>25</v>
      </c>
      <c r="K342" s="12"/>
      <c r="L342" s="13"/>
      <c r="M342" s="14"/>
      <c r="N342" s="15"/>
      <c r="O342" s="5" t="s">
        <v>34</v>
      </c>
      <c r="P342" s="5" t="s">
        <v>55</v>
      </c>
      <c r="Q342" s="15"/>
      <c r="R342" s="16" t="s">
        <v>28</v>
      </c>
      <c r="S342" s="15"/>
      <c r="T342" s="15"/>
      <c r="U342" s="15"/>
      <c r="V342" s="15"/>
      <c r="W342" s="15"/>
      <c r="X342" s="15"/>
      <c r="Y342" s="15"/>
      <c r="Z342" s="15"/>
      <c r="AA342" s="15"/>
    </row>
    <row r="343">
      <c r="A343" s="5" t="s">
        <v>1493</v>
      </c>
      <c r="B343" s="17" t="s">
        <v>1494</v>
      </c>
      <c r="C343" s="40" t="s">
        <v>1495</v>
      </c>
      <c r="D343" s="8"/>
      <c r="E343" s="8" t="s">
        <v>222</v>
      </c>
      <c r="F343" s="9">
        <v>3000.0</v>
      </c>
      <c r="G343" s="31" t="s">
        <v>1496</v>
      </c>
      <c r="H343" s="11" t="s">
        <v>158</v>
      </c>
      <c r="I343" s="41">
        <v>9.883386215E9</v>
      </c>
      <c r="J343" s="11" t="s">
        <v>25</v>
      </c>
      <c r="K343" s="12"/>
      <c r="L343" s="13"/>
      <c r="M343" s="14"/>
      <c r="N343" s="15"/>
      <c r="O343" s="5" t="s">
        <v>26</v>
      </c>
      <c r="P343" s="5" t="s">
        <v>1497</v>
      </c>
      <c r="Q343" s="5" t="s">
        <v>1498</v>
      </c>
      <c r="R343" s="16" t="s">
        <v>28</v>
      </c>
      <c r="S343" s="15"/>
      <c r="T343" s="15"/>
      <c r="U343" s="15"/>
      <c r="V343" s="15"/>
      <c r="W343" s="15"/>
      <c r="X343" s="15"/>
      <c r="Y343" s="15"/>
      <c r="Z343" s="15"/>
      <c r="AA343" s="15"/>
    </row>
    <row r="344">
      <c r="A344" s="5" t="s">
        <v>1493</v>
      </c>
      <c r="B344" s="17" t="s">
        <v>1499</v>
      </c>
      <c r="C344" s="40" t="s">
        <v>1500</v>
      </c>
      <c r="D344" s="8"/>
      <c r="E344" s="8" t="s">
        <v>147</v>
      </c>
      <c r="F344" s="9">
        <v>3000.0</v>
      </c>
      <c r="G344" s="31" t="s">
        <v>1501</v>
      </c>
      <c r="H344" s="11" t="s">
        <v>1502</v>
      </c>
      <c r="I344" s="41">
        <v>9.832350728E9</v>
      </c>
      <c r="J344" s="11" t="s">
        <v>25</v>
      </c>
      <c r="K344" s="12"/>
      <c r="L344" s="13"/>
      <c r="M344" s="14"/>
      <c r="N344" s="15"/>
      <c r="O344" s="5" t="s">
        <v>34</v>
      </c>
      <c r="P344" s="5" t="s">
        <v>759</v>
      </c>
      <c r="Q344" s="15"/>
      <c r="R344" s="16" t="s">
        <v>28</v>
      </c>
      <c r="S344" s="15"/>
      <c r="T344" s="15"/>
      <c r="U344" s="15"/>
      <c r="V344" s="15"/>
      <c r="W344" s="15"/>
      <c r="X344" s="15"/>
      <c r="Y344" s="15"/>
      <c r="Z344" s="15"/>
      <c r="AA344" s="15"/>
    </row>
    <row r="345">
      <c r="A345" s="5" t="s">
        <v>1493</v>
      </c>
      <c r="B345" s="17" t="s">
        <v>1503</v>
      </c>
      <c r="C345" s="40" t="s">
        <v>1504</v>
      </c>
      <c r="D345" s="8"/>
      <c r="E345" s="8" t="s">
        <v>178</v>
      </c>
      <c r="F345" s="9">
        <v>25000.0</v>
      </c>
      <c r="G345" s="44" t="s">
        <v>1505</v>
      </c>
      <c r="H345" s="11" t="s">
        <v>99</v>
      </c>
      <c r="I345" s="41">
        <v>8.130825292E9</v>
      </c>
      <c r="J345" s="11" t="s">
        <v>25</v>
      </c>
      <c r="K345" s="12"/>
      <c r="L345" s="13"/>
      <c r="M345" s="14"/>
      <c r="N345" s="15"/>
      <c r="O345" s="5" t="s">
        <v>34</v>
      </c>
      <c r="P345" s="5" t="s">
        <v>759</v>
      </c>
      <c r="Q345" s="5" t="s">
        <v>921</v>
      </c>
      <c r="R345" s="16" t="s">
        <v>634</v>
      </c>
      <c r="S345" s="15"/>
      <c r="T345" s="15"/>
      <c r="U345" s="15"/>
      <c r="V345" s="15"/>
      <c r="W345" s="15"/>
      <c r="X345" s="15"/>
      <c r="Y345" s="15"/>
      <c r="Z345" s="15"/>
      <c r="AA345" s="15"/>
    </row>
    <row r="346">
      <c r="A346" s="5" t="s">
        <v>1506</v>
      </c>
      <c r="B346" s="17" t="s">
        <v>1507</v>
      </c>
      <c r="C346" s="40" t="s">
        <v>1508</v>
      </c>
      <c r="D346" s="8"/>
      <c r="E346" s="8" t="s">
        <v>1509</v>
      </c>
      <c r="F346" s="9">
        <v>10000.0</v>
      </c>
      <c r="G346" s="31" t="s">
        <v>1510</v>
      </c>
      <c r="H346" s="11" t="s">
        <v>44</v>
      </c>
      <c r="I346" s="41" t="s">
        <v>1511</v>
      </c>
      <c r="J346" s="11" t="s">
        <v>25</v>
      </c>
      <c r="K346" s="12"/>
      <c r="L346" s="13"/>
      <c r="M346" s="14"/>
      <c r="N346" s="15"/>
      <c r="O346" s="5" t="s">
        <v>34</v>
      </c>
      <c r="P346" s="5" t="s">
        <v>759</v>
      </c>
      <c r="Q346" s="5" t="s">
        <v>1512</v>
      </c>
      <c r="R346" s="16" t="s">
        <v>723</v>
      </c>
      <c r="S346" s="15"/>
      <c r="T346" s="15"/>
      <c r="U346" s="15"/>
      <c r="V346" s="15"/>
      <c r="W346" s="15"/>
      <c r="X346" s="15"/>
      <c r="Y346" s="15"/>
      <c r="Z346" s="15"/>
      <c r="AA346" s="15"/>
    </row>
    <row r="347">
      <c r="A347" s="5" t="s">
        <v>1513</v>
      </c>
      <c r="B347" s="17" t="s">
        <v>1514</v>
      </c>
      <c r="C347" s="40" t="s">
        <v>1515</v>
      </c>
      <c r="D347" s="8"/>
      <c r="E347" s="8" t="s">
        <v>794</v>
      </c>
      <c r="F347" s="9">
        <v>20000.0</v>
      </c>
      <c r="G347" s="31" t="s">
        <v>1516</v>
      </c>
      <c r="H347" s="11" t="s">
        <v>44</v>
      </c>
      <c r="I347" s="41" t="s">
        <v>1517</v>
      </c>
      <c r="J347" s="11" t="s">
        <v>25</v>
      </c>
      <c r="K347" s="12"/>
      <c r="L347" s="13"/>
      <c r="M347" s="14"/>
      <c r="N347" s="15"/>
      <c r="O347" s="5" t="s">
        <v>34</v>
      </c>
      <c r="P347" s="5" t="s">
        <v>759</v>
      </c>
      <c r="Q347" s="15"/>
      <c r="R347" s="16" t="s">
        <v>28</v>
      </c>
      <c r="S347" s="15"/>
      <c r="T347" s="15"/>
      <c r="U347" s="15"/>
      <c r="V347" s="15"/>
      <c r="W347" s="15"/>
      <c r="X347" s="15"/>
      <c r="Y347" s="15"/>
      <c r="Z347" s="15"/>
      <c r="AA347" s="15"/>
    </row>
    <row r="348">
      <c r="A348" s="5" t="s">
        <v>1513</v>
      </c>
      <c r="B348" s="17" t="s">
        <v>1518</v>
      </c>
      <c r="C348" s="40" t="s">
        <v>1519</v>
      </c>
      <c r="D348" s="8"/>
      <c r="E348" s="8" t="s">
        <v>1520</v>
      </c>
      <c r="F348" s="9">
        <v>20000.0</v>
      </c>
      <c r="G348" s="31" t="s">
        <v>1521</v>
      </c>
      <c r="H348" s="11" t="s">
        <v>158</v>
      </c>
      <c r="I348" s="41">
        <v>8.334884156E9</v>
      </c>
      <c r="J348" s="11" t="s">
        <v>25</v>
      </c>
      <c r="K348" s="12" t="s">
        <v>1522</v>
      </c>
      <c r="L348" s="13"/>
      <c r="M348" s="14"/>
      <c r="N348" s="15"/>
      <c r="O348" s="5" t="s">
        <v>26</v>
      </c>
      <c r="P348" s="5" t="s">
        <v>1523</v>
      </c>
      <c r="Q348" s="15"/>
      <c r="R348" s="16" t="s">
        <v>28</v>
      </c>
      <c r="S348" s="15"/>
      <c r="T348" s="15"/>
      <c r="U348" s="15"/>
      <c r="V348" s="15"/>
      <c r="W348" s="15"/>
      <c r="X348" s="15"/>
      <c r="Y348" s="15"/>
      <c r="Z348" s="15"/>
      <c r="AA348" s="15"/>
    </row>
    <row r="349">
      <c r="A349" s="5" t="s">
        <v>1513</v>
      </c>
      <c r="B349" s="17" t="s">
        <v>1524</v>
      </c>
      <c r="C349" s="40" t="s">
        <v>1525</v>
      </c>
      <c r="D349" s="8"/>
      <c r="E349" s="8" t="s">
        <v>326</v>
      </c>
      <c r="F349" s="9">
        <v>1000.0</v>
      </c>
      <c r="G349" s="44" t="s">
        <v>1526</v>
      </c>
      <c r="H349" s="11" t="s">
        <v>44</v>
      </c>
      <c r="I349" s="41">
        <v>8.240041741E9</v>
      </c>
      <c r="J349" s="11" t="s">
        <v>25</v>
      </c>
      <c r="K349" s="12"/>
      <c r="L349" s="13"/>
      <c r="M349" s="14"/>
      <c r="N349" s="15"/>
      <c r="O349" s="5" t="s">
        <v>34</v>
      </c>
      <c r="P349" s="5" t="s">
        <v>957</v>
      </c>
      <c r="Q349" s="15"/>
      <c r="R349" s="16" t="s">
        <v>28</v>
      </c>
      <c r="S349" s="15"/>
      <c r="T349" s="15"/>
      <c r="U349" s="15"/>
      <c r="V349" s="15"/>
      <c r="W349" s="15"/>
      <c r="X349" s="15"/>
      <c r="Y349" s="15"/>
      <c r="Z349" s="15"/>
      <c r="AA349" s="15"/>
    </row>
    <row r="350">
      <c r="A350" s="5" t="s">
        <v>1527</v>
      </c>
      <c r="B350" s="17" t="s">
        <v>1528</v>
      </c>
      <c r="C350" s="40" t="s">
        <v>1529</v>
      </c>
      <c r="D350" s="8"/>
      <c r="E350" s="8" t="s">
        <v>501</v>
      </c>
      <c r="F350" s="9">
        <v>5000.0</v>
      </c>
      <c r="G350" s="31" t="s">
        <v>1530</v>
      </c>
      <c r="H350" s="11" t="s">
        <v>449</v>
      </c>
      <c r="I350" s="41">
        <v>9.064971285E9</v>
      </c>
      <c r="J350" s="11" t="s">
        <v>25</v>
      </c>
      <c r="K350" s="12"/>
      <c r="L350" s="13"/>
      <c r="M350" s="14"/>
      <c r="N350" s="15"/>
      <c r="O350" s="5" t="s">
        <v>26</v>
      </c>
      <c r="P350" s="5" t="s">
        <v>1531</v>
      </c>
      <c r="Q350" s="15"/>
      <c r="R350" s="16" t="s">
        <v>28</v>
      </c>
      <c r="S350" s="15"/>
      <c r="T350" s="15"/>
      <c r="U350" s="15"/>
      <c r="V350" s="15"/>
      <c r="W350" s="15"/>
      <c r="X350" s="15"/>
      <c r="Y350" s="15"/>
      <c r="Z350" s="15"/>
      <c r="AA350" s="15"/>
    </row>
    <row r="351">
      <c r="A351" s="5" t="s">
        <v>1532</v>
      </c>
      <c r="B351" s="17" t="s">
        <v>1533</v>
      </c>
      <c r="C351" s="40" t="s">
        <v>1534</v>
      </c>
      <c r="D351" s="8"/>
      <c r="E351" s="8" t="s">
        <v>130</v>
      </c>
      <c r="F351" s="9">
        <v>5000.0</v>
      </c>
      <c r="G351" s="31" t="s">
        <v>1535</v>
      </c>
      <c r="H351" s="11" t="s">
        <v>1414</v>
      </c>
      <c r="I351" s="41">
        <v>9.563475151E9</v>
      </c>
      <c r="J351" s="11" t="s">
        <v>25</v>
      </c>
      <c r="K351" s="12" t="s">
        <v>1536</v>
      </c>
      <c r="L351" s="13"/>
      <c r="M351" s="14"/>
      <c r="N351" s="15"/>
      <c r="O351" s="5" t="s">
        <v>26</v>
      </c>
      <c r="P351" s="5" t="s">
        <v>1537</v>
      </c>
      <c r="Q351" s="15"/>
      <c r="R351" s="16" t="s">
        <v>28</v>
      </c>
      <c r="S351" s="15"/>
      <c r="T351" s="15"/>
      <c r="U351" s="15"/>
      <c r="V351" s="15"/>
      <c r="W351" s="15"/>
      <c r="X351" s="15"/>
      <c r="Y351" s="15"/>
      <c r="Z351" s="15"/>
      <c r="AA351" s="15"/>
    </row>
    <row r="352">
      <c r="A352" s="5" t="s">
        <v>1538</v>
      </c>
      <c r="B352" s="17" t="s">
        <v>1539</v>
      </c>
      <c r="C352" s="40" t="s">
        <v>1540</v>
      </c>
      <c r="D352" s="8"/>
      <c r="E352" s="8" t="s">
        <v>141</v>
      </c>
      <c r="F352" s="9">
        <v>2000.0</v>
      </c>
      <c r="G352" s="44"/>
      <c r="H352" s="11" t="s">
        <v>930</v>
      </c>
      <c r="I352" s="41">
        <v>9.880287117E9</v>
      </c>
      <c r="J352" s="11" t="s">
        <v>25</v>
      </c>
      <c r="K352" s="12"/>
      <c r="L352" s="13"/>
      <c r="M352" s="14"/>
      <c r="N352" s="15"/>
      <c r="O352" s="5" t="s">
        <v>34</v>
      </c>
      <c r="P352" s="5" t="s">
        <v>957</v>
      </c>
      <c r="Q352" s="15"/>
      <c r="R352" s="16" t="s">
        <v>28</v>
      </c>
      <c r="S352" s="15"/>
      <c r="T352" s="15"/>
      <c r="U352" s="15"/>
      <c r="V352" s="15"/>
      <c r="W352" s="15"/>
      <c r="X352" s="15"/>
      <c r="Y352" s="15"/>
      <c r="Z352" s="15"/>
      <c r="AA352" s="15"/>
    </row>
    <row r="353">
      <c r="A353" s="5" t="s">
        <v>1538</v>
      </c>
      <c r="B353" s="17" t="s">
        <v>1541</v>
      </c>
      <c r="C353" s="40" t="s">
        <v>1542</v>
      </c>
      <c r="D353" s="8"/>
      <c r="E353" s="8" t="s">
        <v>189</v>
      </c>
      <c r="F353" s="9">
        <v>20000.0</v>
      </c>
      <c r="G353" s="44"/>
      <c r="H353" s="11" t="s">
        <v>822</v>
      </c>
      <c r="I353" s="41">
        <v>8.617317996E9</v>
      </c>
      <c r="J353" s="11" t="s">
        <v>25</v>
      </c>
      <c r="K353" s="12" t="s">
        <v>1543</v>
      </c>
      <c r="L353" s="13"/>
      <c r="M353" s="14"/>
      <c r="N353" s="15"/>
      <c r="O353" s="5" t="s">
        <v>26</v>
      </c>
      <c r="P353" s="5" t="s">
        <v>1544</v>
      </c>
      <c r="Q353" s="15"/>
      <c r="R353" s="16" t="s">
        <v>28</v>
      </c>
      <c r="S353" s="15"/>
      <c r="T353" s="15"/>
      <c r="U353" s="15"/>
      <c r="V353" s="15"/>
      <c r="W353" s="15"/>
      <c r="X353" s="15"/>
      <c r="Y353" s="15"/>
      <c r="Z353" s="15"/>
      <c r="AA353" s="15"/>
    </row>
    <row r="354">
      <c r="A354" s="5" t="s">
        <v>1538</v>
      </c>
      <c r="B354" s="17" t="s">
        <v>1545</v>
      </c>
      <c r="C354" s="40" t="s">
        <v>1546</v>
      </c>
      <c r="D354" s="8"/>
      <c r="E354" s="8" t="s">
        <v>130</v>
      </c>
      <c r="F354" s="9">
        <v>500.0</v>
      </c>
      <c r="G354" s="31" t="s">
        <v>1547</v>
      </c>
      <c r="H354" s="11" t="s">
        <v>78</v>
      </c>
      <c r="I354" s="41">
        <v>7.033071181E9</v>
      </c>
      <c r="J354" s="11" t="s">
        <v>25</v>
      </c>
      <c r="K354" s="12"/>
      <c r="L354" s="13"/>
      <c r="M354" s="14"/>
      <c r="N354" s="15"/>
      <c r="O354" s="5" t="s">
        <v>34</v>
      </c>
      <c r="P354" s="5" t="s">
        <v>707</v>
      </c>
      <c r="Q354" s="15"/>
      <c r="R354" s="16" t="s">
        <v>28</v>
      </c>
      <c r="S354" s="15"/>
      <c r="T354" s="15"/>
      <c r="U354" s="15"/>
      <c r="V354" s="15"/>
      <c r="W354" s="15"/>
      <c r="X354" s="15"/>
      <c r="Y354" s="15"/>
      <c r="Z354" s="15"/>
      <c r="AA354" s="15"/>
    </row>
    <row r="355">
      <c r="A355" s="5" t="s">
        <v>1538</v>
      </c>
      <c r="B355" s="17" t="s">
        <v>1548</v>
      </c>
      <c r="C355" s="40" t="s">
        <v>1549</v>
      </c>
      <c r="D355" s="8"/>
      <c r="E355" s="8" t="s">
        <v>1550</v>
      </c>
      <c r="F355" s="9">
        <v>50000.0</v>
      </c>
      <c r="G355" s="31" t="s">
        <v>1551</v>
      </c>
      <c r="H355" s="11" t="s">
        <v>507</v>
      </c>
      <c r="I355" s="41">
        <v>8.879099887E9</v>
      </c>
      <c r="J355" s="11" t="s">
        <v>25</v>
      </c>
      <c r="K355" s="12"/>
      <c r="L355" s="13"/>
      <c r="M355" s="14"/>
      <c r="N355" s="15"/>
      <c r="O355" s="5" t="s">
        <v>108</v>
      </c>
      <c r="P355" s="5" t="s">
        <v>1552</v>
      </c>
      <c r="Q355" s="15"/>
      <c r="R355" s="16" t="s">
        <v>28</v>
      </c>
      <c r="S355" s="15"/>
      <c r="T355" s="15"/>
      <c r="U355" s="15"/>
      <c r="V355" s="15"/>
      <c r="W355" s="15"/>
      <c r="X355" s="15"/>
      <c r="Y355" s="15"/>
      <c r="Z355" s="15"/>
      <c r="AA355" s="15"/>
    </row>
    <row r="356">
      <c r="A356" s="5" t="s">
        <v>1553</v>
      </c>
      <c r="B356" s="17" t="s">
        <v>1554</v>
      </c>
      <c r="C356" s="40" t="s">
        <v>1555</v>
      </c>
      <c r="D356" s="8"/>
      <c r="E356" s="8" t="s">
        <v>501</v>
      </c>
      <c r="F356" s="9">
        <v>2000.0</v>
      </c>
      <c r="G356" s="31" t="s">
        <v>1556</v>
      </c>
      <c r="H356" s="11" t="s">
        <v>822</v>
      </c>
      <c r="I356" s="41">
        <v>8.910368603E9</v>
      </c>
      <c r="J356" s="11" t="s">
        <v>25</v>
      </c>
      <c r="K356" s="12" t="s">
        <v>1557</v>
      </c>
      <c r="L356" s="13"/>
      <c r="M356" s="14"/>
      <c r="N356" s="15"/>
      <c r="O356" s="5" t="s">
        <v>26</v>
      </c>
      <c r="P356" s="5" t="s">
        <v>1537</v>
      </c>
      <c r="Q356" s="15"/>
      <c r="R356" s="16" t="s">
        <v>28</v>
      </c>
      <c r="S356" s="15"/>
      <c r="T356" s="15"/>
      <c r="U356" s="15"/>
      <c r="V356" s="15"/>
      <c r="W356" s="15"/>
      <c r="X356" s="15"/>
      <c r="Y356" s="15"/>
      <c r="Z356" s="15"/>
      <c r="AA356" s="15"/>
    </row>
    <row r="357">
      <c r="A357" s="5" t="s">
        <v>1553</v>
      </c>
      <c r="B357" s="17" t="s">
        <v>1558</v>
      </c>
      <c r="C357" s="40" t="s">
        <v>1559</v>
      </c>
      <c r="D357" s="8"/>
      <c r="E357" s="8" t="s">
        <v>97</v>
      </c>
      <c r="F357" s="9">
        <v>20000.0</v>
      </c>
      <c r="G357" s="31" t="s">
        <v>1560</v>
      </c>
      <c r="H357" s="11" t="s">
        <v>1561</v>
      </c>
      <c r="I357" s="41">
        <v>9.474013762E9</v>
      </c>
      <c r="J357" s="11" t="s">
        <v>25</v>
      </c>
      <c r="K357" s="12"/>
      <c r="L357" s="13"/>
      <c r="M357" s="14"/>
      <c r="N357" s="15"/>
      <c r="O357" s="5" t="s">
        <v>34</v>
      </c>
      <c r="P357" s="5" t="s">
        <v>1562</v>
      </c>
      <c r="Q357" s="15"/>
      <c r="R357" s="16" t="s">
        <v>28</v>
      </c>
      <c r="S357" s="15"/>
      <c r="T357" s="15"/>
      <c r="U357" s="15"/>
      <c r="V357" s="15"/>
      <c r="W357" s="15"/>
      <c r="X357" s="15"/>
      <c r="Y357" s="15"/>
      <c r="Z357" s="15"/>
      <c r="AA357" s="15"/>
    </row>
    <row r="358">
      <c r="A358" s="5" t="s">
        <v>1553</v>
      </c>
      <c r="B358" s="17" t="s">
        <v>1563</v>
      </c>
      <c r="C358" s="40" t="s">
        <v>1564</v>
      </c>
      <c r="D358" s="8"/>
      <c r="E358" s="8" t="s">
        <v>1565</v>
      </c>
      <c r="F358" s="9">
        <v>20000.0</v>
      </c>
      <c r="G358" s="31" t="s">
        <v>1566</v>
      </c>
      <c r="H358" s="11" t="s">
        <v>467</v>
      </c>
      <c r="I358" s="41">
        <v>9.454727288E9</v>
      </c>
      <c r="J358" s="11" t="s">
        <v>25</v>
      </c>
      <c r="K358" s="12"/>
      <c r="L358" s="13"/>
      <c r="M358" s="14"/>
      <c r="N358" s="15"/>
      <c r="O358" s="5" t="s">
        <v>108</v>
      </c>
      <c r="P358" s="5" t="s">
        <v>1567</v>
      </c>
      <c r="Q358" s="15"/>
      <c r="R358" s="16" t="s">
        <v>28</v>
      </c>
      <c r="S358" s="15"/>
      <c r="T358" s="15"/>
      <c r="U358" s="15"/>
      <c r="V358" s="15"/>
      <c r="W358" s="15"/>
      <c r="X358" s="15"/>
      <c r="Y358" s="15"/>
      <c r="Z358" s="15"/>
      <c r="AA358" s="15"/>
    </row>
    <row r="359">
      <c r="A359" s="5" t="s">
        <v>1568</v>
      </c>
      <c r="B359" s="17" t="s">
        <v>1569</v>
      </c>
      <c r="C359" s="40" t="s">
        <v>1570</v>
      </c>
      <c r="D359" s="8"/>
      <c r="E359" s="8" t="s">
        <v>178</v>
      </c>
      <c r="F359" s="9">
        <v>25000.0</v>
      </c>
      <c r="G359" s="31" t="s">
        <v>1571</v>
      </c>
      <c r="H359" s="11" t="s">
        <v>507</v>
      </c>
      <c r="I359" s="41">
        <v>8.007535454E9</v>
      </c>
      <c r="J359" s="11" t="s">
        <v>25</v>
      </c>
      <c r="K359" s="12"/>
      <c r="L359" s="13"/>
      <c r="M359" s="14"/>
      <c r="N359" s="15"/>
      <c r="O359" s="5" t="s">
        <v>108</v>
      </c>
      <c r="P359" s="5" t="s">
        <v>1572</v>
      </c>
      <c r="Q359" s="15"/>
      <c r="R359" s="16" t="s">
        <v>28</v>
      </c>
      <c r="S359" s="15"/>
      <c r="T359" s="15"/>
      <c r="U359" s="15"/>
      <c r="V359" s="15"/>
      <c r="W359" s="15"/>
      <c r="X359" s="15"/>
      <c r="Y359" s="15"/>
      <c r="Z359" s="15"/>
      <c r="AA359" s="15"/>
    </row>
    <row r="360">
      <c r="A360" s="5" t="s">
        <v>1568</v>
      </c>
      <c r="B360" s="17" t="s">
        <v>1573</v>
      </c>
      <c r="C360" s="40" t="s">
        <v>1574</v>
      </c>
      <c r="D360" s="8"/>
      <c r="E360" s="8" t="s">
        <v>130</v>
      </c>
      <c r="F360" s="9">
        <v>5000.0</v>
      </c>
      <c r="G360" s="31" t="s">
        <v>1575</v>
      </c>
      <c r="H360" s="11" t="s">
        <v>24</v>
      </c>
      <c r="I360" s="41">
        <v>8.789266216E9</v>
      </c>
      <c r="J360" s="11" t="s">
        <v>25</v>
      </c>
      <c r="K360" s="12"/>
      <c r="L360" s="13"/>
      <c r="M360" s="14"/>
      <c r="N360" s="15"/>
      <c r="O360" s="5" t="s">
        <v>34</v>
      </c>
      <c r="P360" s="5" t="s">
        <v>707</v>
      </c>
      <c r="Q360" s="15"/>
      <c r="R360" s="16" t="s">
        <v>28</v>
      </c>
      <c r="S360" s="15"/>
      <c r="T360" s="15"/>
      <c r="U360" s="15"/>
      <c r="V360" s="15"/>
      <c r="W360" s="15"/>
      <c r="X360" s="15"/>
      <c r="Y360" s="15"/>
      <c r="Z360" s="15"/>
      <c r="AA360" s="15"/>
    </row>
    <row r="361">
      <c r="A361" s="5" t="s">
        <v>1576</v>
      </c>
      <c r="B361" s="17" t="s">
        <v>1577</v>
      </c>
      <c r="C361" s="40" t="s">
        <v>1578</v>
      </c>
      <c r="D361" s="8"/>
      <c r="E361" s="8" t="s">
        <v>1579</v>
      </c>
      <c r="F361" s="9">
        <v>400.0</v>
      </c>
      <c r="G361" s="31" t="s">
        <v>1580</v>
      </c>
      <c r="H361" s="11" t="s">
        <v>44</v>
      </c>
      <c r="I361" s="41">
        <v>8.348059314E9</v>
      </c>
      <c r="J361" s="11" t="s">
        <v>25</v>
      </c>
      <c r="K361" s="12"/>
      <c r="L361" s="13"/>
      <c r="M361" s="14"/>
      <c r="N361" s="15"/>
      <c r="O361" s="5" t="s">
        <v>34</v>
      </c>
      <c r="P361" s="5" t="s">
        <v>1581</v>
      </c>
      <c r="Q361" s="15"/>
      <c r="R361" s="16" t="s">
        <v>28</v>
      </c>
      <c r="S361" s="15"/>
      <c r="T361" s="15"/>
      <c r="U361" s="15"/>
      <c r="V361" s="15"/>
      <c r="W361" s="15"/>
      <c r="X361" s="15"/>
      <c r="Y361" s="15"/>
      <c r="Z361" s="15"/>
      <c r="AA361" s="15"/>
    </row>
    <row r="362">
      <c r="A362" s="5" t="s">
        <v>1582</v>
      </c>
      <c r="B362" s="17" t="s">
        <v>1583</v>
      </c>
      <c r="C362" s="40" t="s">
        <v>1584</v>
      </c>
      <c r="D362" s="8"/>
      <c r="E362" s="8" t="s">
        <v>130</v>
      </c>
      <c r="F362" s="9">
        <v>3000.0</v>
      </c>
      <c r="G362" s="44"/>
      <c r="H362" s="11" t="s">
        <v>1414</v>
      </c>
      <c r="I362" s="41">
        <v>8.145013558E9</v>
      </c>
      <c r="J362" s="11" t="s">
        <v>25</v>
      </c>
      <c r="K362" s="12"/>
      <c r="L362" s="13"/>
      <c r="M362" s="14"/>
      <c r="N362" s="15"/>
      <c r="O362" s="5" t="s">
        <v>34</v>
      </c>
      <c r="P362" s="5" t="s">
        <v>707</v>
      </c>
      <c r="Q362" s="15"/>
      <c r="R362" s="16" t="s">
        <v>28</v>
      </c>
      <c r="S362" s="15"/>
      <c r="T362" s="15"/>
      <c r="U362" s="15"/>
      <c r="V362" s="15"/>
      <c r="W362" s="15"/>
      <c r="X362" s="15"/>
      <c r="Y362" s="15"/>
      <c r="Z362" s="15"/>
      <c r="AA362" s="15"/>
    </row>
    <row r="363">
      <c r="A363" s="5" t="s">
        <v>1582</v>
      </c>
      <c r="B363" s="17" t="s">
        <v>1585</v>
      </c>
      <c r="C363" s="40" t="s">
        <v>1586</v>
      </c>
      <c r="D363" s="8"/>
      <c r="E363" s="8" t="s">
        <v>152</v>
      </c>
      <c r="F363" s="9">
        <v>10000.0</v>
      </c>
      <c r="G363" s="31" t="s">
        <v>1587</v>
      </c>
      <c r="H363" s="11" t="s">
        <v>24</v>
      </c>
      <c r="I363" s="41">
        <v>9.334382553E9</v>
      </c>
      <c r="J363" s="11" t="s">
        <v>25</v>
      </c>
      <c r="K363" s="12"/>
      <c r="L363" s="13"/>
      <c r="M363" s="14"/>
      <c r="N363" s="15"/>
      <c r="O363" s="5" t="s">
        <v>26</v>
      </c>
      <c r="P363" s="5" t="s">
        <v>79</v>
      </c>
      <c r="Q363" s="15"/>
      <c r="R363" s="16" t="s">
        <v>28</v>
      </c>
      <c r="S363" s="15"/>
      <c r="T363" s="15"/>
      <c r="U363" s="15"/>
      <c r="V363" s="15"/>
      <c r="W363" s="15"/>
      <c r="X363" s="15"/>
      <c r="Y363" s="15"/>
      <c r="Z363" s="15"/>
      <c r="AA363" s="15"/>
    </row>
    <row r="364">
      <c r="A364" s="5" t="s">
        <v>1588</v>
      </c>
      <c r="B364" s="17" t="s">
        <v>1589</v>
      </c>
      <c r="C364" s="40" t="s">
        <v>1590</v>
      </c>
      <c r="D364" s="8"/>
      <c r="E364" s="8" t="s">
        <v>1217</v>
      </c>
      <c r="F364" s="9">
        <v>12000.0</v>
      </c>
      <c r="G364" s="31" t="s">
        <v>1591</v>
      </c>
      <c r="H364" s="11" t="s">
        <v>99</v>
      </c>
      <c r="I364" s="41">
        <v>8.210708768E9</v>
      </c>
      <c r="J364" s="11" t="s">
        <v>25</v>
      </c>
      <c r="K364" s="12"/>
      <c r="L364" s="13"/>
      <c r="M364" s="14"/>
      <c r="N364" s="15"/>
      <c r="O364" s="5" t="s">
        <v>26</v>
      </c>
      <c r="P364" s="5" t="s">
        <v>1544</v>
      </c>
      <c r="Q364" s="15"/>
      <c r="R364" s="16" t="s">
        <v>28</v>
      </c>
      <c r="S364" s="15"/>
      <c r="T364" s="15"/>
      <c r="U364" s="15"/>
      <c r="V364" s="15"/>
      <c r="W364" s="15"/>
      <c r="X364" s="15"/>
      <c r="Y364" s="15"/>
      <c r="Z364" s="15"/>
      <c r="AA364" s="15"/>
    </row>
    <row r="365">
      <c r="A365" s="5" t="s">
        <v>1588</v>
      </c>
      <c r="B365" s="17" t="s">
        <v>1592</v>
      </c>
      <c r="C365" s="40" t="s">
        <v>1593</v>
      </c>
      <c r="D365" s="8"/>
      <c r="E365" s="8" t="s">
        <v>130</v>
      </c>
      <c r="F365" s="9">
        <v>1000.0</v>
      </c>
      <c r="G365" s="44"/>
      <c r="H365" s="11" t="s">
        <v>24</v>
      </c>
      <c r="I365" s="41">
        <v>8.955736795E9</v>
      </c>
      <c r="J365" s="11" t="s">
        <v>25</v>
      </c>
      <c r="K365" s="12"/>
      <c r="L365" s="13"/>
      <c r="M365" s="14"/>
      <c r="N365" s="15"/>
      <c r="O365" s="5" t="s">
        <v>26</v>
      </c>
      <c r="P365" s="5" t="s">
        <v>1594</v>
      </c>
      <c r="Q365" s="15"/>
      <c r="R365" s="16" t="s">
        <v>28</v>
      </c>
      <c r="S365" s="15"/>
      <c r="T365" s="15"/>
      <c r="U365" s="15"/>
      <c r="V365" s="15"/>
      <c r="W365" s="15"/>
      <c r="X365" s="15"/>
      <c r="Y365" s="15"/>
      <c r="Z365" s="15"/>
      <c r="AA365" s="15"/>
    </row>
    <row r="366">
      <c r="A366" s="5" t="s">
        <v>1595</v>
      </c>
      <c r="B366" s="17" t="s">
        <v>1596</v>
      </c>
      <c r="C366" s="40" t="s">
        <v>1597</v>
      </c>
      <c r="D366" s="8"/>
      <c r="E366" s="8" t="s">
        <v>202</v>
      </c>
      <c r="F366" s="9">
        <v>12000.0</v>
      </c>
      <c r="G366" s="31" t="s">
        <v>1598</v>
      </c>
      <c r="H366" s="11" t="s">
        <v>1237</v>
      </c>
      <c r="I366" s="41">
        <v>7.898412496E9</v>
      </c>
      <c r="J366" s="11" t="s">
        <v>25</v>
      </c>
      <c r="K366" s="12"/>
      <c r="L366" s="13"/>
      <c r="M366" s="14"/>
      <c r="N366" s="15"/>
      <c r="O366" s="5" t="s">
        <v>108</v>
      </c>
      <c r="P366" s="5" t="s">
        <v>1599</v>
      </c>
      <c r="Q366" s="15"/>
      <c r="R366" s="16" t="s">
        <v>28</v>
      </c>
      <c r="S366" s="15"/>
      <c r="T366" s="15"/>
      <c r="U366" s="15"/>
      <c r="V366" s="15"/>
      <c r="W366" s="15"/>
      <c r="X366" s="15"/>
      <c r="Y366" s="15"/>
      <c r="Z366" s="15"/>
      <c r="AA366" s="15"/>
    </row>
    <row r="367">
      <c r="A367" s="5" t="s">
        <v>1595</v>
      </c>
      <c r="B367" s="17" t="s">
        <v>1600</v>
      </c>
      <c r="C367" s="40" t="s">
        <v>1601</v>
      </c>
      <c r="D367" s="8"/>
      <c r="E367" s="8" t="s">
        <v>43</v>
      </c>
      <c r="F367" s="9">
        <v>2000.0</v>
      </c>
      <c r="G367" s="44"/>
      <c r="H367" s="11" t="s">
        <v>1602</v>
      </c>
      <c r="I367" s="41">
        <v>7.679989662E9</v>
      </c>
      <c r="J367" s="11" t="s">
        <v>25</v>
      </c>
      <c r="K367" s="12"/>
      <c r="L367" s="13"/>
      <c r="M367" s="14"/>
      <c r="N367" s="15"/>
      <c r="O367" s="5" t="s">
        <v>34</v>
      </c>
      <c r="P367" s="5"/>
      <c r="Q367" s="15"/>
      <c r="R367" s="16" t="s">
        <v>28</v>
      </c>
      <c r="S367" s="15"/>
      <c r="T367" s="15"/>
      <c r="U367" s="15"/>
      <c r="V367" s="15"/>
      <c r="W367" s="15"/>
      <c r="X367" s="15"/>
      <c r="Y367" s="15"/>
      <c r="Z367" s="15"/>
      <c r="AA367" s="15"/>
    </row>
    <row r="368">
      <c r="A368" s="5" t="s">
        <v>1595</v>
      </c>
      <c r="B368" s="17" t="s">
        <v>1603</v>
      </c>
      <c r="C368" s="40" t="s">
        <v>1604</v>
      </c>
      <c r="D368" s="8"/>
      <c r="E368" s="8" t="s">
        <v>130</v>
      </c>
      <c r="F368" s="9">
        <v>20000.0</v>
      </c>
      <c r="G368" s="43" t="s">
        <v>1605</v>
      </c>
      <c r="H368" s="11" t="s">
        <v>507</v>
      </c>
      <c r="I368" s="41">
        <v>9.762716757E9</v>
      </c>
      <c r="J368" s="11" t="s">
        <v>25</v>
      </c>
      <c r="K368" s="12"/>
      <c r="L368" s="13"/>
      <c r="M368" s="14"/>
      <c r="N368" s="15"/>
      <c r="O368" s="5" t="s">
        <v>108</v>
      </c>
      <c r="P368" s="5" t="s">
        <v>1606</v>
      </c>
      <c r="Q368" s="15"/>
      <c r="R368" s="16" t="s">
        <v>28</v>
      </c>
      <c r="S368" s="15"/>
      <c r="T368" s="15"/>
      <c r="U368" s="15"/>
      <c r="V368" s="15"/>
      <c r="W368" s="15"/>
      <c r="X368" s="15"/>
      <c r="Y368" s="15"/>
      <c r="Z368" s="15"/>
      <c r="AA368" s="15"/>
    </row>
    <row r="369">
      <c r="A369" s="5" t="s">
        <v>1595</v>
      </c>
      <c r="B369" s="17" t="s">
        <v>1607</v>
      </c>
      <c r="C369" s="40" t="s">
        <v>1608</v>
      </c>
      <c r="D369" s="8"/>
      <c r="E369" s="8" t="s">
        <v>152</v>
      </c>
      <c r="F369" s="9">
        <v>1000.0</v>
      </c>
      <c r="G369" s="44"/>
      <c r="H369" s="11" t="s">
        <v>507</v>
      </c>
      <c r="I369" s="41">
        <v>8.766923342E9</v>
      </c>
      <c r="J369" s="11" t="s">
        <v>25</v>
      </c>
      <c r="K369" s="12"/>
      <c r="L369" s="13"/>
      <c r="M369" s="14"/>
      <c r="N369" s="15"/>
      <c r="O369" s="5" t="s">
        <v>108</v>
      </c>
      <c r="P369" s="5" t="s">
        <v>1609</v>
      </c>
      <c r="Q369" s="15"/>
      <c r="R369" s="16" t="s">
        <v>28</v>
      </c>
      <c r="S369" s="15"/>
      <c r="T369" s="15"/>
      <c r="U369" s="15"/>
      <c r="V369" s="15"/>
      <c r="W369" s="15"/>
      <c r="X369" s="15"/>
      <c r="Y369" s="15"/>
      <c r="Z369" s="15"/>
      <c r="AA369" s="15"/>
    </row>
    <row r="370">
      <c r="A370" s="5" t="s">
        <v>1610</v>
      </c>
      <c r="B370" s="17" t="s">
        <v>1611</v>
      </c>
      <c r="C370" s="40" t="s">
        <v>1612</v>
      </c>
      <c r="D370" s="8"/>
      <c r="E370" s="8" t="s">
        <v>222</v>
      </c>
      <c r="F370" s="9">
        <v>10000.0</v>
      </c>
      <c r="G370" s="31" t="s">
        <v>1613</v>
      </c>
      <c r="H370" s="11" t="s">
        <v>158</v>
      </c>
      <c r="I370" s="41">
        <v>9.836059059E9</v>
      </c>
      <c r="J370" s="11" t="s">
        <v>25</v>
      </c>
      <c r="K370" s="12"/>
      <c r="L370" s="13"/>
      <c r="M370" s="11" t="s">
        <v>1614</v>
      </c>
      <c r="N370" s="15"/>
      <c r="O370" s="5" t="s">
        <v>34</v>
      </c>
      <c r="P370" s="5" t="s">
        <v>707</v>
      </c>
      <c r="Q370" s="5" t="s">
        <v>1615</v>
      </c>
      <c r="R370" s="16" t="s">
        <v>723</v>
      </c>
      <c r="S370" s="15"/>
      <c r="T370" s="15"/>
      <c r="U370" s="15"/>
      <c r="V370" s="15"/>
      <c r="W370" s="15"/>
      <c r="X370" s="15"/>
      <c r="Y370" s="15"/>
      <c r="Z370" s="15"/>
      <c r="AA370" s="15"/>
    </row>
    <row r="371">
      <c r="A371" s="5" t="s">
        <v>1610</v>
      </c>
      <c r="B371" s="17" t="s">
        <v>1616</v>
      </c>
      <c r="C371" s="40" t="s">
        <v>1617</v>
      </c>
      <c r="D371" s="8"/>
      <c r="E371" s="8" t="s">
        <v>38</v>
      </c>
      <c r="F371" s="9">
        <v>500.0</v>
      </c>
      <c r="G371" s="56" t="s">
        <v>1618</v>
      </c>
      <c r="H371" s="11" t="s">
        <v>449</v>
      </c>
      <c r="I371" s="41">
        <v>8.637067313E9</v>
      </c>
      <c r="J371" s="11" t="s">
        <v>25</v>
      </c>
      <c r="K371" s="12"/>
      <c r="L371" s="13"/>
      <c r="M371" s="14"/>
      <c r="N371" s="15"/>
      <c r="O371" s="5" t="s">
        <v>26</v>
      </c>
      <c r="P371" s="5" t="s">
        <v>1619</v>
      </c>
      <c r="Q371" s="15"/>
      <c r="R371" s="16" t="s">
        <v>28</v>
      </c>
      <c r="S371" s="15"/>
      <c r="T371" s="15"/>
      <c r="U371" s="15"/>
      <c r="V371" s="15"/>
      <c r="W371" s="15"/>
      <c r="X371" s="15"/>
      <c r="Y371" s="15"/>
      <c r="Z371" s="15"/>
      <c r="AA371" s="15"/>
    </row>
    <row r="372">
      <c r="A372" s="5" t="s">
        <v>1610</v>
      </c>
      <c r="B372" s="17" t="s">
        <v>1620</v>
      </c>
      <c r="C372" s="40" t="s">
        <v>1621</v>
      </c>
      <c r="D372" s="8"/>
      <c r="E372" s="8" t="s">
        <v>841</v>
      </c>
      <c r="F372" s="9">
        <v>5000.0</v>
      </c>
      <c r="G372" s="56" t="s">
        <v>1622</v>
      </c>
      <c r="H372" s="11" t="s">
        <v>44</v>
      </c>
      <c r="I372" s="41">
        <v>8.24012323E9</v>
      </c>
      <c r="J372" s="11" t="s">
        <v>25</v>
      </c>
      <c r="K372" s="12"/>
      <c r="L372" s="13"/>
      <c r="M372" s="11" t="s">
        <v>1623</v>
      </c>
      <c r="N372" s="15"/>
      <c r="O372" s="5" t="s">
        <v>34</v>
      </c>
      <c r="P372" s="5" t="s">
        <v>79</v>
      </c>
      <c r="Q372" s="15"/>
      <c r="R372" s="16" t="s">
        <v>28</v>
      </c>
      <c r="S372" s="15"/>
      <c r="T372" s="15"/>
      <c r="U372" s="15"/>
      <c r="V372" s="15"/>
      <c r="W372" s="15"/>
      <c r="X372" s="15"/>
      <c r="Y372" s="15"/>
      <c r="Z372" s="15"/>
      <c r="AA372" s="15"/>
    </row>
    <row r="373">
      <c r="A373" s="5" t="s">
        <v>1610</v>
      </c>
      <c r="B373" s="17" t="s">
        <v>1624</v>
      </c>
      <c r="C373" s="40" t="s">
        <v>1625</v>
      </c>
      <c r="D373" s="8"/>
      <c r="E373" s="8" t="s">
        <v>130</v>
      </c>
      <c r="F373" s="9">
        <v>10000.0</v>
      </c>
      <c r="G373" s="57"/>
      <c r="H373" s="11" t="s">
        <v>1602</v>
      </c>
      <c r="I373" s="41">
        <v>9.002258449E9</v>
      </c>
      <c r="J373" s="11" t="s">
        <v>25</v>
      </c>
      <c r="K373" s="12"/>
      <c r="L373" s="13"/>
      <c r="M373" s="14"/>
      <c r="N373" s="15"/>
      <c r="O373" s="5" t="s">
        <v>26</v>
      </c>
      <c r="P373" s="5" t="s">
        <v>1626</v>
      </c>
      <c r="Q373" s="15"/>
      <c r="R373" s="16" t="s">
        <v>28</v>
      </c>
      <c r="S373" s="15"/>
      <c r="T373" s="15"/>
      <c r="U373" s="15"/>
      <c r="V373" s="15"/>
      <c r="W373" s="15"/>
      <c r="X373" s="15"/>
      <c r="Y373" s="15"/>
      <c r="Z373" s="15"/>
      <c r="AA373" s="15"/>
    </row>
    <row r="374">
      <c r="A374" s="5" t="s">
        <v>1610</v>
      </c>
      <c r="B374" s="17" t="s">
        <v>1627</v>
      </c>
      <c r="C374" s="40" t="s">
        <v>1628</v>
      </c>
      <c r="D374" s="8"/>
      <c r="E374" s="8" t="s">
        <v>1629</v>
      </c>
      <c r="F374" s="9">
        <v>2000.0</v>
      </c>
      <c r="G374" s="56" t="s">
        <v>1630</v>
      </c>
      <c r="H374" s="11" t="s">
        <v>1631</v>
      </c>
      <c r="I374" s="41">
        <v>9.874151415E9</v>
      </c>
      <c r="J374" s="11" t="s">
        <v>25</v>
      </c>
      <c r="K374" s="12"/>
      <c r="L374" s="13"/>
      <c r="M374" s="14"/>
      <c r="N374" s="15"/>
      <c r="O374" s="5" t="s">
        <v>26</v>
      </c>
      <c r="P374" s="5" t="s">
        <v>1632</v>
      </c>
      <c r="Q374" s="15"/>
      <c r="R374" s="16" t="s">
        <v>28</v>
      </c>
      <c r="S374" s="15"/>
      <c r="T374" s="15"/>
      <c r="U374" s="15"/>
      <c r="V374" s="15"/>
      <c r="W374" s="15"/>
      <c r="X374" s="15"/>
      <c r="Y374" s="15"/>
      <c r="Z374" s="15"/>
      <c r="AA374" s="15"/>
    </row>
    <row r="375">
      <c r="A375" s="5" t="s">
        <v>1633</v>
      </c>
      <c r="B375" s="17" t="s">
        <v>1634</v>
      </c>
      <c r="C375" s="40" t="s">
        <v>1635</v>
      </c>
      <c r="D375" s="8"/>
      <c r="E375" s="8" t="s">
        <v>1363</v>
      </c>
      <c r="F375" s="9">
        <v>500.0</v>
      </c>
      <c r="G375" s="57"/>
      <c r="H375" s="11" t="s">
        <v>99</v>
      </c>
      <c r="I375" s="41">
        <v>7.846866528E9</v>
      </c>
      <c r="J375" s="11" t="s">
        <v>25</v>
      </c>
      <c r="K375" s="12"/>
      <c r="L375" s="13"/>
      <c r="M375" s="11" t="s">
        <v>1636</v>
      </c>
      <c r="N375" s="15"/>
      <c r="O375" s="5" t="s">
        <v>34</v>
      </c>
      <c r="P375" s="5" t="s">
        <v>1155</v>
      </c>
      <c r="Q375" s="15"/>
      <c r="R375" s="16" t="s">
        <v>248</v>
      </c>
      <c r="S375" s="15"/>
      <c r="T375" s="15"/>
      <c r="U375" s="15"/>
      <c r="V375" s="15"/>
      <c r="W375" s="15"/>
      <c r="X375" s="15"/>
      <c r="Y375" s="15"/>
      <c r="Z375" s="15"/>
      <c r="AA375" s="15"/>
    </row>
    <row r="376">
      <c r="A376" s="5" t="s">
        <v>1633</v>
      </c>
      <c r="B376" s="17" t="s">
        <v>1637</v>
      </c>
      <c r="C376" s="40" t="s">
        <v>1638</v>
      </c>
      <c r="D376" s="8"/>
      <c r="E376" s="8" t="s">
        <v>178</v>
      </c>
      <c r="F376" s="9">
        <v>30000.0</v>
      </c>
      <c r="G376" s="56" t="s">
        <v>1639</v>
      </c>
      <c r="H376" s="11" t="s">
        <v>1640</v>
      </c>
      <c r="I376" s="41">
        <v>9.735251165E9</v>
      </c>
      <c r="J376" s="11" t="s">
        <v>25</v>
      </c>
      <c r="K376" s="12" t="s">
        <v>1641</v>
      </c>
      <c r="L376" s="13"/>
      <c r="M376" s="14"/>
      <c r="N376" s="15"/>
      <c r="O376" s="5" t="s">
        <v>26</v>
      </c>
      <c r="P376" s="5" t="s">
        <v>1642</v>
      </c>
      <c r="Q376" s="15"/>
      <c r="R376" s="16" t="s">
        <v>28</v>
      </c>
      <c r="S376" s="15"/>
      <c r="T376" s="15"/>
      <c r="U376" s="15"/>
      <c r="V376" s="15"/>
      <c r="W376" s="15"/>
      <c r="X376" s="15"/>
      <c r="Y376" s="15"/>
      <c r="Z376" s="15"/>
      <c r="AA376" s="15"/>
    </row>
    <row r="377">
      <c r="A377" s="5" t="s">
        <v>1633</v>
      </c>
      <c r="B377" s="17" t="s">
        <v>1643</v>
      </c>
      <c r="C377" s="40" t="s">
        <v>1644</v>
      </c>
      <c r="D377" s="8"/>
      <c r="E377" s="8" t="s">
        <v>523</v>
      </c>
      <c r="F377" s="9">
        <v>3000.0</v>
      </c>
      <c r="G377" s="56" t="s">
        <v>1645</v>
      </c>
      <c r="H377" s="11" t="s">
        <v>44</v>
      </c>
      <c r="I377" s="41">
        <v>7.980545339E9</v>
      </c>
      <c r="J377" s="11" t="s">
        <v>25</v>
      </c>
      <c r="K377" s="12"/>
      <c r="L377" s="13"/>
      <c r="M377" s="14"/>
      <c r="N377" s="15"/>
      <c r="O377" s="5" t="s">
        <v>34</v>
      </c>
      <c r="P377" s="5" t="s">
        <v>55</v>
      </c>
      <c r="Q377" s="15"/>
      <c r="R377" s="16" t="s">
        <v>28</v>
      </c>
      <c r="S377" s="15"/>
      <c r="T377" s="15"/>
      <c r="U377" s="15"/>
      <c r="V377" s="15"/>
      <c r="W377" s="15"/>
      <c r="X377" s="15"/>
      <c r="Y377" s="15"/>
      <c r="Z377" s="15"/>
      <c r="AA377" s="15"/>
    </row>
    <row r="378">
      <c r="A378" s="5" t="s">
        <v>1633</v>
      </c>
      <c r="B378" s="17" t="s">
        <v>1646</v>
      </c>
      <c r="C378" s="40" t="s">
        <v>1647</v>
      </c>
      <c r="D378" s="8"/>
      <c r="E378" s="8" t="s">
        <v>1280</v>
      </c>
      <c r="F378" s="9">
        <v>8000.0</v>
      </c>
      <c r="G378" s="57" t="s">
        <v>1648</v>
      </c>
      <c r="H378" s="11" t="s">
        <v>107</v>
      </c>
      <c r="I378" s="41">
        <v>9.811370961E9</v>
      </c>
      <c r="J378" s="11" t="s">
        <v>25</v>
      </c>
      <c r="K378" s="12"/>
      <c r="L378" s="13"/>
      <c r="M378" s="14"/>
      <c r="N378" s="15"/>
      <c r="O378" s="5" t="s">
        <v>108</v>
      </c>
      <c r="P378" s="5"/>
      <c r="Q378" s="15"/>
      <c r="R378" s="16" t="s">
        <v>28</v>
      </c>
      <c r="S378" s="15"/>
      <c r="T378" s="15"/>
      <c r="U378" s="15"/>
      <c r="V378" s="15"/>
      <c r="W378" s="15"/>
      <c r="X378" s="15"/>
      <c r="Y378" s="15"/>
      <c r="Z378" s="15"/>
      <c r="AA378" s="15"/>
    </row>
    <row r="379">
      <c r="A379" s="5" t="s">
        <v>1649</v>
      </c>
      <c r="B379" s="17" t="s">
        <v>1650</v>
      </c>
      <c r="C379" s="40" t="s">
        <v>1651</v>
      </c>
      <c r="D379" s="8"/>
      <c r="E379" s="8" t="s">
        <v>235</v>
      </c>
      <c r="F379" s="9">
        <v>5000.0</v>
      </c>
      <c r="G379" s="58" t="s">
        <v>1652</v>
      </c>
      <c r="H379" s="11" t="s">
        <v>507</v>
      </c>
      <c r="I379" s="41">
        <v>8.657457353E9</v>
      </c>
      <c r="J379" s="11" t="s">
        <v>25</v>
      </c>
      <c r="K379" s="12"/>
      <c r="L379" s="13"/>
      <c r="M379" s="14"/>
      <c r="N379" s="15"/>
      <c r="O379" s="5" t="s">
        <v>108</v>
      </c>
      <c r="P379" s="5" t="s">
        <v>1653</v>
      </c>
      <c r="Q379" s="15"/>
      <c r="R379" s="16" t="s">
        <v>28</v>
      </c>
      <c r="S379" s="15"/>
      <c r="T379" s="15"/>
      <c r="U379" s="15"/>
      <c r="V379" s="15"/>
      <c r="W379" s="15"/>
      <c r="X379" s="15"/>
      <c r="Y379" s="15"/>
      <c r="Z379" s="15"/>
      <c r="AA379" s="15"/>
    </row>
    <row r="380">
      <c r="A380" s="5" t="s">
        <v>1654</v>
      </c>
      <c r="B380" s="17" t="s">
        <v>1655</v>
      </c>
      <c r="C380" s="40" t="s">
        <v>1656</v>
      </c>
      <c r="D380" s="8"/>
      <c r="E380" s="8" t="s">
        <v>202</v>
      </c>
      <c r="F380" s="9">
        <v>100000.0</v>
      </c>
      <c r="G380" s="59" t="s">
        <v>1657</v>
      </c>
      <c r="H380" s="36" t="s">
        <v>1658</v>
      </c>
      <c r="I380" s="41">
        <v>9.92520757E9</v>
      </c>
      <c r="J380" s="11" t="s">
        <v>25</v>
      </c>
      <c r="K380" s="12"/>
      <c r="L380" s="13"/>
      <c r="M380" s="14"/>
      <c r="N380" s="15"/>
      <c r="O380" s="5" t="s">
        <v>108</v>
      </c>
      <c r="P380" s="5" t="s">
        <v>1659</v>
      </c>
      <c r="Q380" s="15"/>
      <c r="R380" s="16" t="s">
        <v>28</v>
      </c>
      <c r="S380" s="15"/>
      <c r="T380" s="15"/>
      <c r="U380" s="15"/>
      <c r="V380" s="15"/>
      <c r="W380" s="15"/>
      <c r="X380" s="15"/>
      <c r="Y380" s="15"/>
      <c r="Z380" s="15"/>
      <c r="AA380" s="15"/>
    </row>
    <row r="381">
      <c r="A381" s="60" t="s">
        <v>1649</v>
      </c>
      <c r="B381" s="61" t="s">
        <v>1660</v>
      </c>
      <c r="C381" s="62" t="s">
        <v>1661</v>
      </c>
      <c r="D381" s="63"/>
      <c r="E381" s="63" t="s">
        <v>227</v>
      </c>
      <c r="F381" s="64">
        <v>3000.0</v>
      </c>
      <c r="G381" s="65" t="s">
        <v>1662</v>
      </c>
      <c r="H381" s="66" t="s">
        <v>1663</v>
      </c>
      <c r="I381" s="41">
        <v>9.845388897E9</v>
      </c>
      <c r="J381" s="66" t="s">
        <v>25</v>
      </c>
      <c r="K381" s="67"/>
      <c r="L381" s="68"/>
      <c r="M381" s="4"/>
      <c r="N381" s="69"/>
      <c r="O381" s="60" t="s">
        <v>108</v>
      </c>
      <c r="P381" s="60" t="s">
        <v>1664</v>
      </c>
      <c r="Q381" s="69"/>
      <c r="R381" s="70" t="s">
        <v>28</v>
      </c>
      <c r="S381" s="69"/>
      <c r="T381" s="15"/>
      <c r="U381" s="15"/>
      <c r="V381" s="15"/>
      <c r="W381" s="15"/>
      <c r="X381" s="15"/>
      <c r="Y381" s="15"/>
      <c r="Z381" s="15"/>
      <c r="AA381" s="15"/>
    </row>
    <row r="382">
      <c r="A382" s="5" t="s">
        <v>1649</v>
      </c>
      <c r="B382" s="17" t="s">
        <v>1665</v>
      </c>
      <c r="C382" s="40" t="s">
        <v>1666</v>
      </c>
      <c r="D382" s="8"/>
      <c r="E382" s="8" t="s">
        <v>178</v>
      </c>
      <c r="F382" s="9">
        <v>10000.0</v>
      </c>
      <c r="G382" s="58" t="s">
        <v>1667</v>
      </c>
      <c r="H382" s="11" t="s">
        <v>44</v>
      </c>
      <c r="I382" s="41">
        <v>7.00368035E9</v>
      </c>
      <c r="J382" s="11" t="s">
        <v>25</v>
      </c>
      <c r="K382" s="12"/>
      <c r="L382" s="13"/>
      <c r="M382" s="14"/>
      <c r="N382" s="15"/>
      <c r="O382" s="5" t="s">
        <v>34</v>
      </c>
      <c r="P382" s="5" t="s">
        <v>1668</v>
      </c>
      <c r="Q382" s="15"/>
      <c r="R382" s="16" t="s">
        <v>28</v>
      </c>
      <c r="S382" s="15"/>
      <c r="T382" s="15"/>
      <c r="U382" s="15"/>
      <c r="V382" s="15"/>
      <c r="W382" s="15"/>
      <c r="X382" s="15"/>
      <c r="Y382" s="15"/>
      <c r="Z382" s="15"/>
      <c r="AA382" s="15"/>
    </row>
    <row r="383">
      <c r="A383" s="5" t="s">
        <v>1649</v>
      </c>
      <c r="B383" s="17" t="s">
        <v>1669</v>
      </c>
      <c r="C383" s="40" t="s">
        <v>1670</v>
      </c>
      <c r="D383" s="8"/>
      <c r="E383" s="8" t="s">
        <v>207</v>
      </c>
      <c r="F383" s="9">
        <v>20000.0</v>
      </c>
      <c r="G383" s="71" t="s">
        <v>1671</v>
      </c>
      <c r="H383" s="11" t="s">
        <v>44</v>
      </c>
      <c r="I383" s="41">
        <v>9.830260819E9</v>
      </c>
      <c r="J383" s="11" t="s">
        <v>25</v>
      </c>
      <c r="K383" s="12"/>
      <c r="L383" s="13"/>
      <c r="M383" s="11" t="s">
        <v>1672</v>
      </c>
      <c r="N383" s="15"/>
      <c r="O383" s="5" t="s">
        <v>34</v>
      </c>
      <c r="P383" s="5" t="s">
        <v>405</v>
      </c>
      <c r="Q383" s="15"/>
      <c r="R383" s="16" t="s">
        <v>28</v>
      </c>
      <c r="S383" s="15"/>
      <c r="T383" s="15"/>
      <c r="U383" s="15"/>
      <c r="V383" s="15"/>
      <c r="W383" s="15"/>
      <c r="X383" s="15"/>
      <c r="Y383" s="15"/>
      <c r="Z383" s="15"/>
      <c r="AA383" s="15"/>
    </row>
    <row r="384">
      <c r="A384" s="5" t="s">
        <v>1649</v>
      </c>
      <c r="B384" s="17" t="s">
        <v>1673</v>
      </c>
      <c r="C384" s="40" t="s">
        <v>1674</v>
      </c>
      <c r="D384" s="8"/>
      <c r="E384" s="8" t="s">
        <v>1675</v>
      </c>
      <c r="F384" s="9">
        <v>20000.0</v>
      </c>
      <c r="G384" s="58" t="s">
        <v>1676</v>
      </c>
      <c r="H384" s="11" t="s">
        <v>44</v>
      </c>
      <c r="I384" s="41">
        <v>9.08396148E9</v>
      </c>
      <c r="J384" s="11" t="s">
        <v>25</v>
      </c>
      <c r="K384" s="12"/>
      <c r="L384" s="13"/>
      <c r="M384" s="14"/>
      <c r="N384" s="15"/>
      <c r="O384" s="5" t="s">
        <v>26</v>
      </c>
      <c r="P384" s="5" t="s">
        <v>1677</v>
      </c>
      <c r="Q384" s="15"/>
      <c r="R384" s="16" t="s">
        <v>28</v>
      </c>
      <c r="S384" s="15"/>
      <c r="T384" s="15"/>
      <c r="U384" s="15"/>
      <c r="V384" s="15"/>
      <c r="W384" s="15"/>
      <c r="X384" s="15"/>
      <c r="Y384" s="15"/>
      <c r="Z384" s="15"/>
      <c r="AA384" s="15"/>
    </row>
    <row r="385">
      <c r="A385" s="5" t="s">
        <v>1678</v>
      </c>
      <c r="B385" s="17" t="s">
        <v>1679</v>
      </c>
      <c r="C385" s="40" t="s">
        <v>1680</v>
      </c>
      <c r="D385" s="8"/>
      <c r="E385" s="8" t="s">
        <v>43</v>
      </c>
      <c r="F385" s="9">
        <v>25000.0</v>
      </c>
      <c r="G385" s="71"/>
      <c r="H385" s="11" t="s">
        <v>1681</v>
      </c>
      <c r="I385" s="41">
        <v>8.059200444E9</v>
      </c>
      <c r="J385" s="11" t="s">
        <v>25</v>
      </c>
      <c r="K385" s="12"/>
      <c r="L385" s="13"/>
      <c r="M385" s="11" t="s">
        <v>1682</v>
      </c>
      <c r="N385" s="15"/>
      <c r="O385" s="5" t="s">
        <v>34</v>
      </c>
      <c r="P385" s="5" t="s">
        <v>1155</v>
      </c>
      <c r="Q385" s="15"/>
      <c r="R385" s="16" t="s">
        <v>28</v>
      </c>
      <c r="S385" s="15"/>
      <c r="T385" s="15"/>
      <c r="U385" s="15"/>
      <c r="V385" s="15"/>
      <c r="W385" s="15"/>
      <c r="X385" s="15"/>
      <c r="Y385" s="15"/>
      <c r="Z385" s="15"/>
      <c r="AA385" s="15"/>
    </row>
    <row r="386">
      <c r="A386" s="5" t="s">
        <v>1678</v>
      </c>
      <c r="B386" s="17" t="s">
        <v>1683</v>
      </c>
      <c r="C386" s="40" t="s">
        <v>1684</v>
      </c>
      <c r="D386" s="8"/>
      <c r="E386" s="8" t="s">
        <v>1685</v>
      </c>
      <c r="F386" s="9">
        <v>10000.0</v>
      </c>
      <c r="G386" s="58" t="s">
        <v>1686</v>
      </c>
      <c r="H386" s="11" t="s">
        <v>507</v>
      </c>
      <c r="I386" s="41">
        <v>8.591969225E9</v>
      </c>
      <c r="J386" s="11" t="s">
        <v>25</v>
      </c>
      <c r="K386" s="12"/>
      <c r="L386" s="13"/>
      <c r="M386" s="14"/>
      <c r="N386" s="15"/>
      <c r="O386" s="5" t="s">
        <v>108</v>
      </c>
      <c r="P386" s="5" t="s">
        <v>1687</v>
      </c>
      <c r="Q386" s="15"/>
      <c r="R386" s="16" t="s">
        <v>28</v>
      </c>
      <c r="S386" s="15"/>
      <c r="T386" s="15"/>
      <c r="U386" s="15"/>
      <c r="V386" s="15"/>
      <c r="W386" s="15"/>
      <c r="X386" s="15"/>
      <c r="Y386" s="15"/>
      <c r="Z386" s="15"/>
      <c r="AA386" s="15"/>
    </row>
    <row r="387">
      <c r="A387" s="5" t="s">
        <v>1678</v>
      </c>
      <c r="B387" s="17" t="s">
        <v>1688</v>
      </c>
      <c r="C387" s="40" t="s">
        <v>1689</v>
      </c>
      <c r="D387" s="8"/>
      <c r="E387" s="8" t="s">
        <v>178</v>
      </c>
      <c r="F387" s="9">
        <v>10000.0</v>
      </c>
      <c r="G387" s="71" t="s">
        <v>1690</v>
      </c>
      <c r="H387" s="11" t="s">
        <v>1691</v>
      </c>
      <c r="I387" s="41">
        <v>7.001461586E9</v>
      </c>
      <c r="J387" s="11" t="s">
        <v>25</v>
      </c>
      <c r="K387" s="12"/>
      <c r="L387" s="13"/>
      <c r="M387" s="14"/>
      <c r="N387" s="15"/>
      <c r="O387" s="5" t="s">
        <v>26</v>
      </c>
      <c r="P387" s="5" t="s">
        <v>1692</v>
      </c>
      <c r="Q387" s="5"/>
      <c r="R387" s="16" t="s">
        <v>28</v>
      </c>
      <c r="S387" s="15"/>
      <c r="T387" s="15"/>
      <c r="U387" s="15"/>
      <c r="V387" s="15"/>
      <c r="W387" s="15"/>
      <c r="X387" s="15"/>
      <c r="Y387" s="15"/>
      <c r="Z387" s="15"/>
      <c r="AA387" s="15"/>
    </row>
    <row r="388">
      <c r="A388" s="5" t="s">
        <v>1678</v>
      </c>
      <c r="B388" s="17" t="s">
        <v>1693</v>
      </c>
      <c r="C388" s="40" t="s">
        <v>1694</v>
      </c>
      <c r="D388" s="8"/>
      <c r="E388" s="8" t="s">
        <v>130</v>
      </c>
      <c r="F388" s="9">
        <v>20000.0</v>
      </c>
      <c r="G388" s="58" t="s">
        <v>1695</v>
      </c>
      <c r="H388" s="11" t="s">
        <v>1696</v>
      </c>
      <c r="I388" s="41">
        <v>6.394526238E9</v>
      </c>
      <c r="J388" s="11" t="s">
        <v>25</v>
      </c>
      <c r="K388" s="12"/>
      <c r="L388" s="13"/>
      <c r="M388" s="14"/>
      <c r="N388" s="15"/>
      <c r="O388" s="5" t="s">
        <v>34</v>
      </c>
      <c r="P388" s="5" t="s">
        <v>1697</v>
      </c>
      <c r="Q388" s="5" t="s">
        <v>921</v>
      </c>
      <c r="R388" s="16" t="s">
        <v>28</v>
      </c>
      <c r="S388" s="15"/>
      <c r="T388" s="15"/>
      <c r="U388" s="15"/>
      <c r="V388" s="15"/>
      <c r="W388" s="15"/>
      <c r="X388" s="15"/>
      <c r="Y388" s="15"/>
      <c r="Z388" s="15"/>
      <c r="AA388" s="15"/>
    </row>
    <row r="389">
      <c r="A389" s="5" t="s">
        <v>1698</v>
      </c>
      <c r="B389" s="17" t="s">
        <v>1699</v>
      </c>
      <c r="C389" s="40" t="s">
        <v>1700</v>
      </c>
      <c r="D389" s="8"/>
      <c r="E389" s="8" t="s">
        <v>1373</v>
      </c>
      <c r="F389" s="9">
        <v>20000.0</v>
      </c>
      <c r="G389" s="71"/>
      <c r="H389" s="11" t="s">
        <v>184</v>
      </c>
      <c r="I389" s="41">
        <v>7.488054467E9</v>
      </c>
      <c r="J389" s="11" t="s">
        <v>25</v>
      </c>
      <c r="K389" s="12" t="s">
        <v>1701</v>
      </c>
      <c r="L389" s="13"/>
      <c r="M389" s="14"/>
      <c r="N389" s="15"/>
      <c r="O389" s="5" t="s">
        <v>26</v>
      </c>
      <c r="P389" s="5" t="s">
        <v>1702</v>
      </c>
      <c r="Q389" s="15"/>
      <c r="R389" s="16" t="s">
        <v>28</v>
      </c>
      <c r="S389" s="15"/>
      <c r="T389" s="15"/>
      <c r="U389" s="15"/>
      <c r="V389" s="15"/>
      <c r="W389" s="15"/>
      <c r="X389" s="15"/>
      <c r="Y389" s="15"/>
      <c r="Z389" s="15"/>
      <c r="AA389" s="15"/>
    </row>
    <row r="390">
      <c r="A390" s="5" t="s">
        <v>1698</v>
      </c>
      <c r="B390" s="17" t="s">
        <v>1703</v>
      </c>
      <c r="C390" s="40" t="s">
        <v>1704</v>
      </c>
      <c r="D390" s="8"/>
      <c r="E390" s="8" t="s">
        <v>189</v>
      </c>
      <c r="F390" s="9">
        <v>3000.0</v>
      </c>
      <c r="G390" s="58" t="s">
        <v>1705</v>
      </c>
      <c r="H390" s="11" t="s">
        <v>99</v>
      </c>
      <c r="I390" s="41">
        <v>7.008294831E9</v>
      </c>
      <c r="J390" s="11" t="s">
        <v>25</v>
      </c>
      <c r="K390" s="12"/>
      <c r="L390" s="13"/>
      <c r="M390" s="11" t="s">
        <v>1706</v>
      </c>
      <c r="N390" s="15"/>
      <c r="O390" s="5" t="s">
        <v>34</v>
      </c>
      <c r="P390" s="5" t="s">
        <v>1707</v>
      </c>
      <c r="Q390" s="15"/>
      <c r="R390" s="16" t="s">
        <v>28</v>
      </c>
      <c r="S390" s="15"/>
      <c r="T390" s="15"/>
      <c r="U390" s="15"/>
      <c r="V390" s="15"/>
      <c r="W390" s="15"/>
      <c r="X390" s="15"/>
      <c r="Y390" s="15"/>
      <c r="Z390" s="15"/>
      <c r="AA390" s="15"/>
    </row>
    <row r="391">
      <c r="A391" s="5" t="s">
        <v>1698</v>
      </c>
      <c r="B391" s="17" t="s">
        <v>1708</v>
      </c>
      <c r="C391" s="40" t="s">
        <v>1709</v>
      </c>
      <c r="D391" s="8"/>
      <c r="E391" s="8" t="s">
        <v>130</v>
      </c>
      <c r="F391" s="9">
        <v>2000.0</v>
      </c>
      <c r="G391" s="58" t="s">
        <v>1710</v>
      </c>
      <c r="H391" s="11" t="s">
        <v>99</v>
      </c>
      <c r="I391" s="41">
        <v>9.9038698E9</v>
      </c>
      <c r="J391" s="11" t="s">
        <v>25</v>
      </c>
      <c r="K391" s="12"/>
      <c r="L391" s="13"/>
      <c r="M391" s="14"/>
      <c r="N391" s="15"/>
      <c r="O391" s="5" t="s">
        <v>34</v>
      </c>
      <c r="P391" s="5" t="s">
        <v>209</v>
      </c>
      <c r="Q391" s="15"/>
      <c r="R391" s="16" t="s">
        <v>28</v>
      </c>
      <c r="S391" s="15"/>
      <c r="T391" s="15"/>
      <c r="U391" s="15"/>
      <c r="V391" s="15"/>
      <c r="W391" s="15"/>
      <c r="X391" s="15"/>
      <c r="Y391" s="15"/>
      <c r="Z391" s="15"/>
      <c r="AA391" s="15"/>
    </row>
    <row r="392">
      <c r="A392" s="5" t="s">
        <v>1711</v>
      </c>
      <c r="B392" s="17" t="s">
        <v>1712</v>
      </c>
      <c r="C392" s="40" t="s">
        <v>1713</v>
      </c>
      <c r="D392" s="8"/>
      <c r="E392" s="8" t="s">
        <v>1204</v>
      </c>
      <c r="F392" s="9">
        <v>2000.0</v>
      </c>
      <c r="G392" s="58" t="s">
        <v>1714</v>
      </c>
      <c r="H392" s="11" t="s">
        <v>44</v>
      </c>
      <c r="I392" s="41">
        <v>9.831323824E9</v>
      </c>
      <c r="J392" s="11" t="s">
        <v>25</v>
      </c>
      <c r="K392" s="12"/>
      <c r="L392" s="13"/>
      <c r="M392" s="14"/>
      <c r="N392" s="15"/>
      <c r="O392" s="5" t="s">
        <v>26</v>
      </c>
      <c r="P392" s="5" t="s">
        <v>79</v>
      </c>
      <c r="Q392" s="15"/>
      <c r="R392" s="16" t="s">
        <v>28</v>
      </c>
      <c r="S392" s="15"/>
      <c r="T392" s="15"/>
      <c r="U392" s="15"/>
      <c r="V392" s="15"/>
      <c r="W392" s="15"/>
      <c r="X392" s="15"/>
      <c r="Y392" s="15"/>
      <c r="Z392" s="15"/>
      <c r="AA392" s="15"/>
    </row>
    <row r="393">
      <c r="A393" s="5" t="s">
        <v>1711</v>
      </c>
      <c r="B393" s="17" t="s">
        <v>1715</v>
      </c>
      <c r="C393" s="40" t="s">
        <v>1716</v>
      </c>
      <c r="D393" s="8"/>
      <c r="E393" s="8" t="s">
        <v>1717</v>
      </c>
      <c r="F393" s="9">
        <v>1100.0</v>
      </c>
      <c r="G393" s="58" t="s">
        <v>1718</v>
      </c>
      <c r="H393" s="11" t="s">
        <v>184</v>
      </c>
      <c r="I393" s="41">
        <v>9.798776877E9</v>
      </c>
      <c r="J393" s="11" t="s">
        <v>25</v>
      </c>
      <c r="K393" s="12"/>
      <c r="L393" s="13"/>
      <c r="M393" s="14"/>
      <c r="N393" s="15"/>
      <c r="O393" s="5" t="s">
        <v>34</v>
      </c>
      <c r="P393" s="5" t="s">
        <v>957</v>
      </c>
      <c r="Q393" s="15"/>
      <c r="R393" s="16" t="s">
        <v>28</v>
      </c>
      <c r="S393" s="15"/>
      <c r="T393" s="15"/>
      <c r="U393" s="15"/>
      <c r="V393" s="15"/>
      <c r="W393" s="15"/>
      <c r="X393" s="15"/>
      <c r="Y393" s="15"/>
      <c r="Z393" s="15"/>
      <c r="AA393" s="15"/>
    </row>
    <row r="394">
      <c r="A394" s="5" t="s">
        <v>1711</v>
      </c>
      <c r="B394" s="17" t="s">
        <v>1719</v>
      </c>
      <c r="C394" s="40" t="s">
        <v>1720</v>
      </c>
      <c r="D394" s="8"/>
      <c r="E394" s="8" t="s">
        <v>240</v>
      </c>
      <c r="F394" s="9">
        <v>100000.0</v>
      </c>
      <c r="G394" s="58" t="s">
        <v>1721</v>
      </c>
      <c r="H394" s="11" t="s">
        <v>507</v>
      </c>
      <c r="I394" s="41">
        <v>8.956840432E9</v>
      </c>
      <c r="J394" s="11" t="s">
        <v>25</v>
      </c>
      <c r="K394" s="12"/>
      <c r="L394" s="13"/>
      <c r="M394" s="14"/>
      <c r="N394" s="15"/>
      <c r="O394" s="5" t="s">
        <v>108</v>
      </c>
      <c r="P394" s="5" t="s">
        <v>1722</v>
      </c>
      <c r="Q394" s="15"/>
      <c r="R394" s="16" t="s">
        <v>28</v>
      </c>
      <c r="S394" s="15"/>
      <c r="T394" s="15"/>
      <c r="U394" s="15"/>
      <c r="V394" s="15"/>
      <c r="W394" s="15"/>
      <c r="X394" s="15"/>
      <c r="Y394" s="15"/>
      <c r="Z394" s="15"/>
      <c r="AA394" s="15"/>
    </row>
    <row r="395">
      <c r="A395" s="5" t="s">
        <v>1711</v>
      </c>
      <c r="B395" s="17" t="s">
        <v>1723</v>
      </c>
      <c r="C395" s="40" t="s">
        <v>1724</v>
      </c>
      <c r="D395" s="8"/>
      <c r="E395" s="8" t="s">
        <v>786</v>
      </c>
      <c r="F395" s="9">
        <v>1000.0</v>
      </c>
      <c r="G395" s="58" t="s">
        <v>1725</v>
      </c>
      <c r="H395" s="11" t="s">
        <v>99</v>
      </c>
      <c r="I395" s="41">
        <v>9.861166976E9</v>
      </c>
      <c r="J395" s="11" t="s">
        <v>25</v>
      </c>
      <c r="K395" s="12"/>
      <c r="L395" s="13"/>
      <c r="M395" s="14"/>
      <c r="N395" s="15"/>
      <c r="O395" s="5" t="s">
        <v>34</v>
      </c>
      <c r="P395" s="5" t="s">
        <v>727</v>
      </c>
      <c r="Q395" s="15"/>
      <c r="R395" s="16" t="s">
        <v>28</v>
      </c>
      <c r="S395" s="15"/>
      <c r="T395" s="15"/>
      <c r="U395" s="15"/>
      <c r="V395" s="15"/>
      <c r="W395" s="15"/>
      <c r="X395" s="15"/>
      <c r="Y395" s="15"/>
      <c r="Z395" s="15"/>
      <c r="AA395" s="15"/>
    </row>
    <row r="396">
      <c r="A396" s="5" t="s">
        <v>1726</v>
      </c>
      <c r="B396" s="17" t="s">
        <v>1727</v>
      </c>
      <c r="C396" s="40" t="s">
        <v>1728</v>
      </c>
      <c r="D396" s="8"/>
      <c r="E396" s="8" t="s">
        <v>130</v>
      </c>
      <c r="F396" s="9">
        <v>20000.0</v>
      </c>
      <c r="G396" s="71"/>
      <c r="H396" s="11" t="s">
        <v>49</v>
      </c>
      <c r="I396" s="41">
        <v>7.797279595E9</v>
      </c>
      <c r="J396" s="11" t="s">
        <v>25</v>
      </c>
      <c r="K396" s="12"/>
      <c r="L396" s="13"/>
      <c r="M396" s="14"/>
      <c r="N396" s="15"/>
      <c r="O396" s="5" t="s">
        <v>26</v>
      </c>
      <c r="P396" s="5" t="s">
        <v>79</v>
      </c>
      <c r="Q396" s="15"/>
      <c r="R396" s="16" t="s">
        <v>28</v>
      </c>
      <c r="S396" s="15"/>
      <c r="T396" s="15"/>
      <c r="U396" s="15"/>
      <c r="V396" s="15"/>
      <c r="W396" s="15"/>
      <c r="X396" s="15"/>
      <c r="Y396" s="15"/>
      <c r="Z396" s="15"/>
      <c r="AA396" s="15"/>
    </row>
    <row r="397">
      <c r="A397" s="5" t="s">
        <v>1726</v>
      </c>
      <c r="B397" s="17" t="s">
        <v>1729</v>
      </c>
      <c r="C397" s="40" t="s">
        <v>1730</v>
      </c>
      <c r="D397" s="8"/>
      <c r="E397" s="8" t="s">
        <v>130</v>
      </c>
      <c r="F397" s="9">
        <v>5000.0</v>
      </c>
      <c r="G397" s="58" t="s">
        <v>1731</v>
      </c>
      <c r="H397" s="11" t="s">
        <v>495</v>
      </c>
      <c r="I397" s="41">
        <v>8.409940753E9</v>
      </c>
      <c r="J397" s="11" t="s">
        <v>25</v>
      </c>
      <c r="K397" s="12"/>
      <c r="L397" s="13"/>
      <c r="M397" s="14"/>
      <c r="N397" s="15"/>
      <c r="O397" s="5" t="s">
        <v>34</v>
      </c>
      <c r="P397" s="5" t="s">
        <v>209</v>
      </c>
      <c r="Q397" s="15"/>
      <c r="R397" s="16" t="s">
        <v>28</v>
      </c>
      <c r="S397" s="15"/>
      <c r="T397" s="15"/>
      <c r="U397" s="15"/>
      <c r="V397" s="15"/>
      <c r="W397" s="15"/>
      <c r="X397" s="15"/>
      <c r="Y397" s="15"/>
      <c r="Z397" s="15"/>
      <c r="AA397" s="15"/>
    </row>
    <row r="398">
      <c r="A398" s="5" t="s">
        <v>1732</v>
      </c>
      <c r="B398" s="17" t="s">
        <v>1733</v>
      </c>
      <c r="C398" s="40" t="s">
        <v>1734</v>
      </c>
      <c r="D398" s="8"/>
      <c r="E398" s="8" t="s">
        <v>1217</v>
      </c>
      <c r="F398" s="9">
        <v>2000.0</v>
      </c>
      <c r="G398" s="58" t="s">
        <v>1735</v>
      </c>
      <c r="H398" s="11" t="s">
        <v>44</v>
      </c>
      <c r="I398" s="41">
        <v>9.339081946E9</v>
      </c>
      <c r="J398" s="11" t="s">
        <v>25</v>
      </c>
      <c r="K398" s="12"/>
      <c r="L398" s="13"/>
      <c r="M398" s="14"/>
      <c r="N398" s="15"/>
      <c r="O398" s="5" t="s">
        <v>26</v>
      </c>
      <c r="P398" s="5" t="s">
        <v>1736</v>
      </c>
      <c r="Q398" s="15"/>
      <c r="R398" s="16" t="s">
        <v>28</v>
      </c>
      <c r="S398" s="15"/>
      <c r="T398" s="15"/>
      <c r="U398" s="15"/>
      <c r="V398" s="15"/>
      <c r="W398" s="15"/>
      <c r="X398" s="15"/>
      <c r="Y398" s="15"/>
      <c r="Z398" s="15"/>
      <c r="AA398" s="15"/>
    </row>
    <row r="399">
      <c r="A399" s="5" t="s">
        <v>1732</v>
      </c>
      <c r="B399" s="17" t="s">
        <v>1737</v>
      </c>
      <c r="C399" s="72" t="s">
        <v>1738</v>
      </c>
      <c r="D399" s="73"/>
      <c r="E399" s="73" t="s">
        <v>1739</v>
      </c>
      <c r="F399" s="74">
        <v>5000.0</v>
      </c>
      <c r="G399" s="71"/>
      <c r="H399" s="11" t="s">
        <v>44</v>
      </c>
      <c r="I399" s="41">
        <v>9.304630243E9</v>
      </c>
      <c r="J399" s="11" t="s">
        <v>25</v>
      </c>
      <c r="K399" s="12"/>
      <c r="L399" s="13"/>
      <c r="M399" s="14"/>
      <c r="N399" s="15"/>
      <c r="O399" s="5" t="s">
        <v>26</v>
      </c>
      <c r="P399" s="5" t="s">
        <v>1740</v>
      </c>
      <c r="Q399" s="5" t="s">
        <v>1741</v>
      </c>
      <c r="R399" s="16" t="s">
        <v>28</v>
      </c>
      <c r="S399" s="15"/>
      <c r="T399" s="15"/>
      <c r="U399" s="15"/>
      <c r="V399" s="15"/>
      <c r="W399" s="15"/>
      <c r="X399" s="15"/>
      <c r="Y399" s="15"/>
      <c r="Z399" s="15"/>
      <c r="AA399" s="15"/>
    </row>
    <row r="400">
      <c r="A400" s="5" t="s">
        <v>1742</v>
      </c>
      <c r="B400" s="17" t="s">
        <v>1743</v>
      </c>
      <c r="C400" s="40" t="s">
        <v>1744</v>
      </c>
      <c r="D400" s="8"/>
      <c r="E400" s="8" t="s">
        <v>1629</v>
      </c>
      <c r="F400" s="9">
        <v>1000.0</v>
      </c>
      <c r="G400" s="58" t="s">
        <v>1745</v>
      </c>
      <c r="H400" s="11" t="s">
        <v>78</v>
      </c>
      <c r="I400" s="41">
        <v>8.951065406E9</v>
      </c>
      <c r="J400" s="11" t="s">
        <v>25</v>
      </c>
      <c r="K400" s="12"/>
      <c r="L400" s="13"/>
      <c r="M400" s="14"/>
      <c r="N400" s="15"/>
      <c r="O400" s="5" t="s">
        <v>26</v>
      </c>
      <c r="P400" s="5" t="s">
        <v>1746</v>
      </c>
      <c r="Q400" s="15"/>
      <c r="R400" s="16" t="s">
        <v>28</v>
      </c>
      <c r="S400" s="15"/>
      <c r="T400" s="15"/>
      <c r="U400" s="15"/>
      <c r="V400" s="15"/>
      <c r="W400" s="15"/>
      <c r="X400" s="15"/>
      <c r="Y400" s="15"/>
      <c r="Z400" s="15"/>
      <c r="AA400" s="15"/>
    </row>
    <row r="401">
      <c r="A401" s="5" t="s">
        <v>1742</v>
      </c>
      <c r="B401" s="17" t="s">
        <v>1747</v>
      </c>
      <c r="C401" s="40" t="s">
        <v>1748</v>
      </c>
      <c r="D401" s="8"/>
      <c r="E401" s="8" t="s">
        <v>1749</v>
      </c>
      <c r="F401" s="9">
        <v>500.0</v>
      </c>
      <c r="G401" s="58" t="s">
        <v>1750</v>
      </c>
      <c r="H401" s="11" t="s">
        <v>1232</v>
      </c>
      <c r="I401" s="41">
        <v>8.60924105E9</v>
      </c>
      <c r="J401" s="11" t="s">
        <v>25</v>
      </c>
      <c r="K401" s="12"/>
      <c r="L401" s="13"/>
      <c r="M401" s="14"/>
      <c r="N401" s="15"/>
      <c r="O401" s="5" t="s">
        <v>34</v>
      </c>
      <c r="P401" s="5" t="s">
        <v>1751</v>
      </c>
      <c r="Q401" s="15"/>
      <c r="R401" s="16" t="s">
        <v>28</v>
      </c>
      <c r="S401" s="15"/>
      <c r="T401" s="15"/>
      <c r="U401" s="15"/>
      <c r="V401" s="15"/>
      <c r="W401" s="15"/>
      <c r="X401" s="15"/>
      <c r="Y401" s="15"/>
      <c r="Z401" s="15"/>
      <c r="AA401" s="15"/>
    </row>
    <row r="402">
      <c r="A402" s="5" t="s">
        <v>1752</v>
      </c>
      <c r="B402" s="17" t="s">
        <v>1753</v>
      </c>
      <c r="C402" s="40" t="s">
        <v>1754</v>
      </c>
      <c r="D402" s="8"/>
      <c r="E402" s="8" t="s">
        <v>130</v>
      </c>
      <c r="F402" s="9">
        <v>2000.0</v>
      </c>
      <c r="G402" s="58" t="s">
        <v>1755</v>
      </c>
      <c r="H402" s="11" t="s">
        <v>184</v>
      </c>
      <c r="I402" s="41">
        <v>8.016702635E9</v>
      </c>
      <c r="J402" s="11" t="s">
        <v>25</v>
      </c>
      <c r="K402" s="12"/>
      <c r="L402" s="13"/>
      <c r="M402" s="14"/>
      <c r="N402" s="15"/>
      <c r="O402" s="5" t="s">
        <v>34</v>
      </c>
      <c r="P402" s="5" t="s">
        <v>185</v>
      </c>
      <c r="Q402" s="15"/>
      <c r="R402" s="16" t="s">
        <v>28</v>
      </c>
      <c r="S402" s="15"/>
      <c r="T402" s="15"/>
      <c r="U402" s="15"/>
      <c r="V402" s="15"/>
      <c r="W402" s="15"/>
      <c r="X402" s="15"/>
      <c r="Y402" s="15"/>
      <c r="Z402" s="15"/>
      <c r="AA402" s="15"/>
    </row>
    <row r="403">
      <c r="A403" s="5" t="s">
        <v>1752</v>
      </c>
      <c r="B403" s="17" t="s">
        <v>1756</v>
      </c>
      <c r="C403" s="40" t="s">
        <v>1757</v>
      </c>
      <c r="D403" s="8"/>
      <c r="E403" s="8" t="s">
        <v>1758</v>
      </c>
      <c r="F403" s="9">
        <v>1000.0</v>
      </c>
      <c r="G403" s="71"/>
      <c r="H403" s="11" t="s">
        <v>1759</v>
      </c>
      <c r="I403" s="41">
        <v>9.650925511E9</v>
      </c>
      <c r="J403" s="11" t="s">
        <v>25</v>
      </c>
      <c r="K403" s="12"/>
      <c r="L403" s="13"/>
      <c r="M403" s="11" t="s">
        <v>1760</v>
      </c>
      <c r="N403" s="15"/>
      <c r="O403" s="5" t="s">
        <v>34</v>
      </c>
      <c r="P403" s="5" t="s">
        <v>1155</v>
      </c>
      <c r="Q403" s="15"/>
      <c r="R403" s="16" t="s">
        <v>74</v>
      </c>
      <c r="S403" s="15"/>
      <c r="T403" s="15"/>
      <c r="U403" s="15"/>
      <c r="V403" s="15"/>
      <c r="W403" s="15"/>
      <c r="X403" s="15"/>
      <c r="Y403" s="15"/>
      <c r="Z403" s="15"/>
      <c r="AA403" s="15"/>
    </row>
    <row r="404">
      <c r="A404" s="5" t="s">
        <v>1752</v>
      </c>
      <c r="B404" s="17" t="s">
        <v>1761</v>
      </c>
      <c r="C404" s="40" t="s">
        <v>1762</v>
      </c>
      <c r="D404" s="8"/>
      <c r="E404" s="8" t="s">
        <v>189</v>
      </c>
      <c r="F404" s="9">
        <v>5000.0</v>
      </c>
      <c r="G404" s="71"/>
      <c r="H404" s="11" t="s">
        <v>184</v>
      </c>
      <c r="I404" s="41">
        <v>9.54572777E9</v>
      </c>
      <c r="J404" s="11" t="s">
        <v>25</v>
      </c>
      <c r="K404" s="12"/>
      <c r="L404" s="13"/>
      <c r="M404" s="14"/>
      <c r="N404" s="15"/>
      <c r="O404" s="5" t="s">
        <v>26</v>
      </c>
      <c r="P404" s="5" t="s">
        <v>405</v>
      </c>
      <c r="Q404" s="15"/>
      <c r="R404" s="16" t="s">
        <v>28</v>
      </c>
      <c r="S404" s="15"/>
      <c r="T404" s="15"/>
      <c r="U404" s="15"/>
      <c r="V404" s="15"/>
      <c r="W404" s="15"/>
      <c r="X404" s="15"/>
      <c r="Y404" s="15"/>
      <c r="Z404" s="15"/>
      <c r="AA404" s="15"/>
    </row>
    <row r="405">
      <c r="A405" s="5" t="s">
        <v>1752</v>
      </c>
      <c r="B405" s="17" t="s">
        <v>1763</v>
      </c>
      <c r="C405" s="40" t="s">
        <v>1764</v>
      </c>
      <c r="D405" s="8"/>
      <c r="E405" s="8" t="s">
        <v>130</v>
      </c>
      <c r="F405" s="9">
        <v>4000.0</v>
      </c>
      <c r="G405" s="58" t="s">
        <v>1765</v>
      </c>
      <c r="H405" s="11" t="s">
        <v>99</v>
      </c>
      <c r="I405" s="41">
        <v>9.040205792E9</v>
      </c>
      <c r="J405" s="11" t="s">
        <v>25</v>
      </c>
      <c r="K405" s="12"/>
      <c r="L405" s="13"/>
      <c r="M405" s="11" t="s">
        <v>1766</v>
      </c>
      <c r="N405" s="15"/>
      <c r="O405" s="5" t="s">
        <v>34</v>
      </c>
      <c r="P405" s="5" t="s">
        <v>1767</v>
      </c>
      <c r="Q405" s="15"/>
      <c r="R405" s="16" t="s">
        <v>28</v>
      </c>
      <c r="S405" s="15"/>
      <c r="T405" s="15"/>
      <c r="U405" s="15"/>
      <c r="V405" s="15"/>
      <c r="W405" s="15"/>
      <c r="X405" s="15"/>
      <c r="Y405" s="15"/>
      <c r="Z405" s="15"/>
      <c r="AA405" s="15"/>
    </row>
    <row r="406">
      <c r="A406" s="5" t="s">
        <v>1768</v>
      </c>
      <c r="B406" s="17" t="s">
        <v>1769</v>
      </c>
      <c r="C406" s="40" t="s">
        <v>1770</v>
      </c>
      <c r="D406" s="8"/>
      <c r="E406" s="8" t="s">
        <v>1771</v>
      </c>
      <c r="F406" s="9">
        <v>1000.0</v>
      </c>
      <c r="G406" s="58" t="s">
        <v>1772</v>
      </c>
      <c r="H406" s="11" t="s">
        <v>99</v>
      </c>
      <c r="I406" s="41">
        <v>9.777552325E9</v>
      </c>
      <c r="J406" s="11" t="s">
        <v>25</v>
      </c>
      <c r="K406" s="12"/>
      <c r="L406" s="13"/>
      <c r="M406" s="14"/>
      <c r="N406" s="15"/>
      <c r="O406" s="5" t="s">
        <v>26</v>
      </c>
      <c r="P406" s="5" t="s">
        <v>1773</v>
      </c>
      <c r="Q406" s="15"/>
      <c r="R406" s="16" t="s">
        <v>28</v>
      </c>
      <c r="S406" s="15"/>
      <c r="T406" s="15"/>
      <c r="U406" s="15"/>
      <c r="V406" s="15"/>
      <c r="W406" s="15"/>
      <c r="X406" s="15"/>
      <c r="Y406" s="15"/>
      <c r="Z406" s="15"/>
      <c r="AA406" s="15"/>
    </row>
    <row r="407">
      <c r="A407" s="5" t="s">
        <v>1768</v>
      </c>
      <c r="B407" s="17" t="s">
        <v>1774</v>
      </c>
      <c r="C407" s="40" t="s">
        <v>1775</v>
      </c>
      <c r="D407" s="8"/>
      <c r="E407" s="8" t="s">
        <v>152</v>
      </c>
      <c r="F407" s="9">
        <v>10000.0</v>
      </c>
      <c r="G407" s="58" t="s">
        <v>1776</v>
      </c>
      <c r="H407" s="11" t="s">
        <v>184</v>
      </c>
      <c r="I407" s="41">
        <v>9.431110894E9</v>
      </c>
      <c r="J407" s="11" t="s">
        <v>25</v>
      </c>
      <c r="K407" s="12"/>
      <c r="L407" s="13"/>
      <c r="M407" s="14"/>
      <c r="N407" s="15"/>
      <c r="O407" s="5" t="s">
        <v>34</v>
      </c>
      <c r="P407" s="5" t="s">
        <v>1777</v>
      </c>
      <c r="Q407" s="15"/>
      <c r="R407" s="16" t="s">
        <v>28</v>
      </c>
      <c r="S407" s="15"/>
      <c r="T407" s="15"/>
      <c r="U407" s="15"/>
      <c r="V407" s="15"/>
      <c r="W407" s="15"/>
      <c r="X407" s="15"/>
      <c r="Y407" s="15"/>
      <c r="Z407" s="15"/>
      <c r="AA407" s="15"/>
    </row>
    <row r="408">
      <c r="A408" s="5" t="s">
        <v>1768</v>
      </c>
      <c r="B408" s="17" t="s">
        <v>1778</v>
      </c>
      <c r="C408" s="40" t="s">
        <v>1779</v>
      </c>
      <c r="D408" s="8"/>
      <c r="E408" s="8" t="s">
        <v>83</v>
      </c>
      <c r="F408" s="9">
        <v>5000.0</v>
      </c>
      <c r="G408" s="58" t="s">
        <v>1780</v>
      </c>
      <c r="H408" s="11" t="s">
        <v>44</v>
      </c>
      <c r="I408" s="41">
        <v>9.74866644E9</v>
      </c>
      <c r="J408" s="11" t="s">
        <v>25</v>
      </c>
      <c r="K408" s="12"/>
      <c r="L408" s="13"/>
      <c r="M408" s="14"/>
      <c r="N408" s="15"/>
      <c r="O408" s="5" t="s">
        <v>34</v>
      </c>
      <c r="P408" s="5" t="s">
        <v>209</v>
      </c>
      <c r="Q408" s="15"/>
      <c r="R408" s="16" t="s">
        <v>28</v>
      </c>
      <c r="S408" s="15"/>
      <c r="T408" s="15"/>
      <c r="U408" s="15"/>
      <c r="V408" s="15"/>
      <c r="W408" s="15"/>
      <c r="X408" s="15"/>
      <c r="Y408" s="15"/>
      <c r="Z408" s="15"/>
      <c r="AA408" s="15"/>
    </row>
    <row r="409">
      <c r="A409" s="5" t="s">
        <v>1781</v>
      </c>
      <c r="B409" s="17" t="s">
        <v>1782</v>
      </c>
      <c r="C409" s="40" t="s">
        <v>1783</v>
      </c>
      <c r="D409" s="8"/>
      <c r="E409" s="8" t="s">
        <v>1784</v>
      </c>
      <c r="F409" s="9">
        <v>4000.0</v>
      </c>
      <c r="G409" s="58" t="s">
        <v>1785</v>
      </c>
      <c r="H409" s="11" t="s">
        <v>44</v>
      </c>
      <c r="I409" s="41">
        <v>9.830181847E9</v>
      </c>
      <c r="J409" s="11" t="s">
        <v>25</v>
      </c>
      <c r="K409" s="12"/>
      <c r="L409" s="13"/>
      <c r="M409" s="14"/>
      <c r="N409" s="15"/>
      <c r="O409" s="5" t="s">
        <v>26</v>
      </c>
      <c r="P409" s="5" t="s">
        <v>1786</v>
      </c>
      <c r="Q409" s="15"/>
      <c r="R409" s="16" t="s">
        <v>28</v>
      </c>
      <c r="S409" s="15"/>
      <c r="T409" s="15"/>
      <c r="U409" s="15"/>
      <c r="V409" s="15"/>
      <c r="W409" s="15"/>
      <c r="X409" s="15"/>
      <c r="Y409" s="15"/>
      <c r="Z409" s="15"/>
      <c r="AA409" s="15"/>
    </row>
    <row r="410">
      <c r="A410" s="5" t="s">
        <v>1781</v>
      </c>
      <c r="B410" s="17" t="s">
        <v>1787</v>
      </c>
      <c r="C410" s="40" t="s">
        <v>1788</v>
      </c>
      <c r="D410" s="8"/>
      <c r="E410" s="8" t="s">
        <v>794</v>
      </c>
      <c r="F410" s="9">
        <v>2500.0</v>
      </c>
      <c r="G410" s="35" t="s">
        <v>1789</v>
      </c>
      <c r="H410" s="11" t="s">
        <v>472</v>
      </c>
      <c r="I410" s="41">
        <v>8.697638755E9</v>
      </c>
      <c r="J410" s="11" t="s">
        <v>25</v>
      </c>
      <c r="K410" s="12"/>
      <c r="L410" s="13"/>
      <c r="M410" s="14"/>
      <c r="N410" s="15"/>
      <c r="O410" s="5" t="s">
        <v>34</v>
      </c>
      <c r="P410" s="5" t="s">
        <v>1790</v>
      </c>
      <c r="Q410" s="15"/>
      <c r="R410" s="16" t="s">
        <v>723</v>
      </c>
      <c r="S410" s="15"/>
      <c r="T410" s="15"/>
      <c r="U410" s="15"/>
      <c r="V410" s="15"/>
      <c r="W410" s="15"/>
      <c r="X410" s="15"/>
      <c r="Y410" s="15"/>
      <c r="Z410" s="15"/>
      <c r="AA410" s="15"/>
    </row>
    <row r="411">
      <c r="A411" s="5" t="s">
        <v>1791</v>
      </c>
      <c r="B411" s="17" t="s">
        <v>1792</v>
      </c>
      <c r="C411" s="40" t="s">
        <v>1793</v>
      </c>
      <c r="D411" s="8"/>
      <c r="E411" s="8" t="s">
        <v>130</v>
      </c>
      <c r="F411" s="9">
        <v>2000.0</v>
      </c>
      <c r="G411" s="57"/>
      <c r="H411" s="11" t="s">
        <v>44</v>
      </c>
      <c r="I411" s="41">
        <v>8.505893973E9</v>
      </c>
      <c r="J411" s="11" t="s">
        <v>25</v>
      </c>
      <c r="K411" s="12"/>
      <c r="L411" s="13"/>
      <c r="M411" s="14"/>
      <c r="N411" s="15"/>
      <c r="O411" s="5" t="s">
        <v>34</v>
      </c>
      <c r="P411" s="5" t="s">
        <v>1035</v>
      </c>
      <c r="Q411" s="15"/>
      <c r="R411" s="16" t="s">
        <v>28</v>
      </c>
      <c r="S411" s="15"/>
      <c r="T411" s="15"/>
      <c r="U411" s="15"/>
      <c r="V411" s="15"/>
      <c r="W411" s="15"/>
      <c r="X411" s="15"/>
      <c r="Y411" s="15"/>
      <c r="Z411" s="15"/>
      <c r="AA411" s="15"/>
    </row>
    <row r="412">
      <c r="A412" s="5" t="s">
        <v>1791</v>
      </c>
      <c r="B412" s="17" t="s">
        <v>1794</v>
      </c>
      <c r="C412" s="40" t="s">
        <v>1795</v>
      </c>
      <c r="D412" s="8"/>
      <c r="E412" s="8" t="s">
        <v>1230</v>
      </c>
      <c r="F412" s="9">
        <v>50000.0</v>
      </c>
      <c r="G412" s="56" t="s">
        <v>1796</v>
      </c>
      <c r="H412" s="11" t="s">
        <v>1696</v>
      </c>
      <c r="I412" s="41">
        <v>8.840601077E9</v>
      </c>
      <c r="J412" s="11" t="s">
        <v>25</v>
      </c>
      <c r="K412" s="12"/>
      <c r="L412" s="13"/>
      <c r="M412" s="14"/>
      <c r="N412" s="15"/>
      <c r="O412" s="5" t="s">
        <v>108</v>
      </c>
      <c r="P412" s="5" t="s">
        <v>1797</v>
      </c>
      <c r="Q412" s="15"/>
      <c r="R412" s="16" t="s">
        <v>28</v>
      </c>
      <c r="S412" s="15"/>
      <c r="T412" s="15"/>
      <c r="U412" s="15"/>
      <c r="V412" s="15"/>
      <c r="W412" s="15"/>
      <c r="X412" s="15"/>
      <c r="Y412" s="15"/>
      <c r="Z412" s="15"/>
      <c r="AA412" s="15"/>
    </row>
    <row r="413">
      <c r="A413" s="5" t="s">
        <v>1791</v>
      </c>
      <c r="B413" s="17" t="s">
        <v>1798</v>
      </c>
      <c r="C413" s="36" t="s">
        <v>1799</v>
      </c>
      <c r="D413" s="75"/>
      <c r="E413" s="8" t="s">
        <v>1800</v>
      </c>
      <c r="F413" s="9">
        <v>500.0</v>
      </c>
      <c r="G413" s="57"/>
      <c r="H413" s="11" t="s">
        <v>1082</v>
      </c>
      <c r="I413" s="76">
        <v>9.051351522E9</v>
      </c>
      <c r="J413" s="11" t="s">
        <v>25</v>
      </c>
      <c r="K413" s="12"/>
      <c r="L413" s="13"/>
      <c r="M413" s="14"/>
      <c r="N413" s="15"/>
      <c r="O413" s="5" t="s">
        <v>26</v>
      </c>
      <c r="P413" s="5" t="s">
        <v>811</v>
      </c>
      <c r="Q413" s="15"/>
      <c r="R413" s="16" t="s">
        <v>28</v>
      </c>
      <c r="S413" s="15"/>
      <c r="T413" s="15"/>
      <c r="U413" s="15"/>
      <c r="V413" s="15"/>
      <c r="W413" s="15"/>
      <c r="X413" s="15"/>
      <c r="Y413" s="15"/>
      <c r="Z413" s="15"/>
      <c r="AA413" s="15"/>
    </row>
    <row r="414">
      <c r="A414" s="5" t="s">
        <v>1801</v>
      </c>
      <c r="B414" s="17" t="s">
        <v>1802</v>
      </c>
      <c r="C414" s="40" t="s">
        <v>1803</v>
      </c>
      <c r="D414" s="8"/>
      <c r="E414" s="8" t="s">
        <v>130</v>
      </c>
      <c r="F414" s="9">
        <v>4000.0</v>
      </c>
      <c r="G414" s="57"/>
      <c r="H414" s="11" t="s">
        <v>472</v>
      </c>
      <c r="I414" s="41">
        <v>7.982241325E9</v>
      </c>
      <c r="J414" s="11" t="s">
        <v>25</v>
      </c>
      <c r="K414" s="12"/>
      <c r="L414" s="13"/>
      <c r="M414" s="14"/>
      <c r="N414" s="15"/>
      <c r="O414" s="5" t="s">
        <v>34</v>
      </c>
      <c r="P414" s="5" t="s">
        <v>707</v>
      </c>
      <c r="Q414" s="15"/>
      <c r="R414" s="16" t="s">
        <v>28</v>
      </c>
      <c r="S414" s="15"/>
      <c r="T414" s="15"/>
      <c r="U414" s="15"/>
      <c r="V414" s="15"/>
      <c r="W414" s="15"/>
      <c r="X414" s="15"/>
      <c r="Y414" s="15"/>
      <c r="Z414" s="15"/>
      <c r="AA414" s="15"/>
    </row>
    <row r="415">
      <c r="A415" s="5" t="s">
        <v>1801</v>
      </c>
      <c r="B415" s="17" t="s">
        <v>1804</v>
      </c>
      <c r="C415" s="40" t="s">
        <v>1805</v>
      </c>
      <c r="D415" s="8"/>
      <c r="E415" s="8" t="s">
        <v>960</v>
      </c>
      <c r="F415" s="9">
        <v>1000.0</v>
      </c>
      <c r="G415" s="57"/>
      <c r="H415" s="11" t="s">
        <v>184</v>
      </c>
      <c r="I415" s="41">
        <v>9.431969305E9</v>
      </c>
      <c r="J415" s="11" t="s">
        <v>25</v>
      </c>
      <c r="K415" s="12"/>
      <c r="L415" s="13"/>
      <c r="M415" s="14"/>
      <c r="N415" s="15"/>
      <c r="O415" s="5" t="s">
        <v>34</v>
      </c>
      <c r="P415" s="5" t="s">
        <v>1806</v>
      </c>
      <c r="Q415" s="5" t="s">
        <v>727</v>
      </c>
      <c r="R415" s="16" t="s">
        <v>28</v>
      </c>
      <c r="S415" s="15"/>
      <c r="T415" s="15"/>
      <c r="U415" s="15"/>
      <c r="V415" s="15"/>
      <c r="W415" s="15"/>
      <c r="X415" s="15"/>
      <c r="Y415" s="15"/>
      <c r="Z415" s="15"/>
      <c r="AA415" s="15"/>
    </row>
    <row r="416">
      <c r="A416" s="5" t="s">
        <v>1801</v>
      </c>
      <c r="B416" s="17" t="s">
        <v>1807</v>
      </c>
      <c r="C416" s="40" t="s">
        <v>1808</v>
      </c>
      <c r="D416" s="8"/>
      <c r="E416" s="8" t="s">
        <v>189</v>
      </c>
      <c r="F416" s="9">
        <v>5000.0</v>
      </c>
      <c r="G416" s="56" t="s">
        <v>1809</v>
      </c>
      <c r="H416" s="11" t="s">
        <v>1640</v>
      </c>
      <c r="I416" s="41">
        <v>9.547838358E9</v>
      </c>
      <c r="J416" s="11" t="s">
        <v>25</v>
      </c>
      <c r="K416" s="12"/>
      <c r="L416" s="13"/>
      <c r="M416" s="14"/>
      <c r="N416" s="15"/>
      <c r="O416" s="5" t="s">
        <v>26</v>
      </c>
      <c r="P416" s="5" t="s">
        <v>1810</v>
      </c>
      <c r="Q416" s="15"/>
      <c r="R416" s="16" t="s">
        <v>28</v>
      </c>
      <c r="S416" s="15"/>
      <c r="T416" s="15"/>
      <c r="U416" s="15"/>
      <c r="V416" s="15"/>
      <c r="W416" s="15"/>
      <c r="X416" s="15"/>
      <c r="Y416" s="15"/>
      <c r="Z416" s="15"/>
      <c r="AA416" s="15"/>
    </row>
    <row r="417">
      <c r="A417" s="5" t="s">
        <v>1811</v>
      </c>
      <c r="B417" s="17" t="s">
        <v>1812</v>
      </c>
      <c r="C417" s="40" t="s">
        <v>1813</v>
      </c>
      <c r="D417" s="8"/>
      <c r="E417" s="8" t="s">
        <v>1814</v>
      </c>
      <c r="F417" s="9">
        <v>42000.0</v>
      </c>
      <c r="G417" s="56" t="s">
        <v>1815</v>
      </c>
      <c r="H417" s="11" t="s">
        <v>99</v>
      </c>
      <c r="I417" s="41">
        <v>9.861186943E9</v>
      </c>
      <c r="J417" s="11" t="s">
        <v>25</v>
      </c>
      <c r="K417" s="12"/>
      <c r="L417" s="13"/>
      <c r="M417" s="14"/>
      <c r="N417" s="15"/>
      <c r="O417" s="5" t="s">
        <v>26</v>
      </c>
      <c r="P417" s="5" t="s">
        <v>1816</v>
      </c>
      <c r="Q417" s="15"/>
      <c r="R417" s="16" t="s">
        <v>28</v>
      </c>
      <c r="S417" s="15"/>
      <c r="T417" s="15"/>
      <c r="U417" s="15"/>
      <c r="V417" s="15"/>
      <c r="W417" s="15"/>
      <c r="X417" s="15"/>
      <c r="Y417" s="15"/>
      <c r="Z417" s="15"/>
      <c r="AA417" s="15"/>
    </row>
    <row r="418">
      <c r="A418" s="5" t="s">
        <v>1811</v>
      </c>
      <c r="B418" s="17" t="s">
        <v>1817</v>
      </c>
      <c r="C418" s="40" t="s">
        <v>1818</v>
      </c>
      <c r="D418" s="8"/>
      <c r="E418" s="8" t="s">
        <v>501</v>
      </c>
      <c r="F418" s="9">
        <v>1000.0</v>
      </c>
      <c r="G418" s="56" t="s">
        <v>1819</v>
      </c>
      <c r="H418" s="11" t="s">
        <v>495</v>
      </c>
      <c r="I418" s="41">
        <v>9.934275861E9</v>
      </c>
      <c r="J418" s="11" t="s">
        <v>25</v>
      </c>
      <c r="K418" s="12"/>
      <c r="L418" s="13"/>
      <c r="M418" s="14"/>
      <c r="N418" s="15"/>
      <c r="O418" s="5" t="s">
        <v>34</v>
      </c>
      <c r="P418" s="5" t="s">
        <v>727</v>
      </c>
      <c r="Q418" s="15"/>
      <c r="R418" s="16" t="s">
        <v>28</v>
      </c>
      <c r="S418" s="15"/>
      <c r="T418" s="15"/>
      <c r="U418" s="15"/>
      <c r="V418" s="15"/>
      <c r="W418" s="15"/>
      <c r="X418" s="15"/>
      <c r="Y418" s="15"/>
      <c r="Z418" s="15"/>
      <c r="AA418" s="15"/>
    </row>
    <row r="419">
      <c r="A419" s="5" t="s">
        <v>1820</v>
      </c>
      <c r="B419" s="17" t="s">
        <v>1821</v>
      </c>
      <c r="C419" s="40" t="s">
        <v>1822</v>
      </c>
      <c r="D419" s="8"/>
      <c r="E419" s="8" t="s">
        <v>43</v>
      </c>
      <c r="F419" s="9">
        <v>1000.0</v>
      </c>
      <c r="G419" s="56" t="s">
        <v>1823</v>
      </c>
      <c r="H419" s="11" t="s">
        <v>981</v>
      </c>
      <c r="I419" s="41">
        <v>7.602413289E9</v>
      </c>
      <c r="J419" s="11" t="s">
        <v>25</v>
      </c>
      <c r="K419" s="12"/>
      <c r="L419" s="13"/>
      <c r="M419" s="14"/>
      <c r="N419" s="15"/>
      <c r="O419" s="5" t="s">
        <v>34</v>
      </c>
      <c r="P419" s="5" t="s">
        <v>1824</v>
      </c>
      <c r="Q419" s="5" t="s">
        <v>1825</v>
      </c>
      <c r="R419" s="16" t="s">
        <v>28</v>
      </c>
      <c r="S419" s="15"/>
      <c r="T419" s="15"/>
      <c r="U419" s="15"/>
      <c r="V419" s="15"/>
      <c r="W419" s="15"/>
      <c r="X419" s="15"/>
      <c r="Y419" s="15"/>
      <c r="Z419" s="15"/>
      <c r="AA419" s="15"/>
    </row>
    <row r="420">
      <c r="A420" s="5" t="s">
        <v>1820</v>
      </c>
      <c r="B420" s="17" t="s">
        <v>1826</v>
      </c>
      <c r="C420" s="40" t="s">
        <v>1827</v>
      </c>
      <c r="D420" s="8"/>
      <c r="E420" s="8" t="s">
        <v>841</v>
      </c>
      <c r="F420" s="9">
        <v>10000.0</v>
      </c>
      <c r="G420" s="57"/>
      <c r="H420" s="11" t="s">
        <v>1828</v>
      </c>
      <c r="I420" s="41">
        <v>9.732080286E9</v>
      </c>
      <c r="J420" s="11" t="s">
        <v>25</v>
      </c>
      <c r="K420" s="12"/>
      <c r="L420" s="13"/>
      <c r="M420" s="14"/>
      <c r="N420" s="15"/>
      <c r="O420" s="5" t="s">
        <v>26</v>
      </c>
      <c r="P420" s="5" t="s">
        <v>1829</v>
      </c>
      <c r="Q420" s="15"/>
      <c r="R420" s="16" t="s">
        <v>28</v>
      </c>
      <c r="S420" s="15"/>
      <c r="T420" s="15"/>
      <c r="U420" s="15"/>
      <c r="V420" s="15"/>
      <c r="W420" s="15"/>
      <c r="X420" s="15"/>
      <c r="Y420" s="15"/>
      <c r="Z420" s="15"/>
      <c r="AA420" s="15"/>
    </row>
    <row r="421">
      <c r="A421" s="5" t="s">
        <v>1820</v>
      </c>
      <c r="B421" s="17" t="s">
        <v>1830</v>
      </c>
      <c r="C421" s="40" t="s">
        <v>1831</v>
      </c>
      <c r="D421" s="8"/>
      <c r="E421" s="8" t="s">
        <v>83</v>
      </c>
      <c r="F421" s="9">
        <v>3000.0</v>
      </c>
      <c r="G421" s="56" t="s">
        <v>1832</v>
      </c>
      <c r="H421" s="11" t="s">
        <v>44</v>
      </c>
      <c r="I421" s="41">
        <v>9.83047579E9</v>
      </c>
      <c r="J421" s="11" t="s">
        <v>25</v>
      </c>
      <c r="K421" s="12"/>
      <c r="L421" s="13"/>
      <c r="M421" s="11" t="s">
        <v>1833</v>
      </c>
      <c r="N421" s="15"/>
      <c r="O421" s="5" t="s">
        <v>34</v>
      </c>
      <c r="P421" s="5" t="s">
        <v>55</v>
      </c>
      <c r="Q421" s="15"/>
      <c r="R421" s="16" t="s">
        <v>28</v>
      </c>
      <c r="S421" s="15"/>
      <c r="T421" s="15"/>
      <c r="U421" s="15"/>
      <c r="V421" s="15"/>
      <c r="W421" s="15"/>
      <c r="X421" s="15"/>
      <c r="Y421" s="15"/>
      <c r="Z421" s="15"/>
      <c r="AA421" s="15"/>
    </row>
    <row r="422">
      <c r="A422" s="5" t="s">
        <v>1820</v>
      </c>
      <c r="B422" s="17" t="s">
        <v>1834</v>
      </c>
      <c r="C422" s="40" t="s">
        <v>1835</v>
      </c>
      <c r="D422" s="8"/>
      <c r="E422" s="8" t="s">
        <v>1836</v>
      </c>
      <c r="F422" s="9">
        <v>250.0</v>
      </c>
      <c r="G422" s="57"/>
      <c r="H422" s="11" t="s">
        <v>44</v>
      </c>
      <c r="I422" s="41">
        <v>9.831321479E9</v>
      </c>
      <c r="J422" s="11" t="s">
        <v>25</v>
      </c>
      <c r="K422" s="12"/>
      <c r="L422" s="13"/>
      <c r="M422" s="14"/>
      <c r="N422" s="15"/>
      <c r="O422" s="5" t="s">
        <v>34</v>
      </c>
      <c r="P422" s="5" t="s">
        <v>185</v>
      </c>
      <c r="Q422" s="15"/>
      <c r="R422" s="16" t="s">
        <v>28</v>
      </c>
      <c r="S422" s="15"/>
      <c r="T422" s="15"/>
      <c r="U422" s="15"/>
      <c r="V422" s="15"/>
      <c r="W422" s="15"/>
      <c r="X422" s="15"/>
      <c r="Y422" s="15"/>
      <c r="Z422" s="15"/>
      <c r="AA422" s="15"/>
    </row>
    <row r="423">
      <c r="A423" s="5" t="s">
        <v>1837</v>
      </c>
      <c r="B423" s="17" t="s">
        <v>1838</v>
      </c>
      <c r="C423" s="40" t="s">
        <v>1839</v>
      </c>
      <c r="D423" s="8"/>
      <c r="E423" s="8" t="s">
        <v>189</v>
      </c>
      <c r="F423" s="9">
        <v>2000.0</v>
      </c>
      <c r="G423" s="56" t="s">
        <v>1840</v>
      </c>
      <c r="H423" s="11" t="s">
        <v>107</v>
      </c>
      <c r="I423" s="41">
        <v>8.340539502E9</v>
      </c>
      <c r="J423" s="11" t="s">
        <v>25</v>
      </c>
      <c r="K423" s="12"/>
      <c r="L423" s="13"/>
      <c r="M423" s="14"/>
      <c r="N423" s="15"/>
      <c r="O423" s="5" t="s">
        <v>108</v>
      </c>
      <c r="P423" s="5" t="s">
        <v>1841</v>
      </c>
      <c r="Q423" s="15"/>
      <c r="R423" s="16" t="s">
        <v>28</v>
      </c>
      <c r="S423" s="15"/>
      <c r="T423" s="15"/>
      <c r="U423" s="15"/>
      <c r="V423" s="15"/>
      <c r="W423" s="15"/>
      <c r="X423" s="15"/>
      <c r="Y423" s="15"/>
      <c r="Z423" s="15"/>
      <c r="AA423" s="15"/>
    </row>
    <row r="424">
      <c r="A424" s="5" t="s">
        <v>1837</v>
      </c>
      <c r="B424" s="17" t="s">
        <v>1842</v>
      </c>
      <c r="C424" s="40" t="s">
        <v>1843</v>
      </c>
      <c r="D424" s="8"/>
      <c r="E424" s="8" t="s">
        <v>1629</v>
      </c>
      <c r="F424" s="9">
        <v>25000.0</v>
      </c>
      <c r="G424" s="56" t="s">
        <v>1844</v>
      </c>
      <c r="H424" s="36" t="s">
        <v>467</v>
      </c>
      <c r="I424" s="41">
        <v>9.935023635E9</v>
      </c>
      <c r="J424" s="11" t="s">
        <v>25</v>
      </c>
      <c r="K424" s="12"/>
      <c r="L424" s="13"/>
      <c r="M424" s="14"/>
      <c r="N424" s="15"/>
      <c r="O424" s="5" t="s">
        <v>108</v>
      </c>
      <c r="P424" s="5" t="s">
        <v>1845</v>
      </c>
      <c r="Q424" s="15"/>
      <c r="R424" s="16" t="s">
        <v>28</v>
      </c>
      <c r="S424" s="15"/>
      <c r="T424" s="15"/>
      <c r="U424" s="15"/>
      <c r="V424" s="15"/>
      <c r="W424" s="15"/>
      <c r="X424" s="15"/>
      <c r="Y424" s="15"/>
      <c r="Z424" s="15"/>
      <c r="AA424" s="15"/>
    </row>
    <row r="425">
      <c r="A425" s="5" t="s">
        <v>1846</v>
      </c>
      <c r="B425" s="17" t="s">
        <v>1847</v>
      </c>
      <c r="C425" s="40" t="s">
        <v>1848</v>
      </c>
      <c r="D425" s="8"/>
      <c r="E425" s="8" t="s">
        <v>178</v>
      </c>
      <c r="F425" s="9">
        <v>200.0</v>
      </c>
      <c r="G425" s="57" t="s">
        <v>1849</v>
      </c>
      <c r="H425" s="11" t="s">
        <v>44</v>
      </c>
      <c r="I425" s="41">
        <v>8.961635299E9</v>
      </c>
      <c r="J425" s="11" t="s">
        <v>25</v>
      </c>
      <c r="K425" s="12"/>
      <c r="L425" s="13"/>
      <c r="M425" s="14"/>
      <c r="N425" s="15"/>
      <c r="O425" s="5" t="s">
        <v>34</v>
      </c>
      <c r="P425" s="5" t="s">
        <v>654</v>
      </c>
      <c r="Q425" s="15"/>
      <c r="R425" s="16" t="s">
        <v>634</v>
      </c>
      <c r="S425" s="15"/>
      <c r="T425" s="15"/>
      <c r="U425" s="15"/>
      <c r="V425" s="15"/>
      <c r="W425" s="15"/>
      <c r="X425" s="15"/>
      <c r="Y425" s="15"/>
      <c r="Z425" s="15"/>
      <c r="AA425" s="15"/>
    </row>
    <row r="426">
      <c r="A426" s="5" t="s">
        <v>1846</v>
      </c>
      <c r="B426" s="17" t="s">
        <v>1850</v>
      </c>
      <c r="C426" s="40" t="s">
        <v>1851</v>
      </c>
      <c r="D426" s="8"/>
      <c r="E426" s="8" t="s">
        <v>87</v>
      </c>
      <c r="F426" s="9">
        <v>10000.0</v>
      </c>
      <c r="G426" s="57" t="s">
        <v>1852</v>
      </c>
      <c r="H426" s="11" t="s">
        <v>44</v>
      </c>
      <c r="I426" s="41">
        <v>9.883412216E9</v>
      </c>
      <c r="J426" s="11" t="s">
        <v>25</v>
      </c>
      <c r="K426" s="12"/>
      <c r="L426" s="13"/>
      <c r="M426" s="14"/>
      <c r="N426" s="15"/>
      <c r="O426" s="5" t="s">
        <v>34</v>
      </c>
      <c r="P426" s="5" t="s">
        <v>1853</v>
      </c>
      <c r="Q426" s="15"/>
      <c r="R426" s="16" t="s">
        <v>28</v>
      </c>
      <c r="S426" s="15"/>
      <c r="T426" s="15"/>
      <c r="U426" s="15"/>
      <c r="V426" s="15"/>
      <c r="W426" s="15"/>
      <c r="X426" s="15"/>
      <c r="Y426" s="15"/>
      <c r="Z426" s="15"/>
      <c r="AA426" s="15"/>
    </row>
    <row r="427">
      <c r="A427" s="5" t="s">
        <v>1854</v>
      </c>
      <c r="B427" s="17" t="s">
        <v>1855</v>
      </c>
      <c r="C427" s="40" t="s">
        <v>1856</v>
      </c>
      <c r="D427" s="8"/>
      <c r="E427" s="8" t="s">
        <v>213</v>
      </c>
      <c r="F427" s="9">
        <v>5000.0</v>
      </c>
      <c r="G427" s="56" t="s">
        <v>1857</v>
      </c>
      <c r="H427" s="11" t="s">
        <v>131</v>
      </c>
      <c r="I427" s="41">
        <v>7.002313283E9</v>
      </c>
      <c r="J427" s="11" t="s">
        <v>25</v>
      </c>
      <c r="K427" s="12"/>
      <c r="L427" s="13"/>
      <c r="M427" s="14"/>
      <c r="N427" s="15"/>
      <c r="O427" s="5" t="s">
        <v>26</v>
      </c>
      <c r="P427" s="5" t="s">
        <v>1858</v>
      </c>
      <c r="Q427" s="15"/>
      <c r="R427" s="16" t="s">
        <v>28</v>
      </c>
      <c r="S427" s="15"/>
      <c r="T427" s="15"/>
      <c r="U427" s="15"/>
      <c r="V427" s="15"/>
      <c r="W427" s="15"/>
      <c r="X427" s="15"/>
      <c r="Y427" s="15"/>
      <c r="Z427" s="15"/>
      <c r="AA427" s="15"/>
    </row>
    <row r="428">
      <c r="A428" s="5" t="s">
        <v>1854</v>
      </c>
      <c r="B428" s="17" t="s">
        <v>1859</v>
      </c>
      <c r="C428" s="40" t="s">
        <v>1860</v>
      </c>
      <c r="D428" s="8"/>
      <c r="E428" s="8" t="s">
        <v>87</v>
      </c>
      <c r="F428" s="9">
        <v>1000.0</v>
      </c>
      <c r="G428" s="57" t="s">
        <v>1861</v>
      </c>
      <c r="H428" s="11" t="s">
        <v>24</v>
      </c>
      <c r="I428" s="41">
        <v>9.508644094E9</v>
      </c>
      <c r="J428" s="11" t="s">
        <v>25</v>
      </c>
      <c r="K428" s="12"/>
      <c r="L428" s="13"/>
      <c r="M428" s="14"/>
      <c r="N428" s="15"/>
      <c r="O428" s="5" t="s">
        <v>34</v>
      </c>
      <c r="P428" s="5" t="s">
        <v>55</v>
      </c>
      <c r="Q428" s="15"/>
      <c r="R428" s="16" t="s">
        <v>28</v>
      </c>
      <c r="S428" s="15"/>
      <c r="T428" s="15"/>
      <c r="U428" s="15"/>
      <c r="V428" s="15"/>
      <c r="W428" s="15"/>
      <c r="X428" s="15"/>
      <c r="Y428" s="15"/>
      <c r="Z428" s="15"/>
      <c r="AA428" s="15"/>
    </row>
    <row r="429">
      <c r="A429" s="5" t="s">
        <v>1862</v>
      </c>
      <c r="B429" s="6" t="s">
        <v>1863</v>
      </c>
      <c r="C429" s="40" t="s">
        <v>1864</v>
      </c>
      <c r="D429" s="8"/>
      <c r="E429" s="8" t="s">
        <v>1217</v>
      </c>
      <c r="F429" s="9">
        <v>1000.0</v>
      </c>
      <c r="G429" s="56" t="s">
        <v>1865</v>
      </c>
      <c r="H429" s="11" t="s">
        <v>906</v>
      </c>
      <c r="I429" s="41">
        <v>8.796584352E9</v>
      </c>
      <c r="J429" s="11" t="s">
        <v>25</v>
      </c>
      <c r="K429" s="12"/>
      <c r="L429" s="13"/>
      <c r="M429" s="14"/>
      <c r="N429" s="15"/>
      <c r="O429" s="5" t="s">
        <v>108</v>
      </c>
      <c r="P429" s="5" t="s">
        <v>1866</v>
      </c>
      <c r="Q429" s="15"/>
      <c r="R429" s="16" t="s">
        <v>28</v>
      </c>
      <c r="S429" s="15"/>
      <c r="T429" s="15"/>
      <c r="U429" s="15"/>
      <c r="V429" s="15"/>
      <c r="W429" s="15"/>
      <c r="X429" s="15"/>
      <c r="Y429" s="15"/>
      <c r="Z429" s="15"/>
      <c r="AA429" s="15"/>
    </row>
    <row r="430">
      <c r="A430" s="5" t="s">
        <v>1862</v>
      </c>
      <c r="B430" s="6" t="s">
        <v>1867</v>
      </c>
      <c r="C430" s="40" t="s">
        <v>1868</v>
      </c>
      <c r="D430" s="8"/>
      <c r="E430" s="8" t="s">
        <v>444</v>
      </c>
      <c r="F430" s="9">
        <v>1000.0</v>
      </c>
      <c r="G430" s="56" t="s">
        <v>1869</v>
      </c>
      <c r="H430" s="11" t="s">
        <v>184</v>
      </c>
      <c r="I430" s="41">
        <v>8.141764506E9</v>
      </c>
      <c r="J430" s="11" t="s">
        <v>25</v>
      </c>
      <c r="K430" s="12" t="s">
        <v>1870</v>
      </c>
      <c r="L430" s="13"/>
      <c r="M430" s="14"/>
      <c r="N430" s="15"/>
      <c r="O430" s="5" t="s">
        <v>26</v>
      </c>
      <c r="P430" s="5" t="s">
        <v>1871</v>
      </c>
      <c r="Q430" s="15"/>
      <c r="R430" s="16" t="s">
        <v>28</v>
      </c>
      <c r="S430" s="15"/>
      <c r="T430" s="15"/>
      <c r="U430" s="15"/>
      <c r="V430" s="15"/>
      <c r="W430" s="15"/>
      <c r="X430" s="15"/>
      <c r="Y430" s="15"/>
      <c r="Z430" s="15"/>
      <c r="AA430" s="15"/>
    </row>
    <row r="431">
      <c r="A431" s="5" t="s">
        <v>1345</v>
      </c>
      <c r="B431" s="6" t="s">
        <v>1872</v>
      </c>
      <c r="C431" s="40" t="s">
        <v>1873</v>
      </c>
      <c r="D431" s="8"/>
      <c r="E431" s="8" t="s">
        <v>130</v>
      </c>
      <c r="F431" s="9">
        <v>100000.0</v>
      </c>
      <c r="G431" s="57"/>
      <c r="H431" s="11" t="s">
        <v>44</v>
      </c>
      <c r="I431" s="41">
        <v>9.134328509E9</v>
      </c>
      <c r="J431" s="11" t="s">
        <v>25</v>
      </c>
      <c r="K431" s="12" t="s">
        <v>1536</v>
      </c>
      <c r="L431" s="13"/>
      <c r="M431" s="14"/>
      <c r="N431" s="15"/>
      <c r="O431" s="5" t="s">
        <v>26</v>
      </c>
      <c r="P431" s="5" t="s">
        <v>1874</v>
      </c>
      <c r="Q431" s="15"/>
      <c r="R431" s="16" t="s">
        <v>28</v>
      </c>
      <c r="S431" s="15"/>
      <c r="T431" s="15"/>
      <c r="U431" s="15"/>
      <c r="V431" s="15"/>
      <c r="W431" s="15"/>
      <c r="X431" s="15"/>
      <c r="Y431" s="15"/>
      <c r="Z431" s="15"/>
      <c r="AA431" s="15"/>
    </row>
    <row r="432">
      <c r="A432" s="5" t="s">
        <v>1345</v>
      </c>
      <c r="B432" s="6" t="s">
        <v>1875</v>
      </c>
      <c r="C432" s="40" t="s">
        <v>1876</v>
      </c>
      <c r="D432" s="8"/>
      <c r="E432" s="8" t="s">
        <v>207</v>
      </c>
      <c r="F432" s="9">
        <v>8000.0</v>
      </c>
      <c r="G432" s="56" t="s">
        <v>1877</v>
      </c>
      <c r="H432" s="11" t="s">
        <v>44</v>
      </c>
      <c r="I432" s="41" t="s">
        <v>1878</v>
      </c>
      <c r="J432" s="11" t="s">
        <v>25</v>
      </c>
      <c r="K432" s="12"/>
      <c r="L432" s="13"/>
      <c r="M432" s="14"/>
      <c r="N432" s="15"/>
      <c r="O432" s="5" t="s">
        <v>26</v>
      </c>
      <c r="P432" s="5" t="s">
        <v>1619</v>
      </c>
      <c r="Q432" s="15"/>
      <c r="R432" s="16" t="s">
        <v>28</v>
      </c>
      <c r="S432" s="15"/>
      <c r="T432" s="15"/>
      <c r="U432" s="15"/>
      <c r="V432" s="15"/>
      <c r="W432" s="15"/>
      <c r="X432" s="15"/>
      <c r="Y432" s="15"/>
      <c r="Z432" s="15"/>
      <c r="AA432" s="15"/>
    </row>
    <row r="433">
      <c r="A433" s="5" t="s">
        <v>1345</v>
      </c>
      <c r="B433" s="6" t="s">
        <v>1879</v>
      </c>
      <c r="C433" s="40" t="s">
        <v>1880</v>
      </c>
      <c r="D433" s="8"/>
      <c r="E433" s="8" t="s">
        <v>1217</v>
      </c>
      <c r="F433" s="9">
        <v>210.0</v>
      </c>
      <c r="G433" s="56" t="s">
        <v>1881</v>
      </c>
      <c r="H433" s="11" t="s">
        <v>218</v>
      </c>
      <c r="I433" s="41">
        <v>9.836152582E9</v>
      </c>
      <c r="J433" s="11" t="s">
        <v>25</v>
      </c>
      <c r="K433" s="12" t="s">
        <v>1882</v>
      </c>
      <c r="L433" s="13"/>
      <c r="M433" s="14"/>
      <c r="N433" s="15"/>
      <c r="O433" s="5" t="s">
        <v>26</v>
      </c>
      <c r="P433" s="5" t="s">
        <v>453</v>
      </c>
      <c r="Q433" s="15"/>
      <c r="R433" s="16" t="s">
        <v>28</v>
      </c>
      <c r="S433" s="15"/>
      <c r="T433" s="15"/>
      <c r="U433" s="15"/>
      <c r="V433" s="15"/>
      <c r="W433" s="15"/>
      <c r="X433" s="15"/>
      <c r="Y433" s="15"/>
      <c r="Z433" s="15"/>
      <c r="AA433" s="15"/>
    </row>
    <row r="434">
      <c r="A434" s="5" t="s">
        <v>1345</v>
      </c>
      <c r="B434" s="6" t="s">
        <v>1883</v>
      </c>
      <c r="C434" s="40" t="s">
        <v>1884</v>
      </c>
      <c r="D434" s="8"/>
      <c r="E434" s="8" t="s">
        <v>43</v>
      </c>
      <c r="F434" s="9">
        <v>18000.0</v>
      </c>
      <c r="G434" s="77" t="s">
        <v>1885</v>
      </c>
      <c r="H434" s="11" t="s">
        <v>977</v>
      </c>
      <c r="I434" s="41">
        <v>9.679237428E9</v>
      </c>
      <c r="J434" s="11" t="s">
        <v>25</v>
      </c>
      <c r="K434" s="12"/>
      <c r="L434" s="13"/>
      <c r="M434" s="14"/>
      <c r="N434" s="15"/>
      <c r="O434" s="5" t="s">
        <v>34</v>
      </c>
      <c r="P434" s="5" t="s">
        <v>1886</v>
      </c>
      <c r="Q434" s="15"/>
      <c r="R434" s="16" t="s">
        <v>28</v>
      </c>
      <c r="S434" s="15"/>
      <c r="T434" s="15"/>
      <c r="U434" s="15"/>
      <c r="V434" s="15"/>
      <c r="W434" s="15"/>
      <c r="X434" s="15"/>
      <c r="Y434" s="15"/>
      <c r="Z434" s="15"/>
      <c r="AA434" s="15"/>
    </row>
    <row r="435">
      <c r="A435" s="5" t="s">
        <v>1887</v>
      </c>
      <c r="B435" s="6" t="s">
        <v>1888</v>
      </c>
      <c r="C435" s="40" t="s">
        <v>1889</v>
      </c>
      <c r="D435" s="8"/>
      <c r="E435" s="8" t="s">
        <v>1890</v>
      </c>
      <c r="F435" s="9">
        <v>1000.0</v>
      </c>
      <c r="G435" s="56" t="s">
        <v>1891</v>
      </c>
      <c r="H435" s="11" t="s">
        <v>158</v>
      </c>
      <c r="I435" s="41" t="s">
        <v>1892</v>
      </c>
      <c r="J435" s="11" t="s">
        <v>25</v>
      </c>
      <c r="K435" s="12"/>
      <c r="L435" s="13"/>
      <c r="M435" s="14"/>
      <c r="N435" s="15"/>
      <c r="O435" s="5" t="s">
        <v>26</v>
      </c>
      <c r="P435" s="5"/>
      <c r="Q435" s="15"/>
      <c r="R435" s="16" t="s">
        <v>28</v>
      </c>
      <c r="S435" s="15"/>
      <c r="T435" s="15"/>
      <c r="U435" s="15"/>
      <c r="V435" s="15"/>
      <c r="W435" s="15"/>
      <c r="X435" s="15"/>
      <c r="Y435" s="15"/>
      <c r="Z435" s="15"/>
      <c r="AA435" s="15"/>
    </row>
    <row r="436">
      <c r="A436" s="5" t="s">
        <v>1887</v>
      </c>
      <c r="B436" s="6" t="s">
        <v>1893</v>
      </c>
      <c r="C436" s="40" t="s">
        <v>1894</v>
      </c>
      <c r="D436" s="8"/>
      <c r="E436" s="8" t="s">
        <v>43</v>
      </c>
      <c r="F436" s="9">
        <v>5000.0</v>
      </c>
      <c r="G436" s="56" t="s">
        <v>1895</v>
      </c>
      <c r="H436" s="11" t="s">
        <v>44</v>
      </c>
      <c r="I436" s="41">
        <v>8.240131189E9</v>
      </c>
      <c r="J436" s="11" t="s">
        <v>25</v>
      </c>
      <c r="K436" s="12"/>
      <c r="L436" s="13"/>
      <c r="M436" s="14"/>
      <c r="N436" s="15"/>
      <c r="O436" s="5" t="s">
        <v>34</v>
      </c>
      <c r="P436" s="5" t="s">
        <v>1896</v>
      </c>
      <c r="Q436" s="15"/>
      <c r="R436" s="16" t="s">
        <v>28</v>
      </c>
      <c r="S436" s="15"/>
      <c r="T436" s="15"/>
      <c r="U436" s="15"/>
      <c r="V436" s="15"/>
      <c r="W436" s="15"/>
      <c r="X436" s="15"/>
      <c r="Y436" s="15"/>
      <c r="Z436" s="15"/>
      <c r="AA436" s="15"/>
    </row>
    <row r="437">
      <c r="A437" s="5" t="s">
        <v>1887</v>
      </c>
      <c r="B437" s="6" t="s">
        <v>1897</v>
      </c>
      <c r="C437" s="40" t="s">
        <v>1898</v>
      </c>
      <c r="D437" s="8"/>
      <c r="E437" s="8" t="s">
        <v>189</v>
      </c>
      <c r="F437" s="9">
        <v>5000.0</v>
      </c>
      <c r="G437" s="57"/>
      <c r="H437" s="11" t="s">
        <v>78</v>
      </c>
      <c r="I437" s="41">
        <v>9.955272194E9</v>
      </c>
      <c r="J437" s="11" t="s">
        <v>25</v>
      </c>
      <c r="K437" s="12"/>
      <c r="L437" s="13"/>
      <c r="M437" s="14"/>
      <c r="N437" s="15"/>
      <c r="O437" s="5" t="s">
        <v>26</v>
      </c>
      <c r="P437" s="5" t="s">
        <v>1899</v>
      </c>
      <c r="Q437" s="15"/>
      <c r="R437" s="16" t="s">
        <v>28</v>
      </c>
      <c r="S437" s="15"/>
      <c r="T437" s="15"/>
      <c r="U437" s="15"/>
      <c r="V437" s="15"/>
      <c r="W437" s="15"/>
      <c r="X437" s="15"/>
      <c r="Y437" s="15"/>
      <c r="Z437" s="15"/>
      <c r="AA437" s="15"/>
    </row>
    <row r="438">
      <c r="A438" s="5" t="s">
        <v>1887</v>
      </c>
      <c r="B438" s="6" t="s">
        <v>1900</v>
      </c>
      <c r="C438" s="40" t="s">
        <v>1901</v>
      </c>
      <c r="D438" s="8"/>
      <c r="E438" s="8" t="s">
        <v>1902</v>
      </c>
      <c r="F438" s="9">
        <v>1000.0</v>
      </c>
      <c r="G438" s="57" t="s">
        <v>1903</v>
      </c>
      <c r="H438" s="11" t="s">
        <v>985</v>
      </c>
      <c r="I438" s="41">
        <v>9.933345066E9</v>
      </c>
      <c r="J438" s="11" t="s">
        <v>25</v>
      </c>
      <c r="K438" s="12"/>
      <c r="L438" s="13"/>
      <c r="M438" s="14"/>
      <c r="N438" s="15"/>
      <c r="O438" s="5" t="s">
        <v>34</v>
      </c>
      <c r="P438" s="5"/>
      <c r="Q438" s="15"/>
      <c r="R438" s="16" t="s">
        <v>28</v>
      </c>
      <c r="S438" s="15"/>
      <c r="T438" s="15"/>
      <c r="U438" s="15"/>
      <c r="V438" s="15"/>
      <c r="W438" s="15"/>
      <c r="X438" s="15"/>
      <c r="Y438" s="15"/>
      <c r="Z438" s="15"/>
      <c r="AA438" s="15"/>
    </row>
    <row r="439">
      <c r="A439" s="5" t="s">
        <v>1887</v>
      </c>
      <c r="B439" s="6" t="s">
        <v>1904</v>
      </c>
      <c r="C439" s="40" t="s">
        <v>1905</v>
      </c>
      <c r="D439" s="8"/>
      <c r="E439" s="8" t="s">
        <v>1217</v>
      </c>
      <c r="F439" s="9">
        <v>200.0</v>
      </c>
      <c r="G439" s="56" t="s">
        <v>1906</v>
      </c>
      <c r="H439" s="11" t="s">
        <v>49</v>
      </c>
      <c r="I439" s="41">
        <v>9.382828982E9</v>
      </c>
      <c r="J439" s="11" t="s">
        <v>25</v>
      </c>
      <c r="K439" s="12"/>
      <c r="L439" s="13"/>
      <c r="M439" s="14"/>
      <c r="N439" s="15"/>
      <c r="O439" s="5" t="s">
        <v>26</v>
      </c>
      <c r="P439" s="5"/>
      <c r="Q439" s="15"/>
      <c r="R439" s="16" t="s">
        <v>28</v>
      </c>
      <c r="S439" s="15"/>
      <c r="T439" s="15"/>
      <c r="U439" s="15"/>
      <c r="V439" s="15"/>
      <c r="W439" s="15"/>
      <c r="X439" s="15"/>
      <c r="Y439" s="15"/>
      <c r="Z439" s="15"/>
      <c r="AA439" s="15"/>
    </row>
    <row r="440">
      <c r="A440" s="5" t="s">
        <v>1907</v>
      </c>
      <c r="B440" s="6" t="s">
        <v>1908</v>
      </c>
      <c r="C440" s="40" t="s">
        <v>1909</v>
      </c>
      <c r="D440" s="8"/>
      <c r="E440" s="8" t="s">
        <v>1910</v>
      </c>
      <c r="F440" s="9">
        <v>50000.0</v>
      </c>
      <c r="G440" s="56" t="s">
        <v>1911</v>
      </c>
      <c r="H440" s="11" t="s">
        <v>131</v>
      </c>
      <c r="I440" s="41">
        <v>9.331000377E9</v>
      </c>
      <c r="J440" s="11" t="s">
        <v>25</v>
      </c>
      <c r="K440" s="12"/>
      <c r="L440" s="13"/>
      <c r="M440" s="14"/>
      <c r="N440" s="15"/>
      <c r="O440" s="5" t="s">
        <v>26</v>
      </c>
      <c r="P440" s="5" t="s">
        <v>1912</v>
      </c>
      <c r="Q440" s="15"/>
      <c r="R440" s="16" t="s">
        <v>28</v>
      </c>
      <c r="S440" s="15"/>
      <c r="T440" s="15"/>
      <c r="U440" s="15"/>
      <c r="V440" s="15"/>
      <c r="W440" s="15"/>
      <c r="X440" s="15"/>
      <c r="Y440" s="15"/>
      <c r="Z440" s="15"/>
      <c r="AA440" s="15"/>
    </row>
    <row r="441">
      <c r="A441" s="5" t="s">
        <v>1907</v>
      </c>
      <c r="B441" s="6" t="s">
        <v>1913</v>
      </c>
      <c r="C441" s="40" t="s">
        <v>1914</v>
      </c>
      <c r="D441" s="8"/>
      <c r="E441" s="8" t="s">
        <v>286</v>
      </c>
      <c r="F441" s="9">
        <v>5000.0</v>
      </c>
      <c r="G441" s="78" t="s">
        <v>1915</v>
      </c>
      <c r="H441" s="11" t="s">
        <v>977</v>
      </c>
      <c r="I441" s="41">
        <v>9.835103218E9</v>
      </c>
      <c r="J441" s="11" t="s">
        <v>25</v>
      </c>
      <c r="K441" s="12"/>
      <c r="L441" s="13"/>
      <c r="M441" s="11" t="s">
        <v>1522</v>
      </c>
      <c r="N441" s="15"/>
      <c r="O441" s="5" t="s">
        <v>34</v>
      </c>
      <c r="P441" s="5" t="s">
        <v>405</v>
      </c>
      <c r="Q441" s="15"/>
      <c r="R441" s="16" t="s">
        <v>28</v>
      </c>
      <c r="S441" s="15"/>
      <c r="T441" s="15"/>
      <c r="U441" s="15"/>
      <c r="V441" s="15"/>
      <c r="W441" s="15"/>
      <c r="X441" s="15"/>
      <c r="Y441" s="15"/>
      <c r="Z441" s="15"/>
      <c r="AA441" s="15"/>
    </row>
    <row r="442">
      <c r="A442" s="5" t="s">
        <v>1907</v>
      </c>
      <c r="B442" s="6" t="s">
        <v>1916</v>
      </c>
      <c r="C442" s="40" t="s">
        <v>1917</v>
      </c>
      <c r="D442" s="8"/>
      <c r="E442" s="8" t="s">
        <v>1217</v>
      </c>
      <c r="F442" s="9">
        <v>18000.0</v>
      </c>
      <c r="G442" s="56" t="s">
        <v>1918</v>
      </c>
      <c r="H442" s="11" t="s">
        <v>1919</v>
      </c>
      <c r="I442" s="41">
        <v>9.370529119E9</v>
      </c>
      <c r="J442" s="11" t="s">
        <v>25</v>
      </c>
      <c r="K442" s="12"/>
      <c r="L442" s="13"/>
      <c r="M442" s="14"/>
      <c r="N442" s="15"/>
      <c r="O442" s="5" t="s">
        <v>108</v>
      </c>
      <c r="P442" s="5"/>
      <c r="Q442" s="15"/>
      <c r="R442" s="16" t="s">
        <v>28</v>
      </c>
      <c r="S442" s="15"/>
      <c r="T442" s="15"/>
      <c r="U442" s="15"/>
      <c r="V442" s="15"/>
      <c r="W442" s="15"/>
      <c r="X442" s="15"/>
      <c r="Y442" s="15"/>
      <c r="Z442" s="15"/>
      <c r="AA442" s="15"/>
    </row>
    <row r="443">
      <c r="A443" s="5" t="s">
        <v>1907</v>
      </c>
      <c r="B443" s="6" t="s">
        <v>1920</v>
      </c>
      <c r="C443" s="36" t="s">
        <v>1921</v>
      </c>
      <c r="D443" s="75"/>
      <c r="E443" s="8" t="s">
        <v>685</v>
      </c>
      <c r="F443" s="9">
        <v>5000.0</v>
      </c>
      <c r="G443" s="56" t="s">
        <v>1922</v>
      </c>
      <c r="H443" s="11" t="s">
        <v>99</v>
      </c>
      <c r="I443" s="79">
        <v>9.937508444E9</v>
      </c>
      <c r="J443" s="11" t="s">
        <v>25</v>
      </c>
      <c r="K443" s="12"/>
      <c r="L443" s="13"/>
      <c r="M443" s="14"/>
      <c r="N443" s="15"/>
      <c r="O443" s="5" t="s">
        <v>1923</v>
      </c>
      <c r="P443" s="5"/>
      <c r="Q443" s="15"/>
      <c r="R443" s="16"/>
      <c r="S443" s="15"/>
      <c r="T443" s="15"/>
      <c r="U443" s="15"/>
      <c r="V443" s="15"/>
      <c r="W443" s="15"/>
      <c r="X443" s="15"/>
      <c r="Y443" s="15"/>
      <c r="Z443" s="15"/>
      <c r="AA443" s="15"/>
    </row>
    <row r="444">
      <c r="A444" s="5" t="s">
        <v>1924</v>
      </c>
      <c r="B444" s="6" t="s">
        <v>1925</v>
      </c>
      <c r="C444" s="40" t="s">
        <v>1926</v>
      </c>
      <c r="D444" s="8"/>
      <c r="E444" s="8" t="s">
        <v>116</v>
      </c>
      <c r="F444" s="9">
        <v>10000.0</v>
      </c>
      <c r="G444" s="56" t="s">
        <v>1927</v>
      </c>
      <c r="H444" s="11" t="s">
        <v>131</v>
      </c>
      <c r="I444" s="41">
        <v>8.099449073E9</v>
      </c>
      <c r="J444" s="11" t="s">
        <v>25</v>
      </c>
      <c r="K444" s="12"/>
      <c r="L444" s="13"/>
      <c r="M444" s="14"/>
      <c r="N444" s="15"/>
      <c r="O444" s="5" t="s">
        <v>26</v>
      </c>
      <c r="P444" s="5"/>
      <c r="Q444" s="15"/>
      <c r="R444" s="16" t="s">
        <v>28</v>
      </c>
      <c r="S444" s="15"/>
      <c r="T444" s="15"/>
      <c r="U444" s="15"/>
      <c r="V444" s="15"/>
      <c r="W444" s="15"/>
      <c r="X444" s="15"/>
      <c r="Y444" s="15"/>
      <c r="Z444" s="15"/>
      <c r="AA444" s="15"/>
    </row>
    <row r="445">
      <c r="A445" s="5" t="s">
        <v>1924</v>
      </c>
      <c r="B445" s="6" t="s">
        <v>1928</v>
      </c>
      <c r="C445" s="40" t="s">
        <v>1929</v>
      </c>
      <c r="D445" s="8"/>
      <c r="E445" s="8" t="s">
        <v>1930</v>
      </c>
      <c r="F445" s="9">
        <v>2000.0</v>
      </c>
      <c r="G445" s="56" t="s">
        <v>1931</v>
      </c>
      <c r="H445" s="11" t="s">
        <v>99</v>
      </c>
      <c r="I445" s="41">
        <v>9.337052428E9</v>
      </c>
      <c r="J445" s="11" t="s">
        <v>25</v>
      </c>
      <c r="K445" s="12"/>
      <c r="L445" s="13"/>
      <c r="M445" s="14"/>
      <c r="N445" s="15"/>
      <c r="O445" s="5" t="s">
        <v>34</v>
      </c>
      <c r="P445" s="5" t="s">
        <v>1932</v>
      </c>
      <c r="Q445" s="15"/>
      <c r="R445" s="16" t="s">
        <v>28</v>
      </c>
      <c r="S445" s="15"/>
      <c r="T445" s="15"/>
      <c r="U445" s="15"/>
      <c r="V445" s="15"/>
      <c r="W445" s="15"/>
      <c r="X445" s="15"/>
      <c r="Y445" s="15"/>
      <c r="Z445" s="15"/>
      <c r="AA445" s="15"/>
    </row>
    <row r="446">
      <c r="A446" s="5" t="s">
        <v>1924</v>
      </c>
      <c r="B446" s="6" t="s">
        <v>1933</v>
      </c>
      <c r="C446" s="40" t="s">
        <v>1934</v>
      </c>
      <c r="D446" s="8"/>
      <c r="E446" s="8" t="s">
        <v>1363</v>
      </c>
      <c r="F446" s="9">
        <v>200.0</v>
      </c>
      <c r="G446" s="56" t="s">
        <v>1935</v>
      </c>
      <c r="H446" s="11" t="s">
        <v>555</v>
      </c>
      <c r="I446" s="41">
        <v>8.709133301E9</v>
      </c>
      <c r="J446" s="11" t="s">
        <v>25</v>
      </c>
      <c r="K446" s="12"/>
      <c r="L446" s="13"/>
      <c r="M446" s="14"/>
      <c r="N446" s="15"/>
      <c r="O446" s="5" t="s">
        <v>34</v>
      </c>
      <c r="P446" s="5" t="s">
        <v>405</v>
      </c>
      <c r="Q446" s="15"/>
      <c r="R446" s="16" t="s">
        <v>28</v>
      </c>
      <c r="S446" s="15"/>
      <c r="T446" s="15"/>
      <c r="U446" s="15"/>
      <c r="V446" s="15"/>
      <c r="W446" s="15"/>
      <c r="X446" s="15"/>
      <c r="Y446" s="15"/>
      <c r="Z446" s="15"/>
      <c r="AA446" s="15"/>
    </row>
    <row r="447">
      <c r="A447" s="5" t="s">
        <v>1936</v>
      </c>
      <c r="B447" s="6" t="s">
        <v>1937</v>
      </c>
      <c r="C447" s="40" t="s">
        <v>1938</v>
      </c>
      <c r="D447" s="8"/>
      <c r="E447" s="8" t="s">
        <v>1217</v>
      </c>
      <c r="F447" s="9">
        <v>1000.0</v>
      </c>
      <c r="G447" s="57"/>
      <c r="H447" s="11" t="s">
        <v>184</v>
      </c>
      <c r="I447" s="41">
        <v>9.631799597E9</v>
      </c>
      <c r="J447" s="11" t="s">
        <v>25</v>
      </c>
      <c r="K447" s="12"/>
      <c r="L447" s="13"/>
      <c r="M447" s="14"/>
      <c r="N447" s="15"/>
      <c r="O447" s="5" t="s">
        <v>26</v>
      </c>
      <c r="P447" s="5"/>
      <c r="Q447" s="15"/>
      <c r="R447" s="16" t="s">
        <v>28</v>
      </c>
      <c r="S447" s="15"/>
      <c r="T447" s="15"/>
      <c r="U447" s="15"/>
      <c r="V447" s="15"/>
      <c r="W447" s="15"/>
      <c r="X447" s="15"/>
      <c r="Y447" s="15"/>
      <c r="Z447" s="15"/>
      <c r="AA447" s="15"/>
    </row>
    <row r="448">
      <c r="A448" s="5" t="s">
        <v>1936</v>
      </c>
      <c r="B448" s="6" t="s">
        <v>1939</v>
      </c>
      <c r="C448" s="40" t="s">
        <v>1940</v>
      </c>
      <c r="D448" s="8"/>
      <c r="E448" s="8" t="s">
        <v>87</v>
      </c>
      <c r="F448" s="9">
        <v>4000.0</v>
      </c>
      <c r="G448" s="57" t="s">
        <v>1941</v>
      </c>
      <c r="H448" s="11" t="s">
        <v>107</v>
      </c>
      <c r="I448" s="41">
        <v>9.811568793E9</v>
      </c>
      <c r="J448" s="11" t="s">
        <v>25</v>
      </c>
      <c r="K448" s="12"/>
      <c r="L448" s="13"/>
      <c r="M448" s="11" t="s">
        <v>1942</v>
      </c>
      <c r="N448" s="15"/>
      <c r="O448" s="5" t="s">
        <v>108</v>
      </c>
      <c r="P448" s="5" t="s">
        <v>1943</v>
      </c>
      <c r="Q448" s="15"/>
      <c r="R448" s="16" t="s">
        <v>28</v>
      </c>
      <c r="S448" s="5" t="s">
        <v>1944</v>
      </c>
      <c r="T448" s="15"/>
      <c r="U448" s="15"/>
      <c r="V448" s="15"/>
      <c r="W448" s="15"/>
      <c r="X448" s="15"/>
      <c r="Y448" s="15"/>
      <c r="Z448" s="15"/>
      <c r="AA448" s="15"/>
    </row>
    <row r="449">
      <c r="A449" s="5" t="s">
        <v>1936</v>
      </c>
      <c r="B449" s="6" t="s">
        <v>1945</v>
      </c>
      <c r="C449" s="40" t="s">
        <v>1946</v>
      </c>
      <c r="D449" s="8"/>
      <c r="E449" s="8" t="s">
        <v>841</v>
      </c>
      <c r="F449" s="9">
        <v>2000.0</v>
      </c>
      <c r="G449" s="56" t="s">
        <v>1947</v>
      </c>
      <c r="H449" s="11" t="s">
        <v>1691</v>
      </c>
      <c r="I449" s="41">
        <v>8.918303848E9</v>
      </c>
      <c r="J449" s="11" t="s">
        <v>25</v>
      </c>
      <c r="K449" s="12" t="s">
        <v>1706</v>
      </c>
      <c r="L449" s="13"/>
      <c r="M449" s="14"/>
      <c r="N449" s="15"/>
      <c r="O449" s="5" t="s">
        <v>26</v>
      </c>
      <c r="P449" s="5" t="s">
        <v>453</v>
      </c>
      <c r="Q449" s="15"/>
      <c r="R449" s="16" t="s">
        <v>28</v>
      </c>
      <c r="S449" s="15"/>
      <c r="T449" s="15"/>
      <c r="U449" s="15"/>
      <c r="V449" s="15"/>
      <c r="W449" s="15"/>
      <c r="X449" s="15"/>
      <c r="Y449" s="15"/>
      <c r="Z449" s="15"/>
      <c r="AA449" s="15"/>
    </row>
    <row r="450">
      <c r="A450" s="5" t="s">
        <v>1936</v>
      </c>
      <c r="B450" s="6" t="s">
        <v>1948</v>
      </c>
      <c r="C450" s="40" t="s">
        <v>1730</v>
      </c>
      <c r="D450" s="8"/>
      <c r="E450" s="8" t="s">
        <v>794</v>
      </c>
      <c r="F450" s="9">
        <v>5000.0</v>
      </c>
      <c r="G450" s="56" t="s">
        <v>1949</v>
      </c>
      <c r="H450" s="11" t="s">
        <v>283</v>
      </c>
      <c r="I450" s="41" t="s">
        <v>1950</v>
      </c>
      <c r="J450" s="11" t="s">
        <v>25</v>
      </c>
      <c r="K450" s="12"/>
      <c r="L450" s="13"/>
      <c r="M450" s="14"/>
      <c r="N450" s="15"/>
      <c r="O450" s="5" t="s">
        <v>34</v>
      </c>
      <c r="P450" s="5"/>
      <c r="Q450" s="15"/>
      <c r="R450" s="16" t="s">
        <v>28</v>
      </c>
      <c r="S450" s="15"/>
      <c r="T450" s="15"/>
      <c r="U450" s="15"/>
      <c r="V450" s="15"/>
      <c r="W450" s="15"/>
      <c r="X450" s="15"/>
      <c r="Y450" s="15"/>
      <c r="Z450" s="15"/>
      <c r="AA450" s="15"/>
    </row>
    <row r="451">
      <c r="A451" s="5" t="s">
        <v>1951</v>
      </c>
      <c r="B451" s="6" t="s">
        <v>1952</v>
      </c>
      <c r="C451" s="40" t="s">
        <v>1953</v>
      </c>
      <c r="D451" s="8"/>
      <c r="E451" s="8" t="s">
        <v>523</v>
      </c>
      <c r="F451" s="9">
        <v>1000.0</v>
      </c>
      <c r="G451" s="57"/>
      <c r="H451" s="11" t="s">
        <v>44</v>
      </c>
      <c r="I451" s="41">
        <v>9.382793097E9</v>
      </c>
      <c r="J451" s="11" t="s">
        <v>25</v>
      </c>
      <c r="K451" s="12"/>
      <c r="L451" s="13"/>
      <c r="M451" s="14"/>
      <c r="N451" s="15"/>
      <c r="O451" s="5" t="s">
        <v>26</v>
      </c>
      <c r="P451" s="5" t="s">
        <v>1899</v>
      </c>
      <c r="Q451" s="15"/>
      <c r="R451" s="16" t="s">
        <v>28</v>
      </c>
      <c r="S451" s="15"/>
      <c r="T451" s="15"/>
      <c r="U451" s="15"/>
      <c r="V451" s="15"/>
      <c r="W451" s="15"/>
      <c r="X451" s="15"/>
      <c r="Y451" s="15"/>
      <c r="Z451" s="15"/>
      <c r="AA451" s="15"/>
    </row>
    <row r="452">
      <c r="A452" s="5" t="s">
        <v>1951</v>
      </c>
      <c r="B452" s="6" t="s">
        <v>1954</v>
      </c>
      <c r="C452" s="40" t="s">
        <v>1955</v>
      </c>
      <c r="D452" s="8"/>
      <c r="E452" s="8" t="s">
        <v>1280</v>
      </c>
      <c r="F452" s="9">
        <v>1000.0</v>
      </c>
      <c r="G452" s="56" t="s">
        <v>1956</v>
      </c>
      <c r="H452" s="11" t="s">
        <v>218</v>
      </c>
      <c r="I452" s="41">
        <v>9.831725611E9</v>
      </c>
      <c r="J452" s="11" t="s">
        <v>25</v>
      </c>
      <c r="K452" s="12"/>
      <c r="L452" s="13"/>
      <c r="M452" s="14"/>
      <c r="N452" s="15"/>
      <c r="O452" s="5" t="s">
        <v>34</v>
      </c>
      <c r="P452" s="5" t="s">
        <v>654</v>
      </c>
      <c r="Q452" s="15"/>
      <c r="R452" s="16" t="s">
        <v>28</v>
      </c>
      <c r="S452" s="15"/>
      <c r="T452" s="15"/>
      <c r="U452" s="15"/>
      <c r="V452" s="15"/>
      <c r="W452" s="15"/>
      <c r="X452" s="15"/>
      <c r="Y452" s="15"/>
      <c r="Z452" s="15"/>
      <c r="AA452" s="15"/>
    </row>
    <row r="453">
      <c r="A453" s="5" t="s">
        <v>1957</v>
      </c>
      <c r="B453" s="6" t="s">
        <v>1958</v>
      </c>
      <c r="C453" s="40" t="s">
        <v>1959</v>
      </c>
      <c r="D453" s="8"/>
      <c r="E453" s="8" t="s">
        <v>1960</v>
      </c>
      <c r="F453" s="9">
        <v>15000.0</v>
      </c>
      <c r="G453" s="56" t="s">
        <v>1961</v>
      </c>
      <c r="H453" s="11" t="s">
        <v>1561</v>
      </c>
      <c r="I453" s="41">
        <v>8.944906149E9</v>
      </c>
      <c r="J453" s="11" t="s">
        <v>25</v>
      </c>
      <c r="K453" s="12"/>
      <c r="L453" s="13"/>
      <c r="M453" s="11" t="s">
        <v>1962</v>
      </c>
      <c r="N453" s="15"/>
      <c r="O453" s="5" t="s">
        <v>34</v>
      </c>
      <c r="P453" s="5" t="s">
        <v>1963</v>
      </c>
      <c r="Q453" s="15"/>
      <c r="R453" s="16" t="s">
        <v>28</v>
      </c>
      <c r="S453" s="15"/>
      <c r="T453" s="15"/>
      <c r="U453" s="15"/>
      <c r="V453" s="15"/>
      <c r="W453" s="15"/>
      <c r="X453" s="15"/>
      <c r="Y453" s="15"/>
      <c r="Z453" s="15"/>
      <c r="AA453" s="15"/>
    </row>
    <row r="454">
      <c r="A454" s="5" t="s">
        <v>1957</v>
      </c>
      <c r="B454" s="6" t="s">
        <v>1964</v>
      </c>
      <c r="C454" s="40" t="s">
        <v>1965</v>
      </c>
      <c r="D454" s="8"/>
      <c r="E454" s="8" t="s">
        <v>1890</v>
      </c>
      <c r="F454" s="9">
        <v>500.0</v>
      </c>
      <c r="G454" s="57" t="s">
        <v>1966</v>
      </c>
      <c r="H454" s="11" t="s">
        <v>449</v>
      </c>
      <c r="I454" s="41">
        <v>9.434981724E9</v>
      </c>
      <c r="J454" s="11" t="s">
        <v>25</v>
      </c>
      <c r="K454" s="12"/>
      <c r="L454" s="13"/>
      <c r="M454" s="11" t="s">
        <v>1967</v>
      </c>
      <c r="N454" s="15"/>
      <c r="O454" s="5" t="s">
        <v>34</v>
      </c>
      <c r="P454" s="5" t="s">
        <v>1968</v>
      </c>
      <c r="Q454" s="15"/>
      <c r="R454" s="16" t="s">
        <v>28</v>
      </c>
      <c r="S454" s="15"/>
      <c r="T454" s="15"/>
      <c r="U454" s="15"/>
      <c r="V454" s="15"/>
      <c r="W454" s="15"/>
      <c r="X454" s="15"/>
      <c r="Y454" s="15"/>
      <c r="Z454" s="15"/>
      <c r="AA454" s="15"/>
    </row>
    <row r="455">
      <c r="A455" s="5" t="s">
        <v>1957</v>
      </c>
      <c r="B455" s="6" t="s">
        <v>1969</v>
      </c>
      <c r="C455" s="40" t="s">
        <v>1970</v>
      </c>
      <c r="D455" s="8"/>
      <c r="E455" s="8" t="s">
        <v>167</v>
      </c>
      <c r="F455" s="9">
        <v>10000.0</v>
      </c>
      <c r="G455" s="56" t="s">
        <v>1971</v>
      </c>
      <c r="H455" s="11" t="s">
        <v>44</v>
      </c>
      <c r="I455" s="41">
        <v>9.339941783E9</v>
      </c>
      <c r="J455" s="11" t="s">
        <v>25</v>
      </c>
      <c r="K455" s="12"/>
      <c r="L455" s="13"/>
      <c r="M455" s="14"/>
      <c r="N455" s="15"/>
      <c r="O455" s="5" t="s">
        <v>26</v>
      </c>
      <c r="P455" s="5" t="s">
        <v>1972</v>
      </c>
      <c r="Q455" s="15"/>
      <c r="R455" s="16" t="s">
        <v>28</v>
      </c>
      <c r="S455" s="15"/>
      <c r="T455" s="15"/>
      <c r="U455" s="15"/>
      <c r="V455" s="15"/>
      <c r="W455" s="15"/>
      <c r="X455" s="15"/>
      <c r="Y455" s="15"/>
      <c r="Z455" s="15"/>
      <c r="AA455" s="15"/>
    </row>
    <row r="456">
      <c r="A456" s="5" t="s">
        <v>1957</v>
      </c>
      <c r="B456" s="6" t="s">
        <v>1973</v>
      </c>
      <c r="C456" s="40" t="s">
        <v>1974</v>
      </c>
      <c r="D456" s="8"/>
      <c r="E456" s="8" t="s">
        <v>130</v>
      </c>
      <c r="F456" s="9">
        <v>20000.0</v>
      </c>
      <c r="G456" s="56" t="s">
        <v>1975</v>
      </c>
      <c r="H456" s="11" t="s">
        <v>906</v>
      </c>
      <c r="I456" s="41">
        <v>9.834137706E9</v>
      </c>
      <c r="J456" s="11" t="s">
        <v>25</v>
      </c>
      <c r="K456" s="12"/>
      <c r="L456" s="13"/>
      <c r="M456" s="11" t="s">
        <v>1766</v>
      </c>
      <c r="N456" s="15"/>
      <c r="O456" s="5" t="s">
        <v>34</v>
      </c>
      <c r="P456" s="5" t="s">
        <v>1976</v>
      </c>
      <c r="Q456" s="15"/>
      <c r="R456" s="16" t="s">
        <v>28</v>
      </c>
      <c r="S456" s="15"/>
      <c r="T456" s="15"/>
      <c r="U456" s="15"/>
      <c r="V456" s="15"/>
      <c r="W456" s="15"/>
      <c r="X456" s="15"/>
      <c r="Y456" s="15"/>
      <c r="Z456" s="15"/>
      <c r="AA456" s="15"/>
    </row>
    <row r="457">
      <c r="A457" s="5" t="s">
        <v>1957</v>
      </c>
      <c r="B457" s="6" t="s">
        <v>1977</v>
      </c>
      <c r="C457" s="40" t="s">
        <v>1978</v>
      </c>
      <c r="D457" s="8"/>
      <c r="E457" s="8" t="s">
        <v>1979</v>
      </c>
      <c r="F457" s="9">
        <v>500.0</v>
      </c>
      <c r="G457" s="56" t="s">
        <v>1980</v>
      </c>
      <c r="H457" s="11" t="s">
        <v>472</v>
      </c>
      <c r="I457" s="41">
        <v>7.00450016E9</v>
      </c>
      <c r="J457" s="11" t="s">
        <v>25</v>
      </c>
      <c r="K457" s="12"/>
      <c r="L457" s="13"/>
      <c r="M457" s="14"/>
      <c r="N457" s="15"/>
      <c r="O457" s="5" t="s">
        <v>26</v>
      </c>
      <c r="P457" s="5" t="s">
        <v>1981</v>
      </c>
      <c r="Q457" s="15"/>
      <c r="R457" s="16" t="s">
        <v>28</v>
      </c>
      <c r="S457" s="15"/>
      <c r="T457" s="15"/>
      <c r="U457" s="15"/>
      <c r="V457" s="15"/>
      <c r="W457" s="15"/>
      <c r="X457" s="15"/>
      <c r="Y457" s="15"/>
      <c r="Z457" s="15"/>
      <c r="AA457" s="15"/>
    </row>
    <row r="458">
      <c r="A458" s="5" t="s">
        <v>1957</v>
      </c>
      <c r="B458" s="6" t="s">
        <v>1982</v>
      </c>
      <c r="C458" s="40" t="s">
        <v>1983</v>
      </c>
      <c r="D458" s="8"/>
      <c r="E458" s="8" t="s">
        <v>841</v>
      </c>
      <c r="F458" s="9">
        <v>10000.0</v>
      </c>
      <c r="G458" s="57"/>
      <c r="H458" s="11" t="s">
        <v>44</v>
      </c>
      <c r="I458" s="41">
        <v>6.290507568E9</v>
      </c>
      <c r="J458" s="11" t="s">
        <v>25</v>
      </c>
      <c r="K458" s="12"/>
      <c r="L458" s="13"/>
      <c r="M458" s="11" t="s">
        <v>1623</v>
      </c>
      <c r="N458" s="15"/>
      <c r="O458" s="5" t="s">
        <v>34</v>
      </c>
      <c r="P458" s="5" t="s">
        <v>209</v>
      </c>
      <c r="Q458" s="15"/>
      <c r="R458" s="16" t="s">
        <v>28</v>
      </c>
      <c r="S458" s="15"/>
      <c r="T458" s="15"/>
      <c r="U458" s="15"/>
      <c r="V458" s="15"/>
      <c r="W458" s="15"/>
      <c r="X458" s="15"/>
      <c r="Y458" s="15"/>
      <c r="Z458" s="15"/>
      <c r="AA458" s="15"/>
    </row>
    <row r="459">
      <c r="A459" s="5" t="s">
        <v>1957</v>
      </c>
      <c r="B459" s="6" t="s">
        <v>1984</v>
      </c>
      <c r="C459" s="40" t="s">
        <v>1985</v>
      </c>
      <c r="D459" s="8"/>
      <c r="E459" s="8" t="s">
        <v>1230</v>
      </c>
      <c r="F459" s="9">
        <v>50000.0</v>
      </c>
      <c r="G459" s="31" t="s">
        <v>1986</v>
      </c>
      <c r="H459" s="11" t="s">
        <v>107</v>
      </c>
      <c r="I459" s="41">
        <v>9.8711254E8</v>
      </c>
      <c r="J459" s="11" t="s">
        <v>25</v>
      </c>
      <c r="K459" s="12"/>
      <c r="L459" s="13"/>
      <c r="M459" s="14"/>
      <c r="N459" s="15"/>
      <c r="O459" s="5" t="s">
        <v>108</v>
      </c>
      <c r="P459" s="5"/>
      <c r="Q459" s="15"/>
      <c r="R459" s="16" t="s">
        <v>28</v>
      </c>
      <c r="S459" s="15"/>
      <c r="T459" s="15"/>
      <c r="U459" s="15"/>
      <c r="V459" s="15"/>
      <c r="W459" s="15"/>
      <c r="X459" s="15"/>
      <c r="Y459" s="15"/>
      <c r="Z459" s="15"/>
      <c r="AA459" s="15"/>
    </row>
    <row r="460">
      <c r="A460" s="5" t="s">
        <v>1987</v>
      </c>
      <c r="B460" s="6" t="s">
        <v>1988</v>
      </c>
      <c r="C460" s="40" t="s">
        <v>1989</v>
      </c>
      <c r="D460" s="8"/>
      <c r="E460" s="8" t="s">
        <v>38</v>
      </c>
      <c r="F460" s="9">
        <v>1500.0</v>
      </c>
      <c r="G460" s="31" t="s">
        <v>1990</v>
      </c>
      <c r="H460" s="11" t="s">
        <v>44</v>
      </c>
      <c r="I460" s="41">
        <v>9.748912735E9</v>
      </c>
      <c r="J460" s="11" t="s">
        <v>25</v>
      </c>
      <c r="K460" s="12"/>
      <c r="L460" s="13"/>
      <c r="M460" s="14"/>
      <c r="N460" s="15"/>
      <c r="O460" s="5" t="s">
        <v>34</v>
      </c>
      <c r="P460" s="5" t="s">
        <v>79</v>
      </c>
      <c r="Q460" s="15"/>
      <c r="R460" s="16" t="s">
        <v>28</v>
      </c>
      <c r="S460" s="15"/>
      <c r="T460" s="15"/>
      <c r="U460" s="15"/>
      <c r="V460" s="15"/>
      <c r="W460" s="15"/>
      <c r="X460" s="15"/>
      <c r="Y460" s="15"/>
      <c r="Z460" s="15"/>
      <c r="AA460" s="15"/>
    </row>
    <row r="461">
      <c r="A461" s="5" t="s">
        <v>1987</v>
      </c>
      <c r="B461" s="6" t="s">
        <v>1991</v>
      </c>
      <c r="C461" s="40" t="s">
        <v>1992</v>
      </c>
      <c r="D461" s="8"/>
      <c r="E461" s="8" t="s">
        <v>130</v>
      </c>
      <c r="F461" s="9">
        <v>50000.0</v>
      </c>
      <c r="G461" s="43" t="s">
        <v>1993</v>
      </c>
      <c r="H461" s="11" t="s">
        <v>184</v>
      </c>
      <c r="I461" s="41">
        <v>7.887695703E9</v>
      </c>
      <c r="J461" s="11" t="s">
        <v>25</v>
      </c>
      <c r="K461" s="12"/>
      <c r="L461" s="13"/>
      <c r="M461" s="14"/>
      <c r="N461" s="15"/>
      <c r="O461" s="5" t="s">
        <v>26</v>
      </c>
      <c r="P461" s="5" t="s">
        <v>1994</v>
      </c>
      <c r="Q461" s="15"/>
      <c r="R461" s="16" t="s">
        <v>28</v>
      </c>
      <c r="S461" s="15"/>
      <c r="T461" s="15"/>
      <c r="U461" s="15"/>
      <c r="V461" s="15"/>
      <c r="W461" s="15"/>
      <c r="X461" s="15"/>
      <c r="Y461" s="15"/>
      <c r="Z461" s="15"/>
      <c r="AA461" s="15"/>
    </row>
    <row r="462">
      <c r="A462" s="5" t="s">
        <v>1987</v>
      </c>
      <c r="B462" s="6" t="s">
        <v>1995</v>
      </c>
      <c r="C462" s="40" t="s">
        <v>1996</v>
      </c>
      <c r="D462" s="8"/>
      <c r="E462" s="8" t="s">
        <v>152</v>
      </c>
      <c r="F462" s="9">
        <v>5000.0</v>
      </c>
      <c r="G462" s="43"/>
      <c r="H462" s="11" t="s">
        <v>44</v>
      </c>
      <c r="I462" s="41">
        <v>8.100005845E9</v>
      </c>
      <c r="J462" s="11" t="s">
        <v>25</v>
      </c>
      <c r="K462" s="12"/>
      <c r="L462" s="13"/>
      <c r="M462" s="14"/>
      <c r="N462" s="15"/>
      <c r="O462" s="5" t="s">
        <v>26</v>
      </c>
      <c r="P462" s="5"/>
      <c r="Q462" s="15"/>
      <c r="R462" s="16" t="s">
        <v>28</v>
      </c>
      <c r="S462" s="15"/>
      <c r="T462" s="15"/>
      <c r="U462" s="15"/>
      <c r="V462" s="15"/>
      <c r="W462" s="15"/>
      <c r="X462" s="15"/>
      <c r="Y462" s="15"/>
      <c r="Z462" s="15"/>
      <c r="AA462" s="15"/>
    </row>
    <row r="463">
      <c r="A463" s="5" t="s">
        <v>1987</v>
      </c>
      <c r="B463" s="6" t="s">
        <v>1997</v>
      </c>
      <c r="C463" s="40" t="s">
        <v>1998</v>
      </c>
      <c r="D463" s="8"/>
      <c r="E463" s="8" t="s">
        <v>286</v>
      </c>
      <c r="F463" s="9">
        <v>10000.0</v>
      </c>
      <c r="G463" s="31" t="s">
        <v>1999</v>
      </c>
      <c r="H463" s="11" t="s">
        <v>218</v>
      </c>
      <c r="I463" s="41">
        <v>9.102523473E9</v>
      </c>
      <c r="J463" s="11" t="s">
        <v>25</v>
      </c>
      <c r="K463" s="12"/>
      <c r="L463" s="13"/>
      <c r="M463" s="14"/>
      <c r="N463" s="15"/>
      <c r="O463" s="5" t="s">
        <v>26</v>
      </c>
      <c r="P463" s="5" t="s">
        <v>2000</v>
      </c>
      <c r="Q463" s="15"/>
      <c r="R463" s="16" t="s">
        <v>28</v>
      </c>
      <c r="S463" s="15"/>
      <c r="T463" s="15"/>
      <c r="U463" s="15"/>
      <c r="V463" s="15"/>
      <c r="W463" s="15"/>
      <c r="X463" s="15"/>
      <c r="Y463" s="15"/>
      <c r="Z463" s="15"/>
      <c r="AA463" s="15"/>
    </row>
    <row r="464">
      <c r="A464" s="5" t="s">
        <v>1987</v>
      </c>
      <c r="B464" s="6" t="s">
        <v>2001</v>
      </c>
      <c r="C464" s="40" t="s">
        <v>2002</v>
      </c>
      <c r="D464" s="8"/>
      <c r="E464" s="8" t="s">
        <v>213</v>
      </c>
      <c r="F464" s="9">
        <v>5000.0</v>
      </c>
      <c r="G464" s="31" t="s">
        <v>2003</v>
      </c>
      <c r="H464" s="11" t="s">
        <v>184</v>
      </c>
      <c r="I464" s="41">
        <v>7.004392732E9</v>
      </c>
      <c r="J464" s="11" t="s">
        <v>25</v>
      </c>
      <c r="K464" s="12"/>
      <c r="L464" s="13"/>
      <c r="M464" s="14"/>
      <c r="N464" s="15"/>
      <c r="O464" s="5" t="s">
        <v>34</v>
      </c>
      <c r="P464" s="5" t="s">
        <v>707</v>
      </c>
      <c r="Q464" s="15"/>
      <c r="R464" s="16" t="s">
        <v>28</v>
      </c>
      <c r="S464" s="15"/>
      <c r="T464" s="15"/>
      <c r="U464" s="15"/>
      <c r="V464" s="15"/>
      <c r="W464" s="15"/>
      <c r="X464" s="15"/>
      <c r="Y464" s="15"/>
      <c r="Z464" s="15"/>
      <c r="AA464" s="15"/>
    </row>
    <row r="465">
      <c r="A465" s="5" t="s">
        <v>2004</v>
      </c>
      <c r="B465" s="6" t="s">
        <v>2005</v>
      </c>
      <c r="C465" s="40" t="s">
        <v>2006</v>
      </c>
      <c r="D465" s="8"/>
      <c r="E465" s="8" t="s">
        <v>2007</v>
      </c>
      <c r="F465" s="9">
        <v>2000.0</v>
      </c>
      <c r="G465" s="31" t="s">
        <v>2008</v>
      </c>
      <c r="H465" s="11" t="s">
        <v>44</v>
      </c>
      <c r="I465" s="41">
        <v>9.830526006E9</v>
      </c>
      <c r="J465" s="11" t="s">
        <v>25</v>
      </c>
      <c r="K465" s="12"/>
      <c r="L465" s="13"/>
      <c r="M465" s="14"/>
      <c r="N465" s="15"/>
      <c r="O465" s="5" t="s">
        <v>34</v>
      </c>
      <c r="P465" s="5" t="s">
        <v>405</v>
      </c>
      <c r="Q465" s="15"/>
      <c r="R465" s="16" t="s">
        <v>28</v>
      </c>
      <c r="S465" s="15"/>
      <c r="T465" s="15"/>
      <c r="U465" s="15"/>
      <c r="V465" s="15"/>
      <c r="W465" s="15"/>
      <c r="X465" s="15"/>
      <c r="Y465" s="15"/>
      <c r="Z465" s="15"/>
      <c r="AA465" s="15"/>
    </row>
    <row r="466">
      <c r="A466" s="5" t="s">
        <v>2004</v>
      </c>
      <c r="B466" s="6" t="s">
        <v>2009</v>
      </c>
      <c r="C466" s="40" t="s">
        <v>2010</v>
      </c>
      <c r="D466" s="8"/>
      <c r="E466" s="8" t="s">
        <v>1675</v>
      </c>
      <c r="F466" s="9">
        <v>3000.0</v>
      </c>
      <c r="G466" s="31" t="s">
        <v>2011</v>
      </c>
      <c r="H466" s="11" t="s">
        <v>44</v>
      </c>
      <c r="I466" s="41">
        <v>9.874060004E9</v>
      </c>
      <c r="J466" s="11" t="s">
        <v>25</v>
      </c>
      <c r="K466" s="12"/>
      <c r="L466" s="13"/>
      <c r="M466" s="14"/>
      <c r="N466" s="15"/>
      <c r="O466" s="5" t="s">
        <v>26</v>
      </c>
      <c r="P466" s="5" t="s">
        <v>1619</v>
      </c>
      <c r="Q466" s="15"/>
      <c r="R466" s="16" t="s">
        <v>28</v>
      </c>
      <c r="S466" s="15"/>
      <c r="T466" s="15"/>
      <c r="U466" s="15"/>
      <c r="V466" s="15"/>
      <c r="W466" s="15"/>
      <c r="X466" s="15"/>
      <c r="Y466" s="15"/>
      <c r="Z466" s="15"/>
      <c r="AA466" s="15"/>
    </row>
    <row r="467">
      <c r="A467" s="5" t="s">
        <v>2004</v>
      </c>
      <c r="B467" s="6" t="s">
        <v>2012</v>
      </c>
      <c r="C467" s="40" t="s">
        <v>2013</v>
      </c>
      <c r="D467" s="8"/>
      <c r="E467" s="8" t="s">
        <v>2014</v>
      </c>
      <c r="F467" s="9">
        <v>20000.0</v>
      </c>
      <c r="G467" s="43" t="s">
        <v>2015</v>
      </c>
      <c r="H467" s="11" t="s">
        <v>906</v>
      </c>
      <c r="I467" s="41">
        <v>7.710099764E9</v>
      </c>
      <c r="J467" s="11" t="s">
        <v>25</v>
      </c>
      <c r="K467" s="12"/>
      <c r="L467" s="13"/>
      <c r="M467" s="14"/>
      <c r="N467" s="15"/>
      <c r="O467" s="5" t="s">
        <v>108</v>
      </c>
      <c r="P467" s="5"/>
      <c r="Q467" s="15"/>
      <c r="R467" s="16" t="s">
        <v>28</v>
      </c>
      <c r="S467" s="15"/>
      <c r="T467" s="15"/>
      <c r="U467" s="15"/>
      <c r="V467" s="15"/>
      <c r="W467" s="15"/>
      <c r="X467" s="15"/>
      <c r="Y467" s="15"/>
      <c r="Z467" s="15"/>
      <c r="AA467" s="15"/>
    </row>
    <row r="468">
      <c r="A468" s="5" t="s">
        <v>2004</v>
      </c>
      <c r="B468" s="6" t="s">
        <v>2016</v>
      </c>
      <c r="C468" s="40" t="s">
        <v>2017</v>
      </c>
      <c r="D468" s="8"/>
      <c r="E468" s="8" t="s">
        <v>1320</v>
      </c>
      <c r="F468" s="9">
        <v>2000.0</v>
      </c>
      <c r="G468" s="31" t="s">
        <v>2018</v>
      </c>
      <c r="H468" s="11" t="s">
        <v>44</v>
      </c>
      <c r="I468" s="41">
        <v>7.278497202E9</v>
      </c>
      <c r="J468" s="11" t="s">
        <v>25</v>
      </c>
      <c r="K468" s="12"/>
      <c r="L468" s="13"/>
      <c r="M468" s="14"/>
      <c r="N468" s="15"/>
      <c r="O468" s="5" t="s">
        <v>34</v>
      </c>
      <c r="P468" s="5"/>
      <c r="Q468" s="15"/>
      <c r="R468" s="16" t="s">
        <v>28</v>
      </c>
      <c r="S468" s="15"/>
      <c r="T468" s="15"/>
      <c r="U468" s="15"/>
      <c r="V468" s="15"/>
      <c r="W468" s="15"/>
      <c r="X468" s="15"/>
      <c r="Y468" s="15"/>
      <c r="Z468" s="15"/>
      <c r="AA468" s="15"/>
    </row>
    <row r="469">
      <c r="A469" s="5" t="s">
        <v>2004</v>
      </c>
      <c r="B469" s="6" t="s">
        <v>2019</v>
      </c>
      <c r="C469" s="40" t="s">
        <v>2020</v>
      </c>
      <c r="D469" s="8"/>
      <c r="E469" s="8" t="s">
        <v>202</v>
      </c>
      <c r="F469" s="9">
        <v>10000.0</v>
      </c>
      <c r="G469" s="43" t="s">
        <v>2021</v>
      </c>
      <c r="H469" s="11" t="s">
        <v>930</v>
      </c>
      <c r="I469" s="41">
        <v>7.674022781E9</v>
      </c>
      <c r="J469" s="11" t="s">
        <v>25</v>
      </c>
      <c r="K469" s="12"/>
      <c r="L469" s="13"/>
      <c r="M469" s="14"/>
      <c r="N469" s="15"/>
      <c r="O469" s="5" t="s">
        <v>108</v>
      </c>
      <c r="P469" s="5" t="s">
        <v>2022</v>
      </c>
      <c r="Q469" s="15"/>
      <c r="R469" s="16" t="s">
        <v>28</v>
      </c>
      <c r="S469" s="15"/>
      <c r="T469" s="15"/>
      <c r="U469" s="15"/>
      <c r="V469" s="15"/>
      <c r="W469" s="15"/>
      <c r="X469" s="15"/>
      <c r="Y469" s="15"/>
      <c r="Z469" s="15"/>
      <c r="AA469" s="15"/>
    </row>
    <row r="470">
      <c r="A470" s="5" t="s">
        <v>2004</v>
      </c>
      <c r="B470" s="6" t="s">
        <v>2023</v>
      </c>
      <c r="C470" s="40" t="s">
        <v>2024</v>
      </c>
      <c r="D470" s="8"/>
      <c r="E470" s="8" t="s">
        <v>523</v>
      </c>
      <c r="F470" s="9">
        <v>50000.0</v>
      </c>
      <c r="G470" s="31" t="s">
        <v>2025</v>
      </c>
      <c r="H470" s="11" t="s">
        <v>2026</v>
      </c>
      <c r="I470" s="41">
        <v>9.928427427E9</v>
      </c>
      <c r="J470" s="11" t="s">
        <v>25</v>
      </c>
      <c r="K470" s="12"/>
      <c r="L470" s="13"/>
      <c r="M470" s="14"/>
      <c r="N470" s="15"/>
      <c r="O470" s="5" t="s">
        <v>108</v>
      </c>
      <c r="P470" s="5"/>
      <c r="Q470" s="15"/>
      <c r="R470" s="16" t="s">
        <v>28</v>
      </c>
      <c r="S470" s="15"/>
      <c r="T470" s="15"/>
      <c r="U470" s="15"/>
      <c r="V470" s="15"/>
      <c r="W470" s="15"/>
      <c r="X470" s="15"/>
      <c r="Y470" s="15"/>
      <c r="Z470" s="15"/>
      <c r="AA470" s="15"/>
    </row>
    <row r="471">
      <c r="A471" s="5" t="s">
        <v>2004</v>
      </c>
      <c r="B471" s="6" t="s">
        <v>2027</v>
      </c>
      <c r="C471" s="40" t="s">
        <v>2028</v>
      </c>
      <c r="D471" s="8"/>
      <c r="E471" s="8" t="s">
        <v>841</v>
      </c>
      <c r="F471" s="9">
        <v>55000.0</v>
      </c>
      <c r="G471" s="31" t="s">
        <v>2029</v>
      </c>
      <c r="H471" s="11" t="s">
        <v>822</v>
      </c>
      <c r="I471" s="41">
        <v>9.73223484E9</v>
      </c>
      <c r="J471" s="11" t="s">
        <v>25</v>
      </c>
      <c r="K471" s="12"/>
      <c r="L471" s="13"/>
      <c r="M471" s="14"/>
      <c r="N471" s="15"/>
      <c r="O471" s="5" t="s">
        <v>26</v>
      </c>
      <c r="P471" s="5" t="s">
        <v>2030</v>
      </c>
      <c r="Q471" s="5" t="s">
        <v>1899</v>
      </c>
      <c r="R471" s="16" t="s">
        <v>28</v>
      </c>
      <c r="S471" s="15"/>
      <c r="T471" s="15"/>
      <c r="U471" s="15"/>
      <c r="V471" s="15"/>
      <c r="W471" s="15"/>
      <c r="X471" s="15"/>
      <c r="Y471" s="15"/>
      <c r="Z471" s="15"/>
      <c r="AA471" s="15"/>
    </row>
    <row r="472">
      <c r="A472" s="5" t="s">
        <v>2031</v>
      </c>
      <c r="B472" s="6" t="s">
        <v>2032</v>
      </c>
      <c r="C472" s="40" t="s">
        <v>2033</v>
      </c>
      <c r="D472" s="8"/>
      <c r="E472" s="8" t="s">
        <v>130</v>
      </c>
      <c r="F472" s="9">
        <v>500.0</v>
      </c>
      <c r="G472" s="43" t="s">
        <v>2034</v>
      </c>
      <c r="H472" s="11" t="s">
        <v>99</v>
      </c>
      <c r="I472" s="41">
        <v>8.260455739E9</v>
      </c>
      <c r="J472" s="11" t="s">
        <v>25</v>
      </c>
      <c r="K472" s="12"/>
      <c r="L472" s="13"/>
      <c r="M472" s="14"/>
      <c r="N472" s="15"/>
      <c r="O472" s="5" t="s">
        <v>34</v>
      </c>
      <c r="P472" s="5" t="s">
        <v>2035</v>
      </c>
      <c r="Q472" s="15"/>
      <c r="R472" s="16" t="s">
        <v>28</v>
      </c>
      <c r="S472" s="15"/>
      <c r="T472" s="15"/>
      <c r="U472" s="15"/>
      <c r="V472" s="15"/>
      <c r="W472" s="15"/>
      <c r="X472" s="15"/>
      <c r="Y472" s="15"/>
      <c r="Z472" s="15"/>
      <c r="AA472" s="15"/>
    </row>
    <row r="473">
      <c r="A473" s="5" t="s">
        <v>2031</v>
      </c>
      <c r="B473" s="6" t="s">
        <v>2036</v>
      </c>
      <c r="C473" s="40" t="s">
        <v>2037</v>
      </c>
      <c r="D473" s="8"/>
      <c r="E473" s="8" t="s">
        <v>1217</v>
      </c>
      <c r="F473" s="9">
        <v>1000.0</v>
      </c>
      <c r="G473" s="31" t="s">
        <v>2038</v>
      </c>
      <c r="H473" s="11" t="s">
        <v>44</v>
      </c>
      <c r="I473" s="41">
        <v>9.883289858E9</v>
      </c>
      <c r="J473" s="11" t="s">
        <v>25</v>
      </c>
      <c r="K473" s="12"/>
      <c r="L473" s="13"/>
      <c r="M473" s="14"/>
      <c r="N473" s="15"/>
      <c r="O473" s="5" t="s">
        <v>26</v>
      </c>
      <c r="P473" s="5" t="s">
        <v>2039</v>
      </c>
      <c r="Q473" s="15"/>
      <c r="R473" s="16" t="s">
        <v>28</v>
      </c>
      <c r="S473" s="15"/>
      <c r="T473" s="15"/>
      <c r="U473" s="15"/>
      <c r="V473" s="15"/>
      <c r="W473" s="15"/>
      <c r="X473" s="15"/>
      <c r="Y473" s="15"/>
      <c r="Z473" s="15"/>
      <c r="AA473" s="15"/>
    </row>
    <row r="474">
      <c r="A474" s="5" t="s">
        <v>2031</v>
      </c>
      <c r="B474" s="6" t="s">
        <v>2040</v>
      </c>
      <c r="C474" s="40" t="s">
        <v>2041</v>
      </c>
      <c r="D474" s="8"/>
      <c r="E474" s="8" t="s">
        <v>1023</v>
      </c>
      <c r="F474" s="9">
        <v>20000.0</v>
      </c>
      <c r="G474" s="43" t="s">
        <v>2042</v>
      </c>
      <c r="H474" s="11" t="s">
        <v>44</v>
      </c>
      <c r="I474" s="41">
        <v>7.001227685E9</v>
      </c>
      <c r="J474" s="11" t="s">
        <v>25</v>
      </c>
      <c r="K474" s="12"/>
      <c r="L474" s="13"/>
      <c r="M474" s="14"/>
      <c r="N474" s="15"/>
      <c r="O474" s="5" t="s">
        <v>26</v>
      </c>
      <c r="P474" s="5" t="s">
        <v>79</v>
      </c>
      <c r="Q474" s="15"/>
      <c r="R474" s="16" t="s">
        <v>28</v>
      </c>
      <c r="S474" s="15"/>
      <c r="T474" s="15"/>
      <c r="U474" s="15"/>
      <c r="V474" s="15"/>
      <c r="W474" s="15"/>
      <c r="X474" s="15"/>
      <c r="Y474" s="15"/>
      <c r="Z474" s="15"/>
      <c r="AA474" s="15"/>
    </row>
    <row r="475">
      <c r="A475" s="5" t="s">
        <v>2031</v>
      </c>
      <c r="B475" s="6" t="s">
        <v>2043</v>
      </c>
      <c r="C475" s="40" t="s">
        <v>2044</v>
      </c>
      <c r="D475" s="8"/>
      <c r="E475" s="8" t="s">
        <v>38</v>
      </c>
      <c r="F475" s="9">
        <v>3000.0</v>
      </c>
      <c r="G475" s="31" t="s">
        <v>2045</v>
      </c>
      <c r="H475" s="11" t="s">
        <v>44</v>
      </c>
      <c r="I475" s="41">
        <v>9.87414296E9</v>
      </c>
      <c r="J475" s="11" t="s">
        <v>25</v>
      </c>
      <c r="K475" s="12"/>
      <c r="L475" s="13"/>
      <c r="M475" s="14"/>
      <c r="N475" s="15"/>
      <c r="O475" s="5" t="s">
        <v>34</v>
      </c>
      <c r="P475" s="5" t="s">
        <v>209</v>
      </c>
      <c r="Q475" s="15"/>
      <c r="R475" s="16" t="s">
        <v>28</v>
      </c>
      <c r="S475" s="15"/>
      <c r="T475" s="15"/>
      <c r="U475" s="15"/>
      <c r="V475" s="15"/>
      <c r="W475" s="15"/>
      <c r="X475" s="15"/>
      <c r="Y475" s="15"/>
      <c r="Z475" s="15"/>
      <c r="AA475" s="15"/>
    </row>
    <row r="476">
      <c r="A476" s="5" t="s">
        <v>2031</v>
      </c>
      <c r="B476" s="6" t="s">
        <v>2046</v>
      </c>
      <c r="C476" s="40" t="s">
        <v>2047</v>
      </c>
      <c r="D476" s="8"/>
      <c r="E476" s="8" t="s">
        <v>92</v>
      </c>
      <c r="F476" s="9">
        <v>500.0</v>
      </c>
      <c r="G476" s="31" t="s">
        <v>2048</v>
      </c>
      <c r="H476" s="11" t="s">
        <v>49</v>
      </c>
      <c r="I476" s="41">
        <v>9.775455104E9</v>
      </c>
      <c r="J476" s="11" t="s">
        <v>25</v>
      </c>
      <c r="K476" s="12"/>
      <c r="L476" s="13"/>
      <c r="M476" s="14"/>
      <c r="N476" s="15"/>
      <c r="O476" s="5" t="s">
        <v>26</v>
      </c>
      <c r="P476" s="5" t="s">
        <v>2049</v>
      </c>
      <c r="Q476" s="15"/>
      <c r="R476" s="16" t="s">
        <v>28</v>
      </c>
      <c r="S476" s="15"/>
      <c r="T476" s="15"/>
      <c r="U476" s="15"/>
      <c r="V476" s="15"/>
      <c r="W476" s="15"/>
      <c r="X476" s="15"/>
      <c r="Y476" s="15"/>
      <c r="Z476" s="15"/>
      <c r="AA476" s="15"/>
    </row>
    <row r="477">
      <c r="A477" s="5" t="s">
        <v>2031</v>
      </c>
      <c r="B477" s="6" t="s">
        <v>2050</v>
      </c>
      <c r="C477" s="80" t="s">
        <v>2051</v>
      </c>
      <c r="D477" s="80"/>
      <c r="E477" s="80" t="s">
        <v>2052</v>
      </c>
      <c r="F477" s="9">
        <v>9000.0</v>
      </c>
      <c r="G477" s="43" t="s">
        <v>2053</v>
      </c>
      <c r="H477" s="11" t="s">
        <v>472</v>
      </c>
      <c r="I477" s="81">
        <v>9.986872087E9</v>
      </c>
      <c r="J477" s="11" t="s">
        <v>25</v>
      </c>
      <c r="K477" s="12"/>
      <c r="L477" s="13"/>
      <c r="M477" s="14"/>
      <c r="N477" s="15"/>
      <c r="O477" s="5" t="s">
        <v>26</v>
      </c>
      <c r="P477" s="5" t="s">
        <v>2054</v>
      </c>
      <c r="Q477" s="5" t="s">
        <v>2055</v>
      </c>
      <c r="R477" s="16" t="s">
        <v>28</v>
      </c>
      <c r="S477" s="15"/>
      <c r="T477" s="15"/>
      <c r="U477" s="15"/>
      <c r="V477" s="15"/>
      <c r="W477" s="15"/>
      <c r="X477" s="15"/>
      <c r="Y477" s="15"/>
      <c r="Z477" s="15"/>
      <c r="AA477" s="15"/>
    </row>
    <row r="478">
      <c r="A478" s="5" t="s">
        <v>2056</v>
      </c>
      <c r="B478" s="6" t="s">
        <v>2057</v>
      </c>
      <c r="C478" s="40" t="s">
        <v>2058</v>
      </c>
      <c r="D478" s="8"/>
      <c r="E478" s="8" t="s">
        <v>130</v>
      </c>
      <c r="F478" s="9">
        <v>3000.0</v>
      </c>
      <c r="G478" s="31" t="s">
        <v>2059</v>
      </c>
      <c r="H478" s="11" t="s">
        <v>184</v>
      </c>
      <c r="I478" s="41">
        <v>7.488148699E9</v>
      </c>
      <c r="J478" s="11" t="s">
        <v>25</v>
      </c>
      <c r="K478" s="12"/>
      <c r="L478" s="13"/>
      <c r="M478" s="14"/>
      <c r="N478" s="15"/>
      <c r="O478" s="5" t="s">
        <v>34</v>
      </c>
      <c r="P478" s="5" t="s">
        <v>204</v>
      </c>
      <c r="Q478" s="15"/>
      <c r="R478" s="16" t="s">
        <v>28</v>
      </c>
      <c r="S478" s="15"/>
      <c r="T478" s="15"/>
      <c r="U478" s="15"/>
      <c r="V478" s="15"/>
      <c r="W478" s="15"/>
      <c r="X478" s="15"/>
      <c r="Y478" s="15"/>
      <c r="Z478" s="15"/>
      <c r="AA478" s="15"/>
    </row>
    <row r="479">
      <c r="A479" s="5" t="s">
        <v>2056</v>
      </c>
      <c r="B479" s="6" t="s">
        <v>2060</v>
      </c>
      <c r="C479" s="40" t="s">
        <v>2061</v>
      </c>
      <c r="D479" s="8"/>
      <c r="E479" s="8" t="s">
        <v>116</v>
      </c>
      <c r="F479" s="9">
        <v>1000.0</v>
      </c>
      <c r="G479" s="31" t="s">
        <v>2062</v>
      </c>
      <c r="H479" s="11" t="s">
        <v>1492</v>
      </c>
      <c r="I479" s="41">
        <v>7.005228351E9</v>
      </c>
      <c r="J479" s="11" t="s">
        <v>25</v>
      </c>
      <c r="K479" s="12"/>
      <c r="L479" s="13"/>
      <c r="M479" s="14"/>
      <c r="N479" s="15"/>
      <c r="O479" s="5" t="s">
        <v>26</v>
      </c>
      <c r="P479" s="5"/>
      <c r="Q479" s="15"/>
      <c r="R479" s="16" t="s">
        <v>28</v>
      </c>
      <c r="S479" s="15"/>
      <c r="T479" s="15"/>
      <c r="U479" s="15"/>
      <c r="V479" s="15"/>
      <c r="W479" s="15"/>
      <c r="X479" s="15"/>
      <c r="Y479" s="15"/>
      <c r="Z479" s="15"/>
      <c r="AA479" s="15"/>
    </row>
    <row r="480">
      <c r="A480" s="5" t="s">
        <v>2056</v>
      </c>
      <c r="B480" s="6" t="s">
        <v>2063</v>
      </c>
      <c r="C480" s="40" t="s">
        <v>2064</v>
      </c>
      <c r="D480" s="8"/>
      <c r="E480" s="8" t="s">
        <v>47</v>
      </c>
      <c r="F480" s="9">
        <v>100000.0</v>
      </c>
      <c r="G480" s="31" t="s">
        <v>2065</v>
      </c>
      <c r="H480" s="11" t="s">
        <v>1691</v>
      </c>
      <c r="I480" s="41" t="s">
        <v>2066</v>
      </c>
      <c r="J480" s="11" t="s">
        <v>25</v>
      </c>
      <c r="K480" s="12"/>
      <c r="L480" s="13"/>
      <c r="M480" s="14"/>
      <c r="N480" s="15"/>
      <c r="O480" s="5" t="s">
        <v>26</v>
      </c>
      <c r="P480" s="5"/>
      <c r="Q480" s="15"/>
      <c r="R480" s="16" t="s">
        <v>28</v>
      </c>
      <c r="S480" s="15"/>
      <c r="T480" s="15"/>
      <c r="U480" s="15"/>
      <c r="V480" s="15"/>
      <c r="W480" s="15"/>
      <c r="X480" s="15"/>
      <c r="Y480" s="15"/>
      <c r="Z480" s="15"/>
      <c r="AA480" s="15"/>
    </row>
    <row r="481">
      <c r="A481" s="5" t="s">
        <v>2056</v>
      </c>
      <c r="B481" s="6" t="s">
        <v>2067</v>
      </c>
      <c r="C481" s="40" t="s">
        <v>2068</v>
      </c>
      <c r="D481" s="8"/>
      <c r="E481" s="8" t="s">
        <v>53</v>
      </c>
      <c r="F481" s="9">
        <v>16000.0</v>
      </c>
      <c r="G481" s="55" t="s">
        <v>2069</v>
      </c>
      <c r="H481" s="11" t="s">
        <v>2070</v>
      </c>
      <c r="I481" s="41">
        <v>9.200000003E9</v>
      </c>
      <c r="J481" s="11" t="s">
        <v>25</v>
      </c>
      <c r="K481" s="12"/>
      <c r="L481" s="13"/>
      <c r="M481" s="14"/>
      <c r="N481" s="15"/>
      <c r="O481" s="5" t="s">
        <v>26</v>
      </c>
      <c r="P481" s="5" t="s">
        <v>2071</v>
      </c>
      <c r="Q481" s="15"/>
      <c r="R481" s="16" t="s">
        <v>28</v>
      </c>
      <c r="S481" s="15"/>
      <c r="T481" s="15"/>
      <c r="U481" s="15"/>
      <c r="V481" s="15"/>
      <c r="W481" s="15"/>
      <c r="X481" s="15"/>
      <c r="Y481" s="15"/>
      <c r="Z481" s="15"/>
      <c r="AA481" s="15"/>
    </row>
    <row r="482">
      <c r="A482" s="5" t="s">
        <v>2056</v>
      </c>
      <c r="B482" s="6" t="s">
        <v>2072</v>
      </c>
      <c r="C482" s="40" t="s">
        <v>2073</v>
      </c>
      <c r="D482" s="8"/>
      <c r="E482" s="8" t="s">
        <v>189</v>
      </c>
      <c r="F482" s="9">
        <v>4000.0</v>
      </c>
      <c r="G482" s="31" t="s">
        <v>2074</v>
      </c>
      <c r="H482" s="11" t="s">
        <v>99</v>
      </c>
      <c r="I482" s="41">
        <v>8.018733316E9</v>
      </c>
      <c r="J482" s="11" t="s">
        <v>25</v>
      </c>
      <c r="K482" s="12"/>
      <c r="L482" s="13"/>
      <c r="M482" s="14"/>
      <c r="N482" s="15"/>
      <c r="O482" s="5" t="s">
        <v>26</v>
      </c>
      <c r="P482" s="5"/>
      <c r="Q482" s="15"/>
      <c r="R482" s="16" t="s">
        <v>28</v>
      </c>
      <c r="S482" s="15"/>
      <c r="T482" s="15"/>
      <c r="U482" s="15"/>
      <c r="V482" s="15"/>
      <c r="W482" s="15"/>
      <c r="X482" s="15"/>
      <c r="Y482" s="15"/>
      <c r="Z482" s="15"/>
      <c r="AA482" s="15"/>
    </row>
    <row r="483">
      <c r="A483" s="5" t="s">
        <v>2056</v>
      </c>
      <c r="B483" s="6" t="s">
        <v>2075</v>
      </c>
      <c r="C483" s="40" t="s">
        <v>2076</v>
      </c>
      <c r="D483" s="8"/>
      <c r="E483" s="8" t="s">
        <v>213</v>
      </c>
      <c r="F483" s="9">
        <v>5000.0</v>
      </c>
      <c r="G483" s="31" t="s">
        <v>2077</v>
      </c>
      <c r="H483" s="11" t="s">
        <v>184</v>
      </c>
      <c r="I483" s="41">
        <v>6.299129388E9</v>
      </c>
      <c r="J483" s="11" t="s">
        <v>25</v>
      </c>
      <c r="K483" s="12"/>
      <c r="L483" s="13"/>
      <c r="M483" s="14"/>
      <c r="N483" s="15"/>
      <c r="O483" s="5" t="s">
        <v>34</v>
      </c>
      <c r="P483" s="5" t="s">
        <v>707</v>
      </c>
      <c r="Q483" s="15"/>
      <c r="R483" s="16" t="s">
        <v>28</v>
      </c>
      <c r="S483" s="15"/>
      <c r="T483" s="15"/>
      <c r="U483" s="15"/>
      <c r="V483" s="15"/>
      <c r="W483" s="15"/>
      <c r="X483" s="15"/>
      <c r="Y483" s="15"/>
      <c r="Z483" s="15"/>
      <c r="AA483" s="15"/>
    </row>
    <row r="484">
      <c r="A484" s="5" t="s">
        <v>2078</v>
      </c>
      <c r="B484" s="6" t="s">
        <v>2079</v>
      </c>
      <c r="C484" s="40" t="s">
        <v>2080</v>
      </c>
      <c r="D484" s="8"/>
      <c r="E484" s="8" t="s">
        <v>2081</v>
      </c>
      <c r="F484" s="9">
        <v>1000.0</v>
      </c>
      <c r="G484" s="31" t="s">
        <v>2082</v>
      </c>
      <c r="H484" s="11" t="s">
        <v>44</v>
      </c>
      <c r="I484" s="41" t="s">
        <v>2083</v>
      </c>
      <c r="J484" s="11" t="s">
        <v>25</v>
      </c>
      <c r="K484" s="12" t="s">
        <v>2084</v>
      </c>
      <c r="L484" s="13"/>
      <c r="M484" s="14"/>
      <c r="N484" s="15"/>
      <c r="O484" s="5" t="s">
        <v>26</v>
      </c>
      <c r="P484" s="5"/>
      <c r="Q484" s="15"/>
      <c r="R484" s="16" t="s">
        <v>28</v>
      </c>
      <c r="S484" s="15"/>
      <c r="T484" s="15"/>
      <c r="U484" s="15"/>
      <c r="V484" s="15"/>
      <c r="W484" s="15"/>
      <c r="X484" s="15"/>
      <c r="Y484" s="15"/>
      <c r="Z484" s="15"/>
      <c r="AA484" s="15"/>
    </row>
    <row r="485">
      <c r="A485" s="5" t="s">
        <v>2078</v>
      </c>
      <c r="B485" s="6" t="s">
        <v>2085</v>
      </c>
      <c r="C485" s="40" t="s">
        <v>2086</v>
      </c>
      <c r="D485" s="8"/>
      <c r="E485" s="8" t="s">
        <v>87</v>
      </c>
      <c r="F485" s="9">
        <v>1500.0</v>
      </c>
      <c r="G485" s="43" t="s">
        <v>2087</v>
      </c>
      <c r="H485" s="11" t="s">
        <v>44</v>
      </c>
      <c r="I485" s="41">
        <v>9.836717949E9</v>
      </c>
      <c r="J485" s="11" t="s">
        <v>25</v>
      </c>
      <c r="K485" s="12"/>
      <c r="L485" s="13"/>
      <c r="M485" s="11" t="s">
        <v>2088</v>
      </c>
      <c r="N485" s="15"/>
      <c r="O485" s="5" t="s">
        <v>34</v>
      </c>
      <c r="P485" s="5" t="s">
        <v>149</v>
      </c>
      <c r="Q485" s="15"/>
      <c r="R485" s="16" t="s">
        <v>634</v>
      </c>
      <c r="S485" s="15"/>
      <c r="T485" s="15"/>
      <c r="U485" s="15"/>
      <c r="V485" s="15"/>
      <c r="W485" s="15"/>
      <c r="X485" s="15"/>
      <c r="Y485" s="15"/>
      <c r="Z485" s="15"/>
      <c r="AA485" s="15"/>
    </row>
    <row r="486">
      <c r="A486" s="5" t="s">
        <v>2078</v>
      </c>
      <c r="B486" s="6" t="s">
        <v>2089</v>
      </c>
      <c r="C486" s="40" t="s">
        <v>2090</v>
      </c>
      <c r="D486" s="8"/>
      <c r="E486" s="8" t="s">
        <v>189</v>
      </c>
      <c r="F486" s="9">
        <v>20000.0</v>
      </c>
      <c r="G486" s="43" t="s">
        <v>2091</v>
      </c>
      <c r="H486" s="11" t="s">
        <v>906</v>
      </c>
      <c r="I486" s="41">
        <v>7.387778039E9</v>
      </c>
      <c r="J486" s="11" t="s">
        <v>25</v>
      </c>
      <c r="K486" s="12"/>
      <c r="L486" s="13"/>
      <c r="M486" s="14"/>
      <c r="N486" s="15"/>
      <c r="O486" s="5" t="s">
        <v>108</v>
      </c>
      <c r="P486" s="5"/>
      <c r="Q486" s="15"/>
      <c r="R486" s="16" t="s">
        <v>28</v>
      </c>
      <c r="S486" s="15"/>
      <c r="T486" s="15"/>
      <c r="U486" s="15"/>
      <c r="V486" s="15"/>
      <c r="W486" s="15"/>
      <c r="X486" s="15"/>
      <c r="Y486" s="15"/>
      <c r="Z486" s="15"/>
      <c r="AA486" s="15"/>
    </row>
    <row r="487">
      <c r="A487" s="5" t="s">
        <v>2078</v>
      </c>
      <c r="B487" s="6" t="s">
        <v>2092</v>
      </c>
      <c r="C487" s="40" t="s">
        <v>2093</v>
      </c>
      <c r="D487" s="8"/>
      <c r="E487" s="8" t="s">
        <v>87</v>
      </c>
      <c r="F487" s="9">
        <v>5000.0</v>
      </c>
      <c r="G487" s="43" t="s">
        <v>2094</v>
      </c>
      <c r="H487" s="11" t="s">
        <v>906</v>
      </c>
      <c r="I487" s="41">
        <v>9.892195522E9</v>
      </c>
      <c r="J487" s="11" t="s">
        <v>25</v>
      </c>
      <c r="K487" s="12"/>
      <c r="L487" s="13"/>
      <c r="M487" s="14"/>
      <c r="N487" s="15"/>
      <c r="O487" s="5" t="s">
        <v>108</v>
      </c>
      <c r="P487" s="5" t="s">
        <v>2095</v>
      </c>
      <c r="Q487" s="15"/>
      <c r="R487" s="16" t="s">
        <v>28</v>
      </c>
      <c r="S487" s="15"/>
      <c r="T487" s="15"/>
      <c r="U487" s="15"/>
      <c r="V487" s="15"/>
      <c r="W487" s="15"/>
      <c r="X487" s="15"/>
      <c r="Y487" s="15"/>
      <c r="Z487" s="15"/>
      <c r="AA487" s="15"/>
    </row>
    <row r="488">
      <c r="A488" s="5" t="s">
        <v>2078</v>
      </c>
      <c r="B488" s="6" t="s">
        <v>2096</v>
      </c>
      <c r="C488" s="40" t="s">
        <v>2097</v>
      </c>
      <c r="D488" s="8"/>
      <c r="E488" s="8" t="s">
        <v>130</v>
      </c>
      <c r="F488" s="9">
        <v>1100.0</v>
      </c>
      <c r="G488" s="43"/>
      <c r="H488" s="11" t="s">
        <v>44</v>
      </c>
      <c r="I488" s="41">
        <v>6.289662737E9</v>
      </c>
      <c r="J488" s="11" t="s">
        <v>25</v>
      </c>
      <c r="K488" s="12"/>
      <c r="L488" s="13"/>
      <c r="M488" s="14"/>
      <c r="N488" s="15"/>
      <c r="O488" s="5" t="s">
        <v>34</v>
      </c>
      <c r="P488" s="5" t="s">
        <v>2098</v>
      </c>
      <c r="Q488" s="15"/>
      <c r="R488" s="16" t="s">
        <v>248</v>
      </c>
      <c r="S488" s="15"/>
      <c r="T488" s="15"/>
      <c r="U488" s="15"/>
      <c r="V488" s="15"/>
      <c r="W488" s="15"/>
      <c r="X488" s="15"/>
      <c r="Y488" s="15"/>
      <c r="Z488" s="15"/>
      <c r="AA488" s="15"/>
    </row>
    <row r="489">
      <c r="A489" s="5" t="s">
        <v>2099</v>
      </c>
      <c r="B489" s="6" t="s">
        <v>2100</v>
      </c>
      <c r="C489" s="40" t="s">
        <v>2101</v>
      </c>
      <c r="D489" s="8"/>
      <c r="E489" s="8" t="s">
        <v>353</v>
      </c>
      <c r="F489" s="9">
        <v>2000.0</v>
      </c>
      <c r="G489" s="43" t="s">
        <v>2102</v>
      </c>
      <c r="H489" s="11" t="s">
        <v>44</v>
      </c>
      <c r="I489" s="41">
        <v>9.836737984E9</v>
      </c>
      <c r="J489" s="11" t="s">
        <v>25</v>
      </c>
      <c r="K489" s="12"/>
      <c r="L489" s="13"/>
      <c r="M489" s="14"/>
      <c r="N489" s="15"/>
      <c r="O489" s="5" t="s">
        <v>26</v>
      </c>
      <c r="P489" s="5" t="s">
        <v>2103</v>
      </c>
      <c r="Q489" s="15"/>
      <c r="R489" s="16" t="s">
        <v>28</v>
      </c>
      <c r="S489" s="15"/>
      <c r="T489" s="15"/>
      <c r="U489" s="15"/>
      <c r="V489" s="15"/>
      <c r="W489" s="15"/>
      <c r="X489" s="15"/>
      <c r="Y489" s="15"/>
      <c r="Z489" s="15"/>
      <c r="AA489" s="15"/>
    </row>
    <row r="490">
      <c r="A490" s="5" t="s">
        <v>2099</v>
      </c>
      <c r="B490" s="6" t="s">
        <v>2104</v>
      </c>
      <c r="C490" s="40" t="s">
        <v>2105</v>
      </c>
      <c r="D490" s="8"/>
      <c r="E490" s="8" t="s">
        <v>235</v>
      </c>
      <c r="F490" s="9">
        <v>3000.0</v>
      </c>
      <c r="G490" s="43" t="s">
        <v>2106</v>
      </c>
      <c r="H490" s="11" t="s">
        <v>44</v>
      </c>
      <c r="I490" s="41">
        <v>7.003432909E9</v>
      </c>
      <c r="J490" s="11" t="s">
        <v>25</v>
      </c>
      <c r="K490" s="12"/>
      <c r="L490" s="13"/>
      <c r="M490" s="14"/>
      <c r="N490" s="15"/>
      <c r="O490" s="5" t="s">
        <v>34</v>
      </c>
      <c r="P490" s="5" t="s">
        <v>405</v>
      </c>
      <c r="Q490" s="15"/>
      <c r="R490" s="16" t="s">
        <v>28</v>
      </c>
      <c r="S490" s="15"/>
      <c r="T490" s="15"/>
      <c r="U490" s="15"/>
      <c r="V490" s="15"/>
      <c r="W490" s="15"/>
      <c r="X490" s="15"/>
      <c r="Y490" s="15"/>
      <c r="Z490" s="15"/>
      <c r="AA490" s="15"/>
    </row>
    <row r="491">
      <c r="A491" s="5" t="s">
        <v>2099</v>
      </c>
      <c r="B491" s="6" t="s">
        <v>2107</v>
      </c>
      <c r="C491" s="40" t="s">
        <v>2108</v>
      </c>
      <c r="D491" s="8"/>
      <c r="E491" s="8" t="s">
        <v>116</v>
      </c>
      <c r="F491" s="9">
        <v>500.0</v>
      </c>
      <c r="G491" s="43" t="s">
        <v>2109</v>
      </c>
      <c r="H491" s="11" t="s">
        <v>638</v>
      </c>
      <c r="I491" s="41">
        <v>6.295939828E9</v>
      </c>
      <c r="J491" s="11" t="s">
        <v>25</v>
      </c>
      <c r="K491" s="12"/>
      <c r="L491" s="13"/>
      <c r="M491" s="14"/>
      <c r="N491" s="15"/>
      <c r="O491" s="5" t="s">
        <v>26</v>
      </c>
      <c r="P491" s="5"/>
      <c r="Q491" s="15"/>
      <c r="R491" s="16" t="s">
        <v>28</v>
      </c>
      <c r="S491" s="15"/>
      <c r="T491" s="15"/>
      <c r="U491" s="15"/>
      <c r="V491" s="15"/>
      <c r="W491" s="15"/>
      <c r="X491" s="15"/>
      <c r="Y491" s="15"/>
      <c r="Z491" s="15"/>
      <c r="AA491" s="15"/>
    </row>
    <row r="492">
      <c r="A492" s="5" t="s">
        <v>2099</v>
      </c>
      <c r="B492" s="6" t="s">
        <v>2110</v>
      </c>
      <c r="C492" s="40" t="s">
        <v>2111</v>
      </c>
      <c r="D492" s="8"/>
      <c r="E492" s="8" t="s">
        <v>189</v>
      </c>
      <c r="F492" s="9">
        <v>35000.0</v>
      </c>
      <c r="G492" s="31" t="s">
        <v>2112</v>
      </c>
      <c r="H492" s="11" t="s">
        <v>349</v>
      </c>
      <c r="I492" s="41">
        <v>6.295045907E9</v>
      </c>
      <c r="J492" s="11" t="s">
        <v>25</v>
      </c>
      <c r="K492" s="12"/>
      <c r="L492" s="13"/>
      <c r="M492" s="14"/>
      <c r="N492" s="15"/>
      <c r="O492" s="5" t="s">
        <v>26</v>
      </c>
      <c r="P492" s="5"/>
      <c r="Q492" s="15"/>
      <c r="R492" s="16" t="s">
        <v>28</v>
      </c>
      <c r="S492" s="15"/>
      <c r="T492" s="15"/>
      <c r="U492" s="15"/>
      <c r="V492" s="15"/>
      <c r="W492" s="15"/>
      <c r="X492" s="15"/>
      <c r="Y492" s="15"/>
      <c r="Z492" s="15"/>
      <c r="AA492" s="15"/>
    </row>
    <row r="493">
      <c r="A493" s="5" t="s">
        <v>2113</v>
      </c>
      <c r="B493" s="6" t="s">
        <v>2114</v>
      </c>
      <c r="C493" s="40" t="s">
        <v>2115</v>
      </c>
      <c r="D493" s="8"/>
      <c r="E493" s="8" t="s">
        <v>213</v>
      </c>
      <c r="F493" s="9">
        <v>800.0</v>
      </c>
      <c r="G493" s="31" t="s">
        <v>2116</v>
      </c>
      <c r="H493" s="11" t="s">
        <v>24</v>
      </c>
      <c r="I493" s="41">
        <v>9.3868759E8</v>
      </c>
      <c r="J493" s="11" t="s">
        <v>25</v>
      </c>
      <c r="K493" s="12"/>
      <c r="L493" s="13"/>
      <c r="M493" s="14"/>
      <c r="N493" s="15"/>
      <c r="O493" s="5" t="s">
        <v>34</v>
      </c>
      <c r="P493" s="5" t="s">
        <v>707</v>
      </c>
      <c r="Q493" s="15"/>
      <c r="R493" s="16" t="s">
        <v>28</v>
      </c>
      <c r="S493" s="15"/>
      <c r="T493" s="15"/>
      <c r="U493" s="15"/>
      <c r="V493" s="15"/>
      <c r="W493" s="15"/>
      <c r="X493" s="15"/>
      <c r="Y493" s="15"/>
      <c r="Z493" s="15"/>
      <c r="AA493" s="15"/>
    </row>
    <row r="494">
      <c r="A494" s="5" t="s">
        <v>2113</v>
      </c>
      <c r="B494" s="6" t="s">
        <v>2117</v>
      </c>
      <c r="C494" s="40" t="s">
        <v>2118</v>
      </c>
      <c r="D494" s="8"/>
      <c r="E494" s="8" t="s">
        <v>1373</v>
      </c>
      <c r="F494" s="9">
        <v>500.0</v>
      </c>
      <c r="G494" s="31" t="s">
        <v>2119</v>
      </c>
      <c r="H494" s="11" t="s">
        <v>44</v>
      </c>
      <c r="I494" s="41">
        <v>9.831632705E9</v>
      </c>
      <c r="J494" s="11" t="s">
        <v>25</v>
      </c>
      <c r="K494" s="12"/>
      <c r="L494" s="13"/>
      <c r="M494" s="14"/>
      <c r="N494" s="15"/>
      <c r="O494" s="5" t="s">
        <v>26</v>
      </c>
      <c r="P494" s="5"/>
      <c r="Q494" s="15"/>
      <c r="R494" s="16" t="s">
        <v>28</v>
      </c>
      <c r="S494" s="15"/>
      <c r="T494" s="15"/>
      <c r="U494" s="15"/>
      <c r="V494" s="15"/>
      <c r="W494" s="15"/>
      <c r="X494" s="15"/>
      <c r="Y494" s="15"/>
      <c r="Z494" s="15"/>
      <c r="AA494" s="15"/>
    </row>
    <row r="495">
      <c r="A495" s="5" t="s">
        <v>2113</v>
      </c>
      <c r="B495" s="6" t="s">
        <v>2120</v>
      </c>
      <c r="C495" s="43" t="s">
        <v>2121</v>
      </c>
      <c r="D495" s="75"/>
      <c r="E495" s="8" t="s">
        <v>2122</v>
      </c>
      <c r="F495" s="9">
        <v>25.0</v>
      </c>
      <c r="G495" s="43"/>
      <c r="H495" s="11" t="s">
        <v>1082</v>
      </c>
      <c r="I495" s="81">
        <v>9.831107262E9</v>
      </c>
      <c r="J495" s="11" t="s">
        <v>25</v>
      </c>
      <c r="K495" s="12" t="s">
        <v>2123</v>
      </c>
      <c r="L495" s="13"/>
      <c r="M495" s="14"/>
      <c r="N495" s="15"/>
      <c r="O495" s="5" t="s">
        <v>26</v>
      </c>
      <c r="P495" s="5" t="s">
        <v>79</v>
      </c>
      <c r="Q495" s="15"/>
      <c r="R495" s="16" t="s">
        <v>28</v>
      </c>
      <c r="S495" s="15"/>
      <c r="T495" s="15"/>
      <c r="U495" s="15"/>
      <c r="V495" s="15"/>
      <c r="W495" s="15"/>
      <c r="X495" s="15"/>
      <c r="Y495" s="15"/>
      <c r="Z495" s="15"/>
      <c r="AA495" s="15"/>
    </row>
    <row r="496">
      <c r="A496" s="5" t="s">
        <v>2113</v>
      </c>
      <c r="B496" s="6" t="s">
        <v>2124</v>
      </c>
      <c r="C496" s="40" t="s">
        <v>2125</v>
      </c>
      <c r="D496" s="8"/>
      <c r="E496" s="8" t="s">
        <v>213</v>
      </c>
      <c r="F496" s="9">
        <v>1000.0</v>
      </c>
      <c r="G496" s="31" t="s">
        <v>2126</v>
      </c>
      <c r="H496" s="11" t="s">
        <v>2127</v>
      </c>
      <c r="I496" s="41">
        <v>9.92009989E9</v>
      </c>
      <c r="J496" s="11" t="s">
        <v>25</v>
      </c>
      <c r="K496" s="12"/>
      <c r="L496" s="13"/>
      <c r="M496" s="14"/>
      <c r="N496" s="15"/>
      <c r="O496" s="5" t="s">
        <v>34</v>
      </c>
      <c r="P496" s="5" t="s">
        <v>1963</v>
      </c>
      <c r="Q496" s="15"/>
      <c r="R496" s="16" t="s">
        <v>28</v>
      </c>
      <c r="S496" s="15"/>
      <c r="T496" s="15"/>
      <c r="U496" s="15"/>
      <c r="V496" s="15"/>
      <c r="W496" s="15"/>
      <c r="X496" s="15"/>
      <c r="Y496" s="15"/>
      <c r="Z496" s="15"/>
      <c r="AA496" s="15"/>
    </row>
    <row r="497">
      <c r="A497" s="5" t="s">
        <v>2113</v>
      </c>
      <c r="B497" s="6" t="s">
        <v>2128</v>
      </c>
      <c r="C497" s="40" t="s">
        <v>2129</v>
      </c>
      <c r="D497" s="8"/>
      <c r="E497" s="8" t="s">
        <v>213</v>
      </c>
      <c r="F497" s="9">
        <v>1000.0</v>
      </c>
      <c r="G497" s="31" t="s">
        <v>1429</v>
      </c>
      <c r="H497" s="11" t="s">
        <v>184</v>
      </c>
      <c r="I497" s="41" t="s">
        <v>2130</v>
      </c>
      <c r="J497" s="11" t="s">
        <v>25</v>
      </c>
      <c r="K497" s="12"/>
      <c r="L497" s="13"/>
      <c r="M497" s="14"/>
      <c r="N497" s="15"/>
      <c r="O497" s="5" t="s">
        <v>34</v>
      </c>
      <c r="P497" s="5" t="s">
        <v>185</v>
      </c>
      <c r="Q497" s="15"/>
      <c r="R497" s="16" t="s">
        <v>28</v>
      </c>
      <c r="S497" s="15"/>
      <c r="T497" s="15"/>
      <c r="U497" s="15"/>
      <c r="V497" s="15"/>
      <c r="W497" s="15"/>
      <c r="X497" s="15"/>
      <c r="Y497" s="15"/>
      <c r="Z497" s="15"/>
      <c r="AA497" s="15"/>
    </row>
    <row r="498">
      <c r="A498" s="5" t="s">
        <v>2113</v>
      </c>
      <c r="B498" s="6" t="s">
        <v>2131</v>
      </c>
      <c r="C498" s="40" t="s">
        <v>2132</v>
      </c>
      <c r="D498" s="8"/>
      <c r="E498" s="8" t="s">
        <v>1023</v>
      </c>
      <c r="F498" s="9">
        <v>20000.0</v>
      </c>
      <c r="G498" s="43"/>
      <c r="H498" s="11" t="s">
        <v>507</v>
      </c>
      <c r="I498" s="41">
        <v>8.779351277E9</v>
      </c>
      <c r="J498" s="11" t="s">
        <v>25</v>
      </c>
      <c r="K498" s="12"/>
      <c r="L498" s="13"/>
      <c r="M498" s="14"/>
      <c r="N498" s="15"/>
      <c r="O498" s="5" t="s">
        <v>108</v>
      </c>
      <c r="P498" s="5"/>
      <c r="Q498" s="15"/>
      <c r="R498" s="16" t="s">
        <v>28</v>
      </c>
      <c r="S498" s="15"/>
      <c r="T498" s="15"/>
      <c r="U498" s="15"/>
      <c r="V498" s="15"/>
      <c r="W498" s="15"/>
      <c r="X498" s="15"/>
      <c r="Y498" s="15"/>
      <c r="Z498" s="15"/>
      <c r="AA498" s="15"/>
    </row>
    <row r="499">
      <c r="A499" s="5" t="s">
        <v>2113</v>
      </c>
      <c r="B499" s="6" t="s">
        <v>2133</v>
      </c>
      <c r="C499" s="40" t="s">
        <v>2134</v>
      </c>
      <c r="D499" s="8"/>
      <c r="E499" s="8" t="s">
        <v>53</v>
      </c>
      <c r="F499" s="9">
        <v>200.0</v>
      </c>
      <c r="G499" s="31" t="s">
        <v>2135</v>
      </c>
      <c r="H499" s="11" t="s">
        <v>985</v>
      </c>
      <c r="I499" s="41">
        <v>7.596865254E9</v>
      </c>
      <c r="J499" s="11" t="s">
        <v>25</v>
      </c>
      <c r="K499" s="12"/>
      <c r="L499" s="13"/>
      <c r="M499" s="14"/>
      <c r="N499" s="15"/>
      <c r="O499" s="5" t="s">
        <v>34</v>
      </c>
      <c r="P499" s="5"/>
      <c r="Q499" s="15"/>
      <c r="R499" s="16" t="s">
        <v>28</v>
      </c>
      <c r="S499" s="15"/>
      <c r="T499" s="15"/>
      <c r="U499" s="15"/>
      <c r="V499" s="15"/>
      <c r="W499" s="15"/>
      <c r="X499" s="15"/>
      <c r="Y499" s="15"/>
      <c r="Z499" s="15"/>
      <c r="AA499" s="15"/>
    </row>
    <row r="500">
      <c r="A500" s="5" t="s">
        <v>2113</v>
      </c>
      <c r="B500" s="6" t="s">
        <v>2136</v>
      </c>
      <c r="C500" s="40" t="s">
        <v>2137</v>
      </c>
      <c r="D500" s="8"/>
      <c r="E500" s="8" t="s">
        <v>235</v>
      </c>
      <c r="F500" s="9">
        <v>100000.0</v>
      </c>
      <c r="G500" s="31" t="s">
        <v>2138</v>
      </c>
      <c r="H500" s="11" t="s">
        <v>131</v>
      </c>
      <c r="I500" s="41" t="s">
        <v>2139</v>
      </c>
      <c r="J500" s="11" t="s">
        <v>25</v>
      </c>
      <c r="K500" s="12"/>
      <c r="L500" s="13"/>
      <c r="M500" s="14"/>
      <c r="N500" s="15"/>
      <c r="O500" s="5" t="s">
        <v>26</v>
      </c>
      <c r="P500" s="5"/>
      <c r="Q500" s="15"/>
      <c r="R500" s="16" t="s">
        <v>28</v>
      </c>
      <c r="S500" s="15"/>
      <c r="T500" s="15"/>
      <c r="U500" s="15"/>
      <c r="V500" s="15"/>
      <c r="W500" s="15"/>
      <c r="X500" s="15"/>
      <c r="Y500" s="15"/>
      <c r="Z500" s="15"/>
      <c r="AA500" s="15"/>
    </row>
    <row r="501">
      <c r="A501" s="5" t="s">
        <v>2140</v>
      </c>
      <c r="B501" s="6" t="s">
        <v>2141</v>
      </c>
      <c r="C501" s="40" t="s">
        <v>2142</v>
      </c>
      <c r="D501" s="8"/>
      <c r="E501" s="8" t="s">
        <v>1550</v>
      </c>
      <c r="F501" s="9">
        <v>5000.0</v>
      </c>
      <c r="G501" s="31" t="s">
        <v>2143</v>
      </c>
      <c r="H501" s="11" t="s">
        <v>44</v>
      </c>
      <c r="I501" s="41">
        <v>9.748350252E9</v>
      </c>
      <c r="J501" s="11" t="s">
        <v>25</v>
      </c>
      <c r="K501" s="12"/>
      <c r="L501" s="13"/>
      <c r="M501" s="14"/>
      <c r="N501" s="15"/>
      <c r="O501" s="5" t="s">
        <v>34</v>
      </c>
      <c r="P501" s="5" t="s">
        <v>2144</v>
      </c>
      <c r="Q501" s="15"/>
      <c r="R501" s="16" t="s">
        <v>28</v>
      </c>
      <c r="S501" s="15"/>
      <c r="T501" s="15"/>
      <c r="U501" s="15"/>
      <c r="V501" s="15"/>
      <c r="W501" s="15"/>
      <c r="X501" s="15"/>
      <c r="Y501" s="15"/>
      <c r="Z501" s="15"/>
      <c r="AA501" s="15"/>
    </row>
    <row r="502">
      <c r="A502" s="5" t="s">
        <v>2140</v>
      </c>
      <c r="B502" s="6" t="s">
        <v>2145</v>
      </c>
      <c r="C502" s="40" t="s">
        <v>2146</v>
      </c>
      <c r="D502" s="8"/>
      <c r="E502" s="8" t="s">
        <v>1217</v>
      </c>
      <c r="F502" s="9">
        <v>600.0</v>
      </c>
      <c r="G502" s="31" t="s">
        <v>2147</v>
      </c>
      <c r="H502" s="11" t="s">
        <v>44</v>
      </c>
      <c r="I502" s="41" t="s">
        <v>2148</v>
      </c>
      <c r="J502" s="11" t="s">
        <v>25</v>
      </c>
      <c r="K502" s="12"/>
      <c r="L502" s="13"/>
      <c r="M502" s="14"/>
      <c r="N502" s="15"/>
      <c r="O502" s="5" t="s">
        <v>26</v>
      </c>
      <c r="P502" s="5"/>
      <c r="Q502" s="15"/>
      <c r="R502" s="16" t="s">
        <v>28</v>
      </c>
      <c r="S502" s="15"/>
      <c r="T502" s="15"/>
      <c r="U502" s="15"/>
      <c r="V502" s="15"/>
      <c r="W502" s="15"/>
      <c r="X502" s="15"/>
      <c r="Y502" s="15"/>
      <c r="Z502" s="15"/>
      <c r="AA502" s="15"/>
    </row>
    <row r="503">
      <c r="A503" s="5" t="s">
        <v>2140</v>
      </c>
      <c r="B503" s="6" t="s">
        <v>2149</v>
      </c>
      <c r="C503" s="40" t="s">
        <v>2150</v>
      </c>
      <c r="D503" s="8"/>
      <c r="E503" s="8" t="s">
        <v>235</v>
      </c>
      <c r="F503" s="9">
        <v>10000.0</v>
      </c>
      <c r="G503" s="43" t="s">
        <v>2151</v>
      </c>
      <c r="H503" s="11" t="s">
        <v>906</v>
      </c>
      <c r="I503" s="41">
        <v>9.372468484E9</v>
      </c>
      <c r="J503" s="11" t="s">
        <v>25</v>
      </c>
      <c r="K503" s="12"/>
      <c r="L503" s="13"/>
      <c r="M503" s="11" t="s">
        <v>2152</v>
      </c>
      <c r="N503" s="15"/>
      <c r="O503" s="5" t="s">
        <v>108</v>
      </c>
      <c r="P503" s="5" t="s">
        <v>2153</v>
      </c>
      <c r="Q503" s="15"/>
      <c r="R503" s="16" t="s">
        <v>28</v>
      </c>
      <c r="S503" s="15"/>
      <c r="T503" s="15"/>
      <c r="U503" s="15"/>
      <c r="V503" s="15"/>
      <c r="W503" s="15"/>
      <c r="X503" s="15"/>
      <c r="Y503" s="15"/>
      <c r="Z503" s="15"/>
      <c r="AA503" s="15"/>
    </row>
    <row r="504">
      <c r="A504" s="5" t="s">
        <v>2140</v>
      </c>
      <c r="B504" s="6" t="s">
        <v>2154</v>
      </c>
      <c r="C504" s="40" t="s">
        <v>2155</v>
      </c>
      <c r="D504" s="8"/>
      <c r="E504" s="8" t="s">
        <v>77</v>
      </c>
      <c r="F504" s="9">
        <v>2000.0</v>
      </c>
      <c r="G504" s="31" t="s">
        <v>2156</v>
      </c>
      <c r="H504" s="11" t="s">
        <v>472</v>
      </c>
      <c r="I504" s="41">
        <v>6.29500225E9</v>
      </c>
      <c r="J504" s="11" t="s">
        <v>25</v>
      </c>
      <c r="K504" s="12"/>
      <c r="L504" s="13"/>
      <c r="M504" s="14"/>
      <c r="N504" s="15"/>
      <c r="O504" s="5" t="s">
        <v>34</v>
      </c>
      <c r="P504" s="5" t="s">
        <v>79</v>
      </c>
      <c r="Q504" s="15"/>
      <c r="R504" s="16" t="s">
        <v>28</v>
      </c>
      <c r="S504" s="15"/>
      <c r="T504" s="15"/>
      <c r="U504" s="15"/>
      <c r="V504" s="15"/>
      <c r="W504" s="15"/>
      <c r="X504" s="15"/>
      <c r="Y504" s="15"/>
      <c r="Z504" s="15"/>
      <c r="AA504" s="15"/>
    </row>
    <row r="505">
      <c r="A505" s="5" t="s">
        <v>2140</v>
      </c>
      <c r="B505" s="6" t="s">
        <v>2157</v>
      </c>
      <c r="C505" s="40" t="s">
        <v>2158</v>
      </c>
      <c r="D505" s="8"/>
      <c r="E505" s="8" t="s">
        <v>2159</v>
      </c>
      <c r="F505" s="9">
        <v>500.0</v>
      </c>
      <c r="G505" s="31" t="s">
        <v>2160</v>
      </c>
      <c r="H505" s="11" t="s">
        <v>218</v>
      </c>
      <c r="I505" s="41">
        <v>9.748188804E9</v>
      </c>
      <c r="J505" s="11" t="s">
        <v>25</v>
      </c>
      <c r="K505" s="12"/>
      <c r="L505" s="13"/>
      <c r="M505" s="14"/>
      <c r="N505" s="15"/>
      <c r="O505" s="5" t="s">
        <v>26</v>
      </c>
      <c r="P505" s="5" t="s">
        <v>2161</v>
      </c>
      <c r="Q505" s="15"/>
      <c r="R505" s="16" t="s">
        <v>28</v>
      </c>
      <c r="S505" s="15"/>
      <c r="T505" s="15"/>
      <c r="U505" s="15"/>
      <c r="V505" s="15"/>
      <c r="W505" s="15"/>
      <c r="X505" s="15"/>
      <c r="Y505" s="15"/>
      <c r="Z505" s="15"/>
      <c r="AA505" s="15"/>
    </row>
    <row r="506">
      <c r="A506" s="5" t="s">
        <v>2140</v>
      </c>
      <c r="B506" s="6" t="s">
        <v>2162</v>
      </c>
      <c r="C506" s="40" t="s">
        <v>2163</v>
      </c>
      <c r="D506" s="8"/>
      <c r="E506" s="8" t="s">
        <v>1000</v>
      </c>
      <c r="F506" s="9">
        <v>500.0</v>
      </c>
      <c r="G506" s="43"/>
      <c r="H506" s="11" t="s">
        <v>44</v>
      </c>
      <c r="I506" s="41">
        <v>9.748292296E9</v>
      </c>
      <c r="J506" s="11" t="s">
        <v>25</v>
      </c>
      <c r="K506" s="12" t="s">
        <v>2164</v>
      </c>
      <c r="L506" s="13"/>
      <c r="M506" s="11" t="s">
        <v>2165</v>
      </c>
      <c r="N506" s="15"/>
      <c r="O506" s="5" t="s">
        <v>26</v>
      </c>
      <c r="P506" s="5" t="s">
        <v>2166</v>
      </c>
      <c r="Q506" s="15"/>
      <c r="R506" s="16" t="s">
        <v>28</v>
      </c>
      <c r="S506" s="15"/>
      <c r="T506" s="15"/>
      <c r="U506" s="15"/>
      <c r="V506" s="15"/>
      <c r="W506" s="15"/>
      <c r="X506" s="15"/>
      <c r="Y506" s="15"/>
      <c r="Z506" s="15"/>
      <c r="AA506" s="15"/>
    </row>
    <row r="507">
      <c r="A507" s="5" t="s">
        <v>2167</v>
      </c>
      <c r="B507" s="6" t="s">
        <v>2168</v>
      </c>
      <c r="C507" s="40" t="s">
        <v>2169</v>
      </c>
      <c r="D507" s="8"/>
      <c r="E507" s="8" t="s">
        <v>1217</v>
      </c>
      <c r="F507" s="9">
        <v>500.0</v>
      </c>
      <c r="G507" s="31" t="s">
        <v>2170</v>
      </c>
      <c r="H507" s="11" t="s">
        <v>184</v>
      </c>
      <c r="I507" s="41">
        <v>8.789078025E9</v>
      </c>
      <c r="J507" s="11" t="s">
        <v>25</v>
      </c>
      <c r="K507" s="12"/>
      <c r="L507" s="13"/>
      <c r="M507" s="14"/>
      <c r="N507" s="15"/>
      <c r="O507" s="5" t="s">
        <v>26</v>
      </c>
      <c r="P507" s="5" t="s">
        <v>453</v>
      </c>
      <c r="Q507" s="15"/>
      <c r="R507" s="16" t="s">
        <v>28</v>
      </c>
      <c r="S507" s="15"/>
      <c r="T507" s="15"/>
      <c r="U507" s="15"/>
      <c r="V507" s="15"/>
      <c r="W507" s="15"/>
      <c r="X507" s="15"/>
      <c r="Y507" s="15"/>
      <c r="Z507" s="15"/>
      <c r="AA507" s="15"/>
    </row>
    <row r="508">
      <c r="A508" s="5" t="s">
        <v>2167</v>
      </c>
      <c r="B508" s="6" t="s">
        <v>2171</v>
      </c>
      <c r="C508" s="40" t="s">
        <v>2172</v>
      </c>
      <c r="D508" s="8"/>
      <c r="E508" s="8" t="s">
        <v>568</v>
      </c>
      <c r="F508" s="9">
        <v>2000.0</v>
      </c>
      <c r="G508" s="43" t="s">
        <v>2173</v>
      </c>
      <c r="H508" s="11" t="s">
        <v>906</v>
      </c>
      <c r="I508" s="41">
        <v>7.666906811E9</v>
      </c>
      <c r="J508" s="11" t="s">
        <v>25</v>
      </c>
      <c r="K508" s="12"/>
      <c r="L508" s="13"/>
      <c r="M508" s="11" t="s">
        <v>2174</v>
      </c>
      <c r="N508" s="15"/>
      <c r="O508" s="5" t="s">
        <v>108</v>
      </c>
      <c r="P508" s="5" t="s">
        <v>2175</v>
      </c>
      <c r="Q508" s="15"/>
      <c r="R508" s="16" t="s">
        <v>28</v>
      </c>
      <c r="S508" s="15"/>
      <c r="T508" s="15"/>
      <c r="U508" s="15"/>
      <c r="V508" s="15"/>
      <c r="W508" s="15"/>
      <c r="X508" s="15"/>
      <c r="Y508" s="15"/>
      <c r="Z508" s="15"/>
      <c r="AA508" s="15"/>
    </row>
    <row r="509">
      <c r="A509" s="5" t="s">
        <v>2167</v>
      </c>
      <c r="B509" s="6" t="s">
        <v>2176</v>
      </c>
      <c r="C509" s="82" t="s">
        <v>2177</v>
      </c>
      <c r="D509" s="8"/>
      <c r="E509" s="8" t="s">
        <v>841</v>
      </c>
      <c r="F509" s="9">
        <v>5000.0</v>
      </c>
      <c r="G509" s="31" t="s">
        <v>2178</v>
      </c>
      <c r="H509" s="11" t="s">
        <v>44</v>
      </c>
      <c r="I509" s="41">
        <v>8.697464818E9</v>
      </c>
      <c r="J509" s="11" t="s">
        <v>25</v>
      </c>
      <c r="K509" s="12"/>
      <c r="L509" s="13"/>
      <c r="M509" s="14"/>
      <c r="N509" s="15"/>
      <c r="O509" s="5" t="s">
        <v>26</v>
      </c>
      <c r="P509" s="5" t="s">
        <v>2179</v>
      </c>
      <c r="Q509" s="15"/>
      <c r="R509" s="16" t="s">
        <v>28</v>
      </c>
      <c r="S509" s="15"/>
      <c r="T509" s="15"/>
      <c r="U509" s="15"/>
      <c r="V509" s="15"/>
      <c r="W509" s="15"/>
      <c r="X509" s="15"/>
      <c r="Y509" s="15"/>
      <c r="Z509" s="15"/>
      <c r="AA509" s="15"/>
    </row>
    <row r="510">
      <c r="A510" s="5" t="s">
        <v>2167</v>
      </c>
      <c r="B510" s="6" t="s">
        <v>2180</v>
      </c>
      <c r="C510" s="40" t="s">
        <v>2181</v>
      </c>
      <c r="D510" s="8"/>
      <c r="E510" s="8" t="s">
        <v>786</v>
      </c>
      <c r="F510" s="9">
        <v>800.0</v>
      </c>
      <c r="G510" s="43"/>
      <c r="H510" s="11" t="s">
        <v>44</v>
      </c>
      <c r="I510" s="41">
        <v>9.007468115E9</v>
      </c>
      <c r="J510" s="11" t="s">
        <v>25</v>
      </c>
      <c r="K510" s="12"/>
      <c r="L510" s="13"/>
      <c r="M510" s="14"/>
      <c r="N510" s="15"/>
      <c r="O510" s="5" t="s">
        <v>34</v>
      </c>
      <c r="P510" s="5" t="s">
        <v>2098</v>
      </c>
      <c r="Q510" s="15"/>
      <c r="R510" s="16" t="s">
        <v>634</v>
      </c>
      <c r="S510" s="15"/>
      <c r="T510" s="15"/>
      <c r="U510" s="15"/>
      <c r="V510" s="15"/>
      <c r="W510" s="15"/>
      <c r="X510" s="15"/>
      <c r="Y510" s="15"/>
      <c r="Z510" s="15"/>
      <c r="AA510" s="15"/>
    </row>
    <row r="511">
      <c r="A511" s="5" t="s">
        <v>2167</v>
      </c>
      <c r="B511" s="6" t="s">
        <v>2182</v>
      </c>
      <c r="C511" s="40" t="s">
        <v>2183</v>
      </c>
      <c r="D511" s="8"/>
      <c r="E511" s="8" t="s">
        <v>189</v>
      </c>
      <c r="F511" s="9">
        <v>2000.0</v>
      </c>
      <c r="G511" s="31" t="s">
        <v>2184</v>
      </c>
      <c r="H511" s="11" t="s">
        <v>44</v>
      </c>
      <c r="I511" s="41">
        <v>9.831160925E9</v>
      </c>
      <c r="J511" s="11" t="s">
        <v>25</v>
      </c>
      <c r="K511" s="12"/>
      <c r="L511" s="13"/>
      <c r="M511" s="14"/>
      <c r="N511" s="15"/>
      <c r="O511" s="5" t="s">
        <v>26</v>
      </c>
      <c r="P511" s="5"/>
      <c r="Q511" s="15"/>
      <c r="R511" s="16" t="s">
        <v>28</v>
      </c>
      <c r="S511" s="15"/>
      <c r="T511" s="15"/>
      <c r="U511" s="15"/>
      <c r="V511" s="15"/>
      <c r="W511" s="15"/>
      <c r="X511" s="15"/>
      <c r="Y511" s="15"/>
      <c r="Z511" s="15"/>
      <c r="AA511" s="15"/>
    </row>
    <row r="512">
      <c r="A512" s="5" t="s">
        <v>2167</v>
      </c>
      <c r="B512" s="6" t="s">
        <v>2185</v>
      </c>
      <c r="C512" s="40" t="s">
        <v>2186</v>
      </c>
      <c r="D512" s="8"/>
      <c r="E512" s="8" t="s">
        <v>156</v>
      </c>
      <c r="F512" s="9">
        <v>1000.0</v>
      </c>
      <c r="G512" s="31" t="s">
        <v>2187</v>
      </c>
      <c r="H512" s="11" t="s">
        <v>191</v>
      </c>
      <c r="I512" s="41">
        <v>8.918572146E9</v>
      </c>
      <c r="J512" s="11" t="s">
        <v>25</v>
      </c>
      <c r="K512" s="12"/>
      <c r="L512" s="13"/>
      <c r="M512" s="11" t="s">
        <v>2188</v>
      </c>
      <c r="N512" s="15"/>
      <c r="O512" s="5" t="s">
        <v>34</v>
      </c>
      <c r="P512" s="5" t="s">
        <v>405</v>
      </c>
      <c r="Q512" s="15"/>
      <c r="R512" s="16" t="s">
        <v>28</v>
      </c>
      <c r="S512" s="15"/>
      <c r="T512" s="15"/>
      <c r="U512" s="15"/>
      <c r="V512" s="15"/>
      <c r="W512" s="15"/>
      <c r="X512" s="15"/>
      <c r="Y512" s="15"/>
      <c r="Z512" s="15"/>
      <c r="AA512" s="15"/>
    </row>
    <row r="513">
      <c r="A513" s="5" t="s">
        <v>2167</v>
      </c>
      <c r="B513" s="6" t="s">
        <v>2189</v>
      </c>
      <c r="C513" s="40" t="s">
        <v>2190</v>
      </c>
      <c r="D513" s="8"/>
      <c r="E513" s="8" t="s">
        <v>189</v>
      </c>
      <c r="F513" s="9">
        <v>3000.0</v>
      </c>
      <c r="G513" s="43" t="s">
        <v>2191</v>
      </c>
      <c r="H513" s="11" t="s">
        <v>44</v>
      </c>
      <c r="I513" s="41">
        <v>8.981828526E9</v>
      </c>
      <c r="J513" s="11" t="s">
        <v>25</v>
      </c>
      <c r="K513" s="12"/>
      <c r="L513" s="13"/>
      <c r="M513" s="11" t="s">
        <v>1557</v>
      </c>
      <c r="N513" s="15"/>
      <c r="O513" s="5" t="s">
        <v>34</v>
      </c>
      <c r="P513" s="5" t="s">
        <v>55</v>
      </c>
      <c r="Q513" s="15"/>
      <c r="R513" s="16" t="s">
        <v>723</v>
      </c>
      <c r="S513" s="15"/>
      <c r="T513" s="15"/>
      <c r="U513" s="15"/>
      <c r="V513" s="15"/>
      <c r="W513" s="15"/>
      <c r="X513" s="15"/>
      <c r="Y513" s="15"/>
      <c r="Z513" s="15"/>
      <c r="AA513" s="15"/>
    </row>
    <row r="514">
      <c r="A514" s="5" t="s">
        <v>2167</v>
      </c>
      <c r="B514" s="6" t="s">
        <v>2192</v>
      </c>
      <c r="C514" s="40" t="s">
        <v>2193</v>
      </c>
      <c r="D514" s="8"/>
      <c r="E514" s="8" t="s">
        <v>77</v>
      </c>
      <c r="F514" s="9">
        <v>20000.0</v>
      </c>
      <c r="G514" s="43"/>
      <c r="H514" s="11" t="s">
        <v>349</v>
      </c>
      <c r="I514" s="41">
        <v>9.732930791E9</v>
      </c>
      <c r="J514" s="11" t="s">
        <v>25</v>
      </c>
      <c r="K514" s="12"/>
      <c r="L514" s="13"/>
      <c r="M514" s="14"/>
      <c r="N514" s="15"/>
      <c r="O514" s="5" t="s">
        <v>26</v>
      </c>
      <c r="P514" s="5" t="s">
        <v>1619</v>
      </c>
      <c r="Q514" s="15"/>
      <c r="R514" s="16" t="s">
        <v>28</v>
      </c>
      <c r="S514" s="15"/>
      <c r="T514" s="15"/>
      <c r="U514" s="15"/>
      <c r="V514" s="15"/>
      <c r="W514" s="15"/>
      <c r="X514" s="15"/>
      <c r="Y514" s="15"/>
      <c r="Z514" s="15"/>
      <c r="AA514" s="15"/>
    </row>
    <row r="515">
      <c r="A515" s="5" t="s">
        <v>2167</v>
      </c>
      <c r="B515" s="6" t="s">
        <v>2194</v>
      </c>
      <c r="C515" s="40" t="s">
        <v>2195</v>
      </c>
      <c r="D515" s="8"/>
      <c r="E515" s="8" t="s">
        <v>1890</v>
      </c>
      <c r="F515" s="9">
        <v>1000.0</v>
      </c>
      <c r="G515" s="43" t="s">
        <v>2196</v>
      </c>
      <c r="H515" s="11" t="s">
        <v>44</v>
      </c>
      <c r="I515" s="41">
        <v>8.61726734E9</v>
      </c>
      <c r="J515" s="11" t="s">
        <v>25</v>
      </c>
      <c r="K515" s="12"/>
      <c r="L515" s="13"/>
      <c r="M515" s="14"/>
      <c r="N515" s="15"/>
      <c r="O515" s="5" t="s">
        <v>34</v>
      </c>
      <c r="P515" s="5" t="s">
        <v>1668</v>
      </c>
      <c r="Q515" s="15"/>
      <c r="R515" s="16" t="s">
        <v>28</v>
      </c>
      <c r="S515" s="15"/>
      <c r="T515" s="15"/>
      <c r="U515" s="15"/>
      <c r="V515" s="15"/>
      <c r="W515" s="15"/>
      <c r="X515" s="15"/>
      <c r="Y515" s="15"/>
      <c r="Z515" s="15"/>
      <c r="AA515" s="15"/>
    </row>
    <row r="516">
      <c r="A516" s="5" t="s">
        <v>2167</v>
      </c>
      <c r="B516" s="6" t="s">
        <v>2197</v>
      </c>
      <c r="C516" s="40" t="s">
        <v>2198</v>
      </c>
      <c r="D516" s="8"/>
      <c r="E516" s="8" t="s">
        <v>213</v>
      </c>
      <c r="F516" s="9">
        <v>1000.0</v>
      </c>
      <c r="G516" s="31" t="s">
        <v>2199</v>
      </c>
      <c r="H516" s="11" t="s">
        <v>359</v>
      </c>
      <c r="I516" s="41">
        <v>9.7327576E9</v>
      </c>
      <c r="J516" s="11" t="s">
        <v>25</v>
      </c>
      <c r="K516" s="12"/>
      <c r="L516" s="13"/>
      <c r="M516" s="14"/>
      <c r="N516" s="15"/>
      <c r="O516" s="5" t="s">
        <v>34</v>
      </c>
      <c r="P516" s="5" t="s">
        <v>957</v>
      </c>
      <c r="Q516" s="15"/>
      <c r="R516" s="16" t="s">
        <v>28</v>
      </c>
      <c r="S516" s="15"/>
      <c r="T516" s="15"/>
      <c r="U516" s="15"/>
      <c r="V516" s="15"/>
      <c r="W516" s="15"/>
      <c r="X516" s="15"/>
      <c r="Y516" s="15"/>
      <c r="Z516" s="15"/>
      <c r="AA516" s="15"/>
    </row>
    <row r="517">
      <c r="A517" s="5" t="s">
        <v>2200</v>
      </c>
      <c r="B517" s="6" t="s">
        <v>2201</v>
      </c>
      <c r="C517" s="40" t="s">
        <v>2202</v>
      </c>
      <c r="D517" s="8"/>
      <c r="E517" s="8" t="s">
        <v>227</v>
      </c>
      <c r="F517" s="9">
        <v>10000.0</v>
      </c>
      <c r="G517" s="43" t="s">
        <v>2203</v>
      </c>
      <c r="H517" s="11" t="s">
        <v>2204</v>
      </c>
      <c r="I517" s="41">
        <v>9.43723E9</v>
      </c>
      <c r="J517" s="11" t="s">
        <v>25</v>
      </c>
      <c r="K517" s="12"/>
      <c r="L517" s="13"/>
      <c r="M517" s="11" t="s">
        <v>2205</v>
      </c>
      <c r="N517" s="15"/>
      <c r="O517" s="5" t="s">
        <v>34</v>
      </c>
      <c r="P517" s="5" t="s">
        <v>2206</v>
      </c>
      <c r="Q517" s="5" t="s">
        <v>55</v>
      </c>
      <c r="R517" s="16" t="s">
        <v>28</v>
      </c>
      <c r="S517" s="15"/>
      <c r="T517" s="15"/>
      <c r="U517" s="15"/>
      <c r="V517" s="15"/>
      <c r="W517" s="15"/>
      <c r="X517" s="15"/>
      <c r="Y517" s="15"/>
      <c r="Z517" s="15"/>
      <c r="AA517" s="15"/>
    </row>
    <row r="518">
      <c r="A518" s="5" t="s">
        <v>2200</v>
      </c>
      <c r="B518" s="6" t="s">
        <v>2207</v>
      </c>
      <c r="C518" s="40" t="s">
        <v>2208</v>
      </c>
      <c r="D518" s="8"/>
      <c r="E518" s="8" t="s">
        <v>77</v>
      </c>
      <c r="F518" s="9">
        <v>3000.0</v>
      </c>
      <c r="G518" s="43" t="s">
        <v>2209</v>
      </c>
      <c r="H518" s="11" t="s">
        <v>1414</v>
      </c>
      <c r="I518" s="41">
        <v>8.91889512E9</v>
      </c>
      <c r="J518" s="11" t="s">
        <v>25</v>
      </c>
      <c r="K518" s="12"/>
      <c r="L518" s="13"/>
      <c r="M518" s="11" t="s">
        <v>2188</v>
      </c>
      <c r="N518" s="15"/>
      <c r="O518" s="5" t="s">
        <v>34</v>
      </c>
      <c r="P518" s="5" t="s">
        <v>79</v>
      </c>
      <c r="Q518" s="15"/>
      <c r="R518" s="16" t="s">
        <v>28</v>
      </c>
      <c r="S518" s="15"/>
      <c r="T518" s="15"/>
      <c r="U518" s="15"/>
      <c r="V518" s="15"/>
      <c r="W518" s="15"/>
      <c r="X518" s="15"/>
      <c r="Y518" s="15"/>
      <c r="Z518" s="15"/>
      <c r="AA518" s="15"/>
    </row>
    <row r="519">
      <c r="A519" s="5" t="s">
        <v>2200</v>
      </c>
      <c r="B519" s="6" t="s">
        <v>2210</v>
      </c>
      <c r="C519" s="40" t="s">
        <v>2211</v>
      </c>
      <c r="D519" s="8"/>
      <c r="E519" s="8" t="s">
        <v>167</v>
      </c>
      <c r="F519" s="9">
        <v>30000.0</v>
      </c>
      <c r="G519" s="31" t="s">
        <v>2212</v>
      </c>
      <c r="H519" s="11" t="s">
        <v>519</v>
      </c>
      <c r="I519" s="41">
        <v>9.998595896E9</v>
      </c>
      <c r="J519" s="11" t="s">
        <v>25</v>
      </c>
      <c r="K519" s="12"/>
      <c r="L519" s="13"/>
      <c r="M519" s="14"/>
      <c r="N519" s="15"/>
      <c r="O519" s="5" t="s">
        <v>108</v>
      </c>
      <c r="P519" s="5"/>
      <c r="Q519" s="15"/>
      <c r="R519" s="16" t="s">
        <v>28</v>
      </c>
      <c r="S519" s="15"/>
      <c r="T519" s="15"/>
      <c r="U519" s="15"/>
      <c r="V519" s="15"/>
      <c r="W519" s="15"/>
      <c r="X519" s="15"/>
      <c r="Y519" s="15"/>
      <c r="Z519" s="15"/>
      <c r="AA519" s="15"/>
    </row>
    <row r="520">
      <c r="A520" s="5" t="s">
        <v>2200</v>
      </c>
      <c r="B520" s="6" t="s">
        <v>2213</v>
      </c>
      <c r="C520" s="40" t="s">
        <v>2214</v>
      </c>
      <c r="D520" s="8"/>
      <c r="E520" s="8" t="s">
        <v>22</v>
      </c>
      <c r="F520" s="9">
        <v>10000.0</v>
      </c>
      <c r="G520" s="31" t="s">
        <v>2215</v>
      </c>
      <c r="H520" s="11" t="s">
        <v>99</v>
      </c>
      <c r="I520" s="41">
        <v>7.377161333E9</v>
      </c>
      <c r="J520" s="11" t="s">
        <v>25</v>
      </c>
      <c r="K520" s="12"/>
      <c r="L520" s="13"/>
      <c r="M520" s="14"/>
      <c r="N520" s="15"/>
      <c r="O520" s="5" t="s">
        <v>34</v>
      </c>
      <c r="P520" s="5" t="s">
        <v>2216</v>
      </c>
      <c r="Q520" s="15"/>
      <c r="R520" s="16" t="s">
        <v>28</v>
      </c>
      <c r="S520" s="15"/>
      <c r="T520" s="15"/>
      <c r="U520" s="15"/>
      <c r="V520" s="15"/>
      <c r="W520" s="15"/>
      <c r="X520" s="15"/>
      <c r="Y520" s="15"/>
      <c r="Z520" s="15"/>
      <c r="AA520" s="15"/>
    </row>
    <row r="521">
      <c r="A521" s="5" t="s">
        <v>2217</v>
      </c>
      <c r="B521" s="6" t="s">
        <v>2218</v>
      </c>
      <c r="C521" s="40" t="s">
        <v>2219</v>
      </c>
      <c r="D521" s="8"/>
      <c r="E521" s="8" t="s">
        <v>2220</v>
      </c>
      <c r="F521" s="9">
        <v>600.0</v>
      </c>
      <c r="G521" s="43" t="s">
        <v>2221</v>
      </c>
      <c r="H521" s="11" t="s">
        <v>44</v>
      </c>
      <c r="I521" s="41">
        <v>8.25097341E9</v>
      </c>
      <c r="J521" s="11" t="s">
        <v>25</v>
      </c>
      <c r="K521" s="12"/>
      <c r="L521" s="13"/>
      <c r="M521" s="14"/>
      <c r="N521" s="15"/>
      <c r="O521" s="5" t="s">
        <v>34</v>
      </c>
      <c r="P521" s="5" t="s">
        <v>185</v>
      </c>
      <c r="Q521" s="15"/>
      <c r="R521" s="16" t="s">
        <v>28</v>
      </c>
      <c r="S521" s="15"/>
      <c r="T521" s="15"/>
      <c r="U521" s="15"/>
      <c r="V521" s="15"/>
      <c r="W521" s="15"/>
      <c r="X521" s="15"/>
      <c r="Y521" s="15"/>
      <c r="Z521" s="15"/>
      <c r="AA521" s="15"/>
    </row>
    <row r="522">
      <c r="A522" s="5" t="s">
        <v>2217</v>
      </c>
      <c r="B522" s="6" t="s">
        <v>2222</v>
      </c>
      <c r="C522" s="40" t="s">
        <v>2223</v>
      </c>
      <c r="D522" s="8"/>
      <c r="E522" s="8" t="s">
        <v>189</v>
      </c>
      <c r="F522" s="9">
        <v>1000.0</v>
      </c>
      <c r="G522" s="31" t="s">
        <v>2224</v>
      </c>
      <c r="H522" s="11" t="s">
        <v>44</v>
      </c>
      <c r="I522" s="41">
        <v>8.335082189E9</v>
      </c>
      <c r="J522" s="11" t="s">
        <v>25</v>
      </c>
      <c r="K522" s="12"/>
      <c r="L522" s="13"/>
      <c r="M522" s="14"/>
      <c r="N522" s="15"/>
      <c r="O522" s="5" t="s">
        <v>26</v>
      </c>
      <c r="P522" s="5"/>
      <c r="Q522" s="15"/>
      <c r="R522" s="16" t="s">
        <v>28</v>
      </c>
      <c r="S522" s="15"/>
      <c r="T522" s="15"/>
      <c r="U522" s="15"/>
      <c r="V522" s="15"/>
      <c r="W522" s="15"/>
      <c r="X522" s="15"/>
      <c r="Y522" s="15"/>
      <c r="Z522" s="15"/>
      <c r="AA522" s="15"/>
    </row>
    <row r="523">
      <c r="A523" s="5" t="s">
        <v>2217</v>
      </c>
      <c r="B523" s="6" t="s">
        <v>2225</v>
      </c>
      <c r="C523" s="40" t="s">
        <v>2226</v>
      </c>
      <c r="D523" s="8"/>
      <c r="E523" s="8" t="s">
        <v>22</v>
      </c>
      <c r="F523" s="9">
        <v>2000.0</v>
      </c>
      <c r="G523" s="43"/>
      <c r="H523" s="11" t="s">
        <v>2227</v>
      </c>
      <c r="I523" s="41">
        <v>8.535946881E9</v>
      </c>
      <c r="J523" s="11" t="s">
        <v>25</v>
      </c>
      <c r="K523" s="12" t="s">
        <v>2205</v>
      </c>
      <c r="L523" s="13"/>
      <c r="M523" s="14"/>
      <c r="N523" s="15"/>
      <c r="O523" s="5" t="s">
        <v>26</v>
      </c>
      <c r="P523" s="5" t="s">
        <v>453</v>
      </c>
      <c r="Q523" s="15"/>
      <c r="R523" s="16" t="s">
        <v>28</v>
      </c>
      <c r="S523" s="15"/>
      <c r="T523" s="15"/>
      <c r="U523" s="15"/>
      <c r="V523" s="15"/>
      <c r="W523" s="15"/>
      <c r="X523" s="15"/>
      <c r="Y523" s="15"/>
      <c r="Z523" s="15"/>
      <c r="AA523" s="15"/>
    </row>
    <row r="524">
      <c r="A524" s="5" t="s">
        <v>2217</v>
      </c>
      <c r="B524" s="6" t="s">
        <v>2228</v>
      </c>
      <c r="C524" s="40" t="s">
        <v>2229</v>
      </c>
      <c r="D524" s="8"/>
      <c r="E524" s="8" t="s">
        <v>130</v>
      </c>
      <c r="F524" s="9">
        <v>23000.0</v>
      </c>
      <c r="G524" s="43"/>
      <c r="H524" s="11" t="s">
        <v>2230</v>
      </c>
      <c r="I524" s="41">
        <v>9.983049301E9</v>
      </c>
      <c r="J524" s="11" t="s">
        <v>25</v>
      </c>
      <c r="K524" s="12"/>
      <c r="L524" s="13"/>
      <c r="M524" s="14"/>
      <c r="N524" s="15"/>
      <c r="O524" s="5" t="s">
        <v>34</v>
      </c>
      <c r="P524" s="5"/>
      <c r="Q524" s="15"/>
      <c r="R524" s="16" t="s">
        <v>28</v>
      </c>
      <c r="S524" s="15"/>
      <c r="T524" s="15"/>
      <c r="U524" s="15"/>
      <c r="V524" s="15"/>
      <c r="W524" s="15"/>
      <c r="X524" s="15"/>
      <c r="Y524" s="15"/>
      <c r="Z524" s="15"/>
      <c r="AA524" s="15"/>
    </row>
    <row r="525">
      <c r="A525" s="5" t="s">
        <v>2231</v>
      </c>
      <c r="B525" s="6" t="s">
        <v>2232</v>
      </c>
      <c r="C525" s="40" t="s">
        <v>2233</v>
      </c>
      <c r="D525" s="8"/>
      <c r="E525" s="8" t="s">
        <v>97</v>
      </c>
      <c r="F525" s="9">
        <v>3000.0</v>
      </c>
      <c r="G525" s="83" t="s">
        <v>2234</v>
      </c>
      <c r="H525" s="11" t="s">
        <v>24</v>
      </c>
      <c r="I525" s="41">
        <v>8.789183669E9</v>
      </c>
      <c r="J525" s="11" t="s">
        <v>25</v>
      </c>
      <c r="K525" s="12"/>
      <c r="L525" s="13"/>
      <c r="M525" s="14"/>
      <c r="N525" s="15"/>
      <c r="O525" s="5" t="s">
        <v>26</v>
      </c>
      <c r="P525" s="5"/>
      <c r="Q525" s="15"/>
      <c r="R525" s="16" t="s">
        <v>28</v>
      </c>
      <c r="S525" s="15"/>
      <c r="T525" s="15"/>
      <c r="U525" s="15"/>
      <c r="V525" s="15"/>
      <c r="W525" s="15"/>
      <c r="X525" s="15"/>
      <c r="Y525" s="15"/>
      <c r="Z525" s="15"/>
      <c r="AA525" s="15"/>
    </row>
    <row r="526">
      <c r="A526" s="5" t="s">
        <v>2231</v>
      </c>
      <c r="B526" s="6" t="s">
        <v>2235</v>
      </c>
      <c r="C526" s="40" t="s">
        <v>2236</v>
      </c>
      <c r="D526" s="8"/>
      <c r="E526" s="8" t="s">
        <v>1960</v>
      </c>
      <c r="F526" s="9">
        <v>1000.0</v>
      </c>
      <c r="G526" s="31" t="s">
        <v>2237</v>
      </c>
      <c r="H526" s="11" t="s">
        <v>1337</v>
      </c>
      <c r="I526" s="41">
        <v>9.86409286E9</v>
      </c>
      <c r="J526" s="11" t="s">
        <v>25</v>
      </c>
      <c r="K526" s="12"/>
      <c r="L526" s="13"/>
      <c r="M526" s="14"/>
      <c r="N526" s="15"/>
      <c r="O526" s="5" t="s">
        <v>26</v>
      </c>
      <c r="P526" s="5"/>
      <c r="Q526" s="15"/>
      <c r="R526" s="16" t="s">
        <v>28</v>
      </c>
      <c r="S526" s="15"/>
      <c r="T526" s="15"/>
      <c r="U526" s="15"/>
      <c r="V526" s="15"/>
      <c r="W526" s="15"/>
      <c r="X526" s="15"/>
      <c r="Y526" s="15"/>
      <c r="Z526" s="15"/>
      <c r="AA526" s="15"/>
    </row>
    <row r="527">
      <c r="A527" s="5" t="s">
        <v>2231</v>
      </c>
      <c r="B527" s="6" t="s">
        <v>2238</v>
      </c>
      <c r="C527" s="40" t="s">
        <v>2239</v>
      </c>
      <c r="D527" s="8"/>
      <c r="E527" s="8" t="s">
        <v>213</v>
      </c>
      <c r="F527" s="9">
        <v>500.0</v>
      </c>
      <c r="G527" s="31" t="s">
        <v>2240</v>
      </c>
      <c r="H527" s="11" t="s">
        <v>184</v>
      </c>
      <c r="I527" s="41">
        <v>7.004596262E9</v>
      </c>
      <c r="J527" s="11" t="s">
        <v>25</v>
      </c>
      <c r="K527" s="12"/>
      <c r="L527" s="13"/>
      <c r="M527" s="11" t="s">
        <v>1536</v>
      </c>
      <c r="N527" s="15"/>
      <c r="O527" s="5" t="s">
        <v>34</v>
      </c>
      <c r="P527" s="5" t="s">
        <v>79</v>
      </c>
      <c r="Q527" s="15"/>
      <c r="R527" s="16" t="s">
        <v>28</v>
      </c>
      <c r="S527" s="15"/>
      <c r="T527" s="15"/>
      <c r="U527" s="15"/>
      <c r="V527" s="15"/>
      <c r="W527" s="15"/>
      <c r="X527" s="15"/>
      <c r="Y527" s="15"/>
      <c r="Z527" s="15"/>
      <c r="AA527" s="15"/>
    </row>
    <row r="528">
      <c r="A528" s="5" t="s">
        <v>2231</v>
      </c>
      <c r="B528" s="6" t="s">
        <v>2241</v>
      </c>
      <c r="C528" s="40" t="s">
        <v>2242</v>
      </c>
      <c r="D528" s="8"/>
      <c r="E528" s="8" t="s">
        <v>1217</v>
      </c>
      <c r="F528" s="9">
        <v>2000.0</v>
      </c>
      <c r="G528" s="31" t="s">
        <v>2243</v>
      </c>
      <c r="H528" s="11" t="s">
        <v>158</v>
      </c>
      <c r="I528" s="41">
        <v>9.123834931E9</v>
      </c>
      <c r="J528" s="11" t="s">
        <v>25</v>
      </c>
      <c r="K528" s="12"/>
      <c r="L528" s="13"/>
      <c r="M528" s="14"/>
      <c r="N528" s="15"/>
      <c r="O528" s="5" t="s">
        <v>26</v>
      </c>
      <c r="P528" s="5"/>
      <c r="Q528" s="15"/>
      <c r="R528" s="16" t="s">
        <v>28</v>
      </c>
      <c r="S528" s="15"/>
      <c r="T528" s="15"/>
      <c r="U528" s="15"/>
      <c r="V528" s="15"/>
      <c r="W528" s="15"/>
      <c r="X528" s="15"/>
      <c r="Y528" s="15"/>
      <c r="Z528" s="15"/>
      <c r="AA528" s="15"/>
    </row>
    <row r="529">
      <c r="A529" s="5" t="s">
        <v>2231</v>
      </c>
      <c r="B529" s="6" t="s">
        <v>2244</v>
      </c>
      <c r="C529" s="40" t="s">
        <v>2245</v>
      </c>
      <c r="D529" s="8"/>
      <c r="E529" s="8" t="s">
        <v>130</v>
      </c>
      <c r="F529" s="9">
        <v>60000.0</v>
      </c>
      <c r="G529" s="31" t="s">
        <v>2246</v>
      </c>
      <c r="H529" s="11" t="s">
        <v>930</v>
      </c>
      <c r="I529" s="41">
        <v>9.65258537E9</v>
      </c>
      <c r="J529" s="11" t="s">
        <v>25</v>
      </c>
      <c r="K529" s="12"/>
      <c r="L529" s="13"/>
      <c r="M529" s="14"/>
      <c r="N529" s="15"/>
      <c r="O529" s="5" t="s">
        <v>108</v>
      </c>
      <c r="P529" s="5"/>
      <c r="Q529" s="15"/>
      <c r="R529" s="16" t="s">
        <v>28</v>
      </c>
      <c r="S529" s="15"/>
      <c r="T529" s="15"/>
      <c r="U529" s="15"/>
      <c r="V529" s="15"/>
      <c r="W529" s="15"/>
      <c r="X529" s="15"/>
      <c r="Y529" s="15"/>
      <c r="Z529" s="15"/>
      <c r="AA529" s="15"/>
    </row>
    <row r="530">
      <c r="A530" s="5" t="s">
        <v>2231</v>
      </c>
      <c r="B530" s="6" t="s">
        <v>2247</v>
      </c>
      <c r="C530" s="40" t="s">
        <v>2248</v>
      </c>
      <c r="D530" s="11"/>
      <c r="E530" s="11" t="s">
        <v>2014</v>
      </c>
      <c r="F530" s="9">
        <v>2000.0</v>
      </c>
      <c r="G530" s="43"/>
      <c r="H530" s="36" t="s">
        <v>930</v>
      </c>
      <c r="I530" s="41">
        <v>8.887705715E9</v>
      </c>
      <c r="J530" s="11" t="s">
        <v>25</v>
      </c>
      <c r="K530" s="12"/>
      <c r="L530" s="13"/>
      <c r="M530" s="14"/>
      <c r="N530" s="15"/>
      <c r="O530" s="5" t="s">
        <v>108</v>
      </c>
      <c r="P530" s="5"/>
      <c r="Q530" s="15"/>
      <c r="R530" s="16" t="s">
        <v>28</v>
      </c>
      <c r="S530" s="15"/>
      <c r="T530" s="15"/>
      <c r="U530" s="15"/>
      <c r="V530" s="15"/>
      <c r="W530" s="15"/>
      <c r="X530" s="15"/>
      <c r="Y530" s="15"/>
      <c r="Z530" s="15"/>
      <c r="AA530" s="15"/>
    </row>
    <row r="531">
      <c r="A531" s="5" t="s">
        <v>2231</v>
      </c>
      <c r="B531" s="6" t="s">
        <v>2249</v>
      </c>
      <c r="C531" s="40" t="s">
        <v>2250</v>
      </c>
      <c r="D531" s="8"/>
      <c r="E531" s="8" t="s">
        <v>152</v>
      </c>
      <c r="F531" s="9">
        <v>5000.0</v>
      </c>
      <c r="G531" s="31" t="s">
        <v>2251</v>
      </c>
      <c r="H531" s="11" t="s">
        <v>985</v>
      </c>
      <c r="I531" s="41">
        <v>8.900268528E9</v>
      </c>
      <c r="J531" s="11" t="s">
        <v>25</v>
      </c>
      <c r="K531" s="12" t="s">
        <v>2252</v>
      </c>
      <c r="L531" s="13"/>
      <c r="M531" s="14"/>
      <c r="N531" s="15"/>
      <c r="O531" s="5" t="s">
        <v>26</v>
      </c>
      <c r="P531" s="5" t="s">
        <v>1619</v>
      </c>
      <c r="Q531" s="15"/>
      <c r="R531" s="16" t="s">
        <v>28</v>
      </c>
      <c r="S531" s="15"/>
      <c r="T531" s="15"/>
      <c r="U531" s="15"/>
      <c r="V531" s="15"/>
      <c r="W531" s="15"/>
      <c r="X531" s="15"/>
      <c r="Y531" s="15"/>
      <c r="Z531" s="15"/>
      <c r="AA531" s="15"/>
    </row>
    <row r="532">
      <c r="A532" s="5" t="s">
        <v>2231</v>
      </c>
      <c r="B532" s="6" t="s">
        <v>2253</v>
      </c>
      <c r="C532" s="40" t="s">
        <v>2254</v>
      </c>
      <c r="D532" s="8"/>
      <c r="E532" s="8" t="s">
        <v>286</v>
      </c>
      <c r="F532" s="9">
        <v>500.0</v>
      </c>
      <c r="G532" s="31" t="s">
        <v>2255</v>
      </c>
      <c r="H532" s="11" t="s">
        <v>2256</v>
      </c>
      <c r="I532" s="41">
        <v>7.797745703E9</v>
      </c>
      <c r="J532" s="11" t="s">
        <v>25</v>
      </c>
      <c r="K532" s="12"/>
      <c r="L532" s="13"/>
      <c r="M532" s="14"/>
      <c r="N532" s="15"/>
      <c r="O532" s="5" t="s">
        <v>34</v>
      </c>
      <c r="P532" s="5" t="s">
        <v>727</v>
      </c>
      <c r="Q532" s="15"/>
      <c r="R532" s="16" t="s">
        <v>28</v>
      </c>
      <c r="S532" s="15"/>
      <c r="T532" s="15"/>
      <c r="U532" s="15"/>
      <c r="V532" s="15"/>
      <c r="W532" s="15"/>
      <c r="X532" s="15"/>
      <c r="Y532" s="15"/>
      <c r="Z532" s="15"/>
      <c r="AA532" s="15"/>
    </row>
    <row r="533">
      <c r="A533" s="5" t="s">
        <v>2231</v>
      </c>
      <c r="B533" s="6" t="s">
        <v>2257</v>
      </c>
      <c r="C533" s="40" t="s">
        <v>2258</v>
      </c>
      <c r="D533" s="8"/>
      <c r="E533" s="8" t="s">
        <v>38</v>
      </c>
      <c r="F533" s="9">
        <v>10000.0</v>
      </c>
      <c r="G533" s="31" t="s">
        <v>2259</v>
      </c>
      <c r="H533" s="36" t="s">
        <v>49</v>
      </c>
      <c r="I533" s="41" t="s">
        <v>2260</v>
      </c>
      <c r="J533" s="11" t="s">
        <v>25</v>
      </c>
      <c r="K533" s="12" t="s">
        <v>2261</v>
      </c>
      <c r="L533" s="13"/>
      <c r="M533" s="14"/>
      <c r="N533" s="15"/>
      <c r="O533" s="5" t="s">
        <v>26</v>
      </c>
      <c r="P533" s="5" t="s">
        <v>2262</v>
      </c>
      <c r="Q533" s="15"/>
      <c r="R533" s="16" t="s">
        <v>28</v>
      </c>
      <c r="S533" s="15"/>
      <c r="T533" s="15"/>
      <c r="U533" s="15"/>
      <c r="V533" s="15"/>
      <c r="W533" s="15"/>
      <c r="X533" s="15"/>
      <c r="Y533" s="15"/>
      <c r="Z533" s="15"/>
      <c r="AA533" s="15"/>
    </row>
    <row r="534">
      <c r="A534" s="5" t="s">
        <v>2263</v>
      </c>
      <c r="B534" s="6" t="s">
        <v>2264</v>
      </c>
      <c r="C534" s="40" t="s">
        <v>2265</v>
      </c>
      <c r="D534" s="8"/>
      <c r="E534" s="8" t="s">
        <v>2266</v>
      </c>
      <c r="F534" s="9">
        <v>2000.0</v>
      </c>
      <c r="G534" s="31" t="s">
        <v>2267</v>
      </c>
      <c r="H534" s="11" t="s">
        <v>398</v>
      </c>
      <c r="I534" s="41">
        <v>9.424991616E9</v>
      </c>
      <c r="J534" s="11" t="s">
        <v>25</v>
      </c>
      <c r="K534" s="12"/>
      <c r="L534" s="13"/>
      <c r="M534" s="11" t="s">
        <v>2268</v>
      </c>
      <c r="N534" s="15"/>
      <c r="O534" s="5" t="s">
        <v>108</v>
      </c>
      <c r="P534" s="5" t="s">
        <v>2269</v>
      </c>
      <c r="Q534" s="15"/>
      <c r="R534" s="16" t="s">
        <v>28</v>
      </c>
      <c r="S534" s="15"/>
      <c r="T534" s="15"/>
      <c r="U534" s="15"/>
      <c r="V534" s="15"/>
      <c r="W534" s="15"/>
      <c r="X534" s="15"/>
      <c r="Y534" s="15"/>
      <c r="Z534" s="15"/>
      <c r="AA534" s="15"/>
    </row>
    <row r="535">
      <c r="A535" s="5" t="s">
        <v>2263</v>
      </c>
      <c r="B535" s="6" t="s">
        <v>2270</v>
      </c>
      <c r="C535" s="40" t="s">
        <v>2271</v>
      </c>
      <c r="D535" s="8"/>
      <c r="E535" s="8" t="s">
        <v>1204</v>
      </c>
      <c r="F535" s="9">
        <v>1000.0</v>
      </c>
      <c r="G535" s="31" t="s">
        <v>2272</v>
      </c>
      <c r="H535" s="11" t="s">
        <v>184</v>
      </c>
      <c r="I535" s="41">
        <v>8.78957394E9</v>
      </c>
      <c r="J535" s="11" t="s">
        <v>25</v>
      </c>
      <c r="K535" s="12"/>
      <c r="L535" s="13"/>
      <c r="M535" s="14"/>
      <c r="N535" s="15"/>
      <c r="O535" s="5" t="s">
        <v>26</v>
      </c>
      <c r="P535" s="5"/>
      <c r="Q535" s="15"/>
      <c r="R535" s="16" t="s">
        <v>28</v>
      </c>
      <c r="S535" s="15"/>
      <c r="T535" s="15"/>
      <c r="U535" s="15"/>
      <c r="V535" s="15"/>
      <c r="W535" s="15"/>
      <c r="X535" s="15"/>
      <c r="Y535" s="15"/>
      <c r="Z535" s="15"/>
      <c r="AA535" s="15"/>
    </row>
    <row r="536">
      <c r="A536" s="5" t="s">
        <v>2263</v>
      </c>
      <c r="B536" s="6" t="s">
        <v>2273</v>
      </c>
      <c r="C536" s="84" t="s">
        <v>2274</v>
      </c>
      <c r="D536" s="75"/>
      <c r="E536" s="8" t="s">
        <v>286</v>
      </c>
      <c r="F536" s="9">
        <v>5000.0</v>
      </c>
      <c r="G536" s="31" t="s">
        <v>2275</v>
      </c>
      <c r="H536" s="11" t="s">
        <v>44</v>
      </c>
      <c r="I536" s="41">
        <v>9.432139168E9</v>
      </c>
      <c r="J536" s="11" t="s">
        <v>25</v>
      </c>
      <c r="K536" s="12"/>
      <c r="L536" s="13"/>
      <c r="M536" s="14"/>
      <c r="N536" s="15"/>
      <c r="O536" s="5" t="s">
        <v>34</v>
      </c>
      <c r="P536" s="5" t="s">
        <v>79</v>
      </c>
      <c r="Q536" s="15"/>
      <c r="R536" s="16" t="s">
        <v>28</v>
      </c>
      <c r="S536" s="15"/>
      <c r="T536" s="15"/>
      <c r="U536" s="15"/>
      <c r="V536" s="15"/>
      <c r="W536" s="15"/>
      <c r="X536" s="15"/>
      <c r="Y536" s="15"/>
      <c r="Z536" s="15"/>
      <c r="AA536" s="15"/>
    </row>
    <row r="537">
      <c r="A537" s="5" t="s">
        <v>2263</v>
      </c>
      <c r="B537" s="6" t="s">
        <v>2276</v>
      </c>
      <c r="C537" s="40" t="s">
        <v>2277</v>
      </c>
      <c r="D537" s="8"/>
      <c r="E537" s="8" t="s">
        <v>1230</v>
      </c>
      <c r="F537" s="9">
        <v>2000.0</v>
      </c>
      <c r="G537" s="31" t="s">
        <v>2278</v>
      </c>
      <c r="H537" s="43" t="s">
        <v>44</v>
      </c>
      <c r="I537" s="41">
        <v>6.200263691E9</v>
      </c>
      <c r="J537" s="11" t="s">
        <v>25</v>
      </c>
      <c r="K537" s="12"/>
      <c r="L537" s="13"/>
      <c r="M537" s="14"/>
      <c r="N537" s="15"/>
      <c r="O537" s="5" t="s">
        <v>26</v>
      </c>
      <c r="P537" s="5" t="s">
        <v>1773</v>
      </c>
      <c r="Q537" s="15"/>
      <c r="R537" s="16" t="s">
        <v>28</v>
      </c>
      <c r="S537" s="15"/>
      <c r="T537" s="15"/>
      <c r="U537" s="15"/>
      <c r="V537" s="15"/>
      <c r="W537" s="15"/>
      <c r="X537" s="15"/>
      <c r="Y537" s="15"/>
      <c r="Z537" s="15"/>
      <c r="AA537" s="15"/>
    </row>
    <row r="538">
      <c r="A538" s="5" t="s">
        <v>2263</v>
      </c>
      <c r="B538" s="6" t="s">
        <v>2279</v>
      </c>
      <c r="C538" s="40" t="s">
        <v>2280</v>
      </c>
      <c r="D538" s="8"/>
      <c r="E538" s="8" t="s">
        <v>116</v>
      </c>
      <c r="F538" s="9">
        <v>10000.0</v>
      </c>
      <c r="G538" s="43"/>
      <c r="H538" s="11" t="s">
        <v>44</v>
      </c>
      <c r="I538" s="41">
        <v>8.119968871E9</v>
      </c>
      <c r="J538" s="11" t="s">
        <v>25</v>
      </c>
      <c r="K538" s="12"/>
      <c r="L538" s="13"/>
      <c r="M538" s="14"/>
      <c r="N538" s="15"/>
      <c r="O538" s="5" t="s">
        <v>26</v>
      </c>
      <c r="P538" s="5"/>
      <c r="Q538" s="15"/>
      <c r="R538" s="16" t="s">
        <v>28</v>
      </c>
      <c r="S538" s="15"/>
      <c r="T538" s="15"/>
      <c r="U538" s="15"/>
      <c r="V538" s="15"/>
      <c r="W538" s="15"/>
      <c r="X538" s="15"/>
      <c r="Y538" s="15"/>
      <c r="Z538" s="15"/>
      <c r="AA538" s="15"/>
    </row>
    <row r="539">
      <c r="A539" s="5" t="s">
        <v>2281</v>
      </c>
      <c r="B539" s="6" t="s">
        <v>2282</v>
      </c>
      <c r="C539" s="40" t="s">
        <v>2283</v>
      </c>
      <c r="D539" s="8"/>
      <c r="E539" s="8" t="s">
        <v>2284</v>
      </c>
      <c r="F539" s="9">
        <v>100.0</v>
      </c>
      <c r="G539" s="31" t="s">
        <v>2285</v>
      </c>
      <c r="H539" s="11" t="s">
        <v>44</v>
      </c>
      <c r="I539" s="41">
        <v>9.635942117E9</v>
      </c>
      <c r="J539" s="11" t="s">
        <v>25</v>
      </c>
      <c r="K539" s="12"/>
      <c r="L539" s="13"/>
      <c r="M539" s="14"/>
      <c r="N539" s="15"/>
      <c r="O539" s="5" t="s">
        <v>34</v>
      </c>
      <c r="P539" s="5" t="s">
        <v>2286</v>
      </c>
      <c r="Q539" s="15"/>
      <c r="R539" s="16" t="s">
        <v>28</v>
      </c>
      <c r="S539" s="15"/>
      <c r="T539" s="15"/>
      <c r="U539" s="15"/>
      <c r="V539" s="15"/>
      <c r="W539" s="15"/>
      <c r="X539" s="15"/>
      <c r="Y539" s="15"/>
      <c r="Z539" s="15"/>
      <c r="AA539" s="15"/>
    </row>
    <row r="540">
      <c r="A540" s="5" t="s">
        <v>2281</v>
      </c>
      <c r="B540" s="6" t="s">
        <v>2287</v>
      </c>
      <c r="C540" s="40" t="s">
        <v>2288</v>
      </c>
      <c r="D540" s="8"/>
      <c r="E540" s="8" t="s">
        <v>794</v>
      </c>
      <c r="F540" s="9">
        <v>5000.0</v>
      </c>
      <c r="G540" s="43"/>
      <c r="H540" s="11" t="s">
        <v>283</v>
      </c>
      <c r="I540" s="41">
        <v>9.002032855E9</v>
      </c>
      <c r="J540" s="11" t="s">
        <v>25</v>
      </c>
      <c r="K540" s="12"/>
      <c r="L540" s="13"/>
      <c r="M540" s="14"/>
      <c r="N540" s="15"/>
      <c r="O540" s="5" t="s">
        <v>34</v>
      </c>
      <c r="P540" s="5" t="s">
        <v>2289</v>
      </c>
      <c r="Q540" s="15"/>
      <c r="R540" s="16" t="s">
        <v>28</v>
      </c>
      <c r="S540" s="15"/>
      <c r="T540" s="15"/>
      <c r="U540" s="15"/>
      <c r="V540" s="15"/>
      <c r="W540" s="15"/>
      <c r="X540" s="15"/>
      <c r="Y540" s="15"/>
      <c r="Z540" s="15"/>
      <c r="AA540" s="15"/>
    </row>
    <row r="541">
      <c r="A541" s="5" t="s">
        <v>2281</v>
      </c>
      <c r="B541" s="6" t="s">
        <v>2290</v>
      </c>
      <c r="C541" s="40" t="s">
        <v>2291</v>
      </c>
      <c r="D541" s="8"/>
      <c r="E541" s="8" t="s">
        <v>130</v>
      </c>
      <c r="F541" s="9">
        <v>5000.0</v>
      </c>
      <c r="G541" s="31" t="s">
        <v>2292</v>
      </c>
      <c r="H541" s="11" t="s">
        <v>44</v>
      </c>
      <c r="I541" s="41">
        <v>9.830029776E9</v>
      </c>
      <c r="J541" s="11" t="s">
        <v>25</v>
      </c>
      <c r="K541" s="12"/>
      <c r="L541" s="13"/>
      <c r="M541" s="14"/>
      <c r="N541" s="15"/>
      <c r="O541" s="5" t="s">
        <v>26</v>
      </c>
      <c r="P541" s="5"/>
      <c r="Q541" s="15"/>
      <c r="R541" s="16" t="s">
        <v>28</v>
      </c>
      <c r="S541" s="15"/>
      <c r="T541" s="15"/>
      <c r="U541" s="15"/>
      <c r="V541" s="15"/>
      <c r="W541" s="15"/>
      <c r="X541" s="15"/>
      <c r="Y541" s="15"/>
      <c r="Z541" s="15"/>
      <c r="AA541" s="15"/>
    </row>
    <row r="542">
      <c r="A542" s="5" t="s">
        <v>2281</v>
      </c>
      <c r="B542" s="6" t="s">
        <v>2293</v>
      </c>
      <c r="C542" s="40" t="s">
        <v>2294</v>
      </c>
      <c r="D542" s="8"/>
      <c r="E542" s="8" t="s">
        <v>1960</v>
      </c>
      <c r="F542" s="9">
        <v>20000.0</v>
      </c>
      <c r="G542" s="31" t="s">
        <v>2295</v>
      </c>
      <c r="H542" s="11" t="s">
        <v>44</v>
      </c>
      <c r="I542" s="41">
        <v>7.003988551E9</v>
      </c>
      <c r="J542" s="11" t="s">
        <v>25</v>
      </c>
      <c r="K542" s="12"/>
      <c r="L542" s="13"/>
      <c r="M542" s="14"/>
      <c r="N542" s="15"/>
      <c r="O542" s="5" t="s">
        <v>26</v>
      </c>
      <c r="P542" s="5"/>
      <c r="Q542" s="15"/>
      <c r="R542" s="16" t="s">
        <v>28</v>
      </c>
      <c r="S542" s="15"/>
      <c r="T542" s="15"/>
      <c r="U542" s="15"/>
      <c r="V542" s="15"/>
      <c r="W542" s="15"/>
      <c r="X542" s="15"/>
      <c r="Y542" s="15"/>
      <c r="Z542" s="15"/>
      <c r="AA542" s="15"/>
    </row>
    <row r="543">
      <c r="A543" s="5" t="s">
        <v>2296</v>
      </c>
      <c r="B543" s="6" t="s">
        <v>2297</v>
      </c>
      <c r="C543" s="40" t="s">
        <v>2298</v>
      </c>
      <c r="D543" s="8"/>
      <c r="E543" s="8" t="s">
        <v>1000</v>
      </c>
      <c r="F543" s="9">
        <v>1000.0</v>
      </c>
      <c r="G543" s="43"/>
      <c r="H543" s="11" t="s">
        <v>44</v>
      </c>
      <c r="I543" s="41">
        <v>7.003584419E9</v>
      </c>
      <c r="J543" s="11" t="s">
        <v>25</v>
      </c>
      <c r="K543" s="12"/>
      <c r="L543" s="13"/>
      <c r="M543" s="14"/>
      <c r="N543" s="15"/>
      <c r="O543" s="5" t="s">
        <v>26</v>
      </c>
      <c r="P543" s="5"/>
      <c r="Q543" s="15"/>
      <c r="R543" s="16" t="s">
        <v>28</v>
      </c>
      <c r="S543" s="15"/>
      <c r="T543" s="15"/>
      <c r="U543" s="15"/>
      <c r="V543" s="15"/>
      <c r="W543" s="15"/>
      <c r="X543" s="15"/>
      <c r="Y543" s="15"/>
      <c r="Z543" s="15"/>
      <c r="AA543" s="15"/>
    </row>
    <row r="544">
      <c r="A544" s="5" t="s">
        <v>2296</v>
      </c>
      <c r="B544" s="6" t="s">
        <v>2299</v>
      </c>
      <c r="C544" s="40" t="s">
        <v>2300</v>
      </c>
      <c r="D544" s="8"/>
      <c r="E544" s="8" t="s">
        <v>43</v>
      </c>
      <c r="F544" s="9">
        <v>10000.0</v>
      </c>
      <c r="G544" s="43" t="s">
        <v>2203</v>
      </c>
      <c r="H544" s="11" t="s">
        <v>24</v>
      </c>
      <c r="I544" s="41">
        <v>9.937599995E9</v>
      </c>
      <c r="J544" s="11" t="s">
        <v>25</v>
      </c>
      <c r="K544" s="12"/>
      <c r="L544" s="13"/>
      <c r="M544" s="14"/>
      <c r="N544" s="15"/>
      <c r="O544" s="5" t="s">
        <v>34</v>
      </c>
      <c r="P544" s="5" t="s">
        <v>55</v>
      </c>
      <c r="Q544" s="15"/>
      <c r="R544" s="16" t="s">
        <v>28</v>
      </c>
      <c r="S544" s="15"/>
      <c r="T544" s="15"/>
      <c r="U544" s="15"/>
      <c r="V544" s="15"/>
      <c r="W544" s="15"/>
      <c r="X544" s="15"/>
      <c r="Y544" s="15"/>
      <c r="Z544" s="15"/>
      <c r="AA544" s="15"/>
    </row>
    <row r="545">
      <c r="A545" s="5" t="s">
        <v>2296</v>
      </c>
      <c r="B545" s="6" t="s">
        <v>2301</v>
      </c>
      <c r="C545" s="40" t="s">
        <v>2302</v>
      </c>
      <c r="D545" s="8"/>
      <c r="E545" s="8" t="s">
        <v>262</v>
      </c>
      <c r="F545" s="9">
        <v>3000.0</v>
      </c>
      <c r="G545" s="85" t="s">
        <v>2303</v>
      </c>
      <c r="H545" s="11" t="s">
        <v>472</v>
      </c>
      <c r="I545" s="41">
        <v>8.383022362E9</v>
      </c>
      <c r="J545" s="11" t="s">
        <v>25</v>
      </c>
      <c r="K545" s="12"/>
      <c r="L545" s="13"/>
      <c r="M545" s="11" t="s">
        <v>2304</v>
      </c>
      <c r="N545" s="15"/>
      <c r="O545" s="5" t="s">
        <v>34</v>
      </c>
      <c r="P545" s="5" t="s">
        <v>996</v>
      </c>
      <c r="Q545" s="15"/>
      <c r="R545" s="16" t="s">
        <v>28</v>
      </c>
      <c r="S545" s="15"/>
      <c r="T545" s="15"/>
      <c r="U545" s="15"/>
      <c r="V545" s="15"/>
      <c r="W545" s="15"/>
      <c r="X545" s="15"/>
      <c r="Y545" s="15"/>
      <c r="Z545" s="15"/>
      <c r="AA545" s="15"/>
    </row>
    <row r="546">
      <c r="A546" s="5" t="s">
        <v>2296</v>
      </c>
      <c r="B546" s="6" t="s">
        <v>2305</v>
      </c>
      <c r="C546" s="40" t="s">
        <v>2306</v>
      </c>
      <c r="D546" s="8"/>
      <c r="E546" s="8" t="s">
        <v>841</v>
      </c>
      <c r="F546" s="9">
        <v>10000.0</v>
      </c>
      <c r="G546" s="43"/>
      <c r="H546" s="11" t="s">
        <v>1640</v>
      </c>
      <c r="I546" s="41">
        <v>6.297862437E9</v>
      </c>
      <c r="J546" s="11" t="s">
        <v>25</v>
      </c>
      <c r="K546" s="12"/>
      <c r="L546" s="13"/>
      <c r="M546" s="14"/>
      <c r="N546" s="15"/>
      <c r="O546" s="5" t="s">
        <v>26</v>
      </c>
      <c r="P546" s="5"/>
      <c r="Q546" s="15"/>
      <c r="R546" s="16" t="s">
        <v>28</v>
      </c>
      <c r="S546" s="15"/>
      <c r="T546" s="15"/>
      <c r="U546" s="15"/>
      <c r="V546" s="15"/>
      <c r="W546" s="15"/>
      <c r="X546" s="15"/>
      <c r="Y546" s="15"/>
      <c r="Z546" s="15"/>
      <c r="AA546" s="15"/>
    </row>
    <row r="547">
      <c r="A547" s="5" t="s">
        <v>2296</v>
      </c>
      <c r="B547" s="6" t="s">
        <v>2307</v>
      </c>
      <c r="C547" s="40" t="s">
        <v>2308</v>
      </c>
      <c r="D547" s="8"/>
      <c r="E547" s="8" t="s">
        <v>167</v>
      </c>
      <c r="F547" s="9">
        <v>1000.0</v>
      </c>
      <c r="G547" s="43"/>
      <c r="H547" s="11" t="s">
        <v>158</v>
      </c>
      <c r="I547" s="41">
        <v>9.830086641E9</v>
      </c>
      <c r="J547" s="11" t="s">
        <v>25</v>
      </c>
      <c r="K547" s="12"/>
      <c r="L547" s="13"/>
      <c r="M547" s="14"/>
      <c r="N547" s="15"/>
      <c r="O547" s="5" t="s">
        <v>26</v>
      </c>
      <c r="P547" s="5"/>
      <c r="Q547" s="15"/>
      <c r="R547" s="16" t="s">
        <v>28</v>
      </c>
      <c r="S547" s="15"/>
      <c r="T547" s="15"/>
      <c r="U547" s="15"/>
      <c r="V547" s="15"/>
      <c r="W547" s="15"/>
      <c r="X547" s="15"/>
      <c r="Y547" s="15"/>
      <c r="Z547" s="15"/>
      <c r="AA547" s="15"/>
    </row>
    <row r="548">
      <c r="A548" s="5" t="s">
        <v>2296</v>
      </c>
      <c r="B548" s="6" t="s">
        <v>2309</v>
      </c>
      <c r="C548" s="40" t="s">
        <v>2310</v>
      </c>
      <c r="D548" s="8"/>
      <c r="E548" s="8" t="s">
        <v>568</v>
      </c>
      <c r="F548" s="9">
        <v>300.0</v>
      </c>
      <c r="G548" s="31" t="s">
        <v>2311</v>
      </c>
      <c r="H548" s="11" t="s">
        <v>44</v>
      </c>
      <c r="I548" s="41">
        <v>9.836000906E9</v>
      </c>
      <c r="J548" s="11" t="s">
        <v>25</v>
      </c>
      <c r="K548" s="12"/>
      <c r="L548" s="13"/>
      <c r="M548" s="14"/>
      <c r="N548" s="15"/>
      <c r="O548" s="5" t="s">
        <v>26</v>
      </c>
      <c r="P548" s="5"/>
      <c r="Q548" s="15"/>
      <c r="R548" s="16" t="s">
        <v>28</v>
      </c>
      <c r="S548" s="15"/>
      <c r="T548" s="15"/>
      <c r="U548" s="15"/>
      <c r="V548" s="15"/>
      <c r="W548" s="15"/>
      <c r="X548" s="15"/>
      <c r="Y548" s="15"/>
      <c r="Z548" s="15"/>
      <c r="AA548" s="15"/>
    </row>
    <row r="549">
      <c r="A549" s="5" t="s">
        <v>2296</v>
      </c>
      <c r="B549" s="6" t="s">
        <v>2312</v>
      </c>
      <c r="C549" s="40" t="s">
        <v>2313</v>
      </c>
      <c r="D549" s="8"/>
      <c r="E549" s="8" t="s">
        <v>357</v>
      </c>
      <c r="F549" s="9">
        <v>5000.0</v>
      </c>
      <c r="G549" s="43"/>
      <c r="H549" s="11" t="s">
        <v>44</v>
      </c>
      <c r="I549" s="41">
        <v>7.044019605E9</v>
      </c>
      <c r="J549" s="11" t="s">
        <v>25</v>
      </c>
      <c r="K549" s="12"/>
      <c r="L549" s="13"/>
      <c r="M549" s="14"/>
      <c r="N549" s="15"/>
      <c r="O549" s="5" t="s">
        <v>34</v>
      </c>
      <c r="P549" s="5" t="s">
        <v>2314</v>
      </c>
      <c r="Q549" s="15"/>
      <c r="R549" s="16" t="s">
        <v>28</v>
      </c>
      <c r="S549" s="15"/>
      <c r="T549" s="15"/>
      <c r="U549" s="15"/>
      <c r="V549" s="15"/>
      <c r="W549" s="15"/>
      <c r="X549" s="15"/>
      <c r="Y549" s="15"/>
      <c r="Z549" s="15"/>
      <c r="AA549" s="15"/>
    </row>
    <row r="550">
      <c r="A550" s="5" t="s">
        <v>2296</v>
      </c>
      <c r="B550" s="6" t="s">
        <v>2315</v>
      </c>
      <c r="C550" s="40" t="s">
        <v>2316</v>
      </c>
      <c r="D550" s="8"/>
      <c r="E550" s="8" t="s">
        <v>2317</v>
      </c>
      <c r="F550" s="9">
        <v>20000.0</v>
      </c>
      <c r="G550" s="31" t="s">
        <v>2318</v>
      </c>
      <c r="H550" s="11" t="s">
        <v>44</v>
      </c>
      <c r="I550" s="41">
        <v>9.932021E9</v>
      </c>
      <c r="J550" s="11" t="s">
        <v>25</v>
      </c>
      <c r="K550" s="12"/>
      <c r="L550" s="13"/>
      <c r="M550" s="14"/>
      <c r="N550" s="15"/>
      <c r="O550" s="5" t="s">
        <v>26</v>
      </c>
      <c r="P550" s="5"/>
      <c r="Q550" s="15"/>
      <c r="R550" s="16" t="s">
        <v>28</v>
      </c>
      <c r="S550" s="15"/>
      <c r="T550" s="15"/>
      <c r="U550" s="15"/>
      <c r="V550" s="15"/>
      <c r="W550" s="15"/>
      <c r="X550" s="15"/>
      <c r="Y550" s="15"/>
      <c r="Z550" s="15"/>
      <c r="AA550" s="15"/>
    </row>
    <row r="551">
      <c r="A551" s="5" t="s">
        <v>2296</v>
      </c>
      <c r="B551" s="6" t="s">
        <v>2319</v>
      </c>
      <c r="C551" s="40" t="s">
        <v>2320</v>
      </c>
      <c r="D551" s="8"/>
      <c r="E551" s="8" t="s">
        <v>130</v>
      </c>
      <c r="F551" s="9">
        <v>5000.0</v>
      </c>
      <c r="G551" s="31" t="s">
        <v>2321</v>
      </c>
      <c r="H551" s="11" t="s">
        <v>495</v>
      </c>
      <c r="I551" s="41">
        <v>9.661361151E9</v>
      </c>
      <c r="J551" s="11" t="s">
        <v>25</v>
      </c>
      <c r="K551" s="12"/>
      <c r="L551" s="13"/>
      <c r="M551" s="11" t="s">
        <v>2322</v>
      </c>
      <c r="N551" s="15"/>
      <c r="O551" s="5" t="s">
        <v>34</v>
      </c>
      <c r="P551" s="5" t="s">
        <v>79</v>
      </c>
      <c r="Q551" s="15"/>
      <c r="R551" s="16" t="s">
        <v>28</v>
      </c>
      <c r="S551" s="15"/>
      <c r="T551" s="15"/>
      <c r="U551" s="15"/>
      <c r="V551" s="15"/>
      <c r="W551" s="15"/>
      <c r="X551" s="15"/>
      <c r="Y551" s="15"/>
      <c r="Z551" s="15"/>
      <c r="AA551" s="15"/>
    </row>
    <row r="552">
      <c r="A552" s="5" t="s">
        <v>2296</v>
      </c>
      <c r="B552" s="6" t="s">
        <v>2323</v>
      </c>
      <c r="C552" s="40" t="s">
        <v>2324</v>
      </c>
      <c r="D552" s="8"/>
      <c r="E552" s="8" t="s">
        <v>286</v>
      </c>
      <c r="F552" s="9">
        <v>500.0</v>
      </c>
      <c r="G552" s="31" t="s">
        <v>2325</v>
      </c>
      <c r="H552" s="11" t="s">
        <v>44</v>
      </c>
      <c r="I552" s="41">
        <v>9.734800052E9</v>
      </c>
      <c r="J552" s="11" t="s">
        <v>25</v>
      </c>
      <c r="K552" s="12"/>
      <c r="L552" s="13"/>
      <c r="M552" s="11" t="s">
        <v>1962</v>
      </c>
      <c r="N552" s="15"/>
      <c r="O552" s="5" t="s">
        <v>34</v>
      </c>
      <c r="P552" s="5" t="s">
        <v>79</v>
      </c>
      <c r="Q552" s="15"/>
      <c r="R552" s="16" t="s">
        <v>28</v>
      </c>
      <c r="S552" s="15"/>
      <c r="T552" s="15"/>
      <c r="U552" s="15"/>
      <c r="V552" s="15"/>
      <c r="W552" s="15"/>
      <c r="X552" s="15"/>
      <c r="Y552" s="15"/>
      <c r="Z552" s="15"/>
      <c r="AA552" s="15"/>
    </row>
    <row r="553">
      <c r="A553" s="5" t="s">
        <v>2326</v>
      </c>
      <c r="B553" s="6" t="s">
        <v>2327</v>
      </c>
      <c r="C553" s="40" t="s">
        <v>2328</v>
      </c>
      <c r="D553" s="8"/>
      <c r="E553" s="8" t="s">
        <v>523</v>
      </c>
      <c r="F553" s="9">
        <v>500.0</v>
      </c>
      <c r="G553" s="43" t="s">
        <v>2329</v>
      </c>
      <c r="H553" s="11" t="s">
        <v>359</v>
      </c>
      <c r="I553" s="41">
        <v>9.315988807E9</v>
      </c>
      <c r="J553" s="11" t="s">
        <v>25</v>
      </c>
      <c r="K553" s="12"/>
      <c r="L553" s="13"/>
      <c r="M553" s="14"/>
      <c r="N553" s="15"/>
      <c r="O553" s="5" t="s">
        <v>26</v>
      </c>
      <c r="P553" s="5"/>
      <c r="Q553" s="15"/>
      <c r="R553" s="16" t="s">
        <v>28</v>
      </c>
      <c r="S553" s="15"/>
      <c r="T553" s="15"/>
      <c r="U553" s="15"/>
      <c r="V553" s="15"/>
      <c r="W553" s="15"/>
      <c r="X553" s="15"/>
      <c r="Y553" s="15"/>
      <c r="Z553" s="15"/>
      <c r="AA553" s="15"/>
    </row>
    <row r="554">
      <c r="A554" s="5" t="s">
        <v>2326</v>
      </c>
      <c r="B554" s="6" t="s">
        <v>2330</v>
      </c>
      <c r="C554" s="40" t="s">
        <v>2331</v>
      </c>
      <c r="D554" s="8"/>
      <c r="E554" s="8" t="s">
        <v>147</v>
      </c>
      <c r="F554" s="9">
        <v>2000.0</v>
      </c>
      <c r="G554" s="31" t="s">
        <v>2332</v>
      </c>
      <c r="H554" s="11" t="s">
        <v>930</v>
      </c>
      <c r="I554" s="41">
        <v>9.84954666E9</v>
      </c>
      <c r="J554" s="11" t="s">
        <v>25</v>
      </c>
      <c r="K554" s="12"/>
      <c r="L554" s="13"/>
      <c r="M554" s="14"/>
      <c r="N554" s="15"/>
      <c r="O554" s="5" t="s">
        <v>108</v>
      </c>
      <c r="P554" s="5"/>
      <c r="Q554" s="15"/>
      <c r="R554" s="16" t="s">
        <v>28</v>
      </c>
      <c r="S554" s="15"/>
      <c r="T554" s="15"/>
      <c r="U554" s="15"/>
      <c r="V554" s="15"/>
      <c r="W554" s="15"/>
      <c r="X554" s="15"/>
      <c r="Y554" s="15"/>
      <c r="Z554" s="15"/>
      <c r="AA554" s="15"/>
    </row>
    <row r="555">
      <c r="A555" s="5" t="s">
        <v>2326</v>
      </c>
      <c r="B555" s="6" t="s">
        <v>2333</v>
      </c>
      <c r="C555" s="40" t="s">
        <v>2334</v>
      </c>
      <c r="D555" s="8"/>
      <c r="E555" s="8" t="s">
        <v>2335</v>
      </c>
      <c r="F555" s="9">
        <v>1000.0</v>
      </c>
      <c r="G555" s="31" t="s">
        <v>2336</v>
      </c>
      <c r="H555" s="11" t="s">
        <v>44</v>
      </c>
      <c r="I555" s="41">
        <v>8.768321393E9</v>
      </c>
      <c r="J555" s="11" t="s">
        <v>25</v>
      </c>
      <c r="K555" s="12"/>
      <c r="L555" s="13"/>
      <c r="M555" s="14"/>
      <c r="N555" s="15"/>
      <c r="O555" s="5" t="s">
        <v>26</v>
      </c>
      <c r="P555" s="5"/>
      <c r="Q555" s="15"/>
      <c r="R555" s="16" t="s">
        <v>28</v>
      </c>
      <c r="S555" s="15"/>
      <c r="T555" s="15"/>
      <c r="U555" s="15"/>
      <c r="V555" s="15"/>
      <c r="W555" s="15"/>
      <c r="X555" s="15"/>
      <c r="Y555" s="15"/>
      <c r="Z555" s="15"/>
      <c r="AA555" s="15"/>
    </row>
    <row r="556">
      <c r="A556" s="5" t="s">
        <v>2337</v>
      </c>
      <c r="B556" s="6" t="s">
        <v>2338</v>
      </c>
      <c r="C556" s="40" t="s">
        <v>2339</v>
      </c>
      <c r="D556" s="8"/>
      <c r="E556" s="8" t="s">
        <v>152</v>
      </c>
      <c r="F556" s="9">
        <v>500.0</v>
      </c>
      <c r="G556" s="31" t="s">
        <v>2340</v>
      </c>
      <c r="H556" s="11" t="s">
        <v>44</v>
      </c>
      <c r="I556" s="41">
        <v>9.007477747E9</v>
      </c>
      <c r="J556" s="11" t="s">
        <v>25</v>
      </c>
      <c r="K556" s="12" t="s">
        <v>2341</v>
      </c>
      <c r="L556" s="13"/>
      <c r="M556" s="14"/>
      <c r="N556" s="15"/>
      <c r="O556" s="5" t="s">
        <v>26</v>
      </c>
      <c r="P556" s="5"/>
      <c r="Q556" s="15"/>
      <c r="R556" s="16" t="s">
        <v>28</v>
      </c>
      <c r="S556" s="15"/>
      <c r="T556" s="15"/>
      <c r="U556" s="15"/>
      <c r="V556" s="15"/>
      <c r="W556" s="15"/>
      <c r="X556" s="15"/>
      <c r="Y556" s="15"/>
      <c r="Z556" s="15"/>
      <c r="AA556" s="15"/>
    </row>
    <row r="557">
      <c r="A557" s="5" t="s">
        <v>2337</v>
      </c>
      <c r="B557" s="6" t="s">
        <v>2342</v>
      </c>
      <c r="C557" s="40" t="s">
        <v>2343</v>
      </c>
      <c r="D557" s="8"/>
      <c r="E557" s="8" t="s">
        <v>213</v>
      </c>
      <c r="F557" s="9">
        <v>1500.0</v>
      </c>
      <c r="G557" s="31" t="s">
        <v>2344</v>
      </c>
      <c r="H557" s="11" t="s">
        <v>24</v>
      </c>
      <c r="I557" s="41">
        <v>9.065784221E9</v>
      </c>
      <c r="J557" s="11" t="s">
        <v>25</v>
      </c>
      <c r="K557" s="12"/>
      <c r="L557" s="13"/>
      <c r="M557" s="14"/>
      <c r="N557" s="15"/>
      <c r="O557" s="5" t="s">
        <v>34</v>
      </c>
      <c r="P557" s="5" t="s">
        <v>957</v>
      </c>
      <c r="Q557" s="15"/>
      <c r="R557" s="16" t="s">
        <v>28</v>
      </c>
      <c r="S557" s="15"/>
      <c r="T557" s="15"/>
      <c r="U557" s="15"/>
      <c r="V557" s="15"/>
      <c r="W557" s="15"/>
      <c r="X557" s="15"/>
      <c r="Y557" s="15"/>
      <c r="Z557" s="15"/>
      <c r="AA557" s="15"/>
    </row>
    <row r="558">
      <c r="A558" s="5" t="s">
        <v>2337</v>
      </c>
      <c r="B558" s="6" t="s">
        <v>2345</v>
      </c>
      <c r="C558" s="40" t="s">
        <v>2346</v>
      </c>
      <c r="D558" s="8"/>
      <c r="E558" s="8" t="s">
        <v>1930</v>
      </c>
      <c r="F558" s="9">
        <v>7000.0</v>
      </c>
      <c r="G558" s="43" t="s">
        <v>2347</v>
      </c>
      <c r="H558" s="11" t="s">
        <v>906</v>
      </c>
      <c r="I558" s="41">
        <v>9.869053422E9</v>
      </c>
      <c r="J558" s="11" t="s">
        <v>25</v>
      </c>
      <c r="K558" s="12"/>
      <c r="L558" s="13"/>
      <c r="M558" s="14"/>
      <c r="N558" s="15"/>
      <c r="O558" s="5" t="s">
        <v>108</v>
      </c>
      <c r="P558" s="5"/>
      <c r="Q558" s="15"/>
      <c r="R558" s="16" t="s">
        <v>28</v>
      </c>
      <c r="S558" s="15"/>
      <c r="T558" s="15"/>
      <c r="U558" s="15"/>
      <c r="V558" s="15"/>
      <c r="W558" s="15"/>
      <c r="X558" s="15"/>
      <c r="Y558" s="15"/>
      <c r="Z558" s="15"/>
      <c r="AA558" s="15"/>
    </row>
    <row r="559">
      <c r="A559" s="5" t="s">
        <v>2337</v>
      </c>
      <c r="B559" s="6" t="s">
        <v>2348</v>
      </c>
      <c r="C559" s="40" t="s">
        <v>2349</v>
      </c>
      <c r="D559" s="8"/>
      <c r="E559" s="8" t="s">
        <v>1373</v>
      </c>
      <c r="F559" s="9">
        <v>20000.0</v>
      </c>
      <c r="G559" s="31" t="s">
        <v>2350</v>
      </c>
      <c r="H559" s="11" t="s">
        <v>1640</v>
      </c>
      <c r="I559" s="41">
        <v>8.389011632E9</v>
      </c>
      <c r="J559" s="11" t="s">
        <v>25</v>
      </c>
      <c r="K559" s="12"/>
      <c r="L559" s="13"/>
      <c r="M559" s="14"/>
      <c r="N559" s="15"/>
      <c r="O559" s="5" t="s">
        <v>26</v>
      </c>
      <c r="P559" s="5"/>
      <c r="Q559" s="15"/>
      <c r="R559" s="16" t="s">
        <v>28</v>
      </c>
      <c r="S559" s="15"/>
      <c r="T559" s="15"/>
      <c r="U559" s="15"/>
      <c r="V559" s="15"/>
      <c r="W559" s="15"/>
      <c r="X559" s="15"/>
      <c r="Y559" s="15"/>
      <c r="Z559" s="15"/>
      <c r="AA559" s="15"/>
    </row>
    <row r="560">
      <c r="A560" s="5" t="s">
        <v>2337</v>
      </c>
      <c r="B560" s="6" t="s">
        <v>2351</v>
      </c>
      <c r="C560" s="40" t="s">
        <v>2352</v>
      </c>
      <c r="D560" s="8"/>
      <c r="E560" s="8" t="s">
        <v>53</v>
      </c>
      <c r="F560" s="9">
        <v>6000.0</v>
      </c>
      <c r="G560" s="85" t="s">
        <v>2353</v>
      </c>
      <c r="H560" s="36" t="s">
        <v>2354</v>
      </c>
      <c r="I560" s="41">
        <v>9.438076353E9</v>
      </c>
      <c r="J560" s="11" t="s">
        <v>25</v>
      </c>
      <c r="K560" s="12"/>
      <c r="L560" s="13"/>
      <c r="M560" s="11" t="s">
        <v>2355</v>
      </c>
      <c r="N560" s="15"/>
      <c r="O560" s="5" t="s">
        <v>34</v>
      </c>
      <c r="P560" s="5" t="s">
        <v>55</v>
      </c>
      <c r="Q560" s="15"/>
      <c r="R560" s="16" t="s">
        <v>634</v>
      </c>
      <c r="S560" s="15"/>
      <c r="T560" s="15"/>
      <c r="U560" s="15"/>
      <c r="V560" s="15"/>
      <c r="W560" s="15"/>
      <c r="X560" s="15"/>
      <c r="Y560" s="15"/>
      <c r="Z560" s="15"/>
      <c r="AA560" s="15"/>
    </row>
    <row r="561">
      <c r="A561" s="5" t="s">
        <v>2337</v>
      </c>
      <c r="B561" s="6" t="s">
        <v>2356</v>
      </c>
      <c r="C561" s="40" t="s">
        <v>2357</v>
      </c>
      <c r="D561" s="8"/>
      <c r="E561" s="8" t="s">
        <v>22</v>
      </c>
      <c r="F561" s="9">
        <v>2000.0</v>
      </c>
      <c r="G561" s="31" t="s">
        <v>2358</v>
      </c>
      <c r="H561" s="11" t="s">
        <v>184</v>
      </c>
      <c r="I561" s="41">
        <v>8.340381155E9</v>
      </c>
      <c r="J561" s="11" t="s">
        <v>25</v>
      </c>
      <c r="K561" s="12"/>
      <c r="L561" s="13"/>
      <c r="M561" s="14"/>
      <c r="N561" s="15"/>
      <c r="O561" s="5" t="s">
        <v>34</v>
      </c>
      <c r="P561" s="5" t="s">
        <v>2359</v>
      </c>
      <c r="Q561" s="15"/>
      <c r="R561" s="16" t="s">
        <v>28</v>
      </c>
      <c r="S561" s="15"/>
      <c r="T561" s="15"/>
      <c r="U561" s="15"/>
      <c r="V561" s="15"/>
      <c r="W561" s="15"/>
      <c r="X561" s="15"/>
      <c r="Y561" s="15"/>
      <c r="Z561" s="15"/>
      <c r="AA561" s="15"/>
    </row>
    <row r="562">
      <c r="A562" s="5" t="s">
        <v>2360</v>
      </c>
      <c r="B562" s="6" t="s">
        <v>2361</v>
      </c>
      <c r="C562" s="40" t="s">
        <v>2362</v>
      </c>
      <c r="D562" s="8"/>
      <c r="E562" s="8" t="s">
        <v>235</v>
      </c>
      <c r="F562" s="9">
        <v>3000.0</v>
      </c>
      <c r="G562" s="31" t="s">
        <v>486</v>
      </c>
      <c r="H562" s="11" t="s">
        <v>44</v>
      </c>
      <c r="I562" s="41">
        <v>9.748776179E9</v>
      </c>
      <c r="J562" s="11" t="s">
        <v>25</v>
      </c>
      <c r="K562" s="12" t="s">
        <v>2363</v>
      </c>
      <c r="L562" s="13"/>
      <c r="M562" s="14"/>
      <c r="N562" s="15"/>
      <c r="O562" s="5" t="s">
        <v>34</v>
      </c>
      <c r="P562" s="5"/>
      <c r="Q562" s="15"/>
      <c r="R562" s="16" t="s">
        <v>28</v>
      </c>
      <c r="S562" s="15"/>
      <c r="T562" s="15"/>
      <c r="U562" s="15"/>
      <c r="V562" s="15"/>
      <c r="W562" s="15"/>
      <c r="X562" s="15"/>
      <c r="Y562" s="15"/>
      <c r="Z562" s="15"/>
      <c r="AA562" s="15"/>
    </row>
    <row r="563">
      <c r="A563" s="5" t="s">
        <v>2360</v>
      </c>
      <c r="B563" s="6" t="s">
        <v>2364</v>
      </c>
      <c r="C563" s="40" t="s">
        <v>2365</v>
      </c>
      <c r="D563" s="8"/>
      <c r="E563" s="8" t="s">
        <v>53</v>
      </c>
      <c r="F563" s="9">
        <v>100000.0</v>
      </c>
      <c r="G563" s="31" t="s">
        <v>2366</v>
      </c>
      <c r="H563" s="11" t="s">
        <v>44</v>
      </c>
      <c r="I563" s="41">
        <v>8.335079806E9</v>
      </c>
      <c r="J563" s="11" t="s">
        <v>25</v>
      </c>
      <c r="K563" s="12" t="s">
        <v>2367</v>
      </c>
      <c r="L563" s="13"/>
      <c r="M563" s="14"/>
      <c r="N563" s="15"/>
      <c r="O563" s="5" t="s">
        <v>26</v>
      </c>
      <c r="P563" s="5" t="s">
        <v>1786</v>
      </c>
      <c r="Q563" s="15"/>
      <c r="R563" s="16" t="s">
        <v>28</v>
      </c>
      <c r="S563" s="15"/>
      <c r="T563" s="15"/>
      <c r="U563" s="15"/>
      <c r="V563" s="15"/>
      <c r="W563" s="15"/>
      <c r="X563" s="15"/>
      <c r="Y563" s="15"/>
      <c r="Z563" s="15"/>
      <c r="AA563" s="15"/>
    </row>
    <row r="564">
      <c r="A564" s="5" t="s">
        <v>2360</v>
      </c>
      <c r="B564" s="6" t="s">
        <v>2368</v>
      </c>
      <c r="C564" s="86" t="s">
        <v>2369</v>
      </c>
      <c r="D564" s="8"/>
      <c r="E564" s="8" t="s">
        <v>2370</v>
      </c>
      <c r="F564" s="9">
        <v>5000.0</v>
      </c>
      <c r="G564" s="31" t="s">
        <v>2371</v>
      </c>
      <c r="H564" s="11" t="s">
        <v>495</v>
      </c>
      <c r="I564" s="41">
        <v>7.739780121E9</v>
      </c>
      <c r="J564" s="11" t="s">
        <v>25</v>
      </c>
      <c r="K564" s="12" t="s">
        <v>2372</v>
      </c>
      <c r="L564" s="13"/>
      <c r="M564" s="14"/>
      <c r="N564" s="15"/>
      <c r="O564" s="5" t="s">
        <v>26</v>
      </c>
      <c r="P564" s="5"/>
      <c r="Q564" s="15"/>
      <c r="R564" s="16" t="s">
        <v>28</v>
      </c>
      <c r="S564" s="15"/>
      <c r="T564" s="15"/>
      <c r="U564" s="15"/>
      <c r="V564" s="15"/>
      <c r="W564" s="15"/>
      <c r="X564" s="15"/>
      <c r="Y564" s="15"/>
      <c r="Z564" s="15"/>
      <c r="AA564" s="15"/>
    </row>
    <row r="565">
      <c r="A565" s="5" t="s">
        <v>2360</v>
      </c>
      <c r="B565" s="6" t="s">
        <v>2373</v>
      </c>
      <c r="C565" s="86" t="s">
        <v>2374</v>
      </c>
      <c r="D565" s="8"/>
      <c r="E565" s="8" t="s">
        <v>357</v>
      </c>
      <c r="F565" s="9">
        <v>2000.0</v>
      </c>
      <c r="G565" s="31" t="s">
        <v>2375</v>
      </c>
      <c r="H565" s="11" t="s">
        <v>99</v>
      </c>
      <c r="I565" s="41">
        <v>7.655899504E9</v>
      </c>
      <c r="J565" s="11" t="s">
        <v>25</v>
      </c>
      <c r="K565" s="12"/>
      <c r="L565" s="13"/>
      <c r="M565" s="14"/>
      <c r="N565" s="15"/>
      <c r="O565" s="5" t="s">
        <v>26</v>
      </c>
      <c r="P565" s="5" t="s">
        <v>1994</v>
      </c>
      <c r="Q565" s="15"/>
      <c r="R565" s="16" t="s">
        <v>28</v>
      </c>
      <c r="S565" s="15"/>
      <c r="T565" s="15"/>
      <c r="U565" s="15"/>
      <c r="V565" s="15"/>
      <c r="W565" s="15"/>
      <c r="X565" s="15"/>
      <c r="Y565" s="15"/>
      <c r="Z565" s="15"/>
      <c r="AA565" s="15"/>
    </row>
    <row r="566">
      <c r="A566" s="5" t="s">
        <v>2360</v>
      </c>
      <c r="B566" s="6" t="s">
        <v>2376</v>
      </c>
      <c r="C566" s="40" t="s">
        <v>2377</v>
      </c>
      <c r="D566" s="8"/>
      <c r="E566" s="8" t="s">
        <v>189</v>
      </c>
      <c r="F566" s="9">
        <v>10000.0</v>
      </c>
      <c r="G566" s="31" t="s">
        <v>2378</v>
      </c>
      <c r="H566" s="11" t="s">
        <v>44</v>
      </c>
      <c r="I566" s="41">
        <v>9.8316277E9</v>
      </c>
      <c r="J566" s="11" t="s">
        <v>25</v>
      </c>
      <c r="K566" s="12"/>
      <c r="L566" s="13"/>
      <c r="M566" s="14"/>
      <c r="N566" s="15"/>
      <c r="O566" s="5" t="s">
        <v>26</v>
      </c>
      <c r="P566" s="5"/>
      <c r="Q566" s="15"/>
      <c r="R566" s="16" t="s">
        <v>28</v>
      </c>
      <c r="S566" s="15"/>
      <c r="T566" s="15"/>
      <c r="U566" s="15"/>
      <c r="V566" s="15"/>
      <c r="W566" s="15"/>
      <c r="X566" s="15"/>
      <c r="Y566" s="15"/>
      <c r="Z566" s="15"/>
      <c r="AA566" s="15"/>
    </row>
    <row r="567">
      <c r="A567" s="5" t="s">
        <v>2360</v>
      </c>
      <c r="B567" s="6" t="s">
        <v>2379</v>
      </c>
      <c r="C567" s="40" t="s">
        <v>2380</v>
      </c>
      <c r="D567" s="8"/>
      <c r="E567" s="8" t="s">
        <v>152</v>
      </c>
      <c r="F567" s="9">
        <v>25000.0</v>
      </c>
      <c r="G567" s="31" t="s">
        <v>2381</v>
      </c>
      <c r="H567" s="11" t="s">
        <v>44</v>
      </c>
      <c r="I567" s="41" t="s">
        <v>2382</v>
      </c>
      <c r="J567" s="11" t="s">
        <v>25</v>
      </c>
      <c r="K567" s="12"/>
      <c r="L567" s="13"/>
      <c r="M567" s="14"/>
      <c r="N567" s="15"/>
      <c r="O567" s="5" t="s">
        <v>26</v>
      </c>
      <c r="P567" s="5"/>
      <c r="Q567" s="15"/>
      <c r="R567" s="16" t="s">
        <v>28</v>
      </c>
      <c r="S567" s="15"/>
      <c r="T567" s="15"/>
      <c r="U567" s="15"/>
      <c r="V567" s="15"/>
      <c r="W567" s="15"/>
      <c r="X567" s="15"/>
      <c r="Y567" s="15"/>
      <c r="Z567" s="15"/>
      <c r="AA567" s="15"/>
    </row>
    <row r="568">
      <c r="A568" s="5" t="s">
        <v>2360</v>
      </c>
      <c r="B568" s="6" t="s">
        <v>2383</v>
      </c>
      <c r="C568" s="40" t="s">
        <v>2384</v>
      </c>
      <c r="D568" s="8"/>
      <c r="E568" s="8" t="s">
        <v>357</v>
      </c>
      <c r="F568" s="9">
        <v>2000.0</v>
      </c>
      <c r="G568" s="31" t="s">
        <v>2385</v>
      </c>
      <c r="H568" s="11" t="s">
        <v>131</v>
      </c>
      <c r="I568" s="41">
        <v>8.638102726E9</v>
      </c>
      <c r="J568" s="11" t="s">
        <v>25</v>
      </c>
      <c r="K568" s="12"/>
      <c r="L568" s="13"/>
      <c r="M568" s="14"/>
      <c r="N568" s="15"/>
      <c r="O568" s="5" t="s">
        <v>34</v>
      </c>
      <c r="P568" s="5" t="s">
        <v>2386</v>
      </c>
      <c r="Q568" s="15"/>
      <c r="R568" s="16" t="s">
        <v>28</v>
      </c>
      <c r="S568" s="15"/>
      <c r="T568" s="15"/>
      <c r="U568" s="15"/>
      <c r="V568" s="15"/>
      <c r="W568" s="15"/>
      <c r="X568" s="15"/>
      <c r="Y568" s="15"/>
      <c r="Z568" s="15"/>
      <c r="AA568" s="15"/>
    </row>
    <row r="569">
      <c r="A569" s="5" t="s">
        <v>2387</v>
      </c>
      <c r="B569" s="6" t="s">
        <v>2388</v>
      </c>
      <c r="C569" s="40" t="s">
        <v>2389</v>
      </c>
      <c r="D569" s="8"/>
      <c r="E569" s="8" t="s">
        <v>130</v>
      </c>
      <c r="F569" s="9">
        <v>10000.0</v>
      </c>
      <c r="G569" s="43"/>
      <c r="H569" s="11" t="s">
        <v>495</v>
      </c>
      <c r="I569" s="41">
        <v>7.992449317E9</v>
      </c>
      <c r="J569" s="11" t="s">
        <v>25</v>
      </c>
      <c r="K569" s="12"/>
      <c r="L569" s="13"/>
      <c r="M569" s="14"/>
      <c r="N569" s="15"/>
      <c r="O569" s="5" t="s">
        <v>26</v>
      </c>
      <c r="P569" s="5"/>
      <c r="Q569" s="15"/>
      <c r="R569" s="16" t="s">
        <v>28</v>
      </c>
      <c r="S569" s="15"/>
      <c r="T569" s="15"/>
      <c r="U569" s="15"/>
      <c r="V569" s="15"/>
      <c r="W569" s="15"/>
      <c r="X569" s="15"/>
      <c r="Y569" s="15"/>
      <c r="Z569" s="15"/>
      <c r="AA569" s="15"/>
    </row>
    <row r="570">
      <c r="A570" s="5" t="s">
        <v>2387</v>
      </c>
      <c r="B570" s="6" t="s">
        <v>2390</v>
      </c>
      <c r="C570" s="40" t="s">
        <v>2391</v>
      </c>
      <c r="D570" s="8"/>
      <c r="E570" s="8" t="s">
        <v>235</v>
      </c>
      <c r="F570" s="9">
        <v>8000.0</v>
      </c>
      <c r="G570" s="43" t="s">
        <v>2392</v>
      </c>
      <c r="H570" s="11" t="s">
        <v>107</v>
      </c>
      <c r="I570" s="41">
        <v>9.711461412E9</v>
      </c>
      <c r="J570" s="11" t="s">
        <v>25</v>
      </c>
      <c r="K570" s="12"/>
      <c r="L570" s="13"/>
      <c r="M570" s="14"/>
      <c r="N570" s="15"/>
      <c r="O570" s="5" t="s">
        <v>108</v>
      </c>
      <c r="P570" s="5"/>
      <c r="Q570" s="15"/>
      <c r="R570" s="16" t="s">
        <v>28</v>
      </c>
      <c r="S570" s="15"/>
      <c r="T570" s="15"/>
      <c r="U570" s="15"/>
      <c r="V570" s="15"/>
      <c r="W570" s="15"/>
      <c r="X570" s="15"/>
      <c r="Y570" s="15"/>
      <c r="Z570" s="15"/>
      <c r="AA570" s="15"/>
    </row>
    <row r="571">
      <c r="A571" s="5" t="s">
        <v>2387</v>
      </c>
      <c r="B571" s="6" t="s">
        <v>2393</v>
      </c>
      <c r="C571" s="40" t="s">
        <v>2394</v>
      </c>
      <c r="D571" s="8"/>
      <c r="E571" s="8" t="s">
        <v>1629</v>
      </c>
      <c r="F571" s="9">
        <v>2500.0</v>
      </c>
      <c r="G571" s="31" t="s">
        <v>2395</v>
      </c>
      <c r="H571" s="11" t="s">
        <v>44</v>
      </c>
      <c r="I571" s="41">
        <v>9.831179071E9</v>
      </c>
      <c r="J571" s="11" t="s">
        <v>25</v>
      </c>
      <c r="K571" s="12"/>
      <c r="L571" s="13"/>
      <c r="M571" s="14"/>
      <c r="N571" s="15"/>
      <c r="O571" s="5" t="s">
        <v>26</v>
      </c>
      <c r="P571" s="5"/>
      <c r="Q571" s="15"/>
      <c r="R571" s="16" t="s">
        <v>28</v>
      </c>
      <c r="S571" s="15"/>
      <c r="T571" s="15"/>
      <c r="U571" s="15"/>
      <c r="V571" s="15"/>
      <c r="W571" s="15"/>
      <c r="X571" s="15"/>
      <c r="Y571" s="15"/>
      <c r="Z571" s="15"/>
      <c r="AA571" s="15"/>
    </row>
    <row r="572">
      <c r="A572" s="5" t="s">
        <v>2387</v>
      </c>
      <c r="B572" s="6" t="s">
        <v>2396</v>
      </c>
      <c r="C572" s="40" t="s">
        <v>2397</v>
      </c>
      <c r="D572" s="8"/>
      <c r="E572" s="8" t="s">
        <v>87</v>
      </c>
      <c r="F572" s="9">
        <v>1000.0</v>
      </c>
      <c r="G572" s="43" t="s">
        <v>2398</v>
      </c>
      <c r="H572" s="11" t="s">
        <v>44</v>
      </c>
      <c r="I572" s="41">
        <v>9.33118519E9</v>
      </c>
      <c r="J572" s="11" t="s">
        <v>25</v>
      </c>
      <c r="K572" s="12"/>
      <c r="L572" s="13"/>
      <c r="M572" s="14"/>
      <c r="N572" s="15"/>
      <c r="O572" s="5" t="s">
        <v>34</v>
      </c>
      <c r="P572" s="5" t="s">
        <v>79</v>
      </c>
      <c r="Q572" s="5" t="s">
        <v>2399</v>
      </c>
      <c r="R572" s="16" t="s">
        <v>723</v>
      </c>
      <c r="S572" s="15"/>
      <c r="T572" s="15"/>
      <c r="U572" s="15"/>
      <c r="V572" s="15"/>
      <c r="W572" s="15"/>
      <c r="X572" s="15"/>
      <c r="Y572" s="15"/>
      <c r="Z572" s="15"/>
      <c r="AA572" s="15"/>
    </row>
    <row r="573">
      <c r="A573" s="5" t="s">
        <v>2387</v>
      </c>
      <c r="B573" s="6" t="s">
        <v>2400</v>
      </c>
      <c r="C573" s="40" t="s">
        <v>2401</v>
      </c>
      <c r="D573" s="8"/>
      <c r="E573" s="8" t="s">
        <v>2402</v>
      </c>
      <c r="F573" s="9">
        <v>50000.0</v>
      </c>
      <c r="G573" s="43"/>
      <c r="H573" s="11" t="s">
        <v>2403</v>
      </c>
      <c r="I573" s="41">
        <v>7.029348323E9</v>
      </c>
      <c r="J573" s="11" t="s">
        <v>25</v>
      </c>
      <c r="K573" s="12"/>
      <c r="L573" s="13"/>
      <c r="M573" s="14"/>
      <c r="N573" s="15"/>
      <c r="O573" s="5" t="s">
        <v>26</v>
      </c>
      <c r="P573" s="5"/>
      <c r="Q573" s="15"/>
      <c r="R573" s="16" t="s">
        <v>28</v>
      </c>
      <c r="S573" s="15"/>
      <c r="T573" s="15"/>
      <c r="U573" s="15"/>
      <c r="V573" s="15"/>
      <c r="W573" s="15"/>
      <c r="X573" s="15"/>
      <c r="Y573" s="15"/>
      <c r="Z573" s="15"/>
      <c r="AA573" s="15"/>
    </row>
    <row r="574">
      <c r="A574" s="5" t="s">
        <v>2387</v>
      </c>
      <c r="B574" s="6" t="s">
        <v>2404</v>
      </c>
      <c r="C574" s="40" t="s">
        <v>2405</v>
      </c>
      <c r="D574" s="8"/>
      <c r="E574" s="8" t="s">
        <v>2406</v>
      </c>
      <c r="F574" s="9">
        <v>20000.0</v>
      </c>
      <c r="G574" s="31" t="s">
        <v>2407</v>
      </c>
      <c r="H574" s="11" t="s">
        <v>131</v>
      </c>
      <c r="I574" s="41">
        <v>9.95410809E9</v>
      </c>
      <c r="J574" s="11" t="s">
        <v>25</v>
      </c>
      <c r="K574" s="12"/>
      <c r="L574" s="13"/>
      <c r="M574" s="14"/>
      <c r="N574" s="15"/>
      <c r="O574" s="5" t="s">
        <v>26</v>
      </c>
      <c r="P574" s="5" t="s">
        <v>2408</v>
      </c>
      <c r="Q574" s="15"/>
      <c r="R574" s="16" t="s">
        <v>28</v>
      </c>
      <c r="S574" s="15"/>
      <c r="T574" s="15"/>
      <c r="U574" s="15"/>
      <c r="V574" s="15"/>
      <c r="W574" s="15"/>
      <c r="X574" s="15"/>
      <c r="Y574" s="15"/>
      <c r="Z574" s="15"/>
      <c r="AA574" s="15"/>
    </row>
    <row r="575">
      <c r="A575" s="5" t="s">
        <v>2387</v>
      </c>
      <c r="B575" s="6" t="s">
        <v>2409</v>
      </c>
      <c r="C575" s="40" t="s">
        <v>2410</v>
      </c>
      <c r="D575" s="8"/>
      <c r="E575" s="8" t="s">
        <v>387</v>
      </c>
      <c r="F575" s="9">
        <v>1000.0</v>
      </c>
      <c r="G575" s="31" t="s">
        <v>2411</v>
      </c>
      <c r="H575" s="11" t="s">
        <v>44</v>
      </c>
      <c r="I575" s="41" t="s">
        <v>2412</v>
      </c>
      <c r="J575" s="11" t="s">
        <v>25</v>
      </c>
      <c r="K575" s="12"/>
      <c r="L575" s="13"/>
      <c r="M575" s="14"/>
      <c r="N575" s="15"/>
      <c r="O575" s="5" t="s">
        <v>34</v>
      </c>
      <c r="P575" s="5" t="s">
        <v>957</v>
      </c>
      <c r="Q575" s="15"/>
      <c r="R575" s="16" t="s">
        <v>28</v>
      </c>
      <c r="S575" s="15"/>
      <c r="T575" s="15"/>
      <c r="U575" s="15"/>
      <c r="V575" s="15"/>
      <c r="W575" s="15"/>
      <c r="X575" s="15"/>
      <c r="Y575" s="15"/>
      <c r="Z575" s="15"/>
      <c r="AA575" s="15"/>
    </row>
    <row r="576">
      <c r="A576" s="5" t="s">
        <v>2413</v>
      </c>
      <c r="B576" s="6" t="s">
        <v>2414</v>
      </c>
      <c r="C576" s="40" t="s">
        <v>2415</v>
      </c>
      <c r="D576" s="8"/>
      <c r="E576" s="8" t="s">
        <v>152</v>
      </c>
      <c r="F576" s="9">
        <v>30000.0</v>
      </c>
      <c r="G576" s="31" t="s">
        <v>2416</v>
      </c>
      <c r="H576" s="11" t="s">
        <v>44</v>
      </c>
      <c r="I576" s="41">
        <v>9.593515861E9</v>
      </c>
      <c r="J576" s="11" t="s">
        <v>25</v>
      </c>
      <c r="K576" s="12"/>
      <c r="L576" s="13"/>
      <c r="M576" s="14"/>
      <c r="N576" s="15"/>
      <c r="O576" s="5" t="s">
        <v>26</v>
      </c>
      <c r="P576" s="5" t="s">
        <v>2417</v>
      </c>
      <c r="Q576" s="15"/>
      <c r="R576" s="16" t="s">
        <v>28</v>
      </c>
      <c r="S576" s="15"/>
      <c r="T576" s="15"/>
      <c r="U576" s="15"/>
      <c r="V576" s="15"/>
      <c r="W576" s="15"/>
      <c r="X576" s="15"/>
      <c r="Y576" s="15"/>
      <c r="Z576" s="15"/>
      <c r="AA576" s="15"/>
    </row>
    <row r="577">
      <c r="A577" s="5" t="s">
        <v>2413</v>
      </c>
      <c r="B577" s="6" t="s">
        <v>2418</v>
      </c>
      <c r="C577" s="40" t="s">
        <v>2419</v>
      </c>
      <c r="D577" s="8"/>
      <c r="E577" s="8" t="s">
        <v>1550</v>
      </c>
      <c r="F577" s="9">
        <v>15000.0</v>
      </c>
      <c r="G577" s="31" t="s">
        <v>2420</v>
      </c>
      <c r="H577" s="11" t="s">
        <v>218</v>
      </c>
      <c r="I577" s="41">
        <v>7.890018584E9</v>
      </c>
      <c r="J577" s="11" t="s">
        <v>25</v>
      </c>
      <c r="K577" s="12"/>
      <c r="L577" s="13"/>
      <c r="M577" s="14"/>
      <c r="N577" s="15"/>
      <c r="O577" s="5" t="s">
        <v>26</v>
      </c>
      <c r="P577" s="5"/>
      <c r="Q577" s="15"/>
      <c r="R577" s="16" t="s">
        <v>28</v>
      </c>
      <c r="S577" s="15"/>
      <c r="T577" s="15"/>
      <c r="U577" s="15"/>
      <c r="V577" s="15"/>
      <c r="W577" s="15"/>
      <c r="X577" s="15"/>
      <c r="Y577" s="15"/>
      <c r="Z577" s="15"/>
      <c r="AA577" s="15"/>
    </row>
    <row r="578">
      <c r="A578" s="5" t="s">
        <v>2413</v>
      </c>
      <c r="B578" s="6" t="s">
        <v>2421</v>
      </c>
      <c r="C578" s="40" t="s">
        <v>2422</v>
      </c>
      <c r="D578" s="8"/>
      <c r="E578" s="8" t="s">
        <v>130</v>
      </c>
      <c r="F578" s="9">
        <v>1000.0</v>
      </c>
      <c r="G578" s="43"/>
      <c r="H578" s="11" t="s">
        <v>44</v>
      </c>
      <c r="I578" s="41">
        <v>6.289662737E9</v>
      </c>
      <c r="J578" s="11" t="s">
        <v>25</v>
      </c>
      <c r="K578" s="12"/>
      <c r="L578" s="13"/>
      <c r="M578" s="14"/>
      <c r="N578" s="15"/>
      <c r="O578" s="5" t="s">
        <v>34</v>
      </c>
      <c r="P578" s="5" t="s">
        <v>707</v>
      </c>
      <c r="Q578" s="15"/>
      <c r="R578" s="16" t="s">
        <v>28</v>
      </c>
      <c r="S578" s="15"/>
      <c r="T578" s="15"/>
      <c r="U578" s="15"/>
      <c r="V578" s="15"/>
      <c r="W578" s="15"/>
      <c r="X578" s="15"/>
      <c r="Y578" s="15"/>
      <c r="Z578" s="15"/>
      <c r="AA578" s="15"/>
    </row>
    <row r="579">
      <c r="A579" s="5" t="s">
        <v>2413</v>
      </c>
      <c r="B579" s="6" t="s">
        <v>2423</v>
      </c>
      <c r="C579" s="40" t="s">
        <v>2424</v>
      </c>
      <c r="D579" s="8"/>
      <c r="E579" s="8" t="s">
        <v>2425</v>
      </c>
      <c r="F579" s="9">
        <v>3000.0</v>
      </c>
      <c r="G579" s="43" t="s">
        <v>2426</v>
      </c>
      <c r="H579" s="11" t="s">
        <v>158</v>
      </c>
      <c r="I579" s="41">
        <v>9.321821731E9</v>
      </c>
      <c r="J579" s="11" t="s">
        <v>25</v>
      </c>
      <c r="K579" s="12"/>
      <c r="L579" s="13"/>
      <c r="M579" s="11" t="s">
        <v>2304</v>
      </c>
      <c r="N579" s="15"/>
      <c r="O579" s="5" t="s">
        <v>34</v>
      </c>
      <c r="P579" s="5" t="s">
        <v>149</v>
      </c>
      <c r="Q579" s="15"/>
      <c r="R579" s="16" t="s">
        <v>634</v>
      </c>
      <c r="S579" s="15"/>
      <c r="T579" s="15"/>
      <c r="U579" s="15"/>
      <c r="V579" s="15"/>
      <c r="W579" s="15"/>
      <c r="X579" s="15"/>
      <c r="Y579" s="15"/>
      <c r="Z579" s="15"/>
      <c r="AA579" s="15"/>
    </row>
    <row r="580">
      <c r="A580" s="5" t="s">
        <v>2413</v>
      </c>
      <c r="B580" s="6" t="s">
        <v>2427</v>
      </c>
      <c r="C580" s="40" t="s">
        <v>2428</v>
      </c>
      <c r="D580" s="8"/>
      <c r="E580" s="8" t="s">
        <v>2429</v>
      </c>
      <c r="F580" s="9">
        <v>1000.0</v>
      </c>
      <c r="G580" s="31" t="s">
        <v>2430</v>
      </c>
      <c r="H580" s="11" t="s">
        <v>44</v>
      </c>
      <c r="I580" s="41">
        <v>9.734303381E9</v>
      </c>
      <c r="J580" s="11" t="s">
        <v>25</v>
      </c>
      <c r="K580" s="12"/>
      <c r="L580" s="13"/>
      <c r="M580" s="11" t="s">
        <v>2431</v>
      </c>
      <c r="N580" s="15"/>
      <c r="O580" s="5" t="s">
        <v>34</v>
      </c>
      <c r="P580" s="5" t="s">
        <v>2432</v>
      </c>
      <c r="Q580" s="15"/>
      <c r="R580" s="16" t="s">
        <v>28</v>
      </c>
      <c r="S580" s="15"/>
      <c r="T580" s="15"/>
      <c r="U580" s="15"/>
      <c r="V580" s="15"/>
      <c r="W580" s="15"/>
      <c r="X580" s="15"/>
      <c r="Y580" s="15"/>
      <c r="Z580" s="15"/>
      <c r="AA580" s="15"/>
    </row>
    <row r="581">
      <c r="A581" s="5" t="s">
        <v>2433</v>
      </c>
      <c r="B581" s="6" t="s">
        <v>2434</v>
      </c>
      <c r="C581" s="40" t="s">
        <v>2435</v>
      </c>
      <c r="D581" s="8"/>
      <c r="E581" s="8" t="s">
        <v>2429</v>
      </c>
      <c r="F581" s="9">
        <v>2000.0</v>
      </c>
      <c r="G581" s="31" t="s">
        <v>2436</v>
      </c>
      <c r="H581" s="11" t="s">
        <v>44</v>
      </c>
      <c r="I581" s="41">
        <v>9.830037902E9</v>
      </c>
      <c r="J581" s="11" t="s">
        <v>25</v>
      </c>
      <c r="K581" s="12"/>
      <c r="L581" s="13"/>
      <c r="M581" s="11" t="s">
        <v>2431</v>
      </c>
      <c r="N581" s="15"/>
      <c r="O581" s="5" t="s">
        <v>34</v>
      </c>
      <c r="P581" s="5"/>
      <c r="Q581" s="15"/>
      <c r="R581" s="16" t="s">
        <v>28</v>
      </c>
      <c r="S581" s="15"/>
      <c r="T581" s="15"/>
      <c r="U581" s="15"/>
      <c r="V581" s="15"/>
      <c r="W581" s="15"/>
      <c r="X581" s="15"/>
      <c r="Y581" s="15"/>
      <c r="Z581" s="15"/>
      <c r="AA581" s="15"/>
    </row>
    <row r="582">
      <c r="A582" s="5" t="s">
        <v>2433</v>
      </c>
      <c r="B582" s="6" t="s">
        <v>2437</v>
      </c>
      <c r="C582" s="40" t="s">
        <v>2438</v>
      </c>
      <c r="D582" s="8"/>
      <c r="E582" s="8" t="s">
        <v>130</v>
      </c>
      <c r="F582" s="9">
        <v>10000.0</v>
      </c>
      <c r="G582" s="43"/>
      <c r="H582" s="11" t="s">
        <v>158</v>
      </c>
      <c r="I582" s="41">
        <v>9.836223969E9</v>
      </c>
      <c r="J582" s="11" t="s">
        <v>25</v>
      </c>
      <c r="K582" s="12"/>
      <c r="L582" s="13"/>
      <c r="M582" s="14"/>
      <c r="N582" s="15"/>
      <c r="O582" s="5" t="s">
        <v>26</v>
      </c>
      <c r="P582" s="5" t="s">
        <v>2439</v>
      </c>
      <c r="Q582" s="15"/>
      <c r="R582" s="16" t="s">
        <v>28</v>
      </c>
      <c r="S582" s="15"/>
      <c r="T582" s="15"/>
      <c r="U582" s="15"/>
      <c r="V582" s="15"/>
      <c r="W582" s="15"/>
      <c r="X582" s="15"/>
      <c r="Y582" s="15"/>
      <c r="Z582" s="15"/>
      <c r="AA582" s="15"/>
    </row>
    <row r="583">
      <c r="A583" s="5" t="s">
        <v>2433</v>
      </c>
      <c r="B583" s="6" t="s">
        <v>2440</v>
      </c>
      <c r="C583" s="40" t="s">
        <v>2441</v>
      </c>
      <c r="D583" s="8"/>
      <c r="E583" s="8" t="s">
        <v>147</v>
      </c>
      <c r="F583" s="9">
        <v>1000.0</v>
      </c>
      <c r="G583" s="31" t="s">
        <v>2332</v>
      </c>
      <c r="H583" s="11" t="s">
        <v>930</v>
      </c>
      <c r="I583" s="41">
        <v>9.84954666E9</v>
      </c>
      <c r="J583" s="11" t="s">
        <v>25</v>
      </c>
      <c r="K583" s="12"/>
      <c r="L583" s="13"/>
      <c r="M583" s="14"/>
      <c r="N583" s="15"/>
      <c r="O583" s="5" t="s">
        <v>34</v>
      </c>
      <c r="P583" s="5"/>
      <c r="Q583" s="15"/>
      <c r="R583" s="16" t="s">
        <v>28</v>
      </c>
      <c r="S583" s="15"/>
      <c r="T583" s="15"/>
      <c r="U583" s="15"/>
      <c r="V583" s="15"/>
      <c r="W583" s="15"/>
      <c r="X583" s="15"/>
      <c r="Y583" s="15"/>
      <c r="Z583" s="15"/>
      <c r="AA583" s="15"/>
    </row>
    <row r="584">
      <c r="A584" s="5" t="s">
        <v>2433</v>
      </c>
      <c r="B584" s="6" t="s">
        <v>2442</v>
      </c>
      <c r="C584" s="40" t="s">
        <v>2443</v>
      </c>
      <c r="D584" s="8"/>
      <c r="E584" s="8" t="s">
        <v>189</v>
      </c>
      <c r="F584" s="9">
        <v>40000.0</v>
      </c>
      <c r="G584" s="43"/>
      <c r="H584" s="11" t="s">
        <v>44</v>
      </c>
      <c r="I584" s="41">
        <v>7.980349631E9</v>
      </c>
      <c r="J584" s="11" t="s">
        <v>25</v>
      </c>
      <c r="K584" s="12"/>
      <c r="L584" s="13"/>
      <c r="M584" s="14"/>
      <c r="N584" s="15"/>
      <c r="O584" s="5" t="s">
        <v>26</v>
      </c>
      <c r="P584" s="5"/>
      <c r="Q584" s="15"/>
      <c r="R584" s="16" t="s">
        <v>28</v>
      </c>
      <c r="S584" s="15"/>
      <c r="T584" s="15"/>
      <c r="U584" s="15"/>
      <c r="V584" s="15"/>
      <c r="W584" s="15"/>
      <c r="X584" s="15"/>
      <c r="Y584" s="15"/>
      <c r="Z584" s="15"/>
      <c r="AA584" s="15"/>
    </row>
    <row r="585">
      <c r="A585" s="5" t="s">
        <v>2444</v>
      </c>
      <c r="B585" s="6" t="s">
        <v>2445</v>
      </c>
      <c r="C585" s="40" t="s">
        <v>2446</v>
      </c>
      <c r="D585" s="8"/>
      <c r="E585" s="8" t="s">
        <v>130</v>
      </c>
      <c r="F585" s="9">
        <v>30000.0</v>
      </c>
      <c r="G585" s="31" t="s">
        <v>2447</v>
      </c>
      <c r="H585" s="11" t="s">
        <v>555</v>
      </c>
      <c r="I585" s="41">
        <v>7.488910397E9</v>
      </c>
      <c r="J585" s="11" t="s">
        <v>25</v>
      </c>
      <c r="K585" s="12"/>
      <c r="L585" s="13"/>
      <c r="M585" s="14"/>
      <c r="N585" s="15"/>
      <c r="O585" s="5" t="s">
        <v>34</v>
      </c>
      <c r="P585" s="5" t="s">
        <v>957</v>
      </c>
      <c r="Q585" s="15"/>
      <c r="R585" s="16" t="s">
        <v>28</v>
      </c>
      <c r="S585" s="15"/>
      <c r="T585" s="15"/>
      <c r="U585" s="15"/>
      <c r="V585" s="15"/>
      <c r="W585" s="15"/>
      <c r="X585" s="15"/>
      <c r="Y585" s="15"/>
      <c r="Z585" s="15"/>
      <c r="AA585" s="15"/>
    </row>
    <row r="586">
      <c r="A586" s="5" t="s">
        <v>2444</v>
      </c>
      <c r="B586" s="6" t="s">
        <v>2448</v>
      </c>
      <c r="C586" s="40" t="s">
        <v>2449</v>
      </c>
      <c r="D586" s="8"/>
      <c r="E586" s="8" t="s">
        <v>2450</v>
      </c>
      <c r="F586" s="9" t="s">
        <v>2451</v>
      </c>
      <c r="G586" s="43" t="s">
        <v>2452</v>
      </c>
      <c r="H586" s="11" t="s">
        <v>1082</v>
      </c>
      <c r="I586" s="41">
        <v>8.961000837E9</v>
      </c>
      <c r="J586" s="11" t="s">
        <v>25</v>
      </c>
      <c r="K586" s="12"/>
      <c r="L586" s="13"/>
      <c r="M586" s="11" t="s">
        <v>2453</v>
      </c>
      <c r="N586" s="15"/>
      <c r="O586" s="5" t="s">
        <v>564</v>
      </c>
      <c r="P586" s="5" t="s">
        <v>2454</v>
      </c>
      <c r="Q586" s="15"/>
      <c r="R586" s="16" t="s">
        <v>634</v>
      </c>
      <c r="S586" s="15"/>
      <c r="T586" s="15"/>
      <c r="U586" s="15"/>
      <c r="V586" s="15"/>
      <c r="W586" s="15"/>
      <c r="X586" s="15"/>
      <c r="Y586" s="15"/>
      <c r="Z586" s="15"/>
      <c r="AA586" s="15"/>
    </row>
    <row r="587">
      <c r="A587" s="5" t="s">
        <v>2444</v>
      </c>
      <c r="B587" s="6" t="s">
        <v>2455</v>
      </c>
      <c r="C587" s="40" t="s">
        <v>2456</v>
      </c>
      <c r="D587" s="8"/>
      <c r="E587" s="8" t="s">
        <v>43</v>
      </c>
      <c r="F587" s="9">
        <v>35000.0</v>
      </c>
      <c r="G587" s="43" t="s">
        <v>2457</v>
      </c>
      <c r="H587" s="11" t="s">
        <v>906</v>
      </c>
      <c r="I587" s="41">
        <v>9.823558442E9</v>
      </c>
      <c r="J587" s="11" t="s">
        <v>25</v>
      </c>
      <c r="K587" s="12"/>
      <c r="L587" s="13"/>
      <c r="M587" s="14"/>
      <c r="N587" s="15"/>
      <c r="O587" s="5" t="s">
        <v>108</v>
      </c>
      <c r="P587" s="5"/>
      <c r="Q587" s="15"/>
      <c r="R587" s="16" t="s">
        <v>28</v>
      </c>
      <c r="S587" s="15"/>
      <c r="T587" s="15"/>
      <c r="U587" s="15"/>
      <c r="V587" s="15"/>
      <c r="W587" s="15"/>
      <c r="X587" s="15"/>
      <c r="Y587" s="15"/>
      <c r="Z587" s="15"/>
      <c r="AA587" s="15"/>
    </row>
    <row r="588">
      <c r="A588" s="5" t="s">
        <v>2444</v>
      </c>
      <c r="B588" s="6" t="s">
        <v>2458</v>
      </c>
      <c r="C588" s="40" t="s">
        <v>567</v>
      </c>
      <c r="D588" s="8"/>
      <c r="E588" s="8" t="s">
        <v>568</v>
      </c>
      <c r="F588" s="9">
        <v>1000.0</v>
      </c>
      <c r="G588" s="31" t="s">
        <v>569</v>
      </c>
      <c r="H588" s="11" t="s">
        <v>99</v>
      </c>
      <c r="I588" s="41">
        <v>7.008101497E9</v>
      </c>
      <c r="J588" s="11" t="s">
        <v>25</v>
      </c>
      <c r="K588" s="12"/>
      <c r="L588" s="13"/>
      <c r="M588" s="14"/>
      <c r="N588" s="15"/>
      <c r="O588" s="5" t="s">
        <v>26</v>
      </c>
      <c r="P588" s="5"/>
      <c r="Q588" s="15"/>
      <c r="R588" s="16" t="s">
        <v>28</v>
      </c>
      <c r="S588" s="15"/>
      <c r="T588" s="15"/>
      <c r="U588" s="15"/>
      <c r="V588" s="15"/>
      <c r="W588" s="15"/>
      <c r="X588" s="15"/>
      <c r="Y588" s="15"/>
      <c r="Z588" s="15"/>
      <c r="AA588" s="15"/>
    </row>
    <row r="589">
      <c r="A589" s="5" t="s">
        <v>2444</v>
      </c>
      <c r="B589" s="6" t="s">
        <v>2459</v>
      </c>
      <c r="C589" s="40" t="s">
        <v>2460</v>
      </c>
      <c r="D589" s="8"/>
      <c r="E589" s="8" t="s">
        <v>1520</v>
      </c>
      <c r="F589" s="9">
        <v>1000.0</v>
      </c>
      <c r="G589" s="31" t="s">
        <v>2461</v>
      </c>
      <c r="H589" s="11" t="s">
        <v>44</v>
      </c>
      <c r="I589" s="41">
        <v>9.804891579E9</v>
      </c>
      <c r="J589" s="11" t="s">
        <v>25</v>
      </c>
      <c r="K589" s="12"/>
      <c r="L589" s="13"/>
      <c r="M589" s="14"/>
      <c r="N589" s="15"/>
      <c r="O589" s="5" t="s">
        <v>26</v>
      </c>
      <c r="P589" s="5"/>
      <c r="Q589" s="15"/>
      <c r="R589" s="16" t="s">
        <v>28</v>
      </c>
      <c r="S589" s="15"/>
      <c r="T589" s="15"/>
      <c r="U589" s="15"/>
      <c r="V589" s="15"/>
      <c r="W589" s="15"/>
      <c r="X589" s="15"/>
      <c r="Y589" s="15"/>
      <c r="Z589" s="15"/>
      <c r="AA589" s="15"/>
    </row>
    <row r="590">
      <c r="A590" s="5" t="s">
        <v>2444</v>
      </c>
      <c r="B590" s="6" t="s">
        <v>2462</v>
      </c>
      <c r="C590" s="40" t="s">
        <v>2463</v>
      </c>
      <c r="D590" s="8"/>
      <c r="E590" s="8" t="s">
        <v>130</v>
      </c>
      <c r="F590" s="9">
        <v>10000.0</v>
      </c>
      <c r="G590" s="31" t="s">
        <v>2464</v>
      </c>
      <c r="H590" s="11" t="s">
        <v>44</v>
      </c>
      <c r="I590" s="41">
        <v>7.8724952E9</v>
      </c>
      <c r="J590" s="11" t="s">
        <v>25</v>
      </c>
      <c r="K590" s="12"/>
      <c r="L590" s="13"/>
      <c r="M590" s="14"/>
      <c r="N590" s="15"/>
      <c r="O590" s="5" t="s">
        <v>34</v>
      </c>
      <c r="P590" s="5" t="s">
        <v>957</v>
      </c>
      <c r="Q590" s="15"/>
      <c r="R590" s="16" t="s">
        <v>28</v>
      </c>
      <c r="S590" s="15"/>
      <c r="T590" s="15"/>
      <c r="U590" s="15"/>
      <c r="V590" s="15"/>
      <c r="W590" s="15"/>
      <c r="X590" s="15"/>
      <c r="Y590" s="15"/>
      <c r="Z590" s="15"/>
      <c r="AA590" s="15"/>
    </row>
    <row r="591">
      <c r="A591" s="5" t="s">
        <v>2444</v>
      </c>
      <c r="B591" s="6" t="s">
        <v>2465</v>
      </c>
      <c r="C591" s="40" t="s">
        <v>2466</v>
      </c>
      <c r="D591" s="8"/>
      <c r="E591" s="8" t="s">
        <v>22</v>
      </c>
      <c r="F591" s="9">
        <v>5000.0</v>
      </c>
      <c r="G591" s="31" t="s">
        <v>2467</v>
      </c>
      <c r="H591" s="11" t="s">
        <v>44</v>
      </c>
      <c r="I591" s="41">
        <v>6.290509305E9</v>
      </c>
      <c r="J591" s="11" t="s">
        <v>25</v>
      </c>
      <c r="K591" s="12"/>
      <c r="L591" s="13"/>
      <c r="M591" s="14"/>
      <c r="N591" s="15"/>
      <c r="O591" s="5" t="s">
        <v>26</v>
      </c>
      <c r="P591" s="5" t="s">
        <v>2468</v>
      </c>
      <c r="Q591" s="15"/>
      <c r="R591" s="16" t="s">
        <v>28</v>
      </c>
      <c r="S591" s="15"/>
      <c r="T591" s="15"/>
      <c r="U591" s="15"/>
      <c r="V591" s="15"/>
      <c r="W591" s="15"/>
      <c r="X591" s="15"/>
      <c r="Y591" s="15"/>
      <c r="Z591" s="15"/>
      <c r="AA591" s="15"/>
    </row>
    <row r="592">
      <c r="A592" s="5" t="s">
        <v>2444</v>
      </c>
      <c r="B592" s="6" t="s">
        <v>2469</v>
      </c>
      <c r="C592" s="40" t="s">
        <v>2470</v>
      </c>
      <c r="D592" s="8"/>
      <c r="E592" s="8" t="s">
        <v>2471</v>
      </c>
      <c r="F592" s="9">
        <v>250.0</v>
      </c>
      <c r="G592" s="31" t="s">
        <v>2472</v>
      </c>
      <c r="H592" s="11" t="s">
        <v>44</v>
      </c>
      <c r="I592" s="41">
        <v>9.874028715E9</v>
      </c>
      <c r="J592" s="11" t="s">
        <v>25</v>
      </c>
      <c r="K592" s="12"/>
      <c r="L592" s="13"/>
      <c r="M592" s="14"/>
      <c r="N592" s="15"/>
      <c r="O592" s="5" t="s">
        <v>26</v>
      </c>
      <c r="P592" s="5"/>
      <c r="Q592" s="15"/>
      <c r="R592" s="16" t="s">
        <v>28</v>
      </c>
      <c r="S592" s="15"/>
      <c r="T592" s="15"/>
      <c r="U592" s="15"/>
      <c r="V592" s="15"/>
      <c r="W592" s="15"/>
      <c r="X592" s="15"/>
      <c r="Y592" s="15"/>
      <c r="Z592" s="15"/>
      <c r="AA592" s="15"/>
    </row>
    <row r="593">
      <c r="A593" s="5" t="s">
        <v>2473</v>
      </c>
      <c r="B593" s="6" t="s">
        <v>2474</v>
      </c>
      <c r="C593" s="40" t="s">
        <v>2475</v>
      </c>
      <c r="D593" s="8"/>
      <c r="E593" s="8" t="s">
        <v>2476</v>
      </c>
      <c r="F593" s="9">
        <v>10000.0</v>
      </c>
      <c r="G593" s="31" t="s">
        <v>2477</v>
      </c>
      <c r="H593" s="11" t="s">
        <v>2478</v>
      </c>
      <c r="I593" s="41">
        <v>8.82098984E9</v>
      </c>
      <c r="J593" s="11" t="s">
        <v>25</v>
      </c>
      <c r="K593" s="12"/>
      <c r="L593" s="13"/>
      <c r="M593" s="14"/>
      <c r="N593" s="15"/>
      <c r="O593" s="5" t="s">
        <v>34</v>
      </c>
      <c r="P593" s="5" t="s">
        <v>2479</v>
      </c>
      <c r="Q593" s="15"/>
      <c r="R593" s="16" t="s">
        <v>28</v>
      </c>
      <c r="S593" s="15"/>
      <c r="T593" s="15"/>
      <c r="U593" s="15"/>
      <c r="V593" s="15"/>
      <c r="W593" s="15"/>
      <c r="X593" s="15"/>
      <c r="Y593" s="15"/>
      <c r="Z593" s="15"/>
      <c r="AA593" s="15"/>
    </row>
    <row r="594">
      <c r="A594" s="5" t="s">
        <v>2473</v>
      </c>
      <c r="B594" s="6" t="s">
        <v>2480</v>
      </c>
      <c r="C594" s="87" t="s">
        <v>2481</v>
      </c>
      <c r="D594" s="88"/>
      <c r="E594" s="88" t="s">
        <v>2482</v>
      </c>
      <c r="F594" s="9">
        <v>2000.0</v>
      </c>
      <c r="G594" s="31" t="s">
        <v>2483</v>
      </c>
      <c r="H594" s="11" t="s">
        <v>131</v>
      </c>
      <c r="I594" s="41" t="s">
        <v>2484</v>
      </c>
      <c r="J594" s="11" t="s">
        <v>25</v>
      </c>
      <c r="K594" s="12" t="s">
        <v>2485</v>
      </c>
      <c r="L594" s="13"/>
      <c r="M594" s="14"/>
      <c r="N594" s="15"/>
      <c r="O594" s="5" t="s">
        <v>26</v>
      </c>
      <c r="P594" s="5" t="s">
        <v>2486</v>
      </c>
      <c r="Q594" s="15"/>
      <c r="R594" s="16" t="s">
        <v>28</v>
      </c>
      <c r="S594" s="15"/>
      <c r="T594" s="15"/>
      <c r="U594" s="15"/>
      <c r="V594" s="15"/>
      <c r="W594" s="15"/>
      <c r="X594" s="15"/>
      <c r="Y594" s="15"/>
      <c r="Z594" s="15"/>
      <c r="AA594" s="15"/>
    </row>
    <row r="595">
      <c r="A595" s="5" t="s">
        <v>2473</v>
      </c>
      <c r="B595" s="6" t="s">
        <v>2487</v>
      </c>
      <c r="C595" s="40" t="s">
        <v>2488</v>
      </c>
      <c r="D595" s="8"/>
      <c r="E595" s="8" t="s">
        <v>1629</v>
      </c>
      <c r="F595" s="9">
        <v>30000.0</v>
      </c>
      <c r="G595" s="31" t="s">
        <v>2489</v>
      </c>
      <c r="H595" s="11" t="s">
        <v>44</v>
      </c>
      <c r="I595" s="41">
        <v>9.051284657E9</v>
      </c>
      <c r="J595" s="11" t="s">
        <v>25</v>
      </c>
      <c r="K595" s="12"/>
      <c r="L595" s="13"/>
      <c r="M595" s="14"/>
      <c r="N595" s="15"/>
      <c r="O595" s="5" t="s">
        <v>26</v>
      </c>
      <c r="P595" s="5"/>
      <c r="Q595" s="15"/>
      <c r="R595" s="16" t="s">
        <v>28</v>
      </c>
      <c r="S595" s="15"/>
      <c r="T595" s="15"/>
      <c r="U595" s="15"/>
      <c r="V595" s="15"/>
      <c r="W595" s="15"/>
      <c r="X595" s="15"/>
      <c r="Y595" s="15"/>
      <c r="Z595" s="15"/>
      <c r="AA595" s="15"/>
    </row>
    <row r="596">
      <c r="A596" s="5" t="s">
        <v>2490</v>
      </c>
      <c r="B596" s="6" t="s">
        <v>2491</v>
      </c>
      <c r="C596" s="40" t="s">
        <v>2492</v>
      </c>
      <c r="D596" s="8"/>
      <c r="E596" s="8" t="s">
        <v>235</v>
      </c>
      <c r="F596" s="9">
        <v>5000.0</v>
      </c>
      <c r="G596" s="43"/>
      <c r="H596" s="11" t="s">
        <v>906</v>
      </c>
      <c r="I596" s="41">
        <v>8.16820362E9</v>
      </c>
      <c r="J596" s="11" t="s">
        <v>25</v>
      </c>
      <c r="K596" s="12"/>
      <c r="L596" s="13"/>
      <c r="M596" s="14"/>
      <c r="N596" s="15"/>
      <c r="O596" s="5" t="s">
        <v>108</v>
      </c>
      <c r="P596" s="5" t="s">
        <v>2493</v>
      </c>
      <c r="Q596" s="15"/>
      <c r="R596" s="16" t="s">
        <v>28</v>
      </c>
      <c r="S596" s="15"/>
      <c r="T596" s="15"/>
      <c r="U596" s="15"/>
      <c r="V596" s="15"/>
      <c r="W596" s="15"/>
      <c r="X596" s="15"/>
      <c r="Y596" s="15"/>
      <c r="Z596" s="15"/>
      <c r="AA596" s="15"/>
    </row>
    <row r="597">
      <c r="A597" s="5" t="s">
        <v>2490</v>
      </c>
      <c r="B597" s="6" t="s">
        <v>2494</v>
      </c>
      <c r="C597" s="40" t="s">
        <v>2495</v>
      </c>
      <c r="D597" s="8"/>
      <c r="E597" s="8" t="s">
        <v>353</v>
      </c>
      <c r="F597" s="9">
        <v>500.0</v>
      </c>
      <c r="G597" s="31" t="s">
        <v>2496</v>
      </c>
      <c r="H597" s="11" t="s">
        <v>44</v>
      </c>
      <c r="I597" s="41" t="s">
        <v>2497</v>
      </c>
      <c r="J597" s="11" t="s">
        <v>25</v>
      </c>
      <c r="K597" s="12"/>
      <c r="L597" s="13"/>
      <c r="M597" s="14"/>
      <c r="N597" s="15"/>
      <c r="O597" s="5" t="s">
        <v>34</v>
      </c>
      <c r="P597" s="5" t="s">
        <v>2498</v>
      </c>
      <c r="Q597" s="15"/>
      <c r="R597" s="16" t="s">
        <v>28</v>
      </c>
      <c r="S597" s="15"/>
      <c r="T597" s="15"/>
      <c r="U597" s="15"/>
      <c r="V597" s="15"/>
      <c r="W597" s="15"/>
      <c r="X597" s="15"/>
      <c r="Y597" s="15"/>
      <c r="Z597" s="15"/>
      <c r="AA597" s="15"/>
    </row>
    <row r="598">
      <c r="A598" s="5" t="s">
        <v>2490</v>
      </c>
      <c r="B598" s="6" t="s">
        <v>2499</v>
      </c>
      <c r="C598" s="40" t="s">
        <v>2500</v>
      </c>
      <c r="D598" s="8"/>
      <c r="E598" s="8" t="s">
        <v>2501</v>
      </c>
      <c r="F598" s="9">
        <v>5000.0</v>
      </c>
      <c r="G598" s="31" t="s">
        <v>2502</v>
      </c>
      <c r="H598" s="36" t="s">
        <v>2503</v>
      </c>
      <c r="I598" s="41">
        <v>8.92727945E9</v>
      </c>
      <c r="J598" s="11" t="s">
        <v>25</v>
      </c>
      <c r="K598" s="12" t="s">
        <v>2504</v>
      </c>
      <c r="L598" s="13"/>
      <c r="M598" s="14"/>
      <c r="N598" s="15"/>
      <c r="O598" s="5" t="s">
        <v>26</v>
      </c>
      <c r="P598" s="5" t="s">
        <v>453</v>
      </c>
      <c r="Q598" s="15"/>
      <c r="R598" s="16" t="s">
        <v>28</v>
      </c>
      <c r="S598" s="15"/>
      <c r="T598" s="15"/>
      <c r="U598" s="15"/>
      <c r="V598" s="15"/>
      <c r="W598" s="15"/>
      <c r="X598" s="15"/>
      <c r="Y598" s="15"/>
      <c r="Z598" s="15"/>
      <c r="AA598" s="15"/>
    </row>
    <row r="599">
      <c r="A599" s="5" t="s">
        <v>2490</v>
      </c>
      <c r="B599" s="6" t="s">
        <v>2505</v>
      </c>
      <c r="C599" s="40" t="s">
        <v>2506</v>
      </c>
      <c r="D599" s="8"/>
      <c r="E599" s="8" t="s">
        <v>2159</v>
      </c>
      <c r="F599" s="9">
        <v>20000.0</v>
      </c>
      <c r="G599" s="43" t="s">
        <v>2507</v>
      </c>
      <c r="H599" s="11" t="s">
        <v>507</v>
      </c>
      <c r="I599" s="41">
        <v>8.591435762E9</v>
      </c>
      <c r="J599" s="11" t="s">
        <v>25</v>
      </c>
      <c r="K599" s="12"/>
      <c r="L599" s="13"/>
      <c r="M599" s="14"/>
      <c r="N599" s="15"/>
      <c r="O599" s="5" t="s">
        <v>108</v>
      </c>
      <c r="P599" s="5"/>
      <c r="Q599" s="15"/>
      <c r="R599" s="16" t="s">
        <v>28</v>
      </c>
      <c r="S599" s="15"/>
      <c r="T599" s="15"/>
      <c r="U599" s="15"/>
      <c r="V599" s="15"/>
      <c r="W599" s="15"/>
      <c r="X599" s="15"/>
      <c r="Y599" s="15"/>
      <c r="Z599" s="15"/>
      <c r="AA599" s="15"/>
    </row>
    <row r="600">
      <c r="A600" s="5" t="s">
        <v>2490</v>
      </c>
      <c r="B600" s="6" t="s">
        <v>2508</v>
      </c>
      <c r="C600" s="40" t="s">
        <v>2509</v>
      </c>
      <c r="D600" s="8"/>
      <c r="E600" s="8" t="s">
        <v>2476</v>
      </c>
      <c r="F600" s="9"/>
      <c r="G600" s="31" t="s">
        <v>2510</v>
      </c>
      <c r="H600" s="11" t="s">
        <v>44</v>
      </c>
      <c r="I600" s="41">
        <v>8.58402877E9</v>
      </c>
      <c r="J600" s="11" t="s">
        <v>25</v>
      </c>
      <c r="K600" s="12"/>
      <c r="L600" s="13"/>
      <c r="M600" s="14"/>
      <c r="N600" s="15"/>
      <c r="O600" s="5" t="s">
        <v>34</v>
      </c>
      <c r="P600" s="5" t="s">
        <v>727</v>
      </c>
      <c r="Q600" s="15"/>
      <c r="R600" s="16" t="s">
        <v>28</v>
      </c>
      <c r="S600" s="15"/>
      <c r="T600" s="15"/>
      <c r="U600" s="15"/>
      <c r="V600" s="15"/>
      <c r="W600" s="15"/>
      <c r="X600" s="15"/>
      <c r="Y600" s="15"/>
      <c r="Z600" s="15"/>
      <c r="AA600" s="15"/>
    </row>
    <row r="601">
      <c r="A601" s="5" t="s">
        <v>2490</v>
      </c>
      <c r="B601" s="6" t="s">
        <v>2511</v>
      </c>
      <c r="C601" s="40" t="s">
        <v>2512</v>
      </c>
      <c r="D601" s="8"/>
      <c r="E601" s="8" t="s">
        <v>1023</v>
      </c>
      <c r="F601" s="9">
        <v>35000.0</v>
      </c>
      <c r="G601" s="43" t="s">
        <v>2513</v>
      </c>
      <c r="H601" s="11" t="s">
        <v>1143</v>
      </c>
      <c r="I601" s="41">
        <v>8.871366006E9</v>
      </c>
      <c r="J601" s="11" t="s">
        <v>25</v>
      </c>
      <c r="K601" s="12"/>
      <c r="L601" s="13"/>
      <c r="M601" s="14"/>
      <c r="N601" s="15"/>
      <c r="O601" s="5" t="s">
        <v>108</v>
      </c>
      <c r="P601" s="5"/>
      <c r="Q601" s="15"/>
      <c r="R601" s="16" t="s">
        <v>28</v>
      </c>
      <c r="S601" s="15"/>
      <c r="T601" s="15"/>
      <c r="U601" s="15"/>
      <c r="V601" s="15"/>
      <c r="W601" s="15"/>
      <c r="X601" s="15"/>
      <c r="Y601" s="15"/>
      <c r="Z601" s="15"/>
      <c r="AA601" s="15"/>
    </row>
    <row r="602">
      <c r="A602" s="5" t="s">
        <v>2490</v>
      </c>
      <c r="B602" s="6" t="s">
        <v>2514</v>
      </c>
      <c r="C602" s="40" t="s">
        <v>2515</v>
      </c>
      <c r="D602" s="8"/>
      <c r="E602" s="8" t="s">
        <v>1629</v>
      </c>
      <c r="F602" s="9"/>
      <c r="G602" s="31" t="s">
        <v>2516</v>
      </c>
      <c r="H602" s="11" t="s">
        <v>495</v>
      </c>
      <c r="I602" s="41">
        <v>9.661586471E9</v>
      </c>
      <c r="J602" s="11" t="s">
        <v>25</v>
      </c>
      <c r="K602" s="12"/>
      <c r="L602" s="13"/>
      <c r="M602" s="14"/>
      <c r="N602" s="15"/>
      <c r="O602" s="5" t="s">
        <v>26</v>
      </c>
      <c r="P602" s="5" t="s">
        <v>2517</v>
      </c>
      <c r="Q602" s="15"/>
      <c r="R602" s="16" t="s">
        <v>28</v>
      </c>
      <c r="S602" s="15"/>
      <c r="T602" s="15"/>
      <c r="U602" s="15"/>
      <c r="V602" s="15"/>
      <c r="W602" s="15"/>
      <c r="X602" s="15"/>
      <c r="Y602" s="15"/>
      <c r="Z602" s="15"/>
      <c r="AA602" s="15"/>
    </row>
    <row r="603">
      <c r="A603" s="5" t="s">
        <v>2490</v>
      </c>
      <c r="B603" s="6" t="s">
        <v>2518</v>
      </c>
      <c r="C603" s="40" t="s">
        <v>2519</v>
      </c>
      <c r="D603" s="8"/>
      <c r="E603" s="8" t="s">
        <v>1814</v>
      </c>
      <c r="F603" s="9">
        <v>100000.0</v>
      </c>
      <c r="G603" s="31" t="s">
        <v>2520</v>
      </c>
      <c r="H603" s="11" t="s">
        <v>44</v>
      </c>
      <c r="I603" s="41">
        <v>7.908076192E9</v>
      </c>
      <c r="J603" s="11" t="s">
        <v>25</v>
      </c>
      <c r="K603" s="12"/>
      <c r="L603" s="13"/>
      <c r="M603" s="14"/>
      <c r="N603" s="15"/>
      <c r="O603" s="5" t="s">
        <v>26</v>
      </c>
      <c r="P603" s="5"/>
      <c r="Q603" s="15"/>
      <c r="R603" s="16" t="s">
        <v>28</v>
      </c>
      <c r="S603" s="15"/>
      <c r="T603" s="15"/>
      <c r="U603" s="15"/>
      <c r="V603" s="15"/>
      <c r="W603" s="15"/>
      <c r="X603" s="15"/>
      <c r="Y603" s="15"/>
      <c r="Z603" s="15"/>
      <c r="AA603" s="15"/>
    </row>
    <row r="604">
      <c r="A604" s="5" t="s">
        <v>2521</v>
      </c>
      <c r="B604" s="6" t="s">
        <v>2522</v>
      </c>
      <c r="C604" s="40" t="s">
        <v>2523</v>
      </c>
      <c r="D604" s="8"/>
      <c r="E604" s="8" t="s">
        <v>568</v>
      </c>
      <c r="F604" s="9">
        <v>21000.0</v>
      </c>
      <c r="G604" s="43" t="s">
        <v>2524</v>
      </c>
      <c r="H604" s="11" t="s">
        <v>507</v>
      </c>
      <c r="I604" s="41">
        <v>9.028772345E9</v>
      </c>
      <c r="J604" s="11" t="s">
        <v>25</v>
      </c>
      <c r="K604" s="12"/>
      <c r="L604" s="13"/>
      <c r="M604" s="11" t="s">
        <v>2525</v>
      </c>
      <c r="N604" s="15"/>
      <c r="O604" s="5" t="s">
        <v>108</v>
      </c>
      <c r="P604" s="5"/>
      <c r="Q604" s="15"/>
      <c r="R604" s="16" t="s">
        <v>28</v>
      </c>
      <c r="S604" s="15"/>
      <c r="T604" s="15"/>
      <c r="U604" s="15"/>
      <c r="V604" s="15"/>
      <c r="W604" s="15"/>
      <c r="X604" s="15"/>
      <c r="Y604" s="15"/>
      <c r="Z604" s="15"/>
      <c r="AA604" s="15"/>
    </row>
    <row r="605">
      <c r="A605" s="5" t="s">
        <v>2521</v>
      </c>
      <c r="B605" s="6" t="s">
        <v>2526</v>
      </c>
      <c r="C605" s="40" t="s">
        <v>2527</v>
      </c>
      <c r="D605" s="8"/>
      <c r="E605" s="8" t="s">
        <v>178</v>
      </c>
      <c r="F605" s="9">
        <v>5000.0</v>
      </c>
      <c r="G605" s="31" t="s">
        <v>2528</v>
      </c>
      <c r="H605" s="11" t="s">
        <v>44</v>
      </c>
      <c r="I605" s="41">
        <v>9.051398102E9</v>
      </c>
      <c r="J605" s="11" t="s">
        <v>25</v>
      </c>
      <c r="K605" s="12"/>
      <c r="L605" s="13"/>
      <c r="M605" s="14"/>
      <c r="N605" s="15"/>
      <c r="O605" s="5" t="s">
        <v>34</v>
      </c>
      <c r="P605" s="5" t="s">
        <v>957</v>
      </c>
      <c r="Q605" s="15"/>
      <c r="R605" s="16" t="s">
        <v>28</v>
      </c>
      <c r="S605" s="15"/>
      <c r="T605" s="15"/>
      <c r="U605" s="15"/>
      <c r="V605" s="15"/>
      <c r="W605" s="15"/>
      <c r="X605" s="15"/>
      <c r="Y605" s="15"/>
      <c r="Z605" s="15"/>
      <c r="AA605" s="15"/>
    </row>
    <row r="606">
      <c r="A606" s="5" t="s">
        <v>2521</v>
      </c>
      <c r="B606" s="6" t="s">
        <v>2529</v>
      </c>
      <c r="C606" s="40" t="s">
        <v>2530</v>
      </c>
      <c r="D606" s="8"/>
      <c r="E606" s="8" t="s">
        <v>872</v>
      </c>
      <c r="F606" s="9">
        <v>5000.0</v>
      </c>
      <c r="G606" s="31" t="s">
        <v>2531</v>
      </c>
      <c r="H606" s="11" t="s">
        <v>44</v>
      </c>
      <c r="I606" s="41" t="s">
        <v>2532</v>
      </c>
      <c r="J606" s="11" t="s">
        <v>25</v>
      </c>
      <c r="K606" s="12" t="s">
        <v>2533</v>
      </c>
      <c r="L606" s="13"/>
      <c r="M606" s="14"/>
      <c r="N606" s="15"/>
      <c r="O606" s="5" t="s">
        <v>26</v>
      </c>
      <c r="P606" s="5" t="s">
        <v>2534</v>
      </c>
      <c r="Q606" s="15"/>
      <c r="R606" s="16" t="s">
        <v>28</v>
      </c>
      <c r="S606" s="15"/>
      <c r="T606" s="15"/>
      <c r="U606" s="15"/>
      <c r="V606" s="15"/>
      <c r="W606" s="15"/>
      <c r="X606" s="15"/>
      <c r="Y606" s="15"/>
      <c r="Z606" s="15"/>
      <c r="AA606" s="15"/>
    </row>
    <row r="607">
      <c r="A607" s="5" t="s">
        <v>2521</v>
      </c>
      <c r="B607" s="6" t="s">
        <v>2535</v>
      </c>
      <c r="C607" s="40" t="s">
        <v>2536</v>
      </c>
      <c r="D607" s="8"/>
      <c r="E607" s="8" t="s">
        <v>1960</v>
      </c>
      <c r="F607" s="9">
        <v>8500.0</v>
      </c>
      <c r="G607" s="43"/>
      <c r="H607" s="11" t="s">
        <v>495</v>
      </c>
      <c r="I607" s="41">
        <v>8.709022851E9</v>
      </c>
      <c r="J607" s="11" t="s">
        <v>25</v>
      </c>
      <c r="K607" s="12"/>
      <c r="L607" s="13"/>
      <c r="M607" s="14"/>
      <c r="N607" s="15"/>
      <c r="O607" s="5" t="s">
        <v>26</v>
      </c>
      <c r="P607" s="5" t="s">
        <v>2537</v>
      </c>
      <c r="Q607" s="15"/>
      <c r="R607" s="16" t="s">
        <v>28</v>
      </c>
      <c r="S607" s="15"/>
      <c r="T607" s="15"/>
      <c r="U607" s="15"/>
      <c r="V607" s="15"/>
      <c r="W607" s="15"/>
      <c r="X607" s="15"/>
      <c r="Y607" s="15"/>
      <c r="Z607" s="15"/>
      <c r="AA607" s="15"/>
    </row>
    <row r="608">
      <c r="A608" s="5" t="s">
        <v>2521</v>
      </c>
      <c r="B608" s="6" t="s">
        <v>2538</v>
      </c>
      <c r="C608" s="40" t="s">
        <v>2539</v>
      </c>
      <c r="D608" s="8"/>
      <c r="E608" s="8" t="s">
        <v>130</v>
      </c>
      <c r="F608" s="9">
        <v>2000.0</v>
      </c>
      <c r="G608" s="43" t="s">
        <v>2540</v>
      </c>
      <c r="H608" s="11" t="s">
        <v>99</v>
      </c>
      <c r="I608" s="41">
        <v>8.847811831E9</v>
      </c>
      <c r="J608" s="11" t="s">
        <v>25</v>
      </c>
      <c r="K608" s="12"/>
      <c r="L608" s="13"/>
      <c r="M608" s="14"/>
      <c r="N608" s="15"/>
      <c r="O608" s="5" t="s">
        <v>34</v>
      </c>
      <c r="P608" s="5" t="s">
        <v>957</v>
      </c>
      <c r="Q608" s="15"/>
      <c r="R608" s="16" t="s">
        <v>28</v>
      </c>
      <c r="S608" s="15"/>
      <c r="T608" s="15"/>
      <c r="U608" s="15"/>
      <c r="V608" s="15"/>
      <c r="W608" s="15"/>
      <c r="X608" s="15"/>
      <c r="Y608" s="15"/>
      <c r="Z608" s="15"/>
      <c r="AA608" s="15"/>
    </row>
    <row r="609">
      <c r="A609" s="5" t="s">
        <v>2521</v>
      </c>
      <c r="B609" s="6" t="s">
        <v>2541</v>
      </c>
      <c r="C609" s="40" t="s">
        <v>2542</v>
      </c>
      <c r="D609" s="8"/>
      <c r="E609" s="8" t="s">
        <v>794</v>
      </c>
      <c r="F609" s="9">
        <v>2000.0</v>
      </c>
      <c r="G609" s="43"/>
      <c r="H609" s="11" t="s">
        <v>44</v>
      </c>
      <c r="I609" s="41">
        <v>9.07394039E9</v>
      </c>
      <c r="J609" s="11" t="s">
        <v>25</v>
      </c>
      <c r="K609" s="12"/>
      <c r="L609" s="13"/>
      <c r="M609" s="14"/>
      <c r="N609" s="15"/>
      <c r="O609" s="5" t="s">
        <v>34</v>
      </c>
      <c r="P609" s="5" t="s">
        <v>2543</v>
      </c>
      <c r="Q609" s="15"/>
      <c r="R609" s="16" t="s">
        <v>28</v>
      </c>
      <c r="S609" s="15"/>
      <c r="T609" s="15"/>
      <c r="U609" s="15"/>
      <c r="V609" s="15"/>
      <c r="W609" s="15"/>
      <c r="X609" s="15"/>
      <c r="Y609" s="15"/>
      <c r="Z609" s="15"/>
      <c r="AA609" s="15"/>
    </row>
    <row r="610">
      <c r="A610" s="5" t="s">
        <v>2521</v>
      </c>
      <c r="B610" s="6" t="s">
        <v>2544</v>
      </c>
      <c r="C610" s="40" t="s">
        <v>2545</v>
      </c>
      <c r="D610" s="8"/>
      <c r="E610" s="8" t="s">
        <v>2546</v>
      </c>
      <c r="F610" s="9">
        <v>1000.0</v>
      </c>
      <c r="G610" s="31" t="s">
        <v>2547</v>
      </c>
      <c r="H610" s="36" t="s">
        <v>118</v>
      </c>
      <c r="I610" s="41">
        <v>9.002121215E9</v>
      </c>
      <c r="J610" s="11" t="s">
        <v>25</v>
      </c>
      <c r="K610" s="12" t="s">
        <v>2548</v>
      </c>
      <c r="L610" s="13"/>
      <c r="M610" s="14"/>
      <c r="N610" s="15"/>
      <c r="O610" s="5" t="s">
        <v>26</v>
      </c>
      <c r="P610" s="5"/>
      <c r="Q610" s="15"/>
      <c r="R610" s="16" t="s">
        <v>28</v>
      </c>
      <c r="S610" s="15"/>
      <c r="T610" s="15"/>
      <c r="U610" s="15"/>
      <c r="V610" s="15"/>
      <c r="W610" s="15"/>
      <c r="X610" s="15"/>
      <c r="Y610" s="15"/>
      <c r="Z610" s="15"/>
      <c r="AA610" s="15"/>
    </row>
    <row r="611">
      <c r="A611" s="5" t="s">
        <v>2549</v>
      </c>
      <c r="B611" s="6" t="s">
        <v>2550</v>
      </c>
      <c r="C611" s="40" t="s">
        <v>2551</v>
      </c>
      <c r="D611" s="8"/>
      <c r="E611" s="8" t="s">
        <v>1960</v>
      </c>
      <c r="F611" s="9">
        <v>10000.0</v>
      </c>
      <c r="G611" s="43"/>
      <c r="H611" s="11" t="s">
        <v>107</v>
      </c>
      <c r="I611" s="41">
        <v>8.510056664E9</v>
      </c>
      <c r="J611" s="11" t="s">
        <v>25</v>
      </c>
      <c r="K611" s="12"/>
      <c r="L611" s="13"/>
      <c r="M611" s="14"/>
      <c r="N611" s="15"/>
      <c r="O611" s="5" t="s">
        <v>108</v>
      </c>
      <c r="P611" s="5"/>
      <c r="Q611" s="15"/>
      <c r="R611" s="16" t="s">
        <v>28</v>
      </c>
      <c r="S611" s="15"/>
      <c r="T611" s="15"/>
      <c r="U611" s="15"/>
      <c r="V611" s="15"/>
      <c r="W611" s="15"/>
      <c r="X611" s="15"/>
      <c r="Y611" s="15"/>
      <c r="Z611" s="15"/>
      <c r="AA611" s="15"/>
    </row>
    <row r="612">
      <c r="A612" s="5" t="s">
        <v>2549</v>
      </c>
      <c r="B612" s="6" t="s">
        <v>2552</v>
      </c>
      <c r="C612" s="40" t="s">
        <v>2553</v>
      </c>
      <c r="D612" s="8"/>
      <c r="E612" s="8" t="s">
        <v>2554</v>
      </c>
      <c r="F612" s="9">
        <v>800.0</v>
      </c>
      <c r="G612" s="31" t="s">
        <v>2555</v>
      </c>
      <c r="H612" s="11" t="s">
        <v>44</v>
      </c>
      <c r="I612" s="41">
        <v>8.910191715E9</v>
      </c>
      <c r="J612" s="11" t="s">
        <v>25</v>
      </c>
      <c r="K612" s="12" t="s">
        <v>2556</v>
      </c>
      <c r="L612" s="13"/>
      <c r="M612" s="14"/>
      <c r="N612" s="15"/>
      <c r="O612" s="5" t="s">
        <v>26</v>
      </c>
      <c r="P612" s="5"/>
      <c r="Q612" s="15"/>
      <c r="R612" s="16" t="s">
        <v>28</v>
      </c>
      <c r="S612" s="15"/>
      <c r="T612" s="15"/>
      <c r="U612" s="15"/>
      <c r="V612" s="15"/>
      <c r="W612" s="15"/>
      <c r="X612" s="15"/>
      <c r="Y612" s="15"/>
      <c r="Z612" s="15"/>
      <c r="AA612" s="15"/>
    </row>
    <row r="613">
      <c r="A613" s="5" t="s">
        <v>2549</v>
      </c>
      <c r="B613" s="6" t="s">
        <v>2557</v>
      </c>
      <c r="C613" s="40" t="s">
        <v>2558</v>
      </c>
      <c r="D613" s="8"/>
      <c r="E613" s="8" t="s">
        <v>1550</v>
      </c>
      <c r="F613" s="9">
        <v>30000.0</v>
      </c>
      <c r="G613" s="43" t="s">
        <v>2559</v>
      </c>
      <c r="H613" s="11" t="s">
        <v>906</v>
      </c>
      <c r="I613" s="41">
        <v>7.777088798E9</v>
      </c>
      <c r="J613" s="11" t="s">
        <v>25</v>
      </c>
      <c r="K613" s="12"/>
      <c r="L613" s="13"/>
      <c r="M613" s="14"/>
      <c r="N613" s="15"/>
      <c r="O613" s="5" t="s">
        <v>108</v>
      </c>
      <c r="P613" s="5"/>
      <c r="Q613" s="15"/>
      <c r="R613" s="16" t="s">
        <v>28</v>
      </c>
      <c r="S613" s="15"/>
      <c r="T613" s="15"/>
      <c r="U613" s="15"/>
      <c r="V613" s="15"/>
      <c r="W613" s="15"/>
      <c r="X613" s="15"/>
      <c r="Y613" s="15"/>
      <c r="Z613" s="15"/>
      <c r="AA613" s="15"/>
    </row>
    <row r="614">
      <c r="A614" s="5" t="s">
        <v>2549</v>
      </c>
      <c r="B614" s="6" t="s">
        <v>2560</v>
      </c>
      <c r="C614" s="40" t="s">
        <v>2561</v>
      </c>
      <c r="D614" s="8"/>
      <c r="E614" s="8" t="s">
        <v>227</v>
      </c>
      <c r="F614" s="9">
        <v>100000.0</v>
      </c>
      <c r="G614" s="31" t="s">
        <v>2562</v>
      </c>
      <c r="H614" s="11" t="s">
        <v>44</v>
      </c>
      <c r="I614" s="41">
        <v>9.836986E9</v>
      </c>
      <c r="J614" s="11" t="s">
        <v>25</v>
      </c>
      <c r="K614" s="12"/>
      <c r="L614" s="13"/>
      <c r="M614" s="14"/>
      <c r="N614" s="15"/>
      <c r="O614" s="5" t="s">
        <v>26</v>
      </c>
      <c r="P614" s="5"/>
      <c r="Q614" s="15"/>
      <c r="R614" s="16" t="s">
        <v>28</v>
      </c>
      <c r="S614" s="15"/>
      <c r="T614" s="15"/>
      <c r="U614" s="15"/>
      <c r="V614" s="15"/>
      <c r="W614" s="15"/>
      <c r="X614" s="15"/>
      <c r="Y614" s="15"/>
      <c r="Z614" s="15"/>
      <c r="AA614" s="15"/>
    </row>
    <row r="615">
      <c r="A615" s="5" t="s">
        <v>2549</v>
      </c>
      <c r="B615" s="6" t="s">
        <v>2563</v>
      </c>
      <c r="C615" s="40" t="s">
        <v>2564</v>
      </c>
      <c r="D615" s="8"/>
      <c r="E615" s="8" t="s">
        <v>718</v>
      </c>
      <c r="F615" s="9">
        <v>1000.0</v>
      </c>
      <c r="G615" s="43" t="s">
        <v>2565</v>
      </c>
      <c r="H615" s="11" t="s">
        <v>44</v>
      </c>
      <c r="I615" s="41">
        <v>8.420637567E9</v>
      </c>
      <c r="J615" s="11" t="s">
        <v>25</v>
      </c>
      <c r="K615" s="12"/>
      <c r="L615" s="13"/>
      <c r="M615" s="14"/>
      <c r="N615" s="15"/>
      <c r="O615" s="5" t="s">
        <v>26</v>
      </c>
      <c r="P615" s="5"/>
      <c r="Q615" s="15"/>
      <c r="R615" s="16" t="s">
        <v>28</v>
      </c>
      <c r="S615" s="15"/>
      <c r="T615" s="15"/>
      <c r="U615" s="15"/>
      <c r="V615" s="15"/>
      <c r="W615" s="15"/>
      <c r="X615" s="15"/>
      <c r="Y615" s="15"/>
      <c r="Z615" s="15"/>
      <c r="AA615" s="15"/>
    </row>
    <row r="616">
      <c r="A616" s="5" t="s">
        <v>2549</v>
      </c>
      <c r="B616" s="6" t="s">
        <v>2566</v>
      </c>
      <c r="C616" s="40" t="s">
        <v>2567</v>
      </c>
      <c r="D616" s="8"/>
      <c r="E616" s="8" t="s">
        <v>130</v>
      </c>
      <c r="F616" s="9">
        <v>15000.0</v>
      </c>
      <c r="G616" s="43"/>
      <c r="H616" s="11" t="s">
        <v>495</v>
      </c>
      <c r="I616" s="41">
        <v>9.155587666E9</v>
      </c>
      <c r="J616" s="11" t="s">
        <v>25</v>
      </c>
      <c r="K616" s="12"/>
      <c r="L616" s="13"/>
      <c r="M616" s="14"/>
      <c r="N616" s="15"/>
      <c r="O616" s="5" t="s">
        <v>34</v>
      </c>
      <c r="P616" s="5" t="s">
        <v>727</v>
      </c>
      <c r="Q616" s="15"/>
      <c r="R616" s="16" t="s">
        <v>28</v>
      </c>
      <c r="S616" s="15"/>
      <c r="T616" s="15"/>
      <c r="U616" s="15"/>
      <c r="V616" s="15"/>
      <c r="W616" s="15"/>
      <c r="X616" s="15"/>
      <c r="Y616" s="15"/>
      <c r="Z616" s="15"/>
      <c r="AA616" s="15"/>
    </row>
    <row r="617">
      <c r="A617" s="5" t="s">
        <v>2549</v>
      </c>
      <c r="B617" s="6" t="s">
        <v>2568</v>
      </c>
      <c r="C617" s="40" t="s">
        <v>2569</v>
      </c>
      <c r="D617" s="8"/>
      <c r="E617" s="8" t="s">
        <v>2570</v>
      </c>
      <c r="F617" s="9">
        <v>500.0</v>
      </c>
      <c r="G617" s="31" t="s">
        <v>2571</v>
      </c>
      <c r="H617" s="36" t="s">
        <v>2572</v>
      </c>
      <c r="I617" s="41" t="s">
        <v>2573</v>
      </c>
      <c r="J617" s="11" t="s">
        <v>25</v>
      </c>
      <c r="K617" s="12"/>
      <c r="L617" s="13"/>
      <c r="M617" s="14"/>
      <c r="N617" s="15"/>
      <c r="O617" s="5" t="s">
        <v>34</v>
      </c>
      <c r="P617" s="5"/>
      <c r="Q617" s="15"/>
      <c r="R617" s="16" t="s">
        <v>28</v>
      </c>
      <c r="S617" s="15"/>
      <c r="T617" s="15"/>
      <c r="U617" s="15"/>
      <c r="V617" s="15"/>
      <c r="W617" s="15"/>
      <c r="X617" s="15"/>
      <c r="Y617" s="15"/>
      <c r="Z617" s="15"/>
      <c r="AA617" s="15"/>
    </row>
    <row r="618">
      <c r="A618" s="5" t="s">
        <v>2549</v>
      </c>
      <c r="B618" s="6" t="s">
        <v>2574</v>
      </c>
      <c r="C618" s="40" t="s">
        <v>2575</v>
      </c>
      <c r="D618" s="8"/>
      <c r="E618" s="8" t="s">
        <v>2576</v>
      </c>
      <c r="F618" s="9">
        <v>25000.0</v>
      </c>
      <c r="G618" s="31" t="s">
        <v>502</v>
      </c>
      <c r="H618" s="36" t="s">
        <v>1691</v>
      </c>
      <c r="I618" s="41">
        <v>7.431897443E9</v>
      </c>
      <c r="J618" s="11" t="s">
        <v>25</v>
      </c>
      <c r="K618" s="12" t="s">
        <v>2577</v>
      </c>
      <c r="L618" s="13"/>
      <c r="M618" s="14"/>
      <c r="N618" s="15"/>
      <c r="O618" s="5" t="s">
        <v>26</v>
      </c>
      <c r="P618" s="5" t="s">
        <v>2578</v>
      </c>
      <c r="Q618" s="15"/>
      <c r="R618" s="16" t="s">
        <v>28</v>
      </c>
      <c r="S618" s="15"/>
      <c r="T618" s="15"/>
      <c r="U618" s="15"/>
      <c r="V618" s="15"/>
      <c r="W618" s="15"/>
      <c r="X618" s="15"/>
      <c r="Y618" s="15"/>
      <c r="Z618" s="15"/>
      <c r="AA618" s="15"/>
    </row>
    <row r="619">
      <c r="A619" s="5" t="s">
        <v>2579</v>
      </c>
      <c r="B619" s="6" t="s">
        <v>2580</v>
      </c>
      <c r="C619" s="40" t="s">
        <v>2581</v>
      </c>
      <c r="D619" s="8"/>
      <c r="E619" s="8" t="s">
        <v>178</v>
      </c>
      <c r="F619" s="9">
        <v>20000.0</v>
      </c>
      <c r="G619" s="43"/>
      <c r="H619" s="11" t="s">
        <v>507</v>
      </c>
      <c r="I619" s="41">
        <v>9.765119177E9</v>
      </c>
      <c r="J619" s="11" t="s">
        <v>25</v>
      </c>
      <c r="K619" s="12"/>
      <c r="L619" s="13"/>
      <c r="M619" s="14"/>
      <c r="N619" s="15"/>
      <c r="O619" s="5" t="s">
        <v>108</v>
      </c>
      <c r="P619" s="5"/>
      <c r="Q619" s="15"/>
      <c r="R619" s="16" t="s">
        <v>28</v>
      </c>
      <c r="S619" s="15"/>
      <c r="T619" s="15"/>
      <c r="U619" s="15"/>
      <c r="V619" s="15"/>
      <c r="W619" s="15"/>
      <c r="X619" s="15"/>
      <c r="Y619" s="15"/>
      <c r="Z619" s="15"/>
      <c r="AA619" s="15"/>
    </row>
    <row r="620">
      <c r="A620" s="5" t="s">
        <v>2579</v>
      </c>
      <c r="B620" s="6" t="s">
        <v>2582</v>
      </c>
      <c r="C620" s="40" t="s">
        <v>2569</v>
      </c>
      <c r="D620" s="8"/>
      <c r="E620" s="8" t="s">
        <v>444</v>
      </c>
      <c r="F620" s="9">
        <v>500.0</v>
      </c>
      <c r="G620" s="31" t="s">
        <v>2571</v>
      </c>
      <c r="H620" s="36" t="s">
        <v>2572</v>
      </c>
      <c r="I620" s="41" t="s">
        <v>2573</v>
      </c>
      <c r="J620" s="11" t="s">
        <v>25</v>
      </c>
      <c r="K620" s="12"/>
      <c r="L620" s="13"/>
      <c r="M620" s="14"/>
      <c r="N620" s="15"/>
      <c r="O620" s="5" t="s">
        <v>26</v>
      </c>
      <c r="P620" s="5" t="s">
        <v>79</v>
      </c>
      <c r="Q620" s="15"/>
      <c r="R620" s="16" t="s">
        <v>28</v>
      </c>
      <c r="S620" s="15"/>
      <c r="T620" s="15"/>
      <c r="U620" s="15"/>
      <c r="V620" s="15"/>
      <c r="W620" s="15"/>
      <c r="X620" s="15"/>
      <c r="Y620" s="15"/>
      <c r="Z620" s="15"/>
      <c r="AA620" s="15"/>
    </row>
    <row r="621">
      <c r="A621" s="5" t="s">
        <v>2579</v>
      </c>
      <c r="B621" s="6" t="s">
        <v>2583</v>
      </c>
      <c r="C621" s="40" t="s">
        <v>2584</v>
      </c>
      <c r="D621" s="8"/>
      <c r="E621" s="8" t="s">
        <v>2585</v>
      </c>
      <c r="F621" s="9">
        <v>2000.0</v>
      </c>
      <c r="G621" s="31" t="s">
        <v>2586</v>
      </c>
      <c r="H621" s="11" t="s">
        <v>44</v>
      </c>
      <c r="I621" s="41">
        <v>9.831041565E9</v>
      </c>
      <c r="J621" s="11" t="s">
        <v>25</v>
      </c>
      <c r="K621" s="12" t="s">
        <v>2587</v>
      </c>
      <c r="L621" s="13"/>
      <c r="M621" s="14"/>
      <c r="N621" s="15"/>
      <c r="O621" s="5" t="s">
        <v>26</v>
      </c>
      <c r="P621" s="5"/>
      <c r="Q621" s="15"/>
      <c r="R621" s="16" t="s">
        <v>28</v>
      </c>
      <c r="S621" s="15"/>
      <c r="T621" s="15"/>
      <c r="U621" s="15"/>
      <c r="V621" s="15"/>
      <c r="W621" s="15"/>
      <c r="X621" s="15"/>
      <c r="Y621" s="15"/>
      <c r="Z621" s="15"/>
      <c r="AA621" s="15"/>
    </row>
    <row r="622">
      <c r="A622" s="5" t="s">
        <v>2579</v>
      </c>
      <c r="B622" s="6" t="s">
        <v>2588</v>
      </c>
      <c r="C622" s="40" t="s">
        <v>2584</v>
      </c>
      <c r="D622" s="8"/>
      <c r="E622" s="8" t="s">
        <v>77</v>
      </c>
      <c r="F622" s="9">
        <v>1000.0</v>
      </c>
      <c r="G622" s="31" t="s">
        <v>2589</v>
      </c>
      <c r="H622" s="36" t="s">
        <v>2590</v>
      </c>
      <c r="I622" s="41">
        <v>8.697152188E9</v>
      </c>
      <c r="J622" s="11" t="s">
        <v>25</v>
      </c>
      <c r="K622" s="12"/>
      <c r="L622" s="13"/>
      <c r="M622" s="14"/>
      <c r="N622" s="15"/>
      <c r="O622" s="5" t="s">
        <v>34</v>
      </c>
      <c r="P622" s="5" t="s">
        <v>727</v>
      </c>
      <c r="Q622" s="15"/>
      <c r="R622" s="16" t="s">
        <v>28</v>
      </c>
      <c r="S622" s="15"/>
      <c r="T622" s="15"/>
      <c r="U622" s="15"/>
      <c r="V622" s="15"/>
      <c r="W622" s="15"/>
      <c r="X622" s="15"/>
      <c r="Y622" s="15"/>
      <c r="Z622" s="15"/>
      <c r="AA622" s="15"/>
    </row>
    <row r="623">
      <c r="A623" s="5" t="s">
        <v>2579</v>
      </c>
      <c r="B623" s="6" t="s">
        <v>2591</v>
      </c>
      <c r="C623" s="82" t="s">
        <v>2592</v>
      </c>
      <c r="D623" s="89"/>
      <c r="E623" s="89" t="s">
        <v>189</v>
      </c>
      <c r="F623" s="9">
        <v>10000.0</v>
      </c>
      <c r="G623" s="31" t="s">
        <v>2593</v>
      </c>
      <c r="H623" s="11" t="s">
        <v>2594</v>
      </c>
      <c r="I623" s="41">
        <v>7.501210426E9</v>
      </c>
      <c r="J623" s="11" t="s">
        <v>25</v>
      </c>
      <c r="K623" s="12" t="s">
        <v>2595</v>
      </c>
      <c r="L623" s="13"/>
      <c r="M623" s="14"/>
      <c r="N623" s="15"/>
      <c r="O623" s="5" t="s">
        <v>26</v>
      </c>
      <c r="P623" s="5" t="s">
        <v>2596</v>
      </c>
      <c r="Q623" s="15"/>
      <c r="R623" s="16" t="s">
        <v>28</v>
      </c>
      <c r="S623" s="15"/>
      <c r="T623" s="15"/>
      <c r="U623" s="15"/>
      <c r="V623" s="15"/>
      <c r="W623" s="15"/>
      <c r="X623" s="15"/>
      <c r="Y623" s="15"/>
      <c r="Z623" s="15"/>
      <c r="AA623" s="15"/>
    </row>
    <row r="624">
      <c r="A624" s="5" t="s">
        <v>2579</v>
      </c>
      <c r="B624" s="6" t="s">
        <v>2597</v>
      </c>
      <c r="C624" s="40" t="s">
        <v>2598</v>
      </c>
      <c r="D624" s="8"/>
      <c r="E624" s="8" t="s">
        <v>63</v>
      </c>
      <c r="F624" s="9">
        <v>5000.0</v>
      </c>
      <c r="G624" s="31" t="s">
        <v>2599</v>
      </c>
      <c r="H624" s="11" t="s">
        <v>44</v>
      </c>
      <c r="I624" s="41">
        <v>9.831380479E9</v>
      </c>
      <c r="J624" s="11" t="s">
        <v>25</v>
      </c>
      <c r="K624" s="12"/>
      <c r="L624" s="13"/>
      <c r="M624" s="14"/>
      <c r="N624" s="15"/>
      <c r="O624" s="5" t="s">
        <v>34</v>
      </c>
      <c r="P624" s="5"/>
      <c r="Q624" s="15"/>
      <c r="R624" s="16" t="s">
        <v>28</v>
      </c>
      <c r="S624" s="15"/>
      <c r="T624" s="15"/>
      <c r="U624" s="15"/>
      <c r="V624" s="15"/>
      <c r="W624" s="15"/>
      <c r="X624" s="15"/>
      <c r="Y624" s="15"/>
      <c r="Z624" s="15"/>
      <c r="AA624" s="15"/>
    </row>
    <row r="625">
      <c r="A625" s="5" t="s">
        <v>2579</v>
      </c>
      <c r="B625" s="6" t="s">
        <v>2600</v>
      </c>
      <c r="C625" s="40" t="s">
        <v>2601</v>
      </c>
      <c r="D625" s="8"/>
      <c r="E625" s="8" t="s">
        <v>1960</v>
      </c>
      <c r="F625" s="9">
        <v>10000.0</v>
      </c>
      <c r="G625" s="31" t="s">
        <v>2602</v>
      </c>
      <c r="H625" s="11" t="s">
        <v>44</v>
      </c>
      <c r="I625" s="41" t="s">
        <v>2603</v>
      </c>
      <c r="J625" s="11" t="s">
        <v>25</v>
      </c>
      <c r="K625" s="12" t="s">
        <v>2595</v>
      </c>
      <c r="L625" s="13"/>
      <c r="M625" s="14"/>
      <c r="N625" s="15"/>
      <c r="O625" s="5" t="s">
        <v>26</v>
      </c>
      <c r="P625" s="5" t="s">
        <v>1537</v>
      </c>
      <c r="Q625" s="15"/>
      <c r="R625" s="16" t="s">
        <v>28</v>
      </c>
      <c r="S625" s="15"/>
      <c r="T625" s="15"/>
      <c r="U625" s="15"/>
      <c r="V625" s="15"/>
      <c r="W625" s="15"/>
      <c r="X625" s="15"/>
      <c r="Y625" s="15"/>
      <c r="Z625" s="15"/>
      <c r="AA625" s="15"/>
    </row>
    <row r="626">
      <c r="A626" s="5" t="s">
        <v>2579</v>
      </c>
      <c r="B626" s="6" t="s">
        <v>2604</v>
      </c>
      <c r="C626" s="40" t="s">
        <v>2605</v>
      </c>
      <c r="D626" s="8"/>
      <c r="E626" s="8" t="s">
        <v>87</v>
      </c>
      <c r="F626" s="9">
        <v>10000.0</v>
      </c>
      <c r="G626" s="43"/>
      <c r="H626" s="11" t="s">
        <v>99</v>
      </c>
      <c r="I626" s="41">
        <v>6.28929216E9</v>
      </c>
      <c r="J626" s="11" t="s">
        <v>25</v>
      </c>
      <c r="K626" s="12" t="s">
        <v>2606</v>
      </c>
      <c r="L626" s="13"/>
      <c r="M626" s="14"/>
      <c r="N626" s="15"/>
      <c r="O626" s="5" t="s">
        <v>26</v>
      </c>
      <c r="P626" s="5" t="s">
        <v>2607</v>
      </c>
      <c r="Q626" s="15"/>
      <c r="R626" s="16" t="s">
        <v>28</v>
      </c>
      <c r="S626" s="15"/>
      <c r="T626" s="15"/>
      <c r="U626" s="15"/>
      <c r="V626" s="15"/>
      <c r="W626" s="15"/>
      <c r="X626" s="15"/>
      <c r="Y626" s="15"/>
      <c r="Z626" s="15"/>
      <c r="AA626" s="15"/>
    </row>
    <row r="627">
      <c r="A627" s="5" t="s">
        <v>2608</v>
      </c>
      <c r="B627" s="6" t="s">
        <v>2609</v>
      </c>
      <c r="C627" s="40" t="s">
        <v>2610</v>
      </c>
      <c r="D627" s="8"/>
      <c r="E627" s="8" t="s">
        <v>130</v>
      </c>
      <c r="F627" s="9">
        <v>10000.0</v>
      </c>
      <c r="G627" s="31" t="s">
        <v>2611</v>
      </c>
      <c r="H627" s="36" t="s">
        <v>2612</v>
      </c>
      <c r="I627" s="41">
        <v>7.978612867E9</v>
      </c>
      <c r="J627" s="11" t="s">
        <v>25</v>
      </c>
      <c r="K627" s="12"/>
      <c r="L627" s="13"/>
      <c r="M627" s="14"/>
      <c r="N627" s="15"/>
      <c r="O627" s="5" t="s">
        <v>26</v>
      </c>
      <c r="P627" s="5" t="s">
        <v>2613</v>
      </c>
      <c r="Q627" s="15"/>
      <c r="R627" s="16" t="s">
        <v>28</v>
      </c>
      <c r="S627" s="15"/>
      <c r="T627" s="15"/>
      <c r="U627" s="15"/>
      <c r="V627" s="15"/>
      <c r="W627" s="15"/>
      <c r="X627" s="15"/>
      <c r="Y627" s="15"/>
      <c r="Z627" s="15"/>
      <c r="AA627" s="15"/>
    </row>
    <row r="628">
      <c r="A628" s="5" t="s">
        <v>2608</v>
      </c>
      <c r="B628" s="6" t="s">
        <v>2614</v>
      </c>
      <c r="C628" s="40" t="s">
        <v>2615</v>
      </c>
      <c r="D628" s="8"/>
      <c r="E628" s="8" t="s">
        <v>1217</v>
      </c>
      <c r="F628" s="9">
        <v>4000.0</v>
      </c>
      <c r="G628" s="43" t="s">
        <v>2616</v>
      </c>
      <c r="H628" s="11" t="s">
        <v>519</v>
      </c>
      <c r="I628" s="41">
        <v>9.712388222E9</v>
      </c>
      <c r="J628" s="11" t="s">
        <v>25</v>
      </c>
      <c r="K628" s="12"/>
      <c r="L628" s="13"/>
      <c r="M628" s="14"/>
      <c r="N628" s="15"/>
      <c r="O628" s="5" t="s">
        <v>108</v>
      </c>
      <c r="P628" s="5"/>
      <c r="Q628" s="15"/>
      <c r="R628" s="16" t="s">
        <v>28</v>
      </c>
      <c r="S628" s="15"/>
      <c r="T628" s="15"/>
      <c r="U628" s="15"/>
      <c r="V628" s="15"/>
      <c r="W628" s="15"/>
      <c r="X628" s="15"/>
      <c r="Y628" s="15"/>
      <c r="Z628" s="15"/>
      <c r="AA628" s="15"/>
    </row>
    <row r="629">
      <c r="A629" s="5" t="s">
        <v>2608</v>
      </c>
      <c r="B629" s="6" t="s">
        <v>2617</v>
      </c>
      <c r="C629" s="40" t="s">
        <v>2618</v>
      </c>
      <c r="D629" s="8"/>
      <c r="E629" s="8" t="s">
        <v>1217</v>
      </c>
      <c r="F629" s="9">
        <v>15000.0</v>
      </c>
      <c r="G629" s="43" t="s">
        <v>2619</v>
      </c>
      <c r="H629" s="11" t="s">
        <v>107</v>
      </c>
      <c r="I629" s="41">
        <v>9.810192855E9</v>
      </c>
      <c r="J629" s="11" t="s">
        <v>25</v>
      </c>
      <c r="K629" s="12"/>
      <c r="L629" s="13"/>
      <c r="M629" s="14"/>
      <c r="N629" s="15"/>
      <c r="O629" s="5" t="s">
        <v>108</v>
      </c>
      <c r="P629" s="5"/>
      <c r="Q629" s="15"/>
      <c r="R629" s="16" t="s">
        <v>28</v>
      </c>
      <c r="S629" s="15"/>
      <c r="T629" s="15"/>
      <c r="U629" s="15"/>
      <c r="V629" s="15"/>
      <c r="W629" s="15"/>
      <c r="X629" s="15"/>
      <c r="Y629" s="15"/>
      <c r="Z629" s="15"/>
      <c r="AA629" s="15"/>
    </row>
    <row r="630">
      <c r="A630" s="5" t="s">
        <v>2608</v>
      </c>
      <c r="B630" s="6" t="s">
        <v>2620</v>
      </c>
      <c r="C630" s="40" t="s">
        <v>2621</v>
      </c>
      <c r="D630" s="8"/>
      <c r="E630" s="8" t="s">
        <v>2622</v>
      </c>
      <c r="F630" s="9">
        <v>50000.0</v>
      </c>
      <c r="G630" s="43"/>
      <c r="H630" s="11" t="s">
        <v>1561</v>
      </c>
      <c r="I630" s="41">
        <v>8.335073342E9</v>
      </c>
      <c r="J630" s="11" t="s">
        <v>25</v>
      </c>
      <c r="K630" s="12"/>
      <c r="L630" s="13"/>
      <c r="M630" s="14"/>
      <c r="N630" s="15"/>
      <c r="O630" s="5" t="s">
        <v>26</v>
      </c>
      <c r="P630" s="5"/>
      <c r="Q630" s="15"/>
      <c r="R630" s="16" t="s">
        <v>28</v>
      </c>
      <c r="S630" s="15"/>
      <c r="T630" s="15"/>
      <c r="U630" s="15"/>
      <c r="V630" s="15"/>
      <c r="W630" s="15"/>
      <c r="X630" s="15"/>
      <c r="Y630" s="15"/>
      <c r="Z630" s="15"/>
      <c r="AA630" s="15"/>
    </row>
    <row r="631">
      <c r="A631" s="5" t="s">
        <v>2608</v>
      </c>
      <c r="B631" s="6" t="s">
        <v>2623</v>
      </c>
      <c r="C631" s="40" t="s">
        <v>2624</v>
      </c>
      <c r="D631" s="8"/>
      <c r="E631" s="8" t="s">
        <v>2625</v>
      </c>
      <c r="F631" s="9">
        <v>5000.0</v>
      </c>
      <c r="G631" s="31" t="s">
        <v>2626</v>
      </c>
      <c r="H631" s="36" t="s">
        <v>2627</v>
      </c>
      <c r="I631" s="41">
        <v>9.152315555E9</v>
      </c>
      <c r="J631" s="11" t="s">
        <v>25</v>
      </c>
      <c r="K631" s="12"/>
      <c r="L631" s="13"/>
      <c r="M631" s="14"/>
      <c r="N631" s="15"/>
      <c r="O631" s="5" t="s">
        <v>108</v>
      </c>
      <c r="P631" s="5"/>
      <c r="Q631" s="15"/>
      <c r="R631" s="16" t="s">
        <v>28</v>
      </c>
      <c r="S631" s="15"/>
      <c r="T631" s="15"/>
      <c r="U631" s="15"/>
      <c r="V631" s="15"/>
      <c r="W631" s="15"/>
      <c r="X631" s="15"/>
      <c r="Y631" s="15"/>
      <c r="Z631" s="15"/>
      <c r="AA631" s="15"/>
    </row>
    <row r="632">
      <c r="A632" s="5" t="s">
        <v>2608</v>
      </c>
      <c r="B632" s="6" t="s">
        <v>2628</v>
      </c>
      <c r="C632" s="40" t="s">
        <v>2629</v>
      </c>
      <c r="D632" s="8"/>
      <c r="E632" s="8" t="s">
        <v>152</v>
      </c>
      <c r="F632" s="9">
        <v>1000.0</v>
      </c>
      <c r="G632" s="31" t="s">
        <v>2630</v>
      </c>
      <c r="H632" s="11" t="s">
        <v>44</v>
      </c>
      <c r="I632" s="41">
        <v>9.062869727E9</v>
      </c>
      <c r="J632" s="11" t="s">
        <v>25</v>
      </c>
      <c r="K632" s="12" t="s">
        <v>2631</v>
      </c>
      <c r="L632" s="13"/>
      <c r="M632" s="14"/>
      <c r="N632" s="15"/>
      <c r="O632" s="5" t="s">
        <v>26</v>
      </c>
      <c r="P632" s="5" t="s">
        <v>2632</v>
      </c>
      <c r="Q632" s="15"/>
      <c r="R632" s="16" t="s">
        <v>28</v>
      </c>
      <c r="S632" s="15"/>
      <c r="T632" s="15"/>
      <c r="U632" s="15"/>
      <c r="V632" s="15"/>
      <c r="W632" s="15"/>
      <c r="X632" s="15"/>
      <c r="Y632" s="15"/>
      <c r="Z632" s="15"/>
      <c r="AA632" s="15"/>
    </row>
    <row r="633">
      <c r="A633" s="5" t="s">
        <v>2608</v>
      </c>
      <c r="B633" s="6" t="s">
        <v>2633</v>
      </c>
      <c r="C633" s="40" t="s">
        <v>2634</v>
      </c>
      <c r="D633" s="8"/>
      <c r="E633" s="8" t="s">
        <v>130</v>
      </c>
      <c r="F633" s="9">
        <v>10000.0</v>
      </c>
      <c r="G633" s="43" t="s">
        <v>2635</v>
      </c>
      <c r="H633" s="11" t="s">
        <v>131</v>
      </c>
      <c r="I633" s="41">
        <v>9.954098054E9</v>
      </c>
      <c r="J633" s="11" t="s">
        <v>25</v>
      </c>
      <c r="K633" s="12"/>
      <c r="L633" s="13"/>
      <c r="M633" s="14"/>
      <c r="N633" s="15"/>
      <c r="O633" s="5" t="s">
        <v>34</v>
      </c>
      <c r="P633" s="5" t="s">
        <v>957</v>
      </c>
      <c r="Q633" s="15"/>
      <c r="R633" s="16" t="s">
        <v>28</v>
      </c>
      <c r="S633" s="15"/>
      <c r="T633" s="15"/>
      <c r="U633" s="15"/>
      <c r="V633" s="15"/>
      <c r="W633" s="15"/>
      <c r="X633" s="15"/>
      <c r="Y633" s="15"/>
      <c r="Z633" s="15"/>
      <c r="AA633" s="15"/>
    </row>
    <row r="634">
      <c r="A634" s="5" t="s">
        <v>2608</v>
      </c>
      <c r="B634" s="6" t="s">
        <v>2636</v>
      </c>
      <c r="C634" s="40" t="s">
        <v>2637</v>
      </c>
      <c r="D634" s="8"/>
      <c r="E634" s="8" t="s">
        <v>2638</v>
      </c>
      <c r="F634" s="90">
        <v>1000.0</v>
      </c>
      <c r="G634" s="25" t="s">
        <v>2639</v>
      </c>
      <c r="H634" s="11" t="s">
        <v>44</v>
      </c>
      <c r="I634" s="41">
        <v>9.339226446E9</v>
      </c>
      <c r="J634" s="11" t="s">
        <v>25</v>
      </c>
      <c r="K634" s="12"/>
      <c r="L634" s="13"/>
      <c r="M634" s="14"/>
      <c r="N634" s="15"/>
      <c r="O634" s="5" t="s">
        <v>34</v>
      </c>
      <c r="P634" s="5" t="s">
        <v>1155</v>
      </c>
      <c r="Q634" s="15"/>
      <c r="R634" s="16" t="s">
        <v>551</v>
      </c>
      <c r="S634" s="15"/>
      <c r="T634" s="15"/>
      <c r="U634" s="15"/>
      <c r="V634" s="15"/>
      <c r="W634" s="15"/>
      <c r="X634" s="15"/>
      <c r="Y634" s="15"/>
      <c r="Z634" s="15"/>
      <c r="AA634" s="15"/>
    </row>
    <row r="635">
      <c r="A635" s="5" t="s">
        <v>2608</v>
      </c>
      <c r="B635" s="6" t="s">
        <v>2640</v>
      </c>
      <c r="C635" s="40" t="s">
        <v>2641</v>
      </c>
      <c r="D635" s="8"/>
      <c r="E635" s="8" t="s">
        <v>753</v>
      </c>
      <c r="F635" s="9">
        <v>30000.0</v>
      </c>
      <c r="G635" s="31" t="s">
        <v>2642</v>
      </c>
      <c r="H635" s="36" t="s">
        <v>2643</v>
      </c>
      <c r="I635" s="41">
        <v>8.770465585E9</v>
      </c>
      <c r="J635" s="11" t="s">
        <v>25</v>
      </c>
      <c r="K635" s="12"/>
      <c r="L635" s="13"/>
      <c r="M635" s="14"/>
      <c r="N635" s="15"/>
      <c r="O635" s="5" t="s">
        <v>26</v>
      </c>
      <c r="P635" s="5" t="s">
        <v>2644</v>
      </c>
      <c r="Q635" s="15"/>
      <c r="R635" s="16" t="s">
        <v>28</v>
      </c>
      <c r="S635" s="15"/>
      <c r="T635" s="15"/>
      <c r="U635" s="15"/>
      <c r="V635" s="15"/>
      <c r="W635" s="15"/>
      <c r="X635" s="15"/>
      <c r="Y635" s="15"/>
      <c r="Z635" s="15"/>
      <c r="AA635" s="15"/>
    </row>
    <row r="636">
      <c r="A636" s="5" t="s">
        <v>2608</v>
      </c>
      <c r="B636" s="6" t="s">
        <v>2645</v>
      </c>
      <c r="C636" s="40" t="s">
        <v>2646</v>
      </c>
      <c r="D636" s="8"/>
      <c r="E636" s="8" t="s">
        <v>2647</v>
      </c>
      <c r="F636" s="9">
        <v>100000.0</v>
      </c>
      <c r="G636" s="31" t="s">
        <v>2648</v>
      </c>
      <c r="H636" s="11" t="s">
        <v>2649</v>
      </c>
      <c r="I636" s="41">
        <v>9.97851313E9</v>
      </c>
      <c r="J636" s="11" t="s">
        <v>25</v>
      </c>
      <c r="K636" s="12"/>
      <c r="L636" s="13"/>
      <c r="M636" s="14"/>
      <c r="N636" s="15"/>
      <c r="O636" s="5" t="s">
        <v>108</v>
      </c>
      <c r="P636" s="5"/>
      <c r="Q636" s="15"/>
      <c r="R636" s="16" t="s">
        <v>28</v>
      </c>
      <c r="S636" s="15"/>
      <c r="T636" s="15"/>
      <c r="U636" s="15"/>
      <c r="V636" s="15"/>
      <c r="W636" s="15"/>
      <c r="X636" s="15"/>
      <c r="Y636" s="15"/>
      <c r="Z636" s="15"/>
      <c r="AA636" s="15"/>
    </row>
    <row r="637">
      <c r="A637" s="5" t="s">
        <v>2650</v>
      </c>
      <c r="B637" s="6" t="s">
        <v>2651</v>
      </c>
      <c r="C637" s="40" t="s">
        <v>2652</v>
      </c>
      <c r="D637" s="8"/>
      <c r="E637" s="8" t="s">
        <v>501</v>
      </c>
      <c r="F637" s="90">
        <v>7000.0</v>
      </c>
      <c r="G637" s="25" t="s">
        <v>2653</v>
      </c>
      <c r="H637" s="11" t="s">
        <v>107</v>
      </c>
      <c r="I637" s="41">
        <v>9.548213964E9</v>
      </c>
      <c r="J637" s="11" t="s">
        <v>25</v>
      </c>
      <c r="K637" s="12"/>
      <c r="L637" s="13"/>
      <c r="M637" s="14"/>
      <c r="N637" s="15"/>
      <c r="O637" s="5" t="s">
        <v>108</v>
      </c>
      <c r="P637" s="5"/>
      <c r="Q637" s="15"/>
      <c r="R637" s="16" t="s">
        <v>28</v>
      </c>
      <c r="S637" s="15"/>
      <c r="T637" s="15"/>
      <c r="U637" s="15"/>
      <c r="V637" s="15"/>
      <c r="W637" s="15"/>
      <c r="X637" s="15"/>
      <c r="Y637" s="15"/>
      <c r="Z637" s="15"/>
      <c r="AA637" s="15"/>
    </row>
    <row r="638">
      <c r="A638" s="5" t="s">
        <v>2650</v>
      </c>
      <c r="B638" s="6" t="s">
        <v>2654</v>
      </c>
      <c r="C638" s="40" t="s">
        <v>2655</v>
      </c>
      <c r="D638" s="8"/>
      <c r="E638" s="8" t="s">
        <v>178</v>
      </c>
      <c r="F638" s="9">
        <v>50000.0</v>
      </c>
      <c r="G638" s="31" t="s">
        <v>2656</v>
      </c>
      <c r="H638" s="11" t="s">
        <v>472</v>
      </c>
      <c r="I638" s="41">
        <v>9.932229044E9</v>
      </c>
      <c r="J638" s="11" t="s">
        <v>25</v>
      </c>
      <c r="K638" s="12"/>
      <c r="L638" s="13"/>
      <c r="M638" s="14"/>
      <c r="N638" s="15"/>
      <c r="O638" s="5" t="s">
        <v>26</v>
      </c>
      <c r="P638" s="5" t="s">
        <v>2657</v>
      </c>
      <c r="Q638" s="15"/>
      <c r="R638" s="16" t="s">
        <v>28</v>
      </c>
      <c r="S638" s="15"/>
      <c r="T638" s="15"/>
      <c r="U638" s="15"/>
      <c r="V638" s="15"/>
      <c r="W638" s="15"/>
      <c r="X638" s="15"/>
      <c r="Y638" s="15"/>
      <c r="Z638" s="15"/>
      <c r="AA638" s="15"/>
    </row>
    <row r="639">
      <c r="A639" s="5" t="s">
        <v>2650</v>
      </c>
      <c r="B639" s="6" t="s">
        <v>2658</v>
      </c>
      <c r="C639" s="40" t="s">
        <v>2659</v>
      </c>
      <c r="D639" s="8"/>
      <c r="E639" s="8" t="s">
        <v>2660</v>
      </c>
      <c r="F639" s="9">
        <v>25000.0</v>
      </c>
      <c r="G639" s="31" t="s">
        <v>2661</v>
      </c>
      <c r="H639" s="11" t="s">
        <v>2662</v>
      </c>
      <c r="I639" s="41">
        <v>8.508986866E9</v>
      </c>
      <c r="J639" s="11" t="s">
        <v>25</v>
      </c>
      <c r="K639" s="12"/>
      <c r="L639" s="13"/>
      <c r="M639" s="14"/>
      <c r="N639" s="15"/>
      <c r="O639" s="5" t="s">
        <v>108</v>
      </c>
      <c r="P639" s="5"/>
      <c r="Q639" s="15"/>
      <c r="R639" s="16" t="s">
        <v>28</v>
      </c>
      <c r="S639" s="15"/>
      <c r="T639" s="15"/>
      <c r="U639" s="15"/>
      <c r="V639" s="15"/>
      <c r="W639" s="15"/>
      <c r="X639" s="15"/>
      <c r="Y639" s="15"/>
      <c r="Z639" s="15"/>
      <c r="AA639" s="15"/>
    </row>
    <row r="640">
      <c r="A640" s="5" t="s">
        <v>2650</v>
      </c>
      <c r="B640" s="6" t="s">
        <v>2663</v>
      </c>
      <c r="C640" s="40" t="s">
        <v>2664</v>
      </c>
      <c r="D640" s="8"/>
      <c r="E640" s="8" t="s">
        <v>130</v>
      </c>
      <c r="F640" s="90">
        <v>2000.0</v>
      </c>
      <c r="G640" s="31" t="s">
        <v>2665</v>
      </c>
      <c r="H640" s="11" t="s">
        <v>981</v>
      </c>
      <c r="I640" s="41">
        <v>8.249045966E9</v>
      </c>
      <c r="J640" s="11" t="s">
        <v>25</v>
      </c>
      <c r="K640" s="12"/>
      <c r="L640" s="13"/>
      <c r="M640" s="14"/>
      <c r="N640" s="15"/>
      <c r="O640" s="5" t="s">
        <v>34</v>
      </c>
      <c r="P640" s="5" t="s">
        <v>707</v>
      </c>
      <c r="Q640" s="15"/>
      <c r="R640" s="16" t="s">
        <v>28</v>
      </c>
      <c r="S640" s="15"/>
      <c r="T640" s="15"/>
      <c r="U640" s="15"/>
      <c r="V640" s="15"/>
      <c r="W640" s="15"/>
      <c r="X640" s="15"/>
      <c r="Y640" s="15"/>
      <c r="Z640" s="15"/>
      <c r="AA640" s="15"/>
    </row>
    <row r="641">
      <c r="A641" s="5" t="s">
        <v>2650</v>
      </c>
      <c r="B641" s="6" t="s">
        <v>2666</v>
      </c>
      <c r="C641" s="40" t="s">
        <v>2667</v>
      </c>
      <c r="D641" s="8"/>
      <c r="E641" s="8" t="s">
        <v>2668</v>
      </c>
      <c r="F641" s="90">
        <v>500.0</v>
      </c>
      <c r="G641" s="31" t="s">
        <v>2669</v>
      </c>
      <c r="H641" s="11" t="s">
        <v>672</v>
      </c>
      <c r="I641" s="41">
        <v>7.908717998E9</v>
      </c>
      <c r="J641" s="11" t="s">
        <v>25</v>
      </c>
      <c r="K641" s="12"/>
      <c r="L641" s="13"/>
      <c r="M641" s="14"/>
      <c r="N641" s="15"/>
      <c r="O641" s="5" t="s">
        <v>26</v>
      </c>
      <c r="P641" s="5"/>
      <c r="Q641" s="15"/>
      <c r="R641" s="16" t="s">
        <v>28</v>
      </c>
      <c r="S641" s="15"/>
      <c r="T641" s="15"/>
      <c r="U641" s="15"/>
      <c r="V641" s="15"/>
      <c r="W641" s="15"/>
      <c r="X641" s="15"/>
      <c r="Y641" s="15"/>
      <c r="Z641" s="15"/>
      <c r="AA641" s="15"/>
    </row>
    <row r="642">
      <c r="A642" s="5" t="s">
        <v>2670</v>
      </c>
      <c r="B642" s="6" t="s">
        <v>2671</v>
      </c>
      <c r="C642" s="40" t="s">
        <v>2672</v>
      </c>
      <c r="D642" s="8"/>
      <c r="E642" s="8" t="s">
        <v>43</v>
      </c>
      <c r="F642" s="9">
        <v>10000.0</v>
      </c>
      <c r="G642" s="25" t="s">
        <v>2673</v>
      </c>
      <c r="H642" s="11" t="s">
        <v>495</v>
      </c>
      <c r="I642" s="41">
        <v>9.304375379E9</v>
      </c>
      <c r="J642" s="11" t="s">
        <v>25</v>
      </c>
      <c r="K642" s="12"/>
      <c r="L642" s="13"/>
      <c r="M642" s="14"/>
      <c r="N642" s="15"/>
      <c r="O642" s="5" t="s">
        <v>34</v>
      </c>
      <c r="P642" s="5" t="s">
        <v>2674</v>
      </c>
      <c r="Q642" s="15"/>
      <c r="R642" s="16" t="s">
        <v>28</v>
      </c>
      <c r="S642" s="15"/>
      <c r="T642" s="15"/>
      <c r="U642" s="15"/>
      <c r="V642" s="15"/>
      <c r="W642" s="15"/>
      <c r="X642" s="15"/>
      <c r="Y642" s="15"/>
      <c r="Z642" s="15"/>
      <c r="AA642" s="15"/>
    </row>
    <row r="643">
      <c r="A643" s="5" t="s">
        <v>2670</v>
      </c>
      <c r="B643" s="6" t="s">
        <v>2675</v>
      </c>
      <c r="C643" s="40" t="s">
        <v>2676</v>
      </c>
      <c r="D643" s="8"/>
      <c r="E643" s="8" t="s">
        <v>2159</v>
      </c>
      <c r="F643" s="90">
        <v>1000.0</v>
      </c>
      <c r="G643" s="31" t="s">
        <v>2452</v>
      </c>
      <c r="H643" s="11" t="s">
        <v>44</v>
      </c>
      <c r="I643" s="41">
        <v>8.013334263E9</v>
      </c>
      <c r="J643" s="11" t="s">
        <v>25</v>
      </c>
      <c r="K643" s="12" t="s">
        <v>2677</v>
      </c>
      <c r="L643" s="13"/>
      <c r="M643" s="14"/>
      <c r="N643" s="15"/>
      <c r="O643" s="5" t="s">
        <v>34</v>
      </c>
      <c r="P643" s="5" t="s">
        <v>2678</v>
      </c>
      <c r="Q643" s="15"/>
      <c r="R643" s="16" t="s">
        <v>28</v>
      </c>
      <c r="S643" s="15"/>
      <c r="T643" s="15"/>
      <c r="U643" s="15"/>
      <c r="V643" s="15"/>
      <c r="W643" s="15"/>
      <c r="X643" s="15"/>
      <c r="Y643" s="15"/>
      <c r="Z643" s="15"/>
      <c r="AA643" s="15"/>
    </row>
    <row r="644">
      <c r="A644" s="5" t="s">
        <v>2670</v>
      </c>
      <c r="B644" s="6" t="s">
        <v>2679</v>
      </c>
      <c r="C644" s="40" t="s">
        <v>2680</v>
      </c>
      <c r="D644" s="8"/>
      <c r="E644" s="8" t="s">
        <v>141</v>
      </c>
      <c r="F644" s="90">
        <v>3000.0</v>
      </c>
      <c r="G644" s="31" t="s">
        <v>2681</v>
      </c>
      <c r="H644" s="11" t="s">
        <v>2682</v>
      </c>
      <c r="I644" s="41">
        <v>9.880348201E9</v>
      </c>
      <c r="J644" s="11" t="s">
        <v>25</v>
      </c>
      <c r="K644" s="12"/>
      <c r="L644" s="13"/>
      <c r="M644" s="14"/>
      <c r="N644" s="15"/>
      <c r="O644" s="5" t="s">
        <v>34</v>
      </c>
      <c r="P644" s="5" t="s">
        <v>1963</v>
      </c>
      <c r="Q644" s="15"/>
      <c r="R644" s="16" t="s">
        <v>28</v>
      </c>
      <c r="S644" s="15"/>
      <c r="T644" s="15"/>
      <c r="U644" s="15"/>
      <c r="V644" s="15"/>
      <c r="W644" s="15"/>
      <c r="X644" s="15"/>
      <c r="Y644" s="15"/>
      <c r="Z644" s="15"/>
      <c r="AA644" s="15"/>
    </row>
    <row r="645">
      <c r="A645" s="5" t="s">
        <v>2670</v>
      </c>
      <c r="B645" s="6" t="s">
        <v>2683</v>
      </c>
      <c r="C645" s="40" t="s">
        <v>2684</v>
      </c>
      <c r="D645" s="8"/>
      <c r="E645" s="8" t="s">
        <v>2685</v>
      </c>
      <c r="F645" s="90">
        <v>500.0</v>
      </c>
      <c r="G645" s="25"/>
      <c r="H645" s="11" t="s">
        <v>268</v>
      </c>
      <c r="I645" s="41">
        <v>7.407109711E9</v>
      </c>
      <c r="J645" s="11" t="s">
        <v>25</v>
      </c>
      <c r="K645" s="12"/>
      <c r="L645" s="13"/>
      <c r="M645" s="14"/>
      <c r="N645" s="15"/>
      <c r="O645" s="5" t="s">
        <v>26</v>
      </c>
      <c r="P645" s="5"/>
      <c r="Q645" s="15"/>
      <c r="R645" s="16" t="s">
        <v>28</v>
      </c>
      <c r="S645" s="15"/>
      <c r="T645" s="15"/>
      <c r="U645" s="15"/>
      <c r="V645" s="15"/>
      <c r="W645" s="15"/>
      <c r="X645" s="15"/>
      <c r="Y645" s="15"/>
      <c r="Z645" s="15"/>
      <c r="AA645" s="15"/>
    </row>
    <row r="646">
      <c r="A646" s="5" t="s">
        <v>2670</v>
      </c>
      <c r="B646" s="6" t="s">
        <v>2686</v>
      </c>
      <c r="C646" s="40" t="s">
        <v>2687</v>
      </c>
      <c r="D646" s="8"/>
      <c r="E646" s="8" t="s">
        <v>2688</v>
      </c>
      <c r="F646" s="90">
        <v>200.0</v>
      </c>
      <c r="G646" s="31" t="s">
        <v>2689</v>
      </c>
      <c r="H646" s="11" t="s">
        <v>158</v>
      </c>
      <c r="I646" s="41">
        <v>8.335819495E9</v>
      </c>
      <c r="J646" s="11" t="s">
        <v>25</v>
      </c>
      <c r="K646" s="12"/>
      <c r="L646" s="13"/>
      <c r="M646" s="14"/>
      <c r="N646" s="15"/>
      <c r="O646" s="5" t="s">
        <v>26</v>
      </c>
      <c r="P646" s="5"/>
      <c r="Q646" s="15"/>
      <c r="R646" s="16" t="s">
        <v>28</v>
      </c>
      <c r="S646" s="15"/>
      <c r="T646" s="15"/>
      <c r="U646" s="15"/>
      <c r="V646" s="15"/>
      <c r="W646" s="15"/>
      <c r="X646" s="15"/>
      <c r="Y646" s="15"/>
      <c r="Z646" s="15"/>
      <c r="AA646" s="15"/>
    </row>
    <row r="647">
      <c r="A647" s="5" t="s">
        <v>2670</v>
      </c>
      <c r="B647" s="6" t="s">
        <v>2690</v>
      </c>
      <c r="C647" s="40" t="s">
        <v>2691</v>
      </c>
      <c r="D647" s="8"/>
      <c r="E647" s="8" t="s">
        <v>213</v>
      </c>
      <c r="F647" s="90">
        <v>1000.0</v>
      </c>
      <c r="G647" s="25"/>
      <c r="H647" s="11" t="s">
        <v>1691</v>
      </c>
      <c r="I647" s="41">
        <v>9.046980707E9</v>
      </c>
      <c r="J647" s="11" t="s">
        <v>25</v>
      </c>
      <c r="K647" s="12"/>
      <c r="L647" s="13"/>
      <c r="M647" s="14"/>
      <c r="N647" s="15"/>
      <c r="O647" s="5" t="s">
        <v>34</v>
      </c>
      <c r="P647" s="5" t="s">
        <v>1963</v>
      </c>
      <c r="Q647" s="15"/>
      <c r="R647" s="16" t="s">
        <v>28</v>
      </c>
      <c r="S647" s="15"/>
      <c r="T647" s="15"/>
      <c r="U647" s="15"/>
      <c r="V647" s="15"/>
      <c r="W647" s="15"/>
      <c r="X647" s="15"/>
      <c r="Y647" s="15"/>
      <c r="Z647" s="15"/>
      <c r="AA647" s="15"/>
    </row>
    <row r="648">
      <c r="A648" s="5" t="s">
        <v>2670</v>
      </c>
      <c r="B648" s="6" t="s">
        <v>2692</v>
      </c>
      <c r="C648" s="40" t="s">
        <v>2693</v>
      </c>
      <c r="D648" s="8"/>
      <c r="E648" s="8" t="s">
        <v>213</v>
      </c>
      <c r="F648" s="9">
        <v>20000.0</v>
      </c>
      <c r="G648" s="31" t="s">
        <v>2694</v>
      </c>
      <c r="H648" s="11" t="s">
        <v>44</v>
      </c>
      <c r="I648" s="41" t="s">
        <v>2695</v>
      </c>
      <c r="J648" s="11" t="s">
        <v>25</v>
      </c>
      <c r="K648" s="12"/>
      <c r="L648" s="13"/>
      <c r="M648" s="14"/>
      <c r="N648" s="15"/>
      <c r="O648" s="5" t="s">
        <v>26</v>
      </c>
      <c r="P648" s="5"/>
      <c r="Q648" s="15"/>
      <c r="R648" s="16" t="s">
        <v>28</v>
      </c>
      <c r="S648" s="15"/>
      <c r="T648" s="15"/>
      <c r="U648" s="15"/>
      <c r="V648" s="15"/>
      <c r="W648" s="15"/>
      <c r="X648" s="15"/>
      <c r="Y648" s="15"/>
      <c r="Z648" s="15"/>
      <c r="AA648" s="15"/>
    </row>
    <row r="649">
      <c r="A649" s="5" t="s">
        <v>2696</v>
      </c>
      <c r="B649" s="6" t="s">
        <v>2697</v>
      </c>
      <c r="C649" s="40" t="s">
        <v>2698</v>
      </c>
      <c r="D649" s="8"/>
      <c r="E649" s="8" t="s">
        <v>130</v>
      </c>
      <c r="F649" s="90">
        <v>2000.0</v>
      </c>
      <c r="G649" s="25"/>
      <c r="H649" s="11" t="s">
        <v>24</v>
      </c>
      <c r="I649" s="41">
        <v>7.903175872E9</v>
      </c>
      <c r="J649" s="11" t="s">
        <v>25</v>
      </c>
      <c r="K649" s="12"/>
      <c r="L649" s="13"/>
      <c r="M649" s="14"/>
      <c r="N649" s="15"/>
      <c r="O649" s="5" t="s">
        <v>34</v>
      </c>
      <c r="P649" s="5" t="s">
        <v>957</v>
      </c>
      <c r="Q649" s="15"/>
      <c r="R649" s="16" t="s">
        <v>28</v>
      </c>
      <c r="S649" s="15"/>
      <c r="T649" s="15"/>
      <c r="U649" s="15"/>
      <c r="V649" s="15"/>
      <c r="W649" s="15"/>
      <c r="X649" s="15"/>
      <c r="Y649" s="15"/>
      <c r="Z649" s="15"/>
      <c r="AA649" s="15"/>
    </row>
    <row r="650">
      <c r="A650" s="5" t="s">
        <v>2696</v>
      </c>
      <c r="B650" s="6" t="s">
        <v>2699</v>
      </c>
      <c r="C650" s="40" t="s">
        <v>2700</v>
      </c>
      <c r="D650" s="8"/>
      <c r="E650" s="8" t="s">
        <v>690</v>
      </c>
      <c r="F650" s="90">
        <v>3000.0</v>
      </c>
      <c r="G650" s="31" t="s">
        <v>2701</v>
      </c>
      <c r="H650" s="11" t="s">
        <v>44</v>
      </c>
      <c r="I650" s="41">
        <v>6.290923744E9</v>
      </c>
      <c r="J650" s="11" t="s">
        <v>25</v>
      </c>
      <c r="K650" s="12"/>
      <c r="L650" s="13"/>
      <c r="M650" s="14"/>
      <c r="N650" s="15"/>
      <c r="O650" s="5" t="s">
        <v>26</v>
      </c>
      <c r="P650" s="5"/>
      <c r="Q650" s="15"/>
      <c r="R650" s="16" t="s">
        <v>28</v>
      </c>
      <c r="S650" s="15"/>
      <c r="T650" s="15"/>
      <c r="U650" s="15"/>
      <c r="V650" s="15"/>
      <c r="W650" s="15"/>
      <c r="X650" s="15"/>
      <c r="Y650" s="15"/>
      <c r="Z650" s="15"/>
      <c r="AA650" s="15"/>
    </row>
    <row r="651">
      <c r="A651" s="5" t="s">
        <v>2696</v>
      </c>
      <c r="B651" s="6" t="s">
        <v>2702</v>
      </c>
      <c r="C651" s="40" t="s">
        <v>2703</v>
      </c>
      <c r="D651" s="8"/>
      <c r="E651" s="8" t="s">
        <v>444</v>
      </c>
      <c r="F651" s="90">
        <v>1000.0</v>
      </c>
      <c r="G651" s="31" t="s">
        <v>2704</v>
      </c>
      <c r="H651" s="11" t="s">
        <v>44</v>
      </c>
      <c r="I651" s="41">
        <v>9.830316988E9</v>
      </c>
      <c r="J651" s="11" t="s">
        <v>25</v>
      </c>
      <c r="K651" s="12"/>
      <c r="L651" s="13"/>
      <c r="M651" s="14"/>
      <c r="N651" s="15"/>
      <c r="O651" s="5" t="s">
        <v>34</v>
      </c>
      <c r="P651" s="5"/>
      <c r="Q651" s="15"/>
      <c r="R651" s="16" t="s">
        <v>28</v>
      </c>
      <c r="S651" s="15"/>
      <c r="T651" s="15"/>
      <c r="U651" s="15"/>
      <c r="V651" s="15"/>
      <c r="W651" s="15"/>
      <c r="X651" s="15"/>
      <c r="Y651" s="15"/>
      <c r="Z651" s="15"/>
      <c r="AA651" s="15"/>
    </row>
    <row r="652">
      <c r="A652" s="5" t="s">
        <v>2696</v>
      </c>
      <c r="B652" s="6" t="s">
        <v>2705</v>
      </c>
      <c r="C652" s="40" t="s">
        <v>2706</v>
      </c>
      <c r="D652" s="8"/>
      <c r="E652" s="8" t="s">
        <v>1579</v>
      </c>
      <c r="F652" s="90">
        <v>2000.0</v>
      </c>
      <c r="G652" s="31" t="s">
        <v>2707</v>
      </c>
      <c r="H652" s="11" t="s">
        <v>184</v>
      </c>
      <c r="I652" s="41">
        <v>8.797423518E9</v>
      </c>
      <c r="J652" s="11" t="s">
        <v>25</v>
      </c>
      <c r="K652" s="12"/>
      <c r="L652" s="13"/>
      <c r="M652" s="14"/>
      <c r="N652" s="15"/>
      <c r="O652" s="5" t="s">
        <v>26</v>
      </c>
      <c r="P652" s="5"/>
      <c r="Q652" s="15"/>
      <c r="R652" s="16" t="s">
        <v>28</v>
      </c>
      <c r="S652" s="15"/>
      <c r="T652" s="15"/>
      <c r="U652" s="15"/>
      <c r="V652" s="15"/>
      <c r="W652" s="15"/>
      <c r="X652" s="15"/>
      <c r="Y652" s="15"/>
      <c r="Z652" s="15"/>
      <c r="AA652" s="15"/>
    </row>
    <row r="653">
      <c r="A653" s="5" t="s">
        <v>2696</v>
      </c>
      <c r="B653" s="6" t="s">
        <v>2708</v>
      </c>
      <c r="C653" s="40" t="s">
        <v>2709</v>
      </c>
      <c r="D653" s="8"/>
      <c r="E653" s="8" t="s">
        <v>2710</v>
      </c>
      <c r="F653" s="90">
        <v>1000.0</v>
      </c>
      <c r="G653" s="31" t="s">
        <v>2711</v>
      </c>
      <c r="H653" s="11" t="s">
        <v>1461</v>
      </c>
      <c r="I653" s="41">
        <v>9.214325905E9</v>
      </c>
      <c r="J653" s="11" t="s">
        <v>25</v>
      </c>
      <c r="K653" s="12"/>
      <c r="L653" s="13"/>
      <c r="M653" s="14"/>
      <c r="N653" s="15"/>
      <c r="O653" s="5" t="s">
        <v>108</v>
      </c>
      <c r="P653" s="5"/>
      <c r="Q653" s="15"/>
      <c r="R653" s="16" t="s">
        <v>28</v>
      </c>
      <c r="S653" s="15"/>
      <c r="T653" s="15"/>
      <c r="U653" s="15"/>
      <c r="V653" s="15"/>
      <c r="W653" s="15"/>
      <c r="X653" s="15"/>
      <c r="Y653" s="15"/>
      <c r="Z653" s="15"/>
      <c r="AA653" s="15"/>
    </row>
    <row r="654">
      <c r="A654" s="5" t="s">
        <v>2696</v>
      </c>
      <c r="B654" s="6" t="s">
        <v>2712</v>
      </c>
      <c r="C654" s="40" t="s">
        <v>1965</v>
      </c>
      <c r="D654" s="8"/>
      <c r="E654" s="8" t="s">
        <v>1890</v>
      </c>
      <c r="F654" s="90">
        <v>500.0</v>
      </c>
      <c r="G654" s="31" t="s">
        <v>1966</v>
      </c>
      <c r="H654" s="11" t="s">
        <v>449</v>
      </c>
      <c r="I654" s="41">
        <v>9.434981724E9</v>
      </c>
      <c r="J654" s="11" t="s">
        <v>25</v>
      </c>
      <c r="K654" s="12" t="s">
        <v>2713</v>
      </c>
      <c r="L654" s="13"/>
      <c r="M654" s="14"/>
      <c r="N654" s="15"/>
      <c r="O654" s="5" t="s">
        <v>26</v>
      </c>
      <c r="P654" s="5" t="s">
        <v>2714</v>
      </c>
      <c r="Q654" s="5" t="s">
        <v>2715</v>
      </c>
      <c r="R654" s="16" t="s">
        <v>28</v>
      </c>
      <c r="S654" s="15"/>
      <c r="T654" s="15"/>
      <c r="U654" s="15"/>
      <c r="V654" s="15"/>
      <c r="W654" s="15"/>
      <c r="X654" s="15"/>
      <c r="Y654" s="15"/>
      <c r="Z654" s="15"/>
      <c r="AA654" s="15"/>
    </row>
    <row r="655">
      <c r="A655" s="5" t="s">
        <v>2696</v>
      </c>
      <c r="B655" s="6" t="s">
        <v>2716</v>
      </c>
      <c r="C655" s="40" t="s">
        <v>2717</v>
      </c>
      <c r="D655" s="8"/>
      <c r="E655" s="8" t="s">
        <v>178</v>
      </c>
      <c r="F655" s="90">
        <v>1000.0</v>
      </c>
      <c r="G655" s="31" t="s">
        <v>2718</v>
      </c>
      <c r="H655" s="11" t="s">
        <v>44</v>
      </c>
      <c r="I655" s="41">
        <v>9.874478193E9</v>
      </c>
      <c r="J655" s="11" t="s">
        <v>25</v>
      </c>
      <c r="K655" s="12"/>
      <c r="L655" s="13"/>
      <c r="M655" s="14"/>
      <c r="N655" s="15"/>
      <c r="O655" s="5" t="s">
        <v>34</v>
      </c>
      <c r="P655" s="5"/>
      <c r="Q655" s="15"/>
      <c r="R655" s="16" t="s">
        <v>28</v>
      </c>
      <c r="S655" s="15"/>
      <c r="T655" s="15"/>
      <c r="U655" s="15"/>
      <c r="V655" s="15"/>
      <c r="W655" s="15"/>
      <c r="X655" s="15"/>
      <c r="Y655" s="15"/>
      <c r="Z655" s="15"/>
      <c r="AA655" s="15"/>
    </row>
    <row r="656">
      <c r="A656" s="5" t="s">
        <v>2719</v>
      </c>
      <c r="B656" s="6" t="s">
        <v>2720</v>
      </c>
      <c r="C656" s="40" t="s">
        <v>2721</v>
      </c>
      <c r="D656" s="8"/>
      <c r="E656" s="8" t="s">
        <v>43</v>
      </c>
      <c r="F656" s="90">
        <v>6000.0</v>
      </c>
      <c r="G656" s="31" t="s">
        <v>2722</v>
      </c>
      <c r="H656" s="36" t="s">
        <v>2643</v>
      </c>
      <c r="I656" s="41">
        <v>7.000396378E9</v>
      </c>
      <c r="J656" s="11" t="s">
        <v>25</v>
      </c>
      <c r="K656" s="12"/>
      <c r="L656" s="13"/>
      <c r="M656" s="14"/>
      <c r="N656" s="15"/>
      <c r="O656" s="5" t="s">
        <v>26</v>
      </c>
      <c r="P656" s="5" t="s">
        <v>2723</v>
      </c>
      <c r="Q656" s="15"/>
      <c r="R656" s="16" t="s">
        <v>28</v>
      </c>
      <c r="S656" s="15"/>
      <c r="T656" s="15"/>
      <c r="U656" s="15"/>
      <c r="V656" s="15"/>
      <c r="W656" s="15"/>
      <c r="X656" s="15"/>
      <c r="Y656" s="15"/>
      <c r="Z656" s="15"/>
      <c r="AA656" s="15"/>
    </row>
    <row r="657">
      <c r="A657" s="5" t="s">
        <v>2719</v>
      </c>
      <c r="B657" s="6" t="s">
        <v>2724</v>
      </c>
      <c r="C657" s="40" t="s">
        <v>2725</v>
      </c>
      <c r="D657" s="8"/>
      <c r="E657" s="8" t="s">
        <v>189</v>
      </c>
      <c r="F657" s="9">
        <v>12000.0</v>
      </c>
      <c r="G657" s="25"/>
      <c r="H657" s="11" t="s">
        <v>906</v>
      </c>
      <c r="I657" s="41">
        <v>9.702780659E9</v>
      </c>
      <c r="J657" s="11" t="s">
        <v>25</v>
      </c>
      <c r="K657" s="12"/>
      <c r="L657" s="13"/>
      <c r="M657" s="14"/>
      <c r="N657" s="15"/>
      <c r="O657" s="5" t="s">
        <v>108</v>
      </c>
      <c r="P657" s="5"/>
      <c r="Q657" s="15"/>
      <c r="R657" s="16" t="s">
        <v>28</v>
      </c>
      <c r="S657" s="15"/>
      <c r="T657" s="15"/>
      <c r="U657" s="15"/>
      <c r="V657" s="15"/>
      <c r="W657" s="15"/>
      <c r="X657" s="15"/>
      <c r="Y657" s="15"/>
      <c r="Z657" s="15"/>
      <c r="AA657" s="15"/>
    </row>
    <row r="658">
      <c r="A658" s="5" t="s">
        <v>2719</v>
      </c>
      <c r="B658" s="6" t="s">
        <v>2726</v>
      </c>
      <c r="C658" s="40" t="s">
        <v>2727</v>
      </c>
      <c r="D658" s="8"/>
      <c r="E658" s="8" t="s">
        <v>794</v>
      </c>
      <c r="F658" s="9">
        <v>10000.0</v>
      </c>
      <c r="G658" s="25"/>
      <c r="H658" s="11" t="s">
        <v>44</v>
      </c>
      <c r="I658" s="41">
        <v>8.777745623E9</v>
      </c>
      <c r="J658" s="11" t="s">
        <v>25</v>
      </c>
      <c r="K658" s="12"/>
      <c r="L658" s="13"/>
      <c r="M658" s="14"/>
      <c r="N658" s="15"/>
      <c r="O658" s="5" t="s">
        <v>26</v>
      </c>
      <c r="P658" s="5" t="s">
        <v>2728</v>
      </c>
      <c r="Q658" s="15"/>
      <c r="R658" s="16" t="s">
        <v>28</v>
      </c>
      <c r="S658" s="15"/>
      <c r="T658" s="15"/>
      <c r="U658" s="15"/>
      <c r="V658" s="15"/>
      <c r="W658" s="15"/>
      <c r="X658" s="15"/>
      <c r="Y658" s="15"/>
      <c r="Z658" s="15"/>
      <c r="AA658" s="15"/>
    </row>
    <row r="659">
      <c r="A659" s="5" t="s">
        <v>2719</v>
      </c>
      <c r="B659" s="6" t="s">
        <v>2729</v>
      </c>
      <c r="C659" s="40" t="s">
        <v>2730</v>
      </c>
      <c r="D659" s="8"/>
      <c r="E659" s="8" t="s">
        <v>523</v>
      </c>
      <c r="F659" s="9">
        <v>20000.0</v>
      </c>
      <c r="G659" s="25"/>
      <c r="H659" s="11" t="s">
        <v>184</v>
      </c>
      <c r="I659" s="41">
        <v>9.798382118E9</v>
      </c>
      <c r="J659" s="11" t="s">
        <v>25</v>
      </c>
      <c r="K659" s="12"/>
      <c r="L659" s="13"/>
      <c r="M659" s="14"/>
      <c r="N659" s="15"/>
      <c r="O659" s="5" t="s">
        <v>26</v>
      </c>
      <c r="P659" s="5" t="s">
        <v>2731</v>
      </c>
      <c r="Q659" s="15"/>
      <c r="R659" s="16" t="s">
        <v>28</v>
      </c>
      <c r="S659" s="15"/>
      <c r="T659" s="15"/>
      <c r="U659" s="15"/>
      <c r="V659" s="15"/>
      <c r="W659" s="15"/>
      <c r="X659" s="15"/>
      <c r="Y659" s="15"/>
      <c r="Z659" s="15"/>
      <c r="AA659" s="15"/>
    </row>
    <row r="660">
      <c r="A660" s="5" t="s">
        <v>2719</v>
      </c>
      <c r="B660" s="6" t="s">
        <v>2732</v>
      </c>
      <c r="C660" s="40" t="s">
        <v>2017</v>
      </c>
      <c r="D660" s="8"/>
      <c r="E660" s="8" t="s">
        <v>1550</v>
      </c>
      <c r="F660" s="90">
        <v>4000.0</v>
      </c>
      <c r="G660" s="31" t="s">
        <v>2733</v>
      </c>
      <c r="H660" s="11" t="s">
        <v>2734</v>
      </c>
      <c r="I660" s="41">
        <v>9.830230588E9</v>
      </c>
      <c r="J660" s="11" t="s">
        <v>25</v>
      </c>
      <c r="K660" s="12"/>
      <c r="L660" s="13"/>
      <c r="M660" s="14"/>
      <c r="N660" s="15"/>
      <c r="O660" s="5" t="s">
        <v>34</v>
      </c>
      <c r="P660" s="5"/>
      <c r="Q660" s="15"/>
      <c r="R660" s="16" t="s">
        <v>28</v>
      </c>
      <c r="S660" s="15"/>
      <c r="T660" s="15"/>
      <c r="U660" s="15"/>
      <c r="V660" s="15"/>
      <c r="W660" s="15"/>
      <c r="X660" s="15"/>
      <c r="Y660" s="15"/>
      <c r="Z660" s="15"/>
      <c r="AA660" s="15"/>
    </row>
    <row r="661">
      <c r="A661" s="5" t="s">
        <v>2735</v>
      </c>
      <c r="B661" s="6" t="s">
        <v>2736</v>
      </c>
      <c r="C661" s="40" t="s">
        <v>2737</v>
      </c>
      <c r="D661" s="8"/>
      <c r="E661" s="8" t="s">
        <v>202</v>
      </c>
      <c r="F661" s="9">
        <v>12000.0</v>
      </c>
      <c r="G661" s="25"/>
      <c r="H661" s="11" t="s">
        <v>44</v>
      </c>
      <c r="I661" s="41">
        <v>9.875362536E9</v>
      </c>
      <c r="J661" s="11" t="s">
        <v>25</v>
      </c>
      <c r="K661" s="12"/>
      <c r="L661" s="13"/>
      <c r="M661" s="14"/>
      <c r="N661" s="15"/>
      <c r="O661" s="5" t="s">
        <v>34</v>
      </c>
      <c r="P661" s="5" t="s">
        <v>1668</v>
      </c>
      <c r="Q661" s="15"/>
      <c r="R661" s="16" t="s">
        <v>28</v>
      </c>
      <c r="S661" s="15"/>
      <c r="T661" s="15"/>
      <c r="U661" s="15"/>
      <c r="V661" s="15"/>
      <c r="W661" s="15"/>
      <c r="X661" s="15"/>
      <c r="Y661" s="15"/>
      <c r="Z661" s="15"/>
      <c r="AA661" s="15"/>
    </row>
    <row r="662">
      <c r="A662" s="5" t="s">
        <v>2735</v>
      </c>
      <c r="B662" s="6" t="s">
        <v>2738</v>
      </c>
      <c r="C662" s="40" t="s">
        <v>2739</v>
      </c>
      <c r="D662" s="8"/>
      <c r="E662" s="8" t="s">
        <v>235</v>
      </c>
      <c r="F662" s="9">
        <v>20000.0</v>
      </c>
      <c r="G662" s="25" t="s">
        <v>2740</v>
      </c>
      <c r="H662" s="11" t="s">
        <v>906</v>
      </c>
      <c r="I662" s="41">
        <v>9.223433762E9</v>
      </c>
      <c r="J662" s="11" t="s">
        <v>25</v>
      </c>
      <c r="K662" s="12"/>
      <c r="L662" s="13"/>
      <c r="M662" s="14"/>
      <c r="N662" s="15"/>
      <c r="O662" s="5" t="s">
        <v>108</v>
      </c>
      <c r="P662" s="5"/>
      <c r="Q662" s="15"/>
      <c r="R662" s="16" t="s">
        <v>28</v>
      </c>
      <c r="S662" s="15"/>
      <c r="T662" s="15"/>
      <c r="U662" s="15"/>
      <c r="V662" s="15"/>
      <c r="W662" s="15"/>
      <c r="X662" s="15"/>
      <c r="Y662" s="15"/>
      <c r="Z662" s="15"/>
      <c r="AA662" s="15"/>
    </row>
    <row r="663">
      <c r="A663" s="5" t="s">
        <v>2735</v>
      </c>
      <c r="B663" s="6" t="s">
        <v>2741</v>
      </c>
      <c r="C663" s="40" t="s">
        <v>2742</v>
      </c>
      <c r="D663" s="8"/>
      <c r="E663" s="8" t="s">
        <v>267</v>
      </c>
      <c r="F663" s="9">
        <v>20000.0</v>
      </c>
      <c r="G663" s="25" t="s">
        <v>2743</v>
      </c>
      <c r="H663" s="11" t="s">
        <v>44</v>
      </c>
      <c r="I663" s="41">
        <v>9.007930724E9</v>
      </c>
      <c r="J663" s="11" t="s">
        <v>25</v>
      </c>
      <c r="K663" s="12"/>
      <c r="L663" s="13"/>
      <c r="M663" s="14"/>
      <c r="N663" s="15"/>
      <c r="O663" s="5" t="s">
        <v>26</v>
      </c>
      <c r="P663" s="5" t="s">
        <v>2744</v>
      </c>
      <c r="Q663" s="15"/>
      <c r="R663" s="16" t="s">
        <v>28</v>
      </c>
      <c r="S663" s="15"/>
      <c r="T663" s="15"/>
      <c r="U663" s="15"/>
      <c r="V663" s="15"/>
      <c r="W663" s="15"/>
      <c r="X663" s="15"/>
      <c r="Y663" s="15"/>
      <c r="Z663" s="15"/>
      <c r="AA663" s="15"/>
    </row>
    <row r="664">
      <c r="A664" s="5" t="s">
        <v>2735</v>
      </c>
      <c r="B664" s="6" t="s">
        <v>2745</v>
      </c>
      <c r="C664" s="40" t="s">
        <v>2746</v>
      </c>
      <c r="D664" s="8"/>
      <c r="E664" s="8" t="s">
        <v>2747</v>
      </c>
      <c r="F664" s="9">
        <v>10000.0</v>
      </c>
      <c r="G664" s="25"/>
      <c r="H664" s="11" t="s">
        <v>184</v>
      </c>
      <c r="I664" s="41">
        <v>7.00442008E9</v>
      </c>
      <c r="J664" s="11" t="s">
        <v>25</v>
      </c>
      <c r="K664" s="12"/>
      <c r="L664" s="13"/>
      <c r="M664" s="14"/>
      <c r="N664" s="15"/>
      <c r="O664" s="5" t="s">
        <v>26</v>
      </c>
      <c r="P664" s="5" t="s">
        <v>2748</v>
      </c>
      <c r="Q664" s="15"/>
      <c r="R664" s="16" t="s">
        <v>28</v>
      </c>
      <c r="S664" s="15"/>
      <c r="T664" s="15"/>
      <c r="U664" s="15"/>
      <c r="V664" s="15"/>
      <c r="W664" s="15"/>
      <c r="X664" s="15"/>
      <c r="Y664" s="15"/>
      <c r="Z664" s="15"/>
      <c r="AA664" s="15"/>
    </row>
    <row r="665">
      <c r="A665" s="5" t="s">
        <v>2735</v>
      </c>
      <c r="B665" s="6" t="s">
        <v>2749</v>
      </c>
      <c r="C665" s="40" t="s">
        <v>2750</v>
      </c>
      <c r="D665" s="8"/>
      <c r="E665" s="8" t="s">
        <v>2476</v>
      </c>
      <c r="F665" s="9">
        <v>50000.0</v>
      </c>
      <c r="G665" s="25" t="s">
        <v>2751</v>
      </c>
      <c r="H665" s="11" t="s">
        <v>107</v>
      </c>
      <c r="I665" s="41">
        <v>8.860361976E9</v>
      </c>
      <c r="J665" s="11" t="s">
        <v>25</v>
      </c>
      <c r="K665" s="12"/>
      <c r="L665" s="13"/>
      <c r="M665" s="14"/>
      <c r="N665" s="15"/>
      <c r="O665" s="5" t="s">
        <v>108</v>
      </c>
      <c r="P665" s="5"/>
      <c r="Q665" s="15"/>
      <c r="R665" s="16" t="s">
        <v>28</v>
      </c>
      <c r="S665" s="15"/>
      <c r="T665" s="15"/>
      <c r="U665" s="15"/>
      <c r="V665" s="15"/>
      <c r="W665" s="15"/>
      <c r="X665" s="15"/>
      <c r="Y665" s="15"/>
      <c r="Z665" s="15"/>
      <c r="AA665" s="15"/>
    </row>
    <row r="666">
      <c r="A666" s="5" t="s">
        <v>2735</v>
      </c>
      <c r="B666" s="6" t="s">
        <v>2752</v>
      </c>
      <c r="C666" s="40" t="s">
        <v>2753</v>
      </c>
      <c r="D666" s="8"/>
      <c r="E666" s="8" t="s">
        <v>444</v>
      </c>
      <c r="F666" s="90">
        <v>300.0</v>
      </c>
      <c r="G666" s="31" t="s">
        <v>2754</v>
      </c>
      <c r="H666" s="36" t="s">
        <v>2755</v>
      </c>
      <c r="I666" s="41">
        <v>9.851476196E9</v>
      </c>
      <c r="J666" s="11" t="s">
        <v>25</v>
      </c>
      <c r="K666" s="12"/>
      <c r="L666" s="13"/>
      <c r="M666" s="14"/>
      <c r="N666" s="15"/>
      <c r="O666" s="5" t="s">
        <v>26</v>
      </c>
      <c r="P666" s="5" t="s">
        <v>844</v>
      </c>
      <c r="Q666" s="15"/>
      <c r="R666" s="16" t="s">
        <v>28</v>
      </c>
      <c r="S666" s="15"/>
      <c r="T666" s="15"/>
      <c r="U666" s="15"/>
      <c r="V666" s="15"/>
      <c r="W666" s="15"/>
      <c r="X666" s="15"/>
      <c r="Y666" s="15"/>
      <c r="Z666" s="15"/>
      <c r="AA666" s="15"/>
    </row>
    <row r="667">
      <c r="A667" s="5" t="s">
        <v>2735</v>
      </c>
      <c r="B667" s="6" t="s">
        <v>2756</v>
      </c>
      <c r="C667" s="40" t="s">
        <v>2757</v>
      </c>
      <c r="D667" s="8"/>
      <c r="E667" s="8" t="s">
        <v>83</v>
      </c>
      <c r="F667" s="9">
        <v>50000.0</v>
      </c>
      <c r="G667" s="31" t="s">
        <v>2758</v>
      </c>
      <c r="H667" s="11" t="s">
        <v>2662</v>
      </c>
      <c r="I667" s="41">
        <v>9.943655557E9</v>
      </c>
      <c r="J667" s="11" t="s">
        <v>25</v>
      </c>
      <c r="K667" s="12"/>
      <c r="L667" s="13"/>
      <c r="M667" s="14"/>
      <c r="N667" s="15"/>
      <c r="O667" s="5" t="s">
        <v>108</v>
      </c>
      <c r="P667" s="5"/>
      <c r="Q667" s="15"/>
      <c r="R667" s="16" t="s">
        <v>28</v>
      </c>
      <c r="S667" s="15"/>
      <c r="T667" s="15"/>
      <c r="U667" s="15"/>
      <c r="V667" s="15"/>
      <c r="W667" s="15"/>
      <c r="X667" s="15"/>
      <c r="Y667" s="15"/>
      <c r="Z667" s="15"/>
      <c r="AA667" s="15"/>
    </row>
    <row r="668">
      <c r="A668" s="5" t="s">
        <v>2759</v>
      </c>
      <c r="B668" s="6" t="s">
        <v>2760</v>
      </c>
      <c r="C668" s="40" t="s">
        <v>2761</v>
      </c>
      <c r="D668" s="8"/>
      <c r="E668" s="8" t="s">
        <v>1396</v>
      </c>
      <c r="F668" s="9">
        <v>20000.0</v>
      </c>
      <c r="G668" s="25" t="s">
        <v>2762</v>
      </c>
      <c r="H668" s="11" t="s">
        <v>906</v>
      </c>
      <c r="I668" s="41">
        <v>9.322422799E9</v>
      </c>
      <c r="J668" s="11" t="s">
        <v>25</v>
      </c>
      <c r="K668" s="12"/>
      <c r="L668" s="13"/>
      <c r="M668" s="14"/>
      <c r="N668" s="15"/>
      <c r="O668" s="5" t="s">
        <v>108</v>
      </c>
      <c r="P668" s="5"/>
      <c r="Q668" s="15"/>
      <c r="R668" s="16" t="s">
        <v>28</v>
      </c>
      <c r="S668" s="15"/>
      <c r="T668" s="15"/>
      <c r="U668" s="15"/>
      <c r="V668" s="15"/>
      <c r="W668" s="15"/>
      <c r="X668" s="15"/>
      <c r="Y668" s="15"/>
      <c r="Z668" s="15"/>
      <c r="AA668" s="15"/>
    </row>
    <row r="669">
      <c r="A669" s="5" t="s">
        <v>2759</v>
      </c>
      <c r="B669" s="6" t="s">
        <v>2763</v>
      </c>
      <c r="C669" s="40" t="s">
        <v>2764</v>
      </c>
      <c r="D669" s="8"/>
      <c r="E669" s="8" t="s">
        <v>43</v>
      </c>
      <c r="F669" s="9">
        <v>25000.0</v>
      </c>
      <c r="G669" s="43" t="s">
        <v>2765</v>
      </c>
      <c r="H669" s="11" t="s">
        <v>24</v>
      </c>
      <c r="I669" s="41">
        <v>6.207734947E9</v>
      </c>
      <c r="J669" s="11" t="s">
        <v>25</v>
      </c>
      <c r="K669" s="12"/>
      <c r="L669" s="13"/>
      <c r="M669" s="14"/>
      <c r="N669" s="15"/>
      <c r="O669" s="5" t="s">
        <v>34</v>
      </c>
      <c r="P669" s="5" t="s">
        <v>79</v>
      </c>
      <c r="Q669" s="15"/>
      <c r="R669" s="16" t="s">
        <v>28</v>
      </c>
      <c r="S669" s="15"/>
      <c r="T669" s="15"/>
      <c r="U669" s="15"/>
      <c r="V669" s="15"/>
      <c r="W669" s="15"/>
      <c r="X669" s="15"/>
      <c r="Y669" s="15"/>
      <c r="Z669" s="15"/>
      <c r="AA669" s="15"/>
    </row>
    <row r="670">
      <c r="A670" s="5" t="s">
        <v>2759</v>
      </c>
      <c r="B670" s="6" t="s">
        <v>2766</v>
      </c>
      <c r="C670" s="40" t="s">
        <v>2767</v>
      </c>
      <c r="D670" s="8"/>
      <c r="E670" s="8" t="s">
        <v>53</v>
      </c>
      <c r="F670" s="9">
        <v>10000.0</v>
      </c>
      <c r="G670" s="25" t="s">
        <v>2768</v>
      </c>
      <c r="H670" s="11" t="s">
        <v>107</v>
      </c>
      <c r="I670" s="41">
        <v>7.291999204E9</v>
      </c>
      <c r="J670" s="11" t="s">
        <v>25</v>
      </c>
      <c r="K670" s="12"/>
      <c r="L670" s="13"/>
      <c r="M670" s="14"/>
      <c r="N670" s="15"/>
      <c r="O670" s="5" t="s">
        <v>108</v>
      </c>
      <c r="P670" s="5"/>
      <c r="Q670" s="15"/>
      <c r="R670" s="16" t="s">
        <v>28</v>
      </c>
      <c r="S670" s="15"/>
      <c r="T670" s="15"/>
      <c r="U670" s="15"/>
      <c r="V670" s="15"/>
      <c r="W670" s="15"/>
      <c r="X670" s="15"/>
      <c r="Y670" s="15"/>
      <c r="Z670" s="15"/>
      <c r="AA670" s="15"/>
    </row>
    <row r="671">
      <c r="A671" s="5" t="s">
        <v>2759</v>
      </c>
      <c r="B671" s="6" t="s">
        <v>2769</v>
      </c>
      <c r="C671" s="40" t="s">
        <v>2770</v>
      </c>
      <c r="D671" s="8"/>
      <c r="E671" s="8" t="s">
        <v>130</v>
      </c>
      <c r="F671" s="9">
        <v>150000.0</v>
      </c>
      <c r="G671" s="25" t="s">
        <v>2771</v>
      </c>
      <c r="H671" s="11" t="s">
        <v>131</v>
      </c>
      <c r="I671" s="41">
        <v>9.435309918E9</v>
      </c>
      <c r="J671" s="11" t="s">
        <v>25</v>
      </c>
      <c r="K671" s="12"/>
      <c r="L671" s="13"/>
      <c r="M671" s="14"/>
      <c r="N671" s="15"/>
      <c r="O671" s="5" t="s">
        <v>26</v>
      </c>
      <c r="P671" s="5" t="s">
        <v>844</v>
      </c>
      <c r="Q671" s="15"/>
      <c r="R671" s="16" t="s">
        <v>28</v>
      </c>
      <c r="S671" s="15"/>
      <c r="T671" s="15"/>
      <c r="U671" s="15"/>
      <c r="V671" s="15"/>
      <c r="W671" s="15"/>
      <c r="X671" s="15"/>
      <c r="Y671" s="15"/>
      <c r="Z671" s="15"/>
      <c r="AA671" s="15"/>
    </row>
    <row r="672">
      <c r="A672" s="5" t="s">
        <v>2759</v>
      </c>
      <c r="B672" s="6" t="s">
        <v>2772</v>
      </c>
      <c r="C672" s="40" t="s">
        <v>2773</v>
      </c>
      <c r="D672" s="8"/>
      <c r="E672" s="8" t="s">
        <v>83</v>
      </c>
      <c r="F672" s="9">
        <v>25000.0</v>
      </c>
      <c r="G672" s="25" t="s">
        <v>2774</v>
      </c>
      <c r="H672" s="11" t="s">
        <v>906</v>
      </c>
      <c r="I672" s="41">
        <v>9.764439555E9</v>
      </c>
      <c r="J672" s="11" t="s">
        <v>25</v>
      </c>
      <c r="K672" s="12"/>
      <c r="L672" s="13"/>
      <c r="M672" s="14"/>
      <c r="N672" s="15"/>
      <c r="O672" s="5" t="s">
        <v>108</v>
      </c>
      <c r="P672" s="5"/>
      <c r="Q672" s="15"/>
      <c r="R672" s="16" t="s">
        <v>28</v>
      </c>
      <c r="S672" s="15"/>
      <c r="T672" s="15"/>
      <c r="U672" s="15"/>
      <c r="V672" s="15"/>
      <c r="W672" s="15"/>
      <c r="X672" s="15"/>
      <c r="Y672" s="15"/>
      <c r="Z672" s="15"/>
      <c r="AA672" s="15"/>
    </row>
    <row r="673">
      <c r="A673" s="5" t="s">
        <v>2759</v>
      </c>
      <c r="B673" s="6" t="s">
        <v>2775</v>
      </c>
      <c r="C673" s="40" t="s">
        <v>2776</v>
      </c>
      <c r="D673" s="8"/>
      <c r="E673" s="8" t="s">
        <v>1890</v>
      </c>
      <c r="F673" s="90"/>
      <c r="G673" s="25" t="s">
        <v>2777</v>
      </c>
      <c r="H673" s="11" t="s">
        <v>44</v>
      </c>
      <c r="I673" s="41">
        <v>9.434954146E9</v>
      </c>
      <c r="J673" s="11" t="s">
        <v>25</v>
      </c>
      <c r="K673" s="12"/>
      <c r="L673" s="13"/>
      <c r="M673" s="14"/>
      <c r="N673" s="15"/>
      <c r="O673" s="5" t="s">
        <v>26</v>
      </c>
      <c r="P673" s="5" t="s">
        <v>2778</v>
      </c>
      <c r="Q673" s="15"/>
      <c r="R673" s="16" t="s">
        <v>28</v>
      </c>
      <c r="S673" s="15"/>
      <c r="T673" s="15"/>
      <c r="U673" s="15"/>
      <c r="V673" s="15"/>
      <c r="W673" s="15"/>
      <c r="X673" s="15"/>
      <c r="Y673" s="15"/>
      <c r="Z673" s="15"/>
      <c r="AA673" s="15"/>
    </row>
    <row r="674">
      <c r="A674" s="5" t="s">
        <v>2759</v>
      </c>
      <c r="B674" s="6" t="s">
        <v>2779</v>
      </c>
      <c r="C674" s="40" t="s">
        <v>2780</v>
      </c>
      <c r="D674" s="8"/>
      <c r="E674" s="8" t="s">
        <v>189</v>
      </c>
      <c r="F674" s="90">
        <v>500.0</v>
      </c>
      <c r="G674" s="31" t="s">
        <v>2781</v>
      </c>
      <c r="H674" s="11" t="s">
        <v>1691</v>
      </c>
      <c r="I674" s="41">
        <v>9.732014865E9</v>
      </c>
      <c r="J674" s="11" t="s">
        <v>25</v>
      </c>
      <c r="K674" s="12"/>
      <c r="L674" s="13"/>
      <c r="M674" s="14"/>
      <c r="N674" s="15"/>
      <c r="O674" s="5" t="s">
        <v>34</v>
      </c>
      <c r="P674" s="5" t="s">
        <v>79</v>
      </c>
      <c r="Q674" s="15"/>
      <c r="R674" s="16" t="s">
        <v>28</v>
      </c>
      <c r="S674" s="15"/>
      <c r="T674" s="15"/>
      <c r="U674" s="15"/>
      <c r="V674" s="15"/>
      <c r="W674" s="15"/>
      <c r="X674" s="15"/>
      <c r="Y674" s="15"/>
      <c r="Z674" s="15"/>
      <c r="AA674" s="15"/>
    </row>
    <row r="675">
      <c r="A675" s="5" t="s">
        <v>2782</v>
      </c>
      <c r="B675" s="6" t="s">
        <v>2783</v>
      </c>
      <c r="C675" s="40" t="s">
        <v>2784</v>
      </c>
      <c r="D675" s="8"/>
      <c r="E675" s="8" t="s">
        <v>523</v>
      </c>
      <c r="F675" s="90">
        <v>2000.0</v>
      </c>
      <c r="G675" s="25" t="s">
        <v>2785</v>
      </c>
      <c r="H675" s="11" t="s">
        <v>1691</v>
      </c>
      <c r="I675" s="41">
        <v>9.874027919E9</v>
      </c>
      <c r="J675" s="11" t="s">
        <v>25</v>
      </c>
      <c r="K675" s="12" t="s">
        <v>2786</v>
      </c>
      <c r="L675" s="13"/>
      <c r="M675" s="14"/>
      <c r="N675" s="15"/>
      <c r="O675" s="5" t="s">
        <v>26</v>
      </c>
      <c r="P675" s="5" t="s">
        <v>2787</v>
      </c>
      <c r="Q675" s="15"/>
      <c r="R675" s="16" t="s">
        <v>28</v>
      </c>
      <c r="S675" s="15"/>
      <c r="T675" s="15"/>
      <c r="U675" s="15"/>
      <c r="V675" s="15"/>
      <c r="W675" s="15"/>
      <c r="X675" s="15"/>
      <c r="Y675" s="15"/>
      <c r="Z675" s="15"/>
      <c r="AA675" s="15"/>
    </row>
    <row r="676">
      <c r="A676" s="5" t="s">
        <v>2782</v>
      </c>
      <c r="B676" s="6" t="s">
        <v>2788</v>
      </c>
      <c r="C676" s="40" t="s">
        <v>2789</v>
      </c>
      <c r="D676" s="8"/>
      <c r="E676" s="8" t="s">
        <v>2402</v>
      </c>
      <c r="F676" s="90">
        <v>1200.0</v>
      </c>
      <c r="G676" s="25" t="s">
        <v>2790</v>
      </c>
      <c r="H676" s="11" t="s">
        <v>44</v>
      </c>
      <c r="I676" s="41">
        <v>9.051611794E9</v>
      </c>
      <c r="J676" s="11" t="s">
        <v>25</v>
      </c>
      <c r="K676" s="12" t="s">
        <v>1870</v>
      </c>
      <c r="L676" s="13"/>
      <c r="M676" s="14"/>
      <c r="N676" s="15"/>
      <c r="O676" s="5" t="s">
        <v>26</v>
      </c>
      <c r="P676" s="5" t="s">
        <v>2791</v>
      </c>
      <c r="Q676" s="15"/>
      <c r="R676" s="16" t="s">
        <v>28</v>
      </c>
      <c r="S676" s="15"/>
      <c r="T676" s="15"/>
      <c r="U676" s="15"/>
      <c r="V676" s="15"/>
      <c r="W676" s="15"/>
      <c r="X676" s="15"/>
      <c r="Y676" s="15"/>
      <c r="Z676" s="15"/>
      <c r="AA676" s="15"/>
    </row>
    <row r="677">
      <c r="A677" s="5" t="s">
        <v>2782</v>
      </c>
      <c r="B677" s="6" t="s">
        <v>2792</v>
      </c>
      <c r="C677" s="40" t="s">
        <v>2793</v>
      </c>
      <c r="D677" s="8"/>
      <c r="E677" s="8" t="s">
        <v>202</v>
      </c>
      <c r="F677" s="90">
        <v>5000.0</v>
      </c>
      <c r="G677" s="31" t="s">
        <v>2794</v>
      </c>
      <c r="H677" s="11" t="s">
        <v>184</v>
      </c>
      <c r="I677" s="41">
        <v>8.789174641E9</v>
      </c>
      <c r="J677" s="11" t="s">
        <v>25</v>
      </c>
      <c r="K677" s="12"/>
      <c r="L677" s="13"/>
      <c r="M677" s="14"/>
      <c r="N677" s="15"/>
      <c r="O677" s="5" t="s">
        <v>34</v>
      </c>
      <c r="P677" s="5" t="s">
        <v>2795</v>
      </c>
      <c r="Q677" s="15"/>
      <c r="R677" s="16" t="s">
        <v>28</v>
      </c>
      <c r="S677" s="15"/>
      <c r="T677" s="15"/>
      <c r="U677" s="15"/>
      <c r="V677" s="15"/>
      <c r="W677" s="15"/>
      <c r="X677" s="15"/>
      <c r="Y677" s="15"/>
      <c r="Z677" s="15"/>
      <c r="AA677" s="15"/>
    </row>
    <row r="678">
      <c r="A678" s="5" t="s">
        <v>2782</v>
      </c>
      <c r="B678" s="6" t="s">
        <v>2796</v>
      </c>
      <c r="C678" s="40" t="s">
        <v>2797</v>
      </c>
      <c r="D678" s="8"/>
      <c r="E678" s="8" t="s">
        <v>1396</v>
      </c>
      <c r="F678" s="90">
        <v>1000.0</v>
      </c>
      <c r="G678" s="25" t="s">
        <v>2798</v>
      </c>
      <c r="H678" s="11" t="s">
        <v>906</v>
      </c>
      <c r="I678" s="41">
        <v>9.767688468E9</v>
      </c>
      <c r="J678" s="11" t="s">
        <v>25</v>
      </c>
      <c r="K678" s="12"/>
      <c r="L678" s="13"/>
      <c r="M678" s="14"/>
      <c r="N678" s="15"/>
      <c r="O678" s="5" t="s">
        <v>108</v>
      </c>
      <c r="P678" s="5"/>
      <c r="Q678" s="15"/>
      <c r="R678" s="16" t="s">
        <v>28</v>
      </c>
      <c r="S678" s="15"/>
      <c r="T678" s="15"/>
      <c r="U678" s="15"/>
      <c r="V678" s="15"/>
      <c r="W678" s="15"/>
      <c r="X678" s="15"/>
      <c r="Y678" s="15"/>
      <c r="Z678" s="15"/>
      <c r="AA678" s="15"/>
    </row>
    <row r="679">
      <c r="A679" s="5" t="s">
        <v>2782</v>
      </c>
      <c r="B679" s="6" t="s">
        <v>2799</v>
      </c>
      <c r="C679" s="40" t="s">
        <v>2800</v>
      </c>
      <c r="D679" s="8"/>
      <c r="E679" s="8" t="s">
        <v>1000</v>
      </c>
      <c r="F679" s="9">
        <v>100000.0</v>
      </c>
      <c r="G679" s="31" t="s">
        <v>2801</v>
      </c>
      <c r="H679" s="11" t="s">
        <v>44</v>
      </c>
      <c r="I679" s="41">
        <v>8.583002725E9</v>
      </c>
      <c r="J679" s="11" t="s">
        <v>25</v>
      </c>
      <c r="K679" s="12"/>
      <c r="L679" s="13"/>
      <c r="M679" s="14"/>
      <c r="N679" s="15"/>
      <c r="O679" s="5" t="s">
        <v>26</v>
      </c>
      <c r="P679" s="5"/>
      <c r="Q679" s="15"/>
      <c r="R679" s="16" t="s">
        <v>28</v>
      </c>
      <c r="S679" s="15"/>
      <c r="T679" s="15"/>
      <c r="U679" s="15"/>
      <c r="V679" s="15"/>
      <c r="W679" s="15"/>
      <c r="X679" s="15"/>
      <c r="Y679" s="15"/>
      <c r="Z679" s="15"/>
      <c r="AA679" s="15"/>
    </row>
    <row r="680">
      <c r="A680" s="5" t="s">
        <v>2782</v>
      </c>
      <c r="B680" s="6" t="s">
        <v>2802</v>
      </c>
      <c r="C680" s="40" t="s">
        <v>2803</v>
      </c>
      <c r="D680" s="8"/>
      <c r="E680" s="8" t="s">
        <v>189</v>
      </c>
      <c r="F680" s="9">
        <v>40000.0</v>
      </c>
      <c r="G680" s="25" t="s">
        <v>2804</v>
      </c>
      <c r="H680" s="11" t="s">
        <v>906</v>
      </c>
      <c r="I680" s="41">
        <v>7.977823143E9</v>
      </c>
      <c r="J680" s="11" t="s">
        <v>25</v>
      </c>
      <c r="K680" s="12"/>
      <c r="L680" s="13"/>
      <c r="M680" s="14"/>
      <c r="N680" s="15"/>
      <c r="O680" s="5" t="s">
        <v>108</v>
      </c>
      <c r="P680" s="5"/>
      <c r="Q680" s="15"/>
      <c r="R680" s="16" t="s">
        <v>28</v>
      </c>
      <c r="S680" s="15"/>
      <c r="T680" s="15"/>
      <c r="U680" s="15"/>
      <c r="V680" s="15"/>
      <c r="W680" s="15"/>
      <c r="X680" s="15"/>
      <c r="Y680" s="15"/>
      <c r="Z680" s="15"/>
      <c r="AA680" s="15"/>
    </row>
    <row r="681">
      <c r="A681" s="5" t="s">
        <v>2805</v>
      </c>
      <c r="B681" s="6" t="s">
        <v>2806</v>
      </c>
      <c r="C681" s="40" t="s">
        <v>2391</v>
      </c>
      <c r="D681" s="8"/>
      <c r="E681" s="8" t="s">
        <v>235</v>
      </c>
      <c r="F681" s="9">
        <v>12000.0</v>
      </c>
      <c r="G681" s="25" t="s">
        <v>2392</v>
      </c>
      <c r="H681" s="11" t="s">
        <v>107</v>
      </c>
      <c r="I681" s="41">
        <v>9.711461412E9</v>
      </c>
      <c r="J681" s="11" t="s">
        <v>25</v>
      </c>
      <c r="K681" s="12"/>
      <c r="L681" s="13"/>
      <c r="M681" s="14"/>
      <c r="N681" s="15"/>
      <c r="O681" s="5" t="s">
        <v>108</v>
      </c>
      <c r="P681" s="5" t="s">
        <v>2807</v>
      </c>
      <c r="Q681" s="15"/>
      <c r="R681" s="16" t="s">
        <v>28</v>
      </c>
      <c r="S681" s="15"/>
      <c r="T681" s="15"/>
      <c r="U681" s="15"/>
      <c r="V681" s="15"/>
      <c r="W681" s="15"/>
      <c r="X681" s="15"/>
      <c r="Y681" s="15"/>
      <c r="Z681" s="15"/>
      <c r="AA681" s="15"/>
    </row>
    <row r="682">
      <c r="A682" s="5" t="s">
        <v>2805</v>
      </c>
      <c r="B682" s="6" t="s">
        <v>2808</v>
      </c>
      <c r="C682" s="40" t="s">
        <v>2809</v>
      </c>
      <c r="D682" s="8"/>
      <c r="E682" s="8" t="s">
        <v>286</v>
      </c>
      <c r="F682" s="9">
        <v>1000.0</v>
      </c>
      <c r="G682" s="25" t="s">
        <v>2810</v>
      </c>
      <c r="H682" s="11" t="s">
        <v>44</v>
      </c>
      <c r="I682" s="41">
        <v>9.163136488E9</v>
      </c>
      <c r="J682" s="11" t="s">
        <v>25</v>
      </c>
      <c r="K682" s="12"/>
      <c r="L682" s="13"/>
      <c r="M682" s="14"/>
      <c r="N682" s="15"/>
      <c r="O682" s="5" t="s">
        <v>34</v>
      </c>
      <c r="P682" s="5" t="s">
        <v>727</v>
      </c>
      <c r="Q682" s="15"/>
      <c r="R682" s="16" t="s">
        <v>28</v>
      </c>
      <c r="S682" s="15"/>
      <c r="T682" s="15"/>
      <c r="U682" s="15"/>
      <c r="V682" s="15"/>
      <c r="W682" s="15"/>
      <c r="X682" s="15"/>
      <c r="Y682" s="15"/>
      <c r="Z682" s="15"/>
      <c r="AA682" s="15"/>
    </row>
    <row r="683">
      <c r="A683" s="5" t="s">
        <v>2805</v>
      </c>
      <c r="B683" s="6" t="s">
        <v>2811</v>
      </c>
      <c r="C683" s="40" t="s">
        <v>2812</v>
      </c>
      <c r="D683" s="8"/>
      <c r="E683" s="8" t="s">
        <v>2813</v>
      </c>
      <c r="F683" s="90">
        <v>5000.0</v>
      </c>
      <c r="G683" s="25" t="s">
        <v>2814</v>
      </c>
      <c r="H683" s="11" t="s">
        <v>107</v>
      </c>
      <c r="I683" s="41">
        <v>9.312045883E9</v>
      </c>
      <c r="J683" s="11" t="s">
        <v>25</v>
      </c>
      <c r="K683" s="12"/>
      <c r="L683" s="13"/>
      <c r="M683" s="14"/>
      <c r="N683" s="15"/>
      <c r="O683" s="5" t="s">
        <v>108</v>
      </c>
      <c r="P683" s="5" t="s">
        <v>2815</v>
      </c>
      <c r="Q683" s="15"/>
      <c r="R683" s="16" t="s">
        <v>28</v>
      </c>
      <c r="S683" s="15"/>
      <c r="T683" s="15"/>
      <c r="U683" s="15"/>
      <c r="V683" s="15"/>
      <c r="W683" s="15"/>
      <c r="X683" s="15"/>
      <c r="Y683" s="15"/>
      <c r="Z683" s="15"/>
      <c r="AA683" s="15"/>
    </row>
    <row r="684">
      <c r="A684" s="5" t="s">
        <v>2805</v>
      </c>
      <c r="B684" s="6" t="s">
        <v>2816</v>
      </c>
      <c r="C684" s="40" t="s">
        <v>2817</v>
      </c>
      <c r="D684" s="8"/>
      <c r="E684" s="8" t="s">
        <v>286</v>
      </c>
      <c r="F684" s="90">
        <v>250.0</v>
      </c>
      <c r="G684" s="25" t="s">
        <v>2818</v>
      </c>
      <c r="H684" s="11" t="s">
        <v>44</v>
      </c>
      <c r="I684" s="41">
        <v>9.681929132E9</v>
      </c>
      <c r="J684" s="11" t="s">
        <v>25</v>
      </c>
      <c r="K684" s="12"/>
      <c r="L684" s="13"/>
      <c r="M684" s="14"/>
      <c r="N684" s="15"/>
      <c r="O684" s="5" t="s">
        <v>34</v>
      </c>
      <c r="P684" s="5" t="s">
        <v>55</v>
      </c>
      <c r="Q684" s="15"/>
      <c r="R684" s="16" t="s">
        <v>723</v>
      </c>
      <c r="S684" s="15"/>
      <c r="T684" s="15"/>
      <c r="U684" s="15"/>
      <c r="V684" s="15"/>
      <c r="W684" s="15"/>
      <c r="X684" s="15"/>
      <c r="Y684" s="15"/>
      <c r="Z684" s="15"/>
      <c r="AA684" s="15"/>
    </row>
    <row r="685">
      <c r="A685" s="5" t="s">
        <v>2805</v>
      </c>
      <c r="B685" s="6" t="s">
        <v>2819</v>
      </c>
      <c r="C685" s="40" t="s">
        <v>2820</v>
      </c>
      <c r="D685" s="8"/>
      <c r="E685" s="8" t="s">
        <v>2821</v>
      </c>
      <c r="F685" s="90">
        <v>3000.0</v>
      </c>
      <c r="G685" s="31" t="s">
        <v>2822</v>
      </c>
      <c r="H685" s="11" t="s">
        <v>44</v>
      </c>
      <c r="I685" s="41" t="s">
        <v>2823</v>
      </c>
      <c r="J685" s="11" t="s">
        <v>25</v>
      </c>
      <c r="K685" s="12"/>
      <c r="L685" s="13"/>
      <c r="M685" s="14"/>
      <c r="N685" s="15"/>
      <c r="O685" s="5" t="s">
        <v>26</v>
      </c>
      <c r="P685" s="5"/>
      <c r="Q685" s="15"/>
      <c r="R685" s="16" t="s">
        <v>28</v>
      </c>
      <c r="S685" s="15"/>
      <c r="T685" s="15"/>
      <c r="U685" s="15"/>
      <c r="V685" s="15"/>
      <c r="W685" s="15"/>
      <c r="X685" s="15"/>
      <c r="Y685" s="15"/>
      <c r="Z685" s="15"/>
      <c r="AA685" s="15"/>
    </row>
    <row r="686">
      <c r="A686" s="5" t="s">
        <v>2805</v>
      </c>
      <c r="B686" s="6" t="s">
        <v>2824</v>
      </c>
      <c r="C686" s="40" t="s">
        <v>2825</v>
      </c>
      <c r="D686" s="8"/>
      <c r="E686" s="8" t="s">
        <v>227</v>
      </c>
      <c r="F686" s="9">
        <v>30000.0</v>
      </c>
      <c r="G686" s="31" t="s">
        <v>2826</v>
      </c>
      <c r="H686" s="11" t="s">
        <v>495</v>
      </c>
      <c r="I686" s="41">
        <v>8.210090174E9</v>
      </c>
      <c r="J686" s="11" t="s">
        <v>25</v>
      </c>
      <c r="K686" s="12" t="s">
        <v>2827</v>
      </c>
      <c r="L686" s="13"/>
      <c r="M686" s="14"/>
      <c r="N686" s="15"/>
      <c r="O686" s="5" t="s">
        <v>26</v>
      </c>
      <c r="P686" s="5"/>
      <c r="Q686" s="15"/>
      <c r="R686" s="16" t="s">
        <v>28</v>
      </c>
      <c r="S686" s="15"/>
      <c r="T686" s="15"/>
      <c r="U686" s="15"/>
      <c r="V686" s="15"/>
      <c r="W686" s="15"/>
      <c r="X686" s="15"/>
      <c r="Y686" s="15"/>
      <c r="Z686" s="15"/>
      <c r="AA686" s="15"/>
    </row>
    <row r="687">
      <c r="A687" s="5" t="s">
        <v>2805</v>
      </c>
      <c r="B687" s="6" t="s">
        <v>2828</v>
      </c>
      <c r="C687" s="40" t="s">
        <v>2829</v>
      </c>
      <c r="D687" s="8"/>
      <c r="E687" s="8" t="s">
        <v>2317</v>
      </c>
      <c r="F687" s="9">
        <v>25000.0</v>
      </c>
      <c r="G687" s="31" t="s">
        <v>2830</v>
      </c>
      <c r="H687" s="11" t="s">
        <v>44</v>
      </c>
      <c r="I687" s="41">
        <v>7.439512592E9</v>
      </c>
      <c r="J687" s="11" t="s">
        <v>25</v>
      </c>
      <c r="K687" s="12"/>
      <c r="L687" s="13"/>
      <c r="M687" s="14"/>
      <c r="N687" s="15"/>
      <c r="O687" s="5" t="s">
        <v>26</v>
      </c>
      <c r="P687" s="5"/>
      <c r="Q687" s="15"/>
      <c r="R687" s="16" t="s">
        <v>28</v>
      </c>
      <c r="S687" s="15"/>
      <c r="T687" s="15"/>
      <c r="U687" s="15"/>
      <c r="V687" s="15"/>
      <c r="W687" s="15"/>
      <c r="X687" s="15"/>
      <c r="Y687" s="15"/>
      <c r="Z687" s="15"/>
      <c r="AA687" s="15"/>
    </row>
    <row r="688">
      <c r="A688" s="5" t="s">
        <v>2805</v>
      </c>
      <c r="B688" s="6" t="s">
        <v>2831</v>
      </c>
      <c r="C688" s="40" t="s">
        <v>2832</v>
      </c>
      <c r="D688" s="8"/>
      <c r="E688" s="8" t="s">
        <v>357</v>
      </c>
      <c r="F688" s="9">
        <v>10000.0</v>
      </c>
      <c r="G688" s="31" t="s">
        <v>2833</v>
      </c>
      <c r="H688" s="11" t="s">
        <v>1337</v>
      </c>
      <c r="I688" s="41">
        <v>6.00034681E9</v>
      </c>
      <c r="J688" s="11" t="s">
        <v>25</v>
      </c>
      <c r="K688" s="12"/>
      <c r="L688" s="13"/>
      <c r="M688" s="14"/>
      <c r="N688" s="15"/>
      <c r="O688" s="5" t="s">
        <v>34</v>
      </c>
      <c r="P688" s="5" t="s">
        <v>957</v>
      </c>
      <c r="Q688" s="15"/>
      <c r="R688" s="16" t="s">
        <v>28</v>
      </c>
      <c r="S688" s="15"/>
      <c r="T688" s="15"/>
      <c r="U688" s="15"/>
      <c r="V688" s="15"/>
      <c r="W688" s="15"/>
      <c r="X688" s="15"/>
      <c r="Y688" s="15"/>
      <c r="Z688" s="15"/>
      <c r="AA688" s="15"/>
    </row>
    <row r="689">
      <c r="A689" s="5" t="s">
        <v>2805</v>
      </c>
      <c r="B689" s="6" t="s">
        <v>2834</v>
      </c>
      <c r="C689" s="40" t="s">
        <v>2835</v>
      </c>
      <c r="D689" s="8"/>
      <c r="E689" s="8" t="s">
        <v>87</v>
      </c>
      <c r="F689" s="9">
        <v>25000.0</v>
      </c>
      <c r="G689" s="31" t="s">
        <v>2836</v>
      </c>
      <c r="H689" s="11" t="s">
        <v>44</v>
      </c>
      <c r="I689" s="41">
        <v>8.017039612E9</v>
      </c>
      <c r="J689" s="11" t="s">
        <v>25</v>
      </c>
      <c r="K689" s="12" t="s">
        <v>2088</v>
      </c>
      <c r="L689" s="13"/>
      <c r="M689" s="14"/>
      <c r="N689" s="15"/>
      <c r="O689" s="5" t="s">
        <v>26</v>
      </c>
      <c r="P689" s="91" t="s">
        <v>2837</v>
      </c>
      <c r="Q689" s="15"/>
      <c r="R689" s="16" t="s">
        <v>28</v>
      </c>
      <c r="S689" s="15"/>
      <c r="T689" s="15"/>
      <c r="U689" s="15"/>
      <c r="V689" s="15"/>
      <c r="W689" s="15"/>
      <c r="X689" s="15"/>
      <c r="Y689" s="15"/>
      <c r="Z689" s="15"/>
      <c r="AA689" s="15"/>
    </row>
    <row r="690">
      <c r="A690" s="5" t="s">
        <v>2805</v>
      </c>
      <c r="B690" s="6" t="s">
        <v>2838</v>
      </c>
      <c r="C690" s="40" t="s">
        <v>2839</v>
      </c>
      <c r="D690" s="8"/>
      <c r="E690" s="8" t="s">
        <v>189</v>
      </c>
      <c r="F690" s="90">
        <v>400.0</v>
      </c>
      <c r="G690" s="31" t="s">
        <v>2840</v>
      </c>
      <c r="H690" s="11" t="s">
        <v>44</v>
      </c>
      <c r="I690" s="41">
        <v>8.67046311E9</v>
      </c>
      <c r="J690" s="11" t="s">
        <v>25</v>
      </c>
      <c r="K690" s="12"/>
      <c r="L690" s="13"/>
      <c r="M690" s="14"/>
      <c r="N690" s="15"/>
      <c r="O690" s="5" t="s">
        <v>34</v>
      </c>
      <c r="P690" s="5" t="s">
        <v>957</v>
      </c>
      <c r="Q690" s="15"/>
      <c r="R690" s="16" t="s">
        <v>28</v>
      </c>
      <c r="S690" s="15"/>
      <c r="T690" s="15"/>
      <c r="U690" s="15"/>
      <c r="V690" s="15"/>
      <c r="W690" s="15"/>
      <c r="X690" s="15"/>
      <c r="Y690" s="15"/>
      <c r="Z690" s="15"/>
      <c r="AA690" s="15"/>
    </row>
    <row r="691">
      <c r="A691" s="5" t="s">
        <v>2841</v>
      </c>
      <c r="B691" s="6" t="s">
        <v>2842</v>
      </c>
      <c r="C691" s="40" t="s">
        <v>2843</v>
      </c>
      <c r="D691" s="8"/>
      <c r="E691" s="8" t="s">
        <v>130</v>
      </c>
      <c r="F691" s="9">
        <v>20000.0</v>
      </c>
      <c r="G691" s="31" t="s">
        <v>2844</v>
      </c>
      <c r="H691" s="11" t="s">
        <v>507</v>
      </c>
      <c r="I691" s="41">
        <v>9.096699886E9</v>
      </c>
      <c r="J691" s="11" t="s">
        <v>25</v>
      </c>
      <c r="K691" s="12"/>
      <c r="L691" s="13"/>
      <c r="M691" s="14"/>
      <c r="N691" s="15"/>
      <c r="O691" s="5" t="s">
        <v>108</v>
      </c>
      <c r="P691" s="5"/>
      <c r="Q691" s="15"/>
      <c r="R691" s="16" t="s">
        <v>28</v>
      </c>
      <c r="S691" s="15"/>
      <c r="T691" s="15"/>
      <c r="U691" s="15"/>
      <c r="V691" s="15"/>
      <c r="W691" s="15"/>
      <c r="X691" s="15"/>
      <c r="Y691" s="15"/>
      <c r="Z691" s="15"/>
      <c r="AA691" s="15"/>
    </row>
    <row r="692">
      <c r="A692" s="5" t="s">
        <v>2841</v>
      </c>
      <c r="B692" s="6" t="s">
        <v>2845</v>
      </c>
      <c r="C692" s="40" t="s">
        <v>2757</v>
      </c>
      <c r="D692" s="8"/>
      <c r="E692" s="8" t="s">
        <v>92</v>
      </c>
      <c r="F692" s="9">
        <v>50000.0</v>
      </c>
      <c r="G692" s="31" t="s">
        <v>2758</v>
      </c>
      <c r="H692" s="36" t="s">
        <v>2662</v>
      </c>
      <c r="I692" s="41">
        <v>9.943655557E9</v>
      </c>
      <c r="J692" s="11" t="s">
        <v>25</v>
      </c>
      <c r="K692" s="12"/>
      <c r="L692" s="13"/>
      <c r="M692" s="14"/>
      <c r="N692" s="15"/>
      <c r="O692" s="5" t="s">
        <v>108</v>
      </c>
      <c r="P692" s="5"/>
      <c r="Q692" s="15"/>
      <c r="R692" s="16" t="s">
        <v>28</v>
      </c>
      <c r="S692" s="15"/>
      <c r="T692" s="15"/>
      <c r="U692" s="15"/>
      <c r="V692" s="15"/>
      <c r="W692" s="15"/>
      <c r="X692" s="15"/>
      <c r="Y692" s="15"/>
      <c r="Z692" s="15"/>
      <c r="AA692" s="15"/>
    </row>
    <row r="693">
      <c r="A693" s="5" t="s">
        <v>2841</v>
      </c>
      <c r="B693" s="6" t="s">
        <v>2846</v>
      </c>
      <c r="C693" s="40" t="s">
        <v>2847</v>
      </c>
      <c r="D693" s="8"/>
      <c r="E693" s="8" t="s">
        <v>2848</v>
      </c>
      <c r="F693" s="90">
        <v>3000.0</v>
      </c>
      <c r="G693" s="25" t="s">
        <v>2849</v>
      </c>
      <c r="H693" s="11" t="s">
        <v>191</v>
      </c>
      <c r="I693" s="41">
        <v>7.029353246E9</v>
      </c>
      <c r="J693" s="11" t="s">
        <v>25</v>
      </c>
      <c r="K693" s="12"/>
      <c r="L693" s="13"/>
      <c r="M693" s="14"/>
      <c r="N693" s="15"/>
      <c r="O693" s="5" t="s">
        <v>34</v>
      </c>
      <c r="P693" s="5" t="s">
        <v>2850</v>
      </c>
      <c r="Q693" s="15"/>
      <c r="R693" s="16" t="s">
        <v>248</v>
      </c>
      <c r="S693" s="15"/>
      <c r="T693" s="15"/>
      <c r="U693" s="15"/>
      <c r="V693" s="15"/>
      <c r="W693" s="15"/>
      <c r="X693" s="15"/>
      <c r="Y693" s="15"/>
      <c r="Z693" s="15"/>
      <c r="AA693" s="15"/>
    </row>
    <row r="694">
      <c r="A694" s="5" t="s">
        <v>2851</v>
      </c>
      <c r="B694" s="6" t="s">
        <v>2852</v>
      </c>
      <c r="C694" s="40" t="s">
        <v>2853</v>
      </c>
      <c r="D694" s="8"/>
      <c r="E694" s="8" t="s">
        <v>568</v>
      </c>
      <c r="F694" s="90">
        <v>5000.0</v>
      </c>
      <c r="G694" s="25" t="s">
        <v>2854</v>
      </c>
      <c r="H694" s="11" t="s">
        <v>906</v>
      </c>
      <c r="I694" s="41">
        <v>9.820175806E9</v>
      </c>
      <c r="J694" s="11" t="s">
        <v>25</v>
      </c>
      <c r="K694" s="12"/>
      <c r="L694" s="13"/>
      <c r="M694" s="14"/>
      <c r="N694" s="15"/>
      <c r="O694" s="5" t="s">
        <v>108</v>
      </c>
      <c r="P694" s="5"/>
      <c r="Q694" s="15"/>
      <c r="R694" s="16" t="s">
        <v>28</v>
      </c>
      <c r="S694" s="15"/>
      <c r="T694" s="15"/>
      <c r="U694" s="15"/>
      <c r="V694" s="15"/>
      <c r="W694" s="15"/>
      <c r="X694" s="15"/>
      <c r="Y694" s="15"/>
      <c r="Z694" s="15"/>
      <c r="AA694" s="15"/>
    </row>
    <row r="695">
      <c r="A695" s="5" t="s">
        <v>2851</v>
      </c>
      <c r="B695" s="6" t="s">
        <v>2855</v>
      </c>
      <c r="C695" s="40" t="s">
        <v>2856</v>
      </c>
      <c r="D695" s="8"/>
      <c r="E695" s="8" t="s">
        <v>2857</v>
      </c>
      <c r="F695" s="90">
        <v>3000.0</v>
      </c>
      <c r="G695" s="31" t="s">
        <v>2858</v>
      </c>
      <c r="H695" s="11" t="s">
        <v>158</v>
      </c>
      <c r="I695" s="41">
        <v>9.540999555E9</v>
      </c>
      <c r="J695" s="11" t="s">
        <v>25</v>
      </c>
      <c r="K695" s="12"/>
      <c r="L695" s="13"/>
      <c r="M695" s="14"/>
      <c r="N695" s="15"/>
      <c r="O695" s="5" t="s">
        <v>26</v>
      </c>
      <c r="P695" s="5" t="s">
        <v>2859</v>
      </c>
      <c r="Q695" s="15"/>
      <c r="R695" s="16" t="s">
        <v>28</v>
      </c>
      <c r="S695" s="15"/>
      <c r="T695" s="15"/>
      <c r="U695" s="15"/>
      <c r="V695" s="15"/>
      <c r="W695" s="15"/>
      <c r="X695" s="15"/>
      <c r="Y695" s="15"/>
      <c r="Z695" s="15"/>
      <c r="AA695" s="15"/>
    </row>
    <row r="696">
      <c r="A696" s="5" t="s">
        <v>2851</v>
      </c>
      <c r="B696" s="6" t="s">
        <v>2860</v>
      </c>
      <c r="C696" s="40" t="s">
        <v>2861</v>
      </c>
      <c r="D696" s="8"/>
      <c r="E696" s="8" t="s">
        <v>523</v>
      </c>
      <c r="F696" s="9">
        <v>40000.0</v>
      </c>
      <c r="G696" s="31" t="s">
        <v>2862</v>
      </c>
      <c r="H696" s="11" t="s">
        <v>184</v>
      </c>
      <c r="I696" s="41">
        <v>8.340453473E9</v>
      </c>
      <c r="J696" s="11" t="s">
        <v>25</v>
      </c>
      <c r="K696" s="12"/>
      <c r="L696" s="13"/>
      <c r="M696" s="14"/>
      <c r="N696" s="15"/>
      <c r="O696" s="5" t="s">
        <v>34</v>
      </c>
      <c r="P696" s="5" t="s">
        <v>2863</v>
      </c>
      <c r="Q696" s="15"/>
      <c r="R696" s="16" t="s">
        <v>28</v>
      </c>
      <c r="S696" s="15"/>
      <c r="T696" s="15"/>
      <c r="U696" s="15"/>
      <c r="V696" s="15"/>
      <c r="W696" s="15"/>
      <c r="X696" s="15"/>
      <c r="Y696" s="15"/>
      <c r="Z696" s="15"/>
      <c r="AA696" s="15"/>
    </row>
    <row r="697">
      <c r="A697" s="5" t="s">
        <v>2851</v>
      </c>
      <c r="B697" s="6" t="s">
        <v>2864</v>
      </c>
      <c r="C697" s="40" t="s">
        <v>2865</v>
      </c>
      <c r="D697" s="8"/>
      <c r="E697" s="8" t="s">
        <v>794</v>
      </c>
      <c r="F697" s="90">
        <v>1000.0</v>
      </c>
      <c r="G697" s="31" t="s">
        <v>2866</v>
      </c>
      <c r="H697" s="11" t="s">
        <v>1691</v>
      </c>
      <c r="I697" s="41">
        <v>9.382046973E9</v>
      </c>
      <c r="J697" s="11" t="s">
        <v>25</v>
      </c>
      <c r="K697" s="12"/>
      <c r="L697" s="13"/>
      <c r="M697" s="14"/>
      <c r="N697" s="15"/>
      <c r="O697" s="5" t="s">
        <v>34</v>
      </c>
      <c r="P697" s="5" t="s">
        <v>1668</v>
      </c>
      <c r="Q697" s="15"/>
      <c r="R697" s="16" t="s">
        <v>723</v>
      </c>
      <c r="S697" s="15"/>
      <c r="T697" s="15"/>
      <c r="U697" s="15"/>
      <c r="V697" s="15"/>
      <c r="W697" s="15"/>
      <c r="X697" s="15"/>
      <c r="Y697" s="15"/>
      <c r="Z697" s="15"/>
      <c r="AA697" s="15"/>
    </row>
    <row r="698">
      <c r="A698" s="5" t="s">
        <v>2867</v>
      </c>
      <c r="B698" s="6" t="s">
        <v>2868</v>
      </c>
      <c r="C698" s="40" t="s">
        <v>2158</v>
      </c>
      <c r="D698" s="8"/>
      <c r="E698" s="8" t="s">
        <v>2869</v>
      </c>
      <c r="F698" s="90">
        <v>1000.0</v>
      </c>
      <c r="G698" s="25" t="s">
        <v>2160</v>
      </c>
      <c r="H698" s="11" t="s">
        <v>44</v>
      </c>
      <c r="I698" s="41">
        <v>9.748188804E9</v>
      </c>
      <c r="J698" s="11" t="s">
        <v>25</v>
      </c>
      <c r="K698" s="12" t="s">
        <v>2870</v>
      </c>
      <c r="L698" s="12" t="s">
        <v>2871</v>
      </c>
      <c r="M698" s="14"/>
      <c r="N698" s="15"/>
      <c r="O698" s="5" t="s">
        <v>26</v>
      </c>
      <c r="P698" s="5" t="s">
        <v>1619</v>
      </c>
      <c r="Q698" s="15"/>
      <c r="R698" s="16" t="s">
        <v>28</v>
      </c>
      <c r="S698" s="15"/>
      <c r="T698" s="15"/>
      <c r="U698" s="15"/>
      <c r="V698" s="15"/>
      <c r="W698" s="15"/>
      <c r="X698" s="15"/>
      <c r="Y698" s="15"/>
      <c r="Z698" s="15"/>
      <c r="AA698" s="15"/>
    </row>
    <row r="699">
      <c r="A699" s="5" t="s">
        <v>2867</v>
      </c>
      <c r="B699" s="6" t="s">
        <v>2872</v>
      </c>
      <c r="C699" s="40" t="s">
        <v>2873</v>
      </c>
      <c r="D699" s="8"/>
      <c r="E699" s="8" t="s">
        <v>202</v>
      </c>
      <c r="F699" s="9">
        <v>20000.0</v>
      </c>
      <c r="G699" s="31" t="s">
        <v>1045</v>
      </c>
      <c r="H699" s="11" t="s">
        <v>158</v>
      </c>
      <c r="I699" s="41">
        <v>8.420227834E9</v>
      </c>
      <c r="J699" s="11" t="s">
        <v>25</v>
      </c>
      <c r="K699" s="12" t="s">
        <v>2874</v>
      </c>
      <c r="L699" s="13"/>
      <c r="M699" s="14"/>
      <c r="N699" s="15"/>
      <c r="O699" s="5" t="s">
        <v>26</v>
      </c>
      <c r="P699" s="5" t="s">
        <v>2875</v>
      </c>
      <c r="Q699" s="15"/>
      <c r="R699" s="16" t="s">
        <v>28</v>
      </c>
      <c r="S699" s="15"/>
      <c r="T699" s="15"/>
      <c r="U699" s="15"/>
      <c r="V699" s="15"/>
      <c r="W699" s="15"/>
      <c r="X699" s="15"/>
      <c r="Y699" s="15"/>
      <c r="Z699" s="15"/>
      <c r="AA699" s="15"/>
    </row>
    <row r="700">
      <c r="A700" s="5" t="s">
        <v>2867</v>
      </c>
      <c r="B700" s="6" t="s">
        <v>2876</v>
      </c>
      <c r="C700" s="40" t="s">
        <v>2877</v>
      </c>
      <c r="D700" s="8"/>
      <c r="E700" s="8" t="s">
        <v>2554</v>
      </c>
      <c r="F700" s="90">
        <v>200.0</v>
      </c>
      <c r="G700" s="31" t="s">
        <v>2878</v>
      </c>
      <c r="H700" s="11" t="s">
        <v>99</v>
      </c>
      <c r="I700" s="41">
        <v>8.093001416E9</v>
      </c>
      <c r="J700" s="11" t="s">
        <v>25</v>
      </c>
      <c r="K700" s="12"/>
      <c r="L700" s="13"/>
      <c r="M700" s="14"/>
      <c r="N700" s="15"/>
      <c r="O700" s="5" t="s">
        <v>26</v>
      </c>
      <c r="P700" s="5"/>
      <c r="Q700" s="15"/>
      <c r="R700" s="16" t="s">
        <v>28</v>
      </c>
      <c r="S700" s="15"/>
      <c r="T700" s="15"/>
      <c r="U700" s="15"/>
      <c r="V700" s="15"/>
      <c r="W700" s="15"/>
      <c r="X700" s="15"/>
      <c r="Y700" s="15"/>
      <c r="Z700" s="15"/>
      <c r="AA700" s="15"/>
    </row>
    <row r="701">
      <c r="A701" s="5" t="s">
        <v>2867</v>
      </c>
      <c r="B701" s="6" t="s">
        <v>2879</v>
      </c>
      <c r="C701" s="40" t="s">
        <v>2880</v>
      </c>
      <c r="D701" s="8"/>
      <c r="E701" s="8" t="s">
        <v>130</v>
      </c>
      <c r="F701" s="9">
        <v>10000.0</v>
      </c>
      <c r="G701" s="25" t="s">
        <v>2881</v>
      </c>
      <c r="H701" s="11" t="s">
        <v>2882</v>
      </c>
      <c r="I701" s="41">
        <v>9.729962874E9</v>
      </c>
      <c r="J701" s="11" t="s">
        <v>25</v>
      </c>
      <c r="K701" s="12"/>
      <c r="L701" s="13"/>
      <c r="M701" s="14"/>
      <c r="N701" s="15"/>
      <c r="O701" s="5" t="s">
        <v>108</v>
      </c>
      <c r="P701" s="5"/>
      <c r="Q701" s="15"/>
      <c r="R701" s="16" t="s">
        <v>28</v>
      </c>
      <c r="S701" s="15"/>
      <c r="T701" s="15"/>
      <c r="U701" s="15"/>
      <c r="V701" s="15"/>
      <c r="W701" s="15"/>
      <c r="X701" s="15"/>
      <c r="Y701" s="15"/>
      <c r="Z701" s="15"/>
      <c r="AA701" s="15"/>
    </row>
    <row r="702">
      <c r="A702" s="5" t="s">
        <v>2883</v>
      </c>
      <c r="B702" s="6" t="s">
        <v>2884</v>
      </c>
      <c r="C702" s="40" t="s">
        <v>2885</v>
      </c>
      <c r="D702" s="8"/>
      <c r="E702" s="8" t="s">
        <v>53</v>
      </c>
      <c r="F702" s="9">
        <v>20000.0</v>
      </c>
      <c r="G702" s="25" t="s">
        <v>2886</v>
      </c>
      <c r="H702" s="11" t="s">
        <v>44</v>
      </c>
      <c r="I702" s="41">
        <v>9.432013164E9</v>
      </c>
      <c r="J702" s="11" t="s">
        <v>25</v>
      </c>
      <c r="K702" s="12"/>
      <c r="L702" s="13"/>
      <c r="M702" s="14"/>
      <c r="N702" s="15"/>
      <c r="O702" s="5" t="s">
        <v>26</v>
      </c>
      <c r="P702" s="5" t="s">
        <v>2887</v>
      </c>
      <c r="Q702" s="15"/>
      <c r="R702" s="16" t="s">
        <v>28</v>
      </c>
      <c r="S702" s="15"/>
      <c r="T702" s="15"/>
      <c r="U702" s="15"/>
      <c r="V702" s="15"/>
      <c r="W702" s="15"/>
      <c r="X702" s="15"/>
      <c r="Y702" s="15"/>
      <c r="Z702" s="15"/>
      <c r="AA702" s="15"/>
    </row>
    <row r="703">
      <c r="A703" s="5" t="s">
        <v>2883</v>
      </c>
      <c r="B703" s="6" t="s">
        <v>2888</v>
      </c>
      <c r="C703" s="40" t="s">
        <v>2889</v>
      </c>
      <c r="D703" s="8"/>
      <c r="E703" s="8" t="s">
        <v>1217</v>
      </c>
      <c r="F703" s="90">
        <v>2000.0</v>
      </c>
      <c r="G703" s="31" t="s">
        <v>2890</v>
      </c>
      <c r="H703" s="11" t="s">
        <v>131</v>
      </c>
      <c r="I703" s="41">
        <v>8.638423972E9</v>
      </c>
      <c r="J703" s="11" t="s">
        <v>25</v>
      </c>
      <c r="K703" s="12"/>
      <c r="L703" s="13"/>
      <c r="M703" s="14"/>
      <c r="N703" s="15"/>
      <c r="O703" s="5" t="s">
        <v>810</v>
      </c>
      <c r="P703" s="5" t="s">
        <v>2891</v>
      </c>
      <c r="Q703" s="15"/>
      <c r="R703" s="16" t="s">
        <v>28</v>
      </c>
      <c r="S703" s="15"/>
      <c r="T703" s="15"/>
      <c r="U703" s="15"/>
      <c r="V703" s="15"/>
      <c r="W703" s="15"/>
      <c r="X703" s="15"/>
      <c r="Y703" s="15"/>
      <c r="Z703" s="15"/>
      <c r="AA703" s="15"/>
    </row>
    <row r="704">
      <c r="A704" s="5" t="s">
        <v>2883</v>
      </c>
      <c r="B704" s="6" t="s">
        <v>2892</v>
      </c>
      <c r="C704" s="40" t="s">
        <v>2893</v>
      </c>
      <c r="D704" s="8"/>
      <c r="E704" s="8" t="s">
        <v>1217</v>
      </c>
      <c r="F704" s="9">
        <v>20000.0</v>
      </c>
      <c r="G704" s="31" t="s">
        <v>2894</v>
      </c>
      <c r="H704" s="11" t="s">
        <v>467</v>
      </c>
      <c r="I704" s="41">
        <v>8.887850512E9</v>
      </c>
      <c r="J704" s="11" t="s">
        <v>25</v>
      </c>
      <c r="K704" s="12"/>
      <c r="L704" s="13"/>
      <c r="M704" s="14"/>
      <c r="N704" s="15"/>
      <c r="O704" s="5" t="s">
        <v>108</v>
      </c>
      <c r="P704" s="5"/>
      <c r="Q704" s="15"/>
      <c r="R704" s="16" t="s">
        <v>28</v>
      </c>
      <c r="S704" s="15"/>
      <c r="T704" s="15"/>
      <c r="U704" s="15"/>
      <c r="V704" s="15"/>
      <c r="W704" s="15"/>
      <c r="X704" s="15"/>
      <c r="Y704" s="15"/>
      <c r="Z704" s="15"/>
      <c r="AA704" s="15"/>
    </row>
    <row r="705">
      <c r="A705" s="5" t="s">
        <v>2883</v>
      </c>
      <c r="B705" s="6" t="s">
        <v>2895</v>
      </c>
      <c r="C705" s="40" t="s">
        <v>2896</v>
      </c>
      <c r="D705" s="8"/>
      <c r="E705" s="8" t="s">
        <v>2897</v>
      </c>
      <c r="F705" s="90">
        <v>200.0</v>
      </c>
      <c r="G705" s="31" t="s">
        <v>2898</v>
      </c>
      <c r="H705" s="11" t="s">
        <v>99</v>
      </c>
      <c r="I705" s="41">
        <v>9.437011538E9</v>
      </c>
      <c r="J705" s="11" t="s">
        <v>25</v>
      </c>
      <c r="K705" s="12"/>
      <c r="L705" s="13"/>
      <c r="M705" s="11" t="s">
        <v>2899</v>
      </c>
      <c r="N705" s="15"/>
      <c r="O705" s="5" t="s">
        <v>26</v>
      </c>
      <c r="P705" s="5" t="s">
        <v>79</v>
      </c>
      <c r="Q705" s="15"/>
      <c r="R705" s="16" t="s">
        <v>28</v>
      </c>
      <c r="S705" s="15"/>
      <c r="T705" s="15"/>
      <c r="U705" s="15"/>
      <c r="V705" s="15"/>
      <c r="W705" s="15"/>
      <c r="X705" s="15"/>
      <c r="Y705" s="15"/>
      <c r="Z705" s="15"/>
      <c r="AA705" s="15"/>
    </row>
    <row r="706">
      <c r="A706" s="5" t="s">
        <v>2883</v>
      </c>
      <c r="B706" s="6" t="s">
        <v>2900</v>
      </c>
      <c r="C706" s="40" t="s">
        <v>2495</v>
      </c>
      <c r="D706" s="8"/>
      <c r="E706" s="8" t="s">
        <v>353</v>
      </c>
      <c r="F706" s="90">
        <v>1000.0</v>
      </c>
      <c r="G706" s="85" t="s">
        <v>2496</v>
      </c>
      <c r="H706" s="11" t="s">
        <v>44</v>
      </c>
      <c r="I706" s="41">
        <v>7.003045733E9</v>
      </c>
      <c r="J706" s="11" t="s">
        <v>25</v>
      </c>
      <c r="K706" s="12"/>
      <c r="L706" s="13"/>
      <c r="M706" s="14"/>
      <c r="N706" s="15"/>
      <c r="O706" s="5" t="s">
        <v>34</v>
      </c>
      <c r="P706" s="5" t="s">
        <v>185</v>
      </c>
      <c r="Q706" s="15"/>
      <c r="R706" s="16" t="s">
        <v>28</v>
      </c>
      <c r="S706" s="15"/>
      <c r="T706" s="15"/>
      <c r="U706" s="15"/>
      <c r="V706" s="15"/>
      <c r="W706" s="15"/>
      <c r="X706" s="15"/>
      <c r="Y706" s="15"/>
      <c r="Z706" s="15"/>
      <c r="AA706" s="15"/>
    </row>
    <row r="707">
      <c r="A707" s="5" t="s">
        <v>2901</v>
      </c>
      <c r="B707" s="6" t="s">
        <v>2902</v>
      </c>
      <c r="C707" s="40" t="s">
        <v>2903</v>
      </c>
      <c r="D707" s="8"/>
      <c r="E707" s="8" t="s">
        <v>189</v>
      </c>
      <c r="F707" s="90">
        <v>500.0</v>
      </c>
      <c r="G707" s="31" t="s">
        <v>2904</v>
      </c>
      <c r="H707" s="11" t="s">
        <v>44</v>
      </c>
      <c r="I707" s="41">
        <v>9.674530686E9</v>
      </c>
      <c r="J707" s="11" t="s">
        <v>25</v>
      </c>
      <c r="K707" s="12"/>
      <c r="L707" s="13"/>
      <c r="M707" s="14"/>
      <c r="N707" s="15"/>
      <c r="O707" s="5" t="s">
        <v>34</v>
      </c>
      <c r="P707" s="5" t="s">
        <v>727</v>
      </c>
      <c r="Q707" s="15"/>
      <c r="R707" s="16" t="s">
        <v>28</v>
      </c>
      <c r="S707" s="15"/>
      <c r="T707" s="15"/>
      <c r="U707" s="15"/>
      <c r="V707" s="15"/>
      <c r="W707" s="15"/>
      <c r="X707" s="15"/>
      <c r="Y707" s="15"/>
      <c r="Z707" s="15"/>
      <c r="AA707" s="15"/>
    </row>
    <row r="708">
      <c r="A708" s="5" t="s">
        <v>2901</v>
      </c>
      <c r="B708" s="6" t="s">
        <v>2905</v>
      </c>
      <c r="C708" s="40" t="s">
        <v>2906</v>
      </c>
      <c r="D708" s="8"/>
      <c r="E708" s="8" t="s">
        <v>189</v>
      </c>
      <c r="F708" s="9">
        <v>35000.0</v>
      </c>
      <c r="G708" s="25"/>
      <c r="H708" s="11" t="s">
        <v>906</v>
      </c>
      <c r="I708" s="41">
        <v>7.021319097E9</v>
      </c>
      <c r="J708" s="11" t="s">
        <v>25</v>
      </c>
      <c r="K708" s="12"/>
      <c r="L708" s="13"/>
      <c r="M708" s="14"/>
      <c r="N708" s="15"/>
      <c r="O708" s="5" t="s">
        <v>108</v>
      </c>
      <c r="P708" s="5"/>
      <c r="Q708" s="15"/>
      <c r="R708" s="16" t="s">
        <v>28</v>
      </c>
      <c r="S708" s="15"/>
      <c r="T708" s="15"/>
      <c r="U708" s="15"/>
      <c r="V708" s="15"/>
      <c r="W708" s="15"/>
      <c r="X708" s="15"/>
      <c r="Y708" s="15"/>
      <c r="Z708" s="15"/>
      <c r="AA708" s="15"/>
    </row>
    <row r="709">
      <c r="A709" s="5" t="s">
        <v>2901</v>
      </c>
      <c r="B709" s="6" t="s">
        <v>2907</v>
      </c>
      <c r="C709" s="40" t="s">
        <v>2908</v>
      </c>
      <c r="D709" s="8"/>
      <c r="E709" s="8" t="s">
        <v>894</v>
      </c>
      <c r="F709" s="90">
        <v>1000.0</v>
      </c>
      <c r="G709" s="25"/>
      <c r="H709" s="11" t="s">
        <v>44</v>
      </c>
      <c r="I709" s="41">
        <v>9.77565715E9</v>
      </c>
      <c r="J709" s="11" t="s">
        <v>25</v>
      </c>
      <c r="K709" s="12" t="s">
        <v>1536</v>
      </c>
      <c r="L709" s="13"/>
      <c r="M709" s="14"/>
      <c r="N709" s="15"/>
      <c r="O709" s="5" t="s">
        <v>26</v>
      </c>
      <c r="P709" s="5" t="s">
        <v>2909</v>
      </c>
      <c r="Q709" s="5" t="s">
        <v>2910</v>
      </c>
      <c r="R709" s="16" t="s">
        <v>28</v>
      </c>
      <c r="S709" s="15"/>
      <c r="T709" s="15"/>
      <c r="U709" s="15"/>
      <c r="V709" s="15"/>
      <c r="W709" s="15"/>
      <c r="X709" s="15"/>
      <c r="Y709" s="15"/>
      <c r="Z709" s="15"/>
      <c r="AA709" s="15"/>
    </row>
    <row r="710">
      <c r="A710" s="5" t="s">
        <v>2901</v>
      </c>
      <c r="B710" s="6" t="s">
        <v>2911</v>
      </c>
      <c r="C710" s="40" t="s">
        <v>2912</v>
      </c>
      <c r="D710" s="8"/>
      <c r="E710" s="8" t="s">
        <v>2638</v>
      </c>
      <c r="F710" s="9">
        <v>10000.0</v>
      </c>
      <c r="G710" s="25" t="s">
        <v>2913</v>
      </c>
      <c r="H710" s="11" t="s">
        <v>1143</v>
      </c>
      <c r="I710" s="41">
        <v>8.159960173E9</v>
      </c>
      <c r="J710" s="11" t="s">
        <v>25</v>
      </c>
      <c r="K710" s="12"/>
      <c r="L710" s="13"/>
      <c r="M710" s="14"/>
      <c r="N710" s="15"/>
      <c r="O710" s="5" t="s">
        <v>34</v>
      </c>
      <c r="P710" s="5" t="s">
        <v>2914</v>
      </c>
      <c r="Q710" s="15"/>
      <c r="R710" s="16" t="s">
        <v>634</v>
      </c>
      <c r="S710" s="15"/>
      <c r="T710" s="15"/>
      <c r="U710" s="15"/>
      <c r="V710" s="15"/>
      <c r="W710" s="15"/>
      <c r="X710" s="15"/>
      <c r="Y710" s="15"/>
      <c r="Z710" s="15"/>
      <c r="AA710" s="15"/>
    </row>
    <row r="711">
      <c r="A711" s="5" t="s">
        <v>2901</v>
      </c>
      <c r="B711" s="6" t="s">
        <v>2915</v>
      </c>
      <c r="C711" s="40" t="s">
        <v>2916</v>
      </c>
      <c r="D711" s="8"/>
      <c r="E711" s="8" t="s">
        <v>2917</v>
      </c>
      <c r="F711" s="9">
        <v>20000.0</v>
      </c>
      <c r="G711" s="31" t="s">
        <v>2918</v>
      </c>
      <c r="H711" s="11" t="s">
        <v>44</v>
      </c>
      <c r="I711" s="41">
        <v>8.250243828E9</v>
      </c>
      <c r="J711" s="11" t="s">
        <v>25</v>
      </c>
      <c r="K711" s="12" t="s">
        <v>2304</v>
      </c>
      <c r="L711" s="13"/>
      <c r="M711" s="14"/>
      <c r="N711" s="15"/>
      <c r="O711" s="5" t="s">
        <v>26</v>
      </c>
      <c r="P711" s="5"/>
      <c r="Q711" s="15"/>
      <c r="R711" s="16" t="s">
        <v>28</v>
      </c>
      <c r="S711" s="15"/>
      <c r="T711" s="15"/>
      <c r="U711" s="15"/>
      <c r="V711" s="15"/>
      <c r="W711" s="15"/>
      <c r="X711" s="15"/>
      <c r="Y711" s="15"/>
      <c r="Z711" s="15"/>
      <c r="AA711" s="15"/>
    </row>
    <row r="712">
      <c r="A712" s="5" t="s">
        <v>2901</v>
      </c>
      <c r="B712" s="6" t="s">
        <v>2919</v>
      </c>
      <c r="C712" s="40" t="s">
        <v>2920</v>
      </c>
      <c r="D712" s="8"/>
      <c r="E712" s="8" t="s">
        <v>1373</v>
      </c>
      <c r="F712" s="90">
        <v>2000.0</v>
      </c>
      <c r="G712" s="31" t="s">
        <v>2119</v>
      </c>
      <c r="H712" s="11" t="s">
        <v>44</v>
      </c>
      <c r="I712" s="41">
        <v>9.83198533E9</v>
      </c>
      <c r="J712" s="11" t="s">
        <v>25</v>
      </c>
      <c r="K712" s="12"/>
      <c r="L712" s="13"/>
      <c r="M712" s="11" t="s">
        <v>373</v>
      </c>
      <c r="N712" s="15"/>
      <c r="O712" s="5" t="s">
        <v>34</v>
      </c>
      <c r="P712" s="5" t="s">
        <v>185</v>
      </c>
      <c r="Q712" s="15"/>
      <c r="R712" s="16" t="s">
        <v>28</v>
      </c>
      <c r="S712" s="15"/>
      <c r="T712" s="15"/>
      <c r="U712" s="15"/>
      <c r="V712" s="15"/>
      <c r="W712" s="15"/>
      <c r="X712" s="15"/>
      <c r="Y712" s="15"/>
      <c r="Z712" s="15"/>
      <c r="AA712" s="15"/>
    </row>
    <row r="713">
      <c r="A713" s="5" t="s">
        <v>2901</v>
      </c>
      <c r="B713" s="6" t="s">
        <v>2921</v>
      </c>
      <c r="C713" s="40" t="s">
        <v>2922</v>
      </c>
      <c r="D713" s="8"/>
      <c r="E713" s="8" t="s">
        <v>202</v>
      </c>
      <c r="F713" s="9">
        <v>25000.0</v>
      </c>
      <c r="G713" s="25"/>
      <c r="H713" s="11" t="s">
        <v>288</v>
      </c>
      <c r="I713" s="41">
        <v>9.153302715E9</v>
      </c>
      <c r="J713" s="11" t="s">
        <v>25</v>
      </c>
      <c r="K713" s="12"/>
      <c r="L713" s="13"/>
      <c r="M713" s="14"/>
      <c r="N713" s="15"/>
      <c r="O713" s="5" t="s">
        <v>26</v>
      </c>
      <c r="P713" s="5" t="s">
        <v>2923</v>
      </c>
      <c r="Q713" s="15"/>
      <c r="R713" s="16" t="s">
        <v>28</v>
      </c>
      <c r="S713" s="15"/>
      <c r="T713" s="15"/>
      <c r="U713" s="15"/>
      <c r="V713" s="15"/>
      <c r="W713" s="15"/>
      <c r="X713" s="15"/>
      <c r="Y713" s="15"/>
      <c r="Z713" s="15"/>
      <c r="AA713" s="15"/>
    </row>
    <row r="714">
      <c r="A714" s="5" t="s">
        <v>2901</v>
      </c>
      <c r="B714" s="6" t="s">
        <v>2924</v>
      </c>
      <c r="C714" s="40" t="s">
        <v>2925</v>
      </c>
      <c r="D714" s="8"/>
      <c r="E714" s="8" t="s">
        <v>794</v>
      </c>
      <c r="F714" s="9">
        <v>50000.0</v>
      </c>
      <c r="G714" s="31" t="s">
        <v>2926</v>
      </c>
      <c r="H714" s="11" t="s">
        <v>99</v>
      </c>
      <c r="I714" s="41">
        <v>7.569346335E9</v>
      </c>
      <c r="J714" s="11" t="s">
        <v>25</v>
      </c>
      <c r="K714" s="12"/>
      <c r="L714" s="13"/>
      <c r="M714" s="14"/>
      <c r="N714" s="15"/>
      <c r="O714" s="5" t="s">
        <v>34</v>
      </c>
      <c r="P714" s="5" t="s">
        <v>727</v>
      </c>
      <c r="Q714" s="15"/>
      <c r="R714" s="16" t="s">
        <v>28</v>
      </c>
      <c r="S714" s="15"/>
      <c r="T714" s="15"/>
      <c r="U714" s="15"/>
      <c r="V714" s="15"/>
      <c r="W714" s="15"/>
      <c r="X714" s="15"/>
      <c r="Y714" s="15"/>
      <c r="Z714" s="15"/>
      <c r="AA714" s="15"/>
    </row>
    <row r="715">
      <c r="A715" s="5" t="s">
        <v>2927</v>
      </c>
      <c r="B715" s="6" t="s">
        <v>2928</v>
      </c>
      <c r="C715" s="40" t="s">
        <v>2929</v>
      </c>
      <c r="D715" s="8"/>
      <c r="E715" s="8" t="s">
        <v>116</v>
      </c>
      <c r="F715" s="90">
        <v>3000.0</v>
      </c>
      <c r="G715" s="31" t="s">
        <v>2930</v>
      </c>
      <c r="H715" s="11" t="s">
        <v>99</v>
      </c>
      <c r="I715" s="41">
        <v>9.9371455E9</v>
      </c>
      <c r="J715" s="11" t="s">
        <v>25</v>
      </c>
      <c r="K715" s="12"/>
      <c r="L715" s="13"/>
      <c r="M715" s="14"/>
      <c r="N715" s="15"/>
      <c r="O715" s="5" t="s">
        <v>26</v>
      </c>
      <c r="P715" s="5"/>
      <c r="Q715" s="15"/>
      <c r="R715" s="16" t="s">
        <v>28</v>
      </c>
      <c r="S715" s="15"/>
      <c r="T715" s="15"/>
      <c r="U715" s="15"/>
      <c r="V715" s="15"/>
      <c r="W715" s="15"/>
      <c r="X715" s="15"/>
      <c r="Y715" s="15"/>
      <c r="Z715" s="15"/>
      <c r="AA715" s="15"/>
    </row>
    <row r="716">
      <c r="A716" s="5" t="s">
        <v>2927</v>
      </c>
      <c r="B716" s="6" t="s">
        <v>2931</v>
      </c>
      <c r="C716" s="40" t="s">
        <v>2932</v>
      </c>
      <c r="D716" s="8"/>
      <c r="E716" s="8" t="s">
        <v>178</v>
      </c>
      <c r="F716" s="90"/>
      <c r="G716" s="31" t="s">
        <v>2933</v>
      </c>
      <c r="H716" s="11" t="s">
        <v>507</v>
      </c>
      <c r="I716" s="41">
        <v>7.738018805E9</v>
      </c>
      <c r="J716" s="11" t="s">
        <v>25</v>
      </c>
      <c r="K716" s="12"/>
      <c r="L716" s="13"/>
      <c r="M716" s="14"/>
      <c r="N716" s="15"/>
      <c r="O716" s="5" t="s">
        <v>108</v>
      </c>
      <c r="P716" s="5"/>
      <c r="Q716" s="15"/>
      <c r="R716" s="16" t="s">
        <v>28</v>
      </c>
      <c r="S716" s="15"/>
      <c r="T716" s="15"/>
      <c r="U716" s="15"/>
      <c r="V716" s="15"/>
      <c r="W716" s="15"/>
      <c r="X716" s="15"/>
      <c r="Y716" s="15"/>
      <c r="Z716" s="15"/>
      <c r="AA716" s="15"/>
    </row>
    <row r="717">
      <c r="A717" s="5" t="s">
        <v>2927</v>
      </c>
      <c r="B717" s="6" t="s">
        <v>2934</v>
      </c>
      <c r="C717" s="40" t="s">
        <v>2935</v>
      </c>
      <c r="D717" s="8"/>
      <c r="E717" s="8" t="s">
        <v>152</v>
      </c>
      <c r="F717" s="90">
        <v>7000.0</v>
      </c>
      <c r="G717" s="31" t="s">
        <v>2936</v>
      </c>
      <c r="H717" s="11" t="s">
        <v>906</v>
      </c>
      <c r="I717" s="41">
        <v>8.928285583E9</v>
      </c>
      <c r="J717" s="11" t="s">
        <v>25</v>
      </c>
      <c r="K717" s="12"/>
      <c r="L717" s="13"/>
      <c r="M717" s="14"/>
      <c r="N717" s="15"/>
      <c r="O717" s="5" t="s">
        <v>108</v>
      </c>
      <c r="P717" s="5"/>
      <c r="Q717" s="15"/>
      <c r="R717" s="16" t="s">
        <v>28</v>
      </c>
      <c r="S717" s="15"/>
      <c r="T717" s="15"/>
      <c r="U717" s="15"/>
      <c r="V717" s="15"/>
      <c r="W717" s="15"/>
      <c r="X717" s="15"/>
      <c r="Y717" s="15"/>
      <c r="Z717" s="15"/>
      <c r="AA717" s="15"/>
    </row>
    <row r="718">
      <c r="A718" s="5" t="s">
        <v>2927</v>
      </c>
      <c r="B718" s="6" t="s">
        <v>2937</v>
      </c>
      <c r="C718" s="40" t="s">
        <v>2938</v>
      </c>
      <c r="D718" s="8"/>
      <c r="E718" s="8" t="s">
        <v>794</v>
      </c>
      <c r="F718" s="90">
        <v>1000.0</v>
      </c>
      <c r="G718" s="31" t="s">
        <v>2939</v>
      </c>
      <c r="H718" s="11" t="s">
        <v>99</v>
      </c>
      <c r="I718" s="41">
        <v>9.777770775E9</v>
      </c>
      <c r="J718" s="11" t="s">
        <v>25</v>
      </c>
      <c r="K718" s="12"/>
      <c r="L718" s="13"/>
      <c r="M718" s="14"/>
      <c r="N718" s="15"/>
      <c r="O718" s="5" t="s">
        <v>26</v>
      </c>
      <c r="P718" s="5"/>
      <c r="Q718" s="15"/>
      <c r="R718" s="16" t="s">
        <v>28</v>
      </c>
      <c r="S718" s="15"/>
      <c r="T718" s="15"/>
      <c r="U718" s="15"/>
      <c r="V718" s="15"/>
      <c r="W718" s="15"/>
      <c r="X718" s="15"/>
      <c r="Y718" s="15"/>
      <c r="Z718" s="15"/>
      <c r="AA718" s="15"/>
    </row>
    <row r="719">
      <c r="A719" s="5" t="s">
        <v>2927</v>
      </c>
      <c r="B719" s="6" t="s">
        <v>2940</v>
      </c>
      <c r="C719" s="40" t="s">
        <v>2941</v>
      </c>
      <c r="D719" s="8"/>
      <c r="E719" s="8" t="s">
        <v>1230</v>
      </c>
      <c r="F719" s="9">
        <v>50000.0</v>
      </c>
      <c r="G719" s="31" t="s">
        <v>2942</v>
      </c>
      <c r="H719" s="36" t="s">
        <v>519</v>
      </c>
      <c r="I719" s="41">
        <v>9.737990032E9</v>
      </c>
      <c r="J719" s="11" t="s">
        <v>25</v>
      </c>
      <c r="K719" s="12"/>
      <c r="L719" s="13"/>
      <c r="M719" s="14"/>
      <c r="N719" s="15"/>
      <c r="O719" s="5" t="s">
        <v>108</v>
      </c>
      <c r="P719" s="5"/>
      <c r="Q719" s="15"/>
      <c r="R719" s="16" t="s">
        <v>28</v>
      </c>
      <c r="S719" s="15"/>
      <c r="T719" s="15"/>
      <c r="U719" s="15"/>
      <c r="V719" s="15"/>
      <c r="W719" s="15"/>
      <c r="X719" s="15"/>
      <c r="Y719" s="15"/>
      <c r="Z719" s="15"/>
      <c r="AA719" s="15"/>
    </row>
    <row r="720">
      <c r="A720" s="5" t="s">
        <v>2943</v>
      </c>
      <c r="B720" s="6" t="s">
        <v>2944</v>
      </c>
      <c r="C720" s="40" t="s">
        <v>2945</v>
      </c>
      <c r="D720" s="8"/>
      <c r="E720" s="8" t="s">
        <v>286</v>
      </c>
      <c r="F720" s="90">
        <v>500.0</v>
      </c>
      <c r="G720" s="25" t="s">
        <v>2946</v>
      </c>
      <c r="H720" s="11" t="s">
        <v>449</v>
      </c>
      <c r="I720" s="41">
        <v>8.016675822E9</v>
      </c>
      <c r="J720" s="11" t="s">
        <v>25</v>
      </c>
      <c r="K720" s="12"/>
      <c r="L720" s="13"/>
      <c r="M720" s="11" t="s">
        <v>2947</v>
      </c>
      <c r="N720" s="15"/>
      <c r="O720" s="5" t="s">
        <v>34</v>
      </c>
      <c r="P720" s="5" t="s">
        <v>957</v>
      </c>
      <c r="Q720" s="15"/>
      <c r="R720" s="16" t="s">
        <v>28</v>
      </c>
      <c r="S720" s="15"/>
      <c r="T720" s="15"/>
      <c r="U720" s="15"/>
      <c r="V720" s="15"/>
      <c r="W720" s="15"/>
      <c r="X720" s="15"/>
      <c r="Y720" s="15"/>
      <c r="Z720" s="15"/>
      <c r="AA720" s="15"/>
    </row>
    <row r="721">
      <c r="A721" s="5" t="s">
        <v>2943</v>
      </c>
      <c r="B721" s="6" t="s">
        <v>2948</v>
      </c>
      <c r="C721" s="40" t="s">
        <v>2949</v>
      </c>
      <c r="D721" s="8"/>
      <c r="E721" s="8" t="s">
        <v>178</v>
      </c>
      <c r="F721" s="90">
        <v>5000.0</v>
      </c>
      <c r="G721" s="25" t="s">
        <v>2950</v>
      </c>
      <c r="H721" s="11" t="s">
        <v>44</v>
      </c>
      <c r="I721" s="41">
        <v>9.874439057E9</v>
      </c>
      <c r="J721" s="11" t="s">
        <v>25</v>
      </c>
      <c r="K721" s="12"/>
      <c r="L721" s="13"/>
      <c r="M721" s="11" t="s">
        <v>2951</v>
      </c>
      <c r="N721" s="15"/>
      <c r="O721" s="5" t="s">
        <v>34</v>
      </c>
      <c r="P721" s="5" t="s">
        <v>2952</v>
      </c>
      <c r="Q721" s="5" t="s">
        <v>1436</v>
      </c>
      <c r="R721" s="16" t="s">
        <v>74</v>
      </c>
      <c r="S721" s="15"/>
      <c r="T721" s="15"/>
      <c r="U721" s="15"/>
      <c r="V721" s="15"/>
      <c r="W721" s="15"/>
      <c r="X721" s="15"/>
      <c r="Y721" s="15"/>
      <c r="Z721" s="15"/>
      <c r="AA721" s="15"/>
    </row>
    <row r="722">
      <c r="A722" s="5" t="s">
        <v>2953</v>
      </c>
      <c r="B722" s="6" t="s">
        <v>2954</v>
      </c>
      <c r="C722" s="40" t="s">
        <v>2955</v>
      </c>
      <c r="D722" s="8"/>
      <c r="E722" s="8" t="s">
        <v>568</v>
      </c>
      <c r="F722" s="90"/>
      <c r="G722" s="31" t="s">
        <v>2956</v>
      </c>
      <c r="H722" s="11" t="s">
        <v>184</v>
      </c>
      <c r="I722" s="41">
        <v>9.142577715E9</v>
      </c>
      <c r="J722" s="11" t="s">
        <v>25</v>
      </c>
      <c r="K722" s="12"/>
      <c r="L722" s="13"/>
      <c r="M722" s="14"/>
      <c r="N722" s="15"/>
      <c r="O722" s="5" t="s">
        <v>26</v>
      </c>
      <c r="P722" s="5" t="s">
        <v>2957</v>
      </c>
      <c r="Q722" s="15"/>
      <c r="R722" s="16" t="s">
        <v>28</v>
      </c>
      <c r="S722" s="15"/>
      <c r="T722" s="15"/>
      <c r="U722" s="15"/>
      <c r="V722" s="15"/>
      <c r="W722" s="15"/>
      <c r="X722" s="15"/>
      <c r="Y722" s="15"/>
      <c r="Z722" s="15"/>
      <c r="AA722" s="15"/>
    </row>
    <row r="723">
      <c r="A723" s="5" t="s">
        <v>2953</v>
      </c>
      <c r="B723" s="6" t="s">
        <v>2958</v>
      </c>
      <c r="C723" s="40" t="s">
        <v>2959</v>
      </c>
      <c r="D723" s="8"/>
      <c r="E723" s="8" t="s">
        <v>794</v>
      </c>
      <c r="F723" s="90">
        <v>3000.0</v>
      </c>
      <c r="G723" s="31" t="s">
        <v>2960</v>
      </c>
      <c r="H723" s="11" t="s">
        <v>44</v>
      </c>
      <c r="I723" s="41">
        <v>8.14537183E9</v>
      </c>
      <c r="J723" s="11" t="s">
        <v>25</v>
      </c>
      <c r="K723" s="12"/>
      <c r="L723" s="13"/>
      <c r="M723" s="14"/>
      <c r="N723" s="15"/>
      <c r="O723" s="5" t="s">
        <v>34</v>
      </c>
      <c r="P723" s="5" t="s">
        <v>2961</v>
      </c>
      <c r="Q723" s="15"/>
      <c r="R723" s="16" t="s">
        <v>28</v>
      </c>
      <c r="S723" s="15"/>
      <c r="T723" s="15"/>
      <c r="U723" s="15"/>
      <c r="V723" s="15"/>
      <c r="W723" s="15"/>
      <c r="X723" s="15"/>
      <c r="Y723" s="15"/>
      <c r="Z723" s="15"/>
      <c r="AA723" s="15"/>
    </row>
    <row r="724">
      <c r="A724" s="5" t="s">
        <v>2962</v>
      </c>
      <c r="B724" s="6" t="s">
        <v>2963</v>
      </c>
      <c r="C724" s="40" t="s">
        <v>2964</v>
      </c>
      <c r="D724" s="8"/>
      <c r="E724" s="8" t="s">
        <v>178</v>
      </c>
      <c r="F724" s="9">
        <v>50000.0</v>
      </c>
      <c r="G724" s="25" t="s">
        <v>2965</v>
      </c>
      <c r="H724" s="11" t="s">
        <v>44</v>
      </c>
      <c r="I724" s="41">
        <v>9.931387607E9</v>
      </c>
      <c r="J724" s="11" t="s">
        <v>25</v>
      </c>
      <c r="K724" s="12"/>
      <c r="L724" s="13"/>
      <c r="M724" s="14"/>
      <c r="N724" s="15"/>
      <c r="O724" s="5" t="s">
        <v>34</v>
      </c>
      <c r="P724" s="5" t="s">
        <v>921</v>
      </c>
      <c r="Q724" s="15"/>
      <c r="R724" s="16" t="s">
        <v>28</v>
      </c>
      <c r="S724" s="15"/>
      <c r="T724" s="15"/>
      <c r="U724" s="15"/>
      <c r="V724" s="15"/>
      <c r="W724" s="15"/>
      <c r="X724" s="15"/>
      <c r="Y724" s="15"/>
      <c r="Z724" s="15"/>
      <c r="AA724" s="15"/>
    </row>
    <row r="725">
      <c r="A725" s="5" t="s">
        <v>2962</v>
      </c>
      <c r="B725" s="6" t="s">
        <v>2966</v>
      </c>
      <c r="C725" s="40" t="s">
        <v>2967</v>
      </c>
      <c r="D725" s="8"/>
      <c r="E725" s="8" t="s">
        <v>2482</v>
      </c>
      <c r="F725" s="90">
        <v>100.0</v>
      </c>
      <c r="G725" s="25" t="s">
        <v>2968</v>
      </c>
      <c r="H725" s="11" t="s">
        <v>44</v>
      </c>
      <c r="I725" s="41">
        <v>9.547505601E9</v>
      </c>
      <c r="J725" s="11" t="s">
        <v>25</v>
      </c>
      <c r="K725" s="12"/>
      <c r="L725" s="13"/>
      <c r="M725" s="11" t="s">
        <v>2969</v>
      </c>
      <c r="N725" s="15"/>
      <c r="O725" s="5" t="s">
        <v>34</v>
      </c>
      <c r="P725" s="5" t="s">
        <v>921</v>
      </c>
      <c r="Q725" s="15"/>
      <c r="R725" s="16" t="s">
        <v>28</v>
      </c>
      <c r="S725" s="15"/>
      <c r="T725" s="15"/>
      <c r="U725" s="15"/>
      <c r="V725" s="15"/>
      <c r="W725" s="15"/>
      <c r="X725" s="15"/>
      <c r="Y725" s="15"/>
      <c r="Z725" s="15"/>
      <c r="AA725" s="15"/>
    </row>
    <row r="726">
      <c r="A726" s="5" t="s">
        <v>2962</v>
      </c>
      <c r="B726" s="6" t="s">
        <v>2970</v>
      </c>
      <c r="C726" s="40" t="s">
        <v>2971</v>
      </c>
      <c r="D726" s="8"/>
      <c r="E726" s="8" t="s">
        <v>2972</v>
      </c>
      <c r="F726" s="90">
        <v>200.0</v>
      </c>
      <c r="G726" s="31" t="s">
        <v>2973</v>
      </c>
      <c r="H726" s="11" t="s">
        <v>44</v>
      </c>
      <c r="I726" s="41">
        <v>9.674011977E9</v>
      </c>
      <c r="J726" s="11" t="s">
        <v>25</v>
      </c>
      <c r="K726" s="12"/>
      <c r="L726" s="13"/>
      <c r="M726" s="11" t="s">
        <v>2974</v>
      </c>
      <c r="N726" s="15"/>
      <c r="O726" s="5" t="s">
        <v>34</v>
      </c>
      <c r="P726" s="5" t="s">
        <v>2975</v>
      </c>
      <c r="Q726" s="15"/>
      <c r="R726" s="16" t="s">
        <v>28</v>
      </c>
      <c r="S726" s="15"/>
      <c r="T726" s="15"/>
      <c r="U726" s="15"/>
      <c r="V726" s="15"/>
      <c r="W726" s="15"/>
      <c r="X726" s="15"/>
      <c r="Y726" s="15"/>
      <c r="Z726" s="15"/>
      <c r="AA726" s="15"/>
    </row>
    <row r="727">
      <c r="A727" s="5" t="s">
        <v>2976</v>
      </c>
      <c r="B727" s="6" t="s">
        <v>2977</v>
      </c>
      <c r="C727" s="40" t="s">
        <v>2978</v>
      </c>
      <c r="D727" s="8"/>
      <c r="E727" s="8" t="s">
        <v>130</v>
      </c>
      <c r="F727" s="90">
        <v>2200.0</v>
      </c>
      <c r="G727" s="31" t="s">
        <v>2979</v>
      </c>
      <c r="H727" s="11" t="s">
        <v>44</v>
      </c>
      <c r="I727" s="41">
        <v>9.748548018E9</v>
      </c>
      <c r="J727" s="11" t="s">
        <v>25</v>
      </c>
      <c r="K727" s="12"/>
      <c r="L727" s="13"/>
      <c r="M727" s="11" t="s">
        <v>2980</v>
      </c>
      <c r="N727" s="15"/>
      <c r="O727" s="5" t="s">
        <v>34</v>
      </c>
      <c r="P727" s="11" t="s">
        <v>2981</v>
      </c>
      <c r="Q727" s="15"/>
      <c r="R727" s="16" t="s">
        <v>28</v>
      </c>
      <c r="S727" s="15"/>
      <c r="T727" s="15"/>
      <c r="U727" s="15"/>
      <c r="V727" s="15"/>
      <c r="W727" s="15"/>
      <c r="X727" s="15"/>
      <c r="Y727" s="15"/>
      <c r="Z727" s="15"/>
      <c r="AA727" s="15"/>
    </row>
    <row r="728">
      <c r="A728" s="5" t="s">
        <v>2976</v>
      </c>
      <c r="B728" s="6" t="s">
        <v>2982</v>
      </c>
      <c r="C728" s="40" t="s">
        <v>2475</v>
      </c>
      <c r="D728" s="8"/>
      <c r="E728" s="8" t="s">
        <v>2476</v>
      </c>
      <c r="F728" s="9">
        <v>25000.0</v>
      </c>
      <c r="G728" s="31" t="s">
        <v>2477</v>
      </c>
      <c r="H728" s="11" t="s">
        <v>2478</v>
      </c>
      <c r="I728" s="41">
        <v>8.82098984E9</v>
      </c>
      <c r="J728" s="11" t="s">
        <v>25</v>
      </c>
      <c r="K728" s="12"/>
      <c r="L728" s="13"/>
      <c r="M728" s="14"/>
      <c r="N728" s="15"/>
      <c r="O728" s="5" t="s">
        <v>34</v>
      </c>
      <c r="P728" s="5" t="s">
        <v>2983</v>
      </c>
      <c r="Q728" s="15"/>
      <c r="R728" s="16" t="s">
        <v>28</v>
      </c>
      <c r="S728" s="15"/>
      <c r="T728" s="15"/>
      <c r="U728" s="15"/>
      <c r="V728" s="15"/>
      <c r="W728" s="15"/>
      <c r="X728" s="15"/>
      <c r="Y728" s="15"/>
      <c r="Z728" s="15"/>
      <c r="AA728" s="15"/>
    </row>
    <row r="729">
      <c r="A729" s="5" t="s">
        <v>2976</v>
      </c>
      <c r="B729" s="6" t="s">
        <v>2984</v>
      </c>
      <c r="C729" s="40" t="s">
        <v>2985</v>
      </c>
      <c r="D729" s="8"/>
      <c r="E729" s="8" t="s">
        <v>222</v>
      </c>
      <c r="F729" s="90">
        <v>3000.0</v>
      </c>
      <c r="G729" s="31" t="s">
        <v>2986</v>
      </c>
      <c r="H729" s="11" t="s">
        <v>44</v>
      </c>
      <c r="I729" s="41">
        <v>9.87553958E9</v>
      </c>
      <c r="J729" s="11" t="s">
        <v>25</v>
      </c>
      <c r="K729" s="12"/>
      <c r="L729" s="13"/>
      <c r="M729" s="14"/>
      <c r="N729" s="15"/>
      <c r="O729" s="5" t="s">
        <v>26</v>
      </c>
      <c r="P729" s="5" t="s">
        <v>1632</v>
      </c>
      <c r="Q729" s="15"/>
      <c r="R729" s="16" t="s">
        <v>28</v>
      </c>
      <c r="S729" s="15"/>
      <c r="T729" s="15"/>
      <c r="U729" s="15"/>
      <c r="V729" s="15"/>
      <c r="W729" s="15"/>
      <c r="X729" s="15"/>
      <c r="Y729" s="15"/>
      <c r="Z729" s="15"/>
      <c r="AA729" s="15"/>
    </row>
    <row r="730">
      <c r="A730" s="5" t="s">
        <v>2976</v>
      </c>
      <c r="B730" s="6" t="s">
        <v>2987</v>
      </c>
      <c r="C730" s="40" t="s">
        <v>2988</v>
      </c>
      <c r="D730" s="8"/>
      <c r="E730" s="8" t="s">
        <v>501</v>
      </c>
      <c r="F730" s="90">
        <v>5000.0</v>
      </c>
      <c r="G730" s="31" t="s">
        <v>2989</v>
      </c>
      <c r="H730" s="11" t="s">
        <v>44</v>
      </c>
      <c r="I730" s="41">
        <v>9.331024606E9</v>
      </c>
      <c r="J730" s="11" t="s">
        <v>25</v>
      </c>
      <c r="K730" s="12" t="s">
        <v>2504</v>
      </c>
      <c r="L730" s="13"/>
      <c r="M730" s="14"/>
      <c r="N730" s="15"/>
      <c r="O730" s="5" t="s">
        <v>26</v>
      </c>
      <c r="P730" s="5" t="s">
        <v>2990</v>
      </c>
      <c r="Q730" s="15"/>
      <c r="R730" s="16" t="s">
        <v>28</v>
      </c>
      <c r="S730" s="15"/>
      <c r="T730" s="15"/>
      <c r="U730" s="15"/>
      <c r="V730" s="15"/>
      <c r="W730" s="15"/>
      <c r="X730" s="15"/>
      <c r="Y730" s="15"/>
      <c r="Z730" s="15"/>
      <c r="AA730" s="15"/>
    </row>
    <row r="731">
      <c r="A731" s="5" t="s">
        <v>2991</v>
      </c>
      <c r="B731" s="6" t="s">
        <v>2992</v>
      </c>
      <c r="C731" s="40" t="s">
        <v>2993</v>
      </c>
      <c r="D731" s="8"/>
      <c r="E731" s="8" t="s">
        <v>152</v>
      </c>
      <c r="F731" s="9">
        <v>10000.0</v>
      </c>
      <c r="G731" s="31" t="s">
        <v>2994</v>
      </c>
      <c r="H731" s="11" t="s">
        <v>44</v>
      </c>
      <c r="I731" s="41">
        <v>9.433993894E9</v>
      </c>
      <c r="J731" s="11" t="s">
        <v>25</v>
      </c>
      <c r="K731" s="12" t="s">
        <v>2995</v>
      </c>
      <c r="L731" s="13"/>
      <c r="M731" s="14"/>
      <c r="N731" s="15"/>
      <c r="O731" s="5" t="s">
        <v>26</v>
      </c>
      <c r="P731" s="5" t="s">
        <v>2996</v>
      </c>
      <c r="Q731" s="15"/>
      <c r="R731" s="16" t="s">
        <v>28</v>
      </c>
      <c r="S731" s="15"/>
      <c r="T731" s="15"/>
      <c r="U731" s="15"/>
      <c r="V731" s="15"/>
      <c r="W731" s="15"/>
      <c r="X731" s="15"/>
      <c r="Y731" s="15"/>
      <c r="Z731" s="15"/>
      <c r="AA731" s="15"/>
    </row>
    <row r="732">
      <c r="A732" s="5" t="s">
        <v>2997</v>
      </c>
      <c r="B732" s="6" t="s">
        <v>2998</v>
      </c>
      <c r="C732" s="40" t="s">
        <v>2999</v>
      </c>
      <c r="D732" s="8"/>
      <c r="E732" s="8" t="s">
        <v>189</v>
      </c>
      <c r="F732" s="90">
        <v>2000.0</v>
      </c>
      <c r="G732" s="31" t="s">
        <v>3000</v>
      </c>
      <c r="H732" s="36" t="s">
        <v>985</v>
      </c>
      <c r="I732" s="41">
        <v>9.932988465E9</v>
      </c>
      <c r="J732" s="11" t="s">
        <v>25</v>
      </c>
      <c r="K732" s="12"/>
      <c r="L732" s="13"/>
      <c r="M732" s="14"/>
      <c r="N732" s="15"/>
      <c r="O732" s="5" t="s">
        <v>34</v>
      </c>
      <c r="P732" s="5" t="s">
        <v>1213</v>
      </c>
      <c r="Q732" s="15"/>
      <c r="R732" s="16" t="s">
        <v>28</v>
      </c>
      <c r="S732" s="15"/>
      <c r="T732" s="15"/>
      <c r="U732" s="15"/>
      <c r="V732" s="15"/>
      <c r="W732" s="15"/>
      <c r="X732" s="15"/>
      <c r="Y732" s="15"/>
      <c r="Z732" s="15"/>
      <c r="AA732" s="15"/>
    </row>
    <row r="733">
      <c r="A733" s="5" t="s">
        <v>2997</v>
      </c>
      <c r="B733" s="6" t="s">
        <v>3001</v>
      </c>
      <c r="C733" s="40" t="s">
        <v>3002</v>
      </c>
      <c r="D733" s="8"/>
      <c r="E733" s="8" t="s">
        <v>130</v>
      </c>
      <c r="F733" s="90">
        <v>1000.0</v>
      </c>
      <c r="G733" s="31" t="s">
        <v>3003</v>
      </c>
      <c r="H733" s="11" t="s">
        <v>638</v>
      </c>
      <c r="I733" s="41">
        <v>9.093976643E9</v>
      </c>
      <c r="J733" s="11" t="s">
        <v>25</v>
      </c>
      <c r="K733" s="12"/>
      <c r="L733" s="13"/>
      <c r="M733" s="14"/>
      <c r="N733" s="15"/>
      <c r="O733" s="5" t="s">
        <v>26</v>
      </c>
      <c r="P733" s="5" t="s">
        <v>876</v>
      </c>
      <c r="Q733" s="15"/>
      <c r="R733" s="16" t="s">
        <v>28</v>
      </c>
      <c r="S733" s="15"/>
      <c r="T733" s="15"/>
      <c r="U733" s="15"/>
      <c r="V733" s="15"/>
      <c r="W733" s="15"/>
      <c r="X733" s="15"/>
      <c r="Y733" s="15"/>
      <c r="Z733" s="15"/>
      <c r="AA733" s="15"/>
    </row>
    <row r="734">
      <c r="A734" s="5" t="s">
        <v>2997</v>
      </c>
      <c r="B734" s="6" t="s">
        <v>3004</v>
      </c>
      <c r="C734" s="40" t="s">
        <v>3005</v>
      </c>
      <c r="D734" s="8"/>
      <c r="E734" s="8" t="s">
        <v>3006</v>
      </c>
      <c r="F734" s="90">
        <v>2000.0</v>
      </c>
      <c r="G734" s="31" t="s">
        <v>3007</v>
      </c>
      <c r="H734" s="11" t="s">
        <v>44</v>
      </c>
      <c r="I734" s="41">
        <v>8.100281107E9</v>
      </c>
      <c r="J734" s="11" t="s">
        <v>25</v>
      </c>
      <c r="K734" s="12"/>
      <c r="L734" s="13"/>
      <c r="M734" s="14"/>
      <c r="N734" s="15"/>
      <c r="O734" s="5" t="s">
        <v>26</v>
      </c>
      <c r="P734" s="5" t="s">
        <v>2537</v>
      </c>
      <c r="Q734" s="15"/>
      <c r="R734" s="16" t="s">
        <v>28</v>
      </c>
      <c r="S734" s="15"/>
      <c r="T734" s="15"/>
      <c r="U734" s="15"/>
      <c r="V734" s="15"/>
      <c r="W734" s="15"/>
      <c r="X734" s="15"/>
      <c r="Y734" s="15"/>
      <c r="Z734" s="15"/>
      <c r="AA734" s="15"/>
    </row>
    <row r="735">
      <c r="A735" s="5" t="s">
        <v>3008</v>
      </c>
      <c r="B735" s="6" t="s">
        <v>3009</v>
      </c>
      <c r="C735" s="40" t="s">
        <v>3010</v>
      </c>
      <c r="D735" s="8"/>
      <c r="E735" s="8" t="s">
        <v>22</v>
      </c>
      <c r="F735" s="90">
        <v>2000.0</v>
      </c>
      <c r="G735" s="31" t="s">
        <v>3011</v>
      </c>
      <c r="H735" s="11" t="s">
        <v>44</v>
      </c>
      <c r="I735" s="41">
        <v>9.088764888E9</v>
      </c>
      <c r="J735" s="11" t="s">
        <v>25</v>
      </c>
      <c r="K735" s="12" t="s">
        <v>3012</v>
      </c>
      <c r="L735" s="13"/>
      <c r="M735" s="14"/>
      <c r="N735" s="15"/>
      <c r="O735" s="5" t="s">
        <v>26</v>
      </c>
      <c r="P735" s="5" t="s">
        <v>3013</v>
      </c>
      <c r="Q735" s="15"/>
      <c r="R735" s="16" t="s">
        <v>28</v>
      </c>
      <c r="S735" s="15"/>
      <c r="T735" s="15"/>
      <c r="U735" s="15"/>
      <c r="V735" s="15"/>
      <c r="W735" s="15"/>
      <c r="X735" s="15"/>
      <c r="Y735" s="15"/>
      <c r="Z735" s="15"/>
      <c r="AA735" s="15"/>
    </row>
    <row r="736">
      <c r="A736" s="5" t="s">
        <v>3008</v>
      </c>
      <c r="B736" s="6" t="s">
        <v>3014</v>
      </c>
      <c r="C736" s="40" t="s">
        <v>3015</v>
      </c>
      <c r="D736" s="8"/>
      <c r="E736" s="8" t="s">
        <v>178</v>
      </c>
      <c r="F736" s="90">
        <v>5000.0</v>
      </c>
      <c r="G736" s="25"/>
      <c r="H736" s="11" t="s">
        <v>44</v>
      </c>
      <c r="I736" s="41">
        <v>9.874439057E9</v>
      </c>
      <c r="J736" s="11" t="s">
        <v>25</v>
      </c>
      <c r="K736" s="12"/>
      <c r="L736" s="13"/>
      <c r="M736" s="14"/>
      <c r="N736" s="15"/>
      <c r="O736" s="5" t="s">
        <v>34</v>
      </c>
      <c r="P736" s="5" t="s">
        <v>957</v>
      </c>
      <c r="Q736" s="15"/>
      <c r="R736" s="16" t="s">
        <v>28</v>
      </c>
      <c r="S736" s="15"/>
      <c r="T736" s="15"/>
      <c r="U736" s="15"/>
      <c r="V736" s="15"/>
      <c r="W736" s="15"/>
      <c r="X736" s="15"/>
      <c r="Y736" s="15"/>
      <c r="Z736" s="15"/>
      <c r="AA736" s="15"/>
    </row>
    <row r="737">
      <c r="A737" s="5" t="s">
        <v>3008</v>
      </c>
      <c r="B737" s="6" t="s">
        <v>3016</v>
      </c>
      <c r="C737" s="40" t="s">
        <v>3017</v>
      </c>
      <c r="D737" s="8"/>
      <c r="E737" s="8" t="s">
        <v>178</v>
      </c>
      <c r="F737" s="90">
        <v>3000.0</v>
      </c>
      <c r="G737" s="25" t="s">
        <v>3018</v>
      </c>
      <c r="H737" s="11" t="s">
        <v>472</v>
      </c>
      <c r="I737" s="41">
        <v>9.547199652E9</v>
      </c>
      <c r="J737" s="11" t="s">
        <v>25</v>
      </c>
      <c r="K737" s="12"/>
      <c r="L737" s="13"/>
      <c r="M737" s="14"/>
      <c r="N737" s="15"/>
      <c r="O737" s="5" t="s">
        <v>34</v>
      </c>
      <c r="P737" s="5" t="s">
        <v>1751</v>
      </c>
      <c r="Q737" s="15"/>
      <c r="R737" s="16" t="s">
        <v>723</v>
      </c>
      <c r="S737" s="15"/>
      <c r="T737" s="15"/>
      <c r="U737" s="15"/>
      <c r="V737" s="15"/>
      <c r="W737" s="15"/>
      <c r="X737" s="15"/>
      <c r="Y737" s="15"/>
      <c r="Z737" s="15"/>
      <c r="AA737" s="15"/>
    </row>
    <row r="738">
      <c r="A738" s="5" t="s">
        <v>3019</v>
      </c>
      <c r="B738" s="6" t="s">
        <v>3020</v>
      </c>
      <c r="C738" s="40" t="s">
        <v>3021</v>
      </c>
      <c r="D738" s="8"/>
      <c r="E738" s="8" t="s">
        <v>167</v>
      </c>
      <c r="F738" s="90"/>
      <c r="G738" s="31" t="s">
        <v>3022</v>
      </c>
      <c r="H738" s="11" t="s">
        <v>977</v>
      </c>
      <c r="I738" s="41">
        <v>9.102273569E9</v>
      </c>
      <c r="J738" s="11" t="s">
        <v>25</v>
      </c>
      <c r="K738" s="12"/>
      <c r="L738" s="13"/>
      <c r="M738" s="14"/>
      <c r="N738" s="15"/>
      <c r="O738" s="5" t="s">
        <v>26</v>
      </c>
      <c r="P738" s="5"/>
      <c r="Q738" s="15"/>
      <c r="R738" s="16" t="s">
        <v>28</v>
      </c>
      <c r="S738" s="15"/>
      <c r="T738" s="15"/>
      <c r="U738" s="15"/>
      <c r="V738" s="15"/>
      <c r="W738" s="15"/>
      <c r="X738" s="15"/>
      <c r="Y738" s="15"/>
      <c r="Z738" s="15"/>
      <c r="AA738" s="15"/>
    </row>
    <row r="739">
      <c r="A739" s="5" t="s">
        <v>3019</v>
      </c>
      <c r="B739" s="6" t="s">
        <v>3023</v>
      </c>
      <c r="C739" s="40" t="s">
        <v>3024</v>
      </c>
      <c r="D739" s="8"/>
      <c r="E739" s="8" t="s">
        <v>286</v>
      </c>
      <c r="F739" s="90">
        <v>500.0</v>
      </c>
      <c r="G739" s="25" t="s">
        <v>3025</v>
      </c>
      <c r="H739" s="11" t="s">
        <v>44</v>
      </c>
      <c r="I739" s="41">
        <v>9.67417063E9</v>
      </c>
      <c r="J739" s="11" t="s">
        <v>25</v>
      </c>
      <c r="K739" s="12"/>
      <c r="L739" s="13"/>
      <c r="M739" s="11" t="s">
        <v>2947</v>
      </c>
      <c r="N739" s="15"/>
      <c r="O739" s="5" t="s">
        <v>34</v>
      </c>
      <c r="P739" s="5" t="s">
        <v>2850</v>
      </c>
      <c r="Q739" s="15"/>
      <c r="R739" s="16" t="s">
        <v>634</v>
      </c>
      <c r="S739" s="15"/>
      <c r="T739" s="15"/>
      <c r="U739" s="15"/>
      <c r="V739" s="15"/>
      <c r="W739" s="15"/>
      <c r="X739" s="15"/>
      <c r="Y739" s="15"/>
      <c r="Z739" s="15"/>
      <c r="AA739" s="15"/>
    </row>
    <row r="740">
      <c r="A740" s="5" t="s">
        <v>3019</v>
      </c>
      <c r="B740" s="6" t="s">
        <v>3026</v>
      </c>
      <c r="C740" s="40" t="s">
        <v>3027</v>
      </c>
      <c r="D740" s="8"/>
      <c r="E740" s="8" t="s">
        <v>262</v>
      </c>
      <c r="F740" s="90">
        <v>1000.0</v>
      </c>
      <c r="G740" s="25" t="s">
        <v>3028</v>
      </c>
      <c r="H740" s="11" t="s">
        <v>1414</v>
      </c>
      <c r="I740" s="41">
        <v>9.322892137E9</v>
      </c>
      <c r="J740" s="11" t="s">
        <v>25</v>
      </c>
      <c r="K740" s="12"/>
      <c r="L740" s="13"/>
      <c r="M740" s="11" t="s">
        <v>3029</v>
      </c>
      <c r="N740" s="15"/>
      <c r="O740" s="5" t="s">
        <v>34</v>
      </c>
      <c r="P740" s="5" t="s">
        <v>1436</v>
      </c>
      <c r="Q740" s="15"/>
      <c r="R740" s="16" t="s">
        <v>74</v>
      </c>
      <c r="S740" s="15"/>
      <c r="T740" s="15"/>
      <c r="U740" s="15"/>
      <c r="V740" s="15"/>
      <c r="W740" s="15"/>
      <c r="X740" s="15"/>
      <c r="Y740" s="15"/>
      <c r="Z740" s="15"/>
      <c r="AA740" s="15"/>
    </row>
    <row r="741">
      <c r="A741" s="5" t="s">
        <v>3019</v>
      </c>
      <c r="B741" s="6" t="s">
        <v>3030</v>
      </c>
      <c r="C741" s="40" t="s">
        <v>3031</v>
      </c>
      <c r="D741" s="8"/>
      <c r="E741" s="8" t="s">
        <v>130</v>
      </c>
      <c r="F741" s="90">
        <v>200.0</v>
      </c>
      <c r="G741" s="31" t="s">
        <v>3032</v>
      </c>
      <c r="H741" s="36" t="s">
        <v>3033</v>
      </c>
      <c r="I741" s="41">
        <v>7.908544172E9</v>
      </c>
      <c r="J741" s="11" t="s">
        <v>25</v>
      </c>
      <c r="K741" s="12"/>
      <c r="L741" s="13"/>
      <c r="M741" s="14"/>
      <c r="N741" s="15"/>
      <c r="O741" s="5" t="s">
        <v>34</v>
      </c>
      <c r="P741" s="5"/>
      <c r="Q741" s="15"/>
      <c r="R741" s="16" t="s">
        <v>28</v>
      </c>
      <c r="S741" s="15"/>
      <c r="T741" s="15"/>
      <c r="U741" s="15"/>
      <c r="V741" s="15"/>
      <c r="W741" s="15"/>
      <c r="X741" s="15"/>
      <c r="Y741" s="15"/>
      <c r="Z741" s="15"/>
      <c r="AA741" s="15"/>
    </row>
    <row r="742">
      <c r="A742" s="5" t="s">
        <v>3034</v>
      </c>
      <c r="B742" s="6" t="s">
        <v>3035</v>
      </c>
      <c r="C742" s="40" t="s">
        <v>3036</v>
      </c>
      <c r="D742" s="8"/>
      <c r="E742" s="8" t="s">
        <v>1890</v>
      </c>
      <c r="F742" s="90">
        <v>600.0</v>
      </c>
      <c r="G742" s="31" t="s">
        <v>3037</v>
      </c>
      <c r="H742" s="11" t="s">
        <v>44</v>
      </c>
      <c r="I742" s="41">
        <v>6.290507195E9</v>
      </c>
      <c r="J742" s="11" t="s">
        <v>25</v>
      </c>
      <c r="K742" s="12" t="s">
        <v>3038</v>
      </c>
      <c r="L742" s="13"/>
      <c r="M742" s="14"/>
      <c r="N742" s="15"/>
      <c r="O742" s="5" t="s">
        <v>26</v>
      </c>
      <c r="P742" s="5" t="s">
        <v>1619</v>
      </c>
      <c r="Q742" s="15"/>
      <c r="R742" s="16" t="s">
        <v>28</v>
      </c>
      <c r="S742" s="15"/>
      <c r="T742" s="15"/>
      <c r="U742" s="15"/>
      <c r="V742" s="15"/>
      <c r="W742" s="15"/>
      <c r="X742" s="15"/>
      <c r="Y742" s="15"/>
      <c r="Z742" s="15"/>
      <c r="AA742" s="15"/>
    </row>
    <row r="743">
      <c r="A743" s="5" t="s">
        <v>3034</v>
      </c>
      <c r="B743" s="6" t="s">
        <v>3039</v>
      </c>
      <c r="C743" s="40" t="s">
        <v>3040</v>
      </c>
      <c r="D743" s="8"/>
      <c r="E743" s="8" t="s">
        <v>1890</v>
      </c>
      <c r="F743" s="9">
        <v>10000.0</v>
      </c>
      <c r="G743" s="25"/>
      <c r="H743" s="11" t="s">
        <v>44</v>
      </c>
      <c r="I743" s="41">
        <v>9.073775805E9</v>
      </c>
      <c r="J743" s="11" t="s">
        <v>25</v>
      </c>
      <c r="K743" s="12" t="s">
        <v>3038</v>
      </c>
      <c r="L743" s="13"/>
      <c r="M743" s="14"/>
      <c r="N743" s="15"/>
      <c r="O743" s="5" t="s">
        <v>26</v>
      </c>
      <c r="P743" s="5" t="s">
        <v>1736</v>
      </c>
      <c r="Q743" s="15"/>
      <c r="R743" s="16" t="s">
        <v>28</v>
      </c>
      <c r="S743" s="15"/>
      <c r="T743" s="15"/>
      <c r="U743" s="15"/>
      <c r="V743" s="15"/>
      <c r="W743" s="15"/>
      <c r="X743" s="15"/>
      <c r="Y743" s="15"/>
      <c r="Z743" s="15"/>
      <c r="AA743" s="15"/>
    </row>
    <row r="744">
      <c r="A744" s="5" t="s">
        <v>3034</v>
      </c>
      <c r="B744" s="6" t="s">
        <v>3041</v>
      </c>
      <c r="C744" s="40" t="s">
        <v>3042</v>
      </c>
      <c r="D744" s="8"/>
      <c r="E744" s="8" t="s">
        <v>43</v>
      </c>
      <c r="F744" s="9">
        <v>25000.0</v>
      </c>
      <c r="G744" s="31" t="s">
        <v>3043</v>
      </c>
      <c r="H744" s="11" t="s">
        <v>44</v>
      </c>
      <c r="I744" s="41">
        <v>9.87424402E9</v>
      </c>
      <c r="J744" s="11" t="s">
        <v>25</v>
      </c>
      <c r="K744" s="12"/>
      <c r="L744" s="13"/>
      <c r="M744" s="11" t="s">
        <v>3044</v>
      </c>
      <c r="N744" s="15"/>
      <c r="O744" s="5" t="s">
        <v>34</v>
      </c>
      <c r="P744" s="5" t="s">
        <v>3045</v>
      </c>
      <c r="Q744" s="15"/>
      <c r="R744" s="16" t="s">
        <v>28</v>
      </c>
      <c r="S744" s="15"/>
      <c r="T744" s="15"/>
      <c r="U744" s="15"/>
      <c r="V744" s="15"/>
      <c r="W744" s="15"/>
      <c r="X744" s="15"/>
      <c r="Y744" s="15"/>
      <c r="Z744" s="15"/>
      <c r="AA744" s="15"/>
    </row>
    <row r="745">
      <c r="A745" s="5" t="s">
        <v>3046</v>
      </c>
      <c r="B745" s="6" t="s">
        <v>3047</v>
      </c>
      <c r="C745" s="40" t="s">
        <v>3048</v>
      </c>
      <c r="D745" s="8"/>
      <c r="E745" s="8" t="s">
        <v>3049</v>
      </c>
      <c r="F745" s="90">
        <v>25.0</v>
      </c>
      <c r="G745" s="25" t="s">
        <v>3050</v>
      </c>
      <c r="H745" s="11" t="s">
        <v>3051</v>
      </c>
      <c r="I745" s="41">
        <v>7.317374883E9</v>
      </c>
      <c r="J745" s="11" t="s">
        <v>25</v>
      </c>
      <c r="K745" s="12"/>
      <c r="L745" s="13"/>
      <c r="M745" s="11" t="s">
        <v>3052</v>
      </c>
      <c r="N745" s="15"/>
      <c r="O745" s="5" t="s">
        <v>34</v>
      </c>
      <c r="P745" s="5" t="s">
        <v>2952</v>
      </c>
      <c r="Q745" s="5" t="s">
        <v>1436</v>
      </c>
      <c r="R745" s="16" t="s">
        <v>551</v>
      </c>
      <c r="S745" s="15"/>
      <c r="T745" s="15"/>
      <c r="U745" s="15"/>
      <c r="V745" s="15"/>
      <c r="W745" s="15"/>
      <c r="X745" s="15"/>
      <c r="Y745" s="15"/>
      <c r="Z745" s="15"/>
      <c r="AA745" s="15"/>
    </row>
    <row r="746">
      <c r="A746" s="5" t="s">
        <v>3046</v>
      </c>
      <c r="B746" s="6" t="s">
        <v>3053</v>
      </c>
      <c r="C746" s="40" t="s">
        <v>3054</v>
      </c>
      <c r="D746" s="8"/>
      <c r="E746" s="8" t="s">
        <v>1023</v>
      </c>
      <c r="F746" s="9">
        <v>20000.0</v>
      </c>
      <c r="G746" s="25"/>
      <c r="H746" s="11" t="s">
        <v>44</v>
      </c>
      <c r="I746" s="41">
        <v>6.399303606E9</v>
      </c>
      <c r="J746" s="11" t="s">
        <v>25</v>
      </c>
      <c r="K746" s="12"/>
      <c r="L746" s="13"/>
      <c r="M746" s="14"/>
      <c r="N746" s="15"/>
      <c r="O746" s="5" t="s">
        <v>26</v>
      </c>
      <c r="P746" s="5"/>
      <c r="Q746" s="15"/>
      <c r="R746" s="16" t="s">
        <v>28</v>
      </c>
      <c r="S746" s="15"/>
      <c r="T746" s="15"/>
      <c r="U746" s="15"/>
      <c r="V746" s="15"/>
      <c r="W746" s="15"/>
      <c r="X746" s="15"/>
      <c r="Y746" s="15"/>
      <c r="Z746" s="15"/>
      <c r="AA746" s="15"/>
    </row>
    <row r="747">
      <c r="A747" s="5" t="s">
        <v>3046</v>
      </c>
      <c r="B747" s="6" t="s">
        <v>3055</v>
      </c>
      <c r="C747" s="40" t="s">
        <v>3056</v>
      </c>
      <c r="D747" s="8"/>
      <c r="E747" s="8" t="s">
        <v>130</v>
      </c>
      <c r="F747" s="9">
        <v>10000.0</v>
      </c>
      <c r="G747" s="31" t="s">
        <v>3057</v>
      </c>
      <c r="H747" s="11" t="s">
        <v>44</v>
      </c>
      <c r="I747" s="41">
        <v>9.647272727E9</v>
      </c>
      <c r="J747" s="11" t="s">
        <v>25</v>
      </c>
      <c r="K747" s="12"/>
      <c r="L747" s="13"/>
      <c r="M747" s="14"/>
      <c r="N747" s="15"/>
      <c r="O747" s="5" t="s">
        <v>34</v>
      </c>
      <c r="P747" s="5" t="s">
        <v>957</v>
      </c>
      <c r="Q747" s="15"/>
      <c r="R747" s="16" t="s">
        <v>28</v>
      </c>
      <c r="S747" s="15"/>
      <c r="T747" s="15"/>
      <c r="U747" s="15"/>
      <c r="V747" s="15"/>
      <c r="W747" s="15"/>
      <c r="X747" s="15"/>
      <c r="Y747" s="15"/>
      <c r="Z747" s="15"/>
      <c r="AA747" s="15"/>
    </row>
    <row r="748">
      <c r="A748" s="5" t="s">
        <v>1654</v>
      </c>
      <c r="B748" s="6" t="s">
        <v>3058</v>
      </c>
      <c r="C748" s="40" t="s">
        <v>3059</v>
      </c>
      <c r="D748" s="8"/>
      <c r="E748" s="8" t="s">
        <v>3060</v>
      </c>
      <c r="F748" s="90">
        <v>500.0</v>
      </c>
      <c r="G748" s="31" t="s">
        <v>3061</v>
      </c>
      <c r="H748" s="11" t="s">
        <v>24</v>
      </c>
      <c r="I748" s="41">
        <v>8.860894288E9</v>
      </c>
      <c r="J748" s="11" t="s">
        <v>25</v>
      </c>
      <c r="K748" s="12"/>
      <c r="L748" s="13"/>
      <c r="M748" s="14"/>
      <c r="N748" s="15"/>
      <c r="O748" s="5" t="s">
        <v>26</v>
      </c>
      <c r="P748" s="5"/>
      <c r="Q748" s="15"/>
      <c r="R748" s="16" t="s">
        <v>28</v>
      </c>
      <c r="S748" s="15"/>
      <c r="T748" s="15"/>
      <c r="U748" s="15"/>
      <c r="V748" s="15"/>
      <c r="W748" s="15"/>
      <c r="X748" s="15"/>
      <c r="Y748" s="15"/>
      <c r="Z748" s="15"/>
      <c r="AA748" s="15"/>
    </row>
    <row r="749">
      <c r="A749" s="5" t="s">
        <v>1654</v>
      </c>
      <c r="B749" s="6" t="s">
        <v>3062</v>
      </c>
      <c r="C749" s="40" t="s">
        <v>3063</v>
      </c>
      <c r="D749" s="8"/>
      <c r="E749" s="8" t="s">
        <v>130</v>
      </c>
      <c r="F749" s="9">
        <v>10000.0</v>
      </c>
      <c r="G749" s="25" t="s">
        <v>3064</v>
      </c>
      <c r="H749" s="11" t="s">
        <v>44</v>
      </c>
      <c r="I749" s="41">
        <v>9.681034329E9</v>
      </c>
      <c r="J749" s="11" t="s">
        <v>25</v>
      </c>
      <c r="K749" s="12"/>
      <c r="L749" s="13"/>
      <c r="M749" s="12" t="s">
        <v>2980</v>
      </c>
      <c r="N749" s="15"/>
      <c r="O749" s="5" t="s">
        <v>34</v>
      </c>
      <c r="P749" s="5" t="s">
        <v>957</v>
      </c>
      <c r="Q749" s="15"/>
      <c r="R749" s="16" t="s">
        <v>28</v>
      </c>
      <c r="S749" s="15"/>
      <c r="T749" s="15"/>
      <c r="U749" s="15"/>
      <c r="V749" s="15"/>
      <c r="W749" s="15"/>
      <c r="X749" s="15"/>
      <c r="Y749" s="15"/>
      <c r="Z749" s="15"/>
      <c r="AA749" s="15"/>
    </row>
    <row r="750">
      <c r="A750" s="5" t="s">
        <v>1654</v>
      </c>
      <c r="B750" s="6" t="s">
        <v>3065</v>
      </c>
      <c r="C750" s="40" t="s">
        <v>3066</v>
      </c>
      <c r="D750" s="8"/>
      <c r="E750" s="8" t="s">
        <v>1565</v>
      </c>
      <c r="F750" s="90">
        <v>2000.0</v>
      </c>
      <c r="G750" s="25"/>
      <c r="H750" s="11" t="s">
        <v>44</v>
      </c>
      <c r="I750" s="41">
        <v>9.830615882E9</v>
      </c>
      <c r="J750" s="11" t="s">
        <v>25</v>
      </c>
      <c r="K750" s="12"/>
      <c r="L750" s="13"/>
      <c r="M750" s="14"/>
      <c r="N750" s="15"/>
      <c r="O750" s="5" t="s">
        <v>26</v>
      </c>
      <c r="P750" s="5" t="s">
        <v>1773</v>
      </c>
      <c r="Q750" s="15"/>
      <c r="R750" s="16" t="s">
        <v>28</v>
      </c>
      <c r="S750" s="15"/>
      <c r="T750" s="15"/>
      <c r="U750" s="15"/>
      <c r="V750" s="15"/>
      <c r="W750" s="15"/>
      <c r="X750" s="15"/>
      <c r="Y750" s="15"/>
      <c r="Z750" s="15"/>
      <c r="AA750" s="15"/>
    </row>
    <row r="751">
      <c r="A751" s="5" t="s">
        <v>1654</v>
      </c>
      <c r="B751" s="6" t="s">
        <v>3067</v>
      </c>
      <c r="C751" s="40" t="s">
        <v>3068</v>
      </c>
      <c r="D751" s="8"/>
      <c r="E751" s="8" t="s">
        <v>1000</v>
      </c>
      <c r="F751" s="90">
        <v>2000.0</v>
      </c>
      <c r="G751" s="31" t="s">
        <v>3069</v>
      </c>
      <c r="H751" s="11" t="s">
        <v>44</v>
      </c>
      <c r="I751" s="41">
        <v>9.830181458E9</v>
      </c>
      <c r="J751" s="11" t="s">
        <v>25</v>
      </c>
      <c r="K751" s="12" t="s">
        <v>1636</v>
      </c>
      <c r="L751" s="13"/>
      <c r="M751" s="14"/>
      <c r="N751" s="15"/>
      <c r="O751" s="5" t="s">
        <v>26</v>
      </c>
      <c r="P751" s="5" t="s">
        <v>3070</v>
      </c>
      <c r="Q751" s="15"/>
      <c r="R751" s="16" t="s">
        <v>28</v>
      </c>
      <c r="S751" s="15"/>
      <c r="T751" s="15"/>
      <c r="U751" s="15"/>
      <c r="V751" s="15"/>
      <c r="W751" s="15"/>
      <c r="X751" s="15"/>
      <c r="Y751" s="15"/>
      <c r="Z751" s="15"/>
      <c r="AA751" s="15"/>
    </row>
    <row r="752">
      <c r="A752" s="5" t="s">
        <v>1654</v>
      </c>
      <c r="B752" s="6" t="s">
        <v>3071</v>
      </c>
      <c r="C752" s="40" t="s">
        <v>3072</v>
      </c>
      <c r="D752" s="8"/>
      <c r="E752" s="8" t="s">
        <v>3073</v>
      </c>
      <c r="F752" s="90">
        <v>200.0</v>
      </c>
      <c r="G752" s="31" t="s">
        <v>3074</v>
      </c>
      <c r="H752" s="11" t="s">
        <v>638</v>
      </c>
      <c r="I752" s="41">
        <v>8.507735329E9</v>
      </c>
      <c r="J752" s="11" t="s">
        <v>25</v>
      </c>
      <c r="K752" s="12"/>
      <c r="L752" s="13"/>
      <c r="M752" s="14"/>
      <c r="N752" s="15"/>
      <c r="O752" s="5" t="s">
        <v>26</v>
      </c>
      <c r="P752" s="5"/>
      <c r="Q752" s="15"/>
      <c r="R752" s="16" t="s">
        <v>28</v>
      </c>
      <c r="S752" s="15"/>
      <c r="T752" s="15"/>
      <c r="U752" s="15"/>
      <c r="V752" s="15"/>
      <c r="W752" s="15"/>
      <c r="X752" s="15"/>
      <c r="Y752" s="15"/>
      <c r="Z752" s="15"/>
      <c r="AA752" s="15"/>
    </row>
    <row r="753">
      <c r="A753" s="5" t="s">
        <v>1654</v>
      </c>
      <c r="B753" s="6" t="s">
        <v>3075</v>
      </c>
      <c r="C753" s="40" t="s">
        <v>3076</v>
      </c>
      <c r="D753" s="8"/>
      <c r="E753" s="8" t="s">
        <v>568</v>
      </c>
      <c r="F753" s="90">
        <v>2000.0</v>
      </c>
      <c r="G753" s="43" t="s">
        <v>3077</v>
      </c>
      <c r="H753" s="11" t="s">
        <v>3078</v>
      </c>
      <c r="I753" s="41">
        <v>9.325433901E9</v>
      </c>
      <c r="J753" s="11" t="s">
        <v>25</v>
      </c>
      <c r="K753" s="12"/>
      <c r="L753" s="13"/>
      <c r="M753" s="14"/>
      <c r="N753" s="15"/>
      <c r="O753" s="5" t="s">
        <v>108</v>
      </c>
      <c r="P753" s="5"/>
      <c r="Q753" s="15"/>
      <c r="R753" s="16" t="s">
        <v>28</v>
      </c>
      <c r="S753" s="15"/>
      <c r="T753" s="15"/>
      <c r="U753" s="15"/>
      <c r="V753" s="15"/>
      <c r="W753" s="15"/>
      <c r="X753" s="15"/>
      <c r="Y753" s="15"/>
      <c r="Z753" s="15"/>
      <c r="AA753" s="15"/>
    </row>
    <row r="754">
      <c r="A754" s="5" t="s">
        <v>3079</v>
      </c>
      <c r="B754" s="6" t="s">
        <v>3080</v>
      </c>
      <c r="C754" s="40" t="s">
        <v>3081</v>
      </c>
      <c r="D754" s="8"/>
      <c r="E754" s="8" t="s">
        <v>1396</v>
      </c>
      <c r="F754" s="9">
        <v>18000.0</v>
      </c>
      <c r="G754" s="85" t="s">
        <v>3082</v>
      </c>
      <c r="H754" s="11" t="s">
        <v>507</v>
      </c>
      <c r="I754" s="41">
        <v>7.507831297E9</v>
      </c>
      <c r="J754" s="11" t="s">
        <v>25</v>
      </c>
      <c r="K754" s="12"/>
      <c r="L754" s="13"/>
      <c r="M754" s="14"/>
      <c r="N754" s="15"/>
      <c r="O754" s="5" t="s">
        <v>108</v>
      </c>
      <c r="P754" s="5"/>
      <c r="Q754" s="15"/>
      <c r="R754" s="16" t="s">
        <v>28</v>
      </c>
      <c r="S754" s="15"/>
      <c r="T754" s="15"/>
      <c r="U754" s="15"/>
      <c r="V754" s="15"/>
      <c r="W754" s="15"/>
      <c r="X754" s="15"/>
      <c r="Y754" s="15"/>
      <c r="Z754" s="15"/>
      <c r="AA754" s="15"/>
    </row>
    <row r="755">
      <c r="A755" s="5" t="s">
        <v>3079</v>
      </c>
      <c r="B755" s="6" t="s">
        <v>3083</v>
      </c>
      <c r="C755" s="40" t="s">
        <v>3084</v>
      </c>
      <c r="D755" s="8"/>
      <c r="E755" s="8" t="s">
        <v>2917</v>
      </c>
      <c r="F755" s="90">
        <v>500.0</v>
      </c>
      <c r="G755" s="31" t="s">
        <v>3085</v>
      </c>
      <c r="H755" s="11" t="s">
        <v>44</v>
      </c>
      <c r="I755" s="41">
        <v>7.059341672E9</v>
      </c>
      <c r="J755" s="11" t="s">
        <v>25</v>
      </c>
      <c r="K755" s="12"/>
      <c r="L755" s="13"/>
      <c r="M755" s="12" t="s">
        <v>3086</v>
      </c>
      <c r="N755" s="15"/>
      <c r="O755" s="5" t="s">
        <v>34</v>
      </c>
      <c r="P755" s="5"/>
      <c r="Q755" s="15"/>
      <c r="R755" s="16" t="s">
        <v>28</v>
      </c>
      <c r="S755" s="15"/>
      <c r="T755" s="15"/>
      <c r="U755" s="15"/>
      <c r="V755" s="15"/>
      <c r="W755" s="15"/>
      <c r="X755" s="15"/>
      <c r="Y755" s="15"/>
      <c r="Z755" s="15"/>
      <c r="AA755" s="15"/>
    </row>
    <row r="756">
      <c r="A756" s="5" t="s">
        <v>3079</v>
      </c>
      <c r="B756" s="6" t="s">
        <v>3087</v>
      </c>
      <c r="C756" s="40" t="s">
        <v>3088</v>
      </c>
      <c r="D756" s="8"/>
      <c r="E756" s="8" t="s">
        <v>2917</v>
      </c>
      <c r="F756" s="90">
        <v>1000.0</v>
      </c>
      <c r="G756" s="31" t="s">
        <v>3089</v>
      </c>
      <c r="H756" s="36" t="s">
        <v>3090</v>
      </c>
      <c r="I756" s="41" t="s">
        <v>3091</v>
      </c>
      <c r="J756" s="11" t="s">
        <v>25</v>
      </c>
      <c r="K756" s="12" t="s">
        <v>2304</v>
      </c>
      <c r="L756" s="12" t="s">
        <v>3092</v>
      </c>
      <c r="M756" s="14"/>
      <c r="N756" s="15"/>
      <c r="O756" s="5" t="s">
        <v>26</v>
      </c>
      <c r="P756" s="5"/>
      <c r="Q756" s="15"/>
      <c r="R756" s="16" t="s">
        <v>28</v>
      </c>
      <c r="S756" s="15"/>
      <c r="T756" s="15"/>
      <c r="U756" s="15"/>
      <c r="V756" s="15"/>
      <c r="W756" s="15"/>
      <c r="X756" s="15"/>
      <c r="Y756" s="15"/>
      <c r="Z756" s="15"/>
      <c r="AA756" s="15"/>
    </row>
    <row r="757">
      <c r="A757" s="5" t="s">
        <v>3079</v>
      </c>
      <c r="B757" s="6" t="s">
        <v>3093</v>
      </c>
      <c r="C757" s="40" t="s">
        <v>3094</v>
      </c>
      <c r="D757" s="8"/>
      <c r="E757" s="8" t="s">
        <v>116</v>
      </c>
      <c r="F757" s="90">
        <v>2000.0</v>
      </c>
      <c r="G757" s="25"/>
      <c r="H757" s="11" t="s">
        <v>472</v>
      </c>
      <c r="I757" s="41" t="s">
        <v>3095</v>
      </c>
      <c r="J757" s="11" t="s">
        <v>25</v>
      </c>
      <c r="K757" s="12"/>
      <c r="L757" s="13"/>
      <c r="M757" s="14"/>
      <c r="N757" s="15"/>
      <c r="O757" s="5" t="s">
        <v>26</v>
      </c>
      <c r="P757" s="5"/>
      <c r="Q757" s="15"/>
      <c r="R757" s="16" t="s">
        <v>28</v>
      </c>
      <c r="S757" s="15"/>
      <c r="T757" s="15"/>
      <c r="U757" s="15"/>
      <c r="V757" s="15"/>
      <c r="W757" s="15"/>
      <c r="X757" s="15"/>
      <c r="Y757" s="15"/>
      <c r="Z757" s="15"/>
      <c r="AA757" s="15"/>
    </row>
    <row r="758">
      <c r="A758" s="5" t="s">
        <v>3079</v>
      </c>
      <c r="B758" s="6" t="s">
        <v>3096</v>
      </c>
      <c r="C758" s="40" t="s">
        <v>3097</v>
      </c>
      <c r="D758" s="8"/>
      <c r="E758" s="8" t="s">
        <v>222</v>
      </c>
      <c r="F758" s="90">
        <v>2500.0</v>
      </c>
      <c r="G758" s="25" t="s">
        <v>3098</v>
      </c>
      <c r="H758" s="11" t="s">
        <v>3099</v>
      </c>
      <c r="I758" s="41">
        <v>8.653561209E9</v>
      </c>
      <c r="J758" s="11" t="s">
        <v>25</v>
      </c>
      <c r="K758" s="12"/>
      <c r="L758" s="13"/>
      <c r="M758" s="12" t="s">
        <v>3100</v>
      </c>
      <c r="N758" s="15"/>
      <c r="O758" s="5" t="s">
        <v>34</v>
      </c>
      <c r="P758" s="5" t="s">
        <v>2952</v>
      </c>
      <c r="Q758" s="5" t="s">
        <v>1436</v>
      </c>
      <c r="R758" s="16" t="s">
        <v>551</v>
      </c>
      <c r="S758" s="15"/>
      <c r="T758" s="15"/>
      <c r="U758" s="15"/>
      <c r="V758" s="15"/>
      <c r="W758" s="15"/>
      <c r="X758" s="15"/>
      <c r="Y758" s="15"/>
      <c r="Z758" s="15"/>
      <c r="AA758" s="15"/>
    </row>
    <row r="759">
      <c r="A759" s="5" t="s">
        <v>3079</v>
      </c>
      <c r="B759" s="6" t="s">
        <v>3101</v>
      </c>
      <c r="C759" s="40" t="s">
        <v>3102</v>
      </c>
      <c r="D759" s="8"/>
      <c r="E759" s="8" t="s">
        <v>130</v>
      </c>
      <c r="F759" s="90">
        <v>1000.0</v>
      </c>
      <c r="G759" s="31" t="s">
        <v>3103</v>
      </c>
      <c r="H759" s="36" t="s">
        <v>3104</v>
      </c>
      <c r="I759" s="41">
        <v>8.092374436E9</v>
      </c>
      <c r="J759" s="11" t="s">
        <v>25</v>
      </c>
      <c r="K759" s="12"/>
      <c r="L759" s="13"/>
      <c r="M759" s="14"/>
      <c r="N759" s="15"/>
      <c r="O759" s="5" t="s">
        <v>26</v>
      </c>
      <c r="P759" s="5"/>
      <c r="Q759" s="15"/>
      <c r="R759" s="16" t="s">
        <v>28</v>
      </c>
      <c r="S759" s="15"/>
      <c r="T759" s="15"/>
      <c r="U759" s="15"/>
      <c r="V759" s="15"/>
      <c r="W759" s="15"/>
      <c r="X759" s="15"/>
      <c r="Y759" s="15"/>
      <c r="Z759" s="15"/>
      <c r="AA759" s="15"/>
    </row>
    <row r="760">
      <c r="A760" s="5" t="s">
        <v>3105</v>
      </c>
      <c r="B760" s="6" t="s">
        <v>3106</v>
      </c>
      <c r="C760" s="40" t="s">
        <v>3107</v>
      </c>
      <c r="D760" s="8"/>
      <c r="E760" s="8" t="s">
        <v>1930</v>
      </c>
      <c r="F760" s="90">
        <v>5000.0</v>
      </c>
      <c r="G760" s="31" t="s">
        <v>3108</v>
      </c>
      <c r="H760" s="11" t="s">
        <v>44</v>
      </c>
      <c r="I760" s="41">
        <v>9.433429814E9</v>
      </c>
      <c r="J760" s="11" t="s">
        <v>25</v>
      </c>
      <c r="K760" s="12"/>
      <c r="L760" s="13"/>
      <c r="M760" s="14"/>
      <c r="N760" s="15"/>
      <c r="O760" s="5" t="s">
        <v>26</v>
      </c>
      <c r="P760" s="5" t="s">
        <v>3109</v>
      </c>
      <c r="Q760" s="15"/>
      <c r="R760" s="16" t="s">
        <v>28</v>
      </c>
      <c r="S760" s="15"/>
      <c r="T760" s="15"/>
      <c r="U760" s="15"/>
      <c r="V760" s="15"/>
      <c r="W760" s="15"/>
      <c r="X760" s="15"/>
      <c r="Y760" s="15"/>
      <c r="Z760" s="15"/>
      <c r="AA760" s="15"/>
    </row>
    <row r="761">
      <c r="A761" s="5" t="s">
        <v>3105</v>
      </c>
      <c r="B761" s="6" t="s">
        <v>3110</v>
      </c>
      <c r="C761" s="40" t="s">
        <v>3111</v>
      </c>
      <c r="D761" s="8"/>
      <c r="E761" s="8" t="s">
        <v>1960</v>
      </c>
      <c r="F761" s="9">
        <v>20000.0</v>
      </c>
      <c r="G761" s="31" t="s">
        <v>3112</v>
      </c>
      <c r="H761" s="11" t="s">
        <v>449</v>
      </c>
      <c r="I761" s="41">
        <v>9.230519768E9</v>
      </c>
      <c r="J761" s="11" t="s">
        <v>25</v>
      </c>
      <c r="K761" s="12" t="s">
        <v>1962</v>
      </c>
      <c r="L761" s="13"/>
      <c r="M761" s="14"/>
      <c r="N761" s="15"/>
      <c r="O761" s="5" t="s">
        <v>3113</v>
      </c>
      <c r="P761" s="5" t="s">
        <v>3114</v>
      </c>
      <c r="Q761" s="15"/>
      <c r="R761" s="16" t="s">
        <v>28</v>
      </c>
      <c r="S761" s="15"/>
      <c r="T761" s="15"/>
      <c r="U761" s="15"/>
      <c r="V761" s="15"/>
      <c r="W761" s="15"/>
      <c r="X761" s="15"/>
      <c r="Y761" s="15"/>
      <c r="Z761" s="15"/>
      <c r="AA761" s="15"/>
    </row>
    <row r="762">
      <c r="A762" s="5" t="s">
        <v>3105</v>
      </c>
      <c r="B762" s="6" t="s">
        <v>3115</v>
      </c>
      <c r="C762" s="40" t="s">
        <v>3116</v>
      </c>
      <c r="D762" s="8"/>
      <c r="E762" s="8" t="s">
        <v>690</v>
      </c>
      <c r="F762" s="90">
        <v>100.0</v>
      </c>
      <c r="G762" s="92" t="s">
        <v>3117</v>
      </c>
      <c r="H762" s="11" t="s">
        <v>184</v>
      </c>
      <c r="I762" s="41">
        <v>9.934173493E9</v>
      </c>
      <c r="J762" s="11" t="s">
        <v>25</v>
      </c>
      <c r="K762" s="12"/>
      <c r="L762" s="13"/>
      <c r="M762" s="14"/>
      <c r="N762" s="15"/>
      <c r="O762" s="5" t="s">
        <v>34</v>
      </c>
      <c r="P762" s="5" t="s">
        <v>1359</v>
      </c>
      <c r="Q762" s="15"/>
      <c r="R762" s="16" t="s">
        <v>28</v>
      </c>
      <c r="S762" s="15"/>
      <c r="T762" s="15"/>
      <c r="U762" s="15"/>
      <c r="V762" s="15"/>
      <c r="W762" s="15"/>
      <c r="X762" s="15"/>
      <c r="Y762" s="15"/>
      <c r="Z762" s="15"/>
      <c r="AA762" s="15"/>
    </row>
    <row r="763">
      <c r="A763" s="5" t="s">
        <v>3105</v>
      </c>
      <c r="B763" s="6" t="s">
        <v>3118</v>
      </c>
      <c r="C763" s="40" t="s">
        <v>3119</v>
      </c>
      <c r="D763" s="8"/>
      <c r="E763" s="8" t="s">
        <v>3120</v>
      </c>
      <c r="F763" s="90">
        <v>8000.0</v>
      </c>
      <c r="G763" s="31" t="s">
        <v>3121</v>
      </c>
      <c r="H763" s="36" t="s">
        <v>3122</v>
      </c>
      <c r="I763" s="41">
        <v>8.777034428E9</v>
      </c>
      <c r="J763" s="11" t="s">
        <v>25</v>
      </c>
      <c r="K763" s="12"/>
      <c r="L763" s="13"/>
      <c r="M763" s="12" t="s">
        <v>3044</v>
      </c>
      <c r="N763" s="15"/>
      <c r="O763" s="5" t="s">
        <v>34</v>
      </c>
      <c r="P763" s="5" t="s">
        <v>79</v>
      </c>
      <c r="Q763" s="15"/>
      <c r="R763" s="16" t="s">
        <v>28</v>
      </c>
      <c r="S763" s="15"/>
      <c r="T763" s="15"/>
      <c r="U763" s="15"/>
      <c r="V763" s="15"/>
      <c r="W763" s="15"/>
      <c r="X763" s="15"/>
      <c r="Y763" s="15"/>
      <c r="Z763" s="15"/>
      <c r="AA763" s="15"/>
    </row>
    <row r="764">
      <c r="A764" s="5" t="s">
        <v>3123</v>
      </c>
      <c r="B764" s="6" t="s">
        <v>3124</v>
      </c>
      <c r="C764" s="40" t="s">
        <v>3125</v>
      </c>
      <c r="D764" s="8"/>
      <c r="E764" s="8" t="s">
        <v>1890</v>
      </c>
      <c r="F764" s="90">
        <v>250.0</v>
      </c>
      <c r="G764" s="31" t="s">
        <v>3126</v>
      </c>
      <c r="H764" s="11" t="s">
        <v>158</v>
      </c>
      <c r="I764" s="41">
        <v>9.231398299E9</v>
      </c>
      <c r="J764" s="11" t="s">
        <v>25</v>
      </c>
      <c r="K764" s="12"/>
      <c r="L764" s="13"/>
      <c r="M764" s="14"/>
      <c r="N764" s="15"/>
      <c r="O764" s="5" t="s">
        <v>26</v>
      </c>
      <c r="P764" s="5" t="s">
        <v>1736</v>
      </c>
      <c r="Q764" s="15"/>
      <c r="R764" s="16" t="s">
        <v>28</v>
      </c>
      <c r="S764" s="15"/>
      <c r="T764" s="15"/>
      <c r="U764" s="15"/>
      <c r="V764" s="15"/>
      <c r="W764" s="15"/>
      <c r="X764" s="15"/>
      <c r="Y764" s="15"/>
      <c r="Z764" s="15"/>
      <c r="AA764" s="15"/>
    </row>
    <row r="765">
      <c r="A765" s="5" t="s">
        <v>3123</v>
      </c>
      <c r="B765" s="6" t="s">
        <v>3127</v>
      </c>
      <c r="C765" s="40" t="s">
        <v>3128</v>
      </c>
      <c r="D765" s="8"/>
      <c r="E765" s="8" t="s">
        <v>794</v>
      </c>
      <c r="F765" s="90">
        <v>1000.0</v>
      </c>
      <c r="G765" s="25"/>
      <c r="H765" s="11" t="s">
        <v>44</v>
      </c>
      <c r="I765" s="41">
        <v>9.038019502E9</v>
      </c>
      <c r="J765" s="11" t="s">
        <v>25</v>
      </c>
      <c r="K765" s="12"/>
      <c r="L765" s="13"/>
      <c r="M765" s="14"/>
      <c r="N765" s="15"/>
      <c r="O765" s="5" t="s">
        <v>26</v>
      </c>
      <c r="P765" s="5"/>
      <c r="Q765" s="15"/>
      <c r="R765" s="16" t="s">
        <v>28</v>
      </c>
      <c r="S765" s="15"/>
      <c r="T765" s="15"/>
      <c r="U765" s="15"/>
      <c r="V765" s="15"/>
      <c r="W765" s="15"/>
      <c r="X765" s="15"/>
      <c r="Y765" s="15"/>
      <c r="Z765" s="15"/>
      <c r="AA765" s="15"/>
    </row>
    <row r="766">
      <c r="A766" s="5" t="s">
        <v>3123</v>
      </c>
      <c r="B766" s="6" t="s">
        <v>3129</v>
      </c>
      <c r="C766" s="40" t="s">
        <v>3130</v>
      </c>
      <c r="D766" s="8"/>
      <c r="E766" s="8" t="s">
        <v>690</v>
      </c>
      <c r="F766" s="90">
        <v>150.0</v>
      </c>
      <c r="G766" s="25" t="s">
        <v>3131</v>
      </c>
      <c r="H766" s="11" t="s">
        <v>44</v>
      </c>
      <c r="I766" s="41" t="s">
        <v>3132</v>
      </c>
      <c r="J766" s="11" t="s">
        <v>25</v>
      </c>
      <c r="K766" s="12"/>
      <c r="L766" s="13"/>
      <c r="M766" s="11" t="s">
        <v>3133</v>
      </c>
      <c r="N766" s="15"/>
      <c r="O766" s="5" t="s">
        <v>34</v>
      </c>
      <c r="P766" s="5" t="s">
        <v>3134</v>
      </c>
      <c r="Q766" s="15"/>
      <c r="R766" s="16" t="s">
        <v>74</v>
      </c>
      <c r="S766" s="15"/>
      <c r="T766" s="15"/>
      <c r="U766" s="15"/>
      <c r="V766" s="15"/>
      <c r="W766" s="15"/>
      <c r="X766" s="15"/>
      <c r="Y766" s="15"/>
      <c r="Z766" s="15"/>
      <c r="AA766" s="15"/>
    </row>
    <row r="767">
      <c r="A767" s="5" t="s">
        <v>3123</v>
      </c>
      <c r="B767" s="6" t="s">
        <v>3135</v>
      </c>
      <c r="C767" s="40" t="s">
        <v>3136</v>
      </c>
      <c r="D767" s="8"/>
      <c r="E767" s="8" t="s">
        <v>77</v>
      </c>
      <c r="F767" s="90">
        <v>1000.0</v>
      </c>
      <c r="G767" s="25"/>
      <c r="H767" s="11" t="s">
        <v>2403</v>
      </c>
      <c r="I767" s="41">
        <v>7.992459597E9</v>
      </c>
      <c r="J767" s="11" t="s">
        <v>25</v>
      </c>
      <c r="K767" s="12"/>
      <c r="L767" s="13"/>
      <c r="M767" s="11" t="s">
        <v>3044</v>
      </c>
      <c r="N767" s="15"/>
      <c r="O767" s="5" t="s">
        <v>34</v>
      </c>
      <c r="P767" s="5" t="s">
        <v>3134</v>
      </c>
      <c r="Q767" s="15"/>
      <c r="R767" s="16" t="s">
        <v>28</v>
      </c>
      <c r="S767" s="15"/>
      <c r="T767" s="15"/>
      <c r="U767" s="15"/>
      <c r="V767" s="15"/>
      <c r="W767" s="15"/>
      <c r="X767" s="15"/>
      <c r="Y767" s="15"/>
      <c r="Z767" s="15"/>
      <c r="AA767" s="15"/>
    </row>
    <row r="768">
      <c r="A768" s="5" t="s">
        <v>3123</v>
      </c>
      <c r="B768" s="6" t="s">
        <v>3137</v>
      </c>
      <c r="C768" s="40" t="s">
        <v>3138</v>
      </c>
      <c r="D768" s="8"/>
      <c r="E768" s="8" t="s">
        <v>1930</v>
      </c>
      <c r="F768" s="90">
        <v>200.0</v>
      </c>
      <c r="G768" s="25"/>
      <c r="H768" s="11" t="s">
        <v>1414</v>
      </c>
      <c r="I768" s="41">
        <v>7.980098375E9</v>
      </c>
      <c r="J768" s="11" t="s">
        <v>25</v>
      </c>
      <c r="K768" s="12"/>
      <c r="L768" s="13"/>
      <c r="M768" s="14"/>
      <c r="N768" s="15"/>
      <c r="O768" s="5" t="s">
        <v>34</v>
      </c>
      <c r="P768" s="5" t="s">
        <v>3139</v>
      </c>
      <c r="Q768" s="15"/>
      <c r="R768" s="16" t="s">
        <v>28</v>
      </c>
      <c r="S768" s="15"/>
      <c r="T768" s="15"/>
      <c r="U768" s="15"/>
      <c r="V768" s="15"/>
      <c r="W768" s="15"/>
      <c r="X768" s="15"/>
      <c r="Y768" s="15"/>
      <c r="Z768" s="15"/>
      <c r="AA768" s="15"/>
    </row>
    <row r="769">
      <c r="A769" s="5" t="s">
        <v>3123</v>
      </c>
      <c r="B769" s="6" t="s">
        <v>3140</v>
      </c>
      <c r="C769" s="40" t="s">
        <v>3141</v>
      </c>
      <c r="D769" s="8"/>
      <c r="E769" s="8" t="s">
        <v>1412</v>
      </c>
      <c r="F769" s="9">
        <v>25000.0</v>
      </c>
      <c r="G769" s="31" t="s">
        <v>3142</v>
      </c>
      <c r="H769" s="11" t="s">
        <v>44</v>
      </c>
      <c r="I769" s="41">
        <v>8.017785863E9</v>
      </c>
      <c r="J769" s="11" t="s">
        <v>25</v>
      </c>
      <c r="K769" s="12"/>
      <c r="L769" s="13"/>
      <c r="M769" s="14"/>
      <c r="N769" s="15"/>
      <c r="O769" s="5" t="s">
        <v>26</v>
      </c>
      <c r="P769" s="5"/>
      <c r="Q769" s="15"/>
      <c r="R769" s="16" t="s">
        <v>28</v>
      </c>
      <c r="S769" s="15"/>
      <c r="T769" s="15"/>
      <c r="U769" s="15"/>
      <c r="V769" s="15"/>
      <c r="W769" s="15"/>
      <c r="X769" s="15"/>
      <c r="Y769" s="15"/>
      <c r="Z769" s="15"/>
      <c r="AA769" s="15"/>
    </row>
    <row r="770">
      <c r="A770" s="5" t="s">
        <v>3143</v>
      </c>
      <c r="B770" s="6" t="s">
        <v>3144</v>
      </c>
      <c r="C770" s="40" t="s">
        <v>3145</v>
      </c>
      <c r="D770" s="8"/>
      <c r="E770" s="8" t="s">
        <v>3146</v>
      </c>
      <c r="F770" s="9">
        <v>25000.0</v>
      </c>
      <c r="G770" s="31" t="s">
        <v>3147</v>
      </c>
      <c r="H770" s="11" t="s">
        <v>1337</v>
      </c>
      <c r="I770" s="41">
        <v>8.920069406E9</v>
      </c>
      <c r="J770" s="11" t="s">
        <v>25</v>
      </c>
      <c r="K770" s="12" t="s">
        <v>1636</v>
      </c>
      <c r="L770" s="13"/>
      <c r="M770" s="14"/>
      <c r="N770" s="15"/>
      <c r="O770" s="5" t="s">
        <v>26</v>
      </c>
      <c r="P770" s="5" t="s">
        <v>3148</v>
      </c>
      <c r="Q770" s="15"/>
      <c r="R770" s="16" t="s">
        <v>28</v>
      </c>
      <c r="S770" s="15"/>
      <c r="T770" s="15"/>
      <c r="U770" s="15"/>
      <c r="V770" s="15"/>
      <c r="W770" s="15"/>
      <c r="X770" s="15"/>
      <c r="Y770" s="15"/>
      <c r="Z770" s="15"/>
      <c r="AA770" s="15"/>
    </row>
    <row r="771">
      <c r="A771" s="5" t="s">
        <v>3143</v>
      </c>
      <c r="B771" s="6" t="s">
        <v>3149</v>
      </c>
      <c r="C771" s="40" t="s">
        <v>3150</v>
      </c>
      <c r="D771" s="8"/>
      <c r="E771" s="8" t="s">
        <v>2570</v>
      </c>
      <c r="F771" s="90">
        <v>1800.0</v>
      </c>
      <c r="G771" s="31" t="s">
        <v>3151</v>
      </c>
      <c r="H771" s="11" t="s">
        <v>158</v>
      </c>
      <c r="I771" s="41">
        <v>9.830249272E9</v>
      </c>
      <c r="J771" s="11" t="s">
        <v>25</v>
      </c>
      <c r="K771" s="12"/>
      <c r="L771" s="13"/>
      <c r="M771" s="14"/>
      <c r="N771" s="15"/>
      <c r="O771" s="5" t="s">
        <v>26</v>
      </c>
      <c r="P771" s="5"/>
      <c r="Q771" s="15"/>
      <c r="R771" s="16" t="s">
        <v>28</v>
      </c>
      <c r="S771" s="15"/>
      <c r="T771" s="15"/>
      <c r="U771" s="15"/>
      <c r="V771" s="15"/>
      <c r="W771" s="15"/>
      <c r="X771" s="15"/>
      <c r="Y771" s="15"/>
      <c r="Z771" s="15"/>
      <c r="AA771" s="15"/>
    </row>
    <row r="772">
      <c r="A772" s="5" t="s">
        <v>3143</v>
      </c>
      <c r="B772" s="6" t="s">
        <v>3152</v>
      </c>
      <c r="C772" s="40" t="s">
        <v>3153</v>
      </c>
      <c r="D772" s="8"/>
      <c r="E772" s="8" t="s">
        <v>2159</v>
      </c>
      <c r="F772" s="90">
        <v>9000.0</v>
      </c>
      <c r="G772" s="31" t="s">
        <v>3154</v>
      </c>
      <c r="H772" s="11" t="s">
        <v>1337</v>
      </c>
      <c r="I772" s="41">
        <v>9.8640318E9</v>
      </c>
      <c r="J772" s="11" t="s">
        <v>25</v>
      </c>
      <c r="K772" s="12"/>
      <c r="L772" s="13"/>
      <c r="M772" s="14"/>
      <c r="N772" s="15"/>
      <c r="O772" s="5" t="s">
        <v>34</v>
      </c>
      <c r="P772" s="5" t="s">
        <v>727</v>
      </c>
      <c r="Q772" s="15"/>
      <c r="R772" s="16" t="s">
        <v>28</v>
      </c>
      <c r="S772" s="15"/>
      <c r="T772" s="15"/>
      <c r="U772" s="15"/>
      <c r="V772" s="15"/>
      <c r="W772" s="15"/>
      <c r="X772" s="15"/>
      <c r="Y772" s="15"/>
      <c r="Z772" s="15"/>
      <c r="AA772" s="15"/>
    </row>
    <row r="773">
      <c r="A773" s="5" t="s">
        <v>3143</v>
      </c>
      <c r="B773" s="6" t="s">
        <v>3155</v>
      </c>
      <c r="C773" s="40" t="s">
        <v>3156</v>
      </c>
      <c r="D773" s="8"/>
      <c r="E773" s="8" t="s">
        <v>2917</v>
      </c>
      <c r="F773" s="90">
        <v>2000.0</v>
      </c>
      <c r="G773" s="31" t="s">
        <v>3157</v>
      </c>
      <c r="H773" s="11" t="s">
        <v>44</v>
      </c>
      <c r="I773" s="41">
        <v>6.289760076E9</v>
      </c>
      <c r="J773" s="11" t="s">
        <v>25</v>
      </c>
      <c r="K773" s="12"/>
      <c r="L773" s="13"/>
      <c r="M773" s="14"/>
      <c r="N773" s="15"/>
      <c r="O773" s="5" t="s">
        <v>26</v>
      </c>
      <c r="P773" s="5"/>
      <c r="Q773" s="15"/>
      <c r="R773" s="16" t="s">
        <v>28</v>
      </c>
      <c r="S773" s="15"/>
      <c r="T773" s="15"/>
      <c r="U773" s="15"/>
      <c r="V773" s="15"/>
      <c r="W773" s="15"/>
      <c r="X773" s="15"/>
      <c r="Y773" s="15"/>
      <c r="Z773" s="15"/>
      <c r="AA773" s="15"/>
    </row>
    <row r="774">
      <c r="A774" s="5" t="s">
        <v>3158</v>
      </c>
      <c r="B774" s="6" t="s">
        <v>3159</v>
      </c>
      <c r="C774" s="40" t="s">
        <v>3160</v>
      </c>
      <c r="D774" s="8"/>
      <c r="E774" s="8" t="s">
        <v>235</v>
      </c>
      <c r="F774" s="9">
        <v>30000.0</v>
      </c>
      <c r="G774" s="31" t="s">
        <v>1321</v>
      </c>
      <c r="H774" s="36" t="s">
        <v>3161</v>
      </c>
      <c r="I774" s="41">
        <v>9.871484703E9</v>
      </c>
      <c r="J774" s="11" t="s">
        <v>25</v>
      </c>
      <c r="K774" s="12" t="s">
        <v>3162</v>
      </c>
      <c r="L774" s="13"/>
      <c r="M774" s="14"/>
      <c r="N774" s="15"/>
      <c r="O774" s="5" t="s">
        <v>26</v>
      </c>
      <c r="P774" s="5" t="s">
        <v>1736</v>
      </c>
      <c r="Q774" s="15"/>
      <c r="R774" s="16" t="s">
        <v>28</v>
      </c>
      <c r="S774" s="15"/>
      <c r="T774" s="15"/>
      <c r="U774" s="15"/>
      <c r="V774" s="15"/>
      <c r="W774" s="15"/>
      <c r="X774" s="15"/>
      <c r="Y774" s="15"/>
      <c r="Z774" s="15"/>
      <c r="AA774" s="15"/>
    </row>
    <row r="775">
      <c r="A775" s="5" t="s">
        <v>3158</v>
      </c>
      <c r="B775" s="6" t="s">
        <v>3163</v>
      </c>
      <c r="C775" s="40" t="s">
        <v>3164</v>
      </c>
      <c r="D775" s="8"/>
      <c r="E775" s="8" t="s">
        <v>3165</v>
      </c>
      <c r="F775" s="90">
        <v>200.0</v>
      </c>
      <c r="G775" s="31" t="s">
        <v>3166</v>
      </c>
      <c r="H775" s="11" t="s">
        <v>3167</v>
      </c>
      <c r="I775" s="41">
        <v>9.593047114E9</v>
      </c>
      <c r="J775" s="11" t="s">
        <v>25</v>
      </c>
      <c r="K775" s="12"/>
      <c r="L775" s="13"/>
      <c r="M775" s="14"/>
      <c r="N775" s="15"/>
      <c r="O775" s="5" t="s">
        <v>26</v>
      </c>
      <c r="P775" s="5"/>
      <c r="Q775" s="15"/>
      <c r="R775" s="16" t="s">
        <v>28</v>
      </c>
      <c r="S775" s="15"/>
      <c r="T775" s="15"/>
      <c r="U775" s="15"/>
      <c r="V775" s="15"/>
      <c r="W775" s="15"/>
      <c r="X775" s="15"/>
      <c r="Y775" s="15"/>
      <c r="Z775" s="15"/>
      <c r="AA775" s="15"/>
    </row>
    <row r="776">
      <c r="A776" s="5" t="s">
        <v>3158</v>
      </c>
      <c r="B776" s="6" t="s">
        <v>3168</v>
      </c>
      <c r="C776" s="40" t="s">
        <v>3169</v>
      </c>
      <c r="D776" s="8"/>
      <c r="E776" s="8" t="s">
        <v>2747</v>
      </c>
      <c r="F776" s="9">
        <v>25000.0</v>
      </c>
      <c r="G776" s="31" t="s">
        <v>3170</v>
      </c>
      <c r="H776" s="11" t="s">
        <v>1640</v>
      </c>
      <c r="I776" s="41">
        <v>8.001795303E9</v>
      </c>
      <c r="J776" s="11" t="s">
        <v>25</v>
      </c>
      <c r="K776" s="12" t="s">
        <v>3171</v>
      </c>
      <c r="L776" s="13"/>
      <c r="M776" s="14"/>
      <c r="N776" s="15"/>
      <c r="O776" s="5" t="s">
        <v>26</v>
      </c>
      <c r="P776" s="5" t="s">
        <v>1736</v>
      </c>
      <c r="Q776" s="15"/>
      <c r="R776" s="16" t="s">
        <v>28</v>
      </c>
      <c r="S776" s="15"/>
      <c r="T776" s="15"/>
      <c r="U776" s="15"/>
      <c r="V776" s="15"/>
      <c r="W776" s="15"/>
      <c r="X776" s="15"/>
      <c r="Y776" s="15"/>
      <c r="Z776" s="15"/>
      <c r="AA776" s="15"/>
    </row>
    <row r="777">
      <c r="A777" s="5" t="s">
        <v>3158</v>
      </c>
      <c r="B777" s="6" t="s">
        <v>3172</v>
      </c>
      <c r="C777" s="40" t="s">
        <v>3173</v>
      </c>
      <c r="D777" s="8"/>
      <c r="E777" s="8" t="s">
        <v>43</v>
      </c>
      <c r="F777" s="90">
        <v>2000.0</v>
      </c>
      <c r="G777" s="31" t="s">
        <v>3174</v>
      </c>
      <c r="H777" s="11" t="s">
        <v>1337</v>
      </c>
      <c r="I777" s="41">
        <v>9.365402633E9</v>
      </c>
      <c r="J777" s="11" t="s">
        <v>25</v>
      </c>
      <c r="K777" s="12"/>
      <c r="L777" s="13"/>
      <c r="M777" s="14"/>
      <c r="N777" s="15"/>
      <c r="O777" s="5" t="s">
        <v>26</v>
      </c>
      <c r="P777" s="5"/>
      <c r="Q777" s="15"/>
      <c r="R777" s="16" t="s">
        <v>28</v>
      </c>
      <c r="S777" s="15"/>
      <c r="T777" s="15"/>
      <c r="U777" s="15"/>
      <c r="V777" s="15"/>
      <c r="W777" s="15"/>
      <c r="X777" s="15"/>
      <c r="Y777" s="15"/>
      <c r="Z777" s="15"/>
      <c r="AA777" s="15"/>
    </row>
    <row r="778">
      <c r="A778" s="5" t="s">
        <v>3158</v>
      </c>
      <c r="B778" s="6" t="s">
        <v>3175</v>
      </c>
      <c r="C778" s="40" t="s">
        <v>3176</v>
      </c>
      <c r="D778" s="8"/>
      <c r="E778" s="8" t="s">
        <v>130</v>
      </c>
      <c r="F778" s="9">
        <v>10000.0</v>
      </c>
      <c r="G778" s="25"/>
      <c r="H778" s="11" t="s">
        <v>495</v>
      </c>
      <c r="I778" s="41">
        <v>9.123247119E9</v>
      </c>
      <c r="J778" s="11" t="s">
        <v>25</v>
      </c>
      <c r="K778" s="12"/>
      <c r="L778" s="13"/>
      <c r="M778" s="14"/>
      <c r="N778" s="15"/>
      <c r="O778" s="5" t="s">
        <v>34</v>
      </c>
      <c r="P778" s="5" t="s">
        <v>3177</v>
      </c>
      <c r="Q778" s="15"/>
      <c r="R778" s="16" t="s">
        <v>28</v>
      </c>
      <c r="S778" s="15"/>
      <c r="T778" s="15"/>
      <c r="U778" s="15"/>
      <c r="V778" s="15"/>
      <c r="W778" s="15"/>
      <c r="X778" s="15"/>
      <c r="Y778" s="15"/>
      <c r="Z778" s="15"/>
      <c r="AA778" s="15"/>
    </row>
    <row r="779">
      <c r="A779" s="5" t="s">
        <v>3178</v>
      </c>
      <c r="B779" s="6" t="s">
        <v>3179</v>
      </c>
      <c r="C779" s="40" t="s">
        <v>3180</v>
      </c>
      <c r="D779" s="8"/>
      <c r="E779" s="8" t="s">
        <v>22</v>
      </c>
      <c r="F779" s="90">
        <v>2250.0</v>
      </c>
      <c r="G779" s="31" t="s">
        <v>3181</v>
      </c>
      <c r="H779" s="11" t="s">
        <v>44</v>
      </c>
      <c r="I779" s="41">
        <v>9.830776833E9</v>
      </c>
      <c r="J779" s="11" t="s">
        <v>25</v>
      </c>
      <c r="K779" s="12"/>
      <c r="L779" s="13"/>
      <c r="M779" s="14"/>
      <c r="N779" s="15"/>
      <c r="O779" s="5" t="s">
        <v>34</v>
      </c>
      <c r="P779" s="5" t="s">
        <v>3182</v>
      </c>
      <c r="Q779" s="15"/>
      <c r="R779" s="16" t="s">
        <v>723</v>
      </c>
      <c r="S779" s="15"/>
      <c r="T779" s="15"/>
      <c r="U779" s="15"/>
      <c r="V779" s="15"/>
      <c r="W779" s="15"/>
      <c r="X779" s="15"/>
      <c r="Y779" s="15"/>
      <c r="Z779" s="15"/>
      <c r="AA779" s="15"/>
    </row>
    <row r="780">
      <c r="A780" s="5" t="s">
        <v>3178</v>
      </c>
      <c r="B780" s="6" t="s">
        <v>3183</v>
      </c>
      <c r="C780" s="40" t="s">
        <v>3184</v>
      </c>
      <c r="D780" s="8"/>
      <c r="E780" s="8" t="s">
        <v>2972</v>
      </c>
      <c r="F780" s="9">
        <v>100000.0</v>
      </c>
      <c r="G780" s="31" t="s">
        <v>3185</v>
      </c>
      <c r="H780" s="11" t="s">
        <v>268</v>
      </c>
      <c r="I780" s="41">
        <v>8.116333997E9</v>
      </c>
      <c r="J780" s="11" t="s">
        <v>25</v>
      </c>
      <c r="K780" s="12"/>
      <c r="L780" s="13"/>
      <c r="M780" s="14"/>
      <c r="N780" s="15"/>
      <c r="O780" s="5" t="s">
        <v>26</v>
      </c>
      <c r="P780" s="5" t="s">
        <v>3186</v>
      </c>
      <c r="Q780" s="5"/>
      <c r="R780" s="16" t="s">
        <v>28</v>
      </c>
      <c r="S780" s="15"/>
      <c r="T780" s="15"/>
      <c r="U780" s="15"/>
      <c r="V780" s="15"/>
      <c r="W780" s="15"/>
      <c r="X780" s="15"/>
      <c r="Y780" s="15"/>
      <c r="Z780" s="15"/>
      <c r="AA780" s="15"/>
    </row>
    <row r="781">
      <c r="A781" s="5" t="s">
        <v>3187</v>
      </c>
      <c r="B781" s="6" t="s">
        <v>3188</v>
      </c>
      <c r="C781" s="40" t="s">
        <v>3189</v>
      </c>
      <c r="D781" s="8"/>
      <c r="E781" s="8" t="s">
        <v>2402</v>
      </c>
      <c r="F781" s="90">
        <v>1000.0</v>
      </c>
      <c r="G781" s="31" t="s">
        <v>3190</v>
      </c>
      <c r="H781" s="11" t="s">
        <v>24</v>
      </c>
      <c r="I781" s="41">
        <v>7.677978554E9</v>
      </c>
      <c r="J781" s="11" t="s">
        <v>25</v>
      </c>
      <c r="K781" s="12"/>
      <c r="L781" s="13"/>
      <c r="M781" s="14"/>
      <c r="N781" s="15"/>
      <c r="O781" s="5" t="s">
        <v>26</v>
      </c>
      <c r="P781" s="5"/>
      <c r="Q781" s="15"/>
      <c r="R781" s="16" t="s">
        <v>28</v>
      </c>
      <c r="S781" s="15"/>
      <c r="T781" s="15"/>
      <c r="U781" s="15"/>
      <c r="V781" s="15"/>
      <c r="W781" s="15"/>
      <c r="X781" s="15"/>
      <c r="Y781" s="15"/>
      <c r="Z781" s="15"/>
      <c r="AA781" s="15"/>
    </row>
    <row r="782">
      <c r="A782" s="5" t="s">
        <v>3187</v>
      </c>
      <c r="B782" s="6" t="s">
        <v>3191</v>
      </c>
      <c r="C782" s="36" t="s">
        <v>3192</v>
      </c>
      <c r="D782" s="75"/>
      <c r="E782" s="8" t="s">
        <v>3193</v>
      </c>
      <c r="F782" s="90">
        <v>50000.0</v>
      </c>
      <c r="G782" s="25"/>
      <c r="H782" s="11" t="s">
        <v>184</v>
      </c>
      <c r="I782" s="41">
        <v>9.234948002E9</v>
      </c>
      <c r="J782" s="11" t="s">
        <v>25</v>
      </c>
      <c r="K782" s="12"/>
      <c r="L782" s="13"/>
      <c r="M782" s="14"/>
      <c r="N782" s="15"/>
      <c r="O782" s="5" t="s">
        <v>34</v>
      </c>
      <c r="P782" s="5"/>
      <c r="Q782" s="15"/>
      <c r="R782" s="16" t="s">
        <v>634</v>
      </c>
      <c r="S782" s="15"/>
      <c r="T782" s="15"/>
      <c r="U782" s="15"/>
      <c r="V782" s="15"/>
      <c r="W782" s="15"/>
      <c r="X782" s="15"/>
      <c r="Y782" s="15"/>
      <c r="Z782" s="15"/>
      <c r="AA782" s="15"/>
    </row>
    <row r="783">
      <c r="A783" s="5" t="s">
        <v>3187</v>
      </c>
      <c r="B783" s="6" t="s">
        <v>3194</v>
      </c>
      <c r="C783" s="40" t="s">
        <v>2545</v>
      </c>
      <c r="D783" s="8"/>
      <c r="E783" s="8" t="s">
        <v>2546</v>
      </c>
      <c r="F783" s="90">
        <v>500.0</v>
      </c>
      <c r="G783" s="31" t="s">
        <v>2547</v>
      </c>
      <c r="H783" s="11" t="s">
        <v>118</v>
      </c>
      <c r="I783" s="41">
        <v>9.002121215E9</v>
      </c>
      <c r="J783" s="11" t="s">
        <v>25</v>
      </c>
      <c r="K783" s="12" t="s">
        <v>3195</v>
      </c>
      <c r="L783" s="13"/>
      <c r="M783" s="14"/>
      <c r="N783" s="15"/>
      <c r="O783" s="5" t="s">
        <v>26</v>
      </c>
      <c r="P783" s="5"/>
      <c r="Q783" s="15"/>
      <c r="R783" s="16" t="s">
        <v>28</v>
      </c>
      <c r="S783" s="15"/>
      <c r="T783" s="15"/>
      <c r="U783" s="15"/>
      <c r="V783" s="15"/>
      <c r="W783" s="15"/>
      <c r="X783" s="15"/>
      <c r="Y783" s="15"/>
      <c r="Z783" s="15"/>
      <c r="AA783" s="15"/>
    </row>
    <row r="784">
      <c r="A784" s="5" t="s">
        <v>3187</v>
      </c>
      <c r="B784" s="6" t="s">
        <v>3196</v>
      </c>
      <c r="C784" s="40" t="s">
        <v>3197</v>
      </c>
      <c r="D784" s="8"/>
      <c r="E784" s="8" t="s">
        <v>2335</v>
      </c>
      <c r="F784" s="90">
        <v>2000.0</v>
      </c>
      <c r="G784" s="31" t="s">
        <v>3198</v>
      </c>
      <c r="H784" s="11" t="s">
        <v>44</v>
      </c>
      <c r="I784" s="11" t="s">
        <v>3199</v>
      </c>
      <c r="J784" s="11" t="s">
        <v>25</v>
      </c>
      <c r="K784" s="12"/>
      <c r="L784" s="13"/>
      <c r="M784" s="14"/>
      <c r="N784" s="15"/>
      <c r="O784" s="5" t="s">
        <v>26</v>
      </c>
      <c r="P784" s="5"/>
      <c r="Q784" s="15"/>
      <c r="R784" s="16" t="s">
        <v>28</v>
      </c>
      <c r="S784" s="15"/>
      <c r="T784" s="15"/>
      <c r="U784" s="15"/>
      <c r="V784" s="15"/>
      <c r="W784" s="15"/>
      <c r="X784" s="15"/>
      <c r="Y784" s="15"/>
      <c r="Z784" s="15"/>
      <c r="AA784" s="15"/>
    </row>
    <row r="785">
      <c r="A785" s="5" t="s">
        <v>3200</v>
      </c>
      <c r="B785" s="6" t="s">
        <v>3201</v>
      </c>
      <c r="C785" s="93" t="s">
        <v>3202</v>
      </c>
      <c r="D785" s="75"/>
      <c r="E785" s="8" t="s">
        <v>130</v>
      </c>
      <c r="F785" s="90">
        <v>16000.0</v>
      </c>
      <c r="G785" s="94" t="s">
        <v>3203</v>
      </c>
      <c r="H785" s="11" t="s">
        <v>3204</v>
      </c>
      <c r="I785" s="95">
        <v>9.378196459E9</v>
      </c>
      <c r="J785" s="11" t="s">
        <v>25</v>
      </c>
      <c r="K785" s="12"/>
      <c r="L785" s="13"/>
      <c r="M785" s="14"/>
      <c r="N785" s="15"/>
      <c r="O785" s="5" t="s">
        <v>3205</v>
      </c>
      <c r="P785" s="5" t="s">
        <v>3206</v>
      </c>
      <c r="Q785" s="15"/>
      <c r="R785" s="16" t="s">
        <v>28</v>
      </c>
      <c r="S785" s="15"/>
      <c r="T785" s="15"/>
      <c r="U785" s="15"/>
      <c r="V785" s="15"/>
      <c r="W785" s="15"/>
      <c r="X785" s="15"/>
      <c r="Y785" s="15"/>
      <c r="Z785" s="15"/>
      <c r="AA785" s="15"/>
    </row>
    <row r="786">
      <c r="A786" s="5" t="s">
        <v>3200</v>
      </c>
      <c r="B786" s="6" t="s">
        <v>3207</v>
      </c>
      <c r="C786" s="40" t="s">
        <v>3208</v>
      </c>
      <c r="D786" s="8"/>
      <c r="E786" s="8" t="s">
        <v>3209</v>
      </c>
      <c r="F786" s="9">
        <v>10000.0</v>
      </c>
      <c r="G786" s="31" t="s">
        <v>3210</v>
      </c>
      <c r="H786" s="11" t="s">
        <v>44</v>
      </c>
      <c r="I786" s="41">
        <v>9.330818204E9</v>
      </c>
      <c r="J786" s="11" t="s">
        <v>25</v>
      </c>
      <c r="K786" s="12"/>
      <c r="L786" s="13"/>
      <c r="M786" s="14"/>
      <c r="N786" s="15"/>
      <c r="O786" s="5" t="s">
        <v>26</v>
      </c>
      <c r="P786" s="5"/>
      <c r="Q786" s="15"/>
      <c r="R786" s="16" t="s">
        <v>28</v>
      </c>
      <c r="S786" s="15"/>
      <c r="T786" s="15"/>
      <c r="U786" s="15"/>
      <c r="V786" s="15"/>
      <c r="W786" s="15"/>
      <c r="X786" s="15"/>
      <c r="Y786" s="15"/>
      <c r="Z786" s="15"/>
      <c r="AA786" s="15"/>
    </row>
    <row r="787">
      <c r="A787" s="5" t="s">
        <v>3200</v>
      </c>
      <c r="B787" s="6" t="s">
        <v>3211</v>
      </c>
      <c r="C787" s="40" t="s">
        <v>3212</v>
      </c>
      <c r="D787" s="8"/>
      <c r="E787" s="8" t="s">
        <v>178</v>
      </c>
      <c r="F787" s="90">
        <v>1000.0</v>
      </c>
      <c r="G787" s="25"/>
      <c r="H787" s="11" t="s">
        <v>184</v>
      </c>
      <c r="I787" s="41">
        <v>7.781947451E9</v>
      </c>
      <c r="J787" s="11" t="s">
        <v>25</v>
      </c>
      <c r="K787" s="12"/>
      <c r="L787" s="13"/>
      <c r="M787" s="14"/>
      <c r="N787" s="15"/>
      <c r="O787" s="5" t="s">
        <v>26</v>
      </c>
      <c r="P787" s="5" t="s">
        <v>405</v>
      </c>
      <c r="Q787" s="15"/>
      <c r="R787" s="16" t="s">
        <v>28</v>
      </c>
      <c r="S787" s="15"/>
      <c r="T787" s="15"/>
      <c r="U787" s="15"/>
      <c r="V787" s="15"/>
      <c r="W787" s="15"/>
      <c r="X787" s="15"/>
      <c r="Y787" s="15"/>
      <c r="Z787" s="15"/>
      <c r="AA787" s="15"/>
    </row>
    <row r="788">
      <c r="A788" s="5" t="s">
        <v>3200</v>
      </c>
      <c r="B788" s="6" t="s">
        <v>3213</v>
      </c>
      <c r="C788" s="40" t="s">
        <v>3214</v>
      </c>
      <c r="D788" s="8"/>
      <c r="E788" s="8" t="s">
        <v>1890</v>
      </c>
      <c r="F788" s="90">
        <v>1000.0</v>
      </c>
      <c r="G788" s="31" t="s">
        <v>3215</v>
      </c>
      <c r="H788" s="11" t="s">
        <v>3216</v>
      </c>
      <c r="I788" s="41">
        <v>6.289778366E9</v>
      </c>
      <c r="J788" s="11" t="s">
        <v>25</v>
      </c>
      <c r="K788" s="12"/>
      <c r="L788" s="13"/>
      <c r="M788" s="14"/>
      <c r="N788" s="15"/>
      <c r="O788" s="5" t="s">
        <v>26</v>
      </c>
      <c r="P788" s="5"/>
      <c r="Q788" s="15"/>
      <c r="R788" s="16" t="s">
        <v>28</v>
      </c>
      <c r="S788" s="15"/>
      <c r="T788" s="15"/>
      <c r="U788" s="15"/>
      <c r="V788" s="15"/>
      <c r="W788" s="15"/>
      <c r="X788" s="15"/>
      <c r="Y788" s="15"/>
      <c r="Z788" s="15"/>
      <c r="AA788" s="15"/>
    </row>
    <row r="789">
      <c r="A789" s="5" t="s">
        <v>3200</v>
      </c>
      <c r="B789" s="6" t="s">
        <v>3217</v>
      </c>
      <c r="C789" s="40" t="s">
        <v>3218</v>
      </c>
      <c r="D789" s="8"/>
      <c r="E789" s="8" t="s">
        <v>43</v>
      </c>
      <c r="F789" s="9">
        <v>20000.0</v>
      </c>
      <c r="G789" s="25"/>
      <c r="H789" s="11" t="s">
        <v>44</v>
      </c>
      <c r="I789" s="41" t="s">
        <v>3219</v>
      </c>
      <c r="J789" s="11" t="s">
        <v>25</v>
      </c>
      <c r="K789" s="12"/>
      <c r="L789" s="13"/>
      <c r="M789" s="14"/>
      <c r="N789" s="15"/>
      <c r="O789" s="5" t="s">
        <v>34</v>
      </c>
      <c r="P789" s="5" t="s">
        <v>3220</v>
      </c>
      <c r="Q789" s="15"/>
      <c r="R789" s="16" t="s">
        <v>551</v>
      </c>
      <c r="S789" s="15"/>
      <c r="T789" s="15"/>
      <c r="U789" s="15"/>
      <c r="V789" s="15"/>
      <c r="W789" s="15"/>
      <c r="X789" s="15"/>
      <c r="Y789" s="15"/>
      <c r="Z789" s="15"/>
      <c r="AA789" s="15"/>
    </row>
    <row r="790">
      <c r="A790" s="5" t="s">
        <v>3221</v>
      </c>
      <c r="B790" s="6" t="s">
        <v>3222</v>
      </c>
      <c r="C790" s="40" t="s">
        <v>3223</v>
      </c>
      <c r="D790" s="8"/>
      <c r="E790" s="8" t="s">
        <v>53</v>
      </c>
      <c r="F790" s="9">
        <v>100000.0</v>
      </c>
      <c r="G790" s="31" t="s">
        <v>3224</v>
      </c>
      <c r="H790" s="11" t="s">
        <v>44</v>
      </c>
      <c r="I790" s="41">
        <v>9.933776365E9</v>
      </c>
      <c r="J790" s="11" t="s">
        <v>25</v>
      </c>
      <c r="K790" s="12"/>
      <c r="L790" s="13"/>
      <c r="M790" s="14"/>
      <c r="N790" s="15"/>
      <c r="O790" s="5" t="s">
        <v>26</v>
      </c>
      <c r="P790" s="5"/>
      <c r="Q790" s="15"/>
      <c r="R790" s="16" t="s">
        <v>28</v>
      </c>
      <c r="S790" s="15"/>
      <c r="T790" s="15"/>
      <c r="U790" s="15"/>
      <c r="V790" s="15"/>
      <c r="W790" s="15"/>
      <c r="X790" s="15"/>
      <c r="Y790" s="15"/>
      <c r="Z790" s="15"/>
      <c r="AA790" s="15"/>
    </row>
    <row r="791">
      <c r="A791" s="5" t="s">
        <v>3221</v>
      </c>
      <c r="B791" s="6" t="s">
        <v>3225</v>
      </c>
      <c r="C791" s="40" t="s">
        <v>3226</v>
      </c>
      <c r="D791" s="8"/>
      <c r="E791" s="8" t="s">
        <v>523</v>
      </c>
      <c r="F791" s="90">
        <v>1000.0</v>
      </c>
      <c r="G791" s="25"/>
      <c r="H791" s="11" t="s">
        <v>822</v>
      </c>
      <c r="I791" s="41">
        <v>7.679871859E9</v>
      </c>
      <c r="J791" s="11" t="s">
        <v>25</v>
      </c>
      <c r="K791" s="12"/>
      <c r="L791" s="13"/>
      <c r="M791" s="14"/>
      <c r="N791" s="15"/>
      <c r="O791" s="5" t="s">
        <v>26</v>
      </c>
      <c r="P791" s="5"/>
      <c r="Q791" s="15"/>
      <c r="R791" s="16" t="s">
        <v>28</v>
      </c>
      <c r="S791" s="15"/>
      <c r="T791" s="15"/>
      <c r="U791" s="15"/>
      <c r="V791" s="15"/>
      <c r="W791" s="15"/>
      <c r="X791" s="15"/>
      <c r="Y791" s="15"/>
      <c r="Z791" s="15"/>
      <c r="AA791" s="15"/>
    </row>
    <row r="792">
      <c r="A792" s="5" t="s">
        <v>3221</v>
      </c>
      <c r="B792" s="6" t="s">
        <v>3227</v>
      </c>
      <c r="C792" s="40" t="s">
        <v>3228</v>
      </c>
      <c r="D792" s="8"/>
      <c r="E792" s="8" t="s">
        <v>130</v>
      </c>
      <c r="F792" s="9">
        <v>15000.0</v>
      </c>
      <c r="G792" s="31" t="s">
        <v>3229</v>
      </c>
      <c r="H792" s="11" t="s">
        <v>1691</v>
      </c>
      <c r="I792" s="41">
        <v>9.475935151E9</v>
      </c>
      <c r="J792" s="11" t="s">
        <v>25</v>
      </c>
      <c r="K792" s="12"/>
      <c r="L792" s="13"/>
      <c r="M792" s="14"/>
      <c r="N792" s="15"/>
      <c r="O792" s="5" t="s">
        <v>34</v>
      </c>
      <c r="P792" s="5"/>
      <c r="Q792" s="15"/>
      <c r="R792" s="16" t="s">
        <v>28</v>
      </c>
      <c r="S792" s="15"/>
      <c r="T792" s="15"/>
      <c r="U792" s="15"/>
      <c r="V792" s="15"/>
      <c r="W792" s="15"/>
      <c r="X792" s="15"/>
      <c r="Y792" s="15"/>
      <c r="Z792" s="15"/>
      <c r="AA792" s="15"/>
    </row>
    <row r="793">
      <c r="A793" s="5" t="s">
        <v>3230</v>
      </c>
      <c r="B793" s="6" t="s">
        <v>3231</v>
      </c>
      <c r="C793" s="40" t="s">
        <v>3232</v>
      </c>
      <c r="D793" s="8"/>
      <c r="E793" s="8" t="s">
        <v>106</v>
      </c>
      <c r="F793" s="90">
        <v>1500.0</v>
      </c>
      <c r="G793" s="31" t="s">
        <v>3233</v>
      </c>
      <c r="H793" s="11" t="s">
        <v>44</v>
      </c>
      <c r="I793" s="41">
        <v>9.874464122E9</v>
      </c>
      <c r="J793" s="11" t="s">
        <v>25</v>
      </c>
      <c r="K793" s="12"/>
      <c r="L793" s="13"/>
      <c r="M793" s="14"/>
      <c r="N793" s="15"/>
      <c r="O793" s="5" t="s">
        <v>34</v>
      </c>
      <c r="P793" s="5" t="s">
        <v>1697</v>
      </c>
      <c r="Q793" s="15"/>
      <c r="R793" s="16" t="s">
        <v>28</v>
      </c>
      <c r="S793" s="15"/>
      <c r="T793" s="15"/>
      <c r="U793" s="15"/>
      <c r="V793" s="15"/>
      <c r="W793" s="15"/>
      <c r="X793" s="15"/>
      <c r="Y793" s="15"/>
      <c r="Z793" s="15"/>
      <c r="AA793" s="15"/>
    </row>
    <row r="794">
      <c r="A794" s="5" t="s">
        <v>3230</v>
      </c>
      <c r="B794" s="6" t="s">
        <v>3234</v>
      </c>
      <c r="C794" s="40" t="s">
        <v>3235</v>
      </c>
      <c r="D794" s="8"/>
      <c r="E794" s="8" t="s">
        <v>2482</v>
      </c>
      <c r="F794" s="90">
        <v>2000.0</v>
      </c>
      <c r="G794" s="31" t="s">
        <v>3236</v>
      </c>
      <c r="H794" s="11" t="s">
        <v>44</v>
      </c>
      <c r="I794" s="41">
        <v>7.439898976E9</v>
      </c>
      <c r="J794" s="11" t="s">
        <v>25</v>
      </c>
      <c r="K794" s="12"/>
      <c r="L794" s="13"/>
      <c r="M794" s="14"/>
      <c r="N794" s="15"/>
      <c r="O794" s="5" t="s">
        <v>34</v>
      </c>
      <c r="P794" s="5" t="s">
        <v>3237</v>
      </c>
      <c r="Q794" s="15"/>
      <c r="R794" s="16" t="s">
        <v>28</v>
      </c>
      <c r="S794" s="15"/>
      <c r="T794" s="15"/>
      <c r="U794" s="15"/>
      <c r="V794" s="15"/>
      <c r="W794" s="15"/>
      <c r="X794" s="15"/>
      <c r="Y794" s="15"/>
      <c r="Z794" s="15"/>
      <c r="AA794" s="15"/>
    </row>
    <row r="795">
      <c r="A795" s="5" t="s">
        <v>3238</v>
      </c>
      <c r="B795" s="6" t="s">
        <v>3239</v>
      </c>
      <c r="C795" s="40" t="s">
        <v>3240</v>
      </c>
      <c r="D795" s="8"/>
      <c r="E795" s="8" t="s">
        <v>1509</v>
      </c>
      <c r="F795" s="90">
        <v>2000.0</v>
      </c>
      <c r="G795" s="31" t="s">
        <v>3241</v>
      </c>
      <c r="H795" s="11" t="s">
        <v>44</v>
      </c>
      <c r="I795" s="41">
        <v>9.830277582E9</v>
      </c>
      <c r="J795" s="11" t="s">
        <v>25</v>
      </c>
      <c r="K795" s="12"/>
      <c r="L795" s="13"/>
      <c r="M795" s="14"/>
      <c r="N795" s="15"/>
      <c r="O795" s="5" t="s">
        <v>26</v>
      </c>
      <c r="P795" s="5" t="s">
        <v>2723</v>
      </c>
      <c r="Q795" s="15"/>
      <c r="R795" s="16" t="s">
        <v>28</v>
      </c>
      <c r="S795" s="15"/>
      <c r="T795" s="15"/>
      <c r="U795" s="15"/>
      <c r="V795" s="15"/>
      <c r="W795" s="15"/>
      <c r="X795" s="15"/>
      <c r="Y795" s="15"/>
      <c r="Z795" s="15"/>
      <c r="AA795" s="15"/>
    </row>
    <row r="796">
      <c r="A796" s="5" t="s">
        <v>3238</v>
      </c>
      <c r="B796" s="6" t="s">
        <v>3242</v>
      </c>
      <c r="C796" s="40" t="s">
        <v>3243</v>
      </c>
      <c r="D796" s="8"/>
      <c r="E796" s="8" t="s">
        <v>130</v>
      </c>
      <c r="F796" s="90">
        <v>3000.0</v>
      </c>
      <c r="G796" s="31" t="s">
        <v>3244</v>
      </c>
      <c r="H796" s="11" t="s">
        <v>44</v>
      </c>
      <c r="I796" s="41">
        <v>9.90301475E9</v>
      </c>
      <c r="J796" s="11" t="s">
        <v>25</v>
      </c>
      <c r="K796" s="12"/>
      <c r="L796" s="13"/>
      <c r="M796" s="14"/>
      <c r="N796" s="15"/>
      <c r="O796" s="5" t="s">
        <v>34</v>
      </c>
      <c r="P796" s="5" t="s">
        <v>209</v>
      </c>
      <c r="Q796" s="15"/>
      <c r="R796" s="16" t="s">
        <v>28</v>
      </c>
      <c r="S796" s="15"/>
      <c r="T796" s="15"/>
      <c r="U796" s="15"/>
      <c r="V796" s="15"/>
      <c r="W796" s="15"/>
      <c r="X796" s="15"/>
      <c r="Y796" s="15"/>
      <c r="Z796" s="15"/>
      <c r="AA796" s="15"/>
    </row>
    <row r="797">
      <c r="A797" s="5" t="s">
        <v>3245</v>
      </c>
      <c r="B797" s="6" t="s">
        <v>3246</v>
      </c>
      <c r="C797" s="40" t="s">
        <v>3247</v>
      </c>
      <c r="D797" s="8"/>
      <c r="E797" s="8" t="s">
        <v>357</v>
      </c>
      <c r="F797" s="90">
        <v>1000.0</v>
      </c>
      <c r="G797" s="31" t="s">
        <v>3248</v>
      </c>
      <c r="H797" s="11" t="s">
        <v>3249</v>
      </c>
      <c r="I797" s="41">
        <v>9.06472617E9</v>
      </c>
      <c r="J797" s="11" t="s">
        <v>25</v>
      </c>
      <c r="K797" s="12"/>
      <c r="L797" s="13"/>
      <c r="M797" s="14"/>
      <c r="N797" s="15"/>
      <c r="O797" s="5" t="s">
        <v>34</v>
      </c>
      <c r="P797" s="5" t="s">
        <v>209</v>
      </c>
      <c r="Q797" s="5" t="s">
        <v>727</v>
      </c>
      <c r="R797" s="16" t="s">
        <v>723</v>
      </c>
      <c r="S797" s="15"/>
      <c r="T797" s="15"/>
      <c r="U797" s="15"/>
      <c r="V797" s="15"/>
      <c r="W797" s="15"/>
      <c r="X797" s="15"/>
      <c r="Y797" s="15"/>
      <c r="Z797" s="15"/>
      <c r="AA797" s="15"/>
    </row>
    <row r="798">
      <c r="A798" s="5" t="s">
        <v>3245</v>
      </c>
      <c r="B798" s="6" t="s">
        <v>3250</v>
      </c>
      <c r="C798" s="40" t="s">
        <v>3251</v>
      </c>
      <c r="D798" s="8"/>
      <c r="E798" s="8" t="s">
        <v>53</v>
      </c>
      <c r="F798" s="9">
        <v>125000.0</v>
      </c>
      <c r="G798" s="31" t="s">
        <v>3252</v>
      </c>
      <c r="H798" s="11" t="s">
        <v>44</v>
      </c>
      <c r="I798" s="41">
        <v>9.87478727E9</v>
      </c>
      <c r="J798" s="11" t="s">
        <v>25</v>
      </c>
      <c r="K798" s="12" t="s">
        <v>1672</v>
      </c>
      <c r="L798" s="13"/>
      <c r="M798" s="14"/>
      <c r="N798" s="15"/>
      <c r="O798" s="5" t="s">
        <v>26</v>
      </c>
      <c r="P798" s="5" t="s">
        <v>3253</v>
      </c>
      <c r="Q798" s="15"/>
      <c r="R798" s="16" t="s">
        <v>28</v>
      </c>
      <c r="S798" s="15"/>
      <c r="T798" s="15"/>
      <c r="U798" s="15"/>
      <c r="V798" s="15"/>
      <c r="W798" s="15"/>
      <c r="X798" s="15"/>
      <c r="Y798" s="15"/>
      <c r="Z798" s="15"/>
      <c r="AA798" s="15"/>
    </row>
    <row r="799">
      <c r="A799" s="5" t="s">
        <v>3245</v>
      </c>
      <c r="B799" s="6" t="s">
        <v>3254</v>
      </c>
      <c r="C799" s="40" t="s">
        <v>3255</v>
      </c>
      <c r="D799" s="8"/>
      <c r="E799" s="8" t="s">
        <v>77</v>
      </c>
      <c r="F799" s="90">
        <v>3000.0</v>
      </c>
      <c r="G799" s="31" t="s">
        <v>3256</v>
      </c>
      <c r="H799" s="11" t="s">
        <v>3257</v>
      </c>
      <c r="I799" s="41">
        <v>6.29712318E9</v>
      </c>
      <c r="J799" s="11" t="s">
        <v>25</v>
      </c>
      <c r="K799" s="12"/>
      <c r="L799" s="13"/>
      <c r="M799" s="14"/>
      <c r="N799" s="15"/>
      <c r="O799" s="5" t="s">
        <v>26</v>
      </c>
      <c r="P799" s="5"/>
      <c r="Q799" s="15"/>
      <c r="R799" s="16" t="s">
        <v>28</v>
      </c>
      <c r="S799" s="15"/>
      <c r="T799" s="15"/>
      <c r="U799" s="15"/>
      <c r="V799" s="15"/>
      <c r="W799" s="15"/>
      <c r="X799" s="15"/>
      <c r="Y799" s="15"/>
      <c r="Z799" s="15"/>
      <c r="AA799" s="15"/>
    </row>
    <row r="800">
      <c r="A800" s="5" t="s">
        <v>3245</v>
      </c>
      <c r="B800" s="6" t="s">
        <v>3258</v>
      </c>
      <c r="C800" s="40" t="s">
        <v>1612</v>
      </c>
      <c r="D800" s="8"/>
      <c r="E800" s="8" t="s">
        <v>960</v>
      </c>
      <c r="F800" s="90">
        <v>500.0</v>
      </c>
      <c r="G800" s="31" t="s">
        <v>3259</v>
      </c>
      <c r="H800" s="11" t="s">
        <v>44</v>
      </c>
      <c r="I800" s="41">
        <v>7.980502567E9</v>
      </c>
      <c r="J800" s="11" t="s">
        <v>25</v>
      </c>
      <c r="K800" s="12"/>
      <c r="L800" s="13"/>
      <c r="M800" s="14"/>
      <c r="N800" s="15"/>
      <c r="O800" s="5" t="s">
        <v>34</v>
      </c>
      <c r="P800" s="5" t="s">
        <v>1751</v>
      </c>
      <c r="Q800" s="15"/>
      <c r="R800" s="16" t="s">
        <v>28</v>
      </c>
      <c r="S800" s="15"/>
      <c r="T800" s="15"/>
      <c r="U800" s="15"/>
      <c r="V800" s="15"/>
      <c r="W800" s="15"/>
      <c r="X800" s="15"/>
      <c r="Y800" s="15"/>
      <c r="Z800" s="15"/>
      <c r="AA800" s="15"/>
    </row>
    <row r="801">
      <c r="A801" s="5" t="s">
        <v>3245</v>
      </c>
      <c r="B801" s="6" t="s">
        <v>3260</v>
      </c>
      <c r="C801" s="40" t="s">
        <v>3261</v>
      </c>
      <c r="D801" s="8"/>
      <c r="E801" s="8" t="s">
        <v>3262</v>
      </c>
      <c r="F801" s="90">
        <v>200.0</v>
      </c>
      <c r="G801" s="31" t="s">
        <v>3263</v>
      </c>
      <c r="H801" s="11" t="s">
        <v>44</v>
      </c>
      <c r="I801" s="41">
        <v>7.686929334E9</v>
      </c>
      <c r="J801" s="11" t="s">
        <v>25</v>
      </c>
      <c r="K801" s="12"/>
      <c r="L801" s="13"/>
      <c r="M801" s="14"/>
      <c r="N801" s="15"/>
      <c r="O801" s="5" t="s">
        <v>26</v>
      </c>
      <c r="P801" s="5"/>
      <c r="Q801" s="15"/>
      <c r="R801" s="16" t="s">
        <v>28</v>
      </c>
      <c r="S801" s="15"/>
      <c r="T801" s="15"/>
      <c r="U801" s="15"/>
      <c r="V801" s="15"/>
      <c r="W801" s="15"/>
      <c r="X801" s="15"/>
      <c r="Y801" s="15"/>
      <c r="Z801" s="15"/>
      <c r="AA801" s="15"/>
    </row>
    <row r="802">
      <c r="A802" s="5" t="s">
        <v>3245</v>
      </c>
      <c r="B802" s="6" t="s">
        <v>3264</v>
      </c>
      <c r="C802" s="40" t="s">
        <v>3265</v>
      </c>
      <c r="D802" s="8"/>
      <c r="E802" s="8" t="s">
        <v>3266</v>
      </c>
      <c r="F802" s="90">
        <v>1500.0</v>
      </c>
      <c r="G802" s="25"/>
      <c r="H802" s="11" t="s">
        <v>288</v>
      </c>
      <c r="I802" s="41">
        <v>6.297729203E9</v>
      </c>
      <c r="J802" s="11" t="s">
        <v>25</v>
      </c>
      <c r="K802" s="12" t="s">
        <v>3267</v>
      </c>
      <c r="L802" s="13"/>
      <c r="M802" s="14"/>
      <c r="N802" s="15"/>
      <c r="O802" s="5" t="s">
        <v>26</v>
      </c>
      <c r="P802" s="5" t="s">
        <v>3268</v>
      </c>
      <c r="Q802" s="15"/>
      <c r="R802" s="16" t="s">
        <v>28</v>
      </c>
      <c r="S802" s="15"/>
      <c r="T802" s="15"/>
      <c r="U802" s="15"/>
      <c r="V802" s="15"/>
      <c r="W802" s="15"/>
      <c r="X802" s="15"/>
      <c r="Y802" s="15"/>
      <c r="Z802" s="15"/>
      <c r="AA802" s="15"/>
    </row>
    <row r="803">
      <c r="A803" s="5" t="s">
        <v>3245</v>
      </c>
      <c r="B803" s="6" t="s">
        <v>3269</v>
      </c>
      <c r="C803" s="40" t="s">
        <v>3270</v>
      </c>
      <c r="D803" s="8"/>
      <c r="E803" s="8" t="s">
        <v>43</v>
      </c>
      <c r="F803" s="9">
        <v>15000.0</v>
      </c>
      <c r="G803" s="25"/>
      <c r="H803" s="11" t="s">
        <v>3271</v>
      </c>
      <c r="I803" s="41">
        <v>9.641550457E9</v>
      </c>
      <c r="J803" s="11" t="s">
        <v>25</v>
      </c>
      <c r="K803" s="12"/>
      <c r="L803" s="13"/>
      <c r="M803" s="14"/>
      <c r="N803" s="15"/>
      <c r="O803" s="5" t="s">
        <v>34</v>
      </c>
      <c r="P803" s="11" t="s">
        <v>1436</v>
      </c>
      <c r="Q803" s="5"/>
      <c r="R803" s="16" t="s">
        <v>551</v>
      </c>
      <c r="S803" s="15"/>
      <c r="T803" s="15"/>
      <c r="U803" s="15"/>
      <c r="V803" s="15"/>
      <c r="W803" s="15"/>
      <c r="X803" s="15"/>
      <c r="Y803" s="15"/>
      <c r="Z803" s="15"/>
      <c r="AA803" s="15"/>
    </row>
    <row r="804">
      <c r="A804" s="5" t="s">
        <v>3272</v>
      </c>
      <c r="B804" s="6" t="s">
        <v>3273</v>
      </c>
      <c r="C804" s="40" t="s">
        <v>3274</v>
      </c>
      <c r="D804" s="8"/>
      <c r="E804" s="8" t="s">
        <v>97</v>
      </c>
      <c r="F804" s="9">
        <v>10000.0</v>
      </c>
      <c r="G804" s="31" t="s">
        <v>3275</v>
      </c>
      <c r="H804" s="11" t="s">
        <v>44</v>
      </c>
      <c r="I804" s="41">
        <v>9.051392135E9</v>
      </c>
      <c r="J804" s="11" t="s">
        <v>25</v>
      </c>
      <c r="K804" s="12"/>
      <c r="L804" s="13"/>
      <c r="M804" s="14"/>
      <c r="N804" s="15"/>
      <c r="O804" s="5" t="s">
        <v>34</v>
      </c>
      <c r="P804" s="5" t="s">
        <v>3276</v>
      </c>
      <c r="Q804" s="15"/>
      <c r="R804" s="16" t="s">
        <v>28</v>
      </c>
      <c r="S804" s="15"/>
      <c r="T804" s="15"/>
      <c r="U804" s="15"/>
      <c r="V804" s="15"/>
      <c r="W804" s="15"/>
      <c r="X804" s="15"/>
      <c r="Y804" s="15"/>
      <c r="Z804" s="15"/>
      <c r="AA804" s="15"/>
    </row>
    <row r="805">
      <c r="A805" s="5" t="s">
        <v>3272</v>
      </c>
      <c r="B805" s="6" t="s">
        <v>3277</v>
      </c>
      <c r="C805" s="40" t="s">
        <v>3278</v>
      </c>
      <c r="D805" s="8"/>
      <c r="E805" s="8" t="s">
        <v>841</v>
      </c>
      <c r="F805" s="90">
        <v>7500.0</v>
      </c>
      <c r="G805" s="31" t="s">
        <v>3279</v>
      </c>
      <c r="H805" s="11" t="s">
        <v>44</v>
      </c>
      <c r="I805" s="41">
        <v>9.708478632E9</v>
      </c>
      <c r="J805" s="11" t="s">
        <v>25</v>
      </c>
      <c r="K805" s="12"/>
      <c r="L805" s="13"/>
      <c r="M805" s="14"/>
      <c r="N805" s="15"/>
      <c r="O805" s="5" t="s">
        <v>26</v>
      </c>
      <c r="P805" s="5" t="s">
        <v>3280</v>
      </c>
      <c r="Q805" s="15"/>
      <c r="R805" s="16" t="s">
        <v>28</v>
      </c>
      <c r="S805" s="15"/>
      <c r="T805" s="15"/>
      <c r="U805" s="15"/>
      <c r="V805" s="15"/>
      <c r="W805" s="15"/>
      <c r="X805" s="15"/>
      <c r="Y805" s="15"/>
      <c r="Z805" s="15"/>
      <c r="AA805" s="15"/>
    </row>
    <row r="806">
      <c r="A806" s="5" t="s">
        <v>3281</v>
      </c>
      <c r="B806" s="6" t="s">
        <v>3282</v>
      </c>
      <c r="C806" s="40" t="s">
        <v>3283</v>
      </c>
      <c r="D806" s="8"/>
      <c r="E806" s="8" t="s">
        <v>1629</v>
      </c>
      <c r="F806" s="90">
        <v>5000.0</v>
      </c>
      <c r="G806" s="31" t="s">
        <v>3284</v>
      </c>
      <c r="H806" s="11" t="s">
        <v>1337</v>
      </c>
      <c r="I806" s="41">
        <v>9.864035745E9</v>
      </c>
      <c r="J806" s="11" t="s">
        <v>25</v>
      </c>
      <c r="K806" s="12"/>
      <c r="L806" s="13"/>
      <c r="M806" s="14"/>
      <c r="N806" s="15"/>
      <c r="O806" s="5" t="s">
        <v>34</v>
      </c>
      <c r="P806" s="5" t="s">
        <v>55</v>
      </c>
      <c r="Q806" s="15"/>
      <c r="R806" s="16" t="s">
        <v>28</v>
      </c>
      <c r="S806" s="15"/>
      <c r="T806" s="15"/>
      <c r="U806" s="15"/>
      <c r="V806" s="15"/>
      <c r="W806" s="15"/>
      <c r="X806" s="15"/>
      <c r="Y806" s="15"/>
      <c r="Z806" s="15"/>
      <c r="AA806" s="15"/>
    </row>
    <row r="807">
      <c r="A807" s="5" t="s">
        <v>3281</v>
      </c>
      <c r="B807" s="6" t="s">
        <v>3285</v>
      </c>
      <c r="C807" s="40" t="s">
        <v>3286</v>
      </c>
      <c r="D807" s="8"/>
      <c r="E807" s="8" t="s">
        <v>116</v>
      </c>
      <c r="F807" s="9">
        <v>20000.0</v>
      </c>
      <c r="G807" s="25"/>
      <c r="H807" s="11" t="s">
        <v>44</v>
      </c>
      <c r="I807" s="41">
        <v>9.060573649E9</v>
      </c>
      <c r="J807" s="11" t="s">
        <v>25</v>
      </c>
      <c r="K807" s="12"/>
      <c r="L807" s="13"/>
      <c r="M807" s="14"/>
      <c r="N807" s="15"/>
      <c r="O807" s="5" t="s">
        <v>26</v>
      </c>
      <c r="P807" s="5" t="s">
        <v>3287</v>
      </c>
      <c r="Q807" s="15"/>
      <c r="R807" s="16" t="s">
        <v>28</v>
      </c>
      <c r="S807" s="15"/>
      <c r="T807" s="15"/>
      <c r="U807" s="15"/>
      <c r="V807" s="15"/>
      <c r="W807" s="15"/>
      <c r="X807" s="15"/>
      <c r="Y807" s="15"/>
      <c r="Z807" s="15"/>
      <c r="AA807" s="15"/>
    </row>
    <row r="808">
      <c r="A808" s="5" t="s">
        <v>3281</v>
      </c>
      <c r="B808" s="6" t="s">
        <v>3288</v>
      </c>
      <c r="C808" s="36" t="s">
        <v>3289</v>
      </c>
      <c r="D808" s="96"/>
      <c r="E808" s="96" t="s">
        <v>357</v>
      </c>
      <c r="F808" s="90">
        <v>30000.0</v>
      </c>
      <c r="G808" s="85" t="s">
        <v>3290</v>
      </c>
      <c r="H808" s="11" t="s">
        <v>1561</v>
      </c>
      <c r="I808" s="79">
        <v>9.474013762E9</v>
      </c>
      <c r="J808" s="11" t="s">
        <v>25</v>
      </c>
      <c r="K808" s="12" t="s">
        <v>3291</v>
      </c>
      <c r="L808" s="13"/>
      <c r="M808" s="14"/>
      <c r="N808" s="15"/>
      <c r="O808" s="5" t="s">
        <v>810</v>
      </c>
      <c r="P808" s="5" t="s">
        <v>957</v>
      </c>
      <c r="Q808" s="15"/>
      <c r="R808" s="16"/>
      <c r="S808" s="15"/>
      <c r="T808" s="15"/>
      <c r="U808" s="15"/>
      <c r="V808" s="15"/>
      <c r="W808" s="15"/>
      <c r="X808" s="15"/>
      <c r="Y808" s="15"/>
      <c r="Z808" s="15"/>
      <c r="AA808" s="15"/>
    </row>
    <row r="809">
      <c r="A809" s="5" t="s">
        <v>3292</v>
      </c>
      <c r="B809" s="6" t="s">
        <v>3293</v>
      </c>
      <c r="C809" s="40" t="s">
        <v>3294</v>
      </c>
      <c r="D809" s="8"/>
      <c r="E809" s="8" t="s">
        <v>130</v>
      </c>
      <c r="F809" s="9">
        <v>20000.0</v>
      </c>
      <c r="G809" s="31" t="s">
        <v>3295</v>
      </c>
      <c r="H809" s="11" t="s">
        <v>495</v>
      </c>
      <c r="I809" s="41">
        <v>9.334403119E9</v>
      </c>
      <c r="J809" s="11" t="s">
        <v>25</v>
      </c>
      <c r="K809" s="12"/>
      <c r="L809" s="13"/>
      <c r="M809" s="14"/>
      <c r="N809" s="15"/>
      <c r="O809" s="5" t="s">
        <v>34</v>
      </c>
      <c r="P809" s="5" t="s">
        <v>957</v>
      </c>
      <c r="Q809" s="15"/>
      <c r="R809" s="16" t="s">
        <v>28</v>
      </c>
      <c r="S809" s="15"/>
      <c r="T809" s="15"/>
      <c r="U809" s="15"/>
      <c r="V809" s="15"/>
      <c r="W809" s="15"/>
      <c r="X809" s="15"/>
      <c r="Y809" s="15"/>
      <c r="Z809" s="15"/>
      <c r="AA809" s="15"/>
    </row>
    <row r="810">
      <c r="A810" s="5" t="s">
        <v>3292</v>
      </c>
      <c r="B810" s="6" t="s">
        <v>3296</v>
      </c>
      <c r="C810" s="40" t="s">
        <v>3297</v>
      </c>
      <c r="D810" s="8"/>
      <c r="E810" s="8" t="s">
        <v>3298</v>
      </c>
      <c r="F810" s="9">
        <v>20000.0</v>
      </c>
      <c r="G810" s="31" t="s">
        <v>3299</v>
      </c>
      <c r="H810" s="11" t="s">
        <v>3300</v>
      </c>
      <c r="I810" s="41">
        <v>8.145172041E9</v>
      </c>
      <c r="J810" s="11" t="s">
        <v>25</v>
      </c>
      <c r="K810" s="12"/>
      <c r="L810" s="13"/>
      <c r="M810" s="14"/>
      <c r="N810" s="15"/>
      <c r="O810" s="5" t="s">
        <v>26</v>
      </c>
      <c r="P810" s="5"/>
      <c r="Q810" s="15"/>
      <c r="R810" s="16" t="s">
        <v>28</v>
      </c>
      <c r="S810" s="15"/>
      <c r="T810" s="15"/>
      <c r="U810" s="15"/>
      <c r="V810" s="15"/>
      <c r="W810" s="15"/>
      <c r="X810" s="15"/>
      <c r="Y810" s="15"/>
      <c r="Z810" s="15"/>
      <c r="AA810" s="15"/>
    </row>
    <row r="811">
      <c r="A811" s="5" t="s">
        <v>3292</v>
      </c>
      <c r="B811" s="6" t="s">
        <v>3301</v>
      </c>
      <c r="C811" s="36" t="s">
        <v>3302</v>
      </c>
      <c r="D811" s="75"/>
      <c r="E811" s="8" t="s">
        <v>130</v>
      </c>
      <c r="F811" s="90">
        <v>25000.0</v>
      </c>
      <c r="G811" s="31" t="s">
        <v>3303</v>
      </c>
      <c r="H811" s="48" t="s">
        <v>3304</v>
      </c>
      <c r="I811" s="79">
        <v>9.874997033E9</v>
      </c>
      <c r="J811" s="11" t="s">
        <v>25</v>
      </c>
      <c r="K811" s="12"/>
      <c r="L811" s="13"/>
      <c r="M811" s="11" t="s">
        <v>3305</v>
      </c>
      <c r="N811" s="15"/>
      <c r="O811" s="5" t="s">
        <v>26</v>
      </c>
      <c r="P811" s="5" t="s">
        <v>957</v>
      </c>
      <c r="Q811" s="15"/>
      <c r="R811" s="16" t="s">
        <v>28</v>
      </c>
      <c r="S811" s="15"/>
      <c r="T811" s="15"/>
      <c r="U811" s="15"/>
      <c r="V811" s="15"/>
      <c r="W811" s="15"/>
      <c r="X811" s="15"/>
      <c r="Y811" s="15"/>
      <c r="Z811" s="15"/>
      <c r="AA811" s="15"/>
    </row>
    <row r="812">
      <c r="A812" s="5" t="s">
        <v>3292</v>
      </c>
      <c r="B812" s="6" t="s">
        <v>3306</v>
      </c>
      <c r="C812" s="40" t="s">
        <v>3307</v>
      </c>
      <c r="D812" s="8"/>
      <c r="E812" s="8" t="s">
        <v>130</v>
      </c>
      <c r="F812" s="90">
        <v>5000.0</v>
      </c>
      <c r="G812" s="25" t="s">
        <v>3308</v>
      </c>
      <c r="H812" s="11" t="s">
        <v>99</v>
      </c>
      <c r="I812" s="41">
        <v>9.337620192E9</v>
      </c>
      <c r="J812" s="11" t="s">
        <v>25</v>
      </c>
      <c r="K812" s="12"/>
      <c r="L812" s="13"/>
      <c r="M812" s="11" t="s">
        <v>3305</v>
      </c>
      <c r="N812" s="15"/>
      <c r="O812" s="5" t="s">
        <v>34</v>
      </c>
      <c r="P812" s="5" t="s">
        <v>3309</v>
      </c>
      <c r="Q812" s="15"/>
      <c r="R812" s="16" t="s">
        <v>551</v>
      </c>
      <c r="S812" s="15"/>
      <c r="T812" s="15"/>
      <c r="U812" s="15"/>
      <c r="V812" s="15"/>
      <c r="W812" s="15"/>
      <c r="X812" s="15"/>
      <c r="Y812" s="15"/>
      <c r="Z812" s="15"/>
      <c r="AA812" s="15"/>
    </row>
    <row r="813">
      <c r="A813" s="5" t="s">
        <v>3292</v>
      </c>
      <c r="B813" s="6" t="s">
        <v>3310</v>
      </c>
      <c r="C813" s="40" t="s">
        <v>3311</v>
      </c>
      <c r="D813" s="8"/>
      <c r="E813" s="8" t="s">
        <v>235</v>
      </c>
      <c r="F813" s="90">
        <v>500.0</v>
      </c>
      <c r="G813" s="31" t="s">
        <v>3312</v>
      </c>
      <c r="H813" s="11" t="s">
        <v>3313</v>
      </c>
      <c r="I813" s="41">
        <v>9.933623508E9</v>
      </c>
      <c r="J813" s="11" t="s">
        <v>25</v>
      </c>
      <c r="K813" s="12" t="s">
        <v>2084</v>
      </c>
      <c r="L813" s="13"/>
      <c r="M813" s="14"/>
      <c r="N813" s="15"/>
      <c r="O813" s="5" t="s">
        <v>26</v>
      </c>
      <c r="P813" s="5" t="s">
        <v>2537</v>
      </c>
      <c r="Q813" s="15"/>
      <c r="R813" s="16" t="s">
        <v>28</v>
      </c>
      <c r="S813" s="15"/>
      <c r="T813" s="15"/>
      <c r="U813" s="15"/>
      <c r="V813" s="15"/>
      <c r="W813" s="15"/>
      <c r="X813" s="15"/>
      <c r="Y813" s="15"/>
      <c r="Z813" s="15"/>
      <c r="AA813" s="15"/>
    </row>
    <row r="814">
      <c r="A814" s="5" t="s">
        <v>3292</v>
      </c>
      <c r="B814" s="6" t="s">
        <v>3314</v>
      </c>
      <c r="C814" s="40" t="s">
        <v>3315</v>
      </c>
      <c r="D814" s="8"/>
      <c r="E814" s="8" t="s">
        <v>130</v>
      </c>
      <c r="F814" s="90">
        <v>300.0</v>
      </c>
      <c r="G814" s="31" t="s">
        <v>3316</v>
      </c>
      <c r="H814" s="11" t="s">
        <v>184</v>
      </c>
      <c r="I814" s="41">
        <v>9.334309816E9</v>
      </c>
      <c r="J814" s="11" t="s">
        <v>25</v>
      </c>
      <c r="K814" s="12"/>
      <c r="L814" s="13"/>
      <c r="M814" s="14"/>
      <c r="N814" s="15"/>
      <c r="O814" s="5" t="s">
        <v>26</v>
      </c>
      <c r="P814" s="5"/>
      <c r="Q814" s="15"/>
      <c r="R814" s="16" t="s">
        <v>28</v>
      </c>
      <c r="S814" s="15"/>
      <c r="T814" s="15"/>
      <c r="U814" s="15"/>
      <c r="V814" s="15"/>
      <c r="W814" s="15"/>
      <c r="X814" s="15"/>
      <c r="Y814" s="15"/>
      <c r="Z814" s="15"/>
      <c r="AA814" s="15"/>
    </row>
    <row r="815">
      <c r="A815" s="5" t="s">
        <v>3292</v>
      </c>
      <c r="B815" s="6" t="s">
        <v>3317</v>
      </c>
      <c r="C815" s="40" t="s">
        <v>3318</v>
      </c>
      <c r="D815" s="8"/>
      <c r="E815" s="8" t="s">
        <v>353</v>
      </c>
      <c r="F815" s="90">
        <v>500.0</v>
      </c>
      <c r="G815" s="25"/>
      <c r="H815" s="11" t="s">
        <v>184</v>
      </c>
      <c r="I815" s="41">
        <v>9.304225582E9</v>
      </c>
      <c r="J815" s="11" t="s">
        <v>25</v>
      </c>
      <c r="K815" s="12"/>
      <c r="L815" s="13"/>
      <c r="M815" s="14"/>
      <c r="N815" s="15"/>
      <c r="O815" s="5" t="s">
        <v>26</v>
      </c>
      <c r="P815" s="5"/>
      <c r="Q815" s="15"/>
      <c r="R815" s="16" t="s">
        <v>28</v>
      </c>
      <c r="S815" s="15"/>
      <c r="T815" s="15"/>
      <c r="U815" s="15"/>
      <c r="V815" s="15"/>
      <c r="W815" s="15"/>
      <c r="X815" s="15"/>
      <c r="Y815" s="15"/>
      <c r="Z815" s="15"/>
      <c r="AA815" s="15"/>
    </row>
    <row r="816">
      <c r="A816" s="5" t="s">
        <v>3319</v>
      </c>
      <c r="B816" s="6" t="s">
        <v>3320</v>
      </c>
      <c r="C816" s="40" t="s">
        <v>3321</v>
      </c>
      <c r="D816" s="8"/>
      <c r="E816" s="8" t="s">
        <v>3193</v>
      </c>
      <c r="F816" s="90">
        <v>500.0</v>
      </c>
      <c r="G816" s="31" t="s">
        <v>3322</v>
      </c>
      <c r="H816" s="11" t="s">
        <v>44</v>
      </c>
      <c r="I816" s="41">
        <v>9.830160949E9</v>
      </c>
      <c r="J816" s="11" t="s">
        <v>25</v>
      </c>
      <c r="K816" s="12"/>
      <c r="L816" s="13"/>
      <c r="M816" s="11" t="s">
        <v>1962</v>
      </c>
      <c r="N816" s="15"/>
      <c r="O816" s="5" t="s">
        <v>26</v>
      </c>
      <c r="P816" s="5"/>
      <c r="Q816" s="15"/>
      <c r="R816" s="16" t="s">
        <v>28</v>
      </c>
      <c r="S816" s="15"/>
      <c r="T816" s="15"/>
      <c r="U816" s="15"/>
      <c r="V816" s="15"/>
      <c r="W816" s="15"/>
      <c r="X816" s="15"/>
      <c r="Y816" s="15"/>
      <c r="Z816" s="15"/>
      <c r="AA816" s="15"/>
    </row>
    <row r="817">
      <c r="A817" s="5" t="s">
        <v>3323</v>
      </c>
      <c r="B817" s="6" t="s">
        <v>3324</v>
      </c>
      <c r="C817" s="40" t="s">
        <v>3325</v>
      </c>
      <c r="D817" s="8"/>
      <c r="E817" s="8" t="s">
        <v>43</v>
      </c>
      <c r="F817" s="90">
        <v>1600.0</v>
      </c>
      <c r="G817" s="25" t="s">
        <v>3326</v>
      </c>
      <c r="H817" s="11" t="s">
        <v>44</v>
      </c>
      <c r="I817" s="41">
        <v>9.874553111E9</v>
      </c>
      <c r="J817" s="11" t="s">
        <v>25</v>
      </c>
      <c r="K817" s="12"/>
      <c r="L817" s="13"/>
      <c r="M817" s="14"/>
      <c r="N817" s="15"/>
      <c r="O817" s="5" t="s">
        <v>34</v>
      </c>
      <c r="P817" s="5" t="s">
        <v>1697</v>
      </c>
      <c r="Q817" s="15"/>
      <c r="R817" s="16" t="s">
        <v>28</v>
      </c>
      <c r="S817" s="15"/>
      <c r="T817" s="15"/>
      <c r="U817" s="15"/>
      <c r="V817" s="15"/>
      <c r="W817" s="15"/>
      <c r="X817" s="15"/>
      <c r="Y817" s="15"/>
      <c r="Z817" s="15"/>
      <c r="AA817" s="15"/>
    </row>
    <row r="818">
      <c r="A818" s="5" t="s">
        <v>3323</v>
      </c>
      <c r="B818" s="6" t="s">
        <v>3327</v>
      </c>
      <c r="C818" s="40" t="s">
        <v>3328</v>
      </c>
      <c r="D818" s="8"/>
      <c r="E818" s="8" t="s">
        <v>1217</v>
      </c>
      <c r="F818" s="90">
        <v>2000.0</v>
      </c>
      <c r="G818" s="31" t="s">
        <v>3329</v>
      </c>
      <c r="H818" s="11" t="s">
        <v>495</v>
      </c>
      <c r="I818" s="41" t="s">
        <v>3330</v>
      </c>
      <c r="J818" s="11" t="s">
        <v>25</v>
      </c>
      <c r="K818" s="12"/>
      <c r="L818" s="13"/>
      <c r="M818" s="14"/>
      <c r="N818" s="15"/>
      <c r="O818" s="5" t="s">
        <v>26</v>
      </c>
      <c r="P818" s="5"/>
      <c r="Q818" s="15"/>
      <c r="R818" s="16" t="s">
        <v>28</v>
      </c>
      <c r="S818" s="15"/>
      <c r="T818" s="15"/>
      <c r="U818" s="15"/>
      <c r="V818" s="15"/>
      <c r="W818" s="15"/>
      <c r="X818" s="15"/>
      <c r="Y818" s="15"/>
      <c r="Z818" s="15"/>
      <c r="AA818" s="15"/>
    </row>
    <row r="819">
      <c r="A819" s="5" t="s">
        <v>3323</v>
      </c>
      <c r="B819" s="6" t="s">
        <v>3331</v>
      </c>
      <c r="C819" s="40" t="s">
        <v>3332</v>
      </c>
      <c r="D819" s="8"/>
      <c r="E819" s="8" t="s">
        <v>1520</v>
      </c>
      <c r="F819" s="90">
        <v>2000.0</v>
      </c>
      <c r="G819" s="31" t="s">
        <v>3333</v>
      </c>
      <c r="H819" s="11" t="s">
        <v>158</v>
      </c>
      <c r="I819" s="97">
        <v>8.768822285E9</v>
      </c>
      <c r="J819" s="11" t="s">
        <v>25</v>
      </c>
      <c r="K819" s="12"/>
      <c r="L819" s="13"/>
      <c r="M819" s="14"/>
      <c r="N819" s="15"/>
      <c r="O819" s="5" t="s">
        <v>26</v>
      </c>
      <c r="P819" s="5" t="s">
        <v>79</v>
      </c>
      <c r="Q819" s="15"/>
      <c r="R819" s="16" t="s">
        <v>28</v>
      </c>
      <c r="S819" s="15"/>
      <c r="T819" s="15"/>
      <c r="U819" s="15"/>
      <c r="V819" s="15"/>
      <c r="W819" s="15"/>
      <c r="X819" s="15"/>
      <c r="Y819" s="15"/>
      <c r="Z819" s="15"/>
      <c r="AA819" s="15"/>
    </row>
    <row r="820">
      <c r="A820" s="5" t="s">
        <v>3323</v>
      </c>
      <c r="B820" s="6" t="s">
        <v>3334</v>
      </c>
      <c r="C820" s="40" t="s">
        <v>3335</v>
      </c>
      <c r="D820" s="8"/>
      <c r="E820" s="8" t="s">
        <v>116</v>
      </c>
      <c r="F820" s="90"/>
      <c r="G820" s="31" t="s">
        <v>3336</v>
      </c>
      <c r="H820" s="11" t="s">
        <v>44</v>
      </c>
      <c r="I820" s="97">
        <v>9.433189264E9</v>
      </c>
      <c r="J820" s="11" t="s">
        <v>25</v>
      </c>
      <c r="K820" s="12"/>
      <c r="L820" s="13"/>
      <c r="M820" s="14"/>
      <c r="N820" s="15"/>
      <c r="O820" s="5" t="s">
        <v>26</v>
      </c>
      <c r="P820" s="5" t="s">
        <v>3337</v>
      </c>
      <c r="Q820" s="15"/>
      <c r="R820" s="16" t="s">
        <v>28</v>
      </c>
      <c r="S820" s="15"/>
      <c r="T820" s="15"/>
      <c r="U820" s="15"/>
      <c r="V820" s="15"/>
      <c r="W820" s="15"/>
      <c r="X820" s="15"/>
      <c r="Y820" s="15"/>
      <c r="Z820" s="15"/>
      <c r="AA820" s="15"/>
    </row>
    <row r="821">
      <c r="A821" s="5" t="s">
        <v>3338</v>
      </c>
      <c r="B821" s="6" t="s">
        <v>3339</v>
      </c>
      <c r="C821" s="40" t="s">
        <v>3340</v>
      </c>
      <c r="D821" s="8"/>
      <c r="E821" s="8" t="s">
        <v>3341</v>
      </c>
      <c r="F821" s="9">
        <v>40000.0</v>
      </c>
      <c r="G821" s="31" t="s">
        <v>3342</v>
      </c>
      <c r="H821" s="11" t="s">
        <v>158</v>
      </c>
      <c r="I821" s="97">
        <v>8.609462339E9</v>
      </c>
      <c r="J821" s="11" t="s">
        <v>25</v>
      </c>
      <c r="K821" s="12"/>
      <c r="L821" s="13"/>
      <c r="M821" s="11" t="s">
        <v>2355</v>
      </c>
      <c r="N821" s="15"/>
      <c r="O821" s="5" t="s">
        <v>26</v>
      </c>
      <c r="P821" s="5" t="s">
        <v>3343</v>
      </c>
      <c r="Q821" s="15"/>
      <c r="R821" s="16" t="s">
        <v>28</v>
      </c>
      <c r="S821" s="15"/>
      <c r="T821" s="15"/>
      <c r="U821" s="15"/>
      <c r="V821" s="15"/>
      <c r="W821" s="15"/>
      <c r="X821" s="15"/>
      <c r="Y821" s="15"/>
      <c r="Z821" s="15"/>
      <c r="AA821" s="15"/>
    </row>
    <row r="822">
      <c r="A822" s="5" t="s">
        <v>3338</v>
      </c>
      <c r="B822" s="6" t="s">
        <v>3344</v>
      </c>
      <c r="C822" s="40" t="s">
        <v>3345</v>
      </c>
      <c r="D822" s="8"/>
      <c r="E822" s="8" t="s">
        <v>1217</v>
      </c>
      <c r="F822" s="90">
        <v>400.0</v>
      </c>
      <c r="G822" s="31" t="s">
        <v>3346</v>
      </c>
      <c r="H822" s="11" t="s">
        <v>99</v>
      </c>
      <c r="I822" s="97">
        <v>9.437580295E9</v>
      </c>
      <c r="J822" s="11" t="s">
        <v>25</v>
      </c>
      <c r="K822" s="12"/>
      <c r="L822" s="13"/>
      <c r="M822" s="14"/>
      <c r="N822" s="15"/>
      <c r="O822" s="5" t="s">
        <v>26</v>
      </c>
      <c r="P822" s="5"/>
      <c r="Q822" s="15"/>
      <c r="R822" s="16" t="s">
        <v>28</v>
      </c>
      <c r="S822" s="15"/>
      <c r="T822" s="15"/>
      <c r="U822" s="15"/>
      <c r="V822" s="15"/>
      <c r="W822" s="15"/>
      <c r="X822" s="15"/>
      <c r="Y822" s="15"/>
      <c r="Z822" s="15"/>
      <c r="AA822" s="15"/>
    </row>
    <row r="823">
      <c r="A823" s="5" t="s">
        <v>3347</v>
      </c>
      <c r="B823" s="6" t="s">
        <v>3348</v>
      </c>
      <c r="C823" s="40" t="s">
        <v>3349</v>
      </c>
      <c r="D823" s="8"/>
      <c r="E823" s="8" t="s">
        <v>1520</v>
      </c>
      <c r="F823" s="90">
        <v>1000.0</v>
      </c>
      <c r="G823" s="31" t="s">
        <v>3350</v>
      </c>
      <c r="H823" s="11" t="s">
        <v>44</v>
      </c>
      <c r="I823" s="97">
        <v>7.908792832E9</v>
      </c>
      <c r="J823" s="11" t="s">
        <v>25</v>
      </c>
      <c r="K823" s="12"/>
      <c r="L823" s="13"/>
      <c r="M823" s="14"/>
      <c r="N823" s="15"/>
      <c r="O823" s="5" t="s">
        <v>26</v>
      </c>
      <c r="P823" s="5"/>
      <c r="Q823" s="15"/>
      <c r="R823" s="16" t="s">
        <v>28</v>
      </c>
      <c r="S823" s="15"/>
      <c r="T823" s="15"/>
      <c r="U823" s="15"/>
      <c r="V823" s="15"/>
      <c r="W823" s="15"/>
      <c r="X823" s="15"/>
      <c r="Y823" s="15"/>
      <c r="Z823" s="15"/>
      <c r="AA823" s="15"/>
    </row>
    <row r="824">
      <c r="A824" s="5" t="s">
        <v>3347</v>
      </c>
      <c r="B824" s="6" t="s">
        <v>3351</v>
      </c>
      <c r="C824" s="40" t="s">
        <v>3352</v>
      </c>
      <c r="D824" s="8"/>
      <c r="E824" s="8" t="s">
        <v>1550</v>
      </c>
      <c r="F824" s="90">
        <v>500.0</v>
      </c>
      <c r="G824" s="97"/>
      <c r="H824" s="11" t="s">
        <v>44</v>
      </c>
      <c r="I824" s="97">
        <v>9.875537934E9</v>
      </c>
      <c r="J824" s="11" t="s">
        <v>25</v>
      </c>
      <c r="K824" s="12"/>
      <c r="L824" s="13"/>
      <c r="M824" s="14"/>
      <c r="N824" s="15"/>
      <c r="O824" s="5" t="s">
        <v>26</v>
      </c>
      <c r="P824" s="5"/>
      <c r="Q824" s="15"/>
      <c r="R824" s="16" t="s">
        <v>248</v>
      </c>
      <c r="S824" s="15"/>
      <c r="T824" s="15"/>
      <c r="U824" s="15"/>
      <c r="V824" s="15"/>
      <c r="W824" s="15"/>
      <c r="X824" s="15"/>
      <c r="Y824" s="15"/>
      <c r="Z824" s="15"/>
      <c r="AA824" s="15"/>
    </row>
    <row r="825">
      <c r="A825" s="5" t="s">
        <v>3347</v>
      </c>
      <c r="B825" s="6" t="s">
        <v>3353</v>
      </c>
      <c r="C825" s="40" t="s">
        <v>3354</v>
      </c>
      <c r="D825" s="8"/>
      <c r="E825" s="8" t="s">
        <v>576</v>
      </c>
      <c r="F825" s="9">
        <v>100000.0</v>
      </c>
      <c r="G825" s="97" t="s">
        <v>3355</v>
      </c>
      <c r="H825" s="11" t="s">
        <v>3304</v>
      </c>
      <c r="I825" s="97">
        <v>9.153126651E9</v>
      </c>
      <c r="J825" s="11" t="s">
        <v>25</v>
      </c>
      <c r="K825" s="12"/>
      <c r="L825" s="13"/>
      <c r="M825" s="11" t="s">
        <v>3356</v>
      </c>
      <c r="N825" s="15"/>
      <c r="O825" s="5" t="s">
        <v>34</v>
      </c>
      <c r="P825" s="5" t="s">
        <v>3357</v>
      </c>
      <c r="Q825" s="15"/>
      <c r="R825" s="16" t="s">
        <v>28</v>
      </c>
      <c r="S825" s="15"/>
      <c r="T825" s="15"/>
      <c r="U825" s="15"/>
      <c r="V825" s="15"/>
      <c r="W825" s="15"/>
      <c r="X825" s="15"/>
      <c r="Y825" s="15"/>
      <c r="Z825" s="15"/>
      <c r="AA825" s="15"/>
    </row>
    <row r="826">
      <c r="A826" s="5" t="s">
        <v>3347</v>
      </c>
      <c r="B826" s="6" t="s">
        <v>3358</v>
      </c>
      <c r="C826" s="40" t="s">
        <v>3359</v>
      </c>
      <c r="D826" s="8"/>
      <c r="E826" s="8" t="s">
        <v>1520</v>
      </c>
      <c r="F826" s="90">
        <v>1000.0</v>
      </c>
      <c r="G826" s="31" t="s">
        <v>3360</v>
      </c>
      <c r="H826" s="11" t="s">
        <v>3257</v>
      </c>
      <c r="I826" s="97">
        <v>6.29010966E8</v>
      </c>
      <c r="J826" s="11" t="s">
        <v>25</v>
      </c>
      <c r="K826" s="12"/>
      <c r="L826" s="13"/>
      <c r="M826" s="14"/>
      <c r="N826" s="15"/>
      <c r="O826" s="5" t="s">
        <v>26</v>
      </c>
      <c r="P826" s="5"/>
      <c r="Q826" s="15"/>
      <c r="R826" s="16" t="s">
        <v>28</v>
      </c>
      <c r="S826" s="15"/>
      <c r="T826" s="15"/>
      <c r="U826" s="15"/>
      <c r="V826" s="15"/>
      <c r="W826" s="15"/>
      <c r="X826" s="15"/>
      <c r="Y826" s="15"/>
      <c r="Z826" s="15"/>
      <c r="AA826" s="15"/>
    </row>
    <row r="827">
      <c r="A827" s="5" t="s">
        <v>3347</v>
      </c>
      <c r="B827" s="6" t="s">
        <v>3361</v>
      </c>
      <c r="C827" s="40" t="s">
        <v>3362</v>
      </c>
      <c r="D827" s="8"/>
      <c r="E827" s="8" t="s">
        <v>1396</v>
      </c>
      <c r="F827" s="9">
        <v>14000.0</v>
      </c>
      <c r="G827" s="31" t="s">
        <v>3363</v>
      </c>
      <c r="H827" s="11" t="s">
        <v>495</v>
      </c>
      <c r="I827" s="97">
        <v>9.954604138E9</v>
      </c>
      <c r="J827" s="11" t="s">
        <v>25</v>
      </c>
      <c r="K827" s="12"/>
      <c r="L827" s="13"/>
      <c r="M827" s="11" t="s">
        <v>3364</v>
      </c>
      <c r="N827" s="15"/>
      <c r="O827" s="5" t="s">
        <v>26</v>
      </c>
      <c r="P827" s="5" t="s">
        <v>1786</v>
      </c>
      <c r="Q827" s="15"/>
      <c r="R827" s="16" t="s">
        <v>28</v>
      </c>
      <c r="S827" s="15"/>
      <c r="T827" s="15"/>
      <c r="U827" s="15"/>
      <c r="V827" s="15"/>
      <c r="W827" s="15"/>
      <c r="X827" s="15"/>
      <c r="Y827" s="15"/>
      <c r="Z827" s="15"/>
      <c r="AA827" s="15"/>
    </row>
    <row r="828">
      <c r="A828" s="5" t="s">
        <v>3347</v>
      </c>
      <c r="B828" s="6" t="s">
        <v>3365</v>
      </c>
      <c r="C828" s="40" t="s">
        <v>3366</v>
      </c>
      <c r="D828" s="8"/>
      <c r="E828" s="8" t="s">
        <v>130</v>
      </c>
      <c r="F828" s="90">
        <v>400.0</v>
      </c>
      <c r="G828" s="31" t="s">
        <v>3367</v>
      </c>
      <c r="H828" s="11" t="s">
        <v>1414</v>
      </c>
      <c r="I828" s="41" t="s">
        <v>3368</v>
      </c>
      <c r="J828" s="11" t="s">
        <v>25</v>
      </c>
      <c r="K828" s="12"/>
      <c r="L828" s="13"/>
      <c r="M828" s="11" t="s">
        <v>3369</v>
      </c>
      <c r="N828" s="15"/>
      <c r="O828" s="5" t="s">
        <v>34</v>
      </c>
      <c r="P828" s="5" t="s">
        <v>3134</v>
      </c>
      <c r="Q828" s="15"/>
      <c r="R828" s="16" t="s">
        <v>28</v>
      </c>
      <c r="S828" s="15"/>
      <c r="T828" s="15"/>
      <c r="U828" s="15"/>
      <c r="V828" s="15"/>
      <c r="W828" s="15"/>
      <c r="X828" s="15"/>
      <c r="Y828" s="15"/>
      <c r="Z828" s="15"/>
      <c r="AA828" s="15"/>
    </row>
    <row r="829">
      <c r="A829" s="5" t="s">
        <v>3347</v>
      </c>
      <c r="B829" s="6" t="s">
        <v>3370</v>
      </c>
      <c r="C829" s="40" t="s">
        <v>3371</v>
      </c>
      <c r="D829" s="8"/>
      <c r="E829" s="8" t="s">
        <v>960</v>
      </c>
      <c r="F829" s="90">
        <v>2000.0</v>
      </c>
      <c r="G829" s="31" t="s">
        <v>3372</v>
      </c>
      <c r="H829" s="11" t="s">
        <v>44</v>
      </c>
      <c r="I829" s="97">
        <v>9.830025311E9</v>
      </c>
      <c r="J829" s="11" t="s">
        <v>25</v>
      </c>
      <c r="K829" s="12"/>
      <c r="L829" s="13"/>
      <c r="M829" s="14"/>
      <c r="N829" s="15"/>
      <c r="O829" s="5" t="s">
        <v>34</v>
      </c>
      <c r="P829" s="98" t="s">
        <v>3134</v>
      </c>
      <c r="Q829" s="15"/>
      <c r="R829" s="16" t="s">
        <v>28</v>
      </c>
      <c r="S829" s="15"/>
      <c r="T829" s="15"/>
      <c r="U829" s="15"/>
      <c r="V829" s="15"/>
      <c r="W829" s="15"/>
      <c r="X829" s="15"/>
      <c r="Y829" s="15"/>
      <c r="Z829" s="15"/>
      <c r="AA829" s="15"/>
    </row>
    <row r="830">
      <c r="A830" s="5" t="s">
        <v>3373</v>
      </c>
      <c r="B830" s="6" t="s">
        <v>3374</v>
      </c>
      <c r="C830" s="40" t="s">
        <v>3375</v>
      </c>
      <c r="D830" s="8"/>
      <c r="E830" s="8" t="s">
        <v>43</v>
      </c>
      <c r="F830" s="90">
        <v>5000.0</v>
      </c>
      <c r="G830" s="31" t="s">
        <v>3376</v>
      </c>
      <c r="H830" s="11" t="s">
        <v>1640</v>
      </c>
      <c r="I830" s="97">
        <v>9.434144605E9</v>
      </c>
      <c r="J830" s="11" t="s">
        <v>25</v>
      </c>
      <c r="K830" s="12"/>
      <c r="L830" s="13"/>
      <c r="M830" s="14"/>
      <c r="N830" s="15"/>
      <c r="O830" s="5" t="s">
        <v>34</v>
      </c>
      <c r="P830" s="5"/>
      <c r="Q830" s="15"/>
      <c r="R830" s="16" t="s">
        <v>28</v>
      </c>
      <c r="S830" s="15"/>
      <c r="T830" s="15"/>
      <c r="U830" s="15"/>
      <c r="V830" s="15"/>
      <c r="W830" s="15"/>
      <c r="X830" s="15"/>
      <c r="Y830" s="15"/>
      <c r="Z830" s="15"/>
      <c r="AA830" s="15"/>
    </row>
    <row r="831">
      <c r="A831" s="5" t="s">
        <v>3373</v>
      </c>
      <c r="B831" s="6" t="s">
        <v>3377</v>
      </c>
      <c r="C831" s="40" t="s">
        <v>3378</v>
      </c>
      <c r="D831" s="8"/>
      <c r="E831" s="8" t="s">
        <v>130</v>
      </c>
      <c r="F831" s="90">
        <v>2000.0</v>
      </c>
      <c r="G831" s="31" t="s">
        <v>3379</v>
      </c>
      <c r="H831" s="11" t="s">
        <v>3313</v>
      </c>
      <c r="I831" s="41" t="s">
        <v>3380</v>
      </c>
      <c r="J831" s="11" t="s">
        <v>25</v>
      </c>
      <c r="K831" s="12"/>
      <c r="L831" s="13"/>
      <c r="M831" s="14"/>
      <c r="N831" s="15"/>
      <c r="O831" s="5" t="s">
        <v>34</v>
      </c>
      <c r="P831" s="5" t="s">
        <v>209</v>
      </c>
      <c r="Q831" s="5" t="s">
        <v>777</v>
      </c>
      <c r="R831" s="16" t="s">
        <v>723</v>
      </c>
      <c r="S831" s="15"/>
      <c r="T831" s="15"/>
      <c r="U831" s="15"/>
      <c r="V831" s="15"/>
      <c r="W831" s="15"/>
      <c r="X831" s="15"/>
      <c r="Y831" s="15"/>
      <c r="Z831" s="15"/>
      <c r="AA831" s="15"/>
    </row>
    <row r="832">
      <c r="A832" s="5" t="s">
        <v>3381</v>
      </c>
      <c r="B832" s="6" t="s">
        <v>3382</v>
      </c>
      <c r="C832" s="40" t="s">
        <v>3383</v>
      </c>
      <c r="D832" s="8"/>
      <c r="E832" s="8" t="s">
        <v>116</v>
      </c>
      <c r="F832" s="90">
        <v>5000.0</v>
      </c>
      <c r="G832" s="31" t="s">
        <v>3384</v>
      </c>
      <c r="H832" s="11" t="s">
        <v>288</v>
      </c>
      <c r="I832" s="97">
        <v>9.733563774E9</v>
      </c>
      <c r="J832" s="11" t="s">
        <v>25</v>
      </c>
      <c r="K832" s="12"/>
      <c r="L832" s="13"/>
      <c r="M832" s="14"/>
      <c r="N832" s="15"/>
      <c r="O832" s="5" t="s">
        <v>26</v>
      </c>
      <c r="P832" s="5"/>
      <c r="Q832" s="15"/>
      <c r="R832" s="16" t="s">
        <v>28</v>
      </c>
      <c r="S832" s="15"/>
      <c r="T832" s="15"/>
      <c r="U832" s="15"/>
      <c r="V832" s="15"/>
      <c r="W832" s="15"/>
      <c r="X832" s="15"/>
      <c r="Y832" s="15"/>
      <c r="Z832" s="15"/>
      <c r="AA832" s="15"/>
    </row>
    <row r="833">
      <c r="A833" s="5" t="s">
        <v>3381</v>
      </c>
      <c r="B833" s="6" t="s">
        <v>3385</v>
      </c>
      <c r="C833" s="36" t="s">
        <v>3386</v>
      </c>
      <c r="D833" s="75"/>
      <c r="E833" s="8" t="s">
        <v>141</v>
      </c>
      <c r="F833" s="90">
        <v>5000.0</v>
      </c>
      <c r="G833" s="31" t="s">
        <v>3387</v>
      </c>
      <c r="H833" s="11" t="s">
        <v>977</v>
      </c>
      <c r="I833" s="97">
        <v>8.210243553E9</v>
      </c>
      <c r="J833" s="11" t="s">
        <v>25</v>
      </c>
      <c r="K833" s="12"/>
      <c r="L833" s="13"/>
      <c r="M833" s="14"/>
      <c r="N833" s="15"/>
      <c r="O833" s="5" t="s">
        <v>34</v>
      </c>
      <c r="P833" s="11" t="s">
        <v>3388</v>
      </c>
      <c r="Q833" s="15"/>
      <c r="R833" s="16" t="s">
        <v>28</v>
      </c>
      <c r="S833" s="15"/>
      <c r="T833" s="15"/>
      <c r="U833" s="15"/>
      <c r="V833" s="15"/>
      <c r="W833" s="15"/>
      <c r="X833" s="15"/>
      <c r="Y833" s="15"/>
      <c r="Z833" s="15"/>
      <c r="AA833" s="15"/>
    </row>
    <row r="834">
      <c r="A834" s="5" t="s">
        <v>3381</v>
      </c>
      <c r="B834" s="6" t="s">
        <v>3389</v>
      </c>
      <c r="C834" s="40" t="s">
        <v>3390</v>
      </c>
      <c r="D834" s="8"/>
      <c r="E834" s="8" t="s">
        <v>3391</v>
      </c>
      <c r="F834" s="9">
        <v>10000.0</v>
      </c>
      <c r="G834" s="31" t="s">
        <v>3392</v>
      </c>
      <c r="H834" s="36" t="s">
        <v>2643</v>
      </c>
      <c r="I834" s="97">
        <v>9.522276112E9</v>
      </c>
      <c r="J834" s="11" t="s">
        <v>25</v>
      </c>
      <c r="K834" s="12"/>
      <c r="L834" s="13"/>
      <c r="M834" s="14"/>
      <c r="N834" s="15"/>
      <c r="O834" s="5" t="s">
        <v>26</v>
      </c>
      <c r="P834" s="5"/>
      <c r="Q834" s="15"/>
      <c r="R834" s="16" t="s">
        <v>28</v>
      </c>
      <c r="S834" s="15"/>
      <c r="T834" s="15"/>
      <c r="U834" s="15"/>
      <c r="V834" s="15"/>
      <c r="W834" s="15"/>
      <c r="X834" s="15"/>
      <c r="Y834" s="15"/>
      <c r="Z834" s="15"/>
      <c r="AA834" s="15"/>
    </row>
    <row r="835">
      <c r="A835" s="5" t="s">
        <v>3381</v>
      </c>
      <c r="B835" s="6" t="s">
        <v>3393</v>
      </c>
      <c r="C835" s="40" t="s">
        <v>3394</v>
      </c>
      <c r="D835" s="8"/>
      <c r="E835" s="8" t="s">
        <v>178</v>
      </c>
      <c r="F835" s="90">
        <v>3000.0</v>
      </c>
      <c r="G835" s="31" t="s">
        <v>3395</v>
      </c>
      <c r="H835" s="11" t="s">
        <v>3396</v>
      </c>
      <c r="I835" s="41" t="s">
        <v>3397</v>
      </c>
      <c r="J835" s="11" t="s">
        <v>25</v>
      </c>
      <c r="K835" s="12"/>
      <c r="L835" s="13"/>
      <c r="M835" s="14"/>
      <c r="N835" s="15"/>
      <c r="O835" s="5" t="s">
        <v>34</v>
      </c>
      <c r="P835" s="5" t="s">
        <v>1697</v>
      </c>
      <c r="Q835" s="15"/>
      <c r="R835" s="16" t="s">
        <v>28</v>
      </c>
      <c r="S835" s="15"/>
      <c r="T835" s="15"/>
      <c r="U835" s="15"/>
      <c r="V835" s="15"/>
      <c r="W835" s="15"/>
      <c r="X835" s="15"/>
      <c r="Y835" s="15"/>
      <c r="Z835" s="15"/>
      <c r="AA835" s="15"/>
    </row>
    <row r="836">
      <c r="A836" s="5" t="s">
        <v>3398</v>
      </c>
      <c r="B836" s="6" t="s">
        <v>3399</v>
      </c>
      <c r="C836" s="40" t="s">
        <v>267</v>
      </c>
      <c r="D836" s="8"/>
      <c r="E836" s="8" t="s">
        <v>3400</v>
      </c>
      <c r="F836" s="90">
        <v>500.0</v>
      </c>
      <c r="G836" s="31" t="s">
        <v>3401</v>
      </c>
      <c r="H836" s="11" t="s">
        <v>2403</v>
      </c>
      <c r="I836" s="97">
        <v>9.476102283E9</v>
      </c>
      <c r="J836" s="11" t="s">
        <v>25</v>
      </c>
      <c r="K836" s="12"/>
      <c r="L836" s="13"/>
      <c r="M836" s="14"/>
      <c r="N836" s="15"/>
      <c r="O836" s="5" t="s">
        <v>34</v>
      </c>
      <c r="P836" s="5" t="s">
        <v>209</v>
      </c>
      <c r="Q836" s="15"/>
      <c r="R836" s="16" t="s">
        <v>28</v>
      </c>
      <c r="S836" s="15"/>
      <c r="T836" s="15"/>
      <c r="U836" s="15"/>
      <c r="V836" s="15"/>
      <c r="W836" s="15"/>
      <c r="X836" s="15"/>
      <c r="Y836" s="15"/>
      <c r="Z836" s="15"/>
      <c r="AA836" s="15"/>
    </row>
    <row r="837">
      <c r="A837" s="5" t="s">
        <v>3398</v>
      </c>
      <c r="B837" s="6" t="s">
        <v>3402</v>
      </c>
      <c r="C837" s="40" t="s">
        <v>3403</v>
      </c>
      <c r="D837" s="8"/>
      <c r="E837" s="8" t="s">
        <v>1080</v>
      </c>
      <c r="F837" s="90">
        <v>500.0</v>
      </c>
      <c r="G837" s="31" t="s">
        <v>3404</v>
      </c>
      <c r="H837" s="11" t="s">
        <v>44</v>
      </c>
      <c r="I837" s="97">
        <v>8.697508525E9</v>
      </c>
      <c r="J837" s="11" t="s">
        <v>25</v>
      </c>
      <c r="K837" s="12"/>
      <c r="L837" s="13"/>
      <c r="M837" s="14"/>
      <c r="N837" s="15"/>
      <c r="O837" s="5" t="s">
        <v>26</v>
      </c>
      <c r="P837" s="5"/>
      <c r="Q837" s="15"/>
      <c r="R837" s="16" t="s">
        <v>28</v>
      </c>
      <c r="S837" s="15"/>
      <c r="T837" s="15"/>
      <c r="U837" s="15"/>
      <c r="V837" s="15"/>
      <c r="W837" s="15"/>
      <c r="X837" s="15"/>
      <c r="Y837" s="15"/>
      <c r="Z837" s="15"/>
      <c r="AA837" s="15"/>
    </row>
    <row r="838">
      <c r="A838" s="5" t="s">
        <v>3405</v>
      </c>
      <c r="B838" s="6" t="s">
        <v>3406</v>
      </c>
      <c r="C838" s="40" t="s">
        <v>3407</v>
      </c>
      <c r="D838" s="8"/>
      <c r="E838" s="8" t="s">
        <v>2335</v>
      </c>
      <c r="F838" s="9">
        <v>35000.0</v>
      </c>
      <c r="G838" s="31" t="s">
        <v>3408</v>
      </c>
      <c r="H838" s="36" t="s">
        <v>3409</v>
      </c>
      <c r="I838" s="97">
        <v>9.528928439E9</v>
      </c>
      <c r="J838" s="11" t="s">
        <v>25</v>
      </c>
      <c r="K838" s="12"/>
      <c r="L838" s="13"/>
      <c r="M838" s="14"/>
      <c r="N838" s="15"/>
      <c r="O838" s="5" t="s">
        <v>108</v>
      </c>
      <c r="P838" s="5"/>
      <c r="Q838" s="15"/>
      <c r="R838" s="16" t="s">
        <v>28</v>
      </c>
      <c r="S838" s="15"/>
      <c r="T838" s="15"/>
      <c r="U838" s="15"/>
      <c r="V838" s="15"/>
      <c r="W838" s="15"/>
      <c r="X838" s="15"/>
      <c r="Y838" s="15"/>
      <c r="Z838" s="15"/>
      <c r="AA838" s="15"/>
    </row>
    <row r="839">
      <c r="A839" s="5" t="s">
        <v>3405</v>
      </c>
      <c r="B839" s="6" t="s">
        <v>3410</v>
      </c>
      <c r="C839" s="40" t="s">
        <v>3411</v>
      </c>
      <c r="D839" s="8"/>
      <c r="E839" s="8" t="s">
        <v>3412</v>
      </c>
      <c r="F839" s="9">
        <v>25000.0</v>
      </c>
      <c r="G839" s="31" t="s">
        <v>3413</v>
      </c>
      <c r="H839" s="36" t="s">
        <v>3414</v>
      </c>
      <c r="I839" s="97">
        <v>9.958756004E9</v>
      </c>
      <c r="J839" s="11" t="s">
        <v>25</v>
      </c>
      <c r="K839" s="12"/>
      <c r="L839" s="13"/>
      <c r="M839" s="14"/>
      <c r="N839" s="15"/>
      <c r="O839" s="5" t="s">
        <v>26</v>
      </c>
      <c r="P839" s="5"/>
      <c r="Q839" s="15"/>
      <c r="R839" s="16" t="s">
        <v>28</v>
      </c>
      <c r="S839" s="15"/>
      <c r="T839" s="15"/>
      <c r="U839" s="15"/>
      <c r="V839" s="15"/>
      <c r="W839" s="15"/>
      <c r="X839" s="15"/>
      <c r="Y839" s="15"/>
      <c r="Z839" s="15"/>
      <c r="AA839" s="15"/>
    </row>
    <row r="840">
      <c r="A840" s="5" t="s">
        <v>3415</v>
      </c>
      <c r="B840" s="6" t="s">
        <v>3416</v>
      </c>
      <c r="C840" s="93" t="s">
        <v>3417</v>
      </c>
      <c r="D840" s="99"/>
      <c r="E840" s="99" t="s">
        <v>3418</v>
      </c>
      <c r="F840" s="90">
        <v>6000.0</v>
      </c>
      <c r="G840" s="97"/>
      <c r="H840" s="93" t="s">
        <v>3419</v>
      </c>
      <c r="I840" s="95">
        <v>9.08882315E9</v>
      </c>
      <c r="J840" s="11" t="s">
        <v>25</v>
      </c>
      <c r="K840" s="12"/>
      <c r="L840" s="13"/>
      <c r="M840" s="14"/>
      <c r="N840" s="15"/>
      <c r="O840" s="5" t="s">
        <v>564</v>
      </c>
      <c r="P840" s="5" t="s">
        <v>3420</v>
      </c>
      <c r="Q840" s="15"/>
      <c r="R840" s="16"/>
      <c r="S840" s="15"/>
      <c r="T840" s="15"/>
      <c r="U840" s="15"/>
      <c r="V840" s="15"/>
      <c r="W840" s="15"/>
      <c r="X840" s="15"/>
      <c r="Y840" s="15"/>
      <c r="Z840" s="15"/>
      <c r="AA840" s="15"/>
    </row>
    <row r="841">
      <c r="A841" s="5" t="s">
        <v>3415</v>
      </c>
      <c r="B841" s="6" t="s">
        <v>3416</v>
      </c>
      <c r="C841" s="40" t="s">
        <v>3421</v>
      </c>
      <c r="D841" s="8"/>
      <c r="E841" s="8" t="s">
        <v>3422</v>
      </c>
      <c r="F841" s="90">
        <v>3000.0</v>
      </c>
      <c r="G841" s="31" t="s">
        <v>3423</v>
      </c>
      <c r="H841" s="11" t="s">
        <v>1640</v>
      </c>
      <c r="I841" s="97">
        <v>7.501379771E9</v>
      </c>
      <c r="J841" s="11" t="s">
        <v>25</v>
      </c>
      <c r="K841" s="12"/>
      <c r="L841" s="13"/>
      <c r="M841" s="14"/>
      <c r="N841" s="15"/>
      <c r="O841" s="5" t="s">
        <v>26</v>
      </c>
      <c r="P841" s="5"/>
      <c r="Q841" s="15"/>
      <c r="R841" s="16" t="s">
        <v>28</v>
      </c>
      <c r="S841" s="15"/>
      <c r="T841" s="15"/>
      <c r="U841" s="15"/>
      <c r="V841" s="15"/>
      <c r="W841" s="15"/>
      <c r="X841" s="15"/>
      <c r="Y841" s="15"/>
      <c r="Z841" s="15"/>
      <c r="AA841" s="15"/>
    </row>
    <row r="842">
      <c r="A842" s="5" t="s">
        <v>3415</v>
      </c>
      <c r="B842" s="6" t="s">
        <v>3424</v>
      </c>
      <c r="C842" s="40" t="s">
        <v>3425</v>
      </c>
      <c r="D842" s="8"/>
      <c r="E842" s="8" t="s">
        <v>1629</v>
      </c>
      <c r="F842" s="90">
        <v>500.0</v>
      </c>
      <c r="G842" s="97"/>
      <c r="H842" s="11" t="s">
        <v>99</v>
      </c>
      <c r="I842" s="97">
        <v>8.917300372E9</v>
      </c>
      <c r="J842" s="11" t="s">
        <v>25</v>
      </c>
      <c r="K842" s="12"/>
      <c r="L842" s="13"/>
      <c r="M842" s="14"/>
      <c r="N842" s="15"/>
      <c r="O842" s="5" t="s">
        <v>26</v>
      </c>
      <c r="P842" s="5"/>
      <c r="Q842" s="15"/>
      <c r="R842" s="16" t="s">
        <v>28</v>
      </c>
      <c r="S842" s="15"/>
      <c r="T842" s="15"/>
      <c r="U842" s="15"/>
      <c r="V842" s="15"/>
      <c r="W842" s="15"/>
      <c r="X842" s="15"/>
      <c r="Y842" s="15"/>
      <c r="Z842" s="15"/>
      <c r="AA842" s="15"/>
    </row>
    <row r="843">
      <c r="A843" s="5" t="s">
        <v>3415</v>
      </c>
      <c r="B843" s="6" t="s">
        <v>3426</v>
      </c>
      <c r="C843" s="40" t="s">
        <v>2700</v>
      </c>
      <c r="D843" s="8"/>
      <c r="E843" s="8" t="s">
        <v>3146</v>
      </c>
      <c r="F843" s="90">
        <v>5000.0</v>
      </c>
      <c r="G843" s="31" t="s">
        <v>2701</v>
      </c>
      <c r="H843" s="11" t="s">
        <v>44</v>
      </c>
      <c r="I843" s="97">
        <v>6.290923744E9</v>
      </c>
      <c r="J843" s="11" t="s">
        <v>25</v>
      </c>
      <c r="K843" s="12"/>
      <c r="L843" s="13"/>
      <c r="M843" s="14"/>
      <c r="N843" s="15"/>
      <c r="O843" s="5" t="s">
        <v>26</v>
      </c>
      <c r="P843" s="5"/>
      <c r="Q843" s="15"/>
      <c r="R843" s="16" t="s">
        <v>28</v>
      </c>
      <c r="S843" s="15"/>
      <c r="T843" s="15"/>
      <c r="U843" s="15"/>
      <c r="V843" s="15"/>
      <c r="W843" s="15"/>
      <c r="X843" s="15"/>
      <c r="Y843" s="15"/>
      <c r="Z843" s="15"/>
      <c r="AA843" s="15"/>
    </row>
    <row r="844">
      <c r="A844" s="5" t="s">
        <v>3415</v>
      </c>
      <c r="B844" s="6" t="s">
        <v>3427</v>
      </c>
      <c r="C844" s="40" t="s">
        <v>3428</v>
      </c>
      <c r="D844" s="8"/>
      <c r="E844" s="8" t="s">
        <v>1373</v>
      </c>
      <c r="F844" s="90">
        <v>2000.0</v>
      </c>
      <c r="G844" s="31" t="s">
        <v>3429</v>
      </c>
      <c r="H844" s="11" t="s">
        <v>590</v>
      </c>
      <c r="I844" s="41" t="s">
        <v>3430</v>
      </c>
      <c r="J844" s="11" t="s">
        <v>25</v>
      </c>
      <c r="K844" s="12"/>
      <c r="L844" s="13"/>
      <c r="M844" s="14"/>
      <c r="N844" s="15"/>
      <c r="O844" s="5" t="s">
        <v>34</v>
      </c>
      <c r="P844" s="5" t="s">
        <v>1419</v>
      </c>
      <c r="Q844" s="15"/>
      <c r="R844" s="16" t="s">
        <v>28</v>
      </c>
      <c r="S844" s="15"/>
      <c r="T844" s="15"/>
      <c r="U844" s="15"/>
      <c r="V844" s="15"/>
      <c r="W844" s="15"/>
      <c r="X844" s="15"/>
      <c r="Y844" s="15"/>
      <c r="Z844" s="15"/>
      <c r="AA844" s="15"/>
    </row>
    <row r="845">
      <c r="A845" s="5" t="s">
        <v>3415</v>
      </c>
      <c r="B845" s="6" t="s">
        <v>3431</v>
      </c>
      <c r="C845" s="40" t="s">
        <v>3432</v>
      </c>
      <c r="D845" s="8"/>
      <c r="E845" s="8" t="s">
        <v>222</v>
      </c>
      <c r="F845" s="9">
        <v>10000.0</v>
      </c>
      <c r="G845" s="100" t="s">
        <v>3433</v>
      </c>
      <c r="H845" s="11" t="s">
        <v>131</v>
      </c>
      <c r="I845" s="97">
        <v>8.527116663E9</v>
      </c>
      <c r="J845" s="11" t="s">
        <v>25</v>
      </c>
      <c r="K845" s="12"/>
      <c r="L845" s="13"/>
      <c r="M845" s="11" t="s">
        <v>3100</v>
      </c>
      <c r="N845" s="15"/>
      <c r="O845" s="5" t="s">
        <v>34</v>
      </c>
      <c r="P845" s="5" t="s">
        <v>269</v>
      </c>
      <c r="Q845" s="15"/>
      <c r="R845" s="16" t="s">
        <v>74</v>
      </c>
      <c r="S845" s="15"/>
      <c r="T845" s="15"/>
      <c r="U845" s="15"/>
      <c r="V845" s="15"/>
      <c r="W845" s="15"/>
      <c r="X845" s="15"/>
      <c r="Y845" s="15"/>
      <c r="Z845" s="15"/>
      <c r="AA845" s="15"/>
    </row>
    <row r="846">
      <c r="A846" s="5" t="s">
        <v>3434</v>
      </c>
      <c r="B846" s="6" t="s">
        <v>3435</v>
      </c>
      <c r="C846" s="40" t="s">
        <v>3436</v>
      </c>
      <c r="D846" s="8"/>
      <c r="E846" s="8" t="s">
        <v>3437</v>
      </c>
      <c r="F846" s="90">
        <v>2000.0</v>
      </c>
      <c r="G846" s="31" t="s">
        <v>3438</v>
      </c>
      <c r="H846" s="36" t="s">
        <v>981</v>
      </c>
      <c r="I846" s="97">
        <v>9.851532237E9</v>
      </c>
      <c r="J846" s="11" t="s">
        <v>25</v>
      </c>
      <c r="K846" s="12"/>
      <c r="L846" s="13"/>
      <c r="M846" s="14"/>
      <c r="N846" s="15"/>
      <c r="O846" s="5" t="s">
        <v>34</v>
      </c>
      <c r="P846" s="5"/>
      <c r="Q846" s="15"/>
      <c r="R846" s="16" t="s">
        <v>28</v>
      </c>
      <c r="S846" s="15"/>
      <c r="T846" s="15"/>
      <c r="U846" s="15"/>
      <c r="V846" s="15"/>
      <c r="W846" s="15"/>
      <c r="X846" s="15"/>
      <c r="Y846" s="15"/>
      <c r="Z846" s="15"/>
      <c r="AA846" s="15"/>
    </row>
    <row r="847">
      <c r="A847" s="5" t="s">
        <v>3434</v>
      </c>
      <c r="B847" s="6" t="s">
        <v>3439</v>
      </c>
      <c r="C847" s="40" t="s">
        <v>3440</v>
      </c>
      <c r="D847" s="8"/>
      <c r="E847" s="8" t="s">
        <v>3441</v>
      </c>
      <c r="F847" s="90">
        <v>5000.0</v>
      </c>
      <c r="G847" s="31" t="s">
        <v>3442</v>
      </c>
      <c r="H847" s="11" t="s">
        <v>268</v>
      </c>
      <c r="I847" s="97">
        <v>8.67094257E9</v>
      </c>
      <c r="J847" s="11" t="s">
        <v>25</v>
      </c>
      <c r="K847" s="12"/>
      <c r="L847" s="13"/>
      <c r="M847" s="11" t="s">
        <v>3443</v>
      </c>
      <c r="N847" s="15"/>
      <c r="O847" s="5" t="s">
        <v>26</v>
      </c>
      <c r="P847" s="5"/>
      <c r="Q847" s="15"/>
      <c r="R847" s="16" t="s">
        <v>28</v>
      </c>
      <c r="S847" s="15"/>
      <c r="T847" s="15"/>
      <c r="U847" s="15"/>
      <c r="V847" s="15"/>
      <c r="W847" s="15"/>
      <c r="X847" s="15"/>
      <c r="Y847" s="15"/>
      <c r="Z847" s="15"/>
      <c r="AA847" s="15"/>
    </row>
    <row r="848">
      <c r="A848" s="5" t="s">
        <v>3434</v>
      </c>
      <c r="B848" s="6" t="s">
        <v>3444</v>
      </c>
      <c r="C848" s="40" t="s">
        <v>3445</v>
      </c>
      <c r="D848" s="8"/>
      <c r="E848" s="8" t="s">
        <v>3446</v>
      </c>
      <c r="F848" s="90">
        <v>2000.0</v>
      </c>
      <c r="G848" s="31" t="s">
        <v>3447</v>
      </c>
      <c r="H848" s="11" t="s">
        <v>99</v>
      </c>
      <c r="I848" s="97">
        <v>9.853565974E9</v>
      </c>
      <c r="J848" s="11" t="s">
        <v>25</v>
      </c>
      <c r="K848" s="12"/>
      <c r="L848" s="13"/>
      <c r="M848" s="14"/>
      <c r="N848" s="15"/>
      <c r="O848" s="5" t="s">
        <v>26</v>
      </c>
      <c r="P848" s="5" t="s">
        <v>3448</v>
      </c>
      <c r="Q848" s="15"/>
      <c r="R848" s="16" t="s">
        <v>28</v>
      </c>
      <c r="S848" s="15"/>
      <c r="T848" s="15"/>
      <c r="U848" s="15"/>
      <c r="V848" s="15"/>
      <c r="W848" s="15"/>
      <c r="X848" s="15"/>
      <c r="Y848" s="15"/>
      <c r="Z848" s="15"/>
      <c r="AA848" s="15"/>
    </row>
    <row r="849">
      <c r="A849" s="5" t="s">
        <v>3449</v>
      </c>
      <c r="B849" s="6" t="s">
        <v>3450</v>
      </c>
      <c r="C849" s="40" t="s">
        <v>3451</v>
      </c>
      <c r="D849" s="8"/>
      <c r="E849" s="8" t="s">
        <v>152</v>
      </c>
      <c r="F849" s="90">
        <v>3000.0</v>
      </c>
      <c r="G849" s="31" t="s">
        <v>3452</v>
      </c>
      <c r="H849" s="11" t="s">
        <v>44</v>
      </c>
      <c r="I849" s="97">
        <v>8.01356915E9</v>
      </c>
      <c r="J849" s="11" t="s">
        <v>25</v>
      </c>
      <c r="K849" s="12"/>
      <c r="L849" s="13"/>
      <c r="M849" s="14"/>
      <c r="N849" s="15"/>
      <c r="O849" s="5" t="s">
        <v>26</v>
      </c>
      <c r="P849" s="5" t="s">
        <v>3453</v>
      </c>
      <c r="Q849" s="15"/>
      <c r="R849" s="16" t="s">
        <v>28</v>
      </c>
      <c r="S849" s="15"/>
      <c r="T849" s="15"/>
      <c r="U849" s="15"/>
      <c r="V849" s="15"/>
      <c r="W849" s="15"/>
      <c r="X849" s="15"/>
      <c r="Y849" s="15"/>
      <c r="Z849" s="15"/>
      <c r="AA849" s="15"/>
    </row>
    <row r="850">
      <c r="A850" s="5" t="s">
        <v>3449</v>
      </c>
      <c r="B850" s="6" t="s">
        <v>3454</v>
      </c>
      <c r="C850" s="40" t="s">
        <v>3455</v>
      </c>
      <c r="D850" s="8"/>
      <c r="E850" s="8" t="s">
        <v>3456</v>
      </c>
      <c r="F850" s="90">
        <v>500.0</v>
      </c>
      <c r="G850" s="97" t="s">
        <v>3457</v>
      </c>
      <c r="H850" s="11" t="s">
        <v>44</v>
      </c>
      <c r="I850" s="97">
        <v>8.585898003E9</v>
      </c>
      <c r="J850" s="11" t="s">
        <v>25</v>
      </c>
      <c r="K850" s="12"/>
      <c r="L850" s="13"/>
      <c r="M850" s="14"/>
      <c r="N850" s="15"/>
      <c r="O850" s="5" t="s">
        <v>34</v>
      </c>
      <c r="P850" s="5" t="s">
        <v>727</v>
      </c>
      <c r="Q850" s="15"/>
      <c r="R850" s="16" t="s">
        <v>28</v>
      </c>
      <c r="S850" s="15"/>
      <c r="T850" s="15"/>
      <c r="U850" s="15"/>
      <c r="V850" s="15"/>
      <c r="W850" s="15"/>
      <c r="X850" s="15"/>
      <c r="Y850" s="15"/>
      <c r="Z850" s="15"/>
      <c r="AA850" s="15"/>
    </row>
    <row r="851">
      <c r="A851" s="5" t="s">
        <v>3449</v>
      </c>
      <c r="B851" s="6" t="s">
        <v>3458</v>
      </c>
      <c r="C851" s="40" t="s">
        <v>3459</v>
      </c>
      <c r="D851" s="8"/>
      <c r="E851" s="8" t="s">
        <v>156</v>
      </c>
      <c r="F851" s="90">
        <v>7000.0</v>
      </c>
      <c r="G851" s="31" t="s">
        <v>3460</v>
      </c>
      <c r="H851" s="11" t="s">
        <v>44</v>
      </c>
      <c r="I851" s="97">
        <v>8.24053226E9</v>
      </c>
      <c r="J851" s="11" t="s">
        <v>25</v>
      </c>
      <c r="K851" s="12"/>
      <c r="L851" s="13"/>
      <c r="M851" s="14"/>
      <c r="N851" s="15"/>
      <c r="O851" s="5" t="s">
        <v>34</v>
      </c>
      <c r="P851" s="5" t="s">
        <v>3177</v>
      </c>
      <c r="Q851" s="5" t="s">
        <v>777</v>
      </c>
      <c r="R851" s="16" t="s">
        <v>28</v>
      </c>
      <c r="S851" s="15"/>
      <c r="T851" s="15"/>
      <c r="U851" s="15"/>
      <c r="V851" s="15"/>
      <c r="W851" s="15"/>
      <c r="X851" s="15"/>
      <c r="Y851" s="15"/>
      <c r="Z851" s="15"/>
      <c r="AA851" s="15"/>
    </row>
    <row r="852">
      <c r="A852" s="5" t="s">
        <v>3461</v>
      </c>
      <c r="B852" s="6" t="s">
        <v>3462</v>
      </c>
      <c r="C852" s="40" t="s">
        <v>3463</v>
      </c>
      <c r="D852" s="8"/>
      <c r="E852" s="8" t="s">
        <v>227</v>
      </c>
      <c r="F852" s="90"/>
      <c r="G852" s="31" t="s">
        <v>3464</v>
      </c>
      <c r="H852" s="11" t="s">
        <v>44</v>
      </c>
      <c r="I852" s="97">
        <v>6.292278724E9</v>
      </c>
      <c r="J852" s="11" t="s">
        <v>25</v>
      </c>
      <c r="K852" s="12"/>
      <c r="L852" s="13"/>
      <c r="M852" s="14"/>
      <c r="N852" s="15"/>
      <c r="O852" s="5" t="s">
        <v>26</v>
      </c>
      <c r="P852" s="5"/>
      <c r="Q852" s="15"/>
      <c r="R852" s="16" t="s">
        <v>28</v>
      </c>
      <c r="S852" s="15"/>
      <c r="T852" s="15"/>
      <c r="U852" s="15"/>
      <c r="V852" s="15"/>
      <c r="W852" s="15"/>
      <c r="X852" s="15"/>
      <c r="Y852" s="15"/>
      <c r="Z852" s="15"/>
      <c r="AA852" s="15"/>
    </row>
    <row r="853">
      <c r="A853" s="5" t="s">
        <v>3461</v>
      </c>
      <c r="B853" s="6" t="s">
        <v>3465</v>
      </c>
      <c r="C853" s="40" t="s">
        <v>3466</v>
      </c>
      <c r="D853" s="8"/>
      <c r="E853" s="8" t="s">
        <v>207</v>
      </c>
      <c r="F853" s="9">
        <v>20000.0</v>
      </c>
      <c r="G853" s="31" t="s">
        <v>3467</v>
      </c>
      <c r="H853" s="11" t="s">
        <v>184</v>
      </c>
      <c r="I853" s="97">
        <v>9.43111188E9</v>
      </c>
      <c r="J853" s="11" t="s">
        <v>25</v>
      </c>
      <c r="K853" s="12" t="s">
        <v>3468</v>
      </c>
      <c r="L853" s="13"/>
      <c r="M853" s="14"/>
      <c r="N853" s="15"/>
      <c r="O853" s="5" t="s">
        <v>26</v>
      </c>
      <c r="P853" s="5" t="s">
        <v>2657</v>
      </c>
      <c r="Q853" s="15"/>
      <c r="R853" s="16" t="s">
        <v>28</v>
      </c>
      <c r="S853" s="15"/>
      <c r="T853" s="15"/>
      <c r="U853" s="15"/>
      <c r="V853" s="15"/>
      <c r="W853" s="15"/>
      <c r="X853" s="15"/>
      <c r="Y853" s="15"/>
      <c r="Z853" s="15"/>
      <c r="AA853" s="15"/>
    </row>
    <row r="854">
      <c r="A854" s="5" t="s">
        <v>3461</v>
      </c>
      <c r="B854" s="6" t="s">
        <v>3469</v>
      </c>
      <c r="C854" s="101" t="s">
        <v>3470</v>
      </c>
      <c r="D854" s="75"/>
      <c r="E854" s="8" t="s">
        <v>178</v>
      </c>
      <c r="F854" s="9">
        <v>10000.0</v>
      </c>
      <c r="G854" s="31" t="s">
        <v>3471</v>
      </c>
      <c r="H854" s="11" t="s">
        <v>44</v>
      </c>
      <c r="I854" s="97">
        <v>7.003105052E9</v>
      </c>
      <c r="J854" s="11" t="s">
        <v>25</v>
      </c>
      <c r="K854" s="12"/>
      <c r="L854" s="13"/>
      <c r="M854" s="14"/>
      <c r="N854" s="15"/>
      <c r="O854" s="5" t="s">
        <v>26</v>
      </c>
      <c r="P854" s="5" t="s">
        <v>3472</v>
      </c>
      <c r="Q854" s="15"/>
      <c r="R854" s="16" t="s">
        <v>28</v>
      </c>
      <c r="S854" s="15"/>
      <c r="T854" s="15"/>
      <c r="U854" s="15"/>
      <c r="V854" s="15"/>
      <c r="W854" s="15"/>
      <c r="X854" s="15"/>
      <c r="Y854" s="15"/>
      <c r="Z854" s="15"/>
      <c r="AA854" s="15"/>
    </row>
    <row r="855">
      <c r="A855" s="5" t="s">
        <v>3461</v>
      </c>
      <c r="B855" s="6" t="s">
        <v>3473</v>
      </c>
      <c r="C855" s="40" t="s">
        <v>3474</v>
      </c>
      <c r="D855" s="8"/>
      <c r="E855" s="8" t="s">
        <v>147</v>
      </c>
      <c r="F855" s="90">
        <v>1000.0</v>
      </c>
      <c r="G855" s="97"/>
      <c r="H855" s="11" t="s">
        <v>495</v>
      </c>
      <c r="I855" s="97">
        <v>7.547051302E9</v>
      </c>
      <c r="J855" s="11" t="s">
        <v>25</v>
      </c>
      <c r="K855" s="12"/>
      <c r="L855" s="13"/>
      <c r="M855" s="11" t="s">
        <v>3475</v>
      </c>
      <c r="N855" s="15"/>
      <c r="O855" s="5" t="s">
        <v>34</v>
      </c>
      <c r="P855" s="5" t="s">
        <v>2952</v>
      </c>
      <c r="Q855" s="5" t="s">
        <v>777</v>
      </c>
      <c r="R855" s="16" t="s">
        <v>551</v>
      </c>
      <c r="S855" s="15"/>
      <c r="T855" s="15"/>
      <c r="U855" s="15"/>
      <c r="V855" s="15"/>
      <c r="W855" s="15"/>
      <c r="X855" s="15"/>
      <c r="Y855" s="15"/>
      <c r="Z855" s="15"/>
      <c r="AA855" s="15"/>
    </row>
    <row r="856">
      <c r="A856" s="5" t="s">
        <v>3461</v>
      </c>
      <c r="B856" s="6" t="s">
        <v>3476</v>
      </c>
      <c r="C856" s="40" t="s">
        <v>3477</v>
      </c>
      <c r="D856" s="8"/>
      <c r="E856" s="8" t="s">
        <v>2546</v>
      </c>
      <c r="F856" s="90">
        <v>1000.0</v>
      </c>
      <c r="G856" s="31" t="s">
        <v>3478</v>
      </c>
      <c r="H856" s="11" t="s">
        <v>44</v>
      </c>
      <c r="I856" s="97">
        <v>9.874793926E9</v>
      </c>
      <c r="J856" s="11" t="s">
        <v>25</v>
      </c>
      <c r="K856" s="12"/>
      <c r="L856" s="13"/>
      <c r="M856" s="14"/>
      <c r="N856" s="15"/>
      <c r="O856" s="5" t="s">
        <v>34</v>
      </c>
      <c r="P856" s="5" t="s">
        <v>3479</v>
      </c>
      <c r="Q856" s="15"/>
      <c r="R856" s="16" t="s">
        <v>28</v>
      </c>
      <c r="S856" s="15"/>
      <c r="T856" s="15"/>
      <c r="U856" s="15"/>
      <c r="V856" s="15"/>
      <c r="W856" s="15"/>
      <c r="X856" s="15"/>
      <c r="Y856" s="15"/>
      <c r="Z856" s="15"/>
      <c r="AA856" s="15"/>
    </row>
    <row r="857">
      <c r="A857" s="5" t="s">
        <v>3480</v>
      </c>
      <c r="B857" s="6" t="s">
        <v>3481</v>
      </c>
      <c r="C857" s="40" t="s">
        <v>3482</v>
      </c>
      <c r="D857" s="8"/>
      <c r="E857" s="8" t="s">
        <v>3483</v>
      </c>
      <c r="F857" s="90">
        <v>2000.0</v>
      </c>
      <c r="G857" s="31" t="s">
        <v>3484</v>
      </c>
      <c r="H857" s="11" t="s">
        <v>44</v>
      </c>
      <c r="I857" s="97">
        <v>9.830752487E9</v>
      </c>
      <c r="J857" s="11" t="s">
        <v>25</v>
      </c>
      <c r="K857" s="12"/>
      <c r="L857" s="13"/>
      <c r="M857" s="14"/>
      <c r="N857" s="15"/>
      <c r="O857" s="5" t="s">
        <v>34</v>
      </c>
      <c r="P857" s="5" t="s">
        <v>3485</v>
      </c>
      <c r="Q857" s="15"/>
      <c r="R857" s="16" t="s">
        <v>28</v>
      </c>
      <c r="S857" s="15"/>
      <c r="T857" s="15"/>
      <c r="U857" s="15"/>
      <c r="V857" s="15"/>
      <c r="W857" s="15"/>
      <c r="X857" s="15"/>
      <c r="Y857" s="15"/>
      <c r="Z857" s="15"/>
      <c r="AA857" s="15"/>
    </row>
    <row r="858">
      <c r="A858" s="5" t="s">
        <v>3486</v>
      </c>
      <c r="B858" s="6" t="s">
        <v>3487</v>
      </c>
      <c r="C858" s="40" t="s">
        <v>3488</v>
      </c>
      <c r="D858" s="8"/>
      <c r="E858" s="8" t="s">
        <v>3489</v>
      </c>
      <c r="F858" s="9">
        <v>20000.0</v>
      </c>
      <c r="G858" s="31" t="s">
        <v>3490</v>
      </c>
      <c r="H858" s="11" t="s">
        <v>906</v>
      </c>
      <c r="I858" s="97">
        <v>9.860808199E9</v>
      </c>
      <c r="J858" s="11" t="s">
        <v>25</v>
      </c>
      <c r="K858" s="12"/>
      <c r="L858" s="13"/>
      <c r="M858" s="14"/>
      <c r="N858" s="15"/>
      <c r="O858" s="5" t="s">
        <v>108</v>
      </c>
      <c r="P858" s="5"/>
      <c r="Q858" s="15"/>
      <c r="R858" s="16" t="s">
        <v>28</v>
      </c>
      <c r="S858" s="15"/>
      <c r="T858" s="15"/>
      <c r="U858" s="15"/>
      <c r="V858" s="15"/>
      <c r="W858" s="15"/>
      <c r="X858" s="15"/>
      <c r="Y858" s="15"/>
      <c r="Z858" s="15"/>
      <c r="AA858" s="15"/>
    </row>
    <row r="859">
      <c r="A859" s="5" t="s">
        <v>3486</v>
      </c>
      <c r="B859" s="6" t="s">
        <v>3491</v>
      </c>
      <c r="C859" s="40" t="s">
        <v>3492</v>
      </c>
      <c r="D859" s="8"/>
      <c r="E859" s="8" t="s">
        <v>3493</v>
      </c>
      <c r="F859" s="90">
        <v>300.0</v>
      </c>
      <c r="G859" s="97" t="s">
        <v>3494</v>
      </c>
      <c r="H859" s="11" t="s">
        <v>3304</v>
      </c>
      <c r="I859" s="97">
        <v>9.932849024E9</v>
      </c>
      <c r="J859" s="11" t="s">
        <v>25</v>
      </c>
      <c r="K859" s="12"/>
      <c r="L859" s="13"/>
      <c r="M859" s="11" t="s">
        <v>3495</v>
      </c>
      <c r="N859" s="15"/>
      <c r="O859" s="5" t="s">
        <v>34</v>
      </c>
      <c r="P859" s="5" t="s">
        <v>3496</v>
      </c>
      <c r="Q859" s="15"/>
      <c r="R859" s="16" t="s">
        <v>74</v>
      </c>
      <c r="S859" s="15"/>
      <c r="T859" s="15"/>
      <c r="U859" s="15"/>
      <c r="V859" s="15"/>
      <c r="W859" s="15"/>
      <c r="X859" s="15"/>
      <c r="Y859" s="15"/>
      <c r="Z859" s="15"/>
      <c r="AA859" s="15"/>
    </row>
    <row r="860">
      <c r="A860" s="5" t="s">
        <v>3497</v>
      </c>
      <c r="B860" s="6" t="s">
        <v>3498</v>
      </c>
      <c r="C860" s="40" t="s">
        <v>3499</v>
      </c>
      <c r="D860" s="8"/>
      <c r="E860" s="8" t="s">
        <v>794</v>
      </c>
      <c r="F860" s="9">
        <v>25000.0</v>
      </c>
      <c r="G860" s="31" t="s">
        <v>3500</v>
      </c>
      <c r="H860" s="11" t="s">
        <v>2478</v>
      </c>
      <c r="I860" s="97">
        <v>9.883336835E9</v>
      </c>
      <c r="J860" s="11" t="s">
        <v>25</v>
      </c>
      <c r="K860" s="12"/>
      <c r="L860" s="13"/>
      <c r="M860" s="14"/>
      <c r="N860" s="15"/>
      <c r="O860" s="5" t="s">
        <v>34</v>
      </c>
      <c r="P860" s="5" t="s">
        <v>209</v>
      </c>
      <c r="Q860" s="15"/>
      <c r="R860" s="16" t="s">
        <v>634</v>
      </c>
      <c r="S860" s="15"/>
      <c r="T860" s="15"/>
      <c r="U860" s="15"/>
      <c r="V860" s="15"/>
      <c r="W860" s="15"/>
      <c r="X860" s="15"/>
      <c r="Y860" s="15"/>
      <c r="Z860" s="15"/>
      <c r="AA860" s="15"/>
    </row>
    <row r="861">
      <c r="A861" s="5" t="s">
        <v>3501</v>
      </c>
      <c r="B861" s="6" t="s">
        <v>3502</v>
      </c>
      <c r="C861" s="102" t="s">
        <v>3503</v>
      </c>
      <c r="D861" s="103"/>
      <c r="E861" s="104" t="s">
        <v>3504</v>
      </c>
      <c r="F861" s="90">
        <v>15000.0</v>
      </c>
      <c r="G861" s="92" t="s">
        <v>3505</v>
      </c>
      <c r="H861" s="11" t="s">
        <v>99</v>
      </c>
      <c r="I861" s="103">
        <v>7.064441191E9</v>
      </c>
      <c r="J861" s="11" t="s">
        <v>25</v>
      </c>
      <c r="K861" s="12" t="s">
        <v>3506</v>
      </c>
      <c r="L861" s="13"/>
      <c r="M861" s="11"/>
      <c r="N861" s="15"/>
      <c r="O861" s="5" t="s">
        <v>564</v>
      </c>
      <c r="P861" s="5" t="s">
        <v>3507</v>
      </c>
      <c r="Q861" s="15"/>
      <c r="R861" s="16"/>
      <c r="S861" s="15"/>
      <c r="T861" s="15"/>
      <c r="U861" s="15"/>
      <c r="V861" s="15"/>
      <c r="W861" s="15"/>
      <c r="X861" s="15"/>
      <c r="Y861" s="15"/>
      <c r="Z861" s="15"/>
      <c r="AA861" s="15"/>
    </row>
    <row r="862">
      <c r="A862" s="5" t="s">
        <v>3501</v>
      </c>
      <c r="B862" s="6" t="s">
        <v>3508</v>
      </c>
      <c r="C862" s="40" t="s">
        <v>3509</v>
      </c>
      <c r="D862" s="8"/>
      <c r="E862" s="8" t="s">
        <v>3049</v>
      </c>
      <c r="F862" s="90">
        <v>100.0</v>
      </c>
      <c r="G862" s="97" t="s">
        <v>3510</v>
      </c>
      <c r="H862" s="11" t="s">
        <v>3511</v>
      </c>
      <c r="I862" s="97">
        <v>7.099018999E9</v>
      </c>
      <c r="J862" s="11" t="s">
        <v>25</v>
      </c>
      <c r="K862" s="12"/>
      <c r="L862" s="13"/>
      <c r="M862" s="11" t="s">
        <v>3512</v>
      </c>
      <c r="N862" s="15"/>
      <c r="O862" s="5" t="s">
        <v>34</v>
      </c>
      <c r="P862" s="5" t="s">
        <v>3496</v>
      </c>
      <c r="Q862" s="15"/>
      <c r="R862" s="16" t="s">
        <v>74</v>
      </c>
      <c r="S862" s="15"/>
      <c r="T862" s="15"/>
      <c r="U862" s="15"/>
      <c r="V862" s="15"/>
      <c r="W862" s="15"/>
      <c r="X862" s="15"/>
      <c r="Y862" s="15"/>
      <c r="Z862" s="15"/>
      <c r="AA862" s="15"/>
    </row>
    <row r="863">
      <c r="A863" s="5" t="s">
        <v>3513</v>
      </c>
      <c r="B863" s="6" t="s">
        <v>3514</v>
      </c>
      <c r="C863" s="40" t="s">
        <v>3515</v>
      </c>
      <c r="D863" s="8"/>
      <c r="E863" s="8" t="s">
        <v>3516</v>
      </c>
      <c r="F863" s="90">
        <v>850.0</v>
      </c>
      <c r="G863" s="97" t="s">
        <v>3517</v>
      </c>
      <c r="H863" s="11" t="s">
        <v>44</v>
      </c>
      <c r="I863" s="97">
        <v>8.076272541E9</v>
      </c>
      <c r="J863" s="11" t="s">
        <v>25</v>
      </c>
      <c r="K863" s="12"/>
      <c r="L863" s="13"/>
      <c r="M863" s="14"/>
      <c r="N863" s="15"/>
      <c r="O863" s="5" t="s">
        <v>34</v>
      </c>
      <c r="P863" s="5" t="s">
        <v>3496</v>
      </c>
      <c r="Q863" s="15"/>
      <c r="R863" s="16" t="s">
        <v>74</v>
      </c>
      <c r="S863" s="15"/>
      <c r="T863" s="15"/>
      <c r="U863" s="15"/>
      <c r="V863" s="15"/>
      <c r="W863" s="15"/>
      <c r="X863" s="15"/>
      <c r="Y863" s="15"/>
      <c r="Z863" s="15"/>
      <c r="AA863" s="15"/>
    </row>
    <row r="864">
      <c r="A864" s="5" t="s">
        <v>3513</v>
      </c>
      <c r="B864" s="6" t="s">
        <v>3518</v>
      </c>
      <c r="C864" s="36" t="s">
        <v>3519</v>
      </c>
      <c r="D864" s="105"/>
      <c r="E864" s="105" t="s">
        <v>3520</v>
      </c>
      <c r="F864" s="90" t="s">
        <v>3521</v>
      </c>
      <c r="G864" s="31" t="s">
        <v>3522</v>
      </c>
      <c r="H864" s="11" t="s">
        <v>1082</v>
      </c>
      <c r="I864" s="25">
        <v>9.830533169E9</v>
      </c>
      <c r="J864" s="11" t="s">
        <v>25</v>
      </c>
      <c r="K864" s="12" t="s">
        <v>3523</v>
      </c>
      <c r="L864" s="13"/>
      <c r="M864" s="14"/>
      <c r="N864" s="15"/>
      <c r="O864" s="5" t="s">
        <v>564</v>
      </c>
      <c r="P864" s="5" t="s">
        <v>3524</v>
      </c>
      <c r="Q864" s="15"/>
      <c r="R864" s="16"/>
      <c r="S864" s="15"/>
      <c r="T864" s="15"/>
      <c r="U864" s="15"/>
      <c r="V864" s="15"/>
      <c r="W864" s="15"/>
      <c r="X864" s="15"/>
      <c r="Y864" s="15"/>
      <c r="Z864" s="15"/>
      <c r="AA864" s="15"/>
    </row>
    <row r="865">
      <c r="A865" s="5" t="s">
        <v>3513</v>
      </c>
      <c r="B865" s="6" t="s">
        <v>3525</v>
      </c>
      <c r="C865" s="40" t="s">
        <v>3526</v>
      </c>
      <c r="D865" s="8"/>
      <c r="E865" s="8" t="s">
        <v>3527</v>
      </c>
      <c r="F865" s="90">
        <v>3000.0</v>
      </c>
      <c r="G865" s="97" t="s">
        <v>3528</v>
      </c>
      <c r="H865" s="11" t="s">
        <v>288</v>
      </c>
      <c r="I865" s="97">
        <v>7.00186915E9</v>
      </c>
      <c r="J865" s="11" t="s">
        <v>25</v>
      </c>
      <c r="K865" s="12"/>
      <c r="L865" s="13"/>
      <c r="M865" s="14"/>
      <c r="N865" s="15"/>
      <c r="O865" s="5" t="s">
        <v>34</v>
      </c>
      <c r="P865" s="5" t="s">
        <v>3496</v>
      </c>
      <c r="Q865" s="15"/>
      <c r="R865" s="16" t="s">
        <v>74</v>
      </c>
      <c r="S865" s="15"/>
      <c r="T865" s="15"/>
      <c r="U865" s="15"/>
      <c r="V865" s="15"/>
      <c r="W865" s="15"/>
      <c r="X865" s="15"/>
      <c r="Y865" s="15"/>
      <c r="Z865" s="15"/>
      <c r="AA865" s="15"/>
    </row>
    <row r="866">
      <c r="A866" s="106" t="s">
        <v>3529</v>
      </c>
      <c r="B866" s="107"/>
      <c r="C866" s="40"/>
      <c r="D866" s="8"/>
      <c r="E866" s="8"/>
      <c r="F866" s="90"/>
      <c r="G866" s="97"/>
      <c r="H866" s="11"/>
      <c r="I866" s="97"/>
      <c r="J866" s="11"/>
      <c r="K866" s="12"/>
      <c r="L866" s="13"/>
      <c r="M866" s="14"/>
      <c r="N866" s="15"/>
      <c r="O866" s="5"/>
      <c r="P866" s="5"/>
      <c r="Q866" s="15"/>
      <c r="R866" s="16"/>
      <c r="S866" s="15"/>
      <c r="T866" s="15"/>
      <c r="U866" s="15"/>
      <c r="V866" s="15"/>
      <c r="W866" s="15"/>
      <c r="X866" s="15"/>
      <c r="Y866" s="15"/>
      <c r="Z866" s="15"/>
      <c r="AA866" s="15"/>
    </row>
    <row r="867">
      <c r="A867" s="5" t="s">
        <v>3530</v>
      </c>
      <c r="B867" s="6" t="s">
        <v>3531</v>
      </c>
      <c r="C867" s="40" t="s">
        <v>3532</v>
      </c>
      <c r="D867" s="8"/>
      <c r="E867" s="8" t="s">
        <v>3533</v>
      </c>
      <c r="F867" s="90">
        <v>1000.0</v>
      </c>
      <c r="G867" s="108" t="s">
        <v>3534</v>
      </c>
      <c r="H867" s="109" t="s">
        <v>3535</v>
      </c>
      <c r="I867" s="97">
        <v>9.323040835E9</v>
      </c>
      <c r="J867" s="11" t="s">
        <v>25</v>
      </c>
      <c r="K867" s="12"/>
      <c r="L867" s="13"/>
      <c r="M867" s="14"/>
      <c r="N867" s="15"/>
      <c r="O867" s="5" t="s">
        <v>108</v>
      </c>
      <c r="P867" s="5"/>
      <c r="Q867" s="15"/>
      <c r="R867" s="16" t="s">
        <v>28</v>
      </c>
      <c r="S867" s="15"/>
      <c r="T867" s="15"/>
      <c r="U867" s="15"/>
      <c r="V867" s="15"/>
      <c r="W867" s="15"/>
      <c r="X867" s="15"/>
      <c r="Y867" s="15"/>
      <c r="Z867" s="15"/>
      <c r="AA867" s="15"/>
    </row>
    <row r="868">
      <c r="A868" s="5" t="s">
        <v>3530</v>
      </c>
      <c r="B868" s="6" t="s">
        <v>3536</v>
      </c>
      <c r="C868" s="40" t="s">
        <v>3537</v>
      </c>
      <c r="D868" s="8"/>
      <c r="E868" s="8" t="s">
        <v>43</v>
      </c>
      <c r="F868" s="90">
        <v>1000.0</v>
      </c>
      <c r="G868" s="97" t="s">
        <v>3538</v>
      </c>
      <c r="H868" s="11" t="s">
        <v>3539</v>
      </c>
      <c r="I868" s="97">
        <v>9.875529906E9</v>
      </c>
      <c r="J868" s="11" t="s">
        <v>25</v>
      </c>
      <c r="K868" s="12"/>
      <c r="L868" s="13"/>
      <c r="M868" s="14"/>
      <c r="N868" s="15"/>
      <c r="O868" s="5" t="s">
        <v>3540</v>
      </c>
      <c r="P868" s="5" t="s">
        <v>3541</v>
      </c>
      <c r="Q868" s="15"/>
      <c r="R868" s="16" t="s">
        <v>28</v>
      </c>
      <c r="S868" s="15"/>
      <c r="T868" s="15"/>
      <c r="U868" s="15"/>
      <c r="V868" s="15"/>
      <c r="W868" s="15"/>
      <c r="X868" s="15"/>
      <c r="Y868" s="15"/>
      <c r="Z868" s="15"/>
      <c r="AA868" s="15"/>
    </row>
    <row r="869">
      <c r="A869" s="5" t="s">
        <v>3542</v>
      </c>
      <c r="B869" s="6" t="s">
        <v>3543</v>
      </c>
      <c r="C869" s="40" t="s">
        <v>3544</v>
      </c>
      <c r="D869" s="8"/>
      <c r="E869" s="8" t="s">
        <v>3545</v>
      </c>
      <c r="F869" s="90">
        <v>3000.0</v>
      </c>
      <c r="G869" s="97" t="s">
        <v>3546</v>
      </c>
      <c r="H869" s="11" t="s">
        <v>44</v>
      </c>
      <c r="I869" s="97">
        <v>6.289271623E9</v>
      </c>
      <c r="J869" s="11" t="s">
        <v>25</v>
      </c>
      <c r="K869" s="12"/>
      <c r="L869" s="13"/>
      <c r="M869" s="11" t="s">
        <v>3547</v>
      </c>
      <c r="N869" s="15"/>
      <c r="O869" s="5" t="s">
        <v>34</v>
      </c>
      <c r="P869" s="5" t="s">
        <v>3548</v>
      </c>
      <c r="Q869" s="15"/>
      <c r="R869" s="16" t="s">
        <v>551</v>
      </c>
      <c r="S869" s="15"/>
      <c r="T869" s="15"/>
      <c r="U869" s="15"/>
      <c r="V869" s="15"/>
      <c r="W869" s="15"/>
      <c r="X869" s="15"/>
      <c r="Y869" s="15"/>
      <c r="Z869" s="15"/>
      <c r="AA869" s="15"/>
    </row>
    <row r="870">
      <c r="A870" s="5" t="s">
        <v>3549</v>
      </c>
      <c r="B870" s="6" t="s">
        <v>3550</v>
      </c>
      <c r="C870" s="40" t="s">
        <v>3551</v>
      </c>
      <c r="D870" s="8"/>
      <c r="E870" s="8" t="s">
        <v>130</v>
      </c>
      <c r="F870" s="9">
        <v>10000.0</v>
      </c>
      <c r="G870" s="97" t="s">
        <v>3552</v>
      </c>
      <c r="H870" s="11" t="s">
        <v>44</v>
      </c>
      <c r="I870" s="97">
        <v>9.874736096E9</v>
      </c>
      <c r="J870" s="11" t="s">
        <v>25</v>
      </c>
      <c r="K870" s="12"/>
      <c r="L870" s="13"/>
      <c r="M870" s="14"/>
      <c r="N870" s="15"/>
      <c r="O870" s="5" t="s">
        <v>34</v>
      </c>
      <c r="P870" s="5" t="s">
        <v>957</v>
      </c>
      <c r="Q870" s="15"/>
      <c r="R870" s="16" t="s">
        <v>634</v>
      </c>
      <c r="S870" s="15"/>
      <c r="T870" s="15"/>
      <c r="U870" s="15"/>
      <c r="V870" s="15"/>
      <c r="W870" s="15"/>
      <c r="X870" s="15"/>
      <c r="Y870" s="15"/>
      <c r="Z870" s="15"/>
      <c r="AA870" s="15"/>
    </row>
    <row r="871">
      <c r="A871" s="5" t="s">
        <v>3549</v>
      </c>
      <c r="B871" s="6" t="s">
        <v>3553</v>
      </c>
      <c r="C871" s="40" t="s">
        <v>3554</v>
      </c>
      <c r="D871" s="8"/>
      <c r="E871" s="8" t="s">
        <v>3555</v>
      </c>
      <c r="F871" s="9">
        <v>10000.0</v>
      </c>
      <c r="G871" s="110" t="s">
        <v>3556</v>
      </c>
      <c r="H871" s="11" t="s">
        <v>906</v>
      </c>
      <c r="I871" s="97">
        <v>9.821054996E9</v>
      </c>
      <c r="J871" s="11" t="s">
        <v>25</v>
      </c>
      <c r="K871" s="12"/>
      <c r="L871" s="13"/>
      <c r="M871" s="14"/>
      <c r="N871" s="15"/>
      <c r="O871" s="5" t="s">
        <v>108</v>
      </c>
      <c r="P871" s="5"/>
      <c r="Q871" s="15"/>
      <c r="R871" s="16" t="s">
        <v>28</v>
      </c>
      <c r="S871" s="15"/>
      <c r="T871" s="15"/>
      <c r="U871" s="15"/>
      <c r="V871" s="15"/>
      <c r="W871" s="15"/>
      <c r="X871" s="15"/>
      <c r="Y871" s="15"/>
      <c r="Z871" s="15"/>
      <c r="AA871" s="15"/>
    </row>
    <row r="872">
      <c r="A872" s="5" t="s">
        <v>3549</v>
      </c>
      <c r="B872" s="6" t="s">
        <v>3557</v>
      </c>
      <c r="C872" s="40" t="s">
        <v>3558</v>
      </c>
      <c r="D872" s="8"/>
      <c r="E872" s="8" t="s">
        <v>326</v>
      </c>
      <c r="F872" s="9">
        <v>10000.0</v>
      </c>
      <c r="G872" s="31" t="s">
        <v>3559</v>
      </c>
      <c r="H872" s="11" t="s">
        <v>218</v>
      </c>
      <c r="I872" s="97">
        <v>9.775509111E9</v>
      </c>
      <c r="J872" s="11" t="s">
        <v>25</v>
      </c>
      <c r="K872" s="12"/>
      <c r="L872" s="13"/>
      <c r="M872" s="14"/>
      <c r="N872" s="15"/>
      <c r="O872" s="5" t="s">
        <v>34</v>
      </c>
      <c r="P872" s="5" t="s">
        <v>3560</v>
      </c>
      <c r="Q872" s="15"/>
      <c r="R872" s="16" t="s">
        <v>634</v>
      </c>
      <c r="S872" s="15"/>
      <c r="T872" s="15"/>
      <c r="U872" s="15"/>
      <c r="V872" s="15"/>
      <c r="W872" s="15"/>
      <c r="X872" s="15"/>
      <c r="Y872" s="15"/>
      <c r="Z872" s="15"/>
      <c r="AA872" s="15"/>
    </row>
    <row r="873">
      <c r="A873" s="5" t="s">
        <v>3549</v>
      </c>
      <c r="B873" s="6" t="s">
        <v>3561</v>
      </c>
      <c r="C873" s="40" t="s">
        <v>3562</v>
      </c>
      <c r="D873" s="8"/>
      <c r="E873" s="8" t="s">
        <v>3563</v>
      </c>
      <c r="F873" s="90">
        <v>1000.0</v>
      </c>
      <c r="G873" s="110" t="s">
        <v>3564</v>
      </c>
      <c r="H873" s="11" t="s">
        <v>930</v>
      </c>
      <c r="I873" s="41" t="s">
        <v>3565</v>
      </c>
      <c r="J873" s="11" t="s">
        <v>25</v>
      </c>
      <c r="K873" s="12"/>
      <c r="L873" s="13"/>
      <c r="M873" s="14"/>
      <c r="N873" s="15"/>
      <c r="O873" s="5" t="s">
        <v>108</v>
      </c>
      <c r="P873" s="5"/>
      <c r="Q873" s="15"/>
      <c r="R873" s="16" t="s">
        <v>28</v>
      </c>
      <c r="S873" s="15"/>
      <c r="T873" s="15"/>
      <c r="U873" s="15"/>
      <c r="V873" s="15"/>
      <c r="W873" s="15"/>
      <c r="X873" s="15"/>
      <c r="Y873" s="15"/>
      <c r="Z873" s="15"/>
      <c r="AA873" s="15"/>
    </row>
    <row r="874">
      <c r="A874" s="5" t="s">
        <v>3549</v>
      </c>
      <c r="B874" s="6" t="s">
        <v>3566</v>
      </c>
      <c r="C874" s="40" t="s">
        <v>3567</v>
      </c>
      <c r="D874" s="8"/>
      <c r="E874" s="8" t="s">
        <v>3555</v>
      </c>
      <c r="F874" s="90">
        <v>3000.0</v>
      </c>
      <c r="G874" s="108" t="s">
        <v>3568</v>
      </c>
      <c r="H874" s="11"/>
      <c r="I874" s="97">
        <v>9.845756123E9</v>
      </c>
      <c r="J874" s="11" t="s">
        <v>25</v>
      </c>
      <c r="K874" s="12"/>
      <c r="L874" s="13"/>
      <c r="M874" s="14"/>
      <c r="N874" s="15"/>
      <c r="O874" s="5" t="s">
        <v>108</v>
      </c>
      <c r="P874" s="5"/>
      <c r="Q874" s="15"/>
      <c r="R874" s="16" t="s">
        <v>28</v>
      </c>
      <c r="S874" s="15"/>
      <c r="T874" s="15"/>
      <c r="U874" s="15"/>
      <c r="V874" s="15"/>
      <c r="W874" s="15"/>
      <c r="X874" s="15"/>
      <c r="Y874" s="15"/>
      <c r="Z874" s="15"/>
      <c r="AA874" s="15"/>
    </row>
    <row r="875">
      <c r="A875" s="5" t="s">
        <v>3569</v>
      </c>
      <c r="B875" s="6"/>
      <c r="C875" s="40" t="s">
        <v>3570</v>
      </c>
      <c r="D875" s="8"/>
      <c r="E875" s="8" t="s">
        <v>3571</v>
      </c>
      <c r="F875" s="90">
        <v>25000.0</v>
      </c>
      <c r="G875" s="97"/>
      <c r="H875" s="36" t="s">
        <v>638</v>
      </c>
      <c r="I875" s="79">
        <v>8.918715976E9</v>
      </c>
      <c r="J875" s="11" t="s">
        <v>25</v>
      </c>
      <c r="K875" s="12" t="s">
        <v>2367</v>
      </c>
      <c r="L875" s="13"/>
      <c r="M875" s="14"/>
      <c r="N875" s="15"/>
      <c r="O875" s="5" t="s">
        <v>26</v>
      </c>
      <c r="P875" s="5" t="s">
        <v>3572</v>
      </c>
      <c r="Q875" s="15"/>
      <c r="R875" s="16"/>
      <c r="S875" s="15"/>
      <c r="T875" s="15"/>
      <c r="U875" s="15"/>
      <c r="V875" s="15"/>
      <c r="W875" s="15"/>
      <c r="X875" s="15"/>
      <c r="Y875" s="15"/>
      <c r="Z875" s="15"/>
      <c r="AA875" s="15"/>
    </row>
    <row r="876">
      <c r="A876" s="5" t="s">
        <v>3573</v>
      </c>
      <c r="B876" s="6" t="s">
        <v>3574</v>
      </c>
      <c r="C876" s="40" t="s">
        <v>3575</v>
      </c>
      <c r="D876" s="8"/>
      <c r="E876" s="8" t="s">
        <v>235</v>
      </c>
      <c r="F876" s="9">
        <v>25000.0</v>
      </c>
      <c r="G876" s="31" t="s">
        <v>3576</v>
      </c>
      <c r="H876" s="11" t="s">
        <v>44</v>
      </c>
      <c r="I876" s="97">
        <v>9.163228708E9</v>
      </c>
      <c r="J876" s="11" t="s">
        <v>3577</v>
      </c>
      <c r="K876" s="12"/>
      <c r="L876" s="13"/>
      <c r="M876" s="14"/>
      <c r="N876" s="15"/>
      <c r="O876" s="5" t="s">
        <v>26</v>
      </c>
      <c r="P876" s="5"/>
      <c r="Q876" s="15"/>
      <c r="R876" s="16" t="s">
        <v>28</v>
      </c>
      <c r="S876" s="15"/>
      <c r="T876" s="15"/>
      <c r="U876" s="15"/>
      <c r="V876" s="15"/>
      <c r="W876" s="15"/>
      <c r="X876" s="15"/>
      <c r="Y876" s="15"/>
      <c r="Z876" s="15"/>
      <c r="AA876" s="15"/>
    </row>
    <row r="877">
      <c r="A877" s="5" t="s">
        <v>3573</v>
      </c>
      <c r="B877" s="6" t="s">
        <v>3578</v>
      </c>
      <c r="C877" s="36" t="s">
        <v>3579</v>
      </c>
      <c r="D877" s="75"/>
      <c r="E877" s="8" t="s">
        <v>130</v>
      </c>
      <c r="F877" s="90">
        <v>20000.0</v>
      </c>
      <c r="G877" s="97"/>
      <c r="H877" s="11" t="s">
        <v>44</v>
      </c>
      <c r="I877" s="79">
        <v>9.330784806E9</v>
      </c>
      <c r="J877" s="11" t="s">
        <v>25</v>
      </c>
      <c r="K877" s="12" t="s">
        <v>1706</v>
      </c>
      <c r="L877" s="13"/>
      <c r="M877" s="14"/>
      <c r="N877" s="15"/>
      <c r="O877" s="5" t="s">
        <v>1112</v>
      </c>
      <c r="P877" s="5" t="s">
        <v>3580</v>
      </c>
      <c r="Q877" s="5" t="s">
        <v>3581</v>
      </c>
      <c r="R877" s="16" t="s">
        <v>28</v>
      </c>
      <c r="S877" s="15"/>
      <c r="T877" s="15"/>
      <c r="U877" s="15"/>
      <c r="V877" s="15"/>
      <c r="W877" s="15"/>
      <c r="X877" s="15"/>
      <c r="Y877" s="15"/>
      <c r="Z877" s="15"/>
      <c r="AA877" s="15"/>
    </row>
    <row r="878">
      <c r="A878" s="5" t="s">
        <v>3582</v>
      </c>
      <c r="B878" s="6" t="s">
        <v>3583</v>
      </c>
      <c r="C878" s="40" t="s">
        <v>3584</v>
      </c>
      <c r="D878" s="8"/>
      <c r="E878" s="8" t="s">
        <v>130</v>
      </c>
      <c r="F878" s="9">
        <v>10000.0</v>
      </c>
      <c r="G878" s="31" t="s">
        <v>3585</v>
      </c>
      <c r="H878" s="11" t="s">
        <v>495</v>
      </c>
      <c r="I878" s="97">
        <v>9.304572667E9</v>
      </c>
      <c r="J878" s="11" t="s">
        <v>25</v>
      </c>
      <c r="K878" s="12"/>
      <c r="L878" s="13"/>
      <c r="M878" s="14"/>
      <c r="N878" s="15"/>
      <c r="O878" s="5" t="s">
        <v>34</v>
      </c>
      <c r="P878" s="5" t="s">
        <v>3586</v>
      </c>
      <c r="Q878" s="15"/>
      <c r="R878" s="16" t="s">
        <v>28</v>
      </c>
      <c r="S878" s="15"/>
      <c r="T878" s="15"/>
      <c r="U878" s="15"/>
      <c r="V878" s="15"/>
      <c r="W878" s="15"/>
      <c r="X878" s="15"/>
      <c r="Y878" s="15"/>
      <c r="Z878" s="15"/>
      <c r="AA878" s="15"/>
    </row>
    <row r="879">
      <c r="A879" s="5" t="s">
        <v>3582</v>
      </c>
      <c r="B879" s="6" t="s">
        <v>3587</v>
      </c>
      <c r="C879" s="40" t="s">
        <v>3588</v>
      </c>
      <c r="D879" s="8"/>
      <c r="E879" s="8" t="s">
        <v>1675</v>
      </c>
      <c r="F879" s="90">
        <v>500.0</v>
      </c>
      <c r="G879" s="110" t="s">
        <v>3589</v>
      </c>
      <c r="H879" s="11" t="s">
        <v>3590</v>
      </c>
      <c r="I879" s="97">
        <v>9.821048984E9</v>
      </c>
      <c r="J879" s="11" t="s">
        <v>25</v>
      </c>
      <c r="K879" s="12"/>
      <c r="L879" s="13"/>
      <c r="M879" s="14"/>
      <c r="N879" s="15"/>
      <c r="O879" s="5" t="s">
        <v>108</v>
      </c>
      <c r="P879" s="5"/>
      <c r="Q879" s="15"/>
      <c r="R879" s="16" t="s">
        <v>28</v>
      </c>
      <c r="S879" s="15"/>
      <c r="T879" s="15"/>
      <c r="U879" s="15"/>
      <c r="V879" s="15"/>
      <c r="W879" s="15"/>
      <c r="X879" s="15"/>
      <c r="Y879" s="15"/>
      <c r="Z879" s="15"/>
      <c r="AA879" s="15"/>
    </row>
    <row r="880">
      <c r="A880" s="5" t="s">
        <v>3591</v>
      </c>
      <c r="B880" s="6" t="s">
        <v>3592</v>
      </c>
      <c r="C880" s="40" t="s">
        <v>3593</v>
      </c>
      <c r="D880" s="8"/>
      <c r="E880" s="8" t="s">
        <v>1023</v>
      </c>
      <c r="F880" s="9">
        <v>22000.0</v>
      </c>
      <c r="G880" s="108" t="s">
        <v>3594</v>
      </c>
      <c r="H880" s="11" t="s">
        <v>3595</v>
      </c>
      <c r="I880" s="41" t="s">
        <v>3596</v>
      </c>
      <c r="J880" s="11" t="s">
        <v>25</v>
      </c>
      <c r="K880" s="12"/>
      <c r="L880" s="13"/>
      <c r="M880" s="14"/>
      <c r="N880" s="15"/>
      <c r="O880" s="5" t="s">
        <v>108</v>
      </c>
      <c r="P880" s="5"/>
      <c r="Q880" s="15"/>
      <c r="R880" s="16" t="s">
        <v>28</v>
      </c>
      <c r="S880" s="15"/>
      <c r="T880" s="15"/>
      <c r="U880" s="15"/>
      <c r="V880" s="15"/>
      <c r="W880" s="15"/>
      <c r="X880" s="15"/>
      <c r="Y880" s="15"/>
      <c r="Z880" s="15"/>
      <c r="AA880" s="15"/>
    </row>
    <row r="881">
      <c r="A881" s="5" t="s">
        <v>3591</v>
      </c>
      <c r="B881" s="6" t="s">
        <v>3597</v>
      </c>
      <c r="C881" s="40" t="s">
        <v>3598</v>
      </c>
      <c r="D881" s="8"/>
      <c r="E881" s="8" t="s">
        <v>152</v>
      </c>
      <c r="F881" s="90">
        <v>500.0</v>
      </c>
      <c r="G881" s="31" t="s">
        <v>3599</v>
      </c>
      <c r="H881" s="11" t="s">
        <v>99</v>
      </c>
      <c r="I881" s="97">
        <v>9.09002518E9</v>
      </c>
      <c r="J881" s="11" t="s">
        <v>25</v>
      </c>
      <c r="K881" s="12"/>
      <c r="L881" s="13"/>
      <c r="M881" s="14"/>
      <c r="N881" s="15"/>
      <c r="O881" s="5" t="s">
        <v>26</v>
      </c>
      <c r="P881" s="5" t="s">
        <v>453</v>
      </c>
      <c r="Q881" s="15"/>
      <c r="R881" s="16" t="s">
        <v>28</v>
      </c>
      <c r="S881" s="15"/>
      <c r="T881" s="15"/>
      <c r="U881" s="15"/>
      <c r="V881" s="15"/>
      <c r="W881" s="15"/>
      <c r="X881" s="15"/>
      <c r="Y881" s="15"/>
      <c r="Z881" s="15"/>
      <c r="AA881" s="15"/>
    </row>
    <row r="882">
      <c r="A882" s="5" t="s">
        <v>3600</v>
      </c>
      <c r="B882" s="6" t="s">
        <v>3601</v>
      </c>
      <c r="C882" s="111" t="s">
        <v>3602</v>
      </c>
      <c r="D882" s="111"/>
      <c r="E882" s="112" t="s">
        <v>568</v>
      </c>
      <c r="F882" s="90">
        <v>10000.0</v>
      </c>
      <c r="G882" s="113" t="s">
        <v>3603</v>
      </c>
      <c r="H882" s="11" t="s">
        <v>1082</v>
      </c>
      <c r="I882" s="114">
        <v>7.90855146E9</v>
      </c>
      <c r="J882" s="11" t="s">
        <v>25</v>
      </c>
      <c r="K882" s="12" t="s">
        <v>3604</v>
      </c>
      <c r="L882" s="13"/>
      <c r="M882" s="14"/>
      <c r="N882" s="15"/>
      <c r="O882" s="5" t="s">
        <v>564</v>
      </c>
      <c r="P882" s="5"/>
      <c r="Q882" s="15"/>
      <c r="R882" s="16" t="s">
        <v>28</v>
      </c>
      <c r="S882" s="15"/>
      <c r="T882" s="15"/>
      <c r="U882" s="15"/>
      <c r="V882" s="15"/>
      <c r="W882" s="15"/>
      <c r="X882" s="15"/>
      <c r="Y882" s="15"/>
      <c r="Z882" s="15"/>
      <c r="AA882" s="15"/>
    </row>
    <row r="883">
      <c r="A883" s="5" t="s">
        <v>3600</v>
      </c>
      <c r="B883" s="6" t="s">
        <v>3605</v>
      </c>
      <c r="C883" s="40" t="s">
        <v>3606</v>
      </c>
      <c r="D883" s="8"/>
      <c r="E883" s="8" t="s">
        <v>3607</v>
      </c>
      <c r="F883" s="90">
        <v>1000.0</v>
      </c>
      <c r="G883" s="31" t="s">
        <v>3608</v>
      </c>
      <c r="H883" s="11" t="s">
        <v>472</v>
      </c>
      <c r="I883" s="97">
        <v>9.33391967E9</v>
      </c>
      <c r="J883" s="11" t="s">
        <v>25</v>
      </c>
      <c r="K883" s="12"/>
      <c r="L883" s="13"/>
      <c r="M883" s="14"/>
      <c r="N883" s="15"/>
      <c r="O883" s="5" t="s">
        <v>26</v>
      </c>
      <c r="P883" s="5"/>
      <c r="Q883" s="15"/>
      <c r="R883" s="16" t="s">
        <v>28</v>
      </c>
      <c r="S883" s="15"/>
      <c r="T883" s="15"/>
      <c r="U883" s="15"/>
      <c r="V883" s="15"/>
      <c r="W883" s="15"/>
      <c r="X883" s="15"/>
      <c r="Y883" s="15"/>
      <c r="Z883" s="15"/>
      <c r="AA883" s="15"/>
    </row>
    <row r="884">
      <c r="A884" s="5" t="s">
        <v>3600</v>
      </c>
      <c r="B884" s="6" t="s">
        <v>3609</v>
      </c>
      <c r="C884" s="40" t="s">
        <v>3610</v>
      </c>
      <c r="D884" s="8"/>
      <c r="E884" s="8" t="s">
        <v>3611</v>
      </c>
      <c r="F884" s="90">
        <v>2000.0</v>
      </c>
      <c r="G884" s="31" t="s">
        <v>3612</v>
      </c>
      <c r="H884" s="11" t="s">
        <v>44</v>
      </c>
      <c r="I884" s="97">
        <v>9.836481555E9</v>
      </c>
      <c r="J884" s="11" t="s">
        <v>25</v>
      </c>
      <c r="K884" s="12"/>
      <c r="L884" s="13"/>
      <c r="M884" s="14"/>
      <c r="N884" s="15"/>
      <c r="O884" s="5" t="s">
        <v>26</v>
      </c>
      <c r="P884" s="5"/>
      <c r="Q884" s="15"/>
      <c r="R884" s="16" t="s">
        <v>28</v>
      </c>
      <c r="S884" s="15"/>
      <c r="T884" s="15"/>
      <c r="U884" s="15"/>
      <c r="V884" s="15"/>
      <c r="W884" s="15"/>
      <c r="X884" s="15"/>
      <c r="Y884" s="15"/>
      <c r="Z884" s="15"/>
      <c r="AA884" s="15"/>
    </row>
    <row r="885">
      <c r="A885" s="5" t="s">
        <v>3600</v>
      </c>
      <c r="B885" s="6" t="s">
        <v>3613</v>
      </c>
      <c r="C885" s="40" t="s">
        <v>3614</v>
      </c>
      <c r="D885" s="8"/>
      <c r="E885" s="8" t="s">
        <v>3615</v>
      </c>
      <c r="F885" s="90">
        <v>2000.0</v>
      </c>
      <c r="G885" s="110" t="s">
        <v>3616</v>
      </c>
      <c r="H885" s="109" t="s">
        <v>3617</v>
      </c>
      <c r="I885" s="97">
        <v>9.342353774E9</v>
      </c>
      <c r="J885" s="11" t="s">
        <v>25</v>
      </c>
      <c r="K885" s="12"/>
      <c r="L885" s="13"/>
      <c r="M885" s="14"/>
      <c r="N885" s="15"/>
      <c r="O885" s="5" t="s">
        <v>108</v>
      </c>
      <c r="P885" s="5"/>
      <c r="Q885" s="15"/>
      <c r="R885" s="16" t="s">
        <v>28</v>
      </c>
      <c r="S885" s="15"/>
      <c r="T885" s="15"/>
      <c r="U885" s="15"/>
      <c r="V885" s="15"/>
      <c r="W885" s="15"/>
      <c r="X885" s="15"/>
      <c r="Y885" s="15"/>
      <c r="Z885" s="15"/>
      <c r="AA885" s="15"/>
    </row>
    <row r="886">
      <c r="A886" s="5" t="s">
        <v>3600</v>
      </c>
      <c r="B886" s="6" t="s">
        <v>3618</v>
      </c>
      <c r="C886" s="40" t="s">
        <v>3619</v>
      </c>
      <c r="D886" s="8"/>
      <c r="E886" s="8" t="s">
        <v>3620</v>
      </c>
      <c r="F886" s="9">
        <v>13000.0</v>
      </c>
      <c r="G886" s="108" t="s">
        <v>3621</v>
      </c>
      <c r="H886" s="109" t="s">
        <v>3622</v>
      </c>
      <c r="I886" s="97">
        <v>9.998177959E9</v>
      </c>
      <c r="J886" s="11" t="s">
        <v>25</v>
      </c>
      <c r="K886" s="12"/>
      <c r="L886" s="13"/>
      <c r="M886" s="14"/>
      <c r="N886" s="15"/>
      <c r="O886" s="5" t="s">
        <v>108</v>
      </c>
      <c r="P886" s="5"/>
      <c r="Q886" s="15"/>
      <c r="R886" s="16" t="s">
        <v>28</v>
      </c>
      <c r="S886" s="15"/>
      <c r="T886" s="15"/>
      <c r="U886" s="15"/>
      <c r="V886" s="15"/>
      <c r="W886" s="15"/>
      <c r="X886" s="15"/>
      <c r="Y886" s="15"/>
      <c r="Z886" s="15"/>
      <c r="AA886" s="15"/>
    </row>
    <row r="887">
      <c r="A887" s="5" t="s">
        <v>3623</v>
      </c>
      <c r="B887" s="6" t="s">
        <v>3624</v>
      </c>
      <c r="C887" s="40" t="s">
        <v>3625</v>
      </c>
      <c r="D887" s="8"/>
      <c r="E887" s="8" t="s">
        <v>1465</v>
      </c>
      <c r="F887" s="90">
        <v>500.0</v>
      </c>
      <c r="G887" s="31" t="s">
        <v>3626</v>
      </c>
      <c r="H887" s="36" t="s">
        <v>3627</v>
      </c>
      <c r="I887" s="41" t="s">
        <v>3628</v>
      </c>
      <c r="J887" s="11" t="s">
        <v>25</v>
      </c>
      <c r="K887" s="12"/>
      <c r="L887" s="13"/>
      <c r="M887" s="14"/>
      <c r="N887" s="15"/>
      <c r="O887" s="5" t="s">
        <v>108</v>
      </c>
      <c r="P887" s="5"/>
      <c r="Q887" s="15"/>
      <c r="R887" s="16" t="s">
        <v>28</v>
      </c>
      <c r="S887" s="15"/>
      <c r="T887" s="15"/>
      <c r="U887" s="15"/>
      <c r="V887" s="15"/>
      <c r="W887" s="15"/>
      <c r="X887" s="15"/>
      <c r="Y887" s="15"/>
      <c r="Z887" s="15"/>
      <c r="AA887" s="15"/>
    </row>
    <row r="888">
      <c r="A888" s="5" t="s">
        <v>3623</v>
      </c>
      <c r="B888" s="6" t="s">
        <v>3629</v>
      </c>
      <c r="C888" s="40" t="s">
        <v>3630</v>
      </c>
      <c r="D888" s="8"/>
      <c r="E888" s="8" t="s">
        <v>3555</v>
      </c>
      <c r="F888" s="9">
        <v>10000.0</v>
      </c>
      <c r="G888" s="108" t="s">
        <v>3631</v>
      </c>
      <c r="H888" s="11"/>
      <c r="I888" s="97">
        <v>9.82071231E9</v>
      </c>
      <c r="J888" s="11" t="s">
        <v>25</v>
      </c>
      <c r="K888" s="12"/>
      <c r="L888" s="13"/>
      <c r="M888" s="14"/>
      <c r="N888" s="15"/>
      <c r="O888" s="5" t="s">
        <v>1030</v>
      </c>
      <c r="P888" s="5"/>
      <c r="Q888" s="15"/>
      <c r="R888" s="16" t="s">
        <v>28</v>
      </c>
      <c r="S888" s="15"/>
      <c r="T888" s="15"/>
      <c r="U888" s="15"/>
      <c r="V888" s="15"/>
      <c r="W888" s="15"/>
      <c r="X888" s="15"/>
      <c r="Y888" s="15"/>
      <c r="Z888" s="15"/>
      <c r="AA888" s="15"/>
    </row>
    <row r="889">
      <c r="A889" s="5" t="s">
        <v>3623</v>
      </c>
      <c r="B889" s="6" t="s">
        <v>3632</v>
      </c>
      <c r="C889" s="40" t="s">
        <v>3633</v>
      </c>
      <c r="D889" s="8"/>
      <c r="E889" s="8" t="s">
        <v>3634</v>
      </c>
      <c r="F889" s="90">
        <v>1000.0</v>
      </c>
      <c r="G889" s="31" t="s">
        <v>3635</v>
      </c>
      <c r="H889" s="11" t="s">
        <v>44</v>
      </c>
      <c r="I889" s="97">
        <v>9.8311544E9</v>
      </c>
      <c r="J889" s="11" t="s">
        <v>25</v>
      </c>
      <c r="K889" s="12"/>
      <c r="L889" s="13"/>
      <c r="M889" s="14"/>
      <c r="N889" s="15"/>
      <c r="O889" s="5" t="s">
        <v>26</v>
      </c>
      <c r="P889" s="5"/>
      <c r="Q889" s="15"/>
      <c r="R889" s="16" t="s">
        <v>28</v>
      </c>
      <c r="S889" s="15"/>
      <c r="T889" s="15"/>
      <c r="U889" s="15"/>
      <c r="V889" s="15"/>
      <c r="W889" s="15"/>
      <c r="X889" s="15"/>
      <c r="Y889" s="15"/>
      <c r="Z889" s="15"/>
      <c r="AA889" s="15"/>
    </row>
    <row r="890">
      <c r="A890" s="5" t="s">
        <v>3636</v>
      </c>
      <c r="B890" s="6" t="s">
        <v>3637</v>
      </c>
      <c r="C890" s="40" t="s">
        <v>3638</v>
      </c>
      <c r="D890" s="8"/>
      <c r="E890" s="8" t="s">
        <v>1000</v>
      </c>
      <c r="F890" s="90">
        <v>4000.0</v>
      </c>
      <c r="G890" s="31" t="s">
        <v>3639</v>
      </c>
      <c r="H890" s="36" t="s">
        <v>1006</v>
      </c>
      <c r="I890" s="97">
        <v>8.650505452E9</v>
      </c>
      <c r="J890" s="11" t="s">
        <v>25</v>
      </c>
      <c r="K890" s="12"/>
      <c r="L890" s="13"/>
      <c r="M890" s="14"/>
      <c r="N890" s="15"/>
      <c r="O890" s="5" t="s">
        <v>108</v>
      </c>
      <c r="P890" s="5"/>
      <c r="Q890" s="15"/>
      <c r="R890" s="16" t="s">
        <v>28</v>
      </c>
      <c r="S890" s="15"/>
      <c r="T890" s="15"/>
      <c r="U890" s="15"/>
      <c r="V890" s="15"/>
      <c r="W890" s="15"/>
      <c r="X890" s="15"/>
      <c r="Y890" s="15"/>
      <c r="Z890" s="15"/>
      <c r="AA890" s="15"/>
    </row>
    <row r="891">
      <c r="A891" s="5" t="s">
        <v>3636</v>
      </c>
      <c r="B891" s="6" t="s">
        <v>3640</v>
      </c>
      <c r="C891" s="40" t="s">
        <v>3641</v>
      </c>
      <c r="D891" s="8"/>
      <c r="E891" s="8" t="s">
        <v>286</v>
      </c>
      <c r="F891" s="90">
        <v>1000.0</v>
      </c>
      <c r="G891" s="31" t="s">
        <v>3642</v>
      </c>
      <c r="H891" s="11" t="s">
        <v>3216</v>
      </c>
      <c r="I891" s="97">
        <v>7.43180604E9</v>
      </c>
      <c r="J891" s="11" t="s">
        <v>25</v>
      </c>
      <c r="K891" s="12" t="s">
        <v>3643</v>
      </c>
      <c r="L891" s="13"/>
      <c r="M891" s="14"/>
      <c r="N891" s="15"/>
      <c r="O891" s="5" t="s">
        <v>26</v>
      </c>
      <c r="P891" s="5" t="s">
        <v>3644</v>
      </c>
      <c r="Q891" s="15"/>
      <c r="R891" s="16" t="s">
        <v>28</v>
      </c>
      <c r="S891" s="15"/>
      <c r="T891" s="15"/>
      <c r="U891" s="15"/>
      <c r="V891" s="15"/>
      <c r="W891" s="15"/>
      <c r="X891" s="15"/>
      <c r="Y891" s="15"/>
      <c r="Z891" s="15"/>
      <c r="AA891" s="15"/>
    </row>
    <row r="892">
      <c r="A892" s="5" t="s">
        <v>3636</v>
      </c>
      <c r="B892" s="6" t="s">
        <v>3645</v>
      </c>
      <c r="C892" s="40" t="s">
        <v>3646</v>
      </c>
      <c r="D892" s="8"/>
      <c r="E892" s="8" t="s">
        <v>794</v>
      </c>
      <c r="F892" s="90">
        <v>5000.0</v>
      </c>
      <c r="G892" s="97"/>
      <c r="H892" s="11" t="s">
        <v>44</v>
      </c>
      <c r="I892" s="97">
        <v>9.475076786E9</v>
      </c>
      <c r="J892" s="11" t="s">
        <v>25</v>
      </c>
      <c r="K892" s="12" t="s">
        <v>3647</v>
      </c>
      <c r="L892" s="12" t="s">
        <v>3648</v>
      </c>
      <c r="M892" s="14"/>
      <c r="N892" s="15"/>
      <c r="O892" s="5" t="s">
        <v>26</v>
      </c>
      <c r="P892" s="5" t="s">
        <v>3649</v>
      </c>
      <c r="Q892" s="15"/>
      <c r="R892" s="16" t="s">
        <v>28</v>
      </c>
      <c r="S892" s="15"/>
      <c r="T892" s="15"/>
      <c r="U892" s="15"/>
      <c r="V892" s="15"/>
      <c r="W892" s="15"/>
      <c r="X892" s="15"/>
      <c r="Y892" s="15"/>
      <c r="Z892" s="15"/>
      <c r="AA892" s="15"/>
    </row>
    <row r="893">
      <c r="A893" s="5" t="s">
        <v>3636</v>
      </c>
      <c r="B893" s="6" t="s">
        <v>3650</v>
      </c>
      <c r="C893" s="40" t="s">
        <v>3651</v>
      </c>
      <c r="D893" s="8"/>
      <c r="E893" s="8" t="s">
        <v>3652</v>
      </c>
      <c r="F893" s="9">
        <v>10000.0</v>
      </c>
      <c r="G893" s="31" t="s">
        <v>3653</v>
      </c>
      <c r="H893" s="11" t="s">
        <v>398</v>
      </c>
      <c r="I893" s="97">
        <v>7.694021122E9</v>
      </c>
      <c r="J893" s="11" t="s">
        <v>25</v>
      </c>
      <c r="K893" s="12"/>
      <c r="L893" s="13"/>
      <c r="M893" s="14"/>
      <c r="N893" s="15"/>
      <c r="O893" s="5" t="s">
        <v>108</v>
      </c>
      <c r="P893" s="5"/>
      <c r="Q893" s="15"/>
      <c r="R893" s="16" t="s">
        <v>28</v>
      </c>
      <c r="S893" s="15"/>
      <c r="T893" s="15"/>
      <c r="U893" s="15"/>
      <c r="V893" s="15"/>
      <c r="W893" s="15"/>
      <c r="X893" s="15"/>
      <c r="Y893" s="15"/>
      <c r="Z893" s="15"/>
      <c r="AA893" s="15"/>
    </row>
    <row r="894">
      <c r="A894" s="5" t="s">
        <v>3636</v>
      </c>
      <c r="B894" s="6" t="s">
        <v>3654</v>
      </c>
      <c r="C894" s="40" t="s">
        <v>3655</v>
      </c>
      <c r="D894" s="8"/>
      <c r="E894" s="8" t="s">
        <v>3656</v>
      </c>
      <c r="F894" s="90">
        <v>2000.0</v>
      </c>
      <c r="G894" s="31" t="s">
        <v>3657</v>
      </c>
      <c r="H894" s="11" t="s">
        <v>906</v>
      </c>
      <c r="I894" s="41" t="s">
        <v>3658</v>
      </c>
      <c r="J894" s="11" t="s">
        <v>25</v>
      </c>
      <c r="K894" s="12"/>
      <c r="L894" s="13"/>
      <c r="M894" s="14"/>
      <c r="N894" s="15"/>
      <c r="O894" s="5" t="s">
        <v>108</v>
      </c>
      <c r="P894" s="5"/>
      <c r="Q894" s="15"/>
      <c r="R894" s="16" t="s">
        <v>28</v>
      </c>
      <c r="S894" s="15"/>
      <c r="T894" s="15"/>
      <c r="U894" s="15"/>
      <c r="V894" s="15"/>
      <c r="W894" s="15"/>
      <c r="X894" s="15"/>
      <c r="Y894" s="15"/>
      <c r="Z894" s="15"/>
      <c r="AA894" s="15"/>
    </row>
    <row r="895">
      <c r="A895" s="5" t="s">
        <v>3636</v>
      </c>
      <c r="B895" s="6" t="s">
        <v>3659</v>
      </c>
      <c r="C895" s="40" t="s">
        <v>3660</v>
      </c>
      <c r="D895" s="8"/>
      <c r="E895" s="8" t="s">
        <v>3661</v>
      </c>
      <c r="F895" s="90">
        <v>1000.0</v>
      </c>
      <c r="G895" s="31" t="s">
        <v>3662</v>
      </c>
      <c r="H895" s="11" t="s">
        <v>24</v>
      </c>
      <c r="I895" s="97">
        <v>9.334391413E9</v>
      </c>
      <c r="J895" s="11" t="s">
        <v>25</v>
      </c>
      <c r="K895" s="12"/>
      <c r="L895" s="13"/>
      <c r="M895" s="14"/>
      <c r="N895" s="15"/>
      <c r="O895" s="5" t="s">
        <v>26</v>
      </c>
      <c r="P895" s="5" t="s">
        <v>3663</v>
      </c>
      <c r="Q895" s="15"/>
      <c r="R895" s="16" t="s">
        <v>28</v>
      </c>
      <c r="S895" s="15"/>
      <c r="T895" s="15"/>
      <c r="U895" s="15"/>
      <c r="V895" s="15"/>
      <c r="W895" s="15"/>
      <c r="X895" s="15"/>
      <c r="Y895" s="15"/>
      <c r="Z895" s="15"/>
      <c r="AA895" s="15"/>
    </row>
    <row r="896">
      <c r="A896" s="5" t="s">
        <v>3636</v>
      </c>
      <c r="B896" s="6" t="s">
        <v>3664</v>
      </c>
      <c r="C896" s="40" t="s">
        <v>3665</v>
      </c>
      <c r="D896" s="8"/>
      <c r="E896" s="8" t="s">
        <v>87</v>
      </c>
      <c r="F896" s="90">
        <v>2000.0</v>
      </c>
      <c r="G896" s="97"/>
      <c r="H896" s="11" t="s">
        <v>44</v>
      </c>
      <c r="I896" s="97">
        <v>8.927825546E9</v>
      </c>
      <c r="J896" s="11" t="s">
        <v>25</v>
      </c>
      <c r="K896" s="12" t="s">
        <v>2304</v>
      </c>
      <c r="L896" s="13"/>
      <c r="M896" s="14"/>
      <c r="N896" s="15"/>
      <c r="O896" s="5" t="s">
        <v>26</v>
      </c>
      <c r="P896" s="5"/>
      <c r="Q896" s="15"/>
      <c r="R896" s="16" t="s">
        <v>28</v>
      </c>
      <c r="S896" s="15"/>
      <c r="T896" s="15"/>
      <c r="U896" s="15"/>
      <c r="V896" s="15"/>
      <c r="W896" s="15"/>
      <c r="X896" s="15"/>
      <c r="Y896" s="15"/>
      <c r="Z896" s="15"/>
      <c r="AA896" s="15"/>
    </row>
    <row r="897">
      <c r="A897" s="5" t="s">
        <v>3666</v>
      </c>
      <c r="B897" s="6" t="s">
        <v>3667</v>
      </c>
      <c r="C897" s="40" t="s">
        <v>3668</v>
      </c>
      <c r="D897" s="8"/>
      <c r="E897" s="8" t="s">
        <v>3669</v>
      </c>
      <c r="F897" s="90">
        <v>500.0</v>
      </c>
      <c r="G897" s="31" t="s">
        <v>3670</v>
      </c>
      <c r="H897" s="11" t="s">
        <v>44</v>
      </c>
      <c r="I897" s="97">
        <v>9.836031647E9</v>
      </c>
      <c r="J897" s="11" t="s">
        <v>25</v>
      </c>
      <c r="K897" s="12"/>
      <c r="L897" s="13"/>
      <c r="M897" s="14"/>
      <c r="N897" s="15"/>
      <c r="O897" s="5" t="s">
        <v>26</v>
      </c>
      <c r="P897" s="5"/>
      <c r="Q897" s="15"/>
      <c r="R897" s="16" t="s">
        <v>28</v>
      </c>
      <c r="S897" s="15"/>
      <c r="T897" s="15"/>
      <c r="U897" s="15"/>
      <c r="V897" s="15"/>
      <c r="W897" s="15"/>
      <c r="X897" s="15"/>
      <c r="Y897" s="15"/>
      <c r="Z897" s="15"/>
      <c r="AA897" s="15"/>
    </row>
    <row r="898">
      <c r="A898" s="5" t="s">
        <v>3666</v>
      </c>
      <c r="B898" s="6" t="s">
        <v>3671</v>
      </c>
      <c r="C898" s="40" t="s">
        <v>3672</v>
      </c>
      <c r="D898" s="8"/>
      <c r="E898" s="8" t="s">
        <v>2622</v>
      </c>
      <c r="F898" s="90">
        <v>4000.0</v>
      </c>
      <c r="G898" s="108" t="s">
        <v>3673</v>
      </c>
      <c r="H898" s="11" t="s">
        <v>519</v>
      </c>
      <c r="I898" s="97">
        <v>9.825010654E9</v>
      </c>
      <c r="J898" s="11" t="s">
        <v>25</v>
      </c>
      <c r="K898" s="12"/>
      <c r="L898" s="13"/>
      <c r="M898" s="14"/>
      <c r="N898" s="15"/>
      <c r="O898" s="5" t="s">
        <v>108</v>
      </c>
      <c r="P898" s="5"/>
      <c r="Q898" s="15"/>
      <c r="R898" s="16" t="s">
        <v>28</v>
      </c>
      <c r="S898" s="15"/>
      <c r="T898" s="15"/>
      <c r="U898" s="15"/>
      <c r="V898" s="15"/>
      <c r="W898" s="15"/>
      <c r="X898" s="15"/>
      <c r="Y898" s="15"/>
      <c r="Z898" s="15"/>
      <c r="AA898" s="15"/>
    </row>
    <row r="899">
      <c r="A899" s="5" t="s">
        <v>3666</v>
      </c>
      <c r="B899" s="6" t="s">
        <v>3674</v>
      </c>
      <c r="C899" s="40" t="s">
        <v>3675</v>
      </c>
      <c r="D899" s="8"/>
      <c r="E899" s="8" t="s">
        <v>87</v>
      </c>
      <c r="F899" s="90">
        <v>2000.0</v>
      </c>
      <c r="G899" s="110" t="s">
        <v>3676</v>
      </c>
      <c r="H899" s="11" t="s">
        <v>519</v>
      </c>
      <c r="I899" s="97">
        <v>9.825143395E9</v>
      </c>
      <c r="J899" s="11" t="s">
        <v>25</v>
      </c>
      <c r="K899" s="12"/>
      <c r="L899" s="13"/>
      <c r="M899" s="14"/>
      <c r="N899" s="15"/>
      <c r="O899" s="5" t="s">
        <v>108</v>
      </c>
      <c r="P899" s="5"/>
      <c r="Q899" s="15"/>
      <c r="R899" s="16" t="s">
        <v>28</v>
      </c>
      <c r="S899" s="15"/>
      <c r="T899" s="15"/>
      <c r="U899" s="15"/>
      <c r="V899" s="15"/>
      <c r="W899" s="15"/>
      <c r="X899" s="15"/>
      <c r="Y899" s="15"/>
      <c r="Z899" s="15"/>
      <c r="AA899" s="15"/>
    </row>
    <row r="900">
      <c r="A900" s="5" t="s">
        <v>3666</v>
      </c>
      <c r="B900" s="6" t="s">
        <v>3677</v>
      </c>
      <c r="C900" s="40" t="s">
        <v>3678</v>
      </c>
      <c r="D900" s="8"/>
      <c r="E900" s="8" t="s">
        <v>116</v>
      </c>
      <c r="F900" s="90">
        <v>1000.0</v>
      </c>
      <c r="G900" s="31" t="s">
        <v>3679</v>
      </c>
      <c r="H900" s="11" t="s">
        <v>184</v>
      </c>
      <c r="I900" s="97">
        <v>9.031776799E9</v>
      </c>
      <c r="J900" s="11" t="s">
        <v>25</v>
      </c>
      <c r="K900" s="12"/>
      <c r="L900" s="13"/>
      <c r="M900" s="14"/>
      <c r="N900" s="15"/>
      <c r="O900" s="5" t="s">
        <v>26</v>
      </c>
      <c r="P900" s="5"/>
      <c r="Q900" s="15"/>
      <c r="R900" s="16" t="s">
        <v>28</v>
      </c>
      <c r="S900" s="15"/>
      <c r="T900" s="15"/>
      <c r="U900" s="15"/>
      <c r="V900" s="15"/>
      <c r="W900" s="15"/>
      <c r="X900" s="15"/>
      <c r="Y900" s="15"/>
      <c r="Z900" s="15"/>
      <c r="AA900" s="15"/>
    </row>
    <row r="901">
      <c r="A901" s="5" t="s">
        <v>3666</v>
      </c>
      <c r="B901" s="6" t="s">
        <v>3680</v>
      </c>
      <c r="C901" s="40" t="s">
        <v>3681</v>
      </c>
      <c r="D901" s="96"/>
      <c r="E901" s="96" t="s">
        <v>3682</v>
      </c>
      <c r="F901" s="90">
        <v>5000.0</v>
      </c>
      <c r="G901" s="97"/>
      <c r="H901" s="11" t="s">
        <v>44</v>
      </c>
      <c r="I901" s="97">
        <v>8.961060514E9</v>
      </c>
      <c r="J901" s="11" t="s">
        <v>25</v>
      </c>
      <c r="K901" s="12"/>
      <c r="L901" s="13"/>
      <c r="M901" s="14"/>
      <c r="N901" s="15"/>
      <c r="O901" s="5" t="s">
        <v>26</v>
      </c>
      <c r="P901" s="5" t="s">
        <v>1619</v>
      </c>
      <c r="Q901" s="15"/>
      <c r="R901" s="16" t="s">
        <v>28</v>
      </c>
      <c r="S901" s="15"/>
      <c r="T901" s="15"/>
      <c r="U901" s="15"/>
      <c r="V901" s="15"/>
      <c r="W901" s="15"/>
      <c r="X901" s="15"/>
      <c r="Y901" s="15"/>
      <c r="Z901" s="15"/>
      <c r="AA901" s="15"/>
    </row>
    <row r="902">
      <c r="A902" s="5" t="s">
        <v>3683</v>
      </c>
      <c r="B902" s="6" t="s">
        <v>3684</v>
      </c>
      <c r="C902" s="40" t="s">
        <v>3685</v>
      </c>
      <c r="D902" s="8"/>
      <c r="E902" s="8" t="s">
        <v>3686</v>
      </c>
      <c r="F902" s="90">
        <v>1000.0</v>
      </c>
      <c r="G902" s="31" t="s">
        <v>3687</v>
      </c>
      <c r="H902" s="11" t="s">
        <v>3688</v>
      </c>
      <c r="I902" s="97">
        <v>9.81906953E9</v>
      </c>
      <c r="J902" s="11" t="s">
        <v>25</v>
      </c>
      <c r="K902" s="12"/>
      <c r="L902" s="13"/>
      <c r="M902" s="14"/>
      <c r="N902" s="15"/>
      <c r="O902" s="5" t="s">
        <v>108</v>
      </c>
      <c r="P902" s="5"/>
      <c r="Q902" s="15"/>
      <c r="R902" s="16" t="s">
        <v>28</v>
      </c>
      <c r="S902" s="15"/>
      <c r="T902" s="15"/>
      <c r="U902" s="15"/>
      <c r="V902" s="15"/>
      <c r="W902" s="15"/>
      <c r="X902" s="15"/>
      <c r="Y902" s="15"/>
      <c r="Z902" s="15"/>
      <c r="AA902" s="15"/>
    </row>
    <row r="903">
      <c r="A903" s="5" t="s">
        <v>3683</v>
      </c>
      <c r="B903" s="6" t="s">
        <v>3689</v>
      </c>
      <c r="C903" s="40" t="s">
        <v>3690</v>
      </c>
      <c r="D903" s="8"/>
      <c r="E903" s="8" t="s">
        <v>3146</v>
      </c>
      <c r="F903" s="9">
        <v>10000.0</v>
      </c>
      <c r="G903" s="31" t="s">
        <v>3691</v>
      </c>
      <c r="H903" s="11" t="s">
        <v>507</v>
      </c>
      <c r="I903" s="97">
        <v>8.668316651E9</v>
      </c>
      <c r="J903" s="11" t="s">
        <v>25</v>
      </c>
      <c r="K903" s="12"/>
      <c r="L903" s="13"/>
      <c r="M903" s="14"/>
      <c r="N903" s="15"/>
      <c r="O903" s="5" t="s">
        <v>108</v>
      </c>
      <c r="P903" s="5"/>
      <c r="Q903" s="15"/>
      <c r="R903" s="16" t="s">
        <v>28</v>
      </c>
      <c r="S903" s="15"/>
      <c r="T903" s="15"/>
      <c r="U903" s="15"/>
      <c r="V903" s="15"/>
      <c r="W903" s="15"/>
      <c r="X903" s="15"/>
      <c r="Y903" s="15"/>
      <c r="Z903" s="15"/>
      <c r="AA903" s="15"/>
    </row>
    <row r="904">
      <c r="A904" s="5" t="s">
        <v>3683</v>
      </c>
      <c r="B904" s="6" t="s">
        <v>3692</v>
      </c>
      <c r="C904" s="40" t="s">
        <v>3693</v>
      </c>
      <c r="D904" s="8"/>
      <c r="E904" s="8" t="s">
        <v>3694</v>
      </c>
      <c r="F904" s="9">
        <v>10000.0</v>
      </c>
      <c r="G904" s="108" t="s">
        <v>3695</v>
      </c>
      <c r="H904" s="109" t="s">
        <v>3696</v>
      </c>
      <c r="I904" s="97">
        <v>9.998762741E9</v>
      </c>
      <c r="J904" s="11" t="s">
        <v>25</v>
      </c>
      <c r="K904" s="12"/>
      <c r="L904" s="13"/>
      <c r="M904" s="14"/>
      <c r="N904" s="15"/>
      <c r="O904" s="5" t="s">
        <v>108</v>
      </c>
      <c r="P904" s="5"/>
      <c r="Q904" s="15"/>
      <c r="R904" s="16" t="s">
        <v>28</v>
      </c>
      <c r="S904" s="15"/>
      <c r="T904" s="15"/>
      <c r="U904" s="15"/>
      <c r="V904" s="15"/>
      <c r="W904" s="15"/>
      <c r="X904" s="15"/>
      <c r="Y904" s="15"/>
      <c r="Z904" s="15"/>
      <c r="AA904" s="15"/>
    </row>
    <row r="905">
      <c r="A905" s="5" t="s">
        <v>3683</v>
      </c>
      <c r="B905" s="6" t="s">
        <v>3697</v>
      </c>
      <c r="C905" s="40" t="s">
        <v>3698</v>
      </c>
      <c r="D905" s="8"/>
      <c r="E905" s="8" t="s">
        <v>3699</v>
      </c>
      <c r="F905" s="90">
        <v>5000.0</v>
      </c>
      <c r="G905" s="110" t="s">
        <v>3700</v>
      </c>
      <c r="H905" s="109" t="s">
        <v>3701</v>
      </c>
      <c r="I905" s="97">
        <v>9.967783529E9</v>
      </c>
      <c r="J905" s="11" t="s">
        <v>25</v>
      </c>
      <c r="K905" s="12"/>
      <c r="L905" s="13"/>
      <c r="M905" s="14"/>
      <c r="N905" s="15"/>
      <c r="O905" s="5" t="s">
        <v>108</v>
      </c>
      <c r="P905" s="5"/>
      <c r="Q905" s="15"/>
      <c r="R905" s="16" t="s">
        <v>28</v>
      </c>
      <c r="S905" s="15"/>
      <c r="T905" s="15"/>
      <c r="U905" s="15"/>
      <c r="V905" s="15"/>
      <c r="W905" s="15"/>
      <c r="X905" s="15"/>
      <c r="Y905" s="15"/>
      <c r="Z905" s="15"/>
      <c r="AA905" s="15"/>
    </row>
    <row r="906">
      <c r="A906" s="5" t="s">
        <v>3702</v>
      </c>
      <c r="B906" s="6" t="s">
        <v>3703</v>
      </c>
      <c r="C906" s="40" t="s">
        <v>3704</v>
      </c>
      <c r="D906" s="8"/>
      <c r="E906" s="8" t="s">
        <v>3705</v>
      </c>
      <c r="F906" s="90">
        <v>500.0</v>
      </c>
      <c r="G906" s="31" t="s">
        <v>3706</v>
      </c>
      <c r="H906" s="11" t="s">
        <v>472</v>
      </c>
      <c r="I906" s="97">
        <v>8.250652819E9</v>
      </c>
      <c r="J906" s="11" t="s">
        <v>25</v>
      </c>
      <c r="K906" s="12"/>
      <c r="L906" s="13"/>
      <c r="M906" s="11" t="s">
        <v>3707</v>
      </c>
      <c r="N906" s="15"/>
      <c r="O906" s="5" t="s">
        <v>26</v>
      </c>
      <c r="P906" s="5" t="s">
        <v>3708</v>
      </c>
      <c r="Q906" s="15"/>
      <c r="R906" s="16" t="s">
        <v>28</v>
      </c>
      <c r="S906" s="15"/>
      <c r="T906" s="15"/>
      <c r="U906" s="15"/>
      <c r="V906" s="15"/>
      <c r="W906" s="15"/>
      <c r="X906" s="15"/>
      <c r="Y906" s="15"/>
      <c r="Z906" s="15"/>
      <c r="AA906" s="15"/>
    </row>
    <row r="907">
      <c r="A907" s="5" t="s">
        <v>3702</v>
      </c>
      <c r="B907" s="6" t="s">
        <v>3709</v>
      </c>
      <c r="C907" s="40" t="s">
        <v>3710</v>
      </c>
      <c r="D907" s="8"/>
      <c r="E907" s="8" t="s">
        <v>152</v>
      </c>
      <c r="F907" s="90">
        <v>5000.0</v>
      </c>
      <c r="G907" s="31" t="s">
        <v>3711</v>
      </c>
      <c r="H907" s="11" t="s">
        <v>3712</v>
      </c>
      <c r="I907" s="97">
        <v>8.770312872E9</v>
      </c>
      <c r="J907" s="11" t="s">
        <v>25</v>
      </c>
      <c r="K907" s="12"/>
      <c r="L907" s="13"/>
      <c r="M907" s="14"/>
      <c r="N907" s="15"/>
      <c r="O907" s="5" t="s">
        <v>108</v>
      </c>
      <c r="P907" s="5"/>
      <c r="Q907" s="15"/>
      <c r="R907" s="16" t="s">
        <v>28</v>
      </c>
      <c r="S907" s="15"/>
      <c r="T907" s="15"/>
      <c r="U907" s="15"/>
      <c r="V907" s="15"/>
      <c r="W907" s="15"/>
      <c r="X907" s="15"/>
      <c r="Y907" s="15"/>
      <c r="Z907" s="15"/>
      <c r="AA907" s="15"/>
    </row>
    <row r="908">
      <c r="A908" s="5" t="s">
        <v>3702</v>
      </c>
      <c r="B908" s="6" t="s">
        <v>3713</v>
      </c>
      <c r="C908" s="40" t="s">
        <v>3714</v>
      </c>
      <c r="D908" s="8"/>
      <c r="E908" s="8" t="s">
        <v>3715</v>
      </c>
      <c r="F908" s="90">
        <v>2000.0</v>
      </c>
      <c r="G908" s="108" t="s">
        <v>3716</v>
      </c>
      <c r="H908" s="11" t="s">
        <v>3717</v>
      </c>
      <c r="I908" s="97">
        <v>9.30085909E9</v>
      </c>
      <c r="J908" s="11" t="s">
        <v>3718</v>
      </c>
      <c r="K908" s="12"/>
      <c r="L908" s="13"/>
      <c r="M908" s="14"/>
      <c r="N908" s="15"/>
      <c r="O908" s="5" t="s">
        <v>108</v>
      </c>
      <c r="P908" s="5"/>
      <c r="Q908" s="15"/>
      <c r="R908" s="16" t="s">
        <v>28</v>
      </c>
      <c r="S908" s="15"/>
      <c r="T908" s="15"/>
      <c r="U908" s="15"/>
      <c r="V908" s="15"/>
      <c r="W908" s="15"/>
      <c r="X908" s="15"/>
      <c r="Y908" s="15"/>
      <c r="Z908" s="15"/>
      <c r="AA908" s="15"/>
    </row>
    <row r="909">
      <c r="A909" s="5" t="s">
        <v>3702</v>
      </c>
      <c r="B909" s="6" t="s">
        <v>3719</v>
      </c>
      <c r="C909" s="40" t="s">
        <v>3720</v>
      </c>
      <c r="D909" s="8"/>
      <c r="E909" s="8" t="s">
        <v>2482</v>
      </c>
      <c r="F909" s="90">
        <v>1500.0</v>
      </c>
      <c r="G909" s="110" t="s">
        <v>3721</v>
      </c>
      <c r="H909" s="11" t="s">
        <v>519</v>
      </c>
      <c r="I909" s="97">
        <v>9.879500846E9</v>
      </c>
      <c r="J909" s="11" t="s">
        <v>25</v>
      </c>
      <c r="K909" s="12"/>
      <c r="L909" s="13"/>
      <c r="M909" s="14"/>
      <c r="N909" s="15"/>
      <c r="O909" s="5" t="s">
        <v>108</v>
      </c>
      <c r="P909" s="5"/>
      <c r="Q909" s="15"/>
      <c r="R909" s="16" t="s">
        <v>28</v>
      </c>
      <c r="S909" s="15"/>
      <c r="T909" s="15"/>
      <c r="U909" s="15"/>
      <c r="V909" s="15"/>
      <c r="W909" s="15"/>
      <c r="X909" s="15"/>
      <c r="Y909" s="15"/>
      <c r="Z909" s="15"/>
      <c r="AA909" s="15"/>
    </row>
    <row r="910">
      <c r="A910" s="5" t="s">
        <v>3702</v>
      </c>
      <c r="B910" s="6" t="s">
        <v>3722</v>
      </c>
      <c r="C910" s="40" t="s">
        <v>3723</v>
      </c>
      <c r="D910" s="8"/>
      <c r="E910" s="8" t="s">
        <v>326</v>
      </c>
      <c r="F910" s="9">
        <v>25000.0</v>
      </c>
      <c r="G910" s="97" t="s">
        <v>3724</v>
      </c>
      <c r="H910" s="11" t="s">
        <v>449</v>
      </c>
      <c r="I910" s="97">
        <v>7.908057495E9</v>
      </c>
      <c r="J910" s="11" t="s">
        <v>25</v>
      </c>
      <c r="K910" s="12"/>
      <c r="L910" s="13"/>
      <c r="M910" s="14"/>
      <c r="N910" s="15"/>
      <c r="O910" s="5" t="s">
        <v>34</v>
      </c>
      <c r="P910" s="5" t="s">
        <v>3725</v>
      </c>
      <c r="Q910" s="15"/>
      <c r="R910" s="16" t="s">
        <v>634</v>
      </c>
      <c r="S910" s="15"/>
      <c r="T910" s="15"/>
      <c r="U910" s="15"/>
      <c r="V910" s="15"/>
      <c r="W910" s="15"/>
      <c r="X910" s="15"/>
      <c r="Y910" s="15"/>
      <c r="Z910" s="15"/>
      <c r="AA910" s="15"/>
    </row>
    <row r="911">
      <c r="A911" s="5" t="s">
        <v>3726</v>
      </c>
      <c r="B911" s="6" t="s">
        <v>3727</v>
      </c>
      <c r="C911" s="40" t="s">
        <v>3728</v>
      </c>
      <c r="D911" s="8"/>
      <c r="E911" s="8" t="s">
        <v>3729</v>
      </c>
      <c r="F911" s="9">
        <v>26000.0</v>
      </c>
      <c r="G911" s="31" t="s">
        <v>3730</v>
      </c>
      <c r="H911" s="11" t="s">
        <v>906</v>
      </c>
      <c r="I911" s="97">
        <v>9.870316449E9</v>
      </c>
      <c r="J911" s="11" t="s">
        <v>25</v>
      </c>
      <c r="K911" s="12"/>
      <c r="L911" s="13"/>
      <c r="M911" s="14"/>
      <c r="N911" s="15"/>
      <c r="O911" s="5" t="s">
        <v>108</v>
      </c>
      <c r="P911" s="5"/>
      <c r="Q911" s="15"/>
      <c r="R911" s="16" t="s">
        <v>28</v>
      </c>
      <c r="S911" s="15"/>
      <c r="T911" s="15"/>
      <c r="U911" s="15"/>
      <c r="V911" s="15"/>
      <c r="W911" s="15"/>
      <c r="X911" s="15"/>
      <c r="Y911" s="15"/>
      <c r="Z911" s="15"/>
      <c r="AA911" s="15"/>
    </row>
    <row r="912">
      <c r="A912" s="5" t="s">
        <v>3726</v>
      </c>
      <c r="B912" s="6" t="s">
        <v>3731</v>
      </c>
      <c r="C912" s="40" t="s">
        <v>3732</v>
      </c>
      <c r="D912" s="8"/>
      <c r="E912" s="8" t="s">
        <v>47</v>
      </c>
      <c r="F912" s="90">
        <v>5000.0</v>
      </c>
      <c r="G912" s="31" t="s">
        <v>3733</v>
      </c>
      <c r="H912" s="11" t="s">
        <v>107</v>
      </c>
      <c r="I912" s="97">
        <v>6.203025309E9</v>
      </c>
      <c r="J912" s="11" t="s">
        <v>25</v>
      </c>
      <c r="K912" s="12"/>
      <c r="L912" s="13"/>
      <c r="M912" s="14"/>
      <c r="N912" s="15"/>
      <c r="O912" s="5" t="s">
        <v>108</v>
      </c>
      <c r="P912" s="5"/>
      <c r="Q912" s="15"/>
      <c r="R912" s="16" t="s">
        <v>28</v>
      </c>
      <c r="S912" s="15"/>
      <c r="T912" s="15"/>
      <c r="U912" s="15"/>
      <c r="V912" s="15"/>
      <c r="W912" s="15"/>
      <c r="X912" s="15"/>
      <c r="Y912" s="15"/>
      <c r="Z912" s="15"/>
      <c r="AA912" s="15"/>
    </row>
    <row r="913">
      <c r="A913" s="5" t="s">
        <v>3726</v>
      </c>
      <c r="B913" s="6" t="s">
        <v>3734</v>
      </c>
      <c r="C913" s="40" t="s">
        <v>3735</v>
      </c>
      <c r="D913" s="8"/>
      <c r="E913" s="8" t="s">
        <v>3736</v>
      </c>
      <c r="F913" s="90">
        <v>5000.0</v>
      </c>
      <c r="G913" s="31" t="s">
        <v>3737</v>
      </c>
      <c r="H913" s="11" t="s">
        <v>131</v>
      </c>
      <c r="I913" s="97">
        <v>7.76034322E9</v>
      </c>
      <c r="J913" s="11" t="s">
        <v>25</v>
      </c>
      <c r="K913" s="12"/>
      <c r="L913" s="13"/>
      <c r="M913" s="14"/>
      <c r="N913" s="15"/>
      <c r="O913" s="5" t="s">
        <v>26</v>
      </c>
      <c r="P913" s="5" t="s">
        <v>3738</v>
      </c>
      <c r="Q913" s="15"/>
      <c r="R913" s="16" t="s">
        <v>28</v>
      </c>
      <c r="S913" s="15"/>
      <c r="T913" s="15"/>
      <c r="U913" s="15"/>
      <c r="V913" s="15"/>
      <c r="W913" s="15"/>
      <c r="X913" s="15"/>
      <c r="Y913" s="15"/>
      <c r="Z913" s="15"/>
      <c r="AA913" s="15"/>
    </row>
    <row r="914">
      <c r="A914" s="5" t="s">
        <v>3726</v>
      </c>
      <c r="B914" s="6" t="s">
        <v>3739</v>
      </c>
      <c r="C914" s="40" t="s">
        <v>3740</v>
      </c>
      <c r="D914" s="8"/>
      <c r="E914" s="8" t="s">
        <v>3741</v>
      </c>
      <c r="F914" s="90">
        <v>2500.0</v>
      </c>
      <c r="G914" s="110" t="s">
        <v>3742</v>
      </c>
      <c r="H914" s="11" t="s">
        <v>107</v>
      </c>
      <c r="I914" s="97">
        <v>9.8111152E9</v>
      </c>
      <c r="J914" s="11" t="s">
        <v>25</v>
      </c>
      <c r="K914" s="12"/>
      <c r="L914" s="13"/>
      <c r="M914" s="14"/>
      <c r="N914" s="15"/>
      <c r="O914" s="5" t="s">
        <v>108</v>
      </c>
      <c r="P914" s="5"/>
      <c r="Q914" s="15"/>
      <c r="R914" s="16" t="s">
        <v>28</v>
      </c>
      <c r="S914" s="15"/>
      <c r="T914" s="15"/>
      <c r="U914" s="15"/>
      <c r="V914" s="15"/>
      <c r="W914" s="15"/>
      <c r="X914" s="15"/>
      <c r="Y914" s="15"/>
      <c r="Z914" s="15"/>
      <c r="AA914" s="15"/>
    </row>
    <row r="915">
      <c r="A915" s="5" t="s">
        <v>3726</v>
      </c>
      <c r="B915" s="6" t="s">
        <v>3743</v>
      </c>
      <c r="C915" s="40" t="s">
        <v>3744</v>
      </c>
      <c r="D915" s="8"/>
      <c r="E915" s="8" t="s">
        <v>523</v>
      </c>
      <c r="F915" s="9">
        <v>35000.0</v>
      </c>
      <c r="G915" s="31" t="s">
        <v>3745</v>
      </c>
      <c r="H915" s="11" t="s">
        <v>44</v>
      </c>
      <c r="I915" s="97">
        <v>9.05117116E9</v>
      </c>
      <c r="J915" s="11" t="s">
        <v>25</v>
      </c>
      <c r="K915" s="12" t="s">
        <v>3647</v>
      </c>
      <c r="L915" s="13"/>
      <c r="M915" s="14"/>
      <c r="N915" s="15"/>
      <c r="O915" s="5" t="s">
        <v>26</v>
      </c>
      <c r="P915" s="5" t="s">
        <v>453</v>
      </c>
      <c r="Q915" s="15"/>
      <c r="R915" s="16" t="s">
        <v>28</v>
      </c>
      <c r="S915" s="15"/>
      <c r="T915" s="15"/>
      <c r="U915" s="15"/>
      <c r="V915" s="15"/>
      <c r="W915" s="15"/>
      <c r="X915" s="15"/>
      <c r="Y915" s="15"/>
      <c r="Z915" s="15"/>
      <c r="AA915" s="15"/>
    </row>
    <row r="916">
      <c r="A916" s="5" t="s">
        <v>3726</v>
      </c>
      <c r="B916" s="6" t="s">
        <v>3746</v>
      </c>
      <c r="C916" s="40" t="s">
        <v>3747</v>
      </c>
      <c r="D916" s="8"/>
      <c r="E916" s="8" t="s">
        <v>3748</v>
      </c>
      <c r="F916" s="90">
        <v>4000.0</v>
      </c>
      <c r="G916" s="31" t="s">
        <v>3749</v>
      </c>
      <c r="H916" s="11" t="s">
        <v>44</v>
      </c>
      <c r="I916" s="97">
        <v>8.420189964E9</v>
      </c>
      <c r="J916" s="11" t="s">
        <v>25</v>
      </c>
      <c r="K916" s="12"/>
      <c r="L916" s="13"/>
      <c r="M916" s="14"/>
      <c r="N916" s="15"/>
      <c r="O916" s="5" t="s">
        <v>26</v>
      </c>
      <c r="P916" s="5" t="s">
        <v>1619</v>
      </c>
      <c r="Q916" s="15"/>
      <c r="R916" s="16" t="s">
        <v>28</v>
      </c>
      <c r="S916" s="15"/>
      <c r="T916" s="15"/>
      <c r="U916" s="15"/>
      <c r="V916" s="15"/>
      <c r="W916" s="15"/>
      <c r="X916" s="15"/>
      <c r="Y916" s="15"/>
      <c r="Z916" s="15"/>
      <c r="AA916" s="15"/>
    </row>
    <row r="917">
      <c r="A917" s="5" t="s">
        <v>3726</v>
      </c>
      <c r="B917" s="6" t="s">
        <v>3750</v>
      </c>
      <c r="C917" s="40" t="s">
        <v>3751</v>
      </c>
      <c r="D917" s="8"/>
      <c r="E917" s="8" t="s">
        <v>92</v>
      </c>
      <c r="F917" s="9">
        <v>25000.0</v>
      </c>
      <c r="G917" s="31" t="s">
        <v>3752</v>
      </c>
      <c r="H917" s="11" t="s">
        <v>44</v>
      </c>
      <c r="I917" s="97">
        <v>9.830677916E9</v>
      </c>
      <c r="J917" s="11" t="s">
        <v>25</v>
      </c>
      <c r="K917" s="12" t="s">
        <v>3753</v>
      </c>
      <c r="L917" s="13"/>
      <c r="M917" s="14"/>
      <c r="N917" s="15"/>
      <c r="O917" s="5" t="s">
        <v>26</v>
      </c>
      <c r="P917" s="5" t="s">
        <v>1498</v>
      </c>
      <c r="Q917" s="15"/>
      <c r="R917" s="16" t="s">
        <v>28</v>
      </c>
      <c r="S917" s="15"/>
      <c r="T917" s="15"/>
      <c r="U917" s="15"/>
      <c r="V917" s="15"/>
      <c r="W917" s="15"/>
      <c r="X917" s="15"/>
      <c r="Y917" s="15"/>
      <c r="Z917" s="15"/>
      <c r="AA917" s="15"/>
    </row>
    <row r="918">
      <c r="A918" s="5" t="s">
        <v>3726</v>
      </c>
      <c r="B918" s="6" t="s">
        <v>3754</v>
      </c>
      <c r="C918" s="40" t="s">
        <v>3755</v>
      </c>
      <c r="D918" s="8"/>
      <c r="E918" s="8" t="s">
        <v>116</v>
      </c>
      <c r="F918" s="90">
        <v>1000.0</v>
      </c>
      <c r="G918" s="31" t="s">
        <v>3756</v>
      </c>
      <c r="H918" s="11" t="s">
        <v>507</v>
      </c>
      <c r="I918" s="97">
        <v>9.82277511E9</v>
      </c>
      <c r="J918" s="11" t="s">
        <v>3718</v>
      </c>
      <c r="K918" s="12"/>
      <c r="L918" s="13"/>
      <c r="M918" s="14"/>
      <c r="N918" s="15"/>
      <c r="O918" s="5" t="s">
        <v>108</v>
      </c>
      <c r="P918" s="5"/>
      <c r="Q918" s="15"/>
      <c r="R918" s="16" t="s">
        <v>28</v>
      </c>
      <c r="S918" s="15"/>
      <c r="T918" s="15"/>
      <c r="U918" s="15"/>
      <c r="V918" s="15"/>
      <c r="W918" s="15"/>
      <c r="X918" s="15"/>
      <c r="Y918" s="15"/>
      <c r="Z918" s="15"/>
      <c r="AA918" s="15"/>
    </row>
    <row r="919">
      <c r="A919" s="5" t="s">
        <v>3726</v>
      </c>
      <c r="B919" s="6" t="s">
        <v>3757</v>
      </c>
      <c r="C919" s="40" t="s">
        <v>3758</v>
      </c>
      <c r="D919" s="8"/>
      <c r="E919" s="8" t="s">
        <v>22</v>
      </c>
      <c r="F919" s="9">
        <v>46000.0</v>
      </c>
      <c r="G919" s="31" t="s">
        <v>3759</v>
      </c>
      <c r="H919" s="11" t="s">
        <v>449</v>
      </c>
      <c r="I919" s="97">
        <v>7.477834988E9</v>
      </c>
      <c r="J919" s="11" t="s">
        <v>25</v>
      </c>
      <c r="K919" s="12"/>
      <c r="L919" s="13"/>
      <c r="M919" s="14"/>
      <c r="N919" s="15"/>
      <c r="O919" s="5" t="s">
        <v>34</v>
      </c>
      <c r="P919" s="5" t="s">
        <v>3760</v>
      </c>
      <c r="Q919" s="15"/>
      <c r="R919" s="16" t="s">
        <v>723</v>
      </c>
      <c r="S919" s="15"/>
      <c r="T919" s="15"/>
      <c r="U919" s="15"/>
      <c r="V919" s="15"/>
      <c r="W919" s="15"/>
      <c r="X919" s="15"/>
      <c r="Y919" s="15"/>
      <c r="Z919" s="15"/>
      <c r="AA919" s="15"/>
    </row>
    <row r="920">
      <c r="A920" s="5" t="s">
        <v>3761</v>
      </c>
      <c r="B920" s="6" t="s">
        <v>3762</v>
      </c>
      <c r="C920" s="40" t="s">
        <v>3763</v>
      </c>
      <c r="D920" s="8"/>
      <c r="E920" s="8" t="s">
        <v>3764</v>
      </c>
      <c r="F920" s="9">
        <v>25000.0</v>
      </c>
      <c r="G920" s="110" t="s">
        <v>3765</v>
      </c>
      <c r="H920" s="11" t="s">
        <v>906</v>
      </c>
      <c r="I920" s="41" t="s">
        <v>3766</v>
      </c>
      <c r="J920" s="11" t="s">
        <v>25</v>
      </c>
      <c r="K920" s="12"/>
      <c r="L920" s="13"/>
      <c r="M920" s="14"/>
      <c r="N920" s="15"/>
      <c r="O920" s="5" t="s">
        <v>108</v>
      </c>
      <c r="P920" s="5"/>
      <c r="Q920" s="15"/>
      <c r="R920" s="16" t="s">
        <v>28</v>
      </c>
      <c r="S920" s="15"/>
      <c r="T920" s="15"/>
      <c r="U920" s="15"/>
      <c r="V920" s="15"/>
      <c r="W920" s="15"/>
      <c r="X920" s="15"/>
      <c r="Y920" s="15"/>
      <c r="Z920" s="15"/>
      <c r="AA920" s="15"/>
    </row>
    <row r="921">
      <c r="A921" s="5" t="s">
        <v>3761</v>
      </c>
      <c r="B921" s="6" t="s">
        <v>3767</v>
      </c>
      <c r="C921" s="40" t="s">
        <v>3768</v>
      </c>
      <c r="D921" s="8"/>
      <c r="E921" s="8" t="s">
        <v>303</v>
      </c>
      <c r="F921" s="90">
        <v>2000.0</v>
      </c>
      <c r="G921" s="31" t="s">
        <v>3769</v>
      </c>
      <c r="H921" s="11" t="s">
        <v>906</v>
      </c>
      <c r="I921" s="97">
        <v>9.59427456E9</v>
      </c>
      <c r="J921" s="11" t="s">
        <v>25</v>
      </c>
      <c r="K921" s="12"/>
      <c r="L921" s="13"/>
      <c r="M921" s="14"/>
      <c r="N921" s="15"/>
      <c r="O921" s="5" t="s">
        <v>108</v>
      </c>
      <c r="P921" s="5"/>
      <c r="Q921" s="15"/>
      <c r="R921" s="16" t="s">
        <v>28</v>
      </c>
      <c r="S921" s="15"/>
      <c r="T921" s="15"/>
      <c r="U921" s="15"/>
      <c r="V921" s="15"/>
      <c r="W921" s="15"/>
      <c r="X921" s="15"/>
      <c r="Y921" s="15"/>
      <c r="Z921" s="15"/>
      <c r="AA921" s="15"/>
    </row>
    <row r="922">
      <c r="A922" s="5" t="s">
        <v>3770</v>
      </c>
      <c r="B922" s="6" t="s">
        <v>3771</v>
      </c>
      <c r="C922" s="40" t="s">
        <v>3772</v>
      </c>
      <c r="D922" s="8"/>
      <c r="E922" s="8" t="s">
        <v>3773</v>
      </c>
      <c r="F922" s="90">
        <v>5000.0</v>
      </c>
      <c r="G922" s="115" t="s">
        <v>3774</v>
      </c>
      <c r="H922" s="11" t="s">
        <v>99</v>
      </c>
      <c r="I922" s="97">
        <v>8.008382954E9</v>
      </c>
      <c r="J922" s="11" t="s">
        <v>25</v>
      </c>
      <c r="K922" s="12"/>
      <c r="L922" s="13"/>
      <c r="M922" s="14"/>
      <c r="N922" s="15"/>
      <c r="O922" s="5" t="s">
        <v>34</v>
      </c>
      <c r="P922" s="5" t="s">
        <v>3775</v>
      </c>
      <c r="Q922" s="15"/>
      <c r="R922" s="16" t="s">
        <v>634</v>
      </c>
      <c r="S922" s="15"/>
      <c r="T922" s="15"/>
      <c r="U922" s="15"/>
      <c r="V922" s="15"/>
      <c r="W922" s="15"/>
      <c r="X922" s="15"/>
      <c r="Y922" s="15"/>
      <c r="Z922" s="15"/>
      <c r="AA922" s="15"/>
    </row>
    <row r="923">
      <c r="A923" s="5" t="s">
        <v>3770</v>
      </c>
      <c r="B923" s="6" t="s">
        <v>3776</v>
      </c>
      <c r="C923" s="40" t="s">
        <v>3777</v>
      </c>
      <c r="D923" s="8"/>
      <c r="E923" s="8" t="s">
        <v>3489</v>
      </c>
      <c r="F923" s="9">
        <v>10000.0</v>
      </c>
      <c r="G923" s="31" t="s">
        <v>3778</v>
      </c>
      <c r="H923" s="11" t="s">
        <v>519</v>
      </c>
      <c r="I923" s="41" t="s">
        <v>3779</v>
      </c>
      <c r="J923" s="11" t="s">
        <v>25</v>
      </c>
      <c r="K923" s="12"/>
      <c r="L923" s="13"/>
      <c r="M923" s="14"/>
      <c r="N923" s="15"/>
      <c r="O923" s="5" t="s">
        <v>108</v>
      </c>
      <c r="P923" s="5"/>
      <c r="Q923" s="15"/>
      <c r="R923" s="16" t="s">
        <v>28</v>
      </c>
      <c r="S923" s="15"/>
      <c r="T923" s="15"/>
      <c r="U923" s="15"/>
      <c r="V923" s="15"/>
      <c r="W923" s="15"/>
      <c r="X923" s="15"/>
      <c r="Y923" s="15"/>
      <c r="Z923" s="15"/>
      <c r="AA923" s="15"/>
    </row>
    <row r="924">
      <c r="A924" s="5" t="s">
        <v>3770</v>
      </c>
      <c r="B924" s="6" t="s">
        <v>3780</v>
      </c>
      <c r="C924" s="40" t="s">
        <v>3781</v>
      </c>
      <c r="D924" s="8"/>
      <c r="E924" s="8" t="s">
        <v>3782</v>
      </c>
      <c r="F924" s="90">
        <v>1000.0</v>
      </c>
      <c r="G924" s="97"/>
      <c r="H924" s="11" t="s">
        <v>44</v>
      </c>
      <c r="I924" s="97">
        <v>9.804219864E9</v>
      </c>
      <c r="J924" s="11" t="s">
        <v>25</v>
      </c>
      <c r="K924" s="12"/>
      <c r="L924" s="13"/>
      <c r="M924" s="11" t="s">
        <v>3783</v>
      </c>
      <c r="N924" s="15"/>
      <c r="O924" s="5" t="s">
        <v>34</v>
      </c>
      <c r="P924" s="5" t="s">
        <v>3784</v>
      </c>
      <c r="Q924" s="15"/>
      <c r="R924" s="16" t="s">
        <v>248</v>
      </c>
      <c r="S924" s="15"/>
      <c r="T924" s="15"/>
      <c r="U924" s="15"/>
      <c r="V924" s="15"/>
      <c r="W924" s="15"/>
      <c r="X924" s="15"/>
      <c r="Y924" s="15"/>
      <c r="Z924" s="15"/>
      <c r="AA924" s="15"/>
    </row>
    <row r="925">
      <c r="A925" s="5" t="s">
        <v>3785</v>
      </c>
      <c r="B925" s="6" t="s">
        <v>3786</v>
      </c>
      <c r="C925" s="40" t="s">
        <v>3787</v>
      </c>
      <c r="D925" s="8"/>
      <c r="E925" s="8" t="s">
        <v>77</v>
      </c>
      <c r="F925" s="9">
        <v>30000.0</v>
      </c>
      <c r="G925" s="31" t="s">
        <v>3788</v>
      </c>
      <c r="H925" s="11" t="s">
        <v>24</v>
      </c>
      <c r="I925" s="97">
        <v>8.447039873E9</v>
      </c>
      <c r="J925" s="11" t="s">
        <v>25</v>
      </c>
      <c r="K925" s="12"/>
      <c r="L925" s="13"/>
      <c r="M925" s="14"/>
      <c r="N925" s="15"/>
      <c r="O925" s="5" t="s">
        <v>26</v>
      </c>
      <c r="P925" s="5"/>
      <c r="Q925" s="15"/>
      <c r="R925" s="16" t="s">
        <v>28</v>
      </c>
      <c r="S925" s="15"/>
      <c r="T925" s="15"/>
      <c r="U925" s="15"/>
      <c r="V925" s="15"/>
      <c r="W925" s="15"/>
      <c r="X925" s="15"/>
      <c r="Y925" s="15"/>
      <c r="Z925" s="15"/>
      <c r="AA925" s="15"/>
    </row>
    <row r="926">
      <c r="A926" s="5" t="s">
        <v>3789</v>
      </c>
      <c r="B926" s="6" t="s">
        <v>3790</v>
      </c>
      <c r="C926" s="40" t="s">
        <v>2880</v>
      </c>
      <c r="D926" s="8"/>
      <c r="E926" s="8" t="s">
        <v>152</v>
      </c>
      <c r="F926" s="9">
        <v>25000.0</v>
      </c>
      <c r="G926" s="31" t="s">
        <v>3791</v>
      </c>
      <c r="H926" s="11" t="s">
        <v>519</v>
      </c>
      <c r="I926" s="97">
        <v>7.096691666E9</v>
      </c>
      <c r="J926" s="11" t="s">
        <v>25</v>
      </c>
      <c r="K926" s="12"/>
      <c r="L926" s="13"/>
      <c r="M926" s="14"/>
      <c r="N926" s="15"/>
      <c r="O926" s="5" t="s">
        <v>108</v>
      </c>
      <c r="P926" s="5"/>
      <c r="Q926" s="15"/>
      <c r="R926" s="16" t="s">
        <v>28</v>
      </c>
      <c r="S926" s="15"/>
      <c r="T926" s="15"/>
      <c r="U926" s="15"/>
      <c r="V926" s="15"/>
      <c r="W926" s="15"/>
      <c r="X926" s="15"/>
      <c r="Y926" s="15"/>
      <c r="Z926" s="15"/>
      <c r="AA926" s="15"/>
    </row>
    <row r="927">
      <c r="A927" s="5" t="s">
        <v>3789</v>
      </c>
      <c r="B927" s="6" t="s">
        <v>3792</v>
      </c>
      <c r="C927" s="40" t="s">
        <v>3793</v>
      </c>
      <c r="D927" s="8"/>
      <c r="E927" s="8" t="s">
        <v>3794</v>
      </c>
      <c r="F927" s="9">
        <v>50000.0</v>
      </c>
      <c r="G927" s="31" t="s">
        <v>3795</v>
      </c>
      <c r="H927" s="11" t="s">
        <v>617</v>
      </c>
      <c r="I927" s="97">
        <v>9.451683749E9</v>
      </c>
      <c r="J927" s="11" t="s">
        <v>25</v>
      </c>
      <c r="K927" s="12"/>
      <c r="L927" s="13"/>
      <c r="M927" s="14"/>
      <c r="N927" s="15"/>
      <c r="O927" s="5" t="s">
        <v>108</v>
      </c>
      <c r="P927" s="5"/>
      <c r="Q927" s="15"/>
      <c r="R927" s="16" t="s">
        <v>28</v>
      </c>
      <c r="S927" s="15"/>
      <c r="T927" s="15"/>
      <c r="U927" s="15"/>
      <c r="V927" s="15"/>
      <c r="W927" s="15"/>
      <c r="X927" s="15"/>
      <c r="Y927" s="15"/>
      <c r="Z927" s="15"/>
      <c r="AA927" s="15"/>
    </row>
    <row r="928">
      <c r="A928" s="5" t="s">
        <v>3796</v>
      </c>
      <c r="B928" s="6" t="s">
        <v>3797</v>
      </c>
      <c r="C928" s="40" t="s">
        <v>3798</v>
      </c>
      <c r="D928" s="8"/>
      <c r="E928" s="8" t="s">
        <v>2482</v>
      </c>
      <c r="F928" s="90">
        <v>100.0</v>
      </c>
      <c r="G928" s="97"/>
      <c r="H928" s="11" t="s">
        <v>3799</v>
      </c>
      <c r="I928" s="97">
        <v>7.003585604E9</v>
      </c>
      <c r="J928" s="11" t="s">
        <v>25</v>
      </c>
      <c r="K928" s="12"/>
      <c r="L928" s="13"/>
      <c r="M928" s="14"/>
      <c r="N928" s="15"/>
      <c r="O928" s="5" t="s">
        <v>34</v>
      </c>
      <c r="P928" s="5" t="s">
        <v>777</v>
      </c>
      <c r="Q928" s="15"/>
      <c r="R928" s="16" t="s">
        <v>723</v>
      </c>
      <c r="S928" s="15"/>
      <c r="T928" s="15"/>
      <c r="U928" s="15"/>
      <c r="V928" s="15"/>
      <c r="W928" s="15"/>
      <c r="X928" s="15"/>
      <c r="Y928" s="15"/>
      <c r="Z928" s="15"/>
      <c r="AA928" s="15"/>
    </row>
    <row r="929">
      <c r="A929" s="5" t="s">
        <v>3796</v>
      </c>
      <c r="B929" s="6" t="s">
        <v>3800</v>
      </c>
      <c r="C929" s="40" t="s">
        <v>3801</v>
      </c>
      <c r="D929" s="116"/>
      <c r="E929" s="116" t="s">
        <v>1550</v>
      </c>
      <c r="F929" s="90">
        <v>2000.0</v>
      </c>
      <c r="G929" s="97" t="s">
        <v>3802</v>
      </c>
      <c r="H929" s="11" t="s">
        <v>44</v>
      </c>
      <c r="I929" s="117">
        <v>9.830476364E9</v>
      </c>
      <c r="J929" s="11" t="s">
        <v>25</v>
      </c>
      <c r="K929" s="12"/>
      <c r="L929" s="13"/>
      <c r="M929" s="14"/>
      <c r="N929" s="15"/>
      <c r="O929" s="5" t="s">
        <v>26</v>
      </c>
      <c r="P929" s="5" t="s">
        <v>79</v>
      </c>
      <c r="Q929" s="15"/>
      <c r="R929" s="16" t="s">
        <v>28</v>
      </c>
      <c r="S929" s="15"/>
      <c r="T929" s="15"/>
      <c r="U929" s="15"/>
      <c r="V929" s="15"/>
      <c r="W929" s="15"/>
      <c r="X929" s="15"/>
      <c r="Y929" s="15"/>
      <c r="Z929" s="15"/>
      <c r="AA929" s="15"/>
    </row>
    <row r="930">
      <c r="A930" s="5" t="s">
        <v>3796</v>
      </c>
      <c r="B930" s="6" t="s">
        <v>3803</v>
      </c>
      <c r="C930" s="40" t="s">
        <v>3804</v>
      </c>
      <c r="D930" s="8"/>
      <c r="E930" s="8" t="s">
        <v>1023</v>
      </c>
      <c r="F930" s="9">
        <v>30000.0</v>
      </c>
      <c r="G930" s="108" t="s">
        <v>3805</v>
      </c>
      <c r="H930" s="109" t="s">
        <v>3622</v>
      </c>
      <c r="I930" s="97">
        <v>9.824788545E9</v>
      </c>
      <c r="J930" s="11" t="s">
        <v>3718</v>
      </c>
      <c r="K930" s="12"/>
      <c r="L930" s="13"/>
      <c r="M930" s="14"/>
      <c r="N930" s="15"/>
      <c r="O930" s="5" t="s">
        <v>108</v>
      </c>
      <c r="P930" s="5"/>
      <c r="Q930" s="15"/>
      <c r="R930" s="16" t="s">
        <v>28</v>
      </c>
      <c r="S930" s="15"/>
      <c r="T930" s="15"/>
      <c r="U930" s="15"/>
      <c r="V930" s="15"/>
      <c r="W930" s="15"/>
      <c r="X930" s="15"/>
      <c r="Y930" s="15"/>
      <c r="Z930" s="15"/>
      <c r="AA930" s="15"/>
    </row>
    <row r="931">
      <c r="A931" s="5" t="s">
        <v>3796</v>
      </c>
      <c r="B931" s="6" t="s">
        <v>3806</v>
      </c>
      <c r="C931" s="40" t="s">
        <v>3807</v>
      </c>
      <c r="D931" s="8"/>
      <c r="E931" s="8" t="s">
        <v>3652</v>
      </c>
      <c r="F931" s="9">
        <v>10000.0</v>
      </c>
      <c r="G931" s="31" t="s">
        <v>3808</v>
      </c>
      <c r="H931" s="11" t="s">
        <v>99</v>
      </c>
      <c r="I931" s="97">
        <v>7.381096118E9</v>
      </c>
      <c r="J931" s="11" t="s">
        <v>25</v>
      </c>
      <c r="K931" s="12" t="s">
        <v>3809</v>
      </c>
      <c r="L931" s="13"/>
      <c r="M931" s="14"/>
      <c r="N931" s="15"/>
      <c r="O931" s="5" t="s">
        <v>26</v>
      </c>
      <c r="P931" s="5"/>
      <c r="Q931" s="15"/>
      <c r="R931" s="16" t="s">
        <v>28</v>
      </c>
      <c r="S931" s="15"/>
      <c r="T931" s="15"/>
      <c r="U931" s="15"/>
      <c r="V931" s="15"/>
      <c r="W931" s="15"/>
      <c r="X931" s="15"/>
      <c r="Y931" s="15"/>
      <c r="Z931" s="15"/>
      <c r="AA931" s="15"/>
    </row>
    <row r="932">
      <c r="A932" s="5" t="s">
        <v>3810</v>
      </c>
      <c r="B932" s="6" t="s">
        <v>3811</v>
      </c>
      <c r="C932" s="40" t="s">
        <v>3812</v>
      </c>
      <c r="D932" s="8"/>
      <c r="E932" s="8" t="s">
        <v>3813</v>
      </c>
      <c r="F932" s="90"/>
      <c r="G932" s="31" t="s">
        <v>3814</v>
      </c>
      <c r="H932" s="36" t="s">
        <v>49</v>
      </c>
      <c r="I932" s="97">
        <v>7.501056622E9</v>
      </c>
      <c r="J932" s="11" t="s">
        <v>25</v>
      </c>
      <c r="K932" s="12" t="s">
        <v>3815</v>
      </c>
      <c r="L932" s="13"/>
      <c r="M932" s="14"/>
      <c r="N932" s="15"/>
      <c r="O932" s="5" t="s">
        <v>26</v>
      </c>
      <c r="P932" s="5" t="s">
        <v>453</v>
      </c>
      <c r="Q932" s="15"/>
      <c r="R932" s="16" t="s">
        <v>28</v>
      </c>
      <c r="S932" s="15"/>
      <c r="T932" s="15"/>
      <c r="U932" s="15"/>
      <c r="V932" s="15"/>
      <c r="W932" s="15"/>
      <c r="X932" s="15"/>
      <c r="Y932" s="15"/>
      <c r="Z932" s="15"/>
      <c r="AA932" s="15"/>
    </row>
    <row r="933">
      <c r="A933" s="5" t="s">
        <v>3810</v>
      </c>
      <c r="B933" s="6" t="s">
        <v>3816</v>
      </c>
      <c r="C933" s="40" t="s">
        <v>3817</v>
      </c>
      <c r="D933" s="8"/>
      <c r="E933" s="8" t="s">
        <v>2482</v>
      </c>
      <c r="F933" s="90">
        <v>300.0</v>
      </c>
      <c r="G933" s="110" t="s">
        <v>3818</v>
      </c>
      <c r="H933" s="11"/>
      <c r="I933" s="97">
        <v>9.323408142E9</v>
      </c>
      <c r="J933" s="11" t="s">
        <v>25</v>
      </c>
      <c r="K933" s="12"/>
      <c r="L933" s="13"/>
      <c r="M933" s="14"/>
      <c r="N933" s="15"/>
      <c r="O933" s="5" t="s">
        <v>108</v>
      </c>
      <c r="P933" s="5"/>
      <c r="Q933" s="15"/>
      <c r="R933" s="16" t="s">
        <v>28</v>
      </c>
      <c r="S933" s="15"/>
      <c r="T933" s="15"/>
      <c r="U933" s="15"/>
      <c r="V933" s="15"/>
      <c r="W933" s="15"/>
      <c r="X933" s="15"/>
      <c r="Y933" s="15"/>
      <c r="Z933" s="15"/>
      <c r="AA933" s="15"/>
    </row>
    <row r="934">
      <c r="A934" s="5" t="s">
        <v>3810</v>
      </c>
      <c r="B934" s="6" t="s">
        <v>3819</v>
      </c>
      <c r="C934" s="40" t="s">
        <v>3820</v>
      </c>
      <c r="D934" s="8"/>
      <c r="E934" s="8" t="s">
        <v>3571</v>
      </c>
      <c r="F934" s="9">
        <v>20000.0</v>
      </c>
      <c r="G934" s="31" t="s">
        <v>3821</v>
      </c>
      <c r="H934" s="11" t="s">
        <v>906</v>
      </c>
      <c r="I934" s="97">
        <v>9.6957223E8</v>
      </c>
      <c r="J934" s="11" t="s">
        <v>25</v>
      </c>
      <c r="K934" s="12"/>
      <c r="L934" s="13"/>
      <c r="M934" s="14"/>
      <c r="N934" s="15"/>
      <c r="O934" s="5" t="s">
        <v>108</v>
      </c>
      <c r="P934" s="5"/>
      <c r="Q934" s="15"/>
      <c r="R934" s="16" t="s">
        <v>28</v>
      </c>
      <c r="S934" s="15"/>
      <c r="T934" s="15"/>
      <c r="U934" s="15"/>
      <c r="V934" s="15"/>
      <c r="W934" s="15"/>
      <c r="X934" s="15"/>
      <c r="Y934" s="15"/>
      <c r="Z934" s="15"/>
      <c r="AA934" s="15"/>
    </row>
    <row r="935">
      <c r="A935" s="5" t="s">
        <v>3810</v>
      </c>
      <c r="B935" s="6" t="s">
        <v>3822</v>
      </c>
      <c r="C935" s="40" t="s">
        <v>3823</v>
      </c>
      <c r="D935" s="8"/>
      <c r="E935" s="8" t="s">
        <v>3824</v>
      </c>
      <c r="F935" s="9">
        <v>25000.0</v>
      </c>
      <c r="G935" s="31" t="s">
        <v>3825</v>
      </c>
      <c r="H935" s="11" t="s">
        <v>906</v>
      </c>
      <c r="I935" s="97">
        <v>7.045592721E9</v>
      </c>
      <c r="J935" s="11" t="s">
        <v>25</v>
      </c>
      <c r="K935" s="12"/>
      <c r="L935" s="13"/>
      <c r="M935" s="14"/>
      <c r="N935" s="15"/>
      <c r="O935" s="5" t="s">
        <v>108</v>
      </c>
      <c r="P935" s="5"/>
      <c r="Q935" s="15"/>
      <c r="R935" s="16" t="s">
        <v>28</v>
      </c>
      <c r="S935" s="15"/>
      <c r="T935" s="15"/>
      <c r="U935" s="15"/>
      <c r="V935" s="15"/>
      <c r="W935" s="15"/>
      <c r="X935" s="15"/>
      <c r="Y935" s="15"/>
      <c r="Z935" s="15"/>
      <c r="AA935" s="15"/>
    </row>
    <row r="936">
      <c r="A936" s="5" t="s">
        <v>3810</v>
      </c>
      <c r="B936" s="6" t="s">
        <v>3826</v>
      </c>
      <c r="C936" s="40" t="s">
        <v>3827</v>
      </c>
      <c r="D936" s="8"/>
      <c r="E936" s="8" t="s">
        <v>1749</v>
      </c>
      <c r="F936" s="90">
        <v>1000.0</v>
      </c>
      <c r="G936" s="31" t="s">
        <v>3828</v>
      </c>
      <c r="H936" s="11"/>
      <c r="I936" s="97">
        <v>7.277254545E9</v>
      </c>
      <c r="J936" s="11" t="s">
        <v>25</v>
      </c>
      <c r="K936" s="12"/>
      <c r="L936" s="13"/>
      <c r="M936" s="14"/>
      <c r="N936" s="15"/>
      <c r="O936" s="5" t="s">
        <v>26</v>
      </c>
      <c r="P936" s="5"/>
      <c r="Q936" s="15"/>
      <c r="R936" s="16" t="s">
        <v>28</v>
      </c>
      <c r="S936" s="15"/>
      <c r="T936" s="15"/>
      <c r="U936" s="15"/>
      <c r="V936" s="15"/>
      <c r="W936" s="15"/>
      <c r="X936" s="15"/>
      <c r="Y936" s="15"/>
      <c r="Z936" s="15"/>
      <c r="AA936" s="15"/>
    </row>
    <row r="937">
      <c r="A937" s="5" t="s">
        <v>3829</v>
      </c>
      <c r="B937" s="6" t="s">
        <v>3830</v>
      </c>
      <c r="C937" s="40" t="s">
        <v>3831</v>
      </c>
      <c r="D937" s="8"/>
      <c r="E937" s="8" t="s">
        <v>152</v>
      </c>
      <c r="F937" s="90">
        <v>1000.0</v>
      </c>
      <c r="G937" s="31" t="s">
        <v>3832</v>
      </c>
      <c r="H937" s="11" t="s">
        <v>507</v>
      </c>
      <c r="I937" s="97">
        <v>7.776836351E9</v>
      </c>
      <c r="J937" s="11" t="s">
        <v>25</v>
      </c>
      <c r="K937" s="12"/>
      <c r="L937" s="13"/>
      <c r="M937" s="14"/>
      <c r="N937" s="15"/>
      <c r="O937" s="5" t="s">
        <v>108</v>
      </c>
      <c r="P937" s="5"/>
      <c r="Q937" s="15"/>
      <c r="R937" s="16" t="s">
        <v>28</v>
      </c>
      <c r="S937" s="15"/>
      <c r="T937" s="15"/>
      <c r="U937" s="15"/>
      <c r="V937" s="15"/>
      <c r="W937" s="15"/>
      <c r="X937" s="15"/>
      <c r="Y937" s="15"/>
      <c r="Z937" s="15"/>
      <c r="AA937" s="15"/>
    </row>
    <row r="938">
      <c r="A938" s="5" t="s">
        <v>3829</v>
      </c>
      <c r="B938" s="6" t="s">
        <v>3833</v>
      </c>
      <c r="C938" s="40" t="s">
        <v>3834</v>
      </c>
      <c r="D938" s="8"/>
      <c r="E938" s="8" t="s">
        <v>753</v>
      </c>
      <c r="F938" s="9">
        <v>16000.0</v>
      </c>
      <c r="G938" s="31" t="s">
        <v>3835</v>
      </c>
      <c r="H938" s="11" t="s">
        <v>3836</v>
      </c>
      <c r="I938" s="97">
        <v>8.830300532E9</v>
      </c>
      <c r="J938" s="11" t="s">
        <v>25</v>
      </c>
      <c r="K938" s="12"/>
      <c r="L938" s="13"/>
      <c r="M938" s="14"/>
      <c r="N938" s="15"/>
      <c r="O938" s="5" t="s">
        <v>108</v>
      </c>
      <c r="P938" s="5"/>
      <c r="Q938" s="15"/>
      <c r="R938" s="16" t="s">
        <v>28</v>
      </c>
      <c r="S938" s="15"/>
      <c r="T938" s="15"/>
      <c r="U938" s="15"/>
      <c r="V938" s="15"/>
      <c r="W938" s="15"/>
      <c r="X938" s="15"/>
      <c r="Y938" s="15"/>
      <c r="Z938" s="15"/>
      <c r="AA938" s="15"/>
    </row>
    <row r="939">
      <c r="A939" s="5" t="s">
        <v>3829</v>
      </c>
      <c r="B939" s="6" t="s">
        <v>3837</v>
      </c>
      <c r="C939" s="40" t="s">
        <v>3838</v>
      </c>
      <c r="D939" s="8"/>
      <c r="E939" s="8" t="s">
        <v>1217</v>
      </c>
      <c r="F939" s="90">
        <v>2000.0</v>
      </c>
      <c r="G939" s="31" t="s">
        <v>3839</v>
      </c>
      <c r="H939" s="11" t="s">
        <v>44</v>
      </c>
      <c r="I939" s="97">
        <v>9.153164553E9</v>
      </c>
      <c r="J939" s="11" t="s">
        <v>25</v>
      </c>
      <c r="K939" s="12"/>
      <c r="L939" s="13"/>
      <c r="M939" s="14"/>
      <c r="N939" s="15"/>
      <c r="O939" s="5" t="s">
        <v>26</v>
      </c>
      <c r="P939" s="5"/>
      <c r="Q939" s="15"/>
      <c r="R939" s="16" t="s">
        <v>28</v>
      </c>
      <c r="S939" s="15"/>
      <c r="T939" s="15"/>
      <c r="U939" s="15"/>
      <c r="V939" s="15"/>
      <c r="W939" s="15"/>
      <c r="X939" s="15"/>
      <c r="Y939" s="15"/>
      <c r="Z939" s="15"/>
      <c r="AA939" s="15"/>
    </row>
    <row r="940">
      <c r="A940" s="5" t="s">
        <v>3829</v>
      </c>
      <c r="B940" s="6" t="s">
        <v>3840</v>
      </c>
      <c r="C940" s="40" t="s">
        <v>3841</v>
      </c>
      <c r="D940" s="8"/>
      <c r="E940" s="8" t="s">
        <v>3842</v>
      </c>
      <c r="F940" s="9">
        <v>10000.0</v>
      </c>
      <c r="G940" s="108" t="s">
        <v>3843</v>
      </c>
      <c r="H940" s="11" t="s">
        <v>3844</v>
      </c>
      <c r="I940" s="41" t="s">
        <v>3845</v>
      </c>
      <c r="J940" s="11" t="s">
        <v>25</v>
      </c>
      <c r="K940" s="12"/>
      <c r="L940" s="13"/>
      <c r="M940" s="14"/>
      <c r="N940" s="15"/>
      <c r="O940" s="5" t="s">
        <v>108</v>
      </c>
      <c r="P940" s="5"/>
      <c r="Q940" s="15"/>
      <c r="R940" s="16" t="s">
        <v>28</v>
      </c>
      <c r="S940" s="15"/>
      <c r="T940" s="15"/>
      <c r="U940" s="15"/>
      <c r="V940" s="15"/>
      <c r="W940" s="15"/>
      <c r="X940" s="15"/>
      <c r="Y940" s="15"/>
      <c r="Z940" s="15"/>
      <c r="AA940" s="15"/>
    </row>
    <row r="941">
      <c r="A941" s="5" t="s">
        <v>3829</v>
      </c>
      <c r="B941" s="6" t="s">
        <v>3846</v>
      </c>
      <c r="C941" s="40" t="s">
        <v>3847</v>
      </c>
      <c r="D941" s="8"/>
      <c r="E941" s="8" t="s">
        <v>3848</v>
      </c>
      <c r="F941" s="9">
        <v>25000.0</v>
      </c>
      <c r="G941" s="31" t="s">
        <v>3849</v>
      </c>
      <c r="H941" s="11" t="s">
        <v>44</v>
      </c>
      <c r="I941" s="97">
        <v>9.051522554E9</v>
      </c>
      <c r="J941" s="11" t="s">
        <v>25</v>
      </c>
      <c r="K941" s="12"/>
      <c r="L941" s="13"/>
      <c r="M941" s="14"/>
      <c r="N941" s="15"/>
      <c r="O941" s="5" t="s">
        <v>26</v>
      </c>
      <c r="P941" s="5" t="s">
        <v>3850</v>
      </c>
      <c r="Q941" s="15"/>
      <c r="R941" s="16" t="s">
        <v>28</v>
      </c>
      <c r="S941" s="15"/>
      <c r="T941" s="15"/>
      <c r="U941" s="15"/>
      <c r="V941" s="15"/>
      <c r="W941" s="15"/>
      <c r="X941" s="15"/>
      <c r="Y941" s="15"/>
      <c r="Z941" s="15"/>
      <c r="AA941" s="15"/>
    </row>
    <row r="942">
      <c r="A942" s="5" t="s">
        <v>3829</v>
      </c>
      <c r="B942" s="6" t="s">
        <v>3851</v>
      </c>
      <c r="C942" s="40" t="s">
        <v>3852</v>
      </c>
      <c r="D942" s="8"/>
      <c r="E942" s="8" t="s">
        <v>3853</v>
      </c>
      <c r="F942" s="9">
        <v>30000.0</v>
      </c>
      <c r="G942" s="31" t="s">
        <v>3854</v>
      </c>
      <c r="H942" s="11" t="s">
        <v>78</v>
      </c>
      <c r="I942" s="97">
        <v>9.576778255E9</v>
      </c>
      <c r="J942" s="11" t="s">
        <v>25</v>
      </c>
      <c r="K942" s="12"/>
      <c r="L942" s="13"/>
      <c r="M942" s="14"/>
      <c r="N942" s="15"/>
      <c r="O942" s="5" t="s">
        <v>26</v>
      </c>
      <c r="P942" s="5"/>
      <c r="Q942" s="15"/>
      <c r="R942" s="16" t="s">
        <v>28</v>
      </c>
      <c r="S942" s="15"/>
      <c r="T942" s="15"/>
      <c r="U942" s="15"/>
      <c r="V942" s="15"/>
      <c r="W942" s="15"/>
      <c r="X942" s="15"/>
      <c r="Y942" s="15"/>
      <c r="Z942" s="15"/>
      <c r="AA942" s="15"/>
    </row>
    <row r="943">
      <c r="A943" s="5" t="s">
        <v>3829</v>
      </c>
      <c r="B943" s="6" t="s">
        <v>3855</v>
      </c>
      <c r="C943" s="40" t="s">
        <v>3856</v>
      </c>
      <c r="D943" s="8"/>
      <c r="E943" s="8" t="s">
        <v>235</v>
      </c>
      <c r="F943" s="9">
        <v>20000.0</v>
      </c>
      <c r="G943" s="31" t="s">
        <v>3857</v>
      </c>
      <c r="H943" s="11" t="s">
        <v>742</v>
      </c>
      <c r="I943" s="97">
        <v>7.075096363E9</v>
      </c>
      <c r="J943" s="11" t="s">
        <v>25</v>
      </c>
      <c r="K943" s="12"/>
      <c r="L943" s="13"/>
      <c r="M943" s="14"/>
      <c r="N943" s="15"/>
      <c r="O943" s="5" t="s">
        <v>108</v>
      </c>
      <c r="P943" s="5"/>
      <c r="Q943" s="15"/>
      <c r="R943" s="16" t="s">
        <v>28</v>
      </c>
      <c r="S943" s="15"/>
      <c r="T943" s="15"/>
      <c r="U943" s="15"/>
      <c r="V943" s="15"/>
      <c r="W943" s="15"/>
      <c r="X943" s="15"/>
      <c r="Y943" s="15"/>
      <c r="Z943" s="15"/>
      <c r="AA943" s="15"/>
    </row>
    <row r="944">
      <c r="A944" s="5" t="s">
        <v>3829</v>
      </c>
      <c r="B944" s="6" t="s">
        <v>3858</v>
      </c>
      <c r="C944" s="40" t="s">
        <v>3859</v>
      </c>
      <c r="D944" s="8"/>
      <c r="E944" s="8" t="s">
        <v>1509</v>
      </c>
      <c r="F944" s="9">
        <v>10000.0</v>
      </c>
      <c r="G944" s="31" t="s">
        <v>3860</v>
      </c>
      <c r="H944" s="11" t="s">
        <v>3861</v>
      </c>
      <c r="I944" s="97">
        <v>9.822654959E9</v>
      </c>
      <c r="J944" s="11" t="s">
        <v>25</v>
      </c>
      <c r="K944" s="12"/>
      <c r="L944" s="13"/>
      <c r="M944" s="14"/>
      <c r="N944" s="15"/>
      <c r="O944" s="5" t="s">
        <v>108</v>
      </c>
      <c r="P944" s="5"/>
      <c r="Q944" s="15"/>
      <c r="R944" s="16" t="s">
        <v>28</v>
      </c>
      <c r="S944" s="15"/>
      <c r="T944" s="15"/>
      <c r="U944" s="15"/>
      <c r="V944" s="15"/>
      <c r="W944" s="15"/>
      <c r="X944" s="15"/>
      <c r="Y944" s="15"/>
      <c r="Z944" s="15"/>
      <c r="AA944" s="15"/>
    </row>
    <row r="945">
      <c r="A945" s="5" t="s">
        <v>3829</v>
      </c>
      <c r="B945" s="6" t="s">
        <v>3862</v>
      </c>
      <c r="C945" s="40" t="s">
        <v>3863</v>
      </c>
      <c r="D945" s="8"/>
      <c r="E945" s="8" t="s">
        <v>3864</v>
      </c>
      <c r="F945" s="90">
        <v>500.0</v>
      </c>
      <c r="G945" s="31" t="s">
        <v>3865</v>
      </c>
      <c r="H945" s="11" t="s">
        <v>218</v>
      </c>
      <c r="I945" s="97">
        <v>8.016268703E9</v>
      </c>
      <c r="J945" s="11" t="s">
        <v>25</v>
      </c>
      <c r="K945" s="12"/>
      <c r="L945" s="13"/>
      <c r="M945" s="14"/>
      <c r="N945" s="15"/>
      <c r="O945" s="5" t="s">
        <v>34</v>
      </c>
      <c r="P945" s="5" t="s">
        <v>1697</v>
      </c>
      <c r="Q945" s="5" t="s">
        <v>777</v>
      </c>
      <c r="R945" s="16" t="s">
        <v>723</v>
      </c>
      <c r="S945" s="15"/>
      <c r="T945" s="15"/>
      <c r="U945" s="15"/>
      <c r="V945" s="15"/>
      <c r="W945" s="15"/>
      <c r="X945" s="15"/>
      <c r="Y945" s="15"/>
      <c r="Z945" s="15"/>
      <c r="AA945" s="15"/>
    </row>
    <row r="946">
      <c r="A946" s="5" t="s">
        <v>3866</v>
      </c>
      <c r="B946" s="6" t="s">
        <v>3867</v>
      </c>
      <c r="C946" s="40" t="s">
        <v>3868</v>
      </c>
      <c r="D946" s="8"/>
      <c r="E946" s="8" t="s">
        <v>130</v>
      </c>
      <c r="F946" s="90">
        <v>1500.0</v>
      </c>
      <c r="G946" s="97" t="s">
        <v>3869</v>
      </c>
      <c r="H946" s="11" t="s">
        <v>1414</v>
      </c>
      <c r="I946" s="97">
        <v>7.908325307E9</v>
      </c>
      <c r="J946" s="11" t="s">
        <v>25</v>
      </c>
      <c r="K946" s="12"/>
      <c r="L946" s="13"/>
      <c r="M946" s="14"/>
      <c r="N946" s="15"/>
      <c r="O946" s="5" t="s">
        <v>34</v>
      </c>
      <c r="P946" s="5"/>
      <c r="Q946" s="15"/>
      <c r="R946" s="16" t="s">
        <v>634</v>
      </c>
      <c r="S946" s="15"/>
      <c r="T946" s="15"/>
      <c r="U946" s="15"/>
      <c r="V946" s="15"/>
      <c r="W946" s="15"/>
      <c r="X946" s="15"/>
      <c r="Y946" s="15"/>
      <c r="Z946" s="15"/>
      <c r="AA946" s="15"/>
    </row>
    <row r="947">
      <c r="A947" s="5" t="s">
        <v>3866</v>
      </c>
      <c r="B947" s="6" t="s">
        <v>3870</v>
      </c>
      <c r="C947" s="40" t="s">
        <v>3871</v>
      </c>
      <c r="D947" s="8"/>
      <c r="E947" s="8" t="s">
        <v>3741</v>
      </c>
      <c r="F947" s="90">
        <v>500.0</v>
      </c>
      <c r="G947" s="108" t="s">
        <v>3872</v>
      </c>
      <c r="H947" s="11"/>
      <c r="I947" s="97">
        <v>9.4645404E9</v>
      </c>
      <c r="J947" s="11" t="s">
        <v>25</v>
      </c>
      <c r="K947" s="12"/>
      <c r="L947" s="13"/>
      <c r="M947" s="14"/>
      <c r="N947" s="15"/>
      <c r="O947" s="5" t="s">
        <v>108</v>
      </c>
      <c r="P947" s="5"/>
      <c r="Q947" s="15"/>
      <c r="R947" s="16" t="s">
        <v>28</v>
      </c>
      <c r="S947" s="15"/>
      <c r="T947" s="15"/>
      <c r="U947" s="15"/>
      <c r="V947" s="15"/>
      <c r="W947" s="15"/>
      <c r="X947" s="15"/>
      <c r="Y947" s="15"/>
      <c r="Z947" s="15"/>
      <c r="AA947" s="15"/>
    </row>
    <row r="948">
      <c r="A948" s="5" t="s">
        <v>3866</v>
      </c>
      <c r="B948" s="6" t="s">
        <v>3873</v>
      </c>
      <c r="C948" s="40" t="s">
        <v>3874</v>
      </c>
      <c r="D948" s="8"/>
      <c r="E948" s="8" t="s">
        <v>593</v>
      </c>
      <c r="F948" s="90">
        <v>1000.0</v>
      </c>
      <c r="G948" s="31" t="s">
        <v>3875</v>
      </c>
      <c r="H948" s="11" t="s">
        <v>44</v>
      </c>
      <c r="I948" s="41" t="s">
        <v>3876</v>
      </c>
      <c r="J948" s="11" t="s">
        <v>25</v>
      </c>
      <c r="K948" s="12"/>
      <c r="L948" s="13"/>
      <c r="M948" s="14"/>
      <c r="N948" s="15"/>
      <c r="O948" s="5" t="s">
        <v>34</v>
      </c>
      <c r="P948" s="5" t="s">
        <v>3877</v>
      </c>
      <c r="Q948" s="15"/>
      <c r="R948" s="16" t="s">
        <v>634</v>
      </c>
      <c r="S948" s="15"/>
      <c r="T948" s="15"/>
      <c r="U948" s="15"/>
      <c r="V948" s="15"/>
      <c r="W948" s="15"/>
      <c r="X948" s="15"/>
      <c r="Y948" s="15"/>
      <c r="Z948" s="15"/>
      <c r="AA948" s="15"/>
    </row>
    <row r="949">
      <c r="A949" s="5" t="s">
        <v>3866</v>
      </c>
      <c r="B949" s="6" t="s">
        <v>3878</v>
      </c>
      <c r="C949" s="40" t="s">
        <v>3879</v>
      </c>
      <c r="D949" s="8"/>
      <c r="E949" s="8" t="s">
        <v>240</v>
      </c>
      <c r="F949" s="90">
        <v>1000.0</v>
      </c>
      <c r="G949" s="85" t="s">
        <v>3880</v>
      </c>
      <c r="H949" s="11" t="s">
        <v>44</v>
      </c>
      <c r="I949" s="97">
        <v>9.836044755E9</v>
      </c>
      <c r="J949" s="11" t="s">
        <v>25</v>
      </c>
      <c r="K949" s="12"/>
      <c r="L949" s="13"/>
      <c r="M949" s="14"/>
      <c r="N949" s="15"/>
      <c r="O949" s="5" t="s">
        <v>34</v>
      </c>
      <c r="P949" s="5" t="s">
        <v>3881</v>
      </c>
      <c r="Q949" s="15"/>
      <c r="R949" s="16" t="s">
        <v>634</v>
      </c>
      <c r="S949" s="15"/>
      <c r="T949" s="15"/>
      <c r="U949" s="15"/>
      <c r="V949" s="15"/>
      <c r="W949" s="15"/>
      <c r="X949" s="15"/>
      <c r="Y949" s="15"/>
      <c r="Z949" s="15"/>
      <c r="AA949" s="15"/>
    </row>
    <row r="950">
      <c r="A950" s="5" t="s">
        <v>3866</v>
      </c>
      <c r="B950" s="6" t="s">
        <v>3882</v>
      </c>
      <c r="C950" s="40" t="s">
        <v>3883</v>
      </c>
      <c r="D950" s="8"/>
      <c r="E950" s="8" t="s">
        <v>523</v>
      </c>
      <c r="F950" s="9">
        <v>50000.0</v>
      </c>
      <c r="G950" s="31" t="s">
        <v>3884</v>
      </c>
      <c r="H950" s="11" t="s">
        <v>99</v>
      </c>
      <c r="I950" s="97">
        <v>9.937131616E9</v>
      </c>
      <c r="J950" s="11" t="s">
        <v>25</v>
      </c>
      <c r="K950" s="12"/>
      <c r="L950" s="13"/>
      <c r="M950" s="14"/>
      <c r="N950" s="15"/>
      <c r="O950" s="5" t="s">
        <v>26</v>
      </c>
      <c r="P950" s="5"/>
      <c r="Q950" s="15"/>
      <c r="R950" s="16" t="s">
        <v>28</v>
      </c>
      <c r="S950" s="15"/>
      <c r="T950" s="15"/>
      <c r="U950" s="15"/>
      <c r="V950" s="15"/>
      <c r="W950" s="15"/>
      <c r="X950" s="15"/>
      <c r="Y950" s="15"/>
      <c r="Z950" s="15"/>
      <c r="AA950" s="15"/>
    </row>
    <row r="951">
      <c r="A951" s="5" t="s">
        <v>3866</v>
      </c>
      <c r="B951" s="6" t="s">
        <v>3885</v>
      </c>
      <c r="C951" s="40" t="s">
        <v>3886</v>
      </c>
      <c r="D951" s="8"/>
      <c r="E951" s="8" t="s">
        <v>167</v>
      </c>
      <c r="F951" s="90">
        <v>5000.0</v>
      </c>
      <c r="G951" s="31" t="s">
        <v>3887</v>
      </c>
      <c r="H951" s="11" t="s">
        <v>2682</v>
      </c>
      <c r="I951" s="97">
        <v>9.902159272E9</v>
      </c>
      <c r="J951" s="11" t="s">
        <v>25</v>
      </c>
      <c r="K951" s="12"/>
      <c r="L951" s="13"/>
      <c r="M951" s="14"/>
      <c r="N951" s="15"/>
      <c r="O951" s="5" t="s">
        <v>108</v>
      </c>
      <c r="P951" s="5"/>
      <c r="Q951" s="15"/>
      <c r="R951" s="16" t="s">
        <v>28</v>
      </c>
      <c r="S951" s="15"/>
      <c r="T951" s="15"/>
      <c r="U951" s="15"/>
      <c r="V951" s="15"/>
      <c r="W951" s="15"/>
      <c r="X951" s="15"/>
      <c r="Y951" s="15"/>
      <c r="Z951" s="15"/>
      <c r="AA951" s="15"/>
    </row>
    <row r="952">
      <c r="A952" s="5" t="s">
        <v>3866</v>
      </c>
      <c r="B952" s="6" t="s">
        <v>3888</v>
      </c>
      <c r="C952" s="40" t="s">
        <v>3889</v>
      </c>
      <c r="D952" s="8"/>
      <c r="E952" s="8" t="s">
        <v>116</v>
      </c>
      <c r="F952" s="90">
        <v>1000.0</v>
      </c>
      <c r="G952" s="31" t="s">
        <v>3890</v>
      </c>
      <c r="H952" s="11" t="s">
        <v>44</v>
      </c>
      <c r="I952" s="97">
        <v>7.0038477E9</v>
      </c>
      <c r="J952" s="11" t="s">
        <v>25</v>
      </c>
      <c r="K952" s="12"/>
      <c r="L952" s="13"/>
      <c r="M952" s="14"/>
      <c r="N952" s="15"/>
      <c r="O952" s="5" t="s">
        <v>26</v>
      </c>
      <c r="P952" s="5"/>
      <c r="Q952" s="15"/>
      <c r="R952" s="16" t="s">
        <v>28</v>
      </c>
      <c r="S952" s="15"/>
      <c r="T952" s="15"/>
      <c r="U952" s="15"/>
      <c r="V952" s="15"/>
      <c r="W952" s="15"/>
      <c r="X952" s="15"/>
      <c r="Y952" s="15"/>
      <c r="Z952" s="15"/>
      <c r="AA952" s="15"/>
    </row>
    <row r="953">
      <c r="A953" s="5" t="s">
        <v>3866</v>
      </c>
      <c r="B953" s="6" t="s">
        <v>3891</v>
      </c>
      <c r="C953" s="40" t="s">
        <v>3892</v>
      </c>
      <c r="D953" s="8"/>
      <c r="E953" s="8" t="s">
        <v>1280</v>
      </c>
      <c r="F953" s="90">
        <v>12000.0</v>
      </c>
      <c r="G953" s="31" t="s">
        <v>3893</v>
      </c>
      <c r="H953" s="11" t="s">
        <v>44</v>
      </c>
      <c r="I953" s="97">
        <v>9.0518322E9</v>
      </c>
      <c r="J953" s="11" t="s">
        <v>25</v>
      </c>
      <c r="K953" s="12"/>
      <c r="L953" s="13"/>
      <c r="M953" s="14"/>
      <c r="N953" s="15"/>
      <c r="O953" s="5" t="s">
        <v>34</v>
      </c>
      <c r="P953" s="5" t="s">
        <v>3894</v>
      </c>
      <c r="Q953" s="5" t="s">
        <v>55</v>
      </c>
      <c r="R953" s="16" t="s">
        <v>723</v>
      </c>
      <c r="S953" s="15"/>
      <c r="T953" s="15"/>
      <c r="U953" s="15"/>
      <c r="V953" s="15"/>
      <c r="W953" s="15"/>
      <c r="X953" s="15"/>
      <c r="Y953" s="15"/>
      <c r="Z953" s="15"/>
      <c r="AA953" s="15"/>
    </row>
    <row r="954">
      <c r="A954" s="5" t="s">
        <v>3895</v>
      </c>
      <c r="B954" s="6" t="s">
        <v>3896</v>
      </c>
      <c r="C954" s="40" t="s">
        <v>3897</v>
      </c>
      <c r="D954" s="8"/>
      <c r="E954" s="8" t="s">
        <v>3898</v>
      </c>
      <c r="F954" s="90">
        <v>2000.0</v>
      </c>
      <c r="G954" s="108" t="s">
        <v>3899</v>
      </c>
      <c r="H954" s="11" t="s">
        <v>3595</v>
      </c>
      <c r="I954" s="97">
        <v>9.974099195E9</v>
      </c>
      <c r="J954" s="11" t="s">
        <v>25</v>
      </c>
      <c r="K954" s="12"/>
      <c r="L954" s="13"/>
      <c r="M954" s="14"/>
      <c r="N954" s="15"/>
      <c r="O954" s="5" t="s">
        <v>108</v>
      </c>
      <c r="P954" s="5"/>
      <c r="Q954" s="15"/>
      <c r="R954" s="16" t="s">
        <v>28</v>
      </c>
      <c r="S954" s="15"/>
      <c r="T954" s="15"/>
      <c r="U954" s="15"/>
      <c r="V954" s="15"/>
      <c r="W954" s="15"/>
      <c r="X954" s="15"/>
      <c r="Y954" s="15"/>
      <c r="Z954" s="15"/>
      <c r="AA954" s="15"/>
    </row>
    <row r="955">
      <c r="A955" s="5" t="s">
        <v>3895</v>
      </c>
      <c r="B955" s="6" t="s">
        <v>3900</v>
      </c>
      <c r="C955" s="40" t="s">
        <v>3901</v>
      </c>
      <c r="D955" s="8"/>
      <c r="E955" s="8" t="s">
        <v>794</v>
      </c>
      <c r="F955" s="9">
        <v>25000.0</v>
      </c>
      <c r="G955" s="31" t="s">
        <v>3902</v>
      </c>
      <c r="H955" s="11" t="s">
        <v>638</v>
      </c>
      <c r="I955" s="97">
        <v>7.667194175E9</v>
      </c>
      <c r="J955" s="11" t="s">
        <v>25</v>
      </c>
      <c r="K955" s="12"/>
      <c r="L955" s="13"/>
      <c r="M955" s="14"/>
      <c r="N955" s="15"/>
      <c r="O955" s="5" t="s">
        <v>26</v>
      </c>
      <c r="P955" s="5" t="s">
        <v>3903</v>
      </c>
      <c r="Q955" s="15"/>
      <c r="R955" s="16" t="s">
        <v>28</v>
      </c>
      <c r="S955" s="15"/>
      <c r="T955" s="15"/>
      <c r="U955" s="15"/>
      <c r="V955" s="15"/>
      <c r="W955" s="15"/>
      <c r="X955" s="15"/>
      <c r="Y955" s="15"/>
      <c r="Z955" s="15"/>
      <c r="AA955" s="15"/>
    </row>
    <row r="956">
      <c r="A956" s="5" t="s">
        <v>3904</v>
      </c>
      <c r="B956" s="6" t="s">
        <v>3905</v>
      </c>
      <c r="C956" s="40" t="s">
        <v>3906</v>
      </c>
      <c r="D956" s="8"/>
      <c r="E956" s="8" t="s">
        <v>3907</v>
      </c>
      <c r="F956" s="90">
        <v>3000.0</v>
      </c>
      <c r="G956" s="97" t="s">
        <v>3908</v>
      </c>
      <c r="H956" s="11" t="s">
        <v>3909</v>
      </c>
      <c r="I956" s="97" t="s">
        <v>3910</v>
      </c>
      <c r="J956" s="66" t="s">
        <v>25</v>
      </c>
      <c r="K956" s="12" t="s">
        <v>3911</v>
      </c>
      <c r="L956" s="13"/>
      <c r="M956" s="14"/>
      <c r="N956" s="15"/>
      <c r="O956" s="5" t="s">
        <v>564</v>
      </c>
      <c r="P956" s="5"/>
      <c r="Q956" s="15"/>
      <c r="R956" s="16"/>
      <c r="S956" s="15"/>
      <c r="T956" s="15"/>
      <c r="U956" s="15"/>
      <c r="V956" s="15"/>
      <c r="W956" s="15"/>
      <c r="X956" s="15"/>
      <c r="Y956" s="15"/>
      <c r="Z956" s="15"/>
      <c r="AA956" s="15"/>
    </row>
    <row r="957">
      <c r="A957" s="5" t="s">
        <v>3895</v>
      </c>
      <c r="B957" s="6" t="s">
        <v>3912</v>
      </c>
      <c r="C957" s="40" t="s">
        <v>3913</v>
      </c>
      <c r="D957" s="8"/>
      <c r="E957" s="8" t="s">
        <v>1217</v>
      </c>
      <c r="F957" s="90">
        <v>1000.0</v>
      </c>
      <c r="G957" s="31" t="s">
        <v>3914</v>
      </c>
      <c r="H957" s="11" t="s">
        <v>44</v>
      </c>
      <c r="I957" s="97">
        <v>9.831051716E9</v>
      </c>
      <c r="J957" s="11" t="s">
        <v>25</v>
      </c>
      <c r="K957" s="12"/>
      <c r="L957" s="13"/>
      <c r="M957" s="14"/>
      <c r="N957" s="15"/>
      <c r="O957" s="5" t="s">
        <v>26</v>
      </c>
      <c r="P957" s="5" t="s">
        <v>0</v>
      </c>
      <c r="Q957" s="15"/>
      <c r="R957" s="16" t="s">
        <v>28</v>
      </c>
      <c r="S957" s="15"/>
      <c r="T957" s="15"/>
      <c r="U957" s="15"/>
      <c r="V957" s="15"/>
      <c r="W957" s="15"/>
      <c r="X957" s="15"/>
      <c r="Y957" s="15"/>
      <c r="Z957" s="15"/>
      <c r="AA957" s="15"/>
    </row>
    <row r="958">
      <c r="A958" s="5" t="s">
        <v>3915</v>
      </c>
      <c r="B958" s="6" t="s">
        <v>3916</v>
      </c>
      <c r="C958" s="40" t="s">
        <v>3917</v>
      </c>
      <c r="D958" s="8"/>
      <c r="E958" s="8" t="s">
        <v>3918</v>
      </c>
      <c r="F958" s="90">
        <v>5000.0</v>
      </c>
      <c r="G958" s="97"/>
      <c r="H958" s="11" t="s">
        <v>184</v>
      </c>
      <c r="I958" s="97">
        <v>9.931335069E9</v>
      </c>
      <c r="J958" s="11" t="s">
        <v>25</v>
      </c>
      <c r="K958" s="12"/>
      <c r="L958" s="13"/>
      <c r="M958" s="14"/>
      <c r="N958" s="15"/>
      <c r="O958" s="5" t="s">
        <v>26</v>
      </c>
      <c r="P958" s="5"/>
      <c r="Q958" s="15"/>
      <c r="R958" s="16" t="s">
        <v>28</v>
      </c>
      <c r="S958" s="15"/>
      <c r="T958" s="15"/>
      <c r="U958" s="15"/>
      <c r="V958" s="15"/>
      <c r="W958" s="15"/>
      <c r="X958" s="15"/>
      <c r="Y958" s="15"/>
      <c r="Z958" s="15"/>
      <c r="AA958" s="15"/>
    </row>
    <row r="959">
      <c r="A959" s="5" t="s">
        <v>3915</v>
      </c>
      <c r="B959" s="6" t="s">
        <v>3919</v>
      </c>
      <c r="C959" s="40" t="s">
        <v>3920</v>
      </c>
      <c r="D959" s="8"/>
      <c r="E959" s="8" t="s">
        <v>3921</v>
      </c>
      <c r="F959" s="9">
        <v>100000.0</v>
      </c>
      <c r="G959" s="31" t="s">
        <v>3922</v>
      </c>
      <c r="H959" s="36" t="s">
        <v>3923</v>
      </c>
      <c r="I959" s="97">
        <v>9.022704041E9</v>
      </c>
      <c r="J959" s="11" t="s">
        <v>25</v>
      </c>
      <c r="K959" s="12"/>
      <c r="L959" s="13"/>
      <c r="M959" s="14"/>
      <c r="N959" s="15"/>
      <c r="O959" s="5" t="s">
        <v>108</v>
      </c>
      <c r="P959" s="5"/>
      <c r="Q959" s="15"/>
      <c r="R959" s="16" t="s">
        <v>28</v>
      </c>
      <c r="S959" s="15"/>
      <c r="T959" s="15"/>
      <c r="U959" s="15"/>
      <c r="V959" s="15"/>
      <c r="W959" s="15"/>
      <c r="X959" s="15"/>
      <c r="Y959" s="15"/>
      <c r="Z959" s="15"/>
      <c r="AA959" s="15"/>
    </row>
    <row r="960">
      <c r="A960" s="5" t="s">
        <v>3915</v>
      </c>
      <c r="B960" s="6" t="s">
        <v>3924</v>
      </c>
      <c r="C960" s="40" t="s">
        <v>3925</v>
      </c>
      <c r="D960" s="8"/>
      <c r="E960" s="8" t="s">
        <v>3926</v>
      </c>
      <c r="F960" s="9">
        <v>10000.0</v>
      </c>
      <c r="G960" s="31" t="s">
        <v>3927</v>
      </c>
      <c r="H960" s="11" t="s">
        <v>44</v>
      </c>
      <c r="I960" s="97">
        <v>9.331062119E9</v>
      </c>
      <c r="J960" s="11" t="s">
        <v>25</v>
      </c>
      <c r="K960" s="12" t="s">
        <v>3928</v>
      </c>
      <c r="L960" s="13"/>
      <c r="M960" s="14"/>
      <c r="N960" s="15"/>
      <c r="O960" s="5" t="s">
        <v>26</v>
      </c>
      <c r="P960" s="5" t="s">
        <v>1632</v>
      </c>
      <c r="Q960" s="15"/>
      <c r="R960" s="16" t="s">
        <v>28</v>
      </c>
      <c r="S960" s="15"/>
      <c r="T960" s="15"/>
      <c r="U960" s="15"/>
      <c r="V960" s="15"/>
      <c r="W960" s="15"/>
      <c r="X960" s="15"/>
      <c r="Y960" s="15"/>
      <c r="Z960" s="15"/>
      <c r="AA960" s="15"/>
    </row>
    <row r="961">
      <c r="A961" s="5" t="s">
        <v>3915</v>
      </c>
      <c r="B961" s="6" t="s">
        <v>3929</v>
      </c>
      <c r="C961" s="40" t="s">
        <v>3930</v>
      </c>
      <c r="D961" s="8"/>
      <c r="E961" s="8" t="s">
        <v>3931</v>
      </c>
      <c r="F961" s="90">
        <v>4000.0</v>
      </c>
      <c r="G961" s="110" t="s">
        <v>3932</v>
      </c>
      <c r="H961" s="109" t="s">
        <v>3933</v>
      </c>
      <c r="I961" s="41" t="s">
        <v>3934</v>
      </c>
      <c r="J961" s="11" t="s">
        <v>25</v>
      </c>
      <c r="K961" s="12"/>
      <c r="L961" s="13"/>
      <c r="M961" s="14"/>
      <c r="N961" s="15"/>
      <c r="O961" s="5" t="s">
        <v>108</v>
      </c>
      <c r="P961" s="5"/>
      <c r="Q961" s="15"/>
      <c r="R961" s="16" t="s">
        <v>28</v>
      </c>
      <c r="S961" s="15"/>
      <c r="T961" s="15"/>
      <c r="U961" s="15"/>
      <c r="V961" s="15"/>
      <c r="W961" s="15"/>
      <c r="X961" s="15"/>
      <c r="Y961" s="15"/>
      <c r="Z961" s="15"/>
      <c r="AA961" s="15"/>
    </row>
    <row r="962">
      <c r="A962" s="5" t="s">
        <v>3915</v>
      </c>
      <c r="B962" s="6" t="s">
        <v>3935</v>
      </c>
      <c r="C962" s="40" t="s">
        <v>3936</v>
      </c>
      <c r="D962" s="8"/>
      <c r="E962" s="8" t="s">
        <v>3937</v>
      </c>
      <c r="F962" s="9">
        <v>20000.0</v>
      </c>
      <c r="G962" s="97"/>
      <c r="H962" s="36" t="s">
        <v>3938</v>
      </c>
      <c r="I962" s="97">
        <v>9.869073153E9</v>
      </c>
      <c r="J962" s="11" t="s">
        <v>25</v>
      </c>
      <c r="K962" s="12"/>
      <c r="L962" s="13"/>
      <c r="M962" s="14"/>
      <c r="N962" s="15"/>
      <c r="O962" s="5" t="s">
        <v>108</v>
      </c>
      <c r="P962" s="5"/>
      <c r="Q962" s="15"/>
      <c r="R962" s="16" t="s">
        <v>28</v>
      </c>
      <c r="S962" s="15"/>
      <c r="T962" s="15"/>
      <c r="U962" s="15"/>
      <c r="V962" s="15"/>
      <c r="W962" s="15"/>
      <c r="X962" s="15"/>
      <c r="Y962" s="15"/>
      <c r="Z962" s="15"/>
      <c r="AA962" s="15"/>
    </row>
    <row r="963">
      <c r="A963" s="5" t="s">
        <v>3915</v>
      </c>
      <c r="B963" s="6" t="s">
        <v>3939</v>
      </c>
      <c r="C963" s="40" t="s">
        <v>3940</v>
      </c>
      <c r="D963" s="8"/>
      <c r="E963" s="8" t="s">
        <v>3941</v>
      </c>
      <c r="F963" s="90">
        <v>500.0</v>
      </c>
      <c r="G963" s="31" t="s">
        <v>3942</v>
      </c>
      <c r="H963" s="11" t="s">
        <v>99</v>
      </c>
      <c r="I963" s="97">
        <v>7.978601371E9</v>
      </c>
      <c r="J963" s="11" t="s">
        <v>25</v>
      </c>
      <c r="K963" s="12"/>
      <c r="L963" s="13"/>
      <c r="M963" s="11" t="s">
        <v>3943</v>
      </c>
      <c r="N963" s="15"/>
      <c r="O963" s="5" t="s">
        <v>34</v>
      </c>
      <c r="P963" s="5" t="s">
        <v>79</v>
      </c>
      <c r="Q963" s="15"/>
      <c r="R963" s="16" t="s">
        <v>634</v>
      </c>
      <c r="S963" s="15"/>
      <c r="T963" s="15"/>
      <c r="U963" s="15"/>
      <c r="V963" s="15"/>
      <c r="W963" s="15"/>
      <c r="X963" s="15"/>
      <c r="Y963" s="15"/>
      <c r="Z963" s="15"/>
      <c r="AA963" s="15"/>
    </row>
    <row r="964">
      <c r="A964" s="5" t="s">
        <v>3944</v>
      </c>
      <c r="B964" s="6" t="s">
        <v>3945</v>
      </c>
      <c r="C964" s="40" t="s">
        <v>3946</v>
      </c>
      <c r="D964" s="8"/>
      <c r="E964" s="8" t="s">
        <v>794</v>
      </c>
      <c r="F964" s="90">
        <v>3000.0</v>
      </c>
      <c r="G964" s="31" t="s">
        <v>3947</v>
      </c>
      <c r="H964" s="11" t="s">
        <v>44</v>
      </c>
      <c r="I964" s="97">
        <v>8.697534599E9</v>
      </c>
      <c r="J964" s="11" t="s">
        <v>25</v>
      </c>
      <c r="K964" s="12"/>
      <c r="L964" s="13"/>
      <c r="M964" s="11" t="s">
        <v>2951</v>
      </c>
      <c r="N964" s="15"/>
      <c r="O964" s="5" t="s">
        <v>34</v>
      </c>
      <c r="P964" s="5" t="s">
        <v>79</v>
      </c>
      <c r="Q964" s="15"/>
      <c r="R964" s="16" t="s">
        <v>634</v>
      </c>
      <c r="S964" s="15"/>
      <c r="T964" s="15"/>
      <c r="U964" s="15"/>
      <c r="V964" s="15"/>
      <c r="W964" s="15"/>
      <c r="X964" s="15"/>
      <c r="Y964" s="15"/>
      <c r="Z964" s="15"/>
      <c r="AA964" s="15"/>
    </row>
    <row r="965">
      <c r="A965" s="5" t="s">
        <v>3944</v>
      </c>
      <c r="B965" s="6" t="s">
        <v>3948</v>
      </c>
      <c r="C965" s="40" t="s">
        <v>3949</v>
      </c>
      <c r="D965" s="8"/>
      <c r="E965" s="8" t="s">
        <v>3950</v>
      </c>
      <c r="F965" s="90">
        <v>5000.0</v>
      </c>
      <c r="G965" s="118" t="s">
        <v>3951</v>
      </c>
      <c r="H965" s="11" t="s">
        <v>519</v>
      </c>
      <c r="I965" s="97">
        <v>9.82507329E9</v>
      </c>
      <c r="J965" s="11" t="s">
        <v>25</v>
      </c>
      <c r="K965" s="12"/>
      <c r="L965" s="13"/>
      <c r="M965" s="14"/>
      <c r="N965" s="15"/>
      <c r="O965" s="5" t="s">
        <v>108</v>
      </c>
      <c r="P965" s="5"/>
      <c r="Q965" s="15"/>
      <c r="R965" s="16" t="s">
        <v>28</v>
      </c>
      <c r="S965" s="15"/>
      <c r="T965" s="15"/>
      <c r="U965" s="15"/>
      <c r="V965" s="15"/>
      <c r="W965" s="15"/>
      <c r="X965" s="15"/>
      <c r="Y965" s="15"/>
      <c r="Z965" s="15"/>
      <c r="AA965" s="15"/>
    </row>
    <row r="966">
      <c r="A966" s="5" t="s">
        <v>3944</v>
      </c>
      <c r="B966" s="6" t="s">
        <v>3952</v>
      </c>
      <c r="C966" s="40" t="s">
        <v>3619</v>
      </c>
      <c r="D966" s="8"/>
      <c r="E966" s="8" t="s">
        <v>3555</v>
      </c>
      <c r="F966" s="90">
        <v>5000.0</v>
      </c>
      <c r="G966" s="118" t="s">
        <v>3621</v>
      </c>
      <c r="H966" s="11" t="s">
        <v>519</v>
      </c>
      <c r="I966" s="97">
        <v>9.998177959E9</v>
      </c>
      <c r="J966" s="11" t="s">
        <v>25</v>
      </c>
      <c r="K966" s="12"/>
      <c r="L966" s="13"/>
      <c r="M966" s="14"/>
      <c r="N966" s="15"/>
      <c r="O966" s="5" t="s">
        <v>108</v>
      </c>
      <c r="P966" s="5"/>
      <c r="Q966" s="15"/>
      <c r="R966" s="16" t="s">
        <v>28</v>
      </c>
      <c r="S966" s="15"/>
      <c r="T966" s="15"/>
      <c r="U966" s="15"/>
      <c r="V966" s="15"/>
      <c r="W966" s="15"/>
      <c r="X966" s="15"/>
      <c r="Y966" s="15"/>
      <c r="Z966" s="15"/>
      <c r="AA966" s="15"/>
    </row>
    <row r="967">
      <c r="A967" s="5" t="s">
        <v>3944</v>
      </c>
      <c r="B967" s="6" t="s">
        <v>3953</v>
      </c>
      <c r="C967" s="40" t="s">
        <v>3954</v>
      </c>
      <c r="D967" s="8"/>
      <c r="E967" s="8" t="s">
        <v>2546</v>
      </c>
      <c r="F967" s="90">
        <v>5000.0</v>
      </c>
      <c r="G967" s="119" t="s">
        <v>3955</v>
      </c>
      <c r="H967" s="11" t="s">
        <v>519</v>
      </c>
      <c r="I967" s="97">
        <v>9.687617351E9</v>
      </c>
      <c r="J967" s="11" t="s">
        <v>25</v>
      </c>
      <c r="K967" s="12"/>
      <c r="L967" s="13"/>
      <c r="M967" s="14"/>
      <c r="N967" s="15"/>
      <c r="O967" s="5" t="s">
        <v>108</v>
      </c>
      <c r="P967" s="5"/>
      <c r="Q967" s="15"/>
      <c r="R967" s="16" t="s">
        <v>28</v>
      </c>
      <c r="S967" s="15"/>
      <c r="T967" s="15"/>
      <c r="U967" s="15"/>
      <c r="V967" s="15"/>
      <c r="W967" s="15"/>
      <c r="X967" s="15"/>
      <c r="Y967" s="15"/>
      <c r="Z967" s="15"/>
      <c r="AA967" s="15"/>
    </row>
    <row r="968">
      <c r="A968" s="5" t="s">
        <v>3956</v>
      </c>
      <c r="B968" s="6" t="s">
        <v>3957</v>
      </c>
      <c r="C968" s="40" t="s">
        <v>3958</v>
      </c>
      <c r="D968" s="8"/>
      <c r="E968" s="8" t="s">
        <v>130</v>
      </c>
      <c r="F968" s="9">
        <v>20000.0</v>
      </c>
      <c r="G968" s="31" t="s">
        <v>3959</v>
      </c>
      <c r="H968" s="11" t="s">
        <v>906</v>
      </c>
      <c r="I968" s="97">
        <v>9.167141616E9</v>
      </c>
      <c r="J968" s="11" t="s">
        <v>25</v>
      </c>
      <c r="K968" s="12"/>
      <c r="L968" s="13"/>
      <c r="M968" s="14"/>
      <c r="N968" s="15"/>
      <c r="O968" s="5" t="s">
        <v>108</v>
      </c>
      <c r="P968" s="5"/>
      <c r="Q968" s="15"/>
      <c r="R968" s="16" t="s">
        <v>28</v>
      </c>
      <c r="S968" s="15"/>
      <c r="T968" s="15"/>
      <c r="U968" s="15"/>
      <c r="V968" s="15"/>
      <c r="W968" s="15"/>
      <c r="X968" s="15"/>
      <c r="Y968" s="15"/>
      <c r="Z968" s="15"/>
      <c r="AA968" s="15"/>
    </row>
    <row r="969">
      <c r="A969" s="5" t="s">
        <v>3956</v>
      </c>
      <c r="B969" s="6" t="s">
        <v>3960</v>
      </c>
      <c r="C969" s="40" t="s">
        <v>3961</v>
      </c>
      <c r="D969" s="8"/>
      <c r="E969" s="8" t="s">
        <v>3962</v>
      </c>
      <c r="F969" s="9">
        <v>35000.0</v>
      </c>
      <c r="G969" s="31" t="s">
        <v>3963</v>
      </c>
      <c r="H969" s="11" t="s">
        <v>44</v>
      </c>
      <c r="I969" s="97">
        <v>9.748592499E9</v>
      </c>
      <c r="J969" s="11" t="s">
        <v>25</v>
      </c>
      <c r="K969" s="12"/>
      <c r="L969" s="13"/>
      <c r="M969" s="14"/>
      <c r="N969" s="15"/>
      <c r="O969" s="5" t="s">
        <v>26</v>
      </c>
      <c r="P969" s="5" t="s">
        <v>453</v>
      </c>
      <c r="Q969" s="15"/>
      <c r="R969" s="16" t="s">
        <v>28</v>
      </c>
      <c r="S969" s="15"/>
      <c r="T969" s="15"/>
      <c r="U969" s="15"/>
      <c r="V969" s="15"/>
      <c r="W969" s="15"/>
      <c r="X969" s="15"/>
      <c r="Y969" s="15"/>
      <c r="Z969" s="15"/>
      <c r="AA969" s="15"/>
    </row>
    <row r="970">
      <c r="A970" s="5" t="s">
        <v>3956</v>
      </c>
      <c r="B970" s="6" t="s">
        <v>3964</v>
      </c>
      <c r="C970" s="40" t="s">
        <v>3965</v>
      </c>
      <c r="D970" s="8"/>
      <c r="E970" s="8" t="s">
        <v>87</v>
      </c>
      <c r="F970" s="90">
        <v>5000.0</v>
      </c>
      <c r="G970" s="97"/>
      <c r="H970" s="11" t="s">
        <v>977</v>
      </c>
      <c r="I970" s="97">
        <v>8.521609398E9</v>
      </c>
      <c r="J970" s="11" t="s">
        <v>25</v>
      </c>
      <c r="K970" s="12"/>
      <c r="L970" s="13"/>
      <c r="M970" s="14"/>
      <c r="N970" s="15"/>
      <c r="O970" s="5" t="s">
        <v>34</v>
      </c>
      <c r="P970" s="5"/>
      <c r="Q970" s="15"/>
      <c r="R970" s="16" t="s">
        <v>28</v>
      </c>
      <c r="S970" s="15"/>
      <c r="T970" s="15"/>
      <c r="U970" s="15"/>
      <c r="V970" s="15"/>
      <c r="W970" s="15"/>
      <c r="X970" s="15"/>
      <c r="Y970" s="15"/>
      <c r="Z970" s="15"/>
      <c r="AA970" s="15"/>
    </row>
    <row r="971">
      <c r="A971" s="5" t="s">
        <v>3956</v>
      </c>
      <c r="B971" s="6" t="s">
        <v>3966</v>
      </c>
      <c r="C971" s="40" t="s">
        <v>3967</v>
      </c>
      <c r="D971" s="8"/>
      <c r="E971" s="8" t="s">
        <v>130</v>
      </c>
      <c r="F971" s="90">
        <v>1000.0</v>
      </c>
      <c r="G971" s="31" t="s">
        <v>3968</v>
      </c>
      <c r="H971" s="11" t="s">
        <v>3861</v>
      </c>
      <c r="I971" s="97">
        <v>9.975791723E9</v>
      </c>
      <c r="J971" s="11" t="s">
        <v>25</v>
      </c>
      <c r="K971" s="12"/>
      <c r="L971" s="13"/>
      <c r="M971" s="14"/>
      <c r="N971" s="15"/>
      <c r="O971" s="5" t="s">
        <v>108</v>
      </c>
      <c r="P971" s="5"/>
      <c r="Q971" s="15"/>
      <c r="R971" s="16" t="s">
        <v>28</v>
      </c>
      <c r="S971" s="15"/>
      <c r="T971" s="15"/>
      <c r="U971" s="15"/>
      <c r="V971" s="15"/>
      <c r="W971" s="15"/>
      <c r="X971" s="15"/>
      <c r="Y971" s="15"/>
      <c r="Z971" s="15"/>
      <c r="AA971" s="15"/>
    </row>
    <row r="972">
      <c r="A972" s="5" t="s">
        <v>3956</v>
      </c>
      <c r="B972" s="6" t="s">
        <v>3969</v>
      </c>
      <c r="C972" s="40" t="s">
        <v>3970</v>
      </c>
      <c r="D972" s="8"/>
      <c r="E972" s="8" t="s">
        <v>3971</v>
      </c>
      <c r="F972" s="90">
        <v>5000.0</v>
      </c>
      <c r="G972" s="119" t="s">
        <v>3765</v>
      </c>
      <c r="H972" s="11" t="s">
        <v>3972</v>
      </c>
      <c r="I972" s="41" t="s">
        <v>3766</v>
      </c>
      <c r="J972" s="11" t="s">
        <v>25</v>
      </c>
      <c r="K972" s="12"/>
      <c r="L972" s="13"/>
      <c r="M972" s="14"/>
      <c r="N972" s="15"/>
      <c r="O972" s="5" t="s">
        <v>108</v>
      </c>
      <c r="P972" s="5"/>
      <c r="Q972" s="15"/>
      <c r="R972" s="16" t="s">
        <v>28</v>
      </c>
      <c r="S972" s="15"/>
      <c r="T972" s="15"/>
      <c r="U972" s="15"/>
      <c r="V972" s="15"/>
      <c r="W972" s="15"/>
      <c r="X972" s="15"/>
      <c r="Y972" s="15"/>
      <c r="Z972" s="15"/>
      <c r="AA972" s="15"/>
    </row>
    <row r="973">
      <c r="A973" s="5" t="s">
        <v>3956</v>
      </c>
      <c r="B973" s="6" t="s">
        <v>3973</v>
      </c>
      <c r="C973" s="40" t="s">
        <v>3974</v>
      </c>
      <c r="D973" s="8"/>
      <c r="E973" s="8" t="s">
        <v>3555</v>
      </c>
      <c r="F973" s="9">
        <v>21000.0</v>
      </c>
      <c r="G973" s="118" t="s">
        <v>3975</v>
      </c>
      <c r="H973" s="11" t="s">
        <v>3976</v>
      </c>
      <c r="I973" s="97">
        <v>9.825870901E9</v>
      </c>
      <c r="J973" s="11" t="s">
        <v>25</v>
      </c>
      <c r="K973" s="12"/>
      <c r="L973" s="13"/>
      <c r="M973" s="14"/>
      <c r="N973" s="15"/>
      <c r="O973" s="5" t="s">
        <v>108</v>
      </c>
      <c r="P973" s="5"/>
      <c r="Q973" s="15"/>
      <c r="R973" s="16" t="s">
        <v>28</v>
      </c>
      <c r="S973" s="15"/>
      <c r="T973" s="15"/>
      <c r="U973" s="15"/>
      <c r="V973" s="15"/>
      <c r="W973" s="15"/>
      <c r="X973" s="15"/>
      <c r="Y973" s="15"/>
      <c r="Z973" s="15"/>
      <c r="AA973" s="15"/>
    </row>
    <row r="974">
      <c r="A974" s="5" t="s">
        <v>3956</v>
      </c>
      <c r="B974" s="6" t="s">
        <v>3977</v>
      </c>
      <c r="C974" s="40" t="s">
        <v>3978</v>
      </c>
      <c r="D974" s="8"/>
      <c r="E974" s="8" t="s">
        <v>3918</v>
      </c>
      <c r="F974" s="90">
        <v>1250.0</v>
      </c>
      <c r="G974" s="31" t="s">
        <v>3979</v>
      </c>
      <c r="H974" s="36" t="s">
        <v>78</v>
      </c>
      <c r="I974" s="97">
        <v>7.004648989E9</v>
      </c>
      <c r="J974" s="11" t="s">
        <v>25</v>
      </c>
      <c r="K974" s="12" t="s">
        <v>3980</v>
      </c>
      <c r="L974" s="13"/>
      <c r="M974" s="14"/>
      <c r="N974" s="15"/>
      <c r="O974" s="5" t="s">
        <v>26</v>
      </c>
      <c r="P974" s="5" t="s">
        <v>453</v>
      </c>
      <c r="Q974" s="15"/>
      <c r="R974" s="16" t="s">
        <v>28</v>
      </c>
      <c r="S974" s="15"/>
      <c r="T974" s="15"/>
      <c r="U974" s="15"/>
      <c r="V974" s="15"/>
      <c r="W974" s="15"/>
      <c r="X974" s="15"/>
      <c r="Y974" s="15"/>
      <c r="Z974" s="15"/>
      <c r="AA974" s="15"/>
    </row>
    <row r="975">
      <c r="A975" s="5" t="s">
        <v>3981</v>
      </c>
      <c r="B975" s="6" t="s">
        <v>3905</v>
      </c>
      <c r="C975" s="40" t="s">
        <v>3982</v>
      </c>
      <c r="D975" s="8"/>
      <c r="E975" s="8" t="s">
        <v>1280</v>
      </c>
      <c r="F975" s="90">
        <v>2500.0</v>
      </c>
      <c r="G975" s="97"/>
      <c r="H975" s="11" t="s">
        <v>3983</v>
      </c>
      <c r="I975" s="97">
        <v>7.059913545E9</v>
      </c>
      <c r="J975" s="11" t="s">
        <v>25</v>
      </c>
      <c r="K975" s="12"/>
      <c r="L975" s="13"/>
      <c r="M975" s="11" t="s">
        <v>3984</v>
      </c>
      <c r="N975" s="15"/>
      <c r="O975" s="5" t="s">
        <v>34</v>
      </c>
      <c r="P975" s="5" t="s">
        <v>2952</v>
      </c>
      <c r="Q975" s="5" t="s">
        <v>777</v>
      </c>
      <c r="R975" s="16" t="s">
        <v>723</v>
      </c>
      <c r="S975" s="15"/>
      <c r="T975" s="15"/>
      <c r="U975" s="15"/>
      <c r="V975" s="15"/>
      <c r="W975" s="15"/>
      <c r="X975" s="15"/>
      <c r="Y975" s="15"/>
      <c r="Z975" s="15"/>
      <c r="AA975" s="15"/>
    </row>
    <row r="976">
      <c r="A976" s="5" t="s">
        <v>3981</v>
      </c>
      <c r="B976" s="6" t="s">
        <v>3985</v>
      </c>
      <c r="C976" s="40" t="s">
        <v>3986</v>
      </c>
      <c r="D976" s="8"/>
      <c r="E976" s="8" t="s">
        <v>53</v>
      </c>
      <c r="F976" s="90">
        <v>5000.0</v>
      </c>
      <c r="G976" s="97" t="s">
        <v>3987</v>
      </c>
      <c r="H976" s="11" t="s">
        <v>3988</v>
      </c>
      <c r="I976" s="97">
        <v>9.007547285E9</v>
      </c>
      <c r="J976" s="11" t="s">
        <v>25</v>
      </c>
      <c r="K976" s="12"/>
      <c r="L976" s="13"/>
      <c r="M976" s="14"/>
      <c r="N976" s="15"/>
      <c r="O976" s="5" t="s">
        <v>564</v>
      </c>
      <c r="P976" s="11" t="s">
        <v>3989</v>
      </c>
      <c r="Q976" s="15"/>
      <c r="R976" s="16" t="s">
        <v>28</v>
      </c>
      <c r="S976" s="15"/>
      <c r="T976" s="15"/>
      <c r="U976" s="15"/>
      <c r="V976" s="15"/>
      <c r="W976" s="15"/>
      <c r="X976" s="15"/>
      <c r="Y976" s="15"/>
      <c r="Z976" s="15"/>
      <c r="AA976" s="15"/>
    </row>
    <row r="977">
      <c r="A977" s="5" t="s">
        <v>3981</v>
      </c>
      <c r="B977" s="6" t="s">
        <v>3990</v>
      </c>
      <c r="C977" s="40" t="s">
        <v>3991</v>
      </c>
      <c r="D977" s="8"/>
      <c r="E977" s="8" t="s">
        <v>3992</v>
      </c>
      <c r="F977" s="90">
        <v>1000.0</v>
      </c>
      <c r="G977" s="97" t="s">
        <v>3993</v>
      </c>
      <c r="H977" s="11" t="s">
        <v>3994</v>
      </c>
      <c r="I977" s="97">
        <v>9.830224647E9</v>
      </c>
      <c r="J977" s="11" t="s">
        <v>25</v>
      </c>
      <c r="K977" s="12"/>
      <c r="L977" s="13"/>
      <c r="M977" s="14"/>
      <c r="N977" s="15"/>
      <c r="O977" s="5" t="s">
        <v>564</v>
      </c>
      <c r="P977" s="5"/>
      <c r="Q977" s="15"/>
      <c r="R977" s="16" t="s">
        <v>28</v>
      </c>
      <c r="S977" s="15"/>
      <c r="T977" s="15"/>
      <c r="U977" s="15"/>
      <c r="V977" s="15"/>
      <c r="W977" s="15"/>
      <c r="X977" s="15"/>
      <c r="Y977" s="15"/>
      <c r="Z977" s="15"/>
      <c r="AA977" s="15"/>
    </row>
    <row r="978">
      <c r="A978" s="5" t="s">
        <v>3981</v>
      </c>
      <c r="B978" s="6" t="s">
        <v>3995</v>
      </c>
      <c r="C978" s="40" t="s">
        <v>3996</v>
      </c>
      <c r="D978" s="8"/>
      <c r="E978" s="8" t="s">
        <v>130</v>
      </c>
      <c r="F978" s="90">
        <v>10000.0</v>
      </c>
      <c r="G978" s="97" t="s">
        <v>3997</v>
      </c>
      <c r="H978" s="11" t="s">
        <v>906</v>
      </c>
      <c r="I978" s="97">
        <v>8.830283313E9</v>
      </c>
      <c r="J978" s="11" t="s">
        <v>25</v>
      </c>
      <c r="K978" s="12"/>
      <c r="L978" s="13"/>
      <c r="M978" s="14"/>
      <c r="N978" s="15"/>
      <c r="O978" s="5" t="s">
        <v>108</v>
      </c>
      <c r="P978" s="5"/>
      <c r="Q978" s="15"/>
      <c r="R978" s="16" t="s">
        <v>28</v>
      </c>
      <c r="S978" s="15"/>
      <c r="T978" s="15"/>
      <c r="U978" s="15"/>
      <c r="V978" s="15"/>
      <c r="W978" s="15"/>
      <c r="X978" s="15"/>
      <c r="Y978" s="15"/>
      <c r="Z978" s="15"/>
      <c r="AA978" s="15"/>
    </row>
    <row r="979">
      <c r="A979" s="5" t="s">
        <v>3981</v>
      </c>
      <c r="B979" s="6" t="s">
        <v>3998</v>
      </c>
      <c r="C979" s="40" t="s">
        <v>3999</v>
      </c>
      <c r="D979" s="8"/>
      <c r="E979" s="8" t="s">
        <v>4000</v>
      </c>
      <c r="F979" s="90">
        <v>2000.0</v>
      </c>
      <c r="G979" s="97" t="s">
        <v>4001</v>
      </c>
      <c r="H979" s="11" t="s">
        <v>4002</v>
      </c>
      <c r="I979" s="97">
        <v>9.903606133E9</v>
      </c>
      <c r="J979" s="11" t="s">
        <v>25</v>
      </c>
      <c r="K979" s="12" t="s">
        <v>4003</v>
      </c>
      <c r="L979" s="13"/>
      <c r="M979" s="14"/>
      <c r="N979" s="15"/>
      <c r="O979" s="5" t="s">
        <v>564</v>
      </c>
      <c r="P979" s="5" t="s">
        <v>1619</v>
      </c>
      <c r="Q979" s="15"/>
      <c r="R979" s="16" t="s">
        <v>28</v>
      </c>
      <c r="S979" s="15"/>
      <c r="T979" s="15"/>
      <c r="U979" s="15"/>
      <c r="V979" s="15"/>
      <c r="W979" s="15"/>
      <c r="X979" s="15"/>
      <c r="Y979" s="15"/>
      <c r="Z979" s="15"/>
      <c r="AA979" s="15"/>
    </row>
    <row r="980">
      <c r="A980" s="5" t="s">
        <v>3981</v>
      </c>
      <c r="B980" s="6" t="s">
        <v>4004</v>
      </c>
      <c r="C980" s="40" t="s">
        <v>4005</v>
      </c>
      <c r="D980" s="8"/>
      <c r="E980" s="8" t="s">
        <v>152</v>
      </c>
      <c r="F980" s="90">
        <v>40000.0</v>
      </c>
      <c r="G980" s="97" t="s">
        <v>4006</v>
      </c>
      <c r="H980" s="11" t="s">
        <v>4007</v>
      </c>
      <c r="I980" s="97">
        <v>9.830679929E9</v>
      </c>
      <c r="J980" s="11" t="s">
        <v>4008</v>
      </c>
      <c r="K980" s="12"/>
      <c r="L980" s="13"/>
      <c r="M980" s="14"/>
      <c r="N980" s="15"/>
      <c r="O980" s="5" t="s">
        <v>564</v>
      </c>
      <c r="P980" s="5"/>
      <c r="Q980" s="15"/>
      <c r="R980" s="16" t="s">
        <v>28</v>
      </c>
      <c r="S980" s="15"/>
      <c r="T980" s="15"/>
      <c r="U980" s="15"/>
      <c r="V980" s="15"/>
      <c r="W980" s="15"/>
      <c r="X980" s="15"/>
      <c r="Y980" s="15"/>
      <c r="Z980" s="15"/>
      <c r="AA980" s="15"/>
    </row>
    <row r="981">
      <c r="A981" s="5" t="s">
        <v>3981</v>
      </c>
      <c r="B981" s="6" t="s">
        <v>4009</v>
      </c>
      <c r="C981" s="40" t="s">
        <v>4010</v>
      </c>
      <c r="D981" s="8"/>
      <c r="E981" s="8" t="s">
        <v>43</v>
      </c>
      <c r="F981" s="90">
        <v>2500.0</v>
      </c>
      <c r="G981" s="97" t="s">
        <v>4011</v>
      </c>
      <c r="H981" s="11" t="s">
        <v>4012</v>
      </c>
      <c r="I981" s="97">
        <v>9.668329335E9</v>
      </c>
      <c r="J981" s="11" t="s">
        <v>4008</v>
      </c>
      <c r="K981" s="12" t="s">
        <v>1623</v>
      </c>
      <c r="L981" s="13"/>
      <c r="M981" s="14"/>
      <c r="N981" s="15"/>
      <c r="O981" s="5" t="s">
        <v>564</v>
      </c>
      <c r="P981" s="5" t="s">
        <v>4013</v>
      </c>
      <c r="Q981" s="15"/>
      <c r="R981" s="16" t="s">
        <v>28</v>
      </c>
      <c r="S981" s="15"/>
      <c r="T981" s="15"/>
      <c r="U981" s="15"/>
      <c r="V981" s="15"/>
      <c r="W981" s="15"/>
      <c r="X981" s="15"/>
      <c r="Y981" s="15"/>
      <c r="Z981" s="15"/>
      <c r="AA981" s="15"/>
    </row>
    <row r="982">
      <c r="A982" s="5" t="s">
        <v>3981</v>
      </c>
      <c r="B982" s="6" t="s">
        <v>4014</v>
      </c>
      <c r="C982" s="40" t="s">
        <v>4015</v>
      </c>
      <c r="D982" s="8"/>
      <c r="E982" s="8" t="s">
        <v>152</v>
      </c>
      <c r="F982" s="90">
        <v>500.0</v>
      </c>
      <c r="G982" s="97" t="s">
        <v>4016</v>
      </c>
      <c r="H982" s="11" t="s">
        <v>78</v>
      </c>
      <c r="I982" s="97">
        <v>9.279474725E9</v>
      </c>
      <c r="J982" s="11" t="s">
        <v>25</v>
      </c>
      <c r="K982" s="12"/>
      <c r="L982" s="13"/>
      <c r="M982" s="14"/>
      <c r="N982" s="15"/>
      <c r="O982" s="5" t="s">
        <v>34</v>
      </c>
      <c r="P982" s="5"/>
      <c r="Q982" s="15"/>
      <c r="R982" s="16" t="s">
        <v>28</v>
      </c>
      <c r="S982" s="15"/>
      <c r="T982" s="15"/>
      <c r="U982" s="15"/>
      <c r="V982" s="15"/>
      <c r="W982" s="15"/>
      <c r="X982" s="15"/>
      <c r="Y982" s="15"/>
      <c r="Z982" s="15"/>
      <c r="AA982" s="15"/>
    </row>
    <row r="983">
      <c r="A983" s="5" t="s">
        <v>4017</v>
      </c>
      <c r="B983" s="6" t="s">
        <v>4018</v>
      </c>
      <c r="C983" s="40" t="s">
        <v>4019</v>
      </c>
      <c r="D983" s="8"/>
      <c r="E983" s="8" t="s">
        <v>4020</v>
      </c>
      <c r="F983" s="90">
        <v>2000.0</v>
      </c>
      <c r="G983" s="97" t="s">
        <v>4021</v>
      </c>
      <c r="H983" s="11" t="s">
        <v>906</v>
      </c>
      <c r="I983" s="97">
        <v>8.602529031E9</v>
      </c>
      <c r="J983" s="11" t="s">
        <v>25</v>
      </c>
      <c r="K983" s="12"/>
      <c r="L983" s="13"/>
      <c r="M983" s="14"/>
      <c r="N983" s="15"/>
      <c r="O983" s="5" t="s">
        <v>108</v>
      </c>
      <c r="P983" s="5"/>
      <c r="Q983" s="15"/>
      <c r="R983" s="16" t="s">
        <v>28</v>
      </c>
      <c r="S983" s="15"/>
      <c r="T983" s="15"/>
      <c r="U983" s="15"/>
      <c r="V983" s="15"/>
      <c r="W983" s="15"/>
      <c r="X983" s="15"/>
      <c r="Y983" s="15"/>
      <c r="Z983" s="15"/>
      <c r="AA983" s="15"/>
    </row>
    <row r="984">
      <c r="A984" s="5" t="s">
        <v>4017</v>
      </c>
      <c r="B984" s="6" t="s">
        <v>4022</v>
      </c>
      <c r="C984" s="40" t="s">
        <v>4023</v>
      </c>
      <c r="D984" s="8"/>
      <c r="E984" s="8" t="s">
        <v>4024</v>
      </c>
      <c r="F984" s="90">
        <v>1000.0</v>
      </c>
      <c r="G984" s="97" t="s">
        <v>4025</v>
      </c>
      <c r="H984" s="11" t="s">
        <v>44</v>
      </c>
      <c r="I984" s="97">
        <v>7.003375668E9</v>
      </c>
      <c r="J984" s="11" t="s">
        <v>4008</v>
      </c>
      <c r="K984" s="12"/>
      <c r="L984" s="13"/>
      <c r="M984" s="14"/>
      <c r="N984" s="15"/>
      <c r="O984" s="5" t="s">
        <v>564</v>
      </c>
      <c r="P984" s="5"/>
      <c r="Q984" s="15"/>
      <c r="R984" s="16" t="s">
        <v>28</v>
      </c>
      <c r="S984" s="15"/>
      <c r="T984" s="15"/>
      <c r="U984" s="15"/>
      <c r="V984" s="15"/>
      <c r="W984" s="15"/>
      <c r="X984" s="15"/>
      <c r="Y984" s="15"/>
      <c r="Z984" s="15"/>
      <c r="AA984" s="15"/>
    </row>
    <row r="985">
      <c r="A985" s="5" t="s">
        <v>4017</v>
      </c>
      <c r="B985" s="6" t="s">
        <v>4026</v>
      </c>
      <c r="C985" s="40" t="s">
        <v>4027</v>
      </c>
      <c r="D985" s="8"/>
      <c r="E985" s="8" t="s">
        <v>4028</v>
      </c>
      <c r="F985" s="90">
        <v>100.0</v>
      </c>
      <c r="G985" s="97"/>
      <c r="H985" s="11" t="s">
        <v>4029</v>
      </c>
      <c r="I985" s="97">
        <v>7.602156356E9</v>
      </c>
      <c r="J985" s="11" t="s">
        <v>25</v>
      </c>
      <c r="K985" s="12"/>
      <c r="L985" s="13"/>
      <c r="M985" s="11" t="s">
        <v>4030</v>
      </c>
      <c r="N985" s="15"/>
      <c r="O985" s="5" t="s">
        <v>34</v>
      </c>
      <c r="P985" s="5" t="s">
        <v>4031</v>
      </c>
      <c r="Q985" s="15"/>
      <c r="R985" s="16" t="s">
        <v>74</v>
      </c>
      <c r="S985" s="15"/>
      <c r="T985" s="15"/>
      <c r="U985" s="15"/>
      <c r="V985" s="15"/>
      <c r="W985" s="15"/>
      <c r="X985" s="15"/>
      <c r="Y985" s="15"/>
      <c r="Z985" s="15"/>
      <c r="AA985" s="15"/>
    </row>
    <row r="986">
      <c r="A986" s="5" t="s">
        <v>4017</v>
      </c>
      <c r="B986" s="6" t="s">
        <v>4032</v>
      </c>
      <c r="C986" s="40" t="s">
        <v>4033</v>
      </c>
      <c r="D986" s="8"/>
      <c r="E986" s="8" t="s">
        <v>3864</v>
      </c>
      <c r="F986" s="90">
        <v>300.0</v>
      </c>
      <c r="G986" s="97" t="s">
        <v>4034</v>
      </c>
      <c r="H986" s="11" t="s">
        <v>4035</v>
      </c>
      <c r="I986" s="97" t="s">
        <v>4036</v>
      </c>
      <c r="J986" s="11" t="s">
        <v>25</v>
      </c>
      <c r="K986" s="12"/>
      <c r="L986" s="13"/>
      <c r="M986" s="14"/>
      <c r="N986" s="15"/>
      <c r="O986" s="5" t="s">
        <v>34</v>
      </c>
      <c r="P986" s="5" t="s">
        <v>727</v>
      </c>
      <c r="Q986" s="15"/>
      <c r="R986" s="16" t="s">
        <v>28</v>
      </c>
      <c r="S986" s="15"/>
      <c r="T986" s="15"/>
      <c r="U986" s="15"/>
      <c r="V986" s="15"/>
      <c r="W986" s="15"/>
      <c r="X986" s="15"/>
      <c r="Y986" s="15"/>
      <c r="Z986" s="15"/>
      <c r="AA986" s="15"/>
    </row>
    <row r="987">
      <c r="A987" s="5" t="s">
        <v>4017</v>
      </c>
      <c r="B987" s="6" t="s">
        <v>4037</v>
      </c>
      <c r="C987" s="40" t="s">
        <v>4038</v>
      </c>
      <c r="D987" s="8"/>
      <c r="E987" s="8" t="s">
        <v>87</v>
      </c>
      <c r="F987" s="90">
        <v>500.0</v>
      </c>
      <c r="G987" s="97" t="s">
        <v>4039</v>
      </c>
      <c r="H987" s="11" t="s">
        <v>44</v>
      </c>
      <c r="I987" s="97">
        <v>9.681455833E9</v>
      </c>
      <c r="J987" s="11" t="s">
        <v>25</v>
      </c>
      <c r="K987" s="12"/>
      <c r="L987" s="13"/>
      <c r="M987" s="14"/>
      <c r="N987" s="15"/>
      <c r="O987" s="5" t="s">
        <v>564</v>
      </c>
      <c r="P987" s="5"/>
      <c r="Q987" s="15"/>
      <c r="R987" s="16" t="s">
        <v>28</v>
      </c>
      <c r="S987" s="15"/>
      <c r="T987" s="15"/>
      <c r="U987" s="15"/>
      <c r="V987" s="15"/>
      <c r="W987" s="15"/>
      <c r="X987" s="15"/>
      <c r="Y987" s="15"/>
      <c r="Z987" s="15"/>
      <c r="AA987" s="15"/>
    </row>
    <row r="988">
      <c r="A988" s="5" t="s">
        <v>4017</v>
      </c>
      <c r="B988" s="6" t="s">
        <v>4040</v>
      </c>
      <c r="C988" s="40" t="s">
        <v>4041</v>
      </c>
      <c r="D988" s="8"/>
      <c r="E988" s="8" t="s">
        <v>3634</v>
      </c>
      <c r="F988" s="90">
        <v>3000.0</v>
      </c>
      <c r="G988" s="97" t="s">
        <v>4042</v>
      </c>
      <c r="H988" s="11" t="s">
        <v>4043</v>
      </c>
      <c r="I988" s="97">
        <v>7.004452026E9</v>
      </c>
      <c r="J988" s="11" t="s">
        <v>25</v>
      </c>
      <c r="K988" s="12"/>
      <c r="L988" s="13"/>
      <c r="M988" s="14"/>
      <c r="N988" s="15"/>
      <c r="O988" s="5" t="s">
        <v>564</v>
      </c>
      <c r="P988" s="5"/>
      <c r="Q988" s="15"/>
      <c r="R988" s="16" t="s">
        <v>28</v>
      </c>
      <c r="S988" s="15"/>
      <c r="T988" s="15"/>
      <c r="U988" s="15"/>
      <c r="V988" s="15"/>
      <c r="W988" s="15"/>
      <c r="X988" s="15"/>
      <c r="Y988" s="15"/>
      <c r="Z988" s="15"/>
      <c r="AA988" s="15"/>
    </row>
    <row r="989">
      <c r="A989" s="5" t="s">
        <v>4044</v>
      </c>
      <c r="B989" s="6" t="s">
        <v>4045</v>
      </c>
      <c r="C989" s="40" t="s">
        <v>4046</v>
      </c>
      <c r="D989" s="8"/>
      <c r="E989" s="8" t="s">
        <v>4047</v>
      </c>
      <c r="F989" s="90">
        <v>500.0</v>
      </c>
      <c r="G989" s="97" t="s">
        <v>4048</v>
      </c>
      <c r="H989" s="11" t="s">
        <v>44</v>
      </c>
      <c r="I989" s="97">
        <v>7.980185087E9</v>
      </c>
      <c r="J989" s="11" t="s">
        <v>25</v>
      </c>
      <c r="K989" s="12"/>
      <c r="L989" s="13"/>
      <c r="M989" s="14"/>
      <c r="N989" s="15"/>
      <c r="O989" s="5" t="s">
        <v>564</v>
      </c>
      <c r="P989" s="5"/>
      <c r="Q989" s="15"/>
      <c r="R989" s="16" t="s">
        <v>28</v>
      </c>
      <c r="S989" s="15"/>
      <c r="T989" s="15"/>
      <c r="U989" s="15"/>
      <c r="V989" s="15"/>
      <c r="W989" s="15"/>
      <c r="X989" s="15"/>
      <c r="Y989" s="15"/>
      <c r="Z989" s="15"/>
      <c r="AA989" s="15"/>
    </row>
    <row r="990">
      <c r="A990" s="5" t="s">
        <v>4044</v>
      </c>
      <c r="B990" s="6" t="s">
        <v>4049</v>
      </c>
      <c r="C990" s="40" t="s">
        <v>4050</v>
      </c>
      <c r="D990" s="8"/>
      <c r="E990" s="8" t="s">
        <v>130</v>
      </c>
      <c r="F990" s="90">
        <v>2000.0</v>
      </c>
      <c r="G990" s="97" t="s">
        <v>4051</v>
      </c>
      <c r="H990" s="11" t="s">
        <v>4052</v>
      </c>
      <c r="I990" s="97">
        <v>7.42090829E9</v>
      </c>
      <c r="J990" s="11" t="s">
        <v>25</v>
      </c>
      <c r="K990" s="12"/>
      <c r="L990" s="13"/>
      <c r="M990" s="14"/>
      <c r="N990" s="15"/>
      <c r="O990" s="5" t="s">
        <v>108</v>
      </c>
      <c r="P990" s="5"/>
      <c r="Q990" s="15"/>
      <c r="R990" s="16" t="s">
        <v>28</v>
      </c>
      <c r="S990" s="15"/>
      <c r="T990" s="15"/>
      <c r="U990" s="15"/>
      <c r="V990" s="15"/>
      <c r="W990" s="15"/>
      <c r="X990" s="15"/>
      <c r="Y990" s="15"/>
      <c r="Z990" s="15"/>
      <c r="AA990" s="15"/>
    </row>
    <row r="991">
      <c r="A991" s="5" t="s">
        <v>4053</v>
      </c>
      <c r="B991" s="6" t="s">
        <v>4054</v>
      </c>
      <c r="C991" s="40" t="s">
        <v>4055</v>
      </c>
      <c r="D991" s="8"/>
      <c r="E991" s="8" t="s">
        <v>739</v>
      </c>
      <c r="F991" s="90">
        <v>10000.0</v>
      </c>
      <c r="G991" s="97" t="s">
        <v>4056</v>
      </c>
      <c r="H991" s="11" t="s">
        <v>4057</v>
      </c>
      <c r="I991" s="97">
        <v>9.096563103E9</v>
      </c>
      <c r="J991" s="11" t="s">
        <v>25</v>
      </c>
      <c r="K991" s="12"/>
      <c r="L991" s="13"/>
      <c r="M991" s="14"/>
      <c r="N991" s="15"/>
      <c r="O991" s="5" t="s">
        <v>108</v>
      </c>
      <c r="P991" s="5"/>
      <c r="Q991" s="15"/>
      <c r="R991" s="16" t="s">
        <v>28</v>
      </c>
      <c r="S991" s="15"/>
      <c r="T991" s="15"/>
      <c r="U991" s="15"/>
      <c r="V991" s="15"/>
      <c r="W991" s="15"/>
      <c r="X991" s="15"/>
      <c r="Y991" s="15"/>
      <c r="Z991" s="15"/>
      <c r="AA991" s="15"/>
    </row>
    <row r="992">
      <c r="A992" s="5" t="s">
        <v>4053</v>
      </c>
      <c r="B992" s="6" t="s">
        <v>4058</v>
      </c>
      <c r="C992" s="40" t="s">
        <v>4059</v>
      </c>
      <c r="D992" s="8"/>
      <c r="E992" s="8" t="s">
        <v>152</v>
      </c>
      <c r="F992" s="90">
        <v>1000.0</v>
      </c>
      <c r="G992" s="97" t="s">
        <v>4060</v>
      </c>
      <c r="H992" s="11" t="s">
        <v>4061</v>
      </c>
      <c r="I992" s="97" t="s">
        <v>4062</v>
      </c>
      <c r="J992" s="11" t="s">
        <v>4008</v>
      </c>
      <c r="K992" s="12"/>
      <c r="L992" s="13"/>
      <c r="M992" s="14"/>
      <c r="N992" s="15"/>
      <c r="O992" s="5" t="s">
        <v>564</v>
      </c>
      <c r="P992" s="5" t="s">
        <v>79</v>
      </c>
      <c r="Q992" s="15"/>
      <c r="R992" s="16" t="s">
        <v>28</v>
      </c>
      <c r="S992" s="15"/>
      <c r="T992" s="15"/>
      <c r="U992" s="15"/>
      <c r="V992" s="15"/>
      <c r="W992" s="15"/>
      <c r="X992" s="15"/>
      <c r="Y992" s="15"/>
      <c r="Z992" s="15"/>
      <c r="AA992" s="15"/>
    </row>
    <row r="993">
      <c r="A993" s="5" t="s">
        <v>4053</v>
      </c>
      <c r="B993" s="6" t="s">
        <v>4063</v>
      </c>
      <c r="C993" s="40" t="s">
        <v>3978</v>
      </c>
      <c r="D993" s="8"/>
      <c r="E993" s="8" t="s">
        <v>3918</v>
      </c>
      <c r="F993" s="90">
        <v>1000.0</v>
      </c>
      <c r="G993" s="97" t="s">
        <v>3979</v>
      </c>
      <c r="H993" s="11" t="s">
        <v>78</v>
      </c>
      <c r="I993" s="97">
        <v>7.004648989E9</v>
      </c>
      <c r="J993" s="11" t="s">
        <v>4008</v>
      </c>
      <c r="K993" s="12"/>
      <c r="L993" s="13"/>
      <c r="M993" s="14"/>
      <c r="N993" s="15"/>
      <c r="O993" s="5" t="s">
        <v>564</v>
      </c>
      <c r="P993" s="5"/>
      <c r="Q993" s="15"/>
      <c r="R993" s="16" t="s">
        <v>28</v>
      </c>
      <c r="S993" s="15"/>
      <c r="T993" s="15"/>
      <c r="U993" s="15"/>
      <c r="V993" s="15"/>
      <c r="W993" s="15"/>
      <c r="X993" s="15"/>
      <c r="Y993" s="15"/>
      <c r="Z993" s="15"/>
      <c r="AA993" s="15"/>
    </row>
    <row r="994">
      <c r="A994" s="5" t="s">
        <v>4053</v>
      </c>
      <c r="B994" s="6" t="s">
        <v>4064</v>
      </c>
      <c r="C994" s="40" t="s">
        <v>4065</v>
      </c>
      <c r="D994" s="8"/>
      <c r="E994" s="8" t="s">
        <v>4066</v>
      </c>
      <c r="F994" s="90">
        <v>300.0</v>
      </c>
      <c r="G994" s="97" t="s">
        <v>4067</v>
      </c>
      <c r="H994" s="11" t="s">
        <v>3090</v>
      </c>
      <c r="I994" s="97" t="s">
        <v>4068</v>
      </c>
      <c r="J994" s="11" t="s">
        <v>25</v>
      </c>
      <c r="K994" s="12"/>
      <c r="L994" s="13"/>
      <c r="M994" s="14"/>
      <c r="N994" s="15"/>
      <c r="O994" s="5" t="s">
        <v>34</v>
      </c>
      <c r="P994" s="5"/>
      <c r="Q994" s="15"/>
      <c r="R994" s="16" t="s">
        <v>28</v>
      </c>
      <c r="S994" s="15"/>
      <c r="T994" s="15"/>
      <c r="U994" s="15"/>
      <c r="V994" s="15"/>
      <c r="W994" s="15"/>
      <c r="X994" s="15"/>
      <c r="Y994" s="15"/>
      <c r="Z994" s="15"/>
      <c r="AA994" s="15"/>
    </row>
    <row r="995">
      <c r="A995" s="5" t="s">
        <v>4053</v>
      </c>
      <c r="B995" s="6" t="s">
        <v>4069</v>
      </c>
      <c r="C995" s="40" t="s">
        <v>4070</v>
      </c>
      <c r="D995" s="8"/>
      <c r="E995" s="8" t="s">
        <v>167</v>
      </c>
      <c r="F995" s="90">
        <v>500.0</v>
      </c>
      <c r="G995" s="97" t="s">
        <v>4071</v>
      </c>
      <c r="H995" s="11" t="s">
        <v>4072</v>
      </c>
      <c r="I995" s="97">
        <v>9.804402814E9</v>
      </c>
      <c r="J995" s="11" t="s">
        <v>25</v>
      </c>
      <c r="K995" s="12"/>
      <c r="L995" s="13"/>
      <c r="M995" s="14"/>
      <c r="N995" s="15"/>
      <c r="O995" s="5" t="s">
        <v>564</v>
      </c>
      <c r="P995" s="5"/>
      <c r="Q995" s="15"/>
      <c r="R995" s="16" t="s">
        <v>28</v>
      </c>
      <c r="S995" s="15"/>
      <c r="T995" s="15"/>
      <c r="U995" s="15"/>
      <c r="V995" s="15"/>
      <c r="W995" s="15"/>
      <c r="X995" s="15"/>
      <c r="Y995" s="15"/>
      <c r="Z995" s="15"/>
      <c r="AA995" s="15"/>
    </row>
    <row r="996">
      <c r="A996" s="5" t="s">
        <v>4053</v>
      </c>
      <c r="B996" s="6" t="s">
        <v>4073</v>
      </c>
      <c r="C996" s="40" t="s">
        <v>4074</v>
      </c>
      <c r="D996" s="8"/>
      <c r="E996" s="8" t="s">
        <v>47</v>
      </c>
      <c r="F996" s="90">
        <v>1000.0</v>
      </c>
      <c r="G996" s="97" t="s">
        <v>4075</v>
      </c>
      <c r="H996" s="11" t="s">
        <v>906</v>
      </c>
      <c r="I996" s="97">
        <v>9.967175875E9</v>
      </c>
      <c r="J996" s="11" t="s">
        <v>25</v>
      </c>
      <c r="K996" s="12"/>
      <c r="L996" s="13"/>
      <c r="M996" s="14"/>
      <c r="N996" s="15"/>
      <c r="O996" s="5" t="s">
        <v>108</v>
      </c>
      <c r="P996" s="5"/>
      <c r="Q996" s="15"/>
      <c r="R996" s="16" t="s">
        <v>28</v>
      </c>
      <c r="S996" s="15"/>
      <c r="T996" s="15"/>
      <c r="U996" s="15"/>
      <c r="V996" s="15"/>
      <c r="W996" s="15"/>
      <c r="X996" s="15"/>
      <c r="Y996" s="15"/>
      <c r="Z996" s="15"/>
      <c r="AA996" s="15"/>
    </row>
    <row r="997">
      <c r="A997" s="5" t="s">
        <v>4053</v>
      </c>
      <c r="B997" s="6" t="s">
        <v>4076</v>
      </c>
      <c r="C997" s="40" t="s">
        <v>4077</v>
      </c>
      <c r="D997" s="8"/>
      <c r="E997" s="8" t="s">
        <v>1217</v>
      </c>
      <c r="F997" s="90">
        <v>10000.0</v>
      </c>
      <c r="G997" s="97" t="s">
        <v>4078</v>
      </c>
      <c r="H997" s="11" t="s">
        <v>4079</v>
      </c>
      <c r="I997" s="97">
        <v>9.748865486E9</v>
      </c>
      <c r="J997" s="11" t="s">
        <v>25</v>
      </c>
      <c r="K997" s="12"/>
      <c r="L997" s="13"/>
      <c r="M997" s="14"/>
      <c r="N997" s="15"/>
      <c r="O997" s="5" t="s">
        <v>564</v>
      </c>
      <c r="P997" s="5"/>
      <c r="Q997" s="15"/>
      <c r="R997" s="16" t="s">
        <v>28</v>
      </c>
      <c r="S997" s="15"/>
      <c r="T997" s="15"/>
      <c r="U997" s="15"/>
      <c r="V997" s="15"/>
      <c r="W997" s="15"/>
      <c r="X997" s="15"/>
      <c r="Y997" s="15"/>
      <c r="Z997" s="15"/>
      <c r="AA997" s="15"/>
    </row>
    <row r="998">
      <c r="A998" s="5" t="s">
        <v>4053</v>
      </c>
      <c r="B998" s="6" t="s">
        <v>4080</v>
      </c>
      <c r="C998" s="40" t="s">
        <v>2254</v>
      </c>
      <c r="D998" s="8"/>
      <c r="E998" s="8" t="s">
        <v>286</v>
      </c>
      <c r="F998" s="90">
        <v>500.0</v>
      </c>
      <c r="G998" s="97" t="s">
        <v>2255</v>
      </c>
      <c r="H998" s="11" t="s">
        <v>2256</v>
      </c>
      <c r="I998" s="97">
        <v>7.797745703E9</v>
      </c>
      <c r="J998" s="11" t="s">
        <v>25</v>
      </c>
      <c r="K998" s="12"/>
      <c r="L998" s="13"/>
      <c r="M998" s="14"/>
      <c r="N998" s="15"/>
      <c r="O998" s="5" t="s">
        <v>34</v>
      </c>
      <c r="P998" s="5" t="s">
        <v>4081</v>
      </c>
      <c r="Q998" s="15"/>
      <c r="R998" s="16" t="s">
        <v>28</v>
      </c>
      <c r="S998" s="15"/>
      <c r="T998" s="15"/>
      <c r="U998" s="15"/>
      <c r="V998" s="15"/>
      <c r="W998" s="15"/>
      <c r="X998" s="15"/>
      <c r="Y998" s="15"/>
      <c r="Z998" s="15"/>
      <c r="AA998" s="15"/>
    </row>
    <row r="999">
      <c r="A999" s="5" t="s">
        <v>4082</v>
      </c>
      <c r="B999" s="6" t="s">
        <v>4083</v>
      </c>
      <c r="C999" s="40" t="s">
        <v>4084</v>
      </c>
      <c r="D999" s="8"/>
      <c r="E999" s="8" t="s">
        <v>4085</v>
      </c>
      <c r="F999" s="90">
        <v>5000.0</v>
      </c>
      <c r="G999" s="97" t="s">
        <v>4086</v>
      </c>
      <c r="H999" s="11" t="s">
        <v>4087</v>
      </c>
      <c r="I999" s="97">
        <v>9.732620391E9</v>
      </c>
      <c r="J999" s="11" t="s">
        <v>25</v>
      </c>
      <c r="K999" s="12"/>
      <c r="L999" s="13"/>
      <c r="M999" s="14"/>
      <c r="N999" s="15"/>
      <c r="O999" s="5" t="s">
        <v>34</v>
      </c>
      <c r="P999" s="5" t="s">
        <v>4088</v>
      </c>
      <c r="Q999" s="15"/>
      <c r="R999" s="16" t="s">
        <v>28</v>
      </c>
      <c r="S999" s="15"/>
      <c r="T999" s="15"/>
      <c r="U999" s="15"/>
      <c r="V999" s="15"/>
      <c r="W999" s="15"/>
      <c r="X999" s="15"/>
      <c r="Y999" s="15"/>
      <c r="Z999" s="15"/>
      <c r="AA999" s="15"/>
    </row>
    <row r="1000">
      <c r="A1000" s="5" t="s">
        <v>4082</v>
      </c>
      <c r="B1000" s="6" t="s">
        <v>4089</v>
      </c>
      <c r="C1000" s="40" t="s">
        <v>4090</v>
      </c>
      <c r="D1000" s="8"/>
      <c r="E1000" s="8" t="s">
        <v>43</v>
      </c>
      <c r="F1000" s="90">
        <v>10000.0</v>
      </c>
      <c r="G1000" s="97" t="s">
        <v>4091</v>
      </c>
      <c r="H1000" s="11" t="s">
        <v>4092</v>
      </c>
      <c r="I1000" s="97">
        <v>9.830116222E9</v>
      </c>
      <c r="J1000" s="11" t="s">
        <v>25</v>
      </c>
      <c r="K1000" s="12"/>
      <c r="L1000" s="13"/>
      <c r="M1000" s="11" t="s">
        <v>4093</v>
      </c>
      <c r="N1000" s="15"/>
      <c r="O1000" s="5" t="s">
        <v>34</v>
      </c>
      <c r="P1000" s="5" t="s">
        <v>3725</v>
      </c>
      <c r="Q1000" s="15"/>
      <c r="R1000" s="16" t="s">
        <v>28</v>
      </c>
      <c r="S1000" s="15"/>
      <c r="T1000" s="15"/>
      <c r="U1000" s="15"/>
      <c r="V1000" s="15"/>
      <c r="W1000" s="15"/>
      <c r="X1000" s="15"/>
      <c r="Y1000" s="15"/>
      <c r="Z1000" s="15"/>
      <c r="AA1000" s="15"/>
    </row>
    <row r="1001">
      <c r="A1001" s="5" t="s">
        <v>4082</v>
      </c>
      <c r="B1001" s="6" t="s">
        <v>4094</v>
      </c>
      <c r="C1001" s="36" t="s">
        <v>4095</v>
      </c>
      <c r="D1001" s="75"/>
      <c r="E1001" s="8" t="s">
        <v>4096</v>
      </c>
      <c r="F1001" s="90">
        <v>500.0</v>
      </c>
      <c r="G1001" s="97" t="s">
        <v>4097</v>
      </c>
      <c r="H1001" s="11" t="s">
        <v>4098</v>
      </c>
      <c r="I1001" s="97">
        <v>9.523534169E9</v>
      </c>
      <c r="J1001" s="11" t="s">
        <v>25</v>
      </c>
      <c r="K1001" s="12"/>
      <c r="L1001" s="13"/>
      <c r="M1001" s="11" t="s">
        <v>4099</v>
      </c>
      <c r="N1001" s="15"/>
      <c r="O1001" s="5" t="s">
        <v>34</v>
      </c>
      <c r="P1001" s="5" t="s">
        <v>1751</v>
      </c>
      <c r="Q1001" s="15"/>
      <c r="R1001" s="16" t="s">
        <v>28</v>
      </c>
      <c r="S1001" s="15"/>
      <c r="T1001" s="15"/>
      <c r="U1001" s="15"/>
      <c r="V1001" s="15"/>
      <c r="W1001" s="15"/>
      <c r="X1001" s="15"/>
      <c r="Y1001" s="15"/>
      <c r="Z1001" s="15"/>
      <c r="AA1001" s="15"/>
    </row>
    <row r="1002">
      <c r="A1002" s="5" t="s">
        <v>4082</v>
      </c>
      <c r="B1002" s="6" t="s">
        <v>4100</v>
      </c>
      <c r="C1002" s="40" t="s">
        <v>4101</v>
      </c>
      <c r="D1002" s="8"/>
      <c r="E1002" s="8" t="s">
        <v>77</v>
      </c>
      <c r="F1002" s="90">
        <v>10000.0</v>
      </c>
      <c r="G1002" s="97" t="s">
        <v>4102</v>
      </c>
      <c r="H1002" s="11" t="s">
        <v>44</v>
      </c>
      <c r="I1002" s="97">
        <v>8.918504476E9</v>
      </c>
      <c r="J1002" s="11" t="s">
        <v>25</v>
      </c>
      <c r="K1002" s="12"/>
      <c r="L1002" s="13"/>
      <c r="M1002" s="14"/>
      <c r="N1002" s="15"/>
      <c r="O1002" s="5" t="s">
        <v>564</v>
      </c>
      <c r="P1002" s="5"/>
      <c r="Q1002" s="15"/>
      <c r="R1002" s="16" t="s">
        <v>28</v>
      </c>
      <c r="S1002" s="15"/>
      <c r="T1002" s="15"/>
      <c r="U1002" s="15"/>
      <c r="V1002" s="15"/>
      <c r="W1002" s="15"/>
      <c r="X1002" s="15"/>
      <c r="Y1002" s="15"/>
      <c r="Z1002" s="15"/>
      <c r="AA1002" s="15"/>
    </row>
    <row r="1003">
      <c r="A1003" s="5" t="s">
        <v>4082</v>
      </c>
      <c r="B1003" s="6" t="s">
        <v>4103</v>
      </c>
      <c r="C1003" s="40" t="s">
        <v>4104</v>
      </c>
      <c r="D1003" s="8"/>
      <c r="E1003" s="8" t="s">
        <v>4105</v>
      </c>
      <c r="F1003" s="90">
        <v>1000.0</v>
      </c>
      <c r="G1003" s="97" t="s">
        <v>4106</v>
      </c>
      <c r="H1003" s="11" t="s">
        <v>4107</v>
      </c>
      <c r="I1003" s="97" t="s">
        <v>4108</v>
      </c>
      <c r="J1003" s="11" t="s">
        <v>25</v>
      </c>
      <c r="K1003" s="12"/>
      <c r="L1003" s="13"/>
      <c r="M1003" s="14"/>
      <c r="N1003" s="15"/>
      <c r="O1003" s="5" t="s">
        <v>108</v>
      </c>
      <c r="P1003" s="5"/>
      <c r="Q1003" s="15"/>
      <c r="R1003" s="16" t="s">
        <v>28</v>
      </c>
      <c r="S1003" s="15"/>
      <c r="T1003" s="15"/>
      <c r="U1003" s="15"/>
      <c r="V1003" s="15"/>
      <c r="W1003" s="15"/>
      <c r="X1003" s="15"/>
      <c r="Y1003" s="15"/>
      <c r="Z1003" s="15"/>
      <c r="AA1003" s="15"/>
    </row>
    <row r="1004">
      <c r="A1004" s="5" t="s">
        <v>4082</v>
      </c>
      <c r="B1004" s="6" t="s">
        <v>4109</v>
      </c>
      <c r="C1004" s="40" t="s">
        <v>4110</v>
      </c>
      <c r="D1004" s="8"/>
      <c r="E1004" s="8" t="s">
        <v>3489</v>
      </c>
      <c r="F1004" s="90">
        <v>1000.0</v>
      </c>
      <c r="G1004" s="97" t="s">
        <v>4111</v>
      </c>
      <c r="H1004" s="11" t="s">
        <v>4112</v>
      </c>
      <c r="I1004" s="97">
        <v>9.324547995E9</v>
      </c>
      <c r="J1004" s="11" t="s">
        <v>25</v>
      </c>
      <c r="K1004" s="12"/>
      <c r="L1004" s="13"/>
      <c r="M1004" s="14"/>
      <c r="N1004" s="15"/>
      <c r="O1004" s="5" t="s">
        <v>108</v>
      </c>
      <c r="P1004" s="5"/>
      <c r="Q1004" s="15"/>
      <c r="R1004" s="16" t="s">
        <v>28</v>
      </c>
      <c r="S1004" s="15"/>
      <c r="T1004" s="15"/>
      <c r="U1004" s="15"/>
      <c r="V1004" s="15"/>
      <c r="W1004" s="15"/>
      <c r="X1004" s="15"/>
      <c r="Y1004" s="15"/>
      <c r="Z1004" s="15"/>
      <c r="AA1004" s="15"/>
    </row>
    <row r="1005">
      <c r="A1005" s="5" t="s">
        <v>4082</v>
      </c>
      <c r="B1005" s="6" t="s">
        <v>4113</v>
      </c>
      <c r="C1005" s="40" t="s">
        <v>1724</v>
      </c>
      <c r="D1005" s="8"/>
      <c r="E1005" s="8" t="s">
        <v>4114</v>
      </c>
      <c r="F1005" s="90">
        <v>25000.0</v>
      </c>
      <c r="G1005" s="97" t="s">
        <v>4115</v>
      </c>
      <c r="H1005" s="11" t="s">
        <v>4116</v>
      </c>
      <c r="I1005" s="97">
        <v>9.861166976E9</v>
      </c>
      <c r="J1005" s="11" t="s">
        <v>25</v>
      </c>
      <c r="K1005" s="12"/>
      <c r="L1005" s="13"/>
      <c r="M1005" s="14"/>
      <c r="N1005" s="15"/>
      <c r="O1005" s="5" t="s">
        <v>564</v>
      </c>
      <c r="P1005" s="5"/>
      <c r="Q1005" s="15"/>
      <c r="R1005" s="16" t="s">
        <v>28</v>
      </c>
      <c r="S1005" s="15"/>
      <c r="T1005" s="15"/>
      <c r="U1005" s="15"/>
      <c r="V1005" s="15"/>
      <c r="W1005" s="15"/>
      <c r="X1005" s="15"/>
      <c r="Y1005" s="15"/>
      <c r="Z1005" s="15"/>
      <c r="AA1005" s="15"/>
    </row>
    <row r="1006">
      <c r="A1006" s="5" t="s">
        <v>4082</v>
      </c>
      <c r="B1006" s="6" t="s">
        <v>4117</v>
      </c>
      <c r="C1006" s="40" t="s">
        <v>4118</v>
      </c>
      <c r="D1006" s="8"/>
      <c r="E1006" s="8" t="s">
        <v>130</v>
      </c>
      <c r="F1006" s="90">
        <v>2000.0</v>
      </c>
      <c r="G1006" s="97" t="s">
        <v>4119</v>
      </c>
      <c r="H1006" s="11" t="s">
        <v>44</v>
      </c>
      <c r="I1006" s="97">
        <v>8.77730524E9</v>
      </c>
      <c r="J1006" s="11" t="s">
        <v>25</v>
      </c>
      <c r="K1006" s="12"/>
      <c r="L1006" s="13"/>
      <c r="M1006" s="14"/>
      <c r="N1006" s="15"/>
      <c r="O1006" s="5" t="s">
        <v>34</v>
      </c>
      <c r="P1006" s="5" t="s">
        <v>3586</v>
      </c>
      <c r="Q1006" s="5" t="s">
        <v>4120</v>
      </c>
      <c r="R1006" s="16" t="s">
        <v>28</v>
      </c>
      <c r="S1006" s="15"/>
      <c r="T1006" s="15"/>
      <c r="U1006" s="15"/>
      <c r="V1006" s="15"/>
      <c r="W1006" s="15"/>
      <c r="X1006" s="15"/>
      <c r="Y1006" s="15"/>
      <c r="Z1006" s="15"/>
      <c r="AA1006" s="15"/>
    </row>
    <row r="1007">
      <c r="A1007" s="5" t="s">
        <v>4082</v>
      </c>
      <c r="B1007" s="6" t="s">
        <v>4121</v>
      </c>
      <c r="C1007" s="40" t="s">
        <v>4122</v>
      </c>
      <c r="D1007" s="8"/>
      <c r="E1007" s="8" t="s">
        <v>4123</v>
      </c>
      <c r="F1007" s="90">
        <v>10000.0</v>
      </c>
      <c r="G1007" s="97" t="s">
        <v>4124</v>
      </c>
      <c r="H1007" s="11" t="s">
        <v>4125</v>
      </c>
      <c r="I1007" s="97">
        <v>9.824125451E9</v>
      </c>
      <c r="J1007" s="11" t="s">
        <v>4008</v>
      </c>
      <c r="K1007" s="12"/>
      <c r="L1007" s="13"/>
      <c r="M1007" s="14"/>
      <c r="N1007" s="15"/>
      <c r="O1007" s="5" t="s">
        <v>108</v>
      </c>
      <c r="P1007" s="5"/>
      <c r="Q1007" s="15"/>
      <c r="R1007" s="16" t="s">
        <v>28</v>
      </c>
      <c r="S1007" s="15"/>
      <c r="T1007" s="15"/>
      <c r="U1007" s="15"/>
      <c r="V1007" s="15"/>
      <c r="W1007" s="15"/>
      <c r="X1007" s="15"/>
      <c r="Y1007" s="15"/>
      <c r="Z1007" s="15"/>
      <c r="AA1007" s="15"/>
    </row>
    <row r="1008">
      <c r="A1008" s="5" t="s">
        <v>4082</v>
      </c>
      <c r="B1008" s="6" t="s">
        <v>4126</v>
      </c>
      <c r="C1008" s="40" t="s">
        <v>4127</v>
      </c>
      <c r="D1008" s="8"/>
      <c r="E1008" s="8" t="s">
        <v>2476</v>
      </c>
      <c r="F1008" s="90">
        <v>5000.0</v>
      </c>
      <c r="G1008" s="97" t="s">
        <v>4128</v>
      </c>
      <c r="H1008" s="11" t="s">
        <v>4129</v>
      </c>
      <c r="I1008" s="97" t="s">
        <v>4130</v>
      </c>
      <c r="J1008" s="11" t="s">
        <v>25</v>
      </c>
      <c r="K1008" s="12"/>
      <c r="L1008" s="13"/>
      <c r="M1008" s="14"/>
      <c r="N1008" s="15"/>
      <c r="O1008" s="5" t="s">
        <v>34</v>
      </c>
      <c r="P1008" s="5" t="s">
        <v>1419</v>
      </c>
      <c r="Q1008" s="15"/>
      <c r="R1008" s="16" t="s">
        <v>28</v>
      </c>
      <c r="S1008" s="15"/>
      <c r="T1008" s="15"/>
      <c r="U1008" s="15"/>
      <c r="V1008" s="15"/>
      <c r="W1008" s="15"/>
      <c r="X1008" s="15"/>
      <c r="Y1008" s="15"/>
      <c r="Z1008" s="15"/>
      <c r="AA1008" s="15"/>
    </row>
    <row r="1009">
      <c r="A1009" s="5" t="s">
        <v>4082</v>
      </c>
      <c r="B1009" s="6" t="s">
        <v>4131</v>
      </c>
      <c r="C1009" s="40" t="s">
        <v>4132</v>
      </c>
      <c r="D1009" s="8"/>
      <c r="E1009" s="8" t="s">
        <v>189</v>
      </c>
      <c r="F1009" s="90">
        <v>30000.0</v>
      </c>
      <c r="G1009" s="97" t="s">
        <v>4133</v>
      </c>
      <c r="H1009" s="11" t="s">
        <v>44</v>
      </c>
      <c r="I1009" s="97">
        <v>7.003989436E9</v>
      </c>
      <c r="J1009" s="11" t="s">
        <v>25</v>
      </c>
      <c r="K1009" s="12"/>
      <c r="L1009" s="13"/>
      <c r="M1009" s="14"/>
      <c r="N1009" s="15"/>
      <c r="O1009" s="5" t="s">
        <v>34</v>
      </c>
      <c r="P1009" s="5"/>
      <c r="Q1009" s="15"/>
      <c r="R1009" s="16" t="s">
        <v>28</v>
      </c>
      <c r="S1009" s="15"/>
      <c r="T1009" s="15"/>
      <c r="U1009" s="15"/>
      <c r="V1009" s="15"/>
      <c r="W1009" s="15"/>
      <c r="X1009" s="15"/>
      <c r="Y1009" s="15"/>
      <c r="Z1009" s="15"/>
      <c r="AA1009" s="15"/>
    </row>
    <row r="1010">
      <c r="A1010" s="5" t="s">
        <v>4134</v>
      </c>
      <c r="B1010" s="6" t="s">
        <v>4135</v>
      </c>
      <c r="C1010" s="40" t="s">
        <v>4136</v>
      </c>
      <c r="D1010" s="8"/>
      <c r="E1010" s="8" t="s">
        <v>189</v>
      </c>
      <c r="F1010" s="90">
        <v>2500.0</v>
      </c>
      <c r="G1010" s="97"/>
      <c r="H1010" s="11" t="s">
        <v>4137</v>
      </c>
      <c r="I1010" s="97">
        <v>9.231557866E9</v>
      </c>
      <c r="J1010" s="11" t="s">
        <v>25</v>
      </c>
      <c r="K1010" s="12"/>
      <c r="L1010" s="13"/>
      <c r="M1010" s="11" t="s">
        <v>3044</v>
      </c>
      <c r="N1010" s="15"/>
      <c r="O1010" s="5" t="s">
        <v>34</v>
      </c>
      <c r="P1010" s="5" t="s">
        <v>4138</v>
      </c>
      <c r="Q1010" s="15"/>
      <c r="R1010" s="16" t="s">
        <v>74</v>
      </c>
      <c r="S1010" s="15"/>
      <c r="T1010" s="15"/>
      <c r="U1010" s="15"/>
      <c r="V1010" s="15"/>
      <c r="W1010" s="15"/>
      <c r="X1010" s="15"/>
      <c r="Y1010" s="15"/>
      <c r="Z1010" s="15"/>
      <c r="AA1010" s="15"/>
    </row>
    <row r="1011">
      <c r="A1011" s="5" t="s">
        <v>4134</v>
      </c>
      <c r="B1011" s="6" t="s">
        <v>4139</v>
      </c>
      <c r="C1011" s="40" t="s">
        <v>4140</v>
      </c>
      <c r="D1011" s="8"/>
      <c r="E1011" s="8" t="s">
        <v>130</v>
      </c>
      <c r="F1011" s="90">
        <v>10000.0</v>
      </c>
      <c r="G1011" s="97" t="s">
        <v>4141</v>
      </c>
      <c r="H1011" s="11" t="s">
        <v>4142</v>
      </c>
      <c r="I1011" s="97">
        <v>7.478661329E9</v>
      </c>
      <c r="J1011" s="11" t="s">
        <v>25</v>
      </c>
      <c r="K1011" s="12"/>
      <c r="L1011" s="13"/>
      <c r="M1011" s="14"/>
      <c r="N1011" s="15"/>
      <c r="O1011" s="5" t="s">
        <v>108</v>
      </c>
      <c r="P1011" s="5"/>
      <c r="Q1011" s="15"/>
      <c r="R1011" s="16" t="s">
        <v>28</v>
      </c>
      <c r="S1011" s="15"/>
      <c r="T1011" s="15"/>
      <c r="U1011" s="15"/>
      <c r="V1011" s="15"/>
      <c r="W1011" s="15"/>
      <c r="X1011" s="15"/>
      <c r="Y1011" s="15"/>
      <c r="Z1011" s="15"/>
      <c r="AA1011" s="15"/>
    </row>
    <row r="1012">
      <c r="A1012" s="5" t="s">
        <v>4134</v>
      </c>
      <c r="B1012" s="6" t="s">
        <v>4143</v>
      </c>
      <c r="C1012" s="40" t="s">
        <v>4144</v>
      </c>
      <c r="D1012" s="8"/>
      <c r="E1012" s="8" t="s">
        <v>753</v>
      </c>
      <c r="F1012" s="90">
        <v>25000.0</v>
      </c>
      <c r="G1012" s="97" t="s">
        <v>4145</v>
      </c>
      <c r="H1012" s="11" t="s">
        <v>4146</v>
      </c>
      <c r="I1012" s="97">
        <v>9.759600206E9</v>
      </c>
      <c r="J1012" s="11" t="s">
        <v>25</v>
      </c>
      <c r="K1012" s="12"/>
      <c r="L1012" s="13"/>
      <c r="M1012" s="14"/>
      <c r="N1012" s="15"/>
      <c r="O1012" s="5" t="s">
        <v>108</v>
      </c>
      <c r="P1012" s="5"/>
      <c r="Q1012" s="15"/>
      <c r="R1012" s="16" t="s">
        <v>28</v>
      </c>
      <c r="S1012" s="15"/>
      <c r="T1012" s="15"/>
      <c r="U1012" s="15"/>
      <c r="V1012" s="15"/>
      <c r="W1012" s="15"/>
      <c r="X1012" s="15"/>
      <c r="Y1012" s="15"/>
      <c r="Z1012" s="15"/>
      <c r="AA1012" s="15"/>
    </row>
    <row r="1013">
      <c r="A1013" s="5" t="s">
        <v>4134</v>
      </c>
      <c r="B1013" s="6" t="s">
        <v>4147</v>
      </c>
      <c r="C1013" s="40" t="s">
        <v>4148</v>
      </c>
      <c r="D1013" s="8"/>
      <c r="E1013" s="8" t="s">
        <v>189</v>
      </c>
      <c r="F1013" s="90">
        <v>10000.0</v>
      </c>
      <c r="G1013" s="97"/>
      <c r="H1013" s="11" t="s">
        <v>44</v>
      </c>
      <c r="I1013" s="97">
        <v>9.831906679E9</v>
      </c>
      <c r="J1013" s="11" t="s">
        <v>25</v>
      </c>
      <c r="K1013" s="12"/>
      <c r="L1013" s="13"/>
      <c r="M1013" s="11" t="s">
        <v>3044</v>
      </c>
      <c r="N1013" s="15"/>
      <c r="O1013" s="5" t="s">
        <v>34</v>
      </c>
      <c r="P1013" s="5" t="s">
        <v>209</v>
      </c>
      <c r="Q1013" s="15"/>
      <c r="R1013" s="16" t="s">
        <v>28</v>
      </c>
      <c r="S1013" s="15"/>
      <c r="T1013" s="15"/>
      <c r="U1013" s="15"/>
      <c r="V1013" s="15"/>
      <c r="W1013" s="15"/>
      <c r="X1013" s="15"/>
      <c r="Y1013" s="15"/>
      <c r="Z1013" s="15"/>
      <c r="AA1013" s="15"/>
    </row>
    <row r="1014">
      <c r="A1014" s="5" t="s">
        <v>4134</v>
      </c>
      <c r="B1014" s="6" t="s">
        <v>4149</v>
      </c>
      <c r="C1014" s="40" t="s">
        <v>4150</v>
      </c>
      <c r="D1014" s="8"/>
      <c r="E1014" s="8" t="s">
        <v>222</v>
      </c>
      <c r="F1014" s="90">
        <v>25000.0</v>
      </c>
      <c r="G1014" s="97" t="s">
        <v>4151</v>
      </c>
      <c r="H1014" s="11" t="s">
        <v>1696</v>
      </c>
      <c r="I1014" s="97">
        <v>9.664612143E9</v>
      </c>
      <c r="J1014" s="11" t="s">
        <v>25</v>
      </c>
      <c r="K1014" s="12"/>
      <c r="L1014" s="13"/>
      <c r="M1014" s="14"/>
      <c r="N1014" s="15"/>
      <c r="O1014" s="5" t="s">
        <v>108</v>
      </c>
      <c r="P1014" s="5"/>
      <c r="Q1014" s="15"/>
      <c r="R1014" s="16" t="s">
        <v>28</v>
      </c>
      <c r="S1014" s="15"/>
      <c r="T1014" s="15"/>
      <c r="U1014" s="15"/>
      <c r="V1014" s="15"/>
      <c r="W1014" s="15"/>
      <c r="X1014" s="15"/>
      <c r="Y1014" s="15"/>
      <c r="Z1014" s="15"/>
      <c r="AA1014" s="15"/>
    </row>
    <row r="1015">
      <c r="A1015" s="5" t="s">
        <v>4134</v>
      </c>
      <c r="B1015" s="6" t="s">
        <v>4152</v>
      </c>
      <c r="C1015" s="40" t="s">
        <v>4153</v>
      </c>
      <c r="D1015" s="8"/>
      <c r="E1015" s="8" t="s">
        <v>53</v>
      </c>
      <c r="F1015" s="90">
        <v>20000.0</v>
      </c>
      <c r="G1015" s="97" t="s">
        <v>4154</v>
      </c>
      <c r="H1015" s="11" t="s">
        <v>4155</v>
      </c>
      <c r="I1015" s="97">
        <v>7.501910363E9</v>
      </c>
      <c r="J1015" s="11" t="s">
        <v>25</v>
      </c>
      <c r="K1015" s="12"/>
      <c r="L1015" s="13"/>
      <c r="M1015" s="14"/>
      <c r="N1015" s="15"/>
      <c r="O1015" s="5" t="s">
        <v>34</v>
      </c>
      <c r="P1015" s="5" t="s">
        <v>727</v>
      </c>
      <c r="Q1015" s="15"/>
      <c r="R1015" s="16" t="s">
        <v>28</v>
      </c>
      <c r="S1015" s="15"/>
      <c r="T1015" s="15"/>
      <c r="U1015" s="15"/>
      <c r="V1015" s="15"/>
      <c r="W1015" s="15"/>
      <c r="X1015" s="15"/>
      <c r="Y1015" s="15"/>
      <c r="Z1015" s="15"/>
      <c r="AA1015" s="15"/>
    </row>
    <row r="1016">
      <c r="A1016" s="5" t="s">
        <v>4134</v>
      </c>
      <c r="B1016" s="6" t="s">
        <v>4156</v>
      </c>
      <c r="C1016" s="40" t="s">
        <v>4157</v>
      </c>
      <c r="D1016" s="8"/>
      <c r="E1016" s="8" t="s">
        <v>116</v>
      </c>
      <c r="F1016" s="90">
        <v>1000.0</v>
      </c>
      <c r="G1016" s="97" t="s">
        <v>4158</v>
      </c>
      <c r="H1016" s="11" t="s">
        <v>4159</v>
      </c>
      <c r="I1016" s="97">
        <v>7.004170696E9</v>
      </c>
      <c r="J1016" s="11" t="s">
        <v>25</v>
      </c>
      <c r="K1016" s="12"/>
      <c r="L1016" s="13"/>
      <c r="M1016" s="14"/>
      <c r="N1016" s="15"/>
      <c r="O1016" s="5" t="s">
        <v>564</v>
      </c>
      <c r="P1016" s="5"/>
      <c r="Q1016" s="15"/>
      <c r="R1016" s="16" t="s">
        <v>28</v>
      </c>
      <c r="S1016" s="15"/>
      <c r="T1016" s="15"/>
      <c r="U1016" s="15"/>
      <c r="V1016" s="15"/>
      <c r="W1016" s="15"/>
      <c r="X1016" s="15"/>
      <c r="Y1016" s="15"/>
      <c r="Z1016" s="15"/>
      <c r="AA1016" s="15"/>
    </row>
    <row r="1017">
      <c r="A1017" s="5" t="s">
        <v>4134</v>
      </c>
      <c r="B1017" s="6" t="s">
        <v>4160</v>
      </c>
      <c r="C1017" s="40" t="s">
        <v>4161</v>
      </c>
      <c r="D1017" s="8"/>
      <c r="E1017" s="8" t="s">
        <v>130</v>
      </c>
      <c r="F1017" s="90">
        <v>6000.0</v>
      </c>
      <c r="G1017" s="97"/>
      <c r="H1017" s="11" t="s">
        <v>44</v>
      </c>
      <c r="I1017" s="97">
        <v>8.318143803E9</v>
      </c>
      <c r="J1017" s="11" t="s">
        <v>25</v>
      </c>
      <c r="K1017" s="12"/>
      <c r="L1017" s="13"/>
      <c r="M1017" s="14"/>
      <c r="N1017" s="15"/>
      <c r="O1017" s="5" t="s">
        <v>564</v>
      </c>
      <c r="P1017" s="5"/>
      <c r="Q1017" s="15"/>
      <c r="R1017" s="16" t="s">
        <v>28</v>
      </c>
      <c r="S1017" s="15"/>
      <c r="T1017" s="15"/>
      <c r="U1017" s="15"/>
      <c r="V1017" s="15"/>
      <c r="W1017" s="15"/>
      <c r="X1017" s="15"/>
      <c r="Y1017" s="15"/>
      <c r="Z1017" s="15"/>
      <c r="AA1017" s="15"/>
    </row>
    <row r="1018">
      <c r="A1018" s="5" t="s">
        <v>4134</v>
      </c>
      <c r="B1018" s="6" t="s">
        <v>4162</v>
      </c>
      <c r="C1018" s="40" t="s">
        <v>4163</v>
      </c>
      <c r="D1018" s="8"/>
      <c r="E1018" s="8" t="s">
        <v>116</v>
      </c>
      <c r="F1018" s="90">
        <v>300.0</v>
      </c>
      <c r="G1018" s="97" t="s">
        <v>4164</v>
      </c>
      <c r="H1018" s="11" t="s">
        <v>4165</v>
      </c>
      <c r="I1018" s="97">
        <v>7.574998185E9</v>
      </c>
      <c r="J1018" s="11" t="s">
        <v>25</v>
      </c>
      <c r="K1018" s="12"/>
      <c r="L1018" s="13"/>
      <c r="M1018" s="14"/>
      <c r="N1018" s="15"/>
      <c r="O1018" s="5" t="s">
        <v>108</v>
      </c>
      <c r="P1018" s="5"/>
      <c r="Q1018" s="15"/>
      <c r="R1018" s="16" t="s">
        <v>28</v>
      </c>
      <c r="S1018" s="15"/>
      <c r="T1018" s="15"/>
      <c r="U1018" s="15"/>
      <c r="V1018" s="15"/>
      <c r="W1018" s="15"/>
      <c r="X1018" s="15"/>
      <c r="Y1018" s="15"/>
      <c r="Z1018" s="15"/>
      <c r="AA1018" s="15"/>
    </row>
    <row r="1019">
      <c r="A1019" s="5" t="s">
        <v>4134</v>
      </c>
      <c r="B1019" s="6" t="s">
        <v>4166</v>
      </c>
      <c r="C1019" s="40" t="s">
        <v>4167</v>
      </c>
      <c r="D1019" s="8"/>
      <c r="E1019" s="8" t="s">
        <v>794</v>
      </c>
      <c r="F1019" s="90">
        <v>500.0</v>
      </c>
      <c r="G1019" s="97" t="s">
        <v>4168</v>
      </c>
      <c r="H1019" s="11" t="s">
        <v>44</v>
      </c>
      <c r="I1019" s="97">
        <v>9.330198732E9</v>
      </c>
      <c r="J1019" s="11" t="s">
        <v>25</v>
      </c>
      <c r="K1019" s="12"/>
      <c r="L1019" s="13"/>
      <c r="M1019" s="14"/>
      <c r="N1019" s="15"/>
      <c r="O1019" s="5" t="s">
        <v>564</v>
      </c>
      <c r="P1019" s="5"/>
      <c r="Q1019" s="15"/>
      <c r="R1019" s="16" t="s">
        <v>28</v>
      </c>
      <c r="S1019" s="15"/>
      <c r="T1019" s="15"/>
      <c r="U1019" s="15"/>
      <c r="V1019" s="15"/>
      <c r="W1019" s="15"/>
      <c r="X1019" s="15"/>
      <c r="Y1019" s="15"/>
      <c r="Z1019" s="15"/>
      <c r="AA1019" s="15"/>
    </row>
    <row r="1020">
      <c r="A1020" s="5" t="s">
        <v>4134</v>
      </c>
      <c r="B1020" s="6" t="s">
        <v>4169</v>
      </c>
      <c r="C1020" s="40" t="s">
        <v>4170</v>
      </c>
      <c r="D1020" s="8"/>
      <c r="E1020" s="8" t="s">
        <v>4171</v>
      </c>
      <c r="F1020" s="90">
        <v>1000.0</v>
      </c>
      <c r="G1020" s="97" t="s">
        <v>4172</v>
      </c>
      <c r="H1020" s="11" t="s">
        <v>4173</v>
      </c>
      <c r="I1020" s="97">
        <v>9.334037083E9</v>
      </c>
      <c r="J1020" s="11" t="s">
        <v>25</v>
      </c>
      <c r="K1020" s="12"/>
      <c r="L1020" s="13"/>
      <c r="M1020" s="14"/>
      <c r="N1020" s="15"/>
      <c r="O1020" s="5" t="s">
        <v>564</v>
      </c>
      <c r="P1020" s="5"/>
      <c r="Q1020" s="15"/>
      <c r="R1020" s="16" t="s">
        <v>28</v>
      </c>
      <c r="S1020" s="15"/>
      <c r="T1020" s="15"/>
      <c r="U1020" s="15"/>
      <c r="V1020" s="15"/>
      <c r="W1020" s="15"/>
      <c r="X1020" s="15"/>
      <c r="Y1020" s="15"/>
      <c r="Z1020" s="15"/>
      <c r="AA1020" s="15"/>
    </row>
    <row r="1021">
      <c r="A1021" s="5" t="s">
        <v>4134</v>
      </c>
      <c r="B1021" s="6" t="s">
        <v>4174</v>
      </c>
      <c r="C1021" s="40" t="s">
        <v>4175</v>
      </c>
      <c r="D1021" s="8"/>
      <c r="E1021" s="8" t="s">
        <v>152</v>
      </c>
      <c r="F1021" s="90">
        <v>25000.0</v>
      </c>
      <c r="G1021" s="97" t="s">
        <v>4176</v>
      </c>
      <c r="H1021" s="11" t="s">
        <v>4177</v>
      </c>
      <c r="I1021" s="97">
        <v>7.50715701E9</v>
      </c>
      <c r="J1021" s="11" t="s">
        <v>25</v>
      </c>
      <c r="K1021" s="12"/>
      <c r="L1021" s="13"/>
      <c r="M1021" s="14"/>
      <c r="N1021" s="15"/>
      <c r="O1021" s="5" t="s">
        <v>108</v>
      </c>
      <c r="P1021" s="5"/>
      <c r="Q1021" s="15"/>
      <c r="R1021" s="16" t="s">
        <v>28</v>
      </c>
      <c r="S1021" s="15"/>
      <c r="T1021" s="15"/>
      <c r="U1021" s="15"/>
      <c r="V1021" s="15"/>
      <c r="W1021" s="15"/>
      <c r="X1021" s="15"/>
      <c r="Y1021" s="15"/>
      <c r="Z1021" s="15"/>
      <c r="AA1021" s="15"/>
    </row>
    <row r="1022">
      <c r="A1022" s="5" t="s">
        <v>4134</v>
      </c>
      <c r="B1022" s="6" t="s">
        <v>4178</v>
      </c>
      <c r="C1022" s="40" t="s">
        <v>4179</v>
      </c>
      <c r="D1022" s="8"/>
      <c r="E1022" s="8" t="s">
        <v>4180</v>
      </c>
      <c r="F1022" s="90">
        <v>1000.0</v>
      </c>
      <c r="G1022" s="97" t="s">
        <v>4181</v>
      </c>
      <c r="H1022" s="11" t="s">
        <v>4182</v>
      </c>
      <c r="I1022" s="97" t="s">
        <v>4183</v>
      </c>
      <c r="J1022" s="11" t="s">
        <v>25</v>
      </c>
      <c r="K1022" s="12"/>
      <c r="L1022" s="13"/>
      <c r="M1022" s="14"/>
      <c r="N1022" s="15"/>
      <c r="O1022" s="5" t="s">
        <v>564</v>
      </c>
      <c r="P1022" s="5" t="s">
        <v>4184</v>
      </c>
      <c r="Q1022" s="15"/>
      <c r="R1022" s="16" t="s">
        <v>28</v>
      </c>
      <c r="S1022" s="15"/>
      <c r="T1022" s="15"/>
      <c r="U1022" s="15"/>
      <c r="V1022" s="15"/>
      <c r="W1022" s="15"/>
      <c r="X1022" s="15"/>
      <c r="Y1022" s="15"/>
      <c r="Z1022" s="15"/>
      <c r="AA1022" s="15"/>
    </row>
    <row r="1023">
      <c r="A1023" s="5" t="s">
        <v>4134</v>
      </c>
      <c r="B1023" s="6" t="s">
        <v>4185</v>
      </c>
      <c r="C1023" s="40" t="s">
        <v>4186</v>
      </c>
      <c r="D1023" s="8"/>
      <c r="E1023" s="8" t="s">
        <v>3748</v>
      </c>
      <c r="F1023" s="90">
        <v>30000.0</v>
      </c>
      <c r="G1023" s="97"/>
      <c r="H1023" s="11" t="s">
        <v>44</v>
      </c>
      <c r="I1023" s="97">
        <v>9.674177952E9</v>
      </c>
      <c r="J1023" s="11" t="s">
        <v>25</v>
      </c>
      <c r="K1023" s="12"/>
      <c r="L1023" s="13"/>
      <c r="M1023" s="14"/>
      <c r="N1023" s="15"/>
      <c r="O1023" s="5" t="s">
        <v>564</v>
      </c>
      <c r="P1023" s="5"/>
      <c r="Q1023" s="15"/>
      <c r="R1023" s="16" t="s">
        <v>28</v>
      </c>
      <c r="S1023" s="15"/>
      <c r="T1023" s="15"/>
      <c r="U1023" s="15"/>
      <c r="V1023" s="15"/>
      <c r="W1023" s="15"/>
      <c r="X1023" s="15"/>
      <c r="Y1023" s="15"/>
      <c r="Z1023" s="15"/>
      <c r="AA1023" s="15"/>
    </row>
    <row r="1024">
      <c r="A1024" s="5" t="s">
        <v>4134</v>
      </c>
      <c r="B1024" s="6" t="s">
        <v>4187</v>
      </c>
      <c r="C1024" s="40" t="s">
        <v>4188</v>
      </c>
      <c r="D1024" s="8"/>
      <c r="E1024" s="8" t="s">
        <v>1217</v>
      </c>
      <c r="F1024" s="90">
        <v>850.0</v>
      </c>
      <c r="G1024" s="97"/>
      <c r="H1024" s="11" t="s">
        <v>977</v>
      </c>
      <c r="I1024" s="97">
        <v>8.104872748E9</v>
      </c>
      <c r="J1024" s="11" t="s">
        <v>25</v>
      </c>
      <c r="K1024" s="12"/>
      <c r="L1024" s="13"/>
      <c r="M1024" s="14"/>
      <c r="N1024" s="15"/>
      <c r="O1024" s="5" t="s">
        <v>564</v>
      </c>
      <c r="P1024" s="5"/>
      <c r="Q1024" s="15"/>
      <c r="R1024" s="16" t="s">
        <v>28</v>
      </c>
      <c r="S1024" s="15"/>
      <c r="T1024" s="15"/>
      <c r="U1024" s="15"/>
      <c r="V1024" s="15"/>
      <c r="W1024" s="15"/>
      <c r="X1024" s="15"/>
      <c r="Y1024" s="15"/>
      <c r="Z1024" s="15"/>
      <c r="AA1024" s="15"/>
    </row>
    <row r="1025">
      <c r="A1025" s="5" t="s">
        <v>4189</v>
      </c>
      <c r="B1025" s="6" t="s">
        <v>4190</v>
      </c>
      <c r="C1025" s="40" t="s">
        <v>4191</v>
      </c>
      <c r="D1025" s="8"/>
      <c r="E1025" s="8" t="s">
        <v>4192</v>
      </c>
      <c r="F1025" s="9">
        <v>10000.0</v>
      </c>
      <c r="G1025" s="120" t="s">
        <v>4193</v>
      </c>
      <c r="H1025" s="11" t="s">
        <v>372</v>
      </c>
      <c r="I1025" s="97">
        <v>8.123204169E9</v>
      </c>
      <c r="J1025" s="11" t="s">
        <v>4008</v>
      </c>
      <c r="K1025" s="12"/>
      <c r="L1025" s="13"/>
      <c r="M1025" s="14"/>
      <c r="N1025" s="15"/>
      <c r="O1025" s="5" t="s">
        <v>108</v>
      </c>
      <c r="P1025" s="5"/>
      <c r="Q1025" s="15"/>
      <c r="R1025" s="16" t="s">
        <v>28</v>
      </c>
      <c r="S1025" s="15"/>
      <c r="T1025" s="15"/>
      <c r="U1025" s="15"/>
      <c r="V1025" s="15"/>
      <c r="W1025" s="15"/>
      <c r="X1025" s="15"/>
      <c r="Y1025" s="15"/>
      <c r="Z1025" s="15"/>
      <c r="AA1025" s="15"/>
    </row>
    <row r="1026">
      <c r="A1026" s="5" t="s">
        <v>4189</v>
      </c>
      <c r="B1026" s="6" t="s">
        <v>4194</v>
      </c>
      <c r="C1026" s="40" t="s">
        <v>4195</v>
      </c>
      <c r="D1026" s="8"/>
      <c r="E1026" s="8" t="s">
        <v>189</v>
      </c>
      <c r="F1026" s="9">
        <v>35000.0</v>
      </c>
      <c r="G1026" s="120" t="s">
        <v>4196</v>
      </c>
      <c r="H1026" s="11" t="s">
        <v>44</v>
      </c>
      <c r="I1026" s="97">
        <v>9.732729009E9</v>
      </c>
      <c r="J1026" s="11" t="s">
        <v>4008</v>
      </c>
      <c r="K1026" s="12"/>
      <c r="L1026" s="13"/>
      <c r="M1026" s="14"/>
      <c r="N1026" s="15"/>
      <c r="O1026" s="5" t="s">
        <v>26</v>
      </c>
      <c r="P1026" s="5"/>
      <c r="Q1026" s="15"/>
      <c r="R1026" s="16" t="s">
        <v>28</v>
      </c>
      <c r="S1026" s="15"/>
      <c r="T1026" s="15"/>
      <c r="U1026" s="15"/>
      <c r="V1026" s="15"/>
      <c r="W1026" s="15"/>
      <c r="X1026" s="15"/>
      <c r="Y1026" s="15"/>
      <c r="Z1026" s="15"/>
      <c r="AA1026" s="15"/>
    </row>
    <row r="1027">
      <c r="A1027" s="5" t="s">
        <v>4189</v>
      </c>
      <c r="B1027" s="6" t="s">
        <v>4197</v>
      </c>
      <c r="C1027" s="40" t="s">
        <v>4198</v>
      </c>
      <c r="D1027" s="8"/>
      <c r="E1027" s="8" t="s">
        <v>189</v>
      </c>
      <c r="F1027" s="9">
        <v>100000.0</v>
      </c>
      <c r="G1027" s="120" t="s">
        <v>4199</v>
      </c>
      <c r="H1027" s="11" t="s">
        <v>44</v>
      </c>
      <c r="I1027" s="97">
        <v>7.044393664E9</v>
      </c>
      <c r="J1027" s="11" t="s">
        <v>4008</v>
      </c>
      <c r="K1027" s="12"/>
      <c r="L1027" s="13"/>
      <c r="M1027" s="14"/>
      <c r="N1027" s="15"/>
      <c r="O1027" s="5" t="s">
        <v>26</v>
      </c>
      <c r="P1027" s="5"/>
      <c r="Q1027" s="15"/>
      <c r="R1027" s="16" t="s">
        <v>28</v>
      </c>
      <c r="S1027" s="15"/>
      <c r="T1027" s="15"/>
      <c r="U1027" s="15"/>
      <c r="V1027" s="15"/>
      <c r="W1027" s="15"/>
      <c r="X1027" s="15"/>
      <c r="Y1027" s="15"/>
      <c r="Z1027" s="15"/>
      <c r="AA1027" s="15"/>
    </row>
    <row r="1028">
      <c r="A1028" s="5" t="s">
        <v>4189</v>
      </c>
      <c r="B1028" s="6" t="s">
        <v>4200</v>
      </c>
      <c r="C1028" s="40" t="s">
        <v>4201</v>
      </c>
      <c r="D1028" s="8"/>
      <c r="E1028" s="8" t="s">
        <v>222</v>
      </c>
      <c r="F1028" s="90">
        <v>1000.0</v>
      </c>
      <c r="G1028" s="120" t="s">
        <v>4202</v>
      </c>
      <c r="H1028" s="11" t="s">
        <v>507</v>
      </c>
      <c r="I1028" s="97">
        <v>9.527077404E9</v>
      </c>
      <c r="J1028" s="11" t="s">
        <v>4008</v>
      </c>
      <c r="K1028" s="12"/>
      <c r="L1028" s="13"/>
      <c r="M1028" s="14"/>
      <c r="N1028" s="15"/>
      <c r="O1028" s="5" t="s">
        <v>108</v>
      </c>
      <c r="P1028" s="5"/>
      <c r="Q1028" s="15"/>
      <c r="R1028" s="16" t="s">
        <v>28</v>
      </c>
      <c r="S1028" s="15"/>
      <c r="T1028" s="15"/>
      <c r="U1028" s="15"/>
      <c r="V1028" s="15"/>
      <c r="W1028" s="15"/>
      <c r="X1028" s="15"/>
      <c r="Y1028" s="15"/>
      <c r="Z1028" s="15"/>
      <c r="AA1028" s="15"/>
    </row>
    <row r="1029">
      <c r="A1029" s="5" t="s">
        <v>4189</v>
      </c>
      <c r="B1029" s="6" t="s">
        <v>4203</v>
      </c>
      <c r="C1029" s="40" t="s">
        <v>4204</v>
      </c>
      <c r="D1029" s="8"/>
      <c r="E1029" s="8" t="s">
        <v>4205</v>
      </c>
      <c r="F1029" s="9">
        <v>100000.0</v>
      </c>
      <c r="G1029" s="120" t="s">
        <v>4206</v>
      </c>
      <c r="H1029" s="11" t="s">
        <v>44</v>
      </c>
      <c r="I1029" s="97">
        <v>9.903785437E9</v>
      </c>
      <c r="J1029" s="11" t="s">
        <v>4008</v>
      </c>
      <c r="K1029" s="12"/>
      <c r="L1029" s="13"/>
      <c r="M1029" s="14"/>
      <c r="N1029" s="15"/>
      <c r="O1029" s="5" t="s">
        <v>26</v>
      </c>
      <c r="P1029" s="5"/>
      <c r="Q1029" s="15"/>
      <c r="R1029" s="16" t="s">
        <v>28</v>
      </c>
      <c r="S1029" s="15"/>
      <c r="T1029" s="15"/>
      <c r="U1029" s="15"/>
      <c r="V1029" s="15"/>
      <c r="W1029" s="15"/>
      <c r="X1029" s="15"/>
      <c r="Y1029" s="15"/>
      <c r="Z1029" s="15"/>
      <c r="AA1029" s="15"/>
    </row>
    <row r="1030">
      <c r="A1030" s="5" t="s">
        <v>4189</v>
      </c>
      <c r="B1030" s="6" t="s">
        <v>4207</v>
      </c>
      <c r="C1030" s="40" t="s">
        <v>1534</v>
      </c>
      <c r="D1030" s="8"/>
      <c r="E1030" s="8" t="s">
        <v>152</v>
      </c>
      <c r="F1030" s="90">
        <v>5000.0</v>
      </c>
      <c r="G1030" s="120" t="s">
        <v>4208</v>
      </c>
      <c r="H1030" s="11" t="s">
        <v>4209</v>
      </c>
      <c r="I1030" s="97">
        <v>9.326047028E9</v>
      </c>
      <c r="J1030" s="11" t="s">
        <v>4008</v>
      </c>
      <c r="K1030" s="12"/>
      <c r="L1030" s="13"/>
      <c r="M1030" s="14"/>
      <c r="N1030" s="15"/>
      <c r="O1030" s="5" t="s">
        <v>108</v>
      </c>
      <c r="P1030" s="5"/>
      <c r="Q1030" s="15"/>
      <c r="R1030" s="16" t="s">
        <v>28</v>
      </c>
      <c r="S1030" s="15"/>
      <c r="T1030" s="15"/>
      <c r="U1030" s="15"/>
      <c r="V1030" s="15"/>
      <c r="W1030" s="15"/>
      <c r="X1030" s="15"/>
      <c r="Y1030" s="15"/>
      <c r="Z1030" s="15"/>
      <c r="AA1030" s="15"/>
    </row>
    <row r="1031">
      <c r="A1031" s="5" t="s">
        <v>4210</v>
      </c>
      <c r="B1031" s="6" t="s">
        <v>4211</v>
      </c>
      <c r="C1031" s="40" t="s">
        <v>4212</v>
      </c>
      <c r="D1031" s="8"/>
      <c r="E1031" s="8" t="s">
        <v>4213</v>
      </c>
      <c r="F1031" s="90">
        <v>1000.0</v>
      </c>
      <c r="G1031" s="97" t="s">
        <v>4214</v>
      </c>
      <c r="H1031" s="11" t="s">
        <v>44</v>
      </c>
      <c r="I1031" s="97">
        <v>9.903725015E9</v>
      </c>
      <c r="J1031" s="11" t="s">
        <v>4008</v>
      </c>
      <c r="K1031" s="12"/>
      <c r="L1031" s="13"/>
      <c r="M1031" s="11" t="s">
        <v>4215</v>
      </c>
      <c r="N1031" s="15"/>
      <c r="O1031" s="5" t="s">
        <v>34</v>
      </c>
      <c r="P1031" s="5" t="s">
        <v>209</v>
      </c>
      <c r="Q1031" s="15"/>
      <c r="R1031" s="16" t="s">
        <v>28</v>
      </c>
      <c r="S1031" s="15"/>
      <c r="T1031" s="15"/>
      <c r="U1031" s="15"/>
      <c r="V1031" s="15"/>
      <c r="W1031" s="15"/>
      <c r="X1031" s="15"/>
      <c r="Y1031" s="15"/>
      <c r="Z1031" s="15"/>
      <c r="AA1031" s="15"/>
    </row>
    <row r="1032">
      <c r="A1032" s="5" t="s">
        <v>4210</v>
      </c>
      <c r="B1032" s="6" t="s">
        <v>4216</v>
      </c>
      <c r="C1032" s="40" t="s">
        <v>4217</v>
      </c>
      <c r="D1032" s="8"/>
      <c r="E1032" s="8" t="s">
        <v>63</v>
      </c>
      <c r="F1032" s="90">
        <v>1000.0</v>
      </c>
      <c r="G1032" s="97" t="s">
        <v>4218</v>
      </c>
      <c r="H1032" s="11" t="s">
        <v>131</v>
      </c>
      <c r="I1032" s="97">
        <v>6.30789717E9</v>
      </c>
      <c r="J1032" s="11" t="s">
        <v>25</v>
      </c>
      <c r="K1032" s="12"/>
      <c r="L1032" s="13"/>
      <c r="M1032" s="11" t="s">
        <v>4219</v>
      </c>
      <c r="N1032" s="15"/>
      <c r="O1032" s="5" t="s">
        <v>564</v>
      </c>
      <c r="P1032" s="5" t="s">
        <v>1972</v>
      </c>
      <c r="Q1032" s="15"/>
      <c r="R1032" s="16" t="s">
        <v>28</v>
      </c>
      <c r="S1032" s="15"/>
      <c r="T1032" s="15"/>
      <c r="U1032" s="15"/>
      <c r="V1032" s="15"/>
      <c r="W1032" s="15"/>
      <c r="X1032" s="15"/>
      <c r="Y1032" s="15"/>
      <c r="Z1032" s="15"/>
      <c r="AA1032" s="15"/>
    </row>
    <row r="1033">
      <c r="A1033" s="5" t="s">
        <v>4210</v>
      </c>
      <c r="B1033" s="6" t="s">
        <v>4220</v>
      </c>
      <c r="C1033" s="40" t="s">
        <v>4221</v>
      </c>
      <c r="D1033" s="8"/>
      <c r="E1033" s="8" t="s">
        <v>4000</v>
      </c>
      <c r="F1033" s="90">
        <v>1000.0</v>
      </c>
      <c r="G1033" s="97" t="s">
        <v>4222</v>
      </c>
      <c r="H1033" s="11" t="s">
        <v>449</v>
      </c>
      <c r="I1033" s="97">
        <v>7.584910867E9</v>
      </c>
      <c r="J1033" s="11" t="s">
        <v>25</v>
      </c>
      <c r="K1033" s="12"/>
      <c r="L1033" s="13"/>
      <c r="M1033" s="14"/>
      <c r="N1033" s="15"/>
      <c r="O1033" s="5" t="s">
        <v>564</v>
      </c>
      <c r="P1033" s="5"/>
      <c r="Q1033" s="15"/>
      <c r="R1033" s="16" t="s">
        <v>28</v>
      </c>
      <c r="S1033" s="15"/>
      <c r="T1033" s="15"/>
      <c r="U1033" s="15"/>
      <c r="V1033" s="15"/>
      <c r="W1033" s="15"/>
      <c r="X1033" s="15"/>
      <c r="Y1033" s="15"/>
      <c r="Z1033" s="15"/>
      <c r="AA1033" s="15"/>
    </row>
    <row r="1034">
      <c r="A1034" s="5" t="s">
        <v>4210</v>
      </c>
      <c r="B1034" s="6" t="s">
        <v>4223</v>
      </c>
      <c r="C1034" s="40" t="s">
        <v>4224</v>
      </c>
      <c r="D1034" s="8"/>
      <c r="E1034" s="8" t="s">
        <v>4225</v>
      </c>
      <c r="F1034" s="90">
        <v>250.0</v>
      </c>
      <c r="G1034" s="97" t="s">
        <v>4226</v>
      </c>
      <c r="H1034" s="11" t="s">
        <v>268</v>
      </c>
      <c r="I1034" s="97">
        <v>8.145889441E9</v>
      </c>
      <c r="J1034" s="11" t="s">
        <v>25</v>
      </c>
      <c r="K1034" s="12"/>
      <c r="L1034" s="13"/>
      <c r="M1034" s="14"/>
      <c r="N1034" s="15"/>
      <c r="O1034" s="5" t="s">
        <v>34</v>
      </c>
      <c r="P1034" s="5" t="s">
        <v>727</v>
      </c>
      <c r="Q1034" s="15"/>
      <c r="R1034" s="16" t="s">
        <v>28</v>
      </c>
      <c r="S1034" s="15"/>
      <c r="T1034" s="15"/>
      <c r="U1034" s="15"/>
      <c r="V1034" s="15"/>
      <c r="W1034" s="15"/>
      <c r="X1034" s="15"/>
      <c r="Y1034" s="15"/>
      <c r="Z1034" s="15"/>
      <c r="AA1034" s="15"/>
    </row>
    <row r="1035">
      <c r="A1035" s="5" t="s">
        <v>4210</v>
      </c>
      <c r="B1035" s="6" t="s">
        <v>4227</v>
      </c>
      <c r="C1035" s="40" t="s">
        <v>4228</v>
      </c>
      <c r="D1035" s="8"/>
      <c r="E1035" s="8" t="s">
        <v>4229</v>
      </c>
      <c r="F1035" s="90">
        <v>300.0</v>
      </c>
      <c r="G1035" s="97" t="s">
        <v>4230</v>
      </c>
      <c r="H1035" s="11" t="s">
        <v>4231</v>
      </c>
      <c r="I1035" s="97">
        <v>9.932959504E9</v>
      </c>
      <c r="J1035" s="11" t="s">
        <v>25</v>
      </c>
      <c r="K1035" s="12" t="s">
        <v>4232</v>
      </c>
      <c r="L1035" s="13"/>
      <c r="M1035" s="11" t="s">
        <v>4233</v>
      </c>
      <c r="N1035" s="15"/>
      <c r="O1035" s="5" t="s">
        <v>564</v>
      </c>
      <c r="P1035" s="5" t="s">
        <v>4234</v>
      </c>
      <c r="Q1035" s="15"/>
      <c r="R1035" s="16" t="s">
        <v>28</v>
      </c>
      <c r="S1035" s="15"/>
      <c r="T1035" s="15"/>
      <c r="U1035" s="15"/>
      <c r="V1035" s="15"/>
      <c r="W1035" s="15"/>
      <c r="X1035" s="15"/>
      <c r="Y1035" s="15"/>
      <c r="Z1035" s="15"/>
      <c r="AA1035" s="15"/>
    </row>
    <row r="1036">
      <c r="A1036" s="5" t="s">
        <v>4210</v>
      </c>
      <c r="B1036" s="6" t="s">
        <v>4235</v>
      </c>
      <c r="C1036" s="40" t="s">
        <v>4236</v>
      </c>
      <c r="D1036" s="8"/>
      <c r="E1036" s="8" t="s">
        <v>1217</v>
      </c>
      <c r="F1036" s="90">
        <v>1500.0</v>
      </c>
      <c r="G1036" s="97"/>
      <c r="H1036" s="11" t="s">
        <v>4237</v>
      </c>
      <c r="I1036" s="97">
        <v>7.061861331E9</v>
      </c>
      <c r="J1036" s="11" t="s">
        <v>25</v>
      </c>
      <c r="K1036" s="12"/>
      <c r="L1036" s="13"/>
      <c r="M1036" s="14"/>
      <c r="N1036" s="15"/>
      <c r="O1036" s="5" t="s">
        <v>564</v>
      </c>
      <c r="P1036" s="5"/>
      <c r="Q1036" s="15"/>
      <c r="R1036" s="16" t="s">
        <v>28</v>
      </c>
      <c r="S1036" s="15"/>
      <c r="T1036" s="15"/>
      <c r="U1036" s="15"/>
      <c r="V1036" s="15"/>
      <c r="W1036" s="15"/>
      <c r="X1036" s="15"/>
      <c r="Y1036" s="15"/>
      <c r="Z1036" s="15"/>
      <c r="AA1036" s="15"/>
    </row>
    <row r="1037">
      <c r="A1037" s="5" t="s">
        <v>4210</v>
      </c>
      <c r="B1037" s="6" t="s">
        <v>4238</v>
      </c>
      <c r="C1037" s="40" t="s">
        <v>4239</v>
      </c>
      <c r="D1037" s="8"/>
      <c r="E1037" s="8" t="s">
        <v>4240</v>
      </c>
      <c r="F1037" s="90">
        <v>15000.0</v>
      </c>
      <c r="G1037" s="97" t="s">
        <v>4241</v>
      </c>
      <c r="H1037" s="11" t="s">
        <v>4242</v>
      </c>
      <c r="I1037" s="11" t="s">
        <v>4243</v>
      </c>
      <c r="J1037" s="11" t="s">
        <v>25</v>
      </c>
      <c r="K1037" s="12"/>
      <c r="L1037" s="13"/>
      <c r="M1037" s="14"/>
      <c r="N1037" s="15"/>
      <c r="O1037" s="5" t="s">
        <v>108</v>
      </c>
      <c r="P1037" s="5"/>
      <c r="Q1037" s="15"/>
      <c r="R1037" s="16" t="s">
        <v>28</v>
      </c>
      <c r="S1037" s="15"/>
      <c r="T1037" s="15"/>
      <c r="U1037" s="15"/>
      <c r="V1037" s="15"/>
      <c r="W1037" s="15"/>
      <c r="X1037" s="15"/>
      <c r="Y1037" s="15"/>
      <c r="Z1037" s="15"/>
      <c r="AA1037" s="15"/>
    </row>
    <row r="1038">
      <c r="A1038" s="5" t="s">
        <v>4210</v>
      </c>
      <c r="B1038" s="6" t="s">
        <v>4244</v>
      </c>
      <c r="C1038" s="40" t="s">
        <v>4245</v>
      </c>
      <c r="D1038" s="8"/>
      <c r="E1038" s="8" t="s">
        <v>4246</v>
      </c>
      <c r="F1038" s="90">
        <v>5000.0</v>
      </c>
      <c r="G1038" s="97" t="s">
        <v>4247</v>
      </c>
      <c r="H1038" s="11" t="s">
        <v>4248</v>
      </c>
      <c r="I1038" s="97" t="s">
        <v>4249</v>
      </c>
      <c r="J1038" s="11" t="s">
        <v>25</v>
      </c>
      <c r="K1038" s="12" t="s">
        <v>4250</v>
      </c>
      <c r="L1038" s="13"/>
      <c r="M1038" s="14"/>
      <c r="N1038" s="15"/>
      <c r="O1038" s="5" t="s">
        <v>564</v>
      </c>
      <c r="P1038" s="5"/>
      <c r="Q1038" s="15"/>
      <c r="R1038" s="16" t="s">
        <v>28</v>
      </c>
      <c r="S1038" s="15"/>
      <c r="T1038" s="15"/>
      <c r="U1038" s="15"/>
      <c r="V1038" s="15"/>
      <c r="W1038" s="15"/>
      <c r="X1038" s="15"/>
      <c r="Y1038" s="15"/>
      <c r="Z1038" s="15"/>
      <c r="AA1038" s="15"/>
    </row>
    <row r="1039">
      <c r="A1039" s="5" t="s">
        <v>4210</v>
      </c>
      <c r="B1039" s="6" t="s">
        <v>4251</v>
      </c>
      <c r="C1039" s="40" t="s">
        <v>4252</v>
      </c>
      <c r="D1039" s="8"/>
      <c r="E1039" s="8" t="s">
        <v>152</v>
      </c>
      <c r="F1039" s="90">
        <v>50000.0</v>
      </c>
      <c r="G1039" s="97" t="s">
        <v>4253</v>
      </c>
      <c r="H1039" s="11" t="s">
        <v>3861</v>
      </c>
      <c r="I1039" s="97">
        <v>9.371571111E9</v>
      </c>
      <c r="J1039" s="11" t="s">
        <v>4008</v>
      </c>
      <c r="K1039" s="12"/>
      <c r="L1039" s="13"/>
      <c r="M1039" s="14"/>
      <c r="N1039" s="15"/>
      <c r="O1039" s="5" t="s">
        <v>108</v>
      </c>
      <c r="P1039" s="5"/>
      <c r="Q1039" s="15"/>
      <c r="R1039" s="16" t="s">
        <v>28</v>
      </c>
      <c r="S1039" s="15"/>
      <c r="T1039" s="15"/>
      <c r="U1039" s="15"/>
      <c r="V1039" s="15"/>
      <c r="W1039" s="15"/>
      <c r="X1039" s="15"/>
      <c r="Y1039" s="15"/>
      <c r="Z1039" s="15"/>
      <c r="AA1039" s="15"/>
    </row>
    <row r="1040">
      <c r="A1040" s="5" t="s">
        <v>4254</v>
      </c>
      <c r="B1040" s="6" t="s">
        <v>4255</v>
      </c>
      <c r="C1040" s="40" t="s">
        <v>4256</v>
      </c>
      <c r="D1040" s="8"/>
      <c r="E1040" s="8" t="s">
        <v>4257</v>
      </c>
      <c r="F1040" s="90">
        <v>2500.0</v>
      </c>
      <c r="G1040" s="97" t="s">
        <v>4258</v>
      </c>
      <c r="H1040" s="11" t="s">
        <v>4259</v>
      </c>
      <c r="I1040" s="97">
        <v>9.78357519E9</v>
      </c>
      <c r="J1040" s="11" t="s">
        <v>25</v>
      </c>
      <c r="K1040" s="12"/>
      <c r="L1040" s="13"/>
      <c r="M1040" s="14"/>
      <c r="N1040" s="15"/>
      <c r="O1040" s="5" t="s">
        <v>34</v>
      </c>
      <c r="P1040" s="5"/>
      <c r="Q1040" s="15"/>
      <c r="R1040" s="16" t="s">
        <v>28</v>
      </c>
      <c r="S1040" s="15"/>
      <c r="T1040" s="15"/>
      <c r="U1040" s="15"/>
      <c r="V1040" s="15"/>
      <c r="W1040" s="15"/>
      <c r="X1040" s="15"/>
      <c r="Y1040" s="15"/>
      <c r="Z1040" s="15"/>
      <c r="AA1040" s="15"/>
    </row>
    <row r="1041">
      <c r="A1041" s="5" t="s">
        <v>4254</v>
      </c>
      <c r="B1041" s="6" t="s">
        <v>4260</v>
      </c>
      <c r="C1041" s="40" t="s">
        <v>4261</v>
      </c>
      <c r="D1041" s="8"/>
      <c r="E1041" s="8" t="s">
        <v>53</v>
      </c>
      <c r="F1041" s="90">
        <v>20000.0</v>
      </c>
      <c r="G1041" s="97" t="s">
        <v>4262</v>
      </c>
      <c r="H1041" s="11" t="s">
        <v>4263</v>
      </c>
      <c r="I1041" s="97">
        <v>7.004171431E9</v>
      </c>
      <c r="J1041" s="11" t="s">
        <v>25</v>
      </c>
      <c r="K1041" s="12"/>
      <c r="L1041" s="13"/>
      <c r="M1041" s="14"/>
      <c r="N1041" s="15"/>
      <c r="O1041" s="5" t="s">
        <v>564</v>
      </c>
      <c r="P1041" s="5"/>
      <c r="Q1041" s="15"/>
      <c r="R1041" s="16" t="s">
        <v>28</v>
      </c>
      <c r="S1041" s="15"/>
      <c r="T1041" s="15"/>
      <c r="U1041" s="15"/>
      <c r="V1041" s="15"/>
      <c r="W1041" s="15"/>
      <c r="X1041" s="15"/>
      <c r="Y1041" s="15"/>
      <c r="Z1041" s="15"/>
      <c r="AA1041" s="15"/>
    </row>
    <row r="1042">
      <c r="A1042" s="5" t="s">
        <v>4254</v>
      </c>
      <c r="B1042" s="6" t="s">
        <v>4264</v>
      </c>
      <c r="C1042" s="40" t="s">
        <v>4265</v>
      </c>
      <c r="D1042" s="8"/>
      <c r="E1042" s="8" t="s">
        <v>4266</v>
      </c>
      <c r="F1042" s="90">
        <v>2500.0</v>
      </c>
      <c r="G1042" s="97" t="s">
        <v>4267</v>
      </c>
      <c r="H1042" s="11" t="s">
        <v>44</v>
      </c>
      <c r="I1042" s="97">
        <v>7.318852242E9</v>
      </c>
      <c r="J1042" s="11" t="s">
        <v>25</v>
      </c>
      <c r="K1042" s="12"/>
      <c r="L1042" s="13"/>
      <c r="M1042" s="14"/>
      <c r="N1042" s="15"/>
      <c r="O1042" s="5" t="s">
        <v>34</v>
      </c>
      <c r="P1042" s="5" t="s">
        <v>727</v>
      </c>
      <c r="Q1042" s="15"/>
      <c r="R1042" s="16" t="s">
        <v>28</v>
      </c>
      <c r="S1042" s="15"/>
      <c r="T1042" s="15"/>
      <c r="U1042" s="15"/>
      <c r="V1042" s="15"/>
      <c r="W1042" s="15"/>
      <c r="X1042" s="15"/>
      <c r="Y1042" s="15"/>
      <c r="Z1042" s="15"/>
      <c r="AA1042" s="15"/>
    </row>
    <row r="1043">
      <c r="A1043" s="5" t="s">
        <v>4254</v>
      </c>
      <c r="B1043" s="6" t="s">
        <v>4268</v>
      </c>
      <c r="C1043" s="40" t="s">
        <v>4269</v>
      </c>
      <c r="D1043" s="8"/>
      <c r="E1043" s="8" t="s">
        <v>156</v>
      </c>
      <c r="F1043" s="90">
        <v>500.0</v>
      </c>
      <c r="G1043" s="97" t="s">
        <v>4270</v>
      </c>
      <c r="H1043" s="11" t="s">
        <v>4271</v>
      </c>
      <c r="I1043" s="97">
        <v>9.933150554E9</v>
      </c>
      <c r="J1043" s="11" t="s">
        <v>25</v>
      </c>
      <c r="K1043" s="12"/>
      <c r="L1043" s="13"/>
      <c r="M1043" s="14"/>
      <c r="N1043" s="15"/>
      <c r="O1043" s="5" t="s">
        <v>564</v>
      </c>
      <c r="P1043" s="5"/>
      <c r="Q1043" s="15"/>
      <c r="R1043" s="16" t="s">
        <v>28</v>
      </c>
      <c r="S1043" s="15"/>
      <c r="T1043" s="15"/>
      <c r="U1043" s="15"/>
      <c r="V1043" s="15"/>
      <c r="W1043" s="15"/>
      <c r="X1043" s="15"/>
      <c r="Y1043" s="15"/>
      <c r="Z1043" s="15"/>
      <c r="AA1043" s="15"/>
    </row>
    <row r="1044">
      <c r="A1044" s="5" t="s">
        <v>4254</v>
      </c>
      <c r="B1044" s="6" t="s">
        <v>4272</v>
      </c>
      <c r="C1044" s="40" t="s">
        <v>4273</v>
      </c>
      <c r="D1044" s="8"/>
      <c r="E1044" s="8" t="s">
        <v>130</v>
      </c>
      <c r="F1044" s="90">
        <v>100000.0</v>
      </c>
      <c r="G1044" s="97" t="s">
        <v>4274</v>
      </c>
      <c r="H1044" s="11" t="s">
        <v>977</v>
      </c>
      <c r="I1044" s="97">
        <v>7.763807421E9</v>
      </c>
      <c r="J1044" s="11" t="s">
        <v>25</v>
      </c>
      <c r="K1044" s="12"/>
      <c r="L1044" s="13"/>
      <c r="M1044" s="14"/>
      <c r="N1044" s="15"/>
      <c r="O1044" s="5" t="s">
        <v>564</v>
      </c>
      <c r="P1044" s="5"/>
      <c r="Q1044" s="15"/>
      <c r="R1044" s="16" t="s">
        <v>28</v>
      </c>
      <c r="S1044" s="15"/>
      <c r="T1044" s="15"/>
      <c r="U1044" s="15"/>
      <c r="V1044" s="15"/>
      <c r="W1044" s="15"/>
      <c r="X1044" s="15"/>
      <c r="Y1044" s="15"/>
      <c r="Z1044" s="15"/>
      <c r="AA1044" s="15"/>
    </row>
    <row r="1045">
      <c r="A1045" s="5" t="s">
        <v>4254</v>
      </c>
      <c r="B1045" s="6" t="s">
        <v>4275</v>
      </c>
      <c r="C1045" s="40" t="s">
        <v>4276</v>
      </c>
      <c r="D1045" s="8"/>
      <c r="E1045" s="8" t="s">
        <v>116</v>
      </c>
      <c r="F1045" s="90">
        <v>500.0</v>
      </c>
      <c r="G1045" s="97" t="s">
        <v>4277</v>
      </c>
      <c r="H1045" s="11" t="s">
        <v>4278</v>
      </c>
      <c r="I1045" s="97">
        <v>9.82277511E9</v>
      </c>
      <c r="J1045" s="11" t="s">
        <v>25</v>
      </c>
      <c r="K1045" s="12"/>
      <c r="L1045" s="13"/>
      <c r="M1045" s="14"/>
      <c r="N1045" s="15"/>
      <c r="O1045" s="5" t="s">
        <v>108</v>
      </c>
      <c r="P1045" s="5"/>
      <c r="Q1045" s="15"/>
      <c r="R1045" s="16" t="s">
        <v>28</v>
      </c>
      <c r="S1045" s="15"/>
      <c r="T1045" s="15"/>
      <c r="U1045" s="15"/>
      <c r="V1045" s="15"/>
      <c r="W1045" s="15"/>
      <c r="X1045" s="15"/>
      <c r="Y1045" s="15"/>
      <c r="Z1045" s="15"/>
      <c r="AA1045" s="15"/>
    </row>
    <row r="1046">
      <c r="A1046" s="5" t="s">
        <v>4254</v>
      </c>
      <c r="B1046" s="6" t="s">
        <v>4279</v>
      </c>
      <c r="C1046" s="40" t="s">
        <v>4280</v>
      </c>
      <c r="D1046" s="8"/>
      <c r="E1046" s="8" t="s">
        <v>1285</v>
      </c>
      <c r="F1046" s="90">
        <v>1000.0</v>
      </c>
      <c r="G1046" s="97" t="s">
        <v>4281</v>
      </c>
      <c r="H1046" s="11" t="s">
        <v>4282</v>
      </c>
      <c r="I1046" s="97" t="s">
        <v>4283</v>
      </c>
      <c r="J1046" s="11" t="s">
        <v>25</v>
      </c>
      <c r="K1046" s="12"/>
      <c r="L1046" s="13"/>
      <c r="M1046" s="14"/>
      <c r="N1046" s="15"/>
      <c r="O1046" s="5" t="s">
        <v>564</v>
      </c>
      <c r="P1046" s="5"/>
      <c r="Q1046" s="15"/>
      <c r="R1046" s="16" t="s">
        <v>28</v>
      </c>
      <c r="S1046" s="15"/>
      <c r="T1046" s="15"/>
      <c r="U1046" s="15"/>
      <c r="V1046" s="15"/>
      <c r="W1046" s="15"/>
      <c r="X1046" s="15"/>
      <c r="Y1046" s="15"/>
      <c r="Z1046" s="15"/>
      <c r="AA1046" s="15"/>
    </row>
    <row r="1047">
      <c r="A1047" s="5" t="s">
        <v>4284</v>
      </c>
      <c r="B1047" s="6" t="s">
        <v>4285</v>
      </c>
      <c r="C1047" s="40" t="s">
        <v>4286</v>
      </c>
      <c r="D1047" s="8"/>
      <c r="E1047" s="8" t="s">
        <v>130</v>
      </c>
      <c r="F1047" s="90">
        <v>1000.0</v>
      </c>
      <c r="G1047" s="97" t="s">
        <v>4287</v>
      </c>
      <c r="H1047" s="11" t="s">
        <v>4288</v>
      </c>
      <c r="I1047" s="97">
        <v>9.835736971E9</v>
      </c>
      <c r="J1047" s="11" t="s">
        <v>25</v>
      </c>
      <c r="K1047" s="12"/>
      <c r="L1047" s="13"/>
      <c r="M1047" s="14"/>
      <c r="N1047" s="15"/>
      <c r="O1047" s="5" t="s">
        <v>34</v>
      </c>
      <c r="P1047" s="5" t="s">
        <v>727</v>
      </c>
      <c r="Q1047" s="15"/>
      <c r="R1047" s="16" t="s">
        <v>28</v>
      </c>
      <c r="S1047" s="15"/>
      <c r="T1047" s="15"/>
      <c r="U1047" s="15"/>
      <c r="V1047" s="15"/>
      <c r="W1047" s="15"/>
      <c r="X1047" s="15"/>
      <c r="Y1047" s="15"/>
      <c r="Z1047" s="15"/>
      <c r="AA1047" s="15"/>
    </row>
    <row r="1048">
      <c r="A1048" s="5" t="s">
        <v>4284</v>
      </c>
      <c r="B1048" s="6" t="s">
        <v>4289</v>
      </c>
      <c r="C1048" s="40" t="s">
        <v>4290</v>
      </c>
      <c r="D1048" s="8"/>
      <c r="E1048" s="8" t="s">
        <v>87</v>
      </c>
      <c r="F1048" s="90">
        <v>50000.0</v>
      </c>
      <c r="G1048" s="97" t="s">
        <v>4291</v>
      </c>
      <c r="H1048" s="11" t="s">
        <v>638</v>
      </c>
      <c r="I1048" s="97">
        <v>9.434009322E9</v>
      </c>
      <c r="J1048" s="11" t="s">
        <v>4008</v>
      </c>
      <c r="K1048" s="12"/>
      <c r="L1048" s="13"/>
      <c r="M1048" s="14"/>
      <c r="N1048" s="15"/>
      <c r="O1048" s="5" t="s">
        <v>34</v>
      </c>
      <c r="P1048" s="5"/>
      <c r="Q1048" s="15"/>
      <c r="R1048" s="16" t="s">
        <v>28</v>
      </c>
      <c r="S1048" s="15"/>
      <c r="T1048" s="15"/>
      <c r="U1048" s="15"/>
      <c r="V1048" s="15"/>
      <c r="W1048" s="15"/>
      <c r="X1048" s="15"/>
      <c r="Y1048" s="15"/>
      <c r="Z1048" s="15"/>
      <c r="AA1048" s="15"/>
    </row>
    <row r="1049">
      <c r="A1049" s="5" t="s">
        <v>4284</v>
      </c>
      <c r="B1049" s="6" t="s">
        <v>4292</v>
      </c>
      <c r="C1049" s="40" t="s">
        <v>4293</v>
      </c>
      <c r="D1049" s="8"/>
      <c r="E1049" s="8" t="s">
        <v>189</v>
      </c>
      <c r="F1049" s="90">
        <v>6000.0</v>
      </c>
      <c r="G1049" s="97"/>
      <c r="H1049" s="11" t="s">
        <v>131</v>
      </c>
      <c r="I1049" s="97">
        <v>6.000757025E9</v>
      </c>
      <c r="J1049" s="11" t="s">
        <v>25</v>
      </c>
      <c r="K1049" s="12"/>
      <c r="L1049" s="13"/>
      <c r="M1049" s="14"/>
      <c r="N1049" s="15"/>
      <c r="O1049" s="5" t="s">
        <v>564</v>
      </c>
      <c r="P1049" s="5"/>
      <c r="Q1049" s="15"/>
      <c r="R1049" s="16" t="s">
        <v>28</v>
      </c>
      <c r="S1049" s="15"/>
      <c r="T1049" s="15"/>
      <c r="U1049" s="15"/>
      <c r="V1049" s="15"/>
      <c r="W1049" s="15"/>
      <c r="X1049" s="15"/>
      <c r="Y1049" s="15"/>
      <c r="Z1049" s="15"/>
      <c r="AA1049" s="15"/>
    </row>
    <row r="1050">
      <c r="A1050" s="5" t="s">
        <v>4284</v>
      </c>
      <c r="B1050" s="6" t="s">
        <v>4294</v>
      </c>
      <c r="C1050" s="40" t="s">
        <v>4295</v>
      </c>
      <c r="D1050" s="8"/>
      <c r="E1050" s="8" t="s">
        <v>4296</v>
      </c>
      <c r="F1050" s="90">
        <v>20000.0</v>
      </c>
      <c r="G1050" s="97"/>
      <c r="H1050" s="11" t="s">
        <v>4297</v>
      </c>
      <c r="I1050" s="97">
        <v>8.595869857E9</v>
      </c>
      <c r="J1050" s="11" t="s">
        <v>25</v>
      </c>
      <c r="K1050" s="12" t="s">
        <v>2367</v>
      </c>
      <c r="L1050" s="13"/>
      <c r="M1050" s="14"/>
      <c r="N1050" s="15"/>
      <c r="O1050" s="5" t="s">
        <v>564</v>
      </c>
      <c r="P1050" s="5" t="s">
        <v>4298</v>
      </c>
      <c r="Q1050" s="15"/>
      <c r="R1050" s="16" t="s">
        <v>28</v>
      </c>
      <c r="S1050" s="15"/>
      <c r="T1050" s="15"/>
      <c r="U1050" s="15"/>
      <c r="V1050" s="15"/>
      <c r="W1050" s="15"/>
      <c r="X1050" s="15"/>
      <c r="Y1050" s="15"/>
      <c r="Z1050" s="15"/>
      <c r="AA1050" s="15"/>
    </row>
    <row r="1051">
      <c r="A1051" s="5" t="s">
        <v>4284</v>
      </c>
      <c r="B1051" s="6" t="s">
        <v>4299</v>
      </c>
      <c r="C1051" s="40" t="s">
        <v>4300</v>
      </c>
      <c r="D1051" s="8"/>
      <c r="E1051" s="8" t="s">
        <v>387</v>
      </c>
      <c r="F1051" s="90">
        <v>350.0</v>
      </c>
      <c r="G1051" s="97" t="s">
        <v>4301</v>
      </c>
      <c r="H1051" s="11" t="s">
        <v>4302</v>
      </c>
      <c r="I1051" s="97">
        <v>7.97852805E9</v>
      </c>
      <c r="J1051" s="11" t="s">
        <v>25</v>
      </c>
      <c r="K1051" s="12"/>
      <c r="L1051" s="13"/>
      <c r="M1051" s="11" t="s">
        <v>4303</v>
      </c>
      <c r="N1051" s="15"/>
      <c r="O1051" s="5" t="s">
        <v>34</v>
      </c>
      <c r="P1051" s="5" t="s">
        <v>1155</v>
      </c>
      <c r="Q1051" s="15"/>
      <c r="R1051" s="16" t="s">
        <v>248</v>
      </c>
      <c r="S1051" s="15"/>
      <c r="T1051" s="15"/>
      <c r="U1051" s="15"/>
      <c r="V1051" s="15"/>
      <c r="W1051" s="15"/>
      <c r="X1051" s="15"/>
      <c r="Y1051" s="15"/>
      <c r="Z1051" s="15"/>
      <c r="AA1051" s="15"/>
    </row>
    <row r="1052">
      <c r="A1052" s="5" t="s">
        <v>4284</v>
      </c>
      <c r="B1052" s="6" t="s">
        <v>4304</v>
      </c>
      <c r="C1052" s="40" t="s">
        <v>4305</v>
      </c>
      <c r="D1052" s="8"/>
      <c r="E1052" s="8" t="s">
        <v>152</v>
      </c>
      <c r="F1052" s="90">
        <v>300.0</v>
      </c>
      <c r="G1052" s="97"/>
      <c r="H1052" s="11" t="s">
        <v>278</v>
      </c>
      <c r="I1052" s="97">
        <v>9.465960366E9</v>
      </c>
      <c r="J1052" s="11" t="s">
        <v>25</v>
      </c>
      <c r="K1052" s="12"/>
      <c r="L1052" s="13"/>
      <c r="M1052" s="14"/>
      <c r="N1052" s="15"/>
      <c r="O1052" s="5" t="s">
        <v>34</v>
      </c>
      <c r="P1052" s="5" t="s">
        <v>4306</v>
      </c>
      <c r="Q1052" s="5" t="s">
        <v>1751</v>
      </c>
      <c r="R1052" s="16" t="s">
        <v>28</v>
      </c>
      <c r="S1052" s="15"/>
      <c r="T1052" s="15"/>
      <c r="U1052" s="15"/>
      <c r="V1052" s="15"/>
      <c r="W1052" s="15"/>
      <c r="X1052" s="15"/>
      <c r="Y1052" s="15"/>
      <c r="Z1052" s="15"/>
      <c r="AA1052" s="15"/>
    </row>
    <row r="1053">
      <c r="A1053" s="5" t="s">
        <v>4284</v>
      </c>
      <c r="B1053" s="6" t="s">
        <v>4307</v>
      </c>
      <c r="C1053" s="40" t="s">
        <v>4308</v>
      </c>
      <c r="D1053" s="8"/>
      <c r="E1053" s="8" t="s">
        <v>4309</v>
      </c>
      <c r="F1053" s="90">
        <v>1000.0</v>
      </c>
      <c r="G1053" s="97" t="s">
        <v>4310</v>
      </c>
      <c r="H1053" s="11" t="s">
        <v>4311</v>
      </c>
      <c r="I1053" s="97" t="s">
        <v>4312</v>
      </c>
      <c r="J1053" s="11" t="s">
        <v>25</v>
      </c>
      <c r="K1053" s="12"/>
      <c r="L1053" s="13"/>
      <c r="M1053" s="14"/>
      <c r="N1053" s="15"/>
      <c r="O1053" s="5" t="s">
        <v>108</v>
      </c>
      <c r="P1053" s="5"/>
      <c r="Q1053" s="15"/>
      <c r="R1053" s="16" t="s">
        <v>28</v>
      </c>
      <c r="S1053" s="15"/>
      <c r="T1053" s="15"/>
      <c r="U1053" s="15"/>
      <c r="V1053" s="15"/>
      <c r="W1053" s="15"/>
      <c r="X1053" s="15"/>
      <c r="Y1053" s="15"/>
      <c r="Z1053" s="15"/>
      <c r="AA1053" s="15"/>
    </row>
    <row r="1054">
      <c r="A1054" s="5" t="s">
        <v>4284</v>
      </c>
      <c r="B1054" s="6" t="s">
        <v>4313</v>
      </c>
      <c r="C1054" s="40" t="s">
        <v>4314</v>
      </c>
      <c r="D1054" s="8"/>
      <c r="E1054" s="8" t="s">
        <v>4315</v>
      </c>
      <c r="F1054" s="90">
        <v>1000.0</v>
      </c>
      <c r="G1054" s="97" t="s">
        <v>4316</v>
      </c>
      <c r="H1054" s="11" t="s">
        <v>4317</v>
      </c>
      <c r="I1054" s="97">
        <v>9.425320205E9</v>
      </c>
      <c r="J1054" s="11" t="s">
        <v>25</v>
      </c>
      <c r="K1054" s="12"/>
      <c r="L1054" s="13"/>
      <c r="M1054" s="14"/>
      <c r="N1054" s="15"/>
      <c r="O1054" s="5" t="s">
        <v>108</v>
      </c>
      <c r="P1054" s="5"/>
      <c r="Q1054" s="15"/>
      <c r="R1054" s="16" t="s">
        <v>28</v>
      </c>
      <c r="S1054" s="15"/>
      <c r="T1054" s="15"/>
      <c r="U1054" s="15"/>
      <c r="V1054" s="15"/>
      <c r="W1054" s="15"/>
      <c r="X1054" s="15"/>
      <c r="Y1054" s="15"/>
      <c r="Z1054" s="15"/>
      <c r="AA1054" s="15"/>
    </row>
    <row r="1055">
      <c r="A1055" s="5" t="s">
        <v>4284</v>
      </c>
      <c r="B1055" s="6" t="s">
        <v>4318</v>
      </c>
      <c r="C1055" s="40" t="s">
        <v>4319</v>
      </c>
      <c r="D1055" s="8"/>
      <c r="E1055" s="8" t="s">
        <v>1000</v>
      </c>
      <c r="F1055" s="90">
        <v>20000.0</v>
      </c>
      <c r="G1055" s="97"/>
      <c r="H1055" s="11" t="s">
        <v>4320</v>
      </c>
      <c r="I1055" s="97">
        <v>9.435733419E9</v>
      </c>
      <c r="J1055" s="11" t="s">
        <v>25</v>
      </c>
      <c r="K1055" s="12" t="s">
        <v>3162</v>
      </c>
      <c r="L1055" s="13"/>
      <c r="M1055" s="14"/>
      <c r="N1055" s="15"/>
      <c r="O1055" s="5" t="s">
        <v>564</v>
      </c>
      <c r="P1055" s="5"/>
      <c r="Q1055" s="15"/>
      <c r="R1055" s="16" t="s">
        <v>28</v>
      </c>
      <c r="S1055" s="15"/>
      <c r="T1055" s="15"/>
      <c r="U1055" s="15"/>
      <c r="V1055" s="15"/>
      <c r="W1055" s="15"/>
      <c r="X1055" s="15"/>
      <c r="Y1055" s="15"/>
      <c r="Z1055" s="15"/>
      <c r="AA1055" s="15"/>
    </row>
    <row r="1056">
      <c r="A1056" s="5" t="s">
        <v>4284</v>
      </c>
      <c r="B1056" s="6" t="s">
        <v>4321</v>
      </c>
      <c r="C1056" s="40" t="s">
        <v>4322</v>
      </c>
      <c r="D1056" s="8"/>
      <c r="E1056" s="8" t="s">
        <v>4323</v>
      </c>
      <c r="F1056" s="90">
        <v>1000.0</v>
      </c>
      <c r="G1056" s="97" t="s">
        <v>4324</v>
      </c>
      <c r="H1056" s="11" t="s">
        <v>906</v>
      </c>
      <c r="I1056" s="97">
        <v>9.082014147E9</v>
      </c>
      <c r="J1056" s="11" t="s">
        <v>25</v>
      </c>
      <c r="K1056" s="12"/>
      <c r="L1056" s="13"/>
      <c r="M1056" s="14"/>
      <c r="N1056" s="15"/>
      <c r="O1056" s="5" t="s">
        <v>108</v>
      </c>
      <c r="P1056" s="5" t="s">
        <v>4325</v>
      </c>
      <c r="Q1056" s="15"/>
      <c r="R1056" s="16" t="s">
        <v>28</v>
      </c>
      <c r="S1056" s="15"/>
      <c r="T1056" s="15"/>
      <c r="U1056" s="15"/>
      <c r="V1056" s="15"/>
      <c r="W1056" s="15"/>
      <c r="X1056" s="15"/>
      <c r="Y1056" s="15"/>
      <c r="Z1056" s="15"/>
      <c r="AA1056" s="15"/>
    </row>
    <row r="1057">
      <c r="A1057" s="5" t="s">
        <v>4284</v>
      </c>
      <c r="B1057" s="6" t="s">
        <v>4326</v>
      </c>
      <c r="C1057" s="121" t="s">
        <v>4327</v>
      </c>
      <c r="D1057" s="122"/>
      <c r="E1057" s="122" t="s">
        <v>794</v>
      </c>
      <c r="F1057" s="90">
        <v>1000.0</v>
      </c>
      <c r="G1057" s="97" t="s">
        <v>4328</v>
      </c>
      <c r="H1057" s="11" t="s">
        <v>44</v>
      </c>
      <c r="I1057" s="97">
        <v>7.044369306E9</v>
      </c>
      <c r="J1057" s="11" t="s">
        <v>25</v>
      </c>
      <c r="K1057" s="12"/>
      <c r="L1057" s="13"/>
      <c r="M1057" s="14"/>
      <c r="N1057" s="15"/>
      <c r="O1057" s="5" t="s">
        <v>564</v>
      </c>
      <c r="P1057" s="5"/>
      <c r="Q1057" s="15"/>
      <c r="R1057" s="16" t="s">
        <v>28</v>
      </c>
      <c r="S1057" s="15"/>
      <c r="T1057" s="15"/>
      <c r="U1057" s="15"/>
      <c r="V1057" s="15"/>
      <c r="W1057" s="15"/>
      <c r="X1057" s="15"/>
      <c r="Y1057" s="15"/>
      <c r="Z1057" s="15"/>
      <c r="AA1057" s="15"/>
    </row>
    <row r="1058">
      <c r="A1058" s="5" t="s">
        <v>4284</v>
      </c>
      <c r="B1058" s="6" t="s">
        <v>4329</v>
      </c>
      <c r="C1058" s="40" t="s">
        <v>4330</v>
      </c>
      <c r="D1058" s="8"/>
      <c r="E1058" s="8" t="s">
        <v>152</v>
      </c>
      <c r="F1058" s="90">
        <v>1000.0</v>
      </c>
      <c r="G1058" s="97" t="s">
        <v>4331</v>
      </c>
      <c r="H1058" s="11" t="s">
        <v>906</v>
      </c>
      <c r="I1058" s="97">
        <v>9.082372815E9</v>
      </c>
      <c r="J1058" s="11" t="s">
        <v>25</v>
      </c>
      <c r="K1058" s="12"/>
      <c r="L1058" s="13"/>
      <c r="M1058" s="14"/>
      <c r="N1058" s="15"/>
      <c r="O1058" s="5" t="s">
        <v>108</v>
      </c>
      <c r="P1058" s="5" t="s">
        <v>4332</v>
      </c>
      <c r="Q1058" s="15"/>
      <c r="R1058" s="16" t="s">
        <v>28</v>
      </c>
      <c r="S1058" s="15"/>
      <c r="T1058" s="15"/>
      <c r="U1058" s="15"/>
      <c r="V1058" s="15"/>
      <c r="W1058" s="15"/>
      <c r="X1058" s="15"/>
      <c r="Y1058" s="15"/>
      <c r="Z1058" s="15"/>
      <c r="AA1058" s="15"/>
    </row>
    <row r="1059">
      <c r="A1059" s="5" t="s">
        <v>4284</v>
      </c>
      <c r="B1059" s="6" t="s">
        <v>4333</v>
      </c>
      <c r="C1059" s="40" t="s">
        <v>4334</v>
      </c>
      <c r="D1059" s="8"/>
      <c r="E1059" s="8" t="s">
        <v>3741</v>
      </c>
      <c r="F1059" s="90">
        <v>10000.0</v>
      </c>
      <c r="G1059" s="97" t="s">
        <v>4335</v>
      </c>
      <c r="H1059" s="11" t="s">
        <v>4142</v>
      </c>
      <c r="I1059" s="97">
        <v>7.015525398E9</v>
      </c>
      <c r="J1059" s="11" t="s">
        <v>25</v>
      </c>
      <c r="K1059" s="12"/>
      <c r="L1059" s="13"/>
      <c r="M1059" s="14"/>
      <c r="N1059" s="15"/>
      <c r="O1059" s="5" t="s">
        <v>108</v>
      </c>
      <c r="P1059" s="5" t="s">
        <v>0</v>
      </c>
      <c r="Q1059" s="15"/>
      <c r="R1059" s="16" t="s">
        <v>28</v>
      </c>
      <c r="S1059" s="15"/>
      <c r="T1059" s="15"/>
      <c r="U1059" s="15"/>
      <c r="V1059" s="15"/>
      <c r="W1059" s="15"/>
      <c r="X1059" s="15"/>
      <c r="Y1059" s="15"/>
      <c r="Z1059" s="15"/>
      <c r="AA1059" s="15"/>
    </row>
    <row r="1060">
      <c r="A1060" s="5" t="s">
        <v>4284</v>
      </c>
      <c r="B1060" s="6" t="s">
        <v>4336</v>
      </c>
      <c r="C1060" s="40" t="s">
        <v>4337</v>
      </c>
      <c r="D1060" s="8"/>
      <c r="E1060" s="8" t="s">
        <v>152</v>
      </c>
      <c r="F1060" s="90">
        <v>1000.0</v>
      </c>
      <c r="G1060" s="97" t="s">
        <v>4338</v>
      </c>
      <c r="H1060" s="11" t="s">
        <v>4339</v>
      </c>
      <c r="I1060" s="97">
        <v>6.29657771E9</v>
      </c>
      <c r="J1060" s="11" t="s">
        <v>4008</v>
      </c>
      <c r="K1060" s="12"/>
      <c r="L1060" s="13"/>
      <c r="M1060" s="14"/>
      <c r="N1060" s="15"/>
      <c r="O1060" s="5" t="s">
        <v>34</v>
      </c>
      <c r="P1060" s="5" t="s">
        <v>777</v>
      </c>
      <c r="Q1060" s="15"/>
      <c r="R1060" s="16" t="s">
        <v>723</v>
      </c>
      <c r="S1060" s="15"/>
      <c r="T1060" s="15"/>
      <c r="U1060" s="15"/>
      <c r="V1060" s="15"/>
      <c r="W1060" s="15"/>
      <c r="X1060" s="15"/>
      <c r="Y1060" s="15"/>
      <c r="Z1060" s="15"/>
      <c r="AA1060" s="15"/>
    </row>
    <row r="1061">
      <c r="A1061" s="5" t="s">
        <v>4284</v>
      </c>
      <c r="B1061" s="6" t="s">
        <v>4340</v>
      </c>
      <c r="C1061" s="40" t="s">
        <v>4015</v>
      </c>
      <c r="D1061" s="8"/>
      <c r="E1061" s="8" t="s">
        <v>152</v>
      </c>
      <c r="F1061" s="90">
        <v>1000.0</v>
      </c>
      <c r="G1061" s="97" t="s">
        <v>4341</v>
      </c>
      <c r="H1061" s="11" t="s">
        <v>78</v>
      </c>
      <c r="I1061" s="97">
        <v>9.279474725E9</v>
      </c>
      <c r="J1061" s="11" t="s">
        <v>25</v>
      </c>
      <c r="K1061" s="12"/>
      <c r="L1061" s="13"/>
      <c r="M1061" s="14"/>
      <c r="N1061" s="15"/>
      <c r="O1061" s="5" t="s">
        <v>34</v>
      </c>
      <c r="P1061" s="5" t="s">
        <v>727</v>
      </c>
      <c r="Q1061" s="15"/>
      <c r="R1061" s="16" t="s">
        <v>28</v>
      </c>
      <c r="S1061" s="15"/>
      <c r="T1061" s="15"/>
      <c r="U1061" s="15"/>
      <c r="V1061" s="15"/>
      <c r="W1061" s="15"/>
      <c r="X1061" s="15"/>
      <c r="Y1061" s="15"/>
      <c r="Z1061" s="15"/>
      <c r="AA1061" s="15"/>
    </row>
    <row r="1062">
      <c r="A1062" s="5" t="s">
        <v>4284</v>
      </c>
      <c r="B1062" s="6" t="s">
        <v>4342</v>
      </c>
      <c r="C1062" s="40" t="s">
        <v>4343</v>
      </c>
      <c r="D1062" s="8"/>
      <c r="E1062" s="8" t="s">
        <v>152</v>
      </c>
      <c r="F1062" s="90">
        <v>25000.0</v>
      </c>
      <c r="G1062" s="97" t="s">
        <v>4344</v>
      </c>
      <c r="H1062" s="11" t="s">
        <v>4345</v>
      </c>
      <c r="I1062" s="97">
        <v>8.169579046E9</v>
      </c>
      <c r="J1062" s="11" t="s">
        <v>25</v>
      </c>
      <c r="K1062" s="12"/>
      <c r="L1062" s="13"/>
      <c r="M1062" s="14"/>
      <c r="N1062" s="15"/>
      <c r="O1062" s="5" t="s">
        <v>108</v>
      </c>
      <c r="P1062" s="5"/>
      <c r="Q1062" s="15"/>
      <c r="R1062" s="16" t="s">
        <v>28</v>
      </c>
      <c r="S1062" s="15"/>
      <c r="T1062" s="15"/>
      <c r="U1062" s="15"/>
      <c r="V1062" s="15"/>
      <c r="W1062" s="15"/>
      <c r="X1062" s="15"/>
      <c r="Y1062" s="15"/>
      <c r="Z1062" s="15"/>
      <c r="AA1062" s="15"/>
    </row>
    <row r="1063">
      <c r="A1063" s="5" t="s">
        <v>4284</v>
      </c>
      <c r="B1063" s="6" t="s">
        <v>4346</v>
      </c>
      <c r="C1063" s="40" t="s">
        <v>4347</v>
      </c>
      <c r="D1063" s="8"/>
      <c r="E1063" s="8" t="s">
        <v>4348</v>
      </c>
      <c r="F1063" s="90">
        <v>25000.0</v>
      </c>
      <c r="G1063" s="97"/>
      <c r="H1063" s="11" t="s">
        <v>44</v>
      </c>
      <c r="I1063" s="97">
        <v>9.123791659E9</v>
      </c>
      <c r="J1063" s="11" t="s">
        <v>25</v>
      </c>
      <c r="K1063" s="12"/>
      <c r="L1063" s="13"/>
      <c r="M1063" s="11" t="s">
        <v>4349</v>
      </c>
      <c r="N1063" s="15"/>
      <c r="O1063" s="5" t="s">
        <v>34</v>
      </c>
      <c r="P1063" s="5" t="s">
        <v>4350</v>
      </c>
      <c r="Q1063" s="5" t="s">
        <v>727</v>
      </c>
      <c r="R1063" s="16" t="s">
        <v>28</v>
      </c>
      <c r="S1063" s="15"/>
      <c r="T1063" s="15"/>
      <c r="U1063" s="15"/>
      <c r="V1063" s="15"/>
      <c r="W1063" s="15"/>
      <c r="X1063" s="15"/>
      <c r="Y1063" s="15"/>
      <c r="Z1063" s="15"/>
      <c r="AA1063" s="15"/>
    </row>
    <row r="1064">
      <c r="A1064" s="5" t="s">
        <v>4351</v>
      </c>
      <c r="B1064" s="6" t="s">
        <v>4352</v>
      </c>
      <c r="C1064" s="40" t="s">
        <v>4353</v>
      </c>
      <c r="D1064" s="8"/>
      <c r="E1064" s="8" t="s">
        <v>1352</v>
      </c>
      <c r="F1064" s="90">
        <v>2000.0</v>
      </c>
      <c r="G1064" s="97"/>
      <c r="H1064" s="11" t="s">
        <v>1691</v>
      </c>
      <c r="I1064" s="97">
        <v>7.90830212E9</v>
      </c>
      <c r="J1064" s="11" t="s">
        <v>25</v>
      </c>
      <c r="K1064" s="12"/>
      <c r="L1064" s="13"/>
      <c r="M1064" s="14"/>
      <c r="N1064" s="15"/>
      <c r="O1064" s="5" t="s">
        <v>26</v>
      </c>
      <c r="P1064" s="5"/>
      <c r="Q1064" s="15"/>
      <c r="R1064" s="16" t="s">
        <v>28</v>
      </c>
      <c r="S1064" s="15"/>
      <c r="T1064" s="15"/>
      <c r="U1064" s="15"/>
      <c r="V1064" s="15"/>
      <c r="W1064" s="15"/>
      <c r="X1064" s="15"/>
      <c r="Y1064" s="15"/>
      <c r="Z1064" s="15"/>
      <c r="AA1064" s="15"/>
    </row>
    <row r="1065">
      <c r="A1065" s="5" t="s">
        <v>4351</v>
      </c>
      <c r="B1065" s="6" t="s">
        <v>4354</v>
      </c>
      <c r="C1065" s="40" t="s">
        <v>4355</v>
      </c>
      <c r="D1065" s="8"/>
      <c r="E1065" s="8" t="s">
        <v>4356</v>
      </c>
      <c r="F1065" s="9">
        <v>10000.0</v>
      </c>
      <c r="G1065" s="120" t="s">
        <v>4357</v>
      </c>
      <c r="H1065" s="11" t="s">
        <v>44</v>
      </c>
      <c r="I1065" s="97">
        <v>9.831116077E9</v>
      </c>
      <c r="J1065" s="11" t="s">
        <v>25</v>
      </c>
      <c r="K1065" s="12" t="s">
        <v>4358</v>
      </c>
      <c r="L1065" s="13"/>
      <c r="M1065" s="14"/>
      <c r="N1065" s="15"/>
      <c r="O1065" s="5" t="s">
        <v>26</v>
      </c>
      <c r="P1065" s="5"/>
      <c r="Q1065" s="15"/>
      <c r="R1065" s="16" t="s">
        <v>28</v>
      </c>
      <c r="S1065" s="15"/>
      <c r="T1065" s="15"/>
      <c r="U1065" s="15"/>
      <c r="V1065" s="15"/>
      <c r="W1065" s="15"/>
      <c r="X1065" s="15"/>
      <c r="Y1065" s="15"/>
      <c r="Z1065" s="15"/>
      <c r="AA1065" s="15"/>
    </row>
    <row r="1066">
      <c r="A1066" s="5" t="s">
        <v>4351</v>
      </c>
      <c r="B1066" s="6" t="s">
        <v>4359</v>
      </c>
      <c r="C1066" s="40" t="s">
        <v>4360</v>
      </c>
      <c r="D1066" s="8"/>
      <c r="E1066" s="8" t="s">
        <v>152</v>
      </c>
      <c r="F1066" s="90">
        <v>500.0</v>
      </c>
      <c r="G1066" s="120" t="s">
        <v>4361</v>
      </c>
      <c r="H1066" s="11" t="s">
        <v>44</v>
      </c>
      <c r="I1066" s="97">
        <v>8.076167787E9</v>
      </c>
      <c r="J1066" s="11" t="s">
        <v>25</v>
      </c>
      <c r="K1066" s="12"/>
      <c r="L1066" s="13"/>
      <c r="M1066" s="14"/>
      <c r="N1066" s="15"/>
      <c r="O1066" s="5" t="s">
        <v>26</v>
      </c>
      <c r="P1066" s="5"/>
      <c r="Q1066" s="15"/>
      <c r="R1066" s="16" t="s">
        <v>28</v>
      </c>
      <c r="S1066" s="15"/>
      <c r="T1066" s="15"/>
      <c r="U1066" s="15"/>
      <c r="V1066" s="15"/>
      <c r="W1066" s="15"/>
      <c r="X1066" s="15"/>
      <c r="Y1066" s="15"/>
      <c r="Z1066" s="15"/>
      <c r="AA1066" s="15"/>
    </row>
    <row r="1067">
      <c r="A1067" s="5" t="s">
        <v>4351</v>
      </c>
      <c r="B1067" s="6" t="s">
        <v>4362</v>
      </c>
      <c r="C1067" s="40" t="s">
        <v>4363</v>
      </c>
      <c r="D1067" s="8"/>
      <c r="E1067" s="8" t="s">
        <v>222</v>
      </c>
      <c r="F1067" s="90">
        <v>3000.0</v>
      </c>
      <c r="G1067" s="120" t="s">
        <v>4364</v>
      </c>
      <c r="H1067" s="11" t="s">
        <v>44</v>
      </c>
      <c r="I1067" s="97">
        <v>9.831422345E9</v>
      </c>
      <c r="J1067" s="11" t="s">
        <v>25</v>
      </c>
      <c r="K1067" s="12"/>
      <c r="L1067" s="13"/>
      <c r="M1067" s="11" t="s">
        <v>4365</v>
      </c>
      <c r="N1067" s="15"/>
      <c r="O1067" s="5" t="s">
        <v>34</v>
      </c>
      <c r="P1067" s="5" t="s">
        <v>4366</v>
      </c>
      <c r="Q1067" s="15"/>
      <c r="R1067" s="16" t="s">
        <v>634</v>
      </c>
      <c r="S1067" s="15"/>
      <c r="T1067" s="15"/>
      <c r="U1067" s="15"/>
      <c r="V1067" s="15"/>
      <c r="W1067" s="15"/>
      <c r="X1067" s="15"/>
      <c r="Y1067" s="15"/>
      <c r="Z1067" s="15"/>
      <c r="AA1067" s="15"/>
    </row>
    <row r="1068">
      <c r="A1068" s="5" t="s">
        <v>4367</v>
      </c>
      <c r="B1068" s="6" t="s">
        <v>4368</v>
      </c>
      <c r="C1068" s="40" t="s">
        <v>4369</v>
      </c>
      <c r="D1068" s="8"/>
      <c r="E1068" s="8" t="s">
        <v>189</v>
      </c>
      <c r="F1068" s="90">
        <v>5000.0</v>
      </c>
      <c r="G1068" s="123"/>
      <c r="H1068" s="11" t="s">
        <v>1691</v>
      </c>
      <c r="I1068" s="97">
        <v>9.641675594E9</v>
      </c>
      <c r="J1068" s="11" t="s">
        <v>25</v>
      </c>
      <c r="K1068" s="12"/>
      <c r="L1068" s="13"/>
      <c r="M1068" s="14"/>
      <c r="N1068" s="15"/>
      <c r="O1068" s="5" t="s">
        <v>564</v>
      </c>
      <c r="P1068" s="5"/>
      <c r="Q1068" s="15"/>
      <c r="R1068" s="16" t="s">
        <v>28</v>
      </c>
      <c r="S1068" s="15"/>
      <c r="T1068" s="15"/>
      <c r="U1068" s="15"/>
      <c r="V1068" s="15"/>
      <c r="W1068" s="15"/>
      <c r="X1068" s="15"/>
      <c r="Y1068" s="15"/>
      <c r="Z1068" s="15"/>
      <c r="AA1068" s="15"/>
    </row>
    <row r="1069">
      <c r="A1069" s="5" t="s">
        <v>4367</v>
      </c>
      <c r="B1069" s="6" t="s">
        <v>4370</v>
      </c>
      <c r="C1069" s="40" t="s">
        <v>4371</v>
      </c>
      <c r="D1069" s="8"/>
      <c r="E1069" s="8" t="s">
        <v>1910</v>
      </c>
      <c r="F1069" s="90">
        <v>25000.0</v>
      </c>
      <c r="G1069" s="97"/>
      <c r="H1069" s="11" t="s">
        <v>44</v>
      </c>
      <c r="I1069" s="97">
        <v>8.777269596E9</v>
      </c>
      <c r="J1069" s="11" t="s">
        <v>25</v>
      </c>
      <c r="K1069" s="12"/>
      <c r="L1069" s="13"/>
      <c r="M1069" s="14"/>
      <c r="N1069" s="15"/>
      <c r="O1069" s="5" t="s">
        <v>564</v>
      </c>
      <c r="P1069" s="5"/>
      <c r="Q1069" s="15"/>
      <c r="R1069" s="16" t="s">
        <v>28</v>
      </c>
      <c r="S1069" s="15"/>
      <c r="T1069" s="15"/>
      <c r="U1069" s="15"/>
      <c r="V1069" s="15"/>
      <c r="W1069" s="15"/>
      <c r="X1069" s="15"/>
      <c r="Y1069" s="15"/>
      <c r="Z1069" s="15"/>
      <c r="AA1069" s="15"/>
    </row>
    <row r="1070">
      <c r="A1070" s="5" t="s">
        <v>4367</v>
      </c>
      <c r="B1070" s="6" t="s">
        <v>4372</v>
      </c>
      <c r="C1070" s="40" t="s">
        <v>4373</v>
      </c>
      <c r="D1070" s="8"/>
      <c r="E1070" s="8" t="s">
        <v>53</v>
      </c>
      <c r="F1070" s="90">
        <v>10000.0</v>
      </c>
      <c r="G1070" s="97" t="s">
        <v>4374</v>
      </c>
      <c r="H1070" s="11" t="s">
        <v>4375</v>
      </c>
      <c r="I1070" s="97">
        <v>7.499559499E9</v>
      </c>
      <c r="J1070" s="11" t="s">
        <v>25</v>
      </c>
      <c r="K1070" s="12"/>
      <c r="L1070" s="13"/>
      <c r="M1070" s="14"/>
      <c r="N1070" s="15"/>
      <c r="O1070" s="5" t="s">
        <v>108</v>
      </c>
      <c r="P1070" s="5" t="s">
        <v>4376</v>
      </c>
      <c r="Q1070" s="15"/>
      <c r="R1070" s="16" t="s">
        <v>28</v>
      </c>
      <c r="S1070" s="15"/>
      <c r="T1070" s="15"/>
      <c r="U1070" s="15"/>
      <c r="V1070" s="15"/>
      <c r="W1070" s="15"/>
      <c r="X1070" s="15"/>
      <c r="Y1070" s="15"/>
      <c r="Z1070" s="15"/>
      <c r="AA1070" s="15"/>
    </row>
    <row r="1071">
      <c r="A1071" s="5" t="s">
        <v>4367</v>
      </c>
      <c r="B1071" s="6" t="s">
        <v>4377</v>
      </c>
      <c r="C1071" s="40" t="s">
        <v>4378</v>
      </c>
      <c r="D1071" s="8"/>
      <c r="E1071" s="8" t="s">
        <v>4379</v>
      </c>
      <c r="F1071" s="90">
        <v>500.0</v>
      </c>
      <c r="G1071" s="97" t="s">
        <v>4380</v>
      </c>
      <c r="H1071" s="11" t="s">
        <v>4381</v>
      </c>
      <c r="I1071" s="97">
        <v>9.821182167E9</v>
      </c>
      <c r="J1071" s="11" t="s">
        <v>25</v>
      </c>
      <c r="K1071" s="12"/>
      <c r="L1071" s="13"/>
      <c r="M1071" s="14"/>
      <c r="N1071" s="15"/>
      <c r="O1071" s="5" t="s">
        <v>108</v>
      </c>
      <c r="P1071" s="5" t="s">
        <v>4382</v>
      </c>
      <c r="Q1071" s="15"/>
      <c r="R1071" s="16" t="s">
        <v>28</v>
      </c>
      <c r="S1071" s="15"/>
      <c r="T1071" s="15"/>
      <c r="U1071" s="15"/>
      <c r="V1071" s="15"/>
      <c r="W1071" s="15"/>
      <c r="X1071" s="15"/>
      <c r="Y1071" s="15"/>
      <c r="Z1071" s="15"/>
      <c r="AA1071" s="15"/>
    </row>
    <row r="1072">
      <c r="A1072" s="5" t="s">
        <v>4367</v>
      </c>
      <c r="B1072" s="6" t="s">
        <v>4383</v>
      </c>
      <c r="C1072" s="40" t="s">
        <v>4384</v>
      </c>
      <c r="D1072" s="8"/>
      <c r="E1072" s="8" t="s">
        <v>344</v>
      </c>
      <c r="F1072" s="90">
        <v>1000.0</v>
      </c>
      <c r="G1072" s="97" t="s">
        <v>4385</v>
      </c>
      <c r="H1072" s="11" t="s">
        <v>44</v>
      </c>
      <c r="I1072" s="97">
        <v>9.830027317E9</v>
      </c>
      <c r="J1072" s="11" t="s">
        <v>25</v>
      </c>
      <c r="K1072" s="12"/>
      <c r="L1072" s="13"/>
      <c r="M1072" s="14"/>
      <c r="N1072" s="15"/>
      <c r="O1072" s="5" t="s">
        <v>564</v>
      </c>
      <c r="P1072" s="5"/>
      <c r="Q1072" s="15"/>
      <c r="R1072" s="16" t="s">
        <v>28</v>
      </c>
      <c r="S1072" s="15"/>
      <c r="T1072" s="15"/>
      <c r="U1072" s="15"/>
      <c r="V1072" s="15"/>
      <c r="W1072" s="15"/>
      <c r="X1072" s="15"/>
      <c r="Y1072" s="15"/>
      <c r="Z1072" s="15"/>
      <c r="AA1072" s="15"/>
    </row>
    <row r="1073">
      <c r="A1073" s="5" t="s">
        <v>4367</v>
      </c>
      <c r="B1073" s="6" t="s">
        <v>4386</v>
      </c>
      <c r="C1073" s="40" t="s">
        <v>1115</v>
      </c>
      <c r="D1073" s="8"/>
      <c r="E1073" s="8" t="s">
        <v>4387</v>
      </c>
      <c r="F1073" s="90">
        <v>20000.0</v>
      </c>
      <c r="G1073" s="97" t="s">
        <v>4388</v>
      </c>
      <c r="H1073" s="11" t="s">
        <v>4389</v>
      </c>
      <c r="I1073" s="97">
        <v>7.381011181E9</v>
      </c>
      <c r="J1073" s="11" t="s">
        <v>25</v>
      </c>
      <c r="K1073" s="12"/>
      <c r="L1073" s="13"/>
      <c r="M1073" s="14"/>
      <c r="N1073" s="15"/>
      <c r="O1073" s="5" t="s">
        <v>34</v>
      </c>
      <c r="P1073" s="5" t="s">
        <v>4390</v>
      </c>
      <c r="Q1073" s="15"/>
      <c r="R1073" s="16" t="s">
        <v>723</v>
      </c>
      <c r="S1073" s="15"/>
      <c r="T1073" s="15"/>
      <c r="U1073" s="15"/>
      <c r="V1073" s="15"/>
      <c r="W1073" s="15"/>
      <c r="X1073" s="15"/>
      <c r="Y1073" s="15"/>
      <c r="Z1073" s="15"/>
      <c r="AA1073" s="15"/>
    </row>
    <row r="1074">
      <c r="A1074" s="5" t="s">
        <v>4367</v>
      </c>
      <c r="B1074" s="6" t="s">
        <v>4391</v>
      </c>
      <c r="C1074" s="40" t="s">
        <v>4392</v>
      </c>
      <c r="D1074" s="8"/>
      <c r="E1074" s="8" t="s">
        <v>178</v>
      </c>
      <c r="F1074" s="90">
        <v>2500.0</v>
      </c>
      <c r="G1074" s="97" t="s">
        <v>4393</v>
      </c>
      <c r="H1074" s="11" t="s">
        <v>4394</v>
      </c>
      <c r="I1074" s="97">
        <v>6.290087386E9</v>
      </c>
      <c r="J1074" s="11" t="s">
        <v>25</v>
      </c>
      <c r="K1074" s="12"/>
      <c r="L1074" s="13"/>
      <c r="M1074" s="12" t="s">
        <v>3044</v>
      </c>
      <c r="N1074" s="15"/>
      <c r="O1074" s="5" t="s">
        <v>34</v>
      </c>
      <c r="P1074" s="5" t="s">
        <v>4395</v>
      </c>
      <c r="Q1074" s="15"/>
      <c r="R1074" s="16" t="s">
        <v>723</v>
      </c>
      <c r="S1074" s="15"/>
      <c r="T1074" s="15"/>
      <c r="U1074" s="15"/>
      <c r="V1074" s="15"/>
      <c r="W1074" s="15"/>
      <c r="X1074" s="15"/>
      <c r="Y1074" s="15"/>
      <c r="Z1074" s="15"/>
      <c r="AA1074" s="15"/>
    </row>
    <row r="1075">
      <c r="A1075" s="5" t="s">
        <v>4396</v>
      </c>
      <c r="B1075" s="6" t="s">
        <v>4397</v>
      </c>
      <c r="C1075" s="40" t="s">
        <v>4398</v>
      </c>
      <c r="D1075" s="8"/>
      <c r="E1075" s="8" t="s">
        <v>2429</v>
      </c>
      <c r="F1075" s="90">
        <v>500.0</v>
      </c>
      <c r="G1075" s="97" t="s">
        <v>4399</v>
      </c>
      <c r="H1075" s="11" t="s">
        <v>4400</v>
      </c>
      <c r="I1075" s="97">
        <v>9.322711488E9</v>
      </c>
      <c r="J1075" s="11" t="s">
        <v>25</v>
      </c>
      <c r="K1075" s="12"/>
      <c r="L1075" s="13"/>
      <c r="M1075" s="14"/>
      <c r="N1075" s="15"/>
      <c r="O1075" s="5" t="s">
        <v>108</v>
      </c>
      <c r="P1075" s="5"/>
      <c r="Q1075" s="15"/>
      <c r="R1075" s="16" t="s">
        <v>28</v>
      </c>
      <c r="S1075" s="15"/>
      <c r="T1075" s="15"/>
      <c r="U1075" s="15"/>
      <c r="V1075" s="15"/>
      <c r="W1075" s="15"/>
      <c r="X1075" s="15"/>
      <c r="Y1075" s="15"/>
      <c r="Z1075" s="15"/>
      <c r="AA1075" s="15"/>
    </row>
    <row r="1076">
      <c r="A1076" s="5" t="s">
        <v>4396</v>
      </c>
      <c r="B1076" s="6" t="s">
        <v>4401</v>
      </c>
      <c r="C1076" s="40" t="s">
        <v>4369</v>
      </c>
      <c r="D1076" s="8"/>
      <c r="E1076" s="8" t="s">
        <v>189</v>
      </c>
      <c r="F1076" s="90">
        <v>5000.0</v>
      </c>
      <c r="G1076" s="97"/>
      <c r="H1076" s="11" t="s">
        <v>1691</v>
      </c>
      <c r="I1076" s="97">
        <v>9.641675594E9</v>
      </c>
      <c r="J1076" s="11" t="s">
        <v>25</v>
      </c>
      <c r="K1076" s="12" t="s">
        <v>2786</v>
      </c>
      <c r="L1076" s="13"/>
      <c r="M1076" s="14"/>
      <c r="N1076" s="15"/>
      <c r="O1076" s="5" t="s">
        <v>564</v>
      </c>
      <c r="P1076" s="5"/>
      <c r="Q1076" s="15"/>
      <c r="R1076" s="16" t="s">
        <v>28</v>
      </c>
      <c r="S1076" s="15"/>
      <c r="T1076" s="15"/>
      <c r="U1076" s="15"/>
      <c r="V1076" s="15"/>
      <c r="W1076" s="15"/>
      <c r="X1076" s="15"/>
      <c r="Y1076" s="15"/>
      <c r="Z1076" s="15"/>
      <c r="AA1076" s="15"/>
    </row>
    <row r="1077">
      <c r="A1077" s="5" t="s">
        <v>4396</v>
      </c>
      <c r="B1077" s="6" t="s">
        <v>4402</v>
      </c>
      <c r="C1077" s="40" t="s">
        <v>4403</v>
      </c>
      <c r="D1077" s="8"/>
      <c r="E1077" s="8" t="s">
        <v>4296</v>
      </c>
      <c r="F1077" s="90">
        <v>1000.0</v>
      </c>
      <c r="G1077" s="97" t="s">
        <v>4404</v>
      </c>
      <c r="H1077" s="11" t="s">
        <v>4405</v>
      </c>
      <c r="I1077" s="97">
        <v>7.610333666E9</v>
      </c>
      <c r="J1077" s="11" t="s">
        <v>25</v>
      </c>
      <c r="K1077" s="12"/>
      <c r="L1077" s="13"/>
      <c r="M1077" s="12" t="s">
        <v>4406</v>
      </c>
      <c r="N1077" s="15"/>
      <c r="O1077" s="5" t="s">
        <v>1112</v>
      </c>
      <c r="P1077" s="5"/>
      <c r="Q1077" s="15"/>
      <c r="R1077" s="16" t="s">
        <v>28</v>
      </c>
      <c r="S1077" s="15"/>
      <c r="T1077" s="15"/>
      <c r="U1077" s="15"/>
      <c r="V1077" s="15"/>
      <c r="W1077" s="15"/>
      <c r="X1077" s="15"/>
      <c r="Y1077" s="15"/>
      <c r="Z1077" s="15"/>
      <c r="AA1077" s="15"/>
    </row>
    <row r="1078">
      <c r="A1078" s="5" t="s">
        <v>4396</v>
      </c>
      <c r="B1078" s="6" t="s">
        <v>4407</v>
      </c>
      <c r="C1078" s="40" t="s">
        <v>4408</v>
      </c>
      <c r="D1078" s="8"/>
      <c r="E1078" s="8" t="s">
        <v>4409</v>
      </c>
      <c r="F1078" s="90">
        <v>50000.0</v>
      </c>
      <c r="G1078" s="97" t="s">
        <v>4410</v>
      </c>
      <c r="H1078" s="11" t="s">
        <v>4411</v>
      </c>
      <c r="I1078" s="97">
        <v>7.903931916E9</v>
      </c>
      <c r="J1078" s="11" t="s">
        <v>25</v>
      </c>
      <c r="K1078" s="12"/>
      <c r="L1078" s="13"/>
      <c r="M1078" s="14"/>
      <c r="N1078" s="15"/>
      <c r="O1078" s="5" t="s">
        <v>564</v>
      </c>
      <c r="P1078" s="5"/>
      <c r="Q1078" s="15"/>
      <c r="R1078" s="16" t="s">
        <v>28</v>
      </c>
      <c r="S1078" s="15"/>
      <c r="T1078" s="15"/>
      <c r="U1078" s="15"/>
      <c r="V1078" s="15"/>
      <c r="W1078" s="15"/>
      <c r="X1078" s="15"/>
      <c r="Y1078" s="15"/>
      <c r="Z1078" s="15"/>
      <c r="AA1078" s="15"/>
    </row>
    <row r="1079">
      <c r="A1079" s="5" t="s">
        <v>4396</v>
      </c>
      <c r="B1079" s="6" t="s">
        <v>4412</v>
      </c>
      <c r="C1079" s="40" t="s">
        <v>4413</v>
      </c>
      <c r="D1079" s="8"/>
      <c r="E1079" s="8" t="s">
        <v>31</v>
      </c>
      <c r="F1079" s="90">
        <v>2000.0</v>
      </c>
      <c r="G1079" s="97" t="s">
        <v>4414</v>
      </c>
      <c r="H1079" s="11" t="s">
        <v>44</v>
      </c>
      <c r="I1079" s="97">
        <v>9.831109797E9</v>
      </c>
      <c r="J1079" s="11" t="s">
        <v>25</v>
      </c>
      <c r="K1079" s="12"/>
      <c r="L1079" s="13"/>
      <c r="M1079" s="14"/>
      <c r="N1079" s="15"/>
      <c r="O1079" s="5" t="s">
        <v>564</v>
      </c>
      <c r="P1079" s="5" t="s">
        <v>844</v>
      </c>
      <c r="Q1079" s="15"/>
      <c r="R1079" s="16" t="s">
        <v>28</v>
      </c>
      <c r="S1079" s="15"/>
      <c r="T1079" s="15"/>
      <c r="U1079" s="15"/>
      <c r="V1079" s="15"/>
      <c r="W1079" s="15"/>
      <c r="X1079" s="15"/>
      <c r="Y1079" s="15"/>
      <c r="Z1079" s="15"/>
      <c r="AA1079" s="15"/>
    </row>
    <row r="1080">
      <c r="A1080" s="5" t="s">
        <v>4415</v>
      </c>
      <c r="B1080" s="6" t="s">
        <v>4416</v>
      </c>
      <c r="C1080" s="40" t="s">
        <v>4417</v>
      </c>
      <c r="D1080" s="8"/>
      <c r="E1080" s="8" t="s">
        <v>1363</v>
      </c>
      <c r="F1080" s="90">
        <v>2000.0</v>
      </c>
      <c r="G1080" s="97" t="s">
        <v>4418</v>
      </c>
      <c r="H1080" s="11" t="s">
        <v>4419</v>
      </c>
      <c r="I1080" s="97">
        <v>9.829010148E9</v>
      </c>
      <c r="J1080" s="11" t="s">
        <v>25</v>
      </c>
      <c r="K1080" s="12"/>
      <c r="L1080" s="13"/>
      <c r="M1080" s="14"/>
      <c r="N1080" s="15"/>
      <c r="O1080" s="5" t="s">
        <v>108</v>
      </c>
      <c r="P1080" s="5"/>
      <c r="Q1080" s="15"/>
      <c r="R1080" s="16" t="s">
        <v>28</v>
      </c>
      <c r="S1080" s="15"/>
      <c r="T1080" s="15"/>
      <c r="U1080" s="15"/>
      <c r="V1080" s="15"/>
      <c r="W1080" s="15"/>
      <c r="X1080" s="15"/>
      <c r="Y1080" s="15"/>
      <c r="Z1080" s="15"/>
      <c r="AA1080" s="15"/>
    </row>
    <row r="1081">
      <c r="A1081" s="5" t="s">
        <v>4415</v>
      </c>
      <c r="B1081" s="6" t="s">
        <v>4420</v>
      </c>
      <c r="C1081" s="40" t="s">
        <v>4421</v>
      </c>
      <c r="D1081" s="8"/>
      <c r="E1081" s="8" t="s">
        <v>2266</v>
      </c>
      <c r="F1081" s="90">
        <v>1000.0</v>
      </c>
      <c r="G1081" s="97" t="s">
        <v>4422</v>
      </c>
      <c r="H1081" s="11" t="s">
        <v>977</v>
      </c>
      <c r="I1081" s="97">
        <v>9.835318123E9</v>
      </c>
      <c r="J1081" s="11" t="s">
        <v>25</v>
      </c>
      <c r="K1081" s="12"/>
      <c r="L1081" s="13"/>
      <c r="M1081" s="14"/>
      <c r="N1081" s="15"/>
      <c r="O1081" s="5" t="s">
        <v>564</v>
      </c>
      <c r="P1081" s="5"/>
      <c r="Q1081" s="15"/>
      <c r="R1081" s="16" t="s">
        <v>28</v>
      </c>
      <c r="S1081" s="15"/>
      <c r="T1081" s="15"/>
      <c r="U1081" s="15"/>
      <c r="V1081" s="15"/>
      <c r="W1081" s="15"/>
      <c r="X1081" s="15"/>
      <c r="Y1081" s="15"/>
      <c r="Z1081" s="15"/>
      <c r="AA1081" s="15"/>
    </row>
    <row r="1082">
      <c r="A1082" s="5" t="s">
        <v>4415</v>
      </c>
      <c r="B1082" s="6" t="s">
        <v>4423</v>
      </c>
      <c r="C1082" s="40" t="s">
        <v>4424</v>
      </c>
      <c r="D1082" s="8"/>
      <c r="E1082" s="8" t="s">
        <v>4425</v>
      </c>
      <c r="F1082" s="90">
        <v>2000.0</v>
      </c>
      <c r="G1082" s="97" t="s">
        <v>4426</v>
      </c>
      <c r="H1082" s="11" t="s">
        <v>44</v>
      </c>
      <c r="I1082" s="97">
        <v>9.831160925E9</v>
      </c>
      <c r="J1082" s="11" t="s">
        <v>25</v>
      </c>
      <c r="K1082" s="12" t="s">
        <v>3523</v>
      </c>
      <c r="L1082" s="13"/>
      <c r="M1082" s="14"/>
      <c r="N1082" s="15"/>
      <c r="O1082" s="5" t="s">
        <v>564</v>
      </c>
      <c r="P1082" s="5"/>
      <c r="Q1082" s="15"/>
      <c r="R1082" s="16" t="s">
        <v>28</v>
      </c>
      <c r="S1082" s="15"/>
      <c r="T1082" s="15"/>
      <c r="U1082" s="15"/>
      <c r="V1082" s="15"/>
      <c r="W1082" s="15"/>
      <c r="X1082" s="15"/>
      <c r="Y1082" s="15"/>
      <c r="Z1082" s="15"/>
      <c r="AA1082" s="15"/>
    </row>
    <row r="1083">
      <c r="A1083" s="5" t="s">
        <v>4415</v>
      </c>
      <c r="B1083" s="6" t="s">
        <v>4427</v>
      </c>
      <c r="C1083" s="40" t="s">
        <v>4428</v>
      </c>
      <c r="D1083" s="8"/>
      <c r="E1083" s="8" t="s">
        <v>116</v>
      </c>
      <c r="F1083" s="90">
        <v>2000.0</v>
      </c>
      <c r="G1083" s="97" t="s">
        <v>4429</v>
      </c>
      <c r="H1083" s="11" t="s">
        <v>49</v>
      </c>
      <c r="I1083" s="97">
        <v>9.875651216E9</v>
      </c>
      <c r="J1083" s="11" t="s">
        <v>25</v>
      </c>
      <c r="K1083" s="12"/>
      <c r="L1083" s="13"/>
      <c r="M1083" s="14"/>
      <c r="N1083" s="15"/>
      <c r="O1083" s="5" t="s">
        <v>564</v>
      </c>
      <c r="P1083" s="5"/>
      <c r="Q1083" s="15"/>
      <c r="R1083" s="16" t="s">
        <v>28</v>
      </c>
      <c r="S1083" s="15"/>
      <c r="T1083" s="15"/>
      <c r="U1083" s="15"/>
      <c r="V1083" s="15"/>
      <c r="W1083" s="15"/>
      <c r="X1083" s="15"/>
      <c r="Y1083" s="15"/>
      <c r="Z1083" s="15"/>
      <c r="AA1083" s="15"/>
    </row>
    <row r="1084">
      <c r="A1084" s="5" t="s">
        <v>4415</v>
      </c>
      <c r="B1084" s="6" t="s">
        <v>4430</v>
      </c>
      <c r="C1084" s="40" t="s">
        <v>4431</v>
      </c>
      <c r="D1084" s="8"/>
      <c r="E1084" s="8" t="s">
        <v>152</v>
      </c>
      <c r="F1084" s="90">
        <v>1000.0</v>
      </c>
      <c r="G1084" s="97" t="s">
        <v>4432</v>
      </c>
      <c r="H1084" s="11" t="s">
        <v>4433</v>
      </c>
      <c r="I1084" s="97">
        <v>9.547715573E9</v>
      </c>
      <c r="J1084" s="11" t="s">
        <v>25</v>
      </c>
      <c r="K1084" s="12"/>
      <c r="L1084" s="13"/>
      <c r="M1084" s="14"/>
      <c r="N1084" s="15"/>
      <c r="O1084" s="5" t="s">
        <v>34</v>
      </c>
      <c r="P1084" s="5" t="s">
        <v>2314</v>
      </c>
      <c r="Q1084" s="15"/>
      <c r="R1084" s="16" t="s">
        <v>28</v>
      </c>
      <c r="S1084" s="15"/>
      <c r="T1084" s="15"/>
      <c r="U1084" s="15"/>
      <c r="V1084" s="15"/>
      <c r="W1084" s="15"/>
      <c r="X1084" s="15"/>
      <c r="Y1084" s="15"/>
      <c r="Z1084" s="15"/>
      <c r="AA1084" s="15"/>
    </row>
    <row r="1085">
      <c r="A1085" s="5" t="s">
        <v>4415</v>
      </c>
      <c r="B1085" s="6" t="s">
        <v>4434</v>
      </c>
      <c r="C1085" s="40" t="s">
        <v>4435</v>
      </c>
      <c r="D1085" s="8"/>
      <c r="E1085" s="8" t="s">
        <v>4047</v>
      </c>
      <c r="F1085" s="90">
        <v>1000.0</v>
      </c>
      <c r="G1085" s="97"/>
      <c r="H1085" s="11" t="s">
        <v>4436</v>
      </c>
      <c r="I1085" s="97">
        <v>9.102254261E9</v>
      </c>
      <c r="J1085" s="11" t="s">
        <v>25</v>
      </c>
      <c r="K1085" s="12"/>
      <c r="L1085" s="13"/>
      <c r="M1085" s="14"/>
      <c r="N1085" s="15"/>
      <c r="O1085" s="5" t="s">
        <v>564</v>
      </c>
      <c r="P1085" s="5"/>
      <c r="Q1085" s="15"/>
      <c r="R1085" s="16" t="s">
        <v>28</v>
      </c>
      <c r="S1085" s="15"/>
      <c r="T1085" s="15"/>
      <c r="U1085" s="15"/>
      <c r="V1085" s="15"/>
      <c r="W1085" s="15"/>
      <c r="X1085" s="15"/>
      <c r="Y1085" s="15"/>
      <c r="Z1085" s="15"/>
      <c r="AA1085" s="15"/>
    </row>
    <row r="1086">
      <c r="A1086" s="5" t="s">
        <v>4415</v>
      </c>
      <c r="B1086" s="6" t="s">
        <v>4437</v>
      </c>
      <c r="C1086" s="40" t="s">
        <v>4438</v>
      </c>
      <c r="D1086" s="8"/>
      <c r="E1086" s="8" t="s">
        <v>116</v>
      </c>
      <c r="F1086" s="90">
        <v>15000.0</v>
      </c>
      <c r="G1086" s="97" t="s">
        <v>4439</v>
      </c>
      <c r="H1086" s="11" t="s">
        <v>4440</v>
      </c>
      <c r="I1086" s="97">
        <v>8.082114111E9</v>
      </c>
      <c r="J1086" s="11" t="s">
        <v>4008</v>
      </c>
      <c r="K1086" s="12"/>
      <c r="L1086" s="13"/>
      <c r="M1086" s="14"/>
      <c r="N1086" s="15"/>
      <c r="O1086" s="5" t="s">
        <v>108</v>
      </c>
      <c r="P1086" s="5"/>
      <c r="Q1086" s="15"/>
      <c r="R1086" s="16" t="s">
        <v>28</v>
      </c>
      <c r="S1086" s="15"/>
      <c r="T1086" s="15"/>
      <c r="U1086" s="15"/>
      <c r="V1086" s="15"/>
      <c r="W1086" s="15"/>
      <c r="X1086" s="15"/>
      <c r="Y1086" s="15"/>
      <c r="Z1086" s="15"/>
      <c r="AA1086" s="15"/>
    </row>
    <row r="1087">
      <c r="A1087" s="5" t="s">
        <v>4415</v>
      </c>
      <c r="B1087" s="6" t="s">
        <v>4441</v>
      </c>
      <c r="C1087" s="40" t="s">
        <v>4442</v>
      </c>
      <c r="D1087" s="8"/>
      <c r="E1087" s="8" t="s">
        <v>3686</v>
      </c>
      <c r="F1087" s="90">
        <v>5000.0</v>
      </c>
      <c r="G1087" s="97" t="s">
        <v>4443</v>
      </c>
      <c r="H1087" s="11" t="s">
        <v>4444</v>
      </c>
      <c r="I1087" s="97" t="s">
        <v>4445</v>
      </c>
      <c r="J1087" s="11" t="s">
        <v>4008</v>
      </c>
      <c r="K1087" s="12"/>
      <c r="L1087" s="13"/>
      <c r="M1087" s="14"/>
      <c r="N1087" s="15"/>
      <c r="O1087" s="5" t="s">
        <v>108</v>
      </c>
      <c r="P1087" s="5"/>
      <c r="Q1087" s="15"/>
      <c r="R1087" s="16" t="s">
        <v>28</v>
      </c>
      <c r="S1087" s="15"/>
      <c r="T1087" s="15"/>
      <c r="U1087" s="15"/>
      <c r="V1087" s="15"/>
      <c r="W1087" s="15"/>
      <c r="X1087" s="15"/>
      <c r="Y1087" s="15"/>
      <c r="Z1087" s="15"/>
      <c r="AA1087" s="15"/>
    </row>
    <row r="1088">
      <c r="A1088" s="5" t="s">
        <v>4415</v>
      </c>
      <c r="B1088" s="6" t="s">
        <v>4446</v>
      </c>
      <c r="C1088" s="40" t="s">
        <v>4447</v>
      </c>
      <c r="D1088" s="8"/>
      <c r="E1088" s="8" t="s">
        <v>3652</v>
      </c>
      <c r="F1088" s="90">
        <v>20000.0</v>
      </c>
      <c r="G1088" s="97" t="s">
        <v>4448</v>
      </c>
      <c r="H1088" s="11" t="s">
        <v>4449</v>
      </c>
      <c r="I1088" s="97" t="s">
        <v>4450</v>
      </c>
      <c r="J1088" s="11" t="s">
        <v>25</v>
      </c>
      <c r="K1088" s="12"/>
      <c r="L1088" s="13"/>
      <c r="M1088" s="14"/>
      <c r="N1088" s="15"/>
      <c r="O1088" s="5" t="s">
        <v>564</v>
      </c>
      <c r="P1088" s="5" t="s">
        <v>4451</v>
      </c>
      <c r="Q1088" s="15"/>
      <c r="R1088" s="16" t="s">
        <v>28</v>
      </c>
      <c r="S1088" s="15"/>
      <c r="T1088" s="15"/>
      <c r="U1088" s="15"/>
      <c r="V1088" s="15"/>
      <c r="W1088" s="15"/>
      <c r="X1088" s="15"/>
      <c r="Y1088" s="15"/>
      <c r="Z1088" s="15"/>
      <c r="AA1088" s="15"/>
    </row>
    <row r="1089">
      <c r="A1089" s="5" t="s">
        <v>4452</v>
      </c>
      <c r="B1089" s="6" t="s">
        <v>4453</v>
      </c>
      <c r="C1089" s="40" t="s">
        <v>4454</v>
      </c>
      <c r="D1089" s="8"/>
      <c r="E1089" s="8" t="s">
        <v>116</v>
      </c>
      <c r="F1089" s="90">
        <v>24000.0</v>
      </c>
      <c r="G1089" s="97" t="s">
        <v>4455</v>
      </c>
      <c r="H1089" s="11" t="s">
        <v>4456</v>
      </c>
      <c r="I1089" s="97">
        <v>9.820034214E9</v>
      </c>
      <c r="J1089" s="11" t="s">
        <v>4008</v>
      </c>
      <c r="K1089" s="12"/>
      <c r="L1089" s="13"/>
      <c r="M1089" s="14"/>
      <c r="N1089" s="15"/>
      <c r="O1089" s="5" t="s">
        <v>108</v>
      </c>
      <c r="P1089" s="5"/>
      <c r="Q1089" s="15"/>
      <c r="R1089" s="16" t="s">
        <v>28</v>
      </c>
      <c r="S1089" s="15"/>
      <c r="T1089" s="15"/>
      <c r="U1089" s="15"/>
      <c r="V1089" s="15"/>
      <c r="W1089" s="15"/>
      <c r="X1089" s="15"/>
      <c r="Y1089" s="15"/>
      <c r="Z1089" s="15"/>
      <c r="AA1089" s="15"/>
    </row>
    <row r="1090">
      <c r="A1090" s="5" t="s">
        <v>4452</v>
      </c>
      <c r="B1090" s="6" t="s">
        <v>4457</v>
      </c>
      <c r="C1090" s="40" t="s">
        <v>4458</v>
      </c>
      <c r="D1090" s="8"/>
      <c r="E1090" s="8" t="s">
        <v>4323</v>
      </c>
      <c r="F1090" s="90">
        <v>500.0</v>
      </c>
      <c r="G1090" s="97" t="s">
        <v>4459</v>
      </c>
      <c r="H1090" s="11" t="s">
        <v>4460</v>
      </c>
      <c r="I1090" s="97">
        <v>8.668658521E9</v>
      </c>
      <c r="J1090" s="11" t="s">
        <v>25</v>
      </c>
      <c r="K1090" s="12"/>
      <c r="L1090" s="13"/>
      <c r="M1090" s="14"/>
      <c r="N1090" s="15"/>
      <c r="O1090" s="5" t="s">
        <v>108</v>
      </c>
      <c r="P1090" s="5"/>
      <c r="Q1090" s="15"/>
      <c r="R1090" s="16" t="s">
        <v>28</v>
      </c>
      <c r="S1090" s="15"/>
      <c r="T1090" s="15"/>
      <c r="U1090" s="15"/>
      <c r="V1090" s="15"/>
      <c r="W1090" s="15"/>
      <c r="X1090" s="15"/>
      <c r="Y1090" s="15"/>
      <c r="Z1090" s="15"/>
      <c r="AA1090" s="15"/>
    </row>
    <row r="1091">
      <c r="A1091" s="5" t="s">
        <v>4452</v>
      </c>
      <c r="B1091" s="6" t="s">
        <v>4461</v>
      </c>
      <c r="C1091" s="40" t="s">
        <v>4462</v>
      </c>
      <c r="D1091" s="8"/>
      <c r="E1091" s="8" t="s">
        <v>130</v>
      </c>
      <c r="F1091" s="90">
        <v>25000.0</v>
      </c>
      <c r="G1091" s="97" t="s">
        <v>4463</v>
      </c>
      <c r="H1091" s="11" t="s">
        <v>4464</v>
      </c>
      <c r="I1091" s="97">
        <v>8.848742037E9</v>
      </c>
      <c r="J1091" s="11" t="s">
        <v>25</v>
      </c>
      <c r="K1091" s="12"/>
      <c r="L1091" s="13"/>
      <c r="M1091" s="14"/>
      <c r="N1091" s="15"/>
      <c r="O1091" s="5" t="s">
        <v>108</v>
      </c>
      <c r="P1091" s="5"/>
      <c r="Q1091" s="15"/>
      <c r="R1091" s="16" t="s">
        <v>28</v>
      </c>
      <c r="S1091" s="15"/>
      <c r="T1091" s="15"/>
      <c r="U1091" s="15"/>
      <c r="V1091" s="15"/>
      <c r="W1091" s="15"/>
      <c r="X1091" s="15"/>
      <c r="Y1091" s="15"/>
      <c r="Z1091" s="15"/>
      <c r="AA1091" s="15"/>
    </row>
    <row r="1092">
      <c r="A1092" s="5" t="s">
        <v>4452</v>
      </c>
      <c r="B1092" s="6" t="s">
        <v>4465</v>
      </c>
      <c r="C1092" s="40" t="s">
        <v>4466</v>
      </c>
      <c r="D1092" s="8"/>
      <c r="E1092" s="8" t="s">
        <v>130</v>
      </c>
      <c r="F1092" s="90">
        <v>1000.0</v>
      </c>
      <c r="G1092" s="97" t="s">
        <v>4467</v>
      </c>
      <c r="H1092" s="11" t="s">
        <v>44</v>
      </c>
      <c r="I1092" s="97">
        <v>9.230831771E9</v>
      </c>
      <c r="J1092" s="11" t="s">
        <v>25</v>
      </c>
      <c r="K1092" s="12"/>
      <c r="L1092" s="13"/>
      <c r="M1092" s="14"/>
      <c r="N1092" s="15"/>
      <c r="O1092" s="5" t="s">
        <v>564</v>
      </c>
      <c r="P1092" s="5"/>
      <c r="Q1092" s="15"/>
      <c r="R1092" s="16" t="s">
        <v>28</v>
      </c>
      <c r="S1092" s="15"/>
      <c r="T1092" s="15"/>
      <c r="U1092" s="15"/>
      <c r="V1092" s="15"/>
      <c r="W1092" s="15"/>
      <c r="X1092" s="15"/>
      <c r="Y1092" s="15"/>
      <c r="Z1092" s="15"/>
      <c r="AA1092" s="15"/>
    </row>
    <row r="1093">
      <c r="A1093" s="5" t="s">
        <v>4452</v>
      </c>
      <c r="B1093" s="6" t="s">
        <v>4468</v>
      </c>
      <c r="C1093" s="40" t="s">
        <v>4469</v>
      </c>
      <c r="D1093" s="8"/>
      <c r="E1093" s="8" t="s">
        <v>77</v>
      </c>
      <c r="F1093" s="90">
        <v>40000.0</v>
      </c>
      <c r="G1093" s="97" t="s">
        <v>4470</v>
      </c>
      <c r="H1093" s="11" t="s">
        <v>4471</v>
      </c>
      <c r="I1093" s="97">
        <v>9.831233466E9</v>
      </c>
      <c r="J1093" s="11" t="s">
        <v>4008</v>
      </c>
      <c r="K1093" s="12"/>
      <c r="L1093" s="13"/>
      <c r="M1093" s="14"/>
      <c r="N1093" s="15"/>
      <c r="O1093" s="5" t="s">
        <v>564</v>
      </c>
      <c r="P1093" s="5"/>
      <c r="Q1093" s="15"/>
      <c r="R1093" s="16" t="s">
        <v>28</v>
      </c>
      <c r="S1093" s="15"/>
      <c r="T1093" s="15"/>
      <c r="U1093" s="15"/>
      <c r="V1093" s="15"/>
      <c r="W1093" s="15"/>
      <c r="X1093" s="15"/>
      <c r="Y1093" s="15"/>
      <c r="Z1093" s="15"/>
      <c r="AA1093" s="15"/>
    </row>
    <row r="1094">
      <c r="A1094" s="5" t="s">
        <v>4452</v>
      </c>
      <c r="B1094" s="6" t="s">
        <v>4472</v>
      </c>
      <c r="C1094" s="40" t="s">
        <v>2150</v>
      </c>
      <c r="D1094" s="8"/>
      <c r="E1094" s="8" t="s">
        <v>235</v>
      </c>
      <c r="F1094" s="90">
        <v>5000.0</v>
      </c>
      <c r="G1094" s="97" t="s">
        <v>4473</v>
      </c>
      <c r="H1094" s="11" t="s">
        <v>4474</v>
      </c>
      <c r="I1094" s="97" t="s">
        <v>4475</v>
      </c>
      <c r="J1094" s="11" t="s">
        <v>4008</v>
      </c>
      <c r="K1094" s="12"/>
      <c r="L1094" s="13"/>
      <c r="M1094" s="14"/>
      <c r="N1094" s="15"/>
      <c r="O1094" s="5" t="s">
        <v>108</v>
      </c>
      <c r="P1094" s="5"/>
      <c r="Q1094" s="15"/>
      <c r="R1094" s="16" t="s">
        <v>28</v>
      </c>
      <c r="S1094" s="15"/>
      <c r="T1094" s="15"/>
      <c r="U1094" s="15"/>
      <c r="V1094" s="15"/>
      <c r="W1094" s="15"/>
      <c r="X1094" s="15"/>
      <c r="Y1094" s="15"/>
      <c r="Z1094" s="15"/>
      <c r="AA1094" s="15"/>
    </row>
    <row r="1095">
      <c r="A1095" s="5" t="s">
        <v>4452</v>
      </c>
      <c r="B1095" s="6" t="s">
        <v>4476</v>
      </c>
      <c r="C1095" s="40" t="s">
        <v>4477</v>
      </c>
      <c r="D1095" s="8"/>
      <c r="E1095" s="8" t="s">
        <v>4478</v>
      </c>
      <c r="F1095" s="90">
        <v>500.0</v>
      </c>
      <c r="G1095" s="97"/>
      <c r="H1095" s="11" t="s">
        <v>449</v>
      </c>
      <c r="I1095" s="97">
        <v>8.65359729E9</v>
      </c>
      <c r="J1095" s="11" t="s">
        <v>25</v>
      </c>
      <c r="K1095" s="12"/>
      <c r="L1095" s="13"/>
      <c r="M1095" s="14"/>
      <c r="N1095" s="15"/>
      <c r="O1095" s="5" t="s">
        <v>564</v>
      </c>
      <c r="P1095" s="5"/>
      <c r="Q1095" s="15"/>
      <c r="R1095" s="16" t="s">
        <v>28</v>
      </c>
      <c r="S1095" s="15"/>
      <c r="T1095" s="15"/>
      <c r="U1095" s="15"/>
      <c r="V1095" s="15"/>
      <c r="W1095" s="15"/>
      <c r="X1095" s="15"/>
      <c r="Y1095" s="15"/>
      <c r="Z1095" s="15"/>
      <c r="AA1095" s="15"/>
    </row>
    <row r="1096">
      <c r="A1096" s="5" t="s">
        <v>4452</v>
      </c>
      <c r="B1096" s="6" t="s">
        <v>4479</v>
      </c>
      <c r="C1096" s="40" t="s">
        <v>4480</v>
      </c>
      <c r="D1096" s="8"/>
      <c r="E1096" s="8" t="s">
        <v>4481</v>
      </c>
      <c r="F1096" s="90">
        <v>5000.0</v>
      </c>
      <c r="G1096" s="97" t="s">
        <v>4482</v>
      </c>
      <c r="H1096" s="11" t="s">
        <v>906</v>
      </c>
      <c r="I1096" s="97">
        <v>9.870059E9</v>
      </c>
      <c r="J1096" s="11" t="s">
        <v>4008</v>
      </c>
      <c r="K1096" s="12"/>
      <c r="L1096" s="13"/>
      <c r="M1096" s="14"/>
      <c r="N1096" s="15"/>
      <c r="O1096" s="5" t="s">
        <v>108</v>
      </c>
      <c r="P1096" s="5"/>
      <c r="Q1096" s="15"/>
      <c r="R1096" s="16" t="s">
        <v>28</v>
      </c>
      <c r="S1096" s="15"/>
      <c r="T1096" s="15"/>
      <c r="U1096" s="15"/>
      <c r="V1096" s="15"/>
      <c r="W1096" s="15"/>
      <c r="X1096" s="15"/>
      <c r="Y1096" s="15"/>
      <c r="Z1096" s="15"/>
      <c r="AA1096" s="15"/>
    </row>
    <row r="1097">
      <c r="A1097" s="5" t="s">
        <v>4452</v>
      </c>
      <c r="B1097" s="6" t="s">
        <v>4483</v>
      </c>
      <c r="C1097" s="40" t="s">
        <v>4484</v>
      </c>
      <c r="D1097" s="8"/>
      <c r="E1097" s="8" t="s">
        <v>116</v>
      </c>
      <c r="F1097" s="90">
        <v>5000.0</v>
      </c>
      <c r="G1097" s="97"/>
      <c r="H1097" s="11" t="s">
        <v>44</v>
      </c>
      <c r="I1097" s="97">
        <v>9.932556232E9</v>
      </c>
      <c r="J1097" s="11" t="s">
        <v>25</v>
      </c>
      <c r="K1097" s="12"/>
      <c r="L1097" s="13"/>
      <c r="M1097" s="14"/>
      <c r="N1097" s="15"/>
      <c r="O1097" s="5" t="s">
        <v>564</v>
      </c>
      <c r="P1097" s="5"/>
      <c r="Q1097" s="15"/>
      <c r="R1097" s="16" t="s">
        <v>28</v>
      </c>
      <c r="S1097" s="15"/>
      <c r="T1097" s="15"/>
      <c r="U1097" s="15"/>
      <c r="V1097" s="15"/>
      <c r="W1097" s="15"/>
      <c r="X1097" s="15"/>
      <c r="Y1097" s="15"/>
      <c r="Z1097" s="15"/>
      <c r="AA1097" s="15"/>
    </row>
    <row r="1098">
      <c r="A1098" s="5" t="s">
        <v>4452</v>
      </c>
      <c r="B1098" s="6" t="s">
        <v>4485</v>
      </c>
      <c r="C1098" s="40" t="s">
        <v>4486</v>
      </c>
      <c r="D1098" s="8"/>
      <c r="E1098" s="8" t="s">
        <v>4487</v>
      </c>
      <c r="F1098" s="90">
        <v>800.0</v>
      </c>
      <c r="G1098" s="97" t="s">
        <v>4488</v>
      </c>
      <c r="H1098" s="11" t="s">
        <v>44</v>
      </c>
      <c r="I1098" s="97">
        <v>7.679318045E9</v>
      </c>
      <c r="J1098" s="11" t="s">
        <v>25</v>
      </c>
      <c r="K1098" s="12"/>
      <c r="L1098" s="13"/>
      <c r="M1098" s="14"/>
      <c r="N1098" s="15"/>
      <c r="O1098" s="5" t="s">
        <v>564</v>
      </c>
      <c r="P1098" s="5"/>
      <c r="Q1098" s="15"/>
      <c r="R1098" s="16" t="s">
        <v>28</v>
      </c>
      <c r="S1098" s="15"/>
      <c r="T1098" s="15"/>
      <c r="U1098" s="15"/>
      <c r="V1098" s="15"/>
      <c r="W1098" s="15"/>
      <c r="X1098" s="15"/>
      <c r="Y1098" s="15"/>
      <c r="Z1098" s="15"/>
      <c r="AA1098" s="15"/>
    </row>
    <row r="1099">
      <c r="A1099" s="5" t="s">
        <v>3785</v>
      </c>
      <c r="B1099" s="6" t="s">
        <v>4489</v>
      </c>
      <c r="C1099" s="40" t="s">
        <v>4490</v>
      </c>
      <c r="D1099" s="8"/>
      <c r="E1099" s="8" t="s">
        <v>3729</v>
      </c>
      <c r="F1099" s="90">
        <v>25000.0</v>
      </c>
      <c r="G1099" s="97" t="s">
        <v>4491</v>
      </c>
      <c r="H1099" s="11" t="s">
        <v>4492</v>
      </c>
      <c r="I1099" s="97">
        <v>9.564350256E9</v>
      </c>
      <c r="J1099" s="11" t="s">
        <v>25</v>
      </c>
      <c r="K1099" s="12"/>
      <c r="L1099" s="13"/>
      <c r="M1099" s="14"/>
      <c r="N1099" s="15"/>
      <c r="O1099" s="5" t="s">
        <v>564</v>
      </c>
      <c r="P1099" s="5" t="s">
        <v>4493</v>
      </c>
      <c r="Q1099" s="15"/>
      <c r="R1099" s="16" t="s">
        <v>28</v>
      </c>
      <c r="S1099" s="15"/>
      <c r="T1099" s="15"/>
      <c r="U1099" s="15"/>
      <c r="V1099" s="15"/>
      <c r="W1099" s="15"/>
      <c r="X1099" s="15"/>
      <c r="Y1099" s="15"/>
      <c r="Z1099" s="15"/>
      <c r="AA1099" s="15"/>
    </row>
    <row r="1100">
      <c r="A1100" s="5" t="s">
        <v>4494</v>
      </c>
      <c r="B1100" s="6" t="s">
        <v>4495</v>
      </c>
      <c r="C1100" s="40" t="s">
        <v>4496</v>
      </c>
      <c r="D1100" s="8"/>
      <c r="E1100" s="8" t="s">
        <v>523</v>
      </c>
      <c r="F1100" s="90">
        <v>500.0</v>
      </c>
      <c r="G1100" s="97" t="s">
        <v>4497</v>
      </c>
      <c r="H1100" s="11" t="s">
        <v>449</v>
      </c>
      <c r="I1100" s="97">
        <v>9.566914482E9</v>
      </c>
      <c r="J1100" s="11" t="s">
        <v>25</v>
      </c>
      <c r="K1100" s="12"/>
      <c r="L1100" s="13"/>
      <c r="M1100" s="14"/>
      <c r="N1100" s="15"/>
      <c r="O1100" s="5" t="s">
        <v>564</v>
      </c>
      <c r="P1100" s="15"/>
      <c r="Q1100" s="15"/>
      <c r="R1100" s="16" t="s">
        <v>28</v>
      </c>
      <c r="S1100" s="15"/>
      <c r="T1100" s="15"/>
      <c r="U1100" s="15"/>
      <c r="V1100" s="15"/>
      <c r="W1100" s="15"/>
      <c r="X1100" s="15"/>
      <c r="Y1100" s="15"/>
      <c r="Z1100" s="15"/>
      <c r="AA1100" s="15"/>
    </row>
    <row r="1101">
      <c r="A1101" s="5" t="s">
        <v>4494</v>
      </c>
      <c r="B1101" s="6" t="s">
        <v>4498</v>
      </c>
      <c r="C1101" s="40" t="s">
        <v>4499</v>
      </c>
      <c r="D1101" s="8"/>
      <c r="E1101" s="8" t="s">
        <v>4500</v>
      </c>
      <c r="F1101" s="90">
        <v>2500.0</v>
      </c>
      <c r="G1101" s="97" t="s">
        <v>4501</v>
      </c>
      <c r="H1101" s="11" t="s">
        <v>4502</v>
      </c>
      <c r="I1101" s="97">
        <v>9.830051928E9</v>
      </c>
      <c r="J1101" s="11" t="s">
        <v>25</v>
      </c>
      <c r="K1101" s="12" t="s">
        <v>4503</v>
      </c>
      <c r="L1101" s="13"/>
      <c r="M1101" s="14"/>
      <c r="N1101" s="15"/>
      <c r="O1101" s="5" t="s">
        <v>564</v>
      </c>
      <c r="P1101" s="5" t="s">
        <v>4504</v>
      </c>
      <c r="Q1101" s="5" t="s">
        <v>2632</v>
      </c>
      <c r="R1101" s="16" t="s">
        <v>28</v>
      </c>
      <c r="S1101" s="15"/>
      <c r="T1101" s="15"/>
      <c r="U1101" s="15"/>
      <c r="V1101" s="15"/>
      <c r="W1101" s="15"/>
      <c r="X1101" s="15"/>
      <c r="Y1101" s="15"/>
      <c r="Z1101" s="15"/>
      <c r="AA1101" s="15"/>
    </row>
    <row r="1102">
      <c r="A1102" s="5" t="s">
        <v>4494</v>
      </c>
      <c r="B1102" s="6" t="s">
        <v>4505</v>
      </c>
      <c r="C1102" s="40" t="s">
        <v>4506</v>
      </c>
      <c r="D1102" s="8"/>
      <c r="E1102" s="8" t="s">
        <v>4507</v>
      </c>
      <c r="F1102" s="90">
        <v>50000.0</v>
      </c>
      <c r="G1102" s="97" t="s">
        <v>4508</v>
      </c>
      <c r="H1102" s="11" t="s">
        <v>4509</v>
      </c>
      <c r="I1102" s="97">
        <v>9.903384924E9</v>
      </c>
      <c r="J1102" s="11" t="s">
        <v>25</v>
      </c>
      <c r="K1102" s="12"/>
      <c r="L1102" s="13"/>
      <c r="M1102" s="14"/>
      <c r="N1102" s="15"/>
      <c r="O1102" s="5" t="s">
        <v>564</v>
      </c>
      <c r="P1102" s="15"/>
      <c r="Q1102" s="15"/>
      <c r="R1102" s="16" t="s">
        <v>28</v>
      </c>
      <c r="S1102" s="15"/>
      <c r="T1102" s="15"/>
      <c r="U1102" s="15"/>
      <c r="V1102" s="15"/>
      <c r="W1102" s="15"/>
      <c r="X1102" s="15"/>
      <c r="Y1102" s="15"/>
      <c r="Z1102" s="15"/>
      <c r="AA1102" s="15"/>
    </row>
    <row r="1103">
      <c r="A1103" s="5" t="s">
        <v>4494</v>
      </c>
      <c r="B1103" s="6" t="s">
        <v>4510</v>
      </c>
      <c r="C1103" s="40" t="s">
        <v>4511</v>
      </c>
      <c r="D1103" s="8"/>
      <c r="E1103" s="8" t="s">
        <v>4512</v>
      </c>
      <c r="F1103" s="90">
        <v>10000.0</v>
      </c>
      <c r="G1103" s="97" t="s">
        <v>4513</v>
      </c>
      <c r="H1103" s="11" t="s">
        <v>4514</v>
      </c>
      <c r="I1103" s="97">
        <v>9.331027019E9</v>
      </c>
      <c r="J1103" s="11" t="s">
        <v>25</v>
      </c>
      <c r="K1103" s="12"/>
      <c r="L1103" s="13"/>
      <c r="M1103" s="14"/>
      <c r="N1103" s="15"/>
      <c r="O1103" s="5" t="s">
        <v>564</v>
      </c>
      <c r="P1103" s="15"/>
      <c r="Q1103" s="15"/>
      <c r="R1103" s="16" t="s">
        <v>28</v>
      </c>
      <c r="S1103" s="15"/>
      <c r="T1103" s="15"/>
      <c r="U1103" s="15"/>
      <c r="V1103" s="15"/>
      <c r="W1103" s="15"/>
      <c r="X1103" s="15"/>
      <c r="Y1103" s="15"/>
      <c r="Z1103" s="15"/>
      <c r="AA1103" s="15"/>
    </row>
    <row r="1104">
      <c r="A1104" s="5" t="s">
        <v>4494</v>
      </c>
      <c r="B1104" s="6" t="s">
        <v>4515</v>
      </c>
      <c r="C1104" s="36" t="s">
        <v>4516</v>
      </c>
      <c r="D1104" s="75"/>
      <c r="E1104" s="8" t="s">
        <v>130</v>
      </c>
      <c r="F1104" s="90">
        <v>1000.0</v>
      </c>
      <c r="G1104" s="97" t="s">
        <v>4517</v>
      </c>
      <c r="H1104" s="11" t="s">
        <v>44</v>
      </c>
      <c r="I1104" s="97">
        <v>9.560603562E9</v>
      </c>
      <c r="J1104" s="11" t="s">
        <v>25</v>
      </c>
      <c r="K1104" s="12"/>
      <c r="L1104" s="13"/>
      <c r="M1104" s="14"/>
      <c r="N1104" s="15"/>
      <c r="O1104" s="5" t="s">
        <v>34</v>
      </c>
      <c r="P1104" s="5" t="s">
        <v>4518</v>
      </c>
      <c r="Q1104" s="5" t="s">
        <v>727</v>
      </c>
      <c r="R1104" s="16" t="s">
        <v>28</v>
      </c>
      <c r="S1104" s="15"/>
      <c r="T1104" s="15"/>
      <c r="U1104" s="15"/>
      <c r="V1104" s="15"/>
      <c r="W1104" s="15"/>
      <c r="X1104" s="15"/>
      <c r="Y1104" s="15"/>
      <c r="Z1104" s="15"/>
      <c r="AA1104" s="15"/>
    </row>
    <row r="1105">
      <c r="A1105" s="5" t="s">
        <v>4494</v>
      </c>
      <c r="B1105" s="6" t="s">
        <v>4519</v>
      </c>
      <c r="C1105" s="40" t="s">
        <v>4520</v>
      </c>
      <c r="D1105" s="8"/>
      <c r="E1105" s="8" t="s">
        <v>4521</v>
      </c>
      <c r="F1105" s="90">
        <v>200.0</v>
      </c>
      <c r="G1105" s="97" t="s">
        <v>4522</v>
      </c>
      <c r="H1105" s="11" t="s">
        <v>4523</v>
      </c>
      <c r="I1105" s="97">
        <v>7.004907288E9</v>
      </c>
      <c r="J1105" s="11" t="s">
        <v>25</v>
      </c>
      <c r="K1105" s="12"/>
      <c r="L1105" s="13"/>
      <c r="M1105" s="14"/>
      <c r="N1105" s="15"/>
      <c r="O1105" s="5" t="s">
        <v>564</v>
      </c>
      <c r="P1105" s="15"/>
      <c r="Q1105" s="15"/>
      <c r="R1105" s="16" t="s">
        <v>28</v>
      </c>
      <c r="S1105" s="15"/>
      <c r="T1105" s="15"/>
      <c r="U1105" s="15"/>
      <c r="V1105" s="15"/>
      <c r="W1105" s="15"/>
      <c r="X1105" s="15"/>
      <c r="Y1105" s="15"/>
      <c r="Z1105" s="15"/>
      <c r="AA1105" s="15"/>
    </row>
    <row r="1106">
      <c r="A1106" s="5" t="s">
        <v>4494</v>
      </c>
      <c r="B1106" s="6" t="s">
        <v>4524</v>
      </c>
      <c r="C1106" s="40" t="s">
        <v>4525</v>
      </c>
      <c r="D1106" s="8"/>
      <c r="E1106" s="8" t="s">
        <v>2660</v>
      </c>
      <c r="F1106" s="90">
        <v>30000.0</v>
      </c>
      <c r="G1106" s="97" t="s">
        <v>4526</v>
      </c>
      <c r="H1106" s="11" t="s">
        <v>906</v>
      </c>
      <c r="I1106" s="97">
        <v>8.433588501E9</v>
      </c>
      <c r="J1106" s="11" t="s">
        <v>25</v>
      </c>
      <c r="K1106" s="12"/>
      <c r="L1106" s="13"/>
      <c r="M1106" s="14"/>
      <c r="N1106" s="15"/>
      <c r="O1106" s="5" t="s">
        <v>108</v>
      </c>
      <c r="P1106" s="15"/>
      <c r="Q1106" s="15"/>
      <c r="R1106" s="16" t="s">
        <v>28</v>
      </c>
      <c r="S1106" s="15"/>
      <c r="T1106" s="15"/>
      <c r="U1106" s="15"/>
      <c r="V1106" s="15"/>
      <c r="W1106" s="15"/>
      <c r="X1106" s="15"/>
      <c r="Y1106" s="15"/>
      <c r="Z1106" s="15"/>
      <c r="AA1106" s="15"/>
    </row>
    <row r="1107">
      <c r="A1107" s="5" t="s">
        <v>4527</v>
      </c>
      <c r="B1107" s="6" t="s">
        <v>4528</v>
      </c>
      <c r="C1107" s="40" t="s">
        <v>4529</v>
      </c>
      <c r="D1107" s="8"/>
      <c r="E1107" s="8" t="s">
        <v>130</v>
      </c>
      <c r="F1107" s="90">
        <v>1000.0</v>
      </c>
      <c r="G1107" s="97" t="s">
        <v>4530</v>
      </c>
      <c r="H1107" s="11" t="s">
        <v>268</v>
      </c>
      <c r="I1107" s="97">
        <v>9.123442267E9</v>
      </c>
      <c r="J1107" s="11" t="s">
        <v>25</v>
      </c>
      <c r="K1107" s="12"/>
      <c r="L1107" s="13"/>
      <c r="M1107" s="11" t="s">
        <v>4531</v>
      </c>
      <c r="N1107" s="15"/>
      <c r="O1107" s="5" t="s">
        <v>34</v>
      </c>
      <c r="P1107" s="5" t="s">
        <v>4366</v>
      </c>
      <c r="Q1107" s="5" t="s">
        <v>4532</v>
      </c>
      <c r="R1107" s="16" t="s">
        <v>723</v>
      </c>
      <c r="S1107" s="15"/>
      <c r="T1107" s="15"/>
      <c r="U1107" s="15"/>
      <c r="V1107" s="15"/>
      <c r="W1107" s="15"/>
      <c r="X1107" s="15"/>
      <c r="Y1107" s="15"/>
      <c r="Z1107" s="15"/>
      <c r="AA1107" s="15"/>
    </row>
    <row r="1108">
      <c r="A1108" s="5" t="s">
        <v>4527</v>
      </c>
      <c r="B1108" s="6" t="s">
        <v>4533</v>
      </c>
      <c r="C1108" s="40" t="s">
        <v>4534</v>
      </c>
      <c r="D1108" s="8"/>
      <c r="E1108" s="8" t="s">
        <v>207</v>
      </c>
      <c r="F1108" s="90">
        <v>1000.0</v>
      </c>
      <c r="G1108" s="97"/>
      <c r="H1108" s="11" t="s">
        <v>4535</v>
      </c>
      <c r="I1108" s="97">
        <v>9.330181668E9</v>
      </c>
      <c r="J1108" s="11" t="s">
        <v>25</v>
      </c>
      <c r="K1108" s="12"/>
      <c r="L1108" s="13"/>
      <c r="M1108" s="11" t="s">
        <v>4536</v>
      </c>
      <c r="N1108" s="15"/>
      <c r="O1108" s="5" t="s">
        <v>34</v>
      </c>
      <c r="P1108" s="5" t="s">
        <v>4138</v>
      </c>
      <c r="Q1108" s="15"/>
      <c r="R1108" s="16" t="s">
        <v>74</v>
      </c>
      <c r="S1108" s="15"/>
      <c r="T1108" s="15"/>
      <c r="U1108" s="15"/>
      <c r="V1108" s="15"/>
      <c r="W1108" s="15"/>
      <c r="X1108" s="15"/>
      <c r="Y1108" s="15"/>
      <c r="Z1108" s="15"/>
      <c r="AA1108" s="15"/>
    </row>
    <row r="1109">
      <c r="A1109" s="5" t="s">
        <v>4527</v>
      </c>
      <c r="B1109" s="6" t="s">
        <v>4537</v>
      </c>
      <c r="C1109" s="40" t="s">
        <v>4538</v>
      </c>
      <c r="D1109" s="8"/>
      <c r="E1109" s="8" t="s">
        <v>207</v>
      </c>
      <c r="F1109" s="90">
        <v>5000.0</v>
      </c>
      <c r="G1109" s="97" t="s">
        <v>4539</v>
      </c>
      <c r="H1109" s="11" t="s">
        <v>4540</v>
      </c>
      <c r="I1109" s="97">
        <v>8.777767622E9</v>
      </c>
      <c r="J1109" s="11" t="s">
        <v>25</v>
      </c>
      <c r="K1109" s="12"/>
      <c r="L1109" s="13"/>
      <c r="M1109" s="14"/>
      <c r="N1109" s="15"/>
      <c r="O1109" s="5" t="s">
        <v>34</v>
      </c>
      <c r="P1109" s="5" t="s">
        <v>727</v>
      </c>
      <c r="Q1109" s="15"/>
      <c r="R1109" s="16" t="s">
        <v>28</v>
      </c>
      <c r="S1109" s="15"/>
      <c r="T1109" s="15"/>
      <c r="U1109" s="15"/>
      <c r="V1109" s="15"/>
      <c r="W1109" s="15"/>
      <c r="X1109" s="15"/>
      <c r="Y1109" s="15"/>
      <c r="Z1109" s="15"/>
      <c r="AA1109" s="15"/>
    </row>
    <row r="1110">
      <c r="A1110" s="5" t="s">
        <v>4527</v>
      </c>
      <c r="B1110" s="6" t="s">
        <v>4541</v>
      </c>
      <c r="C1110" s="40" t="s">
        <v>4542</v>
      </c>
      <c r="D1110" s="8"/>
      <c r="E1110" s="8" t="s">
        <v>4543</v>
      </c>
      <c r="F1110" s="90">
        <v>400.0</v>
      </c>
      <c r="G1110" s="97" t="s">
        <v>4544</v>
      </c>
      <c r="H1110" s="11" t="s">
        <v>4545</v>
      </c>
      <c r="I1110" s="97">
        <v>9.674706929E9</v>
      </c>
      <c r="J1110" s="11" t="s">
        <v>25</v>
      </c>
      <c r="K1110" s="12"/>
      <c r="L1110" s="13"/>
      <c r="M1110" s="14"/>
      <c r="N1110" s="15"/>
      <c r="O1110" s="5" t="s">
        <v>564</v>
      </c>
      <c r="P1110" s="15"/>
      <c r="Q1110" s="15"/>
      <c r="R1110" s="16" t="s">
        <v>28</v>
      </c>
      <c r="S1110" s="15"/>
      <c r="T1110" s="15"/>
      <c r="U1110" s="15"/>
      <c r="V1110" s="15"/>
      <c r="W1110" s="15"/>
      <c r="X1110" s="15"/>
      <c r="Y1110" s="15"/>
      <c r="Z1110" s="15"/>
      <c r="AA1110" s="15"/>
    </row>
    <row r="1111">
      <c r="A1111" s="5" t="s">
        <v>4527</v>
      </c>
      <c r="B1111" s="6" t="s">
        <v>4546</v>
      </c>
      <c r="C1111" s="40" t="s">
        <v>4547</v>
      </c>
      <c r="D1111" s="8"/>
      <c r="E1111" s="8" t="s">
        <v>1018</v>
      </c>
      <c r="F1111" s="90">
        <v>1000.0</v>
      </c>
      <c r="G1111" s="97" t="s">
        <v>4548</v>
      </c>
      <c r="H1111" s="11" t="s">
        <v>4549</v>
      </c>
      <c r="I1111" s="97">
        <v>9.231887936E9</v>
      </c>
      <c r="J1111" s="11" t="s">
        <v>25</v>
      </c>
      <c r="K1111" s="12"/>
      <c r="L1111" s="13"/>
      <c r="M1111" s="14"/>
      <c r="N1111" s="15"/>
      <c r="O1111" s="5" t="s">
        <v>564</v>
      </c>
      <c r="P1111" s="15"/>
      <c r="Q1111" s="15"/>
      <c r="R1111" s="16" t="s">
        <v>28</v>
      </c>
      <c r="S1111" s="15"/>
      <c r="T1111" s="15"/>
      <c r="U1111" s="15"/>
      <c r="V1111" s="15"/>
      <c r="W1111" s="15"/>
      <c r="X1111" s="15"/>
      <c r="Y1111" s="15"/>
      <c r="Z1111" s="15"/>
      <c r="AA1111" s="15"/>
    </row>
    <row r="1112">
      <c r="A1112" s="5" t="s">
        <v>4527</v>
      </c>
      <c r="B1112" s="6" t="s">
        <v>4550</v>
      </c>
      <c r="C1112" s="40" t="s">
        <v>4551</v>
      </c>
      <c r="D1112" s="8"/>
      <c r="E1112" s="8" t="s">
        <v>501</v>
      </c>
      <c r="F1112" s="90">
        <v>25000.0</v>
      </c>
      <c r="G1112" s="97" t="s">
        <v>4552</v>
      </c>
      <c r="H1112" s="11" t="s">
        <v>906</v>
      </c>
      <c r="I1112" s="97">
        <v>9.820766625E9</v>
      </c>
      <c r="J1112" s="11" t="s">
        <v>25</v>
      </c>
      <c r="K1112" s="12"/>
      <c r="L1112" s="13"/>
      <c r="M1112" s="14"/>
      <c r="N1112" s="15"/>
      <c r="O1112" s="5" t="s">
        <v>108</v>
      </c>
      <c r="P1112" s="15"/>
      <c r="Q1112" s="15"/>
      <c r="R1112" s="16" t="s">
        <v>28</v>
      </c>
      <c r="S1112" s="15"/>
      <c r="T1112" s="15"/>
      <c r="U1112" s="15"/>
      <c r="V1112" s="15"/>
      <c r="W1112" s="15"/>
      <c r="X1112" s="15"/>
      <c r="Y1112" s="15"/>
      <c r="Z1112" s="15"/>
      <c r="AA1112" s="15"/>
    </row>
    <row r="1113">
      <c r="A1113" s="5" t="s">
        <v>4527</v>
      </c>
      <c r="B1113" s="6" t="s">
        <v>4553</v>
      </c>
      <c r="C1113" s="40" t="s">
        <v>4554</v>
      </c>
      <c r="D1113" s="8"/>
      <c r="E1113" s="8" t="s">
        <v>4555</v>
      </c>
      <c r="F1113" s="90">
        <v>10000.0</v>
      </c>
      <c r="G1113" s="97" t="s">
        <v>4556</v>
      </c>
      <c r="H1113" s="11" t="s">
        <v>906</v>
      </c>
      <c r="I1113" s="97">
        <v>9.650093374E9</v>
      </c>
      <c r="J1113" s="11" t="s">
        <v>4008</v>
      </c>
      <c r="K1113" s="12"/>
      <c r="L1113" s="13"/>
      <c r="M1113" s="14"/>
      <c r="N1113" s="15"/>
      <c r="O1113" s="5" t="s">
        <v>108</v>
      </c>
      <c r="P1113" s="15"/>
      <c r="Q1113" s="15"/>
      <c r="R1113" s="16" t="s">
        <v>28</v>
      </c>
      <c r="S1113" s="15"/>
      <c r="T1113" s="15"/>
      <c r="U1113" s="15"/>
      <c r="V1113" s="15"/>
      <c r="W1113" s="15"/>
      <c r="X1113" s="15"/>
      <c r="Y1113" s="15"/>
      <c r="Z1113" s="15"/>
      <c r="AA1113" s="15"/>
    </row>
    <row r="1114">
      <c r="A1114" s="5" t="s">
        <v>4527</v>
      </c>
      <c r="B1114" s="6" t="s">
        <v>4557</v>
      </c>
      <c r="C1114" s="40" t="s">
        <v>4558</v>
      </c>
      <c r="D1114" s="8"/>
      <c r="E1114" s="8" t="s">
        <v>152</v>
      </c>
      <c r="F1114" s="90">
        <v>25000.0</v>
      </c>
      <c r="G1114" s="97" t="s">
        <v>4559</v>
      </c>
      <c r="H1114" s="11" t="s">
        <v>4339</v>
      </c>
      <c r="I1114" s="97">
        <v>8.371875127E9</v>
      </c>
      <c r="J1114" s="11" t="s">
        <v>25</v>
      </c>
      <c r="K1114" s="12"/>
      <c r="L1114" s="13"/>
      <c r="M1114" s="14"/>
      <c r="N1114" s="15"/>
      <c r="O1114" s="5" t="s">
        <v>564</v>
      </c>
      <c r="P1114" s="5" t="s">
        <v>1899</v>
      </c>
      <c r="Q1114" s="15"/>
      <c r="R1114" s="16" t="s">
        <v>28</v>
      </c>
      <c r="S1114" s="15"/>
      <c r="T1114" s="15"/>
      <c r="U1114" s="15"/>
      <c r="V1114" s="15"/>
      <c r="W1114" s="15"/>
      <c r="X1114" s="15"/>
      <c r="Y1114" s="15"/>
      <c r="Z1114" s="15"/>
      <c r="AA1114" s="15"/>
    </row>
    <row r="1115">
      <c r="A1115" s="5" t="s">
        <v>4527</v>
      </c>
      <c r="B1115" s="6" t="s">
        <v>4560</v>
      </c>
      <c r="C1115" s="40" t="s">
        <v>4561</v>
      </c>
      <c r="D1115" s="8"/>
      <c r="E1115" s="8" t="s">
        <v>207</v>
      </c>
      <c r="F1115" s="90">
        <v>1500.0</v>
      </c>
      <c r="G1115" s="97" t="s">
        <v>4562</v>
      </c>
      <c r="H1115" s="11" t="s">
        <v>49</v>
      </c>
      <c r="I1115" s="97">
        <v>7.384840854E9</v>
      </c>
      <c r="J1115" s="11" t="s">
        <v>25</v>
      </c>
      <c r="K1115" s="12"/>
      <c r="L1115" s="13"/>
      <c r="M1115" s="14"/>
      <c r="N1115" s="15"/>
      <c r="O1115" s="5" t="s">
        <v>34</v>
      </c>
      <c r="P1115" s="5" t="s">
        <v>4563</v>
      </c>
      <c r="Q1115" s="15"/>
      <c r="R1115" s="16" t="s">
        <v>28</v>
      </c>
      <c r="S1115" s="15"/>
      <c r="T1115" s="15"/>
      <c r="U1115" s="15"/>
      <c r="V1115" s="15"/>
      <c r="W1115" s="15"/>
      <c r="X1115" s="15"/>
      <c r="Y1115" s="15"/>
      <c r="Z1115" s="15"/>
      <c r="AA1115" s="15"/>
    </row>
    <row r="1116">
      <c r="A1116" s="5" t="s">
        <v>4564</v>
      </c>
      <c r="B1116" s="6" t="s">
        <v>4565</v>
      </c>
      <c r="C1116" s="40" t="s">
        <v>4566</v>
      </c>
      <c r="D1116" s="8"/>
      <c r="E1116" s="8" t="s">
        <v>4567</v>
      </c>
      <c r="F1116" s="90">
        <v>500.0</v>
      </c>
      <c r="G1116" s="124" t="s">
        <v>4568</v>
      </c>
      <c r="H1116" s="11" t="s">
        <v>985</v>
      </c>
      <c r="I1116" s="97">
        <v>7.872148006E9</v>
      </c>
      <c r="J1116" s="11" t="s">
        <v>25</v>
      </c>
      <c r="K1116" s="12"/>
      <c r="L1116" s="13"/>
      <c r="M1116" s="14"/>
      <c r="N1116" s="15"/>
      <c r="O1116" s="5" t="s">
        <v>26</v>
      </c>
      <c r="P1116" s="5" t="s">
        <v>453</v>
      </c>
      <c r="Q1116" s="15"/>
      <c r="R1116" s="16" t="s">
        <v>28</v>
      </c>
      <c r="S1116" s="15"/>
      <c r="T1116" s="15"/>
      <c r="U1116" s="15"/>
      <c r="V1116" s="15"/>
      <c r="W1116" s="15"/>
      <c r="X1116" s="15"/>
      <c r="Y1116" s="15"/>
      <c r="Z1116" s="15"/>
      <c r="AA1116" s="15"/>
    </row>
    <row r="1117">
      <c r="A1117" s="5" t="s">
        <v>4564</v>
      </c>
      <c r="B1117" s="6" t="s">
        <v>4569</v>
      </c>
      <c r="C1117" s="40" t="s">
        <v>4570</v>
      </c>
      <c r="D1117" s="8"/>
      <c r="E1117" s="8" t="s">
        <v>1023</v>
      </c>
      <c r="F1117" s="9">
        <v>25000.0</v>
      </c>
      <c r="G1117" s="125" t="s">
        <v>4571</v>
      </c>
      <c r="H1117" s="11" t="s">
        <v>519</v>
      </c>
      <c r="I1117" s="97">
        <v>9.904067684E9</v>
      </c>
      <c r="J1117" s="11" t="s">
        <v>25</v>
      </c>
      <c r="K1117" s="12"/>
      <c r="L1117" s="13"/>
      <c r="M1117" s="14"/>
      <c r="N1117" s="15"/>
      <c r="O1117" s="5" t="s">
        <v>108</v>
      </c>
      <c r="P1117" s="15"/>
      <c r="Q1117" s="15"/>
      <c r="R1117" s="16" t="s">
        <v>28</v>
      </c>
      <c r="S1117" s="15"/>
      <c r="T1117" s="15"/>
      <c r="U1117" s="15"/>
      <c r="V1117" s="15"/>
      <c r="W1117" s="15"/>
      <c r="X1117" s="15"/>
      <c r="Y1117" s="15"/>
      <c r="Z1117" s="15"/>
      <c r="AA1117" s="15"/>
    </row>
    <row r="1118">
      <c r="A1118" s="5" t="s">
        <v>4564</v>
      </c>
      <c r="B1118" s="6" t="s">
        <v>4572</v>
      </c>
      <c r="C1118" s="40" t="s">
        <v>4573</v>
      </c>
      <c r="D1118" s="8"/>
      <c r="E1118" s="8" t="s">
        <v>4574</v>
      </c>
      <c r="F1118" s="90">
        <v>2800.0</v>
      </c>
      <c r="G1118" s="125" t="s">
        <v>4575</v>
      </c>
      <c r="H1118" s="11" t="s">
        <v>3844</v>
      </c>
      <c r="I1118" s="97">
        <v>9.82064495E9</v>
      </c>
      <c r="J1118" s="11" t="s">
        <v>25</v>
      </c>
      <c r="K1118" s="12"/>
      <c r="L1118" s="13"/>
      <c r="M1118" s="14"/>
      <c r="N1118" s="15"/>
      <c r="O1118" s="5" t="s">
        <v>108</v>
      </c>
      <c r="P1118" s="15"/>
      <c r="Q1118" s="15"/>
      <c r="R1118" s="16" t="s">
        <v>28</v>
      </c>
      <c r="S1118" s="15"/>
      <c r="T1118" s="15"/>
      <c r="U1118" s="15"/>
      <c r="V1118" s="15"/>
      <c r="W1118" s="15"/>
      <c r="X1118" s="15"/>
      <c r="Y1118" s="15"/>
      <c r="Z1118" s="15"/>
      <c r="AA1118" s="15"/>
    </row>
    <row r="1119">
      <c r="A1119" s="5" t="s">
        <v>4564</v>
      </c>
      <c r="B1119" s="6" t="s">
        <v>4576</v>
      </c>
      <c r="C1119" s="40" t="s">
        <v>4577</v>
      </c>
      <c r="D1119" s="36"/>
      <c r="E1119" s="36" t="s">
        <v>1182</v>
      </c>
      <c r="F1119" s="9">
        <v>20000.0</v>
      </c>
      <c r="G1119" s="124" t="s">
        <v>4578</v>
      </c>
      <c r="H1119" s="11" t="s">
        <v>44</v>
      </c>
      <c r="I1119" s="97">
        <v>7.551052522E9</v>
      </c>
      <c r="J1119" s="11" t="s">
        <v>25</v>
      </c>
      <c r="K1119" s="12"/>
      <c r="L1119" s="13"/>
      <c r="M1119" s="14"/>
      <c r="N1119" s="15"/>
      <c r="O1119" s="5" t="s">
        <v>26</v>
      </c>
      <c r="P1119" s="5" t="s">
        <v>4579</v>
      </c>
      <c r="Q1119" s="15"/>
      <c r="R1119" s="16" t="s">
        <v>28</v>
      </c>
      <c r="S1119" s="15"/>
      <c r="T1119" s="15"/>
      <c r="U1119" s="15"/>
      <c r="V1119" s="15"/>
      <c r="W1119" s="15"/>
      <c r="X1119" s="15"/>
      <c r="Y1119" s="15"/>
      <c r="Z1119" s="15"/>
      <c r="AA1119" s="15"/>
    </row>
    <row r="1120">
      <c r="A1120" s="5" t="s">
        <v>4564</v>
      </c>
      <c r="B1120" s="6" t="s">
        <v>4580</v>
      </c>
      <c r="C1120" s="40" t="s">
        <v>4581</v>
      </c>
      <c r="D1120" s="8"/>
      <c r="E1120" s="8" t="s">
        <v>202</v>
      </c>
      <c r="F1120" s="90">
        <v>5000.0</v>
      </c>
      <c r="G1120" s="124" t="s">
        <v>4582</v>
      </c>
      <c r="H1120" s="11" t="s">
        <v>44</v>
      </c>
      <c r="I1120" s="97">
        <v>8.637379438E9</v>
      </c>
      <c r="J1120" s="11" t="s">
        <v>25</v>
      </c>
      <c r="K1120" s="12"/>
      <c r="L1120" s="13"/>
      <c r="M1120" s="14"/>
      <c r="N1120" s="15"/>
      <c r="O1120" s="5" t="s">
        <v>34</v>
      </c>
      <c r="P1120" s="5" t="s">
        <v>4583</v>
      </c>
      <c r="Q1120" s="5" t="s">
        <v>2314</v>
      </c>
      <c r="R1120" s="16" t="s">
        <v>28</v>
      </c>
      <c r="S1120" s="15"/>
      <c r="T1120" s="15"/>
      <c r="U1120" s="15"/>
      <c r="V1120" s="15"/>
      <c r="W1120" s="15"/>
      <c r="X1120" s="15"/>
      <c r="Y1120" s="15"/>
      <c r="Z1120" s="15"/>
      <c r="AA1120" s="15"/>
    </row>
    <row r="1121">
      <c r="A1121" s="5" t="s">
        <v>4564</v>
      </c>
      <c r="B1121" s="6" t="s">
        <v>4584</v>
      </c>
      <c r="C1121" s="40" t="s">
        <v>4585</v>
      </c>
      <c r="D1121" s="8"/>
      <c r="E1121" s="8" t="s">
        <v>152</v>
      </c>
      <c r="F1121" s="90">
        <v>2000.0</v>
      </c>
      <c r="G1121" s="97"/>
      <c r="H1121" s="11" t="s">
        <v>507</v>
      </c>
      <c r="I1121" s="97">
        <v>7.76897775E9</v>
      </c>
      <c r="J1121" s="11" t="s">
        <v>25</v>
      </c>
      <c r="K1121" s="12"/>
      <c r="L1121" s="13"/>
      <c r="M1121" s="14"/>
      <c r="N1121" s="15"/>
      <c r="O1121" s="5" t="s">
        <v>108</v>
      </c>
      <c r="P1121" s="15"/>
      <c r="Q1121" s="15"/>
      <c r="R1121" s="16" t="s">
        <v>28</v>
      </c>
      <c r="S1121" s="15"/>
      <c r="T1121" s="15"/>
      <c r="U1121" s="15"/>
      <c r="V1121" s="15"/>
      <c r="W1121" s="15"/>
      <c r="X1121" s="15"/>
      <c r="Y1121" s="15"/>
      <c r="Z1121" s="15"/>
      <c r="AA1121" s="15"/>
    </row>
    <row r="1122">
      <c r="A1122" s="5" t="s">
        <v>4564</v>
      </c>
      <c r="B1122" s="6" t="s">
        <v>4586</v>
      </c>
      <c r="C1122" s="40" t="s">
        <v>4587</v>
      </c>
      <c r="D1122" s="8"/>
      <c r="E1122" s="8" t="s">
        <v>4588</v>
      </c>
      <c r="F1122" s="90">
        <v>1000.0</v>
      </c>
      <c r="G1122" s="97" t="s">
        <v>4589</v>
      </c>
      <c r="H1122" s="11" t="s">
        <v>4590</v>
      </c>
      <c r="I1122" s="97">
        <v>8.017751335E9</v>
      </c>
      <c r="J1122" s="11" t="s">
        <v>25</v>
      </c>
      <c r="K1122" s="12"/>
      <c r="L1122" s="13"/>
      <c r="M1122" s="14"/>
      <c r="N1122" s="15"/>
      <c r="O1122" s="5" t="s">
        <v>564</v>
      </c>
      <c r="P1122" s="15"/>
      <c r="Q1122" s="15"/>
      <c r="R1122" s="16" t="s">
        <v>28</v>
      </c>
      <c r="S1122" s="15"/>
      <c r="T1122" s="15"/>
      <c r="U1122" s="15"/>
      <c r="V1122" s="15"/>
      <c r="W1122" s="15"/>
      <c r="X1122" s="15"/>
      <c r="Y1122" s="15"/>
      <c r="Z1122" s="15"/>
      <c r="AA1122" s="15"/>
    </row>
    <row r="1123">
      <c r="A1123" s="5" t="s">
        <v>4564</v>
      </c>
      <c r="B1123" s="6" t="s">
        <v>4591</v>
      </c>
      <c r="C1123" s="40" t="s">
        <v>4592</v>
      </c>
      <c r="D1123" s="8"/>
      <c r="E1123" s="8" t="s">
        <v>116</v>
      </c>
      <c r="F1123" s="90">
        <v>1000.0</v>
      </c>
      <c r="G1123" s="97" t="s">
        <v>4593</v>
      </c>
      <c r="H1123" s="11" t="s">
        <v>4594</v>
      </c>
      <c r="I1123" s="97">
        <v>9.373852323E9</v>
      </c>
      <c r="J1123" s="11" t="s">
        <v>25</v>
      </c>
      <c r="K1123" s="12"/>
      <c r="L1123" s="13"/>
      <c r="M1123" s="14"/>
      <c r="N1123" s="15"/>
      <c r="O1123" s="5" t="s">
        <v>108</v>
      </c>
      <c r="P1123" s="15"/>
      <c r="Q1123" s="15"/>
      <c r="R1123" s="16" t="s">
        <v>28</v>
      </c>
      <c r="S1123" s="15"/>
      <c r="T1123" s="15"/>
      <c r="U1123" s="15"/>
      <c r="V1123" s="15"/>
      <c r="W1123" s="15"/>
      <c r="X1123" s="15"/>
      <c r="Y1123" s="15"/>
      <c r="Z1123" s="15"/>
      <c r="AA1123" s="15"/>
    </row>
    <row r="1124">
      <c r="A1124" s="5" t="s">
        <v>4564</v>
      </c>
      <c r="B1124" s="6" t="s">
        <v>4595</v>
      </c>
      <c r="C1124" s="40" t="s">
        <v>4596</v>
      </c>
      <c r="D1124" s="8"/>
      <c r="E1124" s="8" t="s">
        <v>3926</v>
      </c>
      <c r="F1124" s="90">
        <v>9000.0</v>
      </c>
      <c r="G1124" s="97" t="s">
        <v>4597</v>
      </c>
      <c r="H1124" s="11" t="s">
        <v>555</v>
      </c>
      <c r="I1124" s="97">
        <v>9.339706471E9</v>
      </c>
      <c r="J1124" s="11" t="s">
        <v>25</v>
      </c>
      <c r="K1124" s="12" t="s">
        <v>4598</v>
      </c>
      <c r="L1124" s="13"/>
      <c r="M1124" s="14"/>
      <c r="N1124" s="15"/>
      <c r="O1124" s="5" t="s">
        <v>564</v>
      </c>
      <c r="P1124" s="5" t="s">
        <v>4599</v>
      </c>
      <c r="Q1124" s="15"/>
      <c r="R1124" s="16" t="s">
        <v>28</v>
      </c>
      <c r="S1124" s="15"/>
      <c r="T1124" s="15"/>
      <c r="U1124" s="15"/>
      <c r="V1124" s="15"/>
      <c r="W1124" s="15"/>
      <c r="X1124" s="15"/>
      <c r="Y1124" s="15"/>
      <c r="Z1124" s="15"/>
      <c r="AA1124" s="15"/>
    </row>
    <row r="1125">
      <c r="A1125" s="5" t="s">
        <v>4564</v>
      </c>
      <c r="B1125" s="6" t="s">
        <v>4600</v>
      </c>
      <c r="C1125" s="40" t="s">
        <v>4601</v>
      </c>
      <c r="D1125" s="8"/>
      <c r="E1125" s="8" t="s">
        <v>116</v>
      </c>
      <c r="F1125" s="90">
        <v>500.0</v>
      </c>
      <c r="G1125" s="97" t="s">
        <v>4602</v>
      </c>
      <c r="H1125" s="11" t="s">
        <v>99</v>
      </c>
      <c r="I1125" s="97">
        <v>7.978207635E9</v>
      </c>
      <c r="J1125" s="11" t="s">
        <v>25</v>
      </c>
      <c r="K1125" s="12"/>
      <c r="L1125" s="13"/>
      <c r="M1125" s="14"/>
      <c r="N1125" s="15"/>
      <c r="O1125" s="5" t="s">
        <v>564</v>
      </c>
      <c r="P1125" s="15"/>
      <c r="Q1125" s="15"/>
      <c r="R1125" s="16" t="s">
        <v>28</v>
      </c>
      <c r="S1125" s="15"/>
      <c r="T1125" s="15"/>
      <c r="U1125" s="15"/>
      <c r="V1125" s="15"/>
      <c r="W1125" s="15"/>
      <c r="X1125" s="15"/>
      <c r="Y1125" s="15"/>
      <c r="Z1125" s="15"/>
      <c r="AA1125" s="15"/>
    </row>
    <row r="1126">
      <c r="A1126" s="5" t="s">
        <v>4564</v>
      </c>
      <c r="B1126" s="6" t="s">
        <v>4603</v>
      </c>
      <c r="C1126" s="40" t="s">
        <v>4604</v>
      </c>
      <c r="D1126" s="8"/>
      <c r="E1126" s="8" t="s">
        <v>152</v>
      </c>
      <c r="F1126" s="90">
        <v>1000.0</v>
      </c>
      <c r="G1126" s="97"/>
      <c r="H1126" s="11" t="s">
        <v>4605</v>
      </c>
      <c r="I1126" s="97">
        <v>9.564269738E9</v>
      </c>
      <c r="J1126" s="11" t="s">
        <v>25</v>
      </c>
      <c r="K1126" s="12"/>
      <c r="L1126" s="13"/>
      <c r="M1126" s="14"/>
      <c r="N1126" s="15"/>
      <c r="O1126" s="5" t="s">
        <v>564</v>
      </c>
      <c r="P1126" s="15"/>
      <c r="Q1126" s="15"/>
      <c r="R1126" s="16" t="s">
        <v>28</v>
      </c>
      <c r="S1126" s="15"/>
      <c r="T1126" s="15"/>
      <c r="U1126" s="15"/>
      <c r="V1126" s="15"/>
      <c r="W1126" s="15"/>
      <c r="X1126" s="15"/>
      <c r="Y1126" s="15"/>
      <c r="Z1126" s="15"/>
      <c r="AA1126" s="15"/>
    </row>
    <row r="1127">
      <c r="A1127" s="5" t="s">
        <v>4564</v>
      </c>
      <c r="B1127" s="6" t="s">
        <v>4606</v>
      </c>
      <c r="C1127" s="40" t="s">
        <v>4607</v>
      </c>
      <c r="D1127" s="8"/>
      <c r="E1127" s="8" t="s">
        <v>4608</v>
      </c>
      <c r="F1127" s="90">
        <v>1000.0</v>
      </c>
      <c r="G1127" s="97" t="s">
        <v>4609</v>
      </c>
      <c r="H1127" s="11" t="s">
        <v>4610</v>
      </c>
      <c r="I1127" s="97">
        <v>8.777853098E9</v>
      </c>
      <c r="J1127" s="11" t="s">
        <v>25</v>
      </c>
      <c r="K1127" s="12"/>
      <c r="L1127" s="13"/>
      <c r="M1127" s="14"/>
      <c r="N1127" s="15"/>
      <c r="O1127" s="5" t="s">
        <v>564</v>
      </c>
      <c r="P1127" s="15"/>
      <c r="Q1127" s="15"/>
      <c r="R1127" s="16" t="s">
        <v>28</v>
      </c>
      <c r="S1127" s="15"/>
      <c r="T1127" s="15"/>
      <c r="U1127" s="15"/>
      <c r="V1127" s="15"/>
      <c r="W1127" s="15"/>
      <c r="X1127" s="15"/>
      <c r="Y1127" s="15"/>
      <c r="Z1127" s="15"/>
      <c r="AA1127" s="15"/>
    </row>
    <row r="1128">
      <c r="A1128" s="5" t="s">
        <v>4564</v>
      </c>
      <c r="B1128" s="6" t="s">
        <v>4611</v>
      </c>
      <c r="C1128" s="40" t="s">
        <v>4612</v>
      </c>
      <c r="D1128" s="8"/>
      <c r="E1128" s="8" t="s">
        <v>4613</v>
      </c>
      <c r="F1128" s="90">
        <v>30000.0</v>
      </c>
      <c r="G1128" s="97" t="s">
        <v>4614</v>
      </c>
      <c r="H1128" s="11" t="s">
        <v>4615</v>
      </c>
      <c r="I1128" s="97">
        <v>8.697944201E9</v>
      </c>
      <c r="J1128" s="11" t="s">
        <v>4008</v>
      </c>
      <c r="K1128" s="12"/>
      <c r="L1128" s="13"/>
      <c r="M1128" s="14"/>
      <c r="N1128" s="15"/>
      <c r="O1128" s="5" t="s">
        <v>564</v>
      </c>
      <c r="P1128" s="15"/>
      <c r="Q1128" s="15"/>
      <c r="R1128" s="16" t="s">
        <v>28</v>
      </c>
      <c r="S1128" s="15"/>
      <c r="T1128" s="15"/>
      <c r="U1128" s="15"/>
      <c r="V1128" s="15"/>
      <c r="W1128" s="15"/>
      <c r="X1128" s="15"/>
      <c r="Y1128" s="15"/>
      <c r="Z1128" s="15"/>
      <c r="AA1128" s="15"/>
    </row>
    <row r="1129">
      <c r="A1129" s="5" t="s">
        <v>4564</v>
      </c>
      <c r="B1129" s="6" t="s">
        <v>4616</v>
      </c>
      <c r="C1129" s="40" t="s">
        <v>4617</v>
      </c>
      <c r="D1129" s="8"/>
      <c r="E1129" s="8" t="s">
        <v>87</v>
      </c>
      <c r="F1129" s="90">
        <v>1500.0</v>
      </c>
      <c r="G1129" s="97" t="s">
        <v>4618</v>
      </c>
      <c r="H1129" s="11" t="s">
        <v>4619</v>
      </c>
      <c r="I1129" s="97">
        <v>9.007004209E9</v>
      </c>
      <c r="J1129" s="11" t="s">
        <v>25</v>
      </c>
      <c r="K1129" s="12"/>
      <c r="L1129" s="13"/>
      <c r="M1129" s="14"/>
      <c r="N1129" s="15"/>
      <c r="O1129" s="5" t="s">
        <v>34</v>
      </c>
      <c r="P1129" s="5" t="s">
        <v>4620</v>
      </c>
      <c r="Q1129" s="15"/>
      <c r="R1129" s="16" t="s">
        <v>28</v>
      </c>
      <c r="S1129" s="15"/>
      <c r="T1129" s="15"/>
      <c r="U1129" s="15"/>
      <c r="V1129" s="15"/>
      <c r="W1129" s="15"/>
      <c r="X1129" s="15"/>
      <c r="Y1129" s="15"/>
      <c r="Z1129" s="15"/>
      <c r="AA1129" s="15"/>
    </row>
    <row r="1130">
      <c r="A1130" s="5" t="s">
        <v>4564</v>
      </c>
      <c r="B1130" s="6" t="s">
        <v>4621</v>
      </c>
      <c r="C1130" s="40" t="s">
        <v>3286</v>
      </c>
      <c r="D1130" s="8"/>
      <c r="E1130" s="8" t="s">
        <v>116</v>
      </c>
      <c r="F1130" s="90">
        <v>22000.0</v>
      </c>
      <c r="G1130" s="97" t="s">
        <v>4622</v>
      </c>
      <c r="H1130" s="11" t="s">
        <v>44</v>
      </c>
      <c r="I1130" s="97">
        <v>9.060573649E9</v>
      </c>
      <c r="J1130" s="11" t="s">
        <v>4008</v>
      </c>
      <c r="K1130" s="12"/>
      <c r="L1130" s="13"/>
      <c r="M1130" s="14"/>
      <c r="N1130" s="15"/>
      <c r="O1130" s="5" t="s">
        <v>564</v>
      </c>
      <c r="P1130" s="15"/>
      <c r="Q1130" s="15"/>
      <c r="R1130" s="16" t="s">
        <v>28</v>
      </c>
      <c r="S1130" s="15"/>
      <c r="T1130" s="15"/>
      <c r="U1130" s="15"/>
      <c r="V1130" s="15"/>
      <c r="W1130" s="15"/>
      <c r="X1130" s="15"/>
      <c r="Y1130" s="15"/>
      <c r="Z1130" s="15"/>
      <c r="AA1130" s="15"/>
    </row>
    <row r="1131">
      <c r="A1131" s="5" t="s">
        <v>4623</v>
      </c>
      <c r="B1131" s="6" t="s">
        <v>4624</v>
      </c>
      <c r="C1131" s="40" t="s">
        <v>4625</v>
      </c>
      <c r="D1131" s="8"/>
      <c r="E1131" s="8" t="s">
        <v>116</v>
      </c>
      <c r="F1131" s="90">
        <v>1000.0</v>
      </c>
      <c r="G1131" s="120" t="s">
        <v>4626</v>
      </c>
      <c r="H1131" s="36" t="s">
        <v>4627</v>
      </c>
      <c r="I1131" s="41" t="s">
        <v>4628</v>
      </c>
      <c r="J1131" s="11" t="s">
        <v>4008</v>
      </c>
      <c r="K1131" s="12" t="s">
        <v>4629</v>
      </c>
      <c r="L1131" s="13"/>
      <c r="M1131" s="14"/>
      <c r="N1131" s="15"/>
      <c r="O1131" s="5" t="s">
        <v>564</v>
      </c>
      <c r="P1131" s="5" t="s">
        <v>4630</v>
      </c>
      <c r="Q1131" s="15"/>
      <c r="R1131" s="16" t="s">
        <v>28</v>
      </c>
      <c r="S1131" s="15"/>
      <c r="T1131" s="15"/>
      <c r="U1131" s="15"/>
      <c r="V1131" s="15"/>
      <c r="W1131" s="15"/>
      <c r="X1131" s="15"/>
      <c r="Y1131" s="15"/>
      <c r="Z1131" s="15"/>
      <c r="AA1131" s="15"/>
    </row>
    <row r="1132">
      <c r="A1132" s="5" t="s">
        <v>4623</v>
      </c>
      <c r="B1132" s="6" t="s">
        <v>4631</v>
      </c>
      <c r="C1132" s="40" t="s">
        <v>4632</v>
      </c>
      <c r="D1132" s="8"/>
      <c r="E1132" s="8" t="s">
        <v>116</v>
      </c>
      <c r="F1132" s="90">
        <v>2000.0</v>
      </c>
      <c r="G1132" s="97" t="s">
        <v>4633</v>
      </c>
      <c r="H1132" s="11" t="s">
        <v>4092</v>
      </c>
      <c r="I1132" s="97">
        <v>7.005865128E9</v>
      </c>
      <c r="J1132" s="11" t="s">
        <v>4008</v>
      </c>
      <c r="K1132" s="12" t="s">
        <v>4634</v>
      </c>
      <c r="L1132" s="13"/>
      <c r="M1132" s="14"/>
      <c r="N1132" s="15"/>
      <c r="O1132" s="5" t="s">
        <v>564</v>
      </c>
      <c r="P1132" s="5" t="s">
        <v>4630</v>
      </c>
      <c r="Q1132" s="15"/>
      <c r="R1132" s="16" t="s">
        <v>28</v>
      </c>
      <c r="S1132" s="15"/>
      <c r="T1132" s="15"/>
      <c r="U1132" s="15"/>
      <c r="V1132" s="15"/>
      <c r="W1132" s="15"/>
      <c r="X1132" s="15"/>
      <c r="Y1132" s="15"/>
      <c r="Z1132" s="15"/>
      <c r="AA1132" s="15"/>
    </row>
    <row r="1133">
      <c r="A1133" s="5" t="s">
        <v>4623</v>
      </c>
      <c r="B1133" s="6" t="s">
        <v>4635</v>
      </c>
      <c r="C1133" s="40" t="s">
        <v>4636</v>
      </c>
      <c r="D1133" s="8"/>
      <c r="E1133" s="8" t="s">
        <v>4608</v>
      </c>
      <c r="F1133" s="90">
        <v>10000.0</v>
      </c>
      <c r="G1133" s="97" t="s">
        <v>4637</v>
      </c>
      <c r="H1133" s="11" t="s">
        <v>4638</v>
      </c>
      <c r="I1133" s="97">
        <v>9.830045597E9</v>
      </c>
      <c r="J1133" s="11" t="s">
        <v>25</v>
      </c>
      <c r="K1133" s="12" t="s">
        <v>2363</v>
      </c>
      <c r="L1133" s="13"/>
      <c r="M1133" s="14"/>
      <c r="N1133" s="15"/>
      <c r="O1133" s="5" t="s">
        <v>564</v>
      </c>
      <c r="P1133" s="15"/>
      <c r="Q1133" s="15"/>
      <c r="R1133" s="16" t="s">
        <v>28</v>
      </c>
      <c r="S1133" s="15"/>
      <c r="T1133" s="15"/>
      <c r="U1133" s="15"/>
      <c r="V1133" s="15"/>
      <c r="W1133" s="15"/>
      <c r="X1133" s="15"/>
      <c r="Y1133" s="15"/>
      <c r="Z1133" s="15"/>
      <c r="AA1133" s="15"/>
    </row>
    <row r="1134">
      <c r="A1134" s="5" t="s">
        <v>4623</v>
      </c>
      <c r="B1134" s="6" t="s">
        <v>4639</v>
      </c>
      <c r="C1134" s="40" t="s">
        <v>4640</v>
      </c>
      <c r="D1134" s="8"/>
      <c r="E1134" s="8" t="s">
        <v>2476</v>
      </c>
      <c r="F1134" s="90">
        <v>2000.0</v>
      </c>
      <c r="G1134" s="97" t="s">
        <v>2830</v>
      </c>
      <c r="H1134" s="11" t="s">
        <v>4641</v>
      </c>
      <c r="I1134" s="97">
        <v>9.832019672E9</v>
      </c>
      <c r="J1134" s="11" t="s">
        <v>25</v>
      </c>
      <c r="K1134" s="12"/>
      <c r="L1134" s="13"/>
      <c r="M1134" s="14"/>
      <c r="N1134" s="15"/>
      <c r="O1134" s="5" t="s">
        <v>564</v>
      </c>
      <c r="P1134" s="15"/>
      <c r="Q1134" s="15"/>
      <c r="R1134" s="16" t="s">
        <v>28</v>
      </c>
      <c r="S1134" s="15"/>
      <c r="T1134" s="15"/>
      <c r="U1134" s="15"/>
      <c r="V1134" s="15"/>
      <c r="W1134" s="15"/>
      <c r="X1134" s="15"/>
      <c r="Y1134" s="15"/>
      <c r="Z1134" s="15"/>
      <c r="AA1134" s="15"/>
    </row>
    <row r="1135">
      <c r="A1135" s="5" t="s">
        <v>4623</v>
      </c>
      <c r="B1135" s="6" t="s">
        <v>4642</v>
      </c>
      <c r="C1135" s="40" t="s">
        <v>4643</v>
      </c>
      <c r="D1135" s="8"/>
      <c r="E1135" s="8" t="s">
        <v>1217</v>
      </c>
      <c r="F1135" s="90">
        <v>1000.0</v>
      </c>
      <c r="G1135" s="97" t="s">
        <v>4644</v>
      </c>
      <c r="H1135" s="11" t="s">
        <v>4645</v>
      </c>
      <c r="I1135" s="97">
        <v>9.832953263E9</v>
      </c>
      <c r="J1135" s="11" t="s">
        <v>25</v>
      </c>
      <c r="K1135" s="12"/>
      <c r="L1135" s="13"/>
      <c r="M1135" s="14"/>
      <c r="N1135" s="15"/>
      <c r="O1135" s="5" t="s">
        <v>564</v>
      </c>
      <c r="P1135" s="5" t="s">
        <v>4646</v>
      </c>
      <c r="Q1135" s="15"/>
      <c r="R1135" s="16" t="s">
        <v>28</v>
      </c>
      <c r="S1135" s="15"/>
      <c r="T1135" s="15"/>
      <c r="U1135" s="15"/>
      <c r="V1135" s="15"/>
      <c r="W1135" s="15"/>
      <c r="X1135" s="15"/>
      <c r="Y1135" s="15"/>
      <c r="Z1135" s="15"/>
      <c r="AA1135" s="15"/>
    </row>
    <row r="1136">
      <c r="A1136" s="5" t="s">
        <v>4623</v>
      </c>
      <c r="B1136" s="6" t="s">
        <v>4647</v>
      </c>
      <c r="C1136" s="40" t="s">
        <v>4648</v>
      </c>
      <c r="D1136" s="8"/>
      <c r="E1136" s="8" t="s">
        <v>178</v>
      </c>
      <c r="F1136" s="90">
        <v>10000.0</v>
      </c>
      <c r="G1136" s="97" t="s">
        <v>4649</v>
      </c>
      <c r="H1136" s="11" t="s">
        <v>4650</v>
      </c>
      <c r="I1136" s="97">
        <v>9.163757684E9</v>
      </c>
      <c r="J1136" s="11" t="s">
        <v>25</v>
      </c>
      <c r="K1136" s="12"/>
      <c r="L1136" s="13"/>
      <c r="M1136" s="14"/>
      <c r="N1136" s="15"/>
      <c r="O1136" s="5" t="s">
        <v>34</v>
      </c>
      <c r="P1136" s="5" t="s">
        <v>4651</v>
      </c>
      <c r="Q1136" s="15"/>
      <c r="R1136" s="16" t="s">
        <v>723</v>
      </c>
      <c r="S1136" s="15"/>
      <c r="T1136" s="15"/>
      <c r="U1136" s="15"/>
      <c r="V1136" s="15"/>
      <c r="W1136" s="15"/>
      <c r="X1136" s="15"/>
      <c r="Y1136" s="15"/>
      <c r="Z1136" s="15"/>
      <c r="AA1136" s="15"/>
    </row>
    <row r="1137">
      <c r="A1137" s="5" t="s">
        <v>4623</v>
      </c>
      <c r="B1137" s="6" t="s">
        <v>4652</v>
      </c>
      <c r="C1137" s="40" t="s">
        <v>4653</v>
      </c>
      <c r="D1137" s="8"/>
      <c r="E1137" s="8" t="s">
        <v>4654</v>
      </c>
      <c r="F1137" s="90" t="s">
        <v>4655</v>
      </c>
      <c r="G1137" s="97"/>
      <c r="H1137" s="11" t="s">
        <v>44</v>
      </c>
      <c r="I1137" s="97">
        <v>6.291409685E9</v>
      </c>
      <c r="J1137" s="11" t="s">
        <v>25</v>
      </c>
      <c r="K1137" s="12"/>
      <c r="L1137" s="13"/>
      <c r="M1137" s="14"/>
      <c r="N1137" s="15"/>
      <c r="O1137" s="5" t="s">
        <v>34</v>
      </c>
      <c r="P1137" s="15"/>
      <c r="Q1137" s="15"/>
      <c r="R1137" s="16" t="s">
        <v>28</v>
      </c>
      <c r="S1137" s="15"/>
      <c r="T1137" s="15"/>
      <c r="U1137" s="15"/>
      <c r="V1137" s="15"/>
      <c r="W1137" s="15"/>
      <c r="X1137" s="15"/>
      <c r="Y1137" s="15"/>
      <c r="Z1137" s="15"/>
      <c r="AA1137" s="15"/>
    </row>
    <row r="1138">
      <c r="A1138" s="5" t="s">
        <v>4623</v>
      </c>
      <c r="B1138" s="6" t="s">
        <v>4652</v>
      </c>
      <c r="C1138" s="40" t="s">
        <v>4656</v>
      </c>
      <c r="D1138" s="8"/>
      <c r="E1138" s="8" t="s">
        <v>523</v>
      </c>
      <c r="F1138" s="90">
        <v>30000.0</v>
      </c>
      <c r="G1138" s="97" t="s">
        <v>4657</v>
      </c>
      <c r="H1138" s="11" t="s">
        <v>4658</v>
      </c>
      <c r="I1138" s="97">
        <v>7.001494802E9</v>
      </c>
      <c r="J1138" s="11" t="s">
        <v>25</v>
      </c>
      <c r="K1138" s="12"/>
      <c r="L1138" s="13"/>
      <c r="M1138" s="14"/>
      <c r="N1138" s="15"/>
      <c r="O1138" s="5" t="s">
        <v>34</v>
      </c>
      <c r="P1138" s="5" t="s">
        <v>4659</v>
      </c>
      <c r="Q1138" s="15"/>
      <c r="R1138" s="16" t="s">
        <v>28</v>
      </c>
      <c r="S1138" s="15"/>
      <c r="T1138" s="15"/>
      <c r="U1138" s="15"/>
      <c r="V1138" s="15"/>
      <c r="W1138" s="15"/>
      <c r="X1138" s="15"/>
      <c r="Y1138" s="15"/>
      <c r="Z1138" s="15"/>
      <c r="AA1138" s="15"/>
    </row>
    <row r="1139">
      <c r="A1139" s="5" t="s">
        <v>4623</v>
      </c>
      <c r="B1139" s="6" t="s">
        <v>4660</v>
      </c>
      <c r="C1139" s="40" t="s">
        <v>4661</v>
      </c>
      <c r="D1139" s="8"/>
      <c r="E1139" s="8" t="s">
        <v>189</v>
      </c>
      <c r="F1139" s="90">
        <v>5000.0</v>
      </c>
      <c r="G1139" s="97" t="s">
        <v>4662</v>
      </c>
      <c r="H1139" s="11" t="s">
        <v>1691</v>
      </c>
      <c r="I1139" s="97">
        <v>9.064094435E9</v>
      </c>
      <c r="J1139" s="11" t="s">
        <v>25</v>
      </c>
      <c r="K1139" s="12"/>
      <c r="L1139" s="13"/>
      <c r="M1139" s="14"/>
      <c r="N1139" s="15"/>
      <c r="O1139" s="5" t="s">
        <v>564</v>
      </c>
      <c r="P1139" s="15"/>
      <c r="Q1139" s="15"/>
      <c r="R1139" s="16" t="s">
        <v>28</v>
      </c>
      <c r="S1139" s="15"/>
      <c r="T1139" s="15"/>
      <c r="U1139" s="15"/>
      <c r="V1139" s="15"/>
      <c r="W1139" s="15"/>
      <c r="X1139" s="15"/>
      <c r="Y1139" s="15"/>
      <c r="Z1139" s="15"/>
      <c r="AA1139" s="15"/>
    </row>
    <row r="1140">
      <c r="A1140" s="5" t="s">
        <v>4663</v>
      </c>
      <c r="B1140" s="6" t="s">
        <v>4664</v>
      </c>
      <c r="C1140" s="40" t="s">
        <v>4665</v>
      </c>
      <c r="D1140" s="8"/>
      <c r="E1140" s="8" t="s">
        <v>2476</v>
      </c>
      <c r="F1140" s="9">
        <v>20000.0</v>
      </c>
      <c r="G1140" s="126" t="s">
        <v>4666</v>
      </c>
      <c r="H1140" s="11" t="s">
        <v>44</v>
      </c>
      <c r="I1140" s="97">
        <v>9.804642081E9</v>
      </c>
      <c r="J1140" s="11" t="s">
        <v>25</v>
      </c>
      <c r="K1140" s="12"/>
      <c r="L1140" s="13"/>
      <c r="M1140" s="14"/>
      <c r="N1140" s="15"/>
      <c r="O1140" s="5" t="s">
        <v>4667</v>
      </c>
      <c r="P1140" s="15"/>
      <c r="Q1140" s="15"/>
      <c r="R1140" s="16" t="s">
        <v>28</v>
      </c>
      <c r="S1140" s="15"/>
      <c r="T1140" s="15"/>
      <c r="U1140" s="15"/>
      <c r="V1140" s="15"/>
      <c r="W1140" s="15"/>
      <c r="X1140" s="15"/>
      <c r="Y1140" s="15"/>
      <c r="Z1140" s="15"/>
      <c r="AA1140" s="15"/>
    </row>
    <row r="1141">
      <c r="A1141" s="5" t="s">
        <v>4663</v>
      </c>
      <c r="B1141" s="6" t="s">
        <v>4668</v>
      </c>
      <c r="C1141" s="40" t="s">
        <v>4669</v>
      </c>
      <c r="D1141" s="8"/>
      <c r="E1141" s="8" t="s">
        <v>1520</v>
      </c>
      <c r="F1141" s="90">
        <v>40000.0</v>
      </c>
      <c r="G1141" s="97" t="s">
        <v>4670</v>
      </c>
      <c r="H1141" s="11" t="s">
        <v>4671</v>
      </c>
      <c r="I1141" s="97" t="s">
        <v>4672</v>
      </c>
      <c r="J1141" s="11" t="s">
        <v>25</v>
      </c>
      <c r="K1141" s="12"/>
      <c r="L1141" s="13"/>
      <c r="M1141" s="14"/>
      <c r="N1141" s="15"/>
      <c r="O1141" s="5" t="s">
        <v>564</v>
      </c>
      <c r="P1141" s="15"/>
      <c r="Q1141" s="15"/>
      <c r="R1141" s="16" t="s">
        <v>28</v>
      </c>
      <c r="S1141" s="15"/>
      <c r="T1141" s="15"/>
      <c r="U1141" s="15"/>
      <c r="V1141" s="15"/>
      <c r="W1141" s="15"/>
      <c r="X1141" s="15"/>
      <c r="Y1141" s="15"/>
      <c r="Z1141" s="15"/>
      <c r="AA1141" s="15"/>
    </row>
    <row r="1142">
      <c r="A1142" s="5" t="s">
        <v>4663</v>
      </c>
      <c r="B1142" s="6" t="s">
        <v>4673</v>
      </c>
      <c r="C1142" s="40" t="s">
        <v>4674</v>
      </c>
      <c r="D1142" s="8"/>
      <c r="E1142" s="8" t="s">
        <v>222</v>
      </c>
      <c r="F1142" s="90">
        <v>30000.0</v>
      </c>
      <c r="G1142" s="97" t="s">
        <v>4675</v>
      </c>
      <c r="H1142" s="11" t="s">
        <v>555</v>
      </c>
      <c r="I1142" s="97">
        <v>8.447799546E9</v>
      </c>
      <c r="J1142" s="11" t="s">
        <v>25</v>
      </c>
      <c r="K1142" s="12"/>
      <c r="L1142" s="13"/>
      <c r="M1142" s="14"/>
      <c r="N1142" s="15"/>
      <c r="O1142" s="5" t="s">
        <v>34</v>
      </c>
      <c r="P1142" s="5" t="s">
        <v>4676</v>
      </c>
      <c r="Q1142" s="15"/>
      <c r="R1142" s="16" t="s">
        <v>723</v>
      </c>
      <c r="S1142" s="15"/>
      <c r="T1142" s="15"/>
      <c r="U1142" s="15"/>
      <c r="V1142" s="15"/>
      <c r="W1142" s="15"/>
      <c r="X1142" s="15"/>
      <c r="Y1142" s="15"/>
      <c r="Z1142" s="15"/>
      <c r="AA1142" s="15"/>
    </row>
    <row r="1143">
      <c r="A1143" s="5" t="s">
        <v>4677</v>
      </c>
      <c r="B1143" s="6" t="s">
        <v>4678</v>
      </c>
      <c r="C1143" s="40" t="s">
        <v>4679</v>
      </c>
      <c r="D1143" s="8"/>
      <c r="E1143" s="8" t="s">
        <v>106</v>
      </c>
      <c r="F1143" s="90">
        <v>8000.0</v>
      </c>
      <c r="G1143" s="97" t="s">
        <v>4680</v>
      </c>
      <c r="H1143" s="11" t="s">
        <v>44</v>
      </c>
      <c r="I1143" s="97">
        <v>9.433036553E9</v>
      </c>
      <c r="J1143" s="11" t="s">
        <v>25</v>
      </c>
      <c r="K1143" s="12"/>
      <c r="L1143" s="13"/>
      <c r="M1143" s="11" t="s">
        <v>4681</v>
      </c>
      <c r="N1143" s="15"/>
      <c r="O1143" s="5" t="s">
        <v>564</v>
      </c>
      <c r="P1143" s="5" t="s">
        <v>1786</v>
      </c>
      <c r="Q1143" s="15"/>
      <c r="R1143" s="16" t="s">
        <v>28</v>
      </c>
      <c r="S1143" s="15"/>
      <c r="T1143" s="15"/>
      <c r="U1143" s="15"/>
      <c r="V1143" s="15"/>
      <c r="W1143" s="15"/>
      <c r="X1143" s="15"/>
      <c r="Y1143" s="15"/>
      <c r="Z1143" s="15"/>
      <c r="AA1143" s="15"/>
    </row>
    <row r="1144">
      <c r="A1144" s="5" t="s">
        <v>4677</v>
      </c>
      <c r="B1144" s="6" t="s">
        <v>4682</v>
      </c>
      <c r="C1144" s="40" t="s">
        <v>4683</v>
      </c>
      <c r="D1144" s="8"/>
      <c r="E1144" s="8" t="s">
        <v>4684</v>
      </c>
      <c r="F1144" s="90">
        <v>1000.0</v>
      </c>
      <c r="G1144" s="97" t="s">
        <v>4685</v>
      </c>
      <c r="H1144" s="11" t="s">
        <v>4686</v>
      </c>
      <c r="I1144" s="97">
        <v>9.830214252E9</v>
      </c>
      <c r="J1144" s="11" t="s">
        <v>25</v>
      </c>
      <c r="K1144" s="12"/>
      <c r="L1144" s="13"/>
      <c r="M1144" s="14"/>
      <c r="N1144" s="15"/>
      <c r="O1144" s="5" t="s">
        <v>34</v>
      </c>
      <c r="P1144" s="5" t="s">
        <v>727</v>
      </c>
      <c r="Q1144" s="5" t="s">
        <v>727</v>
      </c>
      <c r="R1144" s="16" t="s">
        <v>28</v>
      </c>
      <c r="S1144" s="15"/>
      <c r="T1144" s="15"/>
      <c r="U1144" s="15"/>
      <c r="V1144" s="15"/>
      <c r="W1144" s="15"/>
      <c r="X1144" s="15"/>
      <c r="Y1144" s="15"/>
      <c r="Z1144" s="15"/>
      <c r="AA1144" s="15"/>
    </row>
    <row r="1145">
      <c r="A1145" s="5" t="s">
        <v>4677</v>
      </c>
      <c r="B1145" s="6" t="s">
        <v>4687</v>
      </c>
      <c r="C1145" s="40" t="s">
        <v>4688</v>
      </c>
      <c r="D1145" s="8"/>
      <c r="E1145" s="8" t="s">
        <v>794</v>
      </c>
      <c r="F1145" s="90">
        <v>9000.0</v>
      </c>
      <c r="G1145" s="97" t="s">
        <v>4689</v>
      </c>
      <c r="H1145" s="11" t="s">
        <v>44</v>
      </c>
      <c r="I1145" s="97">
        <v>8.91012803E9</v>
      </c>
      <c r="J1145" s="11" t="s">
        <v>25</v>
      </c>
      <c r="K1145" s="12"/>
      <c r="L1145" s="13"/>
      <c r="M1145" s="14"/>
      <c r="N1145" s="15"/>
      <c r="O1145" s="5" t="s">
        <v>564</v>
      </c>
      <c r="P1145" s="15"/>
      <c r="Q1145" s="15"/>
      <c r="R1145" s="16" t="s">
        <v>28</v>
      </c>
      <c r="S1145" s="15"/>
      <c r="T1145" s="15"/>
      <c r="U1145" s="15"/>
      <c r="V1145" s="15"/>
      <c r="W1145" s="15"/>
      <c r="X1145" s="15"/>
      <c r="Y1145" s="15"/>
      <c r="Z1145" s="15"/>
      <c r="AA1145" s="15"/>
    </row>
    <row r="1146">
      <c r="A1146" s="5" t="s">
        <v>4677</v>
      </c>
      <c r="B1146" s="6" t="s">
        <v>4690</v>
      </c>
      <c r="C1146" s="40" t="s">
        <v>4691</v>
      </c>
      <c r="D1146" s="8"/>
      <c r="E1146" s="8" t="s">
        <v>267</v>
      </c>
      <c r="F1146" s="90">
        <v>10000.0</v>
      </c>
      <c r="G1146" s="97" t="s">
        <v>4692</v>
      </c>
      <c r="H1146" s="11" t="s">
        <v>4693</v>
      </c>
      <c r="I1146" s="97">
        <v>9.769980249E9</v>
      </c>
      <c r="J1146" s="11" t="s">
        <v>25</v>
      </c>
      <c r="K1146" s="12"/>
      <c r="L1146" s="13"/>
      <c r="M1146" s="14"/>
      <c r="N1146" s="15"/>
      <c r="O1146" s="5" t="s">
        <v>108</v>
      </c>
      <c r="P1146" s="15"/>
      <c r="Q1146" s="15"/>
      <c r="R1146" s="16" t="s">
        <v>28</v>
      </c>
      <c r="S1146" s="15"/>
      <c r="T1146" s="15"/>
      <c r="U1146" s="15"/>
      <c r="V1146" s="15"/>
      <c r="W1146" s="15"/>
      <c r="X1146" s="15"/>
      <c r="Y1146" s="15"/>
      <c r="Z1146" s="15"/>
      <c r="AA1146" s="15"/>
    </row>
    <row r="1147">
      <c r="A1147" s="5" t="s">
        <v>4694</v>
      </c>
      <c r="B1147" s="6" t="s">
        <v>4695</v>
      </c>
      <c r="C1147" s="40" t="s">
        <v>4696</v>
      </c>
      <c r="D1147" s="40"/>
      <c r="E1147" s="40" t="s">
        <v>4697</v>
      </c>
      <c r="F1147" s="90">
        <v>10000.0</v>
      </c>
      <c r="G1147" s="97" t="s">
        <v>4698</v>
      </c>
      <c r="H1147" s="11" t="s">
        <v>4699</v>
      </c>
      <c r="I1147" s="97">
        <v>9.029022088E9</v>
      </c>
      <c r="J1147" s="11" t="s">
        <v>25</v>
      </c>
      <c r="K1147" s="12"/>
      <c r="L1147" s="13"/>
      <c r="M1147" s="14"/>
      <c r="N1147" s="15"/>
      <c r="O1147" s="5" t="s">
        <v>108</v>
      </c>
      <c r="P1147" s="15"/>
      <c r="Q1147" s="15"/>
      <c r="R1147" s="16" t="s">
        <v>28</v>
      </c>
      <c r="S1147" s="15"/>
      <c r="T1147" s="15"/>
      <c r="U1147" s="15"/>
      <c r="V1147" s="15"/>
      <c r="W1147" s="15"/>
      <c r="X1147" s="15"/>
      <c r="Y1147" s="15"/>
      <c r="Z1147" s="15"/>
      <c r="AA1147" s="15"/>
    </row>
    <row r="1148">
      <c r="A1148" s="5" t="s">
        <v>4694</v>
      </c>
      <c r="B1148" s="6" t="s">
        <v>4700</v>
      </c>
      <c r="C1148" s="40" t="s">
        <v>4701</v>
      </c>
      <c r="D1148" s="8"/>
      <c r="E1148" s="8" t="s">
        <v>222</v>
      </c>
      <c r="F1148" s="90">
        <v>5000.0</v>
      </c>
      <c r="G1148" s="97" t="s">
        <v>4702</v>
      </c>
      <c r="H1148" s="11" t="s">
        <v>44</v>
      </c>
      <c r="I1148" s="97">
        <v>9.830074617E9</v>
      </c>
      <c r="J1148" s="11" t="s">
        <v>25</v>
      </c>
      <c r="K1148" s="12"/>
      <c r="L1148" s="13"/>
      <c r="M1148" s="11" t="s">
        <v>4703</v>
      </c>
      <c r="N1148" s="15"/>
      <c r="O1148" s="5" t="s">
        <v>34</v>
      </c>
      <c r="P1148" s="5" t="s">
        <v>2952</v>
      </c>
      <c r="Q1148" s="15"/>
      <c r="R1148" s="16" t="s">
        <v>723</v>
      </c>
      <c r="S1148" s="15"/>
      <c r="T1148" s="15"/>
      <c r="U1148" s="15"/>
      <c r="V1148" s="15"/>
      <c r="W1148" s="15"/>
      <c r="X1148" s="15"/>
      <c r="Y1148" s="15"/>
      <c r="Z1148" s="15"/>
      <c r="AA1148" s="15"/>
    </row>
    <row r="1149">
      <c r="A1149" s="5" t="s">
        <v>4694</v>
      </c>
      <c r="B1149" s="6" t="s">
        <v>4704</v>
      </c>
      <c r="C1149" s="40" t="s">
        <v>4705</v>
      </c>
      <c r="D1149" s="8"/>
      <c r="E1149" s="8" t="s">
        <v>4000</v>
      </c>
      <c r="F1149" s="90">
        <v>1000.0</v>
      </c>
      <c r="G1149" s="97" t="s">
        <v>4706</v>
      </c>
      <c r="H1149" s="11" t="s">
        <v>472</v>
      </c>
      <c r="I1149" s="97">
        <v>8.597543574E9</v>
      </c>
      <c r="J1149" s="11" t="s">
        <v>25</v>
      </c>
      <c r="K1149" s="12"/>
      <c r="L1149" s="13"/>
      <c r="M1149" s="14"/>
      <c r="N1149" s="15"/>
      <c r="O1149" s="5" t="s">
        <v>564</v>
      </c>
      <c r="P1149" s="5" t="s">
        <v>4707</v>
      </c>
      <c r="Q1149" s="15"/>
      <c r="R1149" s="16" t="s">
        <v>28</v>
      </c>
      <c r="S1149" s="15"/>
      <c r="T1149" s="15"/>
      <c r="U1149" s="15"/>
      <c r="V1149" s="15"/>
      <c r="W1149" s="15"/>
      <c r="X1149" s="15"/>
      <c r="Y1149" s="15"/>
      <c r="Z1149" s="15"/>
      <c r="AA1149" s="15"/>
    </row>
    <row r="1150">
      <c r="A1150" s="5" t="s">
        <v>4694</v>
      </c>
      <c r="B1150" s="6" t="s">
        <v>4708</v>
      </c>
      <c r="C1150" s="40" t="s">
        <v>4709</v>
      </c>
      <c r="D1150" s="8"/>
      <c r="E1150" s="8" t="s">
        <v>189</v>
      </c>
      <c r="F1150" s="90">
        <v>20000.0</v>
      </c>
      <c r="G1150" s="97" t="s">
        <v>4710</v>
      </c>
      <c r="H1150" s="11" t="s">
        <v>4711</v>
      </c>
      <c r="I1150" s="97">
        <v>7.903968509E9</v>
      </c>
      <c r="J1150" s="11" t="s">
        <v>25</v>
      </c>
      <c r="K1150" s="12"/>
      <c r="L1150" s="13"/>
      <c r="M1150" s="14"/>
      <c r="N1150" s="15"/>
      <c r="O1150" s="5" t="s">
        <v>564</v>
      </c>
      <c r="P1150" s="5" t="s">
        <v>4712</v>
      </c>
      <c r="Q1150" s="15"/>
      <c r="R1150" s="16" t="s">
        <v>28</v>
      </c>
      <c r="S1150" s="15"/>
      <c r="T1150" s="15"/>
      <c r="U1150" s="15"/>
      <c r="V1150" s="15"/>
      <c r="W1150" s="15"/>
      <c r="X1150" s="15"/>
      <c r="Y1150" s="15"/>
      <c r="Z1150" s="15"/>
      <c r="AA1150" s="15"/>
    </row>
    <row r="1151">
      <c r="A1151" s="5" t="s">
        <v>1108</v>
      </c>
      <c r="B1151" s="6" t="s">
        <v>4713</v>
      </c>
      <c r="C1151" s="40" t="s">
        <v>4714</v>
      </c>
      <c r="D1151" s="8"/>
      <c r="E1151" s="8" t="s">
        <v>4715</v>
      </c>
      <c r="F1151" s="90">
        <v>1050.0</v>
      </c>
      <c r="G1151" s="97" t="s">
        <v>4716</v>
      </c>
      <c r="H1151" s="11" t="s">
        <v>4717</v>
      </c>
      <c r="I1151" s="97">
        <v>8.981860669E9</v>
      </c>
      <c r="J1151" s="11" t="s">
        <v>25</v>
      </c>
      <c r="K1151" s="12"/>
      <c r="L1151" s="13"/>
      <c r="M1151" s="14"/>
      <c r="N1151" s="15"/>
      <c r="O1151" s="5" t="s">
        <v>34</v>
      </c>
      <c r="P1151" s="5" t="s">
        <v>727</v>
      </c>
      <c r="Q1151" s="15"/>
      <c r="R1151" s="16" t="s">
        <v>28</v>
      </c>
      <c r="S1151" s="15"/>
      <c r="T1151" s="15"/>
      <c r="U1151" s="15"/>
      <c r="V1151" s="15"/>
      <c r="W1151" s="15"/>
      <c r="X1151" s="15"/>
      <c r="Y1151" s="15"/>
      <c r="Z1151" s="15"/>
      <c r="AA1151" s="15"/>
    </row>
    <row r="1152">
      <c r="A1152" s="5" t="s">
        <v>4718</v>
      </c>
      <c r="B1152" s="6" t="s">
        <v>4719</v>
      </c>
      <c r="C1152" s="40" t="s">
        <v>4720</v>
      </c>
      <c r="D1152" s="8"/>
      <c r="E1152" s="8" t="s">
        <v>4721</v>
      </c>
      <c r="F1152" s="90" t="s">
        <v>4722</v>
      </c>
      <c r="G1152" s="97" t="s">
        <v>4723</v>
      </c>
      <c r="H1152" s="11" t="s">
        <v>44</v>
      </c>
      <c r="I1152" s="97">
        <v>9.830875927E9</v>
      </c>
      <c r="J1152" s="11" t="s">
        <v>25</v>
      </c>
      <c r="K1152" s="12"/>
      <c r="L1152" s="13"/>
      <c r="M1152" s="14"/>
      <c r="N1152" s="15"/>
      <c r="O1152" s="5" t="s">
        <v>564</v>
      </c>
      <c r="P1152" s="15"/>
      <c r="Q1152" s="15"/>
      <c r="R1152" s="16" t="s">
        <v>28</v>
      </c>
      <c r="S1152" s="15"/>
      <c r="T1152" s="15"/>
      <c r="U1152" s="15"/>
      <c r="V1152" s="15"/>
      <c r="W1152" s="15"/>
      <c r="X1152" s="15"/>
      <c r="Y1152" s="15"/>
      <c r="Z1152" s="15"/>
      <c r="AA1152" s="15"/>
    </row>
    <row r="1153">
      <c r="A1153" s="5" t="s">
        <v>4718</v>
      </c>
      <c r="B1153" s="6" t="s">
        <v>4724</v>
      </c>
      <c r="C1153" s="40" t="s">
        <v>4725</v>
      </c>
      <c r="D1153" s="8"/>
      <c r="E1153" s="8" t="s">
        <v>43</v>
      </c>
      <c r="F1153" s="90">
        <v>5000.0</v>
      </c>
      <c r="G1153" s="97" t="s">
        <v>4726</v>
      </c>
      <c r="H1153" s="11" t="s">
        <v>3983</v>
      </c>
      <c r="I1153" s="97">
        <v>8.617744112E9</v>
      </c>
      <c r="J1153" s="11" t="s">
        <v>25</v>
      </c>
      <c r="K1153" s="12"/>
      <c r="L1153" s="13"/>
      <c r="M1153" s="11" t="s">
        <v>4727</v>
      </c>
      <c r="N1153" s="15"/>
      <c r="O1153" s="5" t="s">
        <v>34</v>
      </c>
      <c r="P1153" s="5" t="s">
        <v>4138</v>
      </c>
      <c r="Q1153" s="15"/>
      <c r="R1153" s="16" t="s">
        <v>74</v>
      </c>
      <c r="S1153" s="15"/>
      <c r="T1153" s="15"/>
      <c r="U1153" s="15"/>
      <c r="V1153" s="15"/>
      <c r="W1153" s="15"/>
      <c r="X1153" s="15"/>
      <c r="Y1153" s="15"/>
      <c r="Z1153" s="15"/>
      <c r="AA1153" s="15"/>
    </row>
    <row r="1154">
      <c r="A1154" s="5" t="s">
        <v>4718</v>
      </c>
      <c r="B1154" s="6" t="s">
        <v>4728</v>
      </c>
      <c r="C1154" s="40" t="s">
        <v>4729</v>
      </c>
      <c r="D1154" s="8"/>
      <c r="E1154" s="8" t="s">
        <v>4000</v>
      </c>
      <c r="F1154" s="90">
        <v>1500.0</v>
      </c>
      <c r="G1154" s="97" t="s">
        <v>4730</v>
      </c>
      <c r="H1154" s="11" t="s">
        <v>4155</v>
      </c>
      <c r="I1154" s="97">
        <v>8.910371058E9</v>
      </c>
      <c r="J1154" s="11" t="s">
        <v>25</v>
      </c>
      <c r="K1154" s="12"/>
      <c r="L1154" s="13"/>
      <c r="M1154" s="14"/>
      <c r="N1154" s="15"/>
      <c r="O1154" s="5" t="s">
        <v>564</v>
      </c>
      <c r="P1154" s="5" t="s">
        <v>4731</v>
      </c>
      <c r="Q1154" s="15"/>
      <c r="R1154" s="16" t="s">
        <v>28</v>
      </c>
      <c r="S1154" s="15"/>
      <c r="T1154" s="15"/>
      <c r="U1154" s="15"/>
      <c r="V1154" s="15"/>
      <c r="W1154" s="15"/>
      <c r="X1154" s="15"/>
      <c r="Y1154" s="15"/>
      <c r="Z1154" s="15"/>
      <c r="AA1154" s="15"/>
    </row>
    <row r="1155">
      <c r="A1155" s="5" t="s">
        <v>4718</v>
      </c>
      <c r="B1155" s="6" t="s">
        <v>4732</v>
      </c>
      <c r="C1155" s="40" t="s">
        <v>4733</v>
      </c>
      <c r="D1155" s="8"/>
      <c r="E1155" s="8" t="s">
        <v>43</v>
      </c>
      <c r="F1155" s="90">
        <v>1500.0</v>
      </c>
      <c r="G1155" s="97"/>
      <c r="H1155" s="11" t="s">
        <v>977</v>
      </c>
      <c r="I1155" s="97">
        <v>8.210347724E9</v>
      </c>
      <c r="J1155" s="11" t="s">
        <v>25</v>
      </c>
      <c r="K1155" s="12"/>
      <c r="L1155" s="13"/>
      <c r="M1155" s="14"/>
      <c r="N1155" s="15"/>
      <c r="O1155" s="5" t="s">
        <v>564</v>
      </c>
      <c r="P1155" s="15"/>
      <c r="Q1155" s="15"/>
      <c r="R1155" s="16" t="s">
        <v>28</v>
      </c>
      <c r="S1155" s="15"/>
      <c r="T1155" s="15"/>
      <c r="U1155" s="15"/>
      <c r="V1155" s="15"/>
      <c r="W1155" s="15"/>
      <c r="X1155" s="15"/>
      <c r="Y1155" s="15"/>
      <c r="Z1155" s="15"/>
      <c r="AA1155" s="15"/>
    </row>
    <row r="1156">
      <c r="A1156" s="5" t="s">
        <v>4718</v>
      </c>
      <c r="B1156" s="6" t="s">
        <v>4734</v>
      </c>
      <c r="C1156" s="40" t="s">
        <v>4735</v>
      </c>
      <c r="D1156" s="8"/>
      <c r="E1156" s="8" t="s">
        <v>625</v>
      </c>
      <c r="F1156" s="90">
        <v>2000.0</v>
      </c>
      <c r="G1156" s="97" t="s">
        <v>4736</v>
      </c>
      <c r="H1156" s="11" t="s">
        <v>4737</v>
      </c>
      <c r="I1156" s="97">
        <v>9.593322356E9</v>
      </c>
      <c r="J1156" s="11" t="s">
        <v>25</v>
      </c>
      <c r="K1156" s="12"/>
      <c r="L1156" s="13"/>
      <c r="M1156" s="14"/>
      <c r="N1156" s="15"/>
      <c r="O1156" s="5" t="s">
        <v>564</v>
      </c>
      <c r="P1156" s="5" t="s">
        <v>4738</v>
      </c>
      <c r="Q1156" s="15"/>
      <c r="R1156" s="16" t="s">
        <v>28</v>
      </c>
      <c r="S1156" s="15"/>
      <c r="T1156" s="15"/>
      <c r="U1156" s="15"/>
      <c r="V1156" s="15"/>
      <c r="W1156" s="15"/>
      <c r="X1156" s="15"/>
      <c r="Y1156" s="15"/>
      <c r="Z1156" s="15"/>
      <c r="AA1156" s="15"/>
    </row>
    <row r="1157">
      <c r="A1157" s="5" t="s">
        <v>4718</v>
      </c>
      <c r="B1157" s="6" t="s">
        <v>4739</v>
      </c>
      <c r="C1157" s="40" t="s">
        <v>4740</v>
      </c>
      <c r="D1157" s="8"/>
      <c r="E1157" s="8" t="s">
        <v>501</v>
      </c>
      <c r="F1157" s="90">
        <v>6500.0</v>
      </c>
      <c r="G1157" s="97" t="s">
        <v>4741</v>
      </c>
      <c r="H1157" s="11" t="s">
        <v>44</v>
      </c>
      <c r="I1157" s="97">
        <v>9.830196516E9</v>
      </c>
      <c r="J1157" s="11" t="s">
        <v>25</v>
      </c>
      <c r="K1157" s="12" t="s">
        <v>4742</v>
      </c>
      <c r="L1157" s="13"/>
      <c r="M1157" s="14"/>
      <c r="N1157" s="15"/>
      <c r="O1157" s="5" t="s">
        <v>564</v>
      </c>
      <c r="P1157" s="5" t="s">
        <v>4743</v>
      </c>
      <c r="Q1157" s="15"/>
      <c r="R1157" s="16" t="s">
        <v>28</v>
      </c>
      <c r="S1157" s="15"/>
      <c r="T1157" s="15"/>
      <c r="U1157" s="15"/>
      <c r="V1157" s="15"/>
      <c r="W1157" s="15"/>
      <c r="X1157" s="15"/>
      <c r="Y1157" s="15"/>
      <c r="Z1157" s="15"/>
      <c r="AA1157" s="15"/>
    </row>
    <row r="1158">
      <c r="A1158" s="5" t="s">
        <v>4718</v>
      </c>
      <c r="B1158" s="6" t="s">
        <v>4744</v>
      </c>
      <c r="C1158" s="40" t="s">
        <v>2051</v>
      </c>
      <c r="D1158" s="8"/>
      <c r="E1158" s="8" t="s">
        <v>718</v>
      </c>
      <c r="F1158" s="90">
        <v>24000.0</v>
      </c>
      <c r="G1158" s="97" t="s">
        <v>2053</v>
      </c>
      <c r="H1158" s="11" t="s">
        <v>472</v>
      </c>
      <c r="I1158" s="97">
        <v>9.986872087E9</v>
      </c>
      <c r="J1158" s="11" t="s">
        <v>25</v>
      </c>
      <c r="K1158" s="12"/>
      <c r="L1158" s="13"/>
      <c r="M1158" s="14"/>
      <c r="N1158" s="15"/>
      <c r="O1158" s="5" t="s">
        <v>34</v>
      </c>
      <c r="P1158" s="5" t="s">
        <v>727</v>
      </c>
      <c r="Q1158" s="15"/>
      <c r="R1158" s="16" t="s">
        <v>28</v>
      </c>
      <c r="S1158" s="15"/>
      <c r="T1158" s="15"/>
      <c r="U1158" s="15"/>
      <c r="V1158" s="15"/>
      <c r="W1158" s="15"/>
      <c r="X1158" s="15"/>
      <c r="Y1158" s="15"/>
      <c r="Z1158" s="15"/>
      <c r="AA1158" s="15"/>
    </row>
    <row r="1159">
      <c r="A1159" s="5" t="s">
        <v>4718</v>
      </c>
      <c r="B1159" s="6" t="s">
        <v>4745</v>
      </c>
      <c r="C1159" s="40" t="s">
        <v>4746</v>
      </c>
      <c r="D1159" s="8"/>
      <c r="E1159" s="8" t="s">
        <v>4747</v>
      </c>
      <c r="F1159" s="90">
        <v>15000.0</v>
      </c>
      <c r="G1159" s="97" t="s">
        <v>4748</v>
      </c>
      <c r="H1159" s="11" t="s">
        <v>4749</v>
      </c>
      <c r="I1159" s="97">
        <v>6.202192446E9</v>
      </c>
      <c r="J1159" s="11" t="s">
        <v>4008</v>
      </c>
      <c r="K1159" s="12"/>
      <c r="L1159" s="13"/>
      <c r="M1159" s="14"/>
      <c r="N1159" s="15"/>
      <c r="O1159" s="5" t="s">
        <v>34</v>
      </c>
      <c r="P1159" s="15"/>
      <c r="Q1159" s="15"/>
      <c r="R1159" s="16" t="s">
        <v>28</v>
      </c>
      <c r="S1159" s="15"/>
      <c r="T1159" s="15"/>
      <c r="U1159" s="15"/>
      <c r="V1159" s="15"/>
      <c r="W1159" s="15"/>
      <c r="X1159" s="15"/>
      <c r="Y1159" s="15"/>
      <c r="Z1159" s="15"/>
      <c r="AA1159" s="15"/>
    </row>
    <row r="1160">
      <c r="A1160" s="5" t="s">
        <v>4718</v>
      </c>
      <c r="B1160" s="6" t="s">
        <v>4750</v>
      </c>
      <c r="C1160" s="40" t="s">
        <v>4751</v>
      </c>
      <c r="D1160" s="8"/>
      <c r="E1160" s="8" t="s">
        <v>4096</v>
      </c>
      <c r="F1160" s="90">
        <v>27000.0</v>
      </c>
      <c r="G1160" s="97"/>
      <c r="H1160" s="11" t="s">
        <v>1445</v>
      </c>
      <c r="I1160" s="97">
        <v>6.268575785E9</v>
      </c>
      <c r="J1160" s="11" t="s">
        <v>25</v>
      </c>
      <c r="K1160" s="12"/>
      <c r="L1160" s="13"/>
      <c r="M1160" s="14"/>
      <c r="N1160" s="15"/>
      <c r="O1160" s="5" t="s">
        <v>108</v>
      </c>
      <c r="P1160" s="15"/>
      <c r="Q1160" s="15"/>
      <c r="R1160" s="16" t="s">
        <v>28</v>
      </c>
      <c r="S1160" s="15"/>
      <c r="T1160" s="15"/>
      <c r="U1160" s="15"/>
      <c r="V1160" s="15"/>
      <c r="W1160" s="15"/>
      <c r="X1160" s="15"/>
      <c r="Y1160" s="15"/>
      <c r="Z1160" s="15"/>
      <c r="AA1160" s="15"/>
    </row>
    <row r="1161">
      <c r="A1161" s="5" t="s">
        <v>4752</v>
      </c>
      <c r="B1161" s="6" t="s">
        <v>4753</v>
      </c>
      <c r="C1161" s="40" t="s">
        <v>4754</v>
      </c>
      <c r="D1161" s="8"/>
      <c r="E1161" s="8" t="s">
        <v>872</v>
      </c>
      <c r="F1161" s="90">
        <v>500.0</v>
      </c>
      <c r="G1161" s="97" t="s">
        <v>4755</v>
      </c>
      <c r="H1161" s="11" t="s">
        <v>44</v>
      </c>
      <c r="I1161" s="97">
        <v>9.830265047E9</v>
      </c>
      <c r="J1161" s="11" t="s">
        <v>4008</v>
      </c>
      <c r="K1161" s="12"/>
      <c r="L1161" s="13"/>
      <c r="M1161" s="14"/>
      <c r="N1161" s="15"/>
      <c r="O1161" s="5" t="s">
        <v>564</v>
      </c>
      <c r="P1161" s="15"/>
      <c r="Q1161" s="15"/>
      <c r="R1161" s="16" t="s">
        <v>28</v>
      </c>
      <c r="S1161" s="15"/>
      <c r="T1161" s="15"/>
      <c r="U1161" s="15"/>
      <c r="V1161" s="15"/>
      <c r="W1161" s="15"/>
      <c r="X1161" s="15"/>
      <c r="Y1161" s="15"/>
      <c r="Z1161" s="15"/>
      <c r="AA1161" s="15"/>
    </row>
    <row r="1162">
      <c r="A1162" s="5" t="s">
        <v>4752</v>
      </c>
      <c r="B1162" s="6" t="s">
        <v>4756</v>
      </c>
      <c r="C1162" s="40" t="s">
        <v>4757</v>
      </c>
      <c r="D1162" s="8"/>
      <c r="E1162" s="8" t="s">
        <v>130</v>
      </c>
      <c r="F1162" s="90">
        <v>60000.0</v>
      </c>
      <c r="G1162" s="97" t="s">
        <v>4758</v>
      </c>
      <c r="H1162" s="11" t="s">
        <v>3090</v>
      </c>
      <c r="I1162" s="97">
        <v>9.830203011E9</v>
      </c>
      <c r="J1162" s="11" t="s">
        <v>25</v>
      </c>
      <c r="K1162" s="12"/>
      <c r="L1162" s="13"/>
      <c r="M1162" s="14"/>
      <c r="N1162" s="15"/>
      <c r="O1162" s="5" t="s">
        <v>564</v>
      </c>
      <c r="P1162" s="15"/>
      <c r="Q1162" s="15"/>
      <c r="R1162" s="16" t="s">
        <v>28</v>
      </c>
      <c r="S1162" s="15"/>
      <c r="T1162" s="15"/>
      <c r="U1162" s="15"/>
      <c r="V1162" s="15"/>
      <c r="W1162" s="15"/>
      <c r="X1162" s="15"/>
      <c r="Y1162" s="15"/>
      <c r="Z1162" s="15"/>
      <c r="AA1162" s="15"/>
    </row>
    <row r="1163">
      <c r="A1163" s="5" t="s">
        <v>4752</v>
      </c>
      <c r="B1163" s="6" t="s">
        <v>4759</v>
      </c>
      <c r="C1163" s="40" t="s">
        <v>4760</v>
      </c>
      <c r="D1163" s="8"/>
      <c r="E1163" s="8" t="s">
        <v>222</v>
      </c>
      <c r="F1163" s="90">
        <v>500.0</v>
      </c>
      <c r="G1163" s="97" t="s">
        <v>4761</v>
      </c>
      <c r="H1163" s="11" t="s">
        <v>4762</v>
      </c>
      <c r="I1163" s="97">
        <v>9.607973851E9</v>
      </c>
      <c r="J1163" s="11" t="s">
        <v>25</v>
      </c>
      <c r="K1163" s="12"/>
      <c r="L1163" s="13"/>
      <c r="M1163" s="14"/>
      <c r="N1163" s="15"/>
      <c r="O1163" s="5" t="s">
        <v>108</v>
      </c>
      <c r="P1163" s="15"/>
      <c r="Q1163" s="15"/>
      <c r="R1163" s="16" t="s">
        <v>28</v>
      </c>
      <c r="S1163" s="15"/>
      <c r="T1163" s="15"/>
      <c r="U1163" s="15"/>
      <c r="V1163" s="15"/>
      <c r="W1163" s="15"/>
      <c r="X1163" s="15"/>
      <c r="Y1163" s="15"/>
      <c r="Z1163" s="15"/>
      <c r="AA1163" s="15"/>
    </row>
    <row r="1164">
      <c r="A1164" s="5" t="s">
        <v>4752</v>
      </c>
      <c r="B1164" s="6" t="s">
        <v>4763</v>
      </c>
      <c r="C1164" s="40" t="s">
        <v>4764</v>
      </c>
      <c r="D1164" s="8"/>
      <c r="E1164" s="8" t="s">
        <v>4765</v>
      </c>
      <c r="F1164" s="90">
        <v>50.0</v>
      </c>
      <c r="G1164" s="97"/>
      <c r="H1164" s="11" t="s">
        <v>4766</v>
      </c>
      <c r="I1164" s="97">
        <v>9.831460188E9</v>
      </c>
      <c r="J1164" s="11" t="s">
        <v>4767</v>
      </c>
      <c r="K1164" s="12"/>
      <c r="L1164" s="13"/>
      <c r="M1164" s="11" t="s">
        <v>4768</v>
      </c>
      <c r="N1164" s="15"/>
      <c r="O1164" s="5" t="s">
        <v>34</v>
      </c>
      <c r="P1164" s="5" t="s">
        <v>3725</v>
      </c>
      <c r="Q1164" s="15"/>
      <c r="R1164" s="16" t="s">
        <v>74</v>
      </c>
      <c r="S1164" s="15"/>
      <c r="T1164" s="15"/>
      <c r="U1164" s="15"/>
      <c r="V1164" s="15"/>
      <c r="W1164" s="15"/>
      <c r="X1164" s="15"/>
      <c r="Y1164" s="15"/>
      <c r="Z1164" s="15"/>
      <c r="AA1164" s="15"/>
    </row>
    <row r="1165">
      <c r="A1165" s="5" t="s">
        <v>4752</v>
      </c>
      <c r="B1165" s="6" t="s">
        <v>4769</v>
      </c>
      <c r="C1165" s="40" t="s">
        <v>4770</v>
      </c>
      <c r="D1165" s="8"/>
      <c r="E1165" s="8" t="s">
        <v>116</v>
      </c>
      <c r="F1165" s="90">
        <v>2500.0</v>
      </c>
      <c r="G1165" s="97" t="s">
        <v>4771</v>
      </c>
      <c r="H1165" s="11" t="s">
        <v>555</v>
      </c>
      <c r="I1165" s="97">
        <v>9.835598473E9</v>
      </c>
      <c r="J1165" s="11" t="s">
        <v>4008</v>
      </c>
      <c r="K1165" s="12"/>
      <c r="L1165" s="13"/>
      <c r="M1165" s="14"/>
      <c r="N1165" s="15"/>
      <c r="O1165" s="5" t="s">
        <v>564</v>
      </c>
      <c r="P1165" s="15"/>
      <c r="Q1165" s="15"/>
      <c r="R1165" s="16" t="s">
        <v>28</v>
      </c>
      <c r="S1165" s="15"/>
      <c r="T1165" s="15"/>
      <c r="U1165" s="15"/>
      <c r="V1165" s="15"/>
      <c r="W1165" s="15"/>
      <c r="X1165" s="15"/>
      <c r="Y1165" s="15"/>
      <c r="Z1165" s="15"/>
      <c r="AA1165" s="15"/>
    </row>
    <row r="1166">
      <c r="A1166" s="5" t="s">
        <v>4752</v>
      </c>
      <c r="B1166" s="6" t="s">
        <v>4772</v>
      </c>
      <c r="C1166" s="40" t="s">
        <v>4773</v>
      </c>
      <c r="D1166" s="8"/>
      <c r="E1166" s="8" t="s">
        <v>116</v>
      </c>
      <c r="F1166" s="90">
        <v>500.0</v>
      </c>
      <c r="G1166" s="97"/>
      <c r="H1166" s="11" t="s">
        <v>4774</v>
      </c>
      <c r="I1166" s="97">
        <v>9.903456707E9</v>
      </c>
      <c r="J1166" s="11" t="s">
        <v>4008</v>
      </c>
      <c r="K1166" s="12"/>
      <c r="L1166" s="13"/>
      <c r="M1166" s="14"/>
      <c r="N1166" s="15"/>
      <c r="O1166" s="5" t="s">
        <v>564</v>
      </c>
      <c r="P1166" s="15"/>
      <c r="Q1166" s="15"/>
      <c r="R1166" s="16" t="s">
        <v>28</v>
      </c>
      <c r="S1166" s="15"/>
      <c r="T1166" s="15"/>
      <c r="U1166" s="15"/>
      <c r="V1166" s="15"/>
      <c r="W1166" s="15"/>
      <c r="X1166" s="15"/>
      <c r="Y1166" s="15"/>
      <c r="Z1166" s="15"/>
      <c r="AA1166" s="15"/>
    </row>
    <row r="1167">
      <c r="A1167" s="5" t="s">
        <v>4752</v>
      </c>
      <c r="B1167" s="6" t="s">
        <v>4775</v>
      </c>
      <c r="C1167" s="40" t="s">
        <v>4776</v>
      </c>
      <c r="D1167" s="8"/>
      <c r="E1167" s="8" t="s">
        <v>1217</v>
      </c>
      <c r="F1167" s="90">
        <v>10000.0</v>
      </c>
      <c r="G1167" s="97" t="s">
        <v>4777</v>
      </c>
      <c r="H1167" s="11" t="s">
        <v>985</v>
      </c>
      <c r="I1167" s="97">
        <v>9.851855369E9</v>
      </c>
      <c r="J1167" s="11" t="s">
        <v>25</v>
      </c>
      <c r="K1167" s="12" t="s">
        <v>4778</v>
      </c>
      <c r="L1167" s="13"/>
      <c r="M1167" s="14"/>
      <c r="N1167" s="15"/>
      <c r="O1167" s="5" t="s">
        <v>564</v>
      </c>
      <c r="P1167" s="5" t="s">
        <v>1943</v>
      </c>
      <c r="Q1167" s="15"/>
      <c r="R1167" s="16" t="s">
        <v>28</v>
      </c>
      <c r="S1167" s="15"/>
      <c r="T1167" s="15"/>
      <c r="U1167" s="15"/>
      <c r="V1167" s="15"/>
      <c r="W1167" s="15"/>
      <c r="X1167" s="15"/>
      <c r="Y1167" s="15"/>
      <c r="Z1167" s="15"/>
      <c r="AA1167" s="15"/>
    </row>
    <row r="1168">
      <c r="A1168" s="5" t="s">
        <v>4779</v>
      </c>
      <c r="B1168" s="6" t="s">
        <v>4780</v>
      </c>
      <c r="C1168" s="40" t="s">
        <v>4781</v>
      </c>
      <c r="D1168" s="8"/>
      <c r="E1168" s="8" t="s">
        <v>4782</v>
      </c>
      <c r="F1168" s="90">
        <v>25000.0</v>
      </c>
      <c r="G1168" s="97" t="s">
        <v>4783</v>
      </c>
      <c r="H1168" s="11" t="s">
        <v>44</v>
      </c>
      <c r="I1168" s="97">
        <v>9.163398598E9</v>
      </c>
      <c r="J1168" s="11" t="s">
        <v>25</v>
      </c>
      <c r="K1168" s="12"/>
      <c r="L1168" s="13"/>
      <c r="M1168" s="14"/>
      <c r="N1168" s="15"/>
      <c r="O1168" s="5" t="s">
        <v>564</v>
      </c>
      <c r="P1168" s="15"/>
      <c r="Q1168" s="15"/>
      <c r="R1168" s="16" t="s">
        <v>28</v>
      </c>
      <c r="S1168" s="15"/>
      <c r="T1168" s="15"/>
      <c r="U1168" s="15"/>
      <c r="V1168" s="15"/>
      <c r="W1168" s="15"/>
      <c r="X1168" s="15"/>
      <c r="Y1168" s="15"/>
      <c r="Z1168" s="15"/>
      <c r="AA1168" s="15"/>
    </row>
    <row r="1169">
      <c r="A1169" s="5" t="s">
        <v>4779</v>
      </c>
      <c r="B1169" s="6" t="s">
        <v>4784</v>
      </c>
      <c r="C1169" s="40" t="s">
        <v>4785</v>
      </c>
      <c r="D1169" s="8"/>
      <c r="E1169" s="8" t="s">
        <v>4786</v>
      </c>
      <c r="F1169" s="90">
        <v>500.0</v>
      </c>
      <c r="G1169" s="97" t="s">
        <v>4787</v>
      </c>
      <c r="H1169" s="11" t="s">
        <v>4788</v>
      </c>
      <c r="I1169" s="97">
        <v>6.290047342E9</v>
      </c>
      <c r="J1169" s="11" t="s">
        <v>25</v>
      </c>
      <c r="K1169" s="12"/>
      <c r="L1169" s="13"/>
      <c r="M1169" s="14"/>
      <c r="N1169" s="15"/>
      <c r="O1169" s="5" t="s">
        <v>34</v>
      </c>
      <c r="P1169" s="5" t="s">
        <v>727</v>
      </c>
      <c r="Q1169" s="15"/>
      <c r="R1169" s="16" t="s">
        <v>28</v>
      </c>
      <c r="S1169" s="15"/>
      <c r="T1169" s="15"/>
      <c r="U1169" s="15"/>
      <c r="V1169" s="15"/>
      <c r="W1169" s="15"/>
      <c r="X1169" s="15"/>
      <c r="Y1169" s="15"/>
      <c r="Z1169" s="15"/>
      <c r="AA1169" s="15"/>
    </row>
    <row r="1170">
      <c r="A1170" s="5" t="s">
        <v>4779</v>
      </c>
      <c r="B1170" s="6" t="s">
        <v>4789</v>
      </c>
      <c r="C1170" s="40" t="s">
        <v>4790</v>
      </c>
      <c r="D1170" s="8"/>
      <c r="E1170" s="8" t="s">
        <v>4684</v>
      </c>
      <c r="F1170" s="90">
        <v>5000.0</v>
      </c>
      <c r="G1170" s="97" t="s">
        <v>4791</v>
      </c>
      <c r="H1170" s="11" t="s">
        <v>44</v>
      </c>
      <c r="I1170" s="97">
        <v>9.073303942E9</v>
      </c>
      <c r="J1170" s="11" t="s">
        <v>25</v>
      </c>
      <c r="K1170" s="12"/>
      <c r="L1170" s="13"/>
      <c r="M1170" s="14"/>
      <c r="N1170" s="15"/>
      <c r="O1170" s="5" t="s">
        <v>564</v>
      </c>
      <c r="P1170" s="15"/>
      <c r="Q1170" s="15"/>
      <c r="R1170" s="16" t="s">
        <v>28</v>
      </c>
      <c r="S1170" s="15"/>
      <c r="T1170" s="15"/>
      <c r="U1170" s="15"/>
      <c r="V1170" s="15"/>
      <c r="W1170" s="15"/>
      <c r="X1170" s="15"/>
      <c r="Y1170" s="15"/>
      <c r="Z1170" s="15"/>
      <c r="AA1170" s="15"/>
    </row>
    <row r="1171">
      <c r="A1171" s="5" t="s">
        <v>4792</v>
      </c>
      <c r="B1171" s="6" t="s">
        <v>4793</v>
      </c>
      <c r="C1171" s="40" t="s">
        <v>4794</v>
      </c>
      <c r="D1171" s="8"/>
      <c r="E1171" s="8" t="s">
        <v>794</v>
      </c>
      <c r="F1171" s="90">
        <v>20000.0</v>
      </c>
      <c r="G1171" s="97" t="s">
        <v>4795</v>
      </c>
      <c r="H1171" s="11" t="s">
        <v>283</v>
      </c>
      <c r="I1171" s="97">
        <v>9.333232384E9</v>
      </c>
      <c r="J1171" s="11" t="s">
        <v>25</v>
      </c>
      <c r="K1171" s="12" t="s">
        <v>1623</v>
      </c>
      <c r="L1171" s="13"/>
      <c r="M1171" s="14"/>
      <c r="N1171" s="15"/>
      <c r="O1171" s="5" t="s">
        <v>564</v>
      </c>
      <c r="P1171" s="5" t="s">
        <v>27</v>
      </c>
      <c r="Q1171" s="15"/>
      <c r="R1171" s="16" t="s">
        <v>28</v>
      </c>
      <c r="S1171" s="15"/>
      <c r="T1171" s="15"/>
      <c r="U1171" s="15"/>
      <c r="V1171" s="15"/>
      <c r="W1171" s="15"/>
      <c r="X1171" s="15"/>
      <c r="Y1171" s="15"/>
      <c r="Z1171" s="15"/>
      <c r="AA1171" s="15"/>
    </row>
    <row r="1172">
      <c r="A1172" s="5" t="s">
        <v>4792</v>
      </c>
      <c r="B1172" s="6" t="s">
        <v>4796</v>
      </c>
      <c r="C1172" s="40" t="s">
        <v>4797</v>
      </c>
      <c r="D1172" s="8"/>
      <c r="E1172" s="8" t="s">
        <v>202</v>
      </c>
      <c r="F1172" s="90">
        <v>24000.0</v>
      </c>
      <c r="G1172" s="97" t="s">
        <v>4798</v>
      </c>
      <c r="H1172" s="11" t="s">
        <v>2478</v>
      </c>
      <c r="I1172" s="97">
        <v>9.804519938E9</v>
      </c>
      <c r="J1172" s="11" t="s">
        <v>25</v>
      </c>
      <c r="K1172" s="12"/>
      <c r="L1172" s="13"/>
      <c r="M1172" s="14"/>
      <c r="N1172" s="15"/>
      <c r="O1172" s="5" t="s">
        <v>34</v>
      </c>
      <c r="P1172" s="5" t="s">
        <v>4799</v>
      </c>
      <c r="Q1172" s="15"/>
      <c r="R1172" s="16" t="s">
        <v>723</v>
      </c>
      <c r="S1172" s="15"/>
      <c r="T1172" s="15"/>
      <c r="U1172" s="15"/>
      <c r="V1172" s="15"/>
      <c r="W1172" s="15"/>
      <c r="X1172" s="15"/>
      <c r="Y1172" s="15"/>
      <c r="Z1172" s="15"/>
      <c r="AA1172" s="15"/>
    </row>
    <row r="1173">
      <c r="A1173" s="5" t="s">
        <v>4792</v>
      </c>
      <c r="B1173" s="6" t="s">
        <v>4800</v>
      </c>
      <c r="C1173" s="40" t="s">
        <v>4801</v>
      </c>
      <c r="D1173" s="8"/>
      <c r="E1173" s="8" t="s">
        <v>568</v>
      </c>
      <c r="F1173" s="90">
        <v>1000.0</v>
      </c>
      <c r="G1173" s="97" t="s">
        <v>4802</v>
      </c>
      <c r="H1173" s="11" t="s">
        <v>4803</v>
      </c>
      <c r="I1173" s="97">
        <v>9.831738325E9</v>
      </c>
      <c r="J1173" s="11" t="s">
        <v>4008</v>
      </c>
      <c r="K1173" s="12" t="s">
        <v>4804</v>
      </c>
      <c r="L1173" s="13"/>
      <c r="M1173" s="14"/>
      <c r="N1173" s="15"/>
      <c r="O1173" s="5" t="s">
        <v>564</v>
      </c>
      <c r="P1173" s="5" t="s">
        <v>4805</v>
      </c>
      <c r="Q1173" s="15"/>
      <c r="R1173" s="16" t="s">
        <v>28</v>
      </c>
      <c r="S1173" s="15"/>
      <c r="T1173" s="15"/>
      <c r="U1173" s="15"/>
      <c r="V1173" s="15"/>
      <c r="W1173" s="15"/>
      <c r="X1173" s="15"/>
      <c r="Y1173" s="15"/>
      <c r="Z1173" s="15"/>
      <c r="AA1173" s="15"/>
    </row>
    <row r="1174">
      <c r="A1174" s="5" t="s">
        <v>4792</v>
      </c>
      <c r="B1174" s="6" t="s">
        <v>4806</v>
      </c>
      <c r="C1174" s="40" t="s">
        <v>4807</v>
      </c>
      <c r="D1174" s="8"/>
      <c r="E1174" s="8" t="s">
        <v>38</v>
      </c>
      <c r="F1174" s="90">
        <v>620.0</v>
      </c>
      <c r="G1174" s="97" t="s">
        <v>4808</v>
      </c>
      <c r="H1174" s="11" t="s">
        <v>44</v>
      </c>
      <c r="I1174" s="97">
        <v>9.477225037E9</v>
      </c>
      <c r="J1174" s="11" t="s">
        <v>25</v>
      </c>
      <c r="K1174" s="12" t="s">
        <v>1636</v>
      </c>
      <c r="L1174" s="13"/>
      <c r="M1174" s="14"/>
      <c r="N1174" s="15"/>
      <c r="O1174" s="5" t="s">
        <v>564</v>
      </c>
      <c r="P1174" s="5" t="s">
        <v>3448</v>
      </c>
      <c r="Q1174" s="5" t="s">
        <v>4809</v>
      </c>
      <c r="R1174" s="16" t="s">
        <v>28</v>
      </c>
      <c r="S1174" s="15"/>
      <c r="T1174" s="15"/>
      <c r="U1174" s="15"/>
      <c r="V1174" s="15"/>
      <c r="W1174" s="15"/>
      <c r="X1174" s="15"/>
      <c r="Y1174" s="15"/>
      <c r="Z1174" s="15"/>
      <c r="AA1174" s="15"/>
    </row>
    <row r="1175">
      <c r="A1175" s="5" t="s">
        <v>4792</v>
      </c>
      <c r="B1175" s="6" t="s">
        <v>4810</v>
      </c>
      <c r="C1175" s="40" t="s">
        <v>4811</v>
      </c>
      <c r="D1175" s="8"/>
      <c r="E1175" s="8" t="s">
        <v>43</v>
      </c>
      <c r="F1175" s="90">
        <v>10000.0</v>
      </c>
      <c r="G1175" s="97" t="s">
        <v>4812</v>
      </c>
      <c r="H1175" s="11" t="s">
        <v>4615</v>
      </c>
      <c r="I1175" s="97">
        <v>6.289904017E9</v>
      </c>
      <c r="J1175" s="11" t="s">
        <v>25</v>
      </c>
      <c r="K1175" s="12"/>
      <c r="L1175" s="13"/>
      <c r="M1175" s="14"/>
      <c r="N1175" s="15"/>
      <c r="O1175" s="5" t="s">
        <v>564</v>
      </c>
      <c r="P1175" s="15"/>
      <c r="Q1175" s="15"/>
      <c r="R1175" s="16" t="s">
        <v>28</v>
      </c>
      <c r="S1175" s="15"/>
      <c r="T1175" s="15"/>
      <c r="U1175" s="15"/>
      <c r="V1175" s="15"/>
      <c r="W1175" s="15"/>
      <c r="X1175" s="15"/>
      <c r="Y1175" s="15"/>
      <c r="Z1175" s="15"/>
      <c r="AA1175" s="15"/>
    </row>
    <row r="1176">
      <c r="A1176" s="5" t="s">
        <v>4792</v>
      </c>
      <c r="B1176" s="6" t="s">
        <v>4813</v>
      </c>
      <c r="C1176" s="40" t="s">
        <v>4814</v>
      </c>
      <c r="D1176" s="8"/>
      <c r="E1176" s="8" t="s">
        <v>568</v>
      </c>
      <c r="F1176" s="90">
        <v>10000.0</v>
      </c>
      <c r="G1176" s="97" t="s">
        <v>4815</v>
      </c>
      <c r="H1176" s="11" t="s">
        <v>977</v>
      </c>
      <c r="I1176" s="97">
        <v>9.33421781E9</v>
      </c>
      <c r="J1176" s="11" t="s">
        <v>25</v>
      </c>
      <c r="K1176" s="12" t="s">
        <v>4804</v>
      </c>
      <c r="L1176" s="13"/>
      <c r="M1176" s="14"/>
      <c r="N1176" s="15"/>
      <c r="O1176" s="5" t="s">
        <v>564</v>
      </c>
      <c r="P1176" s="15"/>
      <c r="Q1176" s="15"/>
      <c r="R1176" s="16" t="s">
        <v>28</v>
      </c>
      <c r="S1176" s="15"/>
      <c r="T1176" s="15"/>
      <c r="U1176" s="15"/>
      <c r="V1176" s="15"/>
      <c r="W1176" s="15"/>
      <c r="X1176" s="15"/>
      <c r="Y1176" s="15"/>
      <c r="Z1176" s="15"/>
      <c r="AA1176" s="15"/>
    </row>
    <row r="1177">
      <c r="A1177" s="5" t="s">
        <v>4792</v>
      </c>
      <c r="B1177" s="6" t="s">
        <v>4816</v>
      </c>
      <c r="C1177" s="40" t="s">
        <v>4817</v>
      </c>
      <c r="D1177" s="8"/>
      <c r="E1177" s="8" t="s">
        <v>1023</v>
      </c>
      <c r="F1177" s="90">
        <v>2000.0</v>
      </c>
      <c r="G1177" s="97" t="s">
        <v>4818</v>
      </c>
      <c r="H1177" s="11" t="s">
        <v>268</v>
      </c>
      <c r="I1177" s="97">
        <v>9.735018273E9</v>
      </c>
      <c r="J1177" s="11" t="s">
        <v>25</v>
      </c>
      <c r="K1177" s="12"/>
      <c r="L1177" s="13"/>
      <c r="M1177" s="11" t="s">
        <v>4819</v>
      </c>
      <c r="N1177" s="15"/>
      <c r="O1177" s="5" t="s">
        <v>34</v>
      </c>
      <c r="P1177" s="5" t="s">
        <v>777</v>
      </c>
      <c r="Q1177" s="15"/>
      <c r="R1177" s="16" t="s">
        <v>723</v>
      </c>
      <c r="S1177" s="15"/>
      <c r="T1177" s="15"/>
      <c r="U1177" s="15"/>
      <c r="V1177" s="15"/>
      <c r="W1177" s="15"/>
      <c r="X1177" s="15"/>
      <c r="Y1177" s="15"/>
      <c r="Z1177" s="15"/>
      <c r="AA1177" s="15"/>
    </row>
    <row r="1178">
      <c r="A1178" s="5" t="s">
        <v>4792</v>
      </c>
      <c r="B1178" s="6" t="s">
        <v>4820</v>
      </c>
      <c r="C1178" s="40" t="s">
        <v>4714</v>
      </c>
      <c r="D1178" s="8"/>
      <c r="E1178" s="8" t="s">
        <v>4715</v>
      </c>
      <c r="F1178" s="90">
        <v>600.0</v>
      </c>
      <c r="G1178" s="97" t="s">
        <v>4821</v>
      </c>
      <c r="H1178" s="11" t="s">
        <v>4717</v>
      </c>
      <c r="I1178" s="97">
        <v>8.981860669E9</v>
      </c>
      <c r="J1178" s="11" t="s">
        <v>25</v>
      </c>
      <c r="K1178" s="12"/>
      <c r="L1178" s="13"/>
      <c r="M1178" s="11" t="s">
        <v>4822</v>
      </c>
      <c r="N1178" s="15"/>
      <c r="O1178" s="5" t="s">
        <v>34</v>
      </c>
      <c r="P1178" s="5" t="s">
        <v>79</v>
      </c>
      <c r="Q1178" s="15"/>
      <c r="R1178" s="16" t="s">
        <v>28</v>
      </c>
      <c r="S1178" s="15"/>
      <c r="T1178" s="15"/>
      <c r="U1178" s="15"/>
      <c r="V1178" s="15"/>
      <c r="W1178" s="15"/>
      <c r="X1178" s="15"/>
      <c r="Y1178" s="15"/>
      <c r="Z1178" s="15"/>
      <c r="AA1178" s="15"/>
    </row>
    <row r="1179">
      <c r="A1179" s="5" t="s">
        <v>4792</v>
      </c>
      <c r="B1179" s="6" t="s">
        <v>4823</v>
      </c>
      <c r="C1179" s="40" t="s">
        <v>4824</v>
      </c>
      <c r="D1179" s="8"/>
      <c r="E1179" s="8" t="s">
        <v>222</v>
      </c>
      <c r="F1179" s="90">
        <v>10000.0</v>
      </c>
      <c r="G1179" s="97" t="s">
        <v>4825</v>
      </c>
      <c r="H1179" s="11" t="s">
        <v>1414</v>
      </c>
      <c r="I1179" s="97">
        <v>9.851821805E9</v>
      </c>
      <c r="J1179" s="11" t="s">
        <v>25</v>
      </c>
      <c r="K1179" s="12"/>
      <c r="L1179" s="13"/>
      <c r="M1179" s="14"/>
      <c r="N1179" s="15"/>
      <c r="O1179" s="5" t="s">
        <v>34</v>
      </c>
      <c r="P1179" s="5" t="s">
        <v>55</v>
      </c>
      <c r="Q1179" s="15"/>
      <c r="R1179" s="16" t="s">
        <v>723</v>
      </c>
      <c r="S1179" s="15"/>
      <c r="T1179" s="15"/>
      <c r="U1179" s="15"/>
      <c r="V1179" s="15"/>
      <c r="W1179" s="15"/>
      <c r="X1179" s="15"/>
      <c r="Y1179" s="15"/>
      <c r="Z1179" s="15"/>
      <c r="AA1179" s="15"/>
    </row>
    <row r="1180">
      <c r="A1180" s="5" t="s">
        <v>4792</v>
      </c>
      <c r="B1180" s="6" t="s">
        <v>4826</v>
      </c>
      <c r="C1180" s="127" t="s">
        <v>4424</v>
      </c>
      <c r="D1180" s="8"/>
      <c r="E1180" s="8" t="s">
        <v>53</v>
      </c>
      <c r="F1180" s="90">
        <v>40000.0</v>
      </c>
      <c r="G1180" s="97" t="s">
        <v>4827</v>
      </c>
      <c r="H1180" s="11" t="s">
        <v>4828</v>
      </c>
      <c r="I1180" s="97">
        <v>9.831160925E9</v>
      </c>
      <c r="J1180" s="11" t="s">
        <v>25</v>
      </c>
      <c r="K1180" s="12"/>
      <c r="L1180" s="13"/>
      <c r="M1180" s="14"/>
      <c r="N1180" s="15"/>
      <c r="O1180" s="5" t="s">
        <v>34</v>
      </c>
      <c r="P1180" s="15"/>
      <c r="Q1180" s="15"/>
      <c r="R1180" s="16" t="s">
        <v>28</v>
      </c>
      <c r="S1180" s="15"/>
      <c r="T1180" s="15"/>
      <c r="U1180" s="15"/>
      <c r="V1180" s="15"/>
      <c r="W1180" s="15"/>
      <c r="X1180" s="15"/>
      <c r="Y1180" s="15"/>
      <c r="Z1180" s="15"/>
      <c r="AA1180" s="15"/>
    </row>
    <row r="1181">
      <c r="A1181" s="5" t="s">
        <v>4792</v>
      </c>
      <c r="B1181" s="6" t="s">
        <v>4829</v>
      </c>
      <c r="C1181" s="40" t="s">
        <v>4830</v>
      </c>
      <c r="D1181" s="8"/>
      <c r="E1181" s="8" t="s">
        <v>130</v>
      </c>
      <c r="F1181" s="90">
        <v>20000.0</v>
      </c>
      <c r="G1181" s="97" t="s">
        <v>4831</v>
      </c>
      <c r="H1181" s="11" t="s">
        <v>4832</v>
      </c>
      <c r="I1181" s="97">
        <v>9.775433555E9</v>
      </c>
      <c r="J1181" s="11" t="s">
        <v>25</v>
      </c>
      <c r="K1181" s="12"/>
      <c r="L1181" s="13"/>
      <c r="M1181" s="11" t="s">
        <v>4833</v>
      </c>
      <c r="N1181" s="15"/>
      <c r="O1181" s="5" t="s">
        <v>34</v>
      </c>
      <c r="P1181" s="5" t="s">
        <v>79</v>
      </c>
      <c r="Q1181" s="15"/>
      <c r="R1181" s="16" t="s">
        <v>28</v>
      </c>
      <c r="S1181" s="15"/>
      <c r="T1181" s="15"/>
      <c r="U1181" s="15"/>
      <c r="V1181" s="15"/>
      <c r="W1181" s="15"/>
      <c r="X1181" s="15"/>
      <c r="Y1181" s="15"/>
      <c r="Z1181" s="15"/>
      <c r="AA1181" s="15"/>
    </row>
    <row r="1182">
      <c r="A1182" s="5" t="s">
        <v>4792</v>
      </c>
      <c r="B1182" s="6" t="s">
        <v>4834</v>
      </c>
      <c r="C1182" s="40" t="s">
        <v>4835</v>
      </c>
      <c r="D1182" s="8"/>
      <c r="E1182" s="8" t="s">
        <v>794</v>
      </c>
      <c r="F1182" s="90">
        <v>20000.0</v>
      </c>
      <c r="G1182" s="97" t="s">
        <v>4836</v>
      </c>
      <c r="H1182" s="11" t="s">
        <v>4436</v>
      </c>
      <c r="I1182" s="97">
        <v>7.979847475E9</v>
      </c>
      <c r="J1182" s="11" t="s">
        <v>4008</v>
      </c>
      <c r="K1182" s="12" t="s">
        <v>1623</v>
      </c>
      <c r="L1182" s="13"/>
      <c r="M1182" s="14"/>
      <c r="N1182" s="15"/>
      <c r="O1182" s="5" t="s">
        <v>564</v>
      </c>
      <c r="P1182" s="5" t="s">
        <v>1619</v>
      </c>
      <c r="Q1182" s="15"/>
      <c r="R1182" s="16" t="s">
        <v>28</v>
      </c>
      <c r="S1182" s="15"/>
      <c r="T1182" s="15"/>
      <c r="U1182" s="15"/>
      <c r="V1182" s="15"/>
      <c r="W1182" s="15"/>
      <c r="X1182" s="15"/>
      <c r="Y1182" s="15"/>
      <c r="Z1182" s="15"/>
      <c r="AA1182" s="15"/>
    </row>
    <row r="1183">
      <c r="A1183" s="5" t="s">
        <v>4837</v>
      </c>
      <c r="B1183" s="6" t="s">
        <v>4838</v>
      </c>
      <c r="C1183" s="40" t="s">
        <v>4839</v>
      </c>
      <c r="D1183" s="8"/>
      <c r="E1183" s="8" t="s">
        <v>189</v>
      </c>
      <c r="F1183" s="90">
        <v>5000.0</v>
      </c>
      <c r="G1183" s="97" t="s">
        <v>4840</v>
      </c>
      <c r="H1183" s="11" t="s">
        <v>4841</v>
      </c>
      <c r="I1183" s="97">
        <v>7.866965959E9</v>
      </c>
      <c r="J1183" s="11" t="s">
        <v>25</v>
      </c>
      <c r="K1183" s="12"/>
      <c r="L1183" s="13"/>
      <c r="M1183" s="11" t="s">
        <v>4727</v>
      </c>
      <c r="N1183" s="15"/>
      <c r="O1183" s="5" t="s">
        <v>34</v>
      </c>
      <c r="P1183" s="5" t="s">
        <v>4842</v>
      </c>
      <c r="Q1183" s="5" t="s">
        <v>727</v>
      </c>
      <c r="R1183" s="16" t="s">
        <v>28</v>
      </c>
      <c r="S1183" s="15"/>
      <c r="T1183" s="15"/>
      <c r="U1183" s="15"/>
      <c r="V1183" s="15"/>
      <c r="W1183" s="15"/>
      <c r="X1183" s="15"/>
      <c r="Y1183" s="15"/>
      <c r="Z1183" s="15"/>
      <c r="AA1183" s="15"/>
    </row>
    <row r="1184">
      <c r="A1184" s="5" t="s">
        <v>4837</v>
      </c>
      <c r="B1184" s="6" t="s">
        <v>4843</v>
      </c>
      <c r="C1184" s="40" t="s">
        <v>4844</v>
      </c>
      <c r="D1184" s="8"/>
      <c r="E1184" s="8" t="s">
        <v>1080</v>
      </c>
      <c r="F1184" s="90">
        <v>2000.0</v>
      </c>
      <c r="G1184" s="97" t="s">
        <v>4845</v>
      </c>
      <c r="H1184" s="11" t="s">
        <v>44</v>
      </c>
      <c r="I1184" s="97">
        <v>7.003142354E9</v>
      </c>
      <c r="J1184" s="11" t="s">
        <v>25</v>
      </c>
      <c r="K1184" s="12"/>
      <c r="L1184" s="13"/>
      <c r="M1184" s="14"/>
      <c r="N1184" s="15"/>
      <c r="O1184" s="5" t="s">
        <v>564</v>
      </c>
      <c r="P1184" s="15"/>
      <c r="Q1184" s="15"/>
      <c r="R1184" s="16" t="s">
        <v>28</v>
      </c>
      <c r="S1184" s="15"/>
      <c r="T1184" s="15"/>
      <c r="U1184" s="15"/>
      <c r="V1184" s="15"/>
      <c r="W1184" s="15"/>
      <c r="X1184" s="15"/>
      <c r="Y1184" s="15"/>
      <c r="Z1184" s="15"/>
      <c r="AA1184" s="15"/>
    </row>
    <row r="1185">
      <c r="A1185" s="5" t="s">
        <v>4837</v>
      </c>
      <c r="B1185" s="6" t="s">
        <v>4846</v>
      </c>
      <c r="C1185" s="40" t="s">
        <v>4847</v>
      </c>
      <c r="D1185" s="8"/>
      <c r="E1185" s="8" t="s">
        <v>4848</v>
      </c>
      <c r="F1185" s="90">
        <v>500.0</v>
      </c>
      <c r="G1185" s="97" t="s">
        <v>4849</v>
      </c>
      <c r="H1185" s="11" t="s">
        <v>472</v>
      </c>
      <c r="I1185" s="97">
        <v>7.908737308E9</v>
      </c>
      <c r="J1185" s="11" t="s">
        <v>25</v>
      </c>
      <c r="K1185" s="12"/>
      <c r="L1185" s="13"/>
      <c r="M1185" s="14"/>
      <c r="N1185" s="15"/>
      <c r="O1185" s="5" t="s">
        <v>34</v>
      </c>
      <c r="P1185" s="5" t="s">
        <v>4850</v>
      </c>
      <c r="Q1185" s="5" t="s">
        <v>727</v>
      </c>
      <c r="R1185" s="16" t="s">
        <v>723</v>
      </c>
      <c r="S1185" s="15"/>
      <c r="T1185" s="15"/>
      <c r="U1185" s="15"/>
      <c r="V1185" s="15"/>
      <c r="W1185" s="15"/>
      <c r="X1185" s="15"/>
      <c r="Y1185" s="15"/>
      <c r="Z1185" s="15"/>
      <c r="AA1185" s="15"/>
    </row>
    <row r="1186">
      <c r="A1186" s="5" t="s">
        <v>4837</v>
      </c>
      <c r="B1186" s="6" t="s">
        <v>4851</v>
      </c>
      <c r="C1186" s="40" t="s">
        <v>4852</v>
      </c>
      <c r="D1186" s="8"/>
      <c r="E1186" s="8" t="s">
        <v>4853</v>
      </c>
      <c r="F1186" s="90">
        <v>10000.0</v>
      </c>
      <c r="G1186" s="97" t="s">
        <v>4854</v>
      </c>
      <c r="H1186" s="11" t="s">
        <v>44</v>
      </c>
      <c r="I1186" s="97">
        <v>9.733637947E9</v>
      </c>
      <c r="J1186" s="11" t="s">
        <v>25</v>
      </c>
      <c r="K1186" s="12"/>
      <c r="L1186" s="13"/>
      <c r="M1186" s="14"/>
      <c r="N1186" s="15"/>
      <c r="O1186" s="5" t="s">
        <v>564</v>
      </c>
      <c r="P1186" s="15"/>
      <c r="Q1186" s="15"/>
      <c r="R1186" s="16" t="s">
        <v>28</v>
      </c>
      <c r="S1186" s="15"/>
      <c r="T1186" s="15"/>
      <c r="U1186" s="15"/>
      <c r="V1186" s="15"/>
      <c r="W1186" s="15"/>
      <c r="X1186" s="15"/>
      <c r="Y1186" s="15"/>
      <c r="Z1186" s="15"/>
      <c r="AA1186" s="15"/>
    </row>
    <row r="1187">
      <c r="A1187" s="5" t="s">
        <v>4837</v>
      </c>
      <c r="B1187" s="6" t="s">
        <v>4855</v>
      </c>
      <c r="C1187" s="40" t="s">
        <v>4856</v>
      </c>
      <c r="D1187" s="8"/>
      <c r="E1187" s="8" t="s">
        <v>130</v>
      </c>
      <c r="F1187" s="90">
        <v>500.0</v>
      </c>
      <c r="G1187" s="97" t="s">
        <v>4857</v>
      </c>
      <c r="H1187" s="11" t="s">
        <v>24</v>
      </c>
      <c r="I1187" s="97">
        <v>7.970756108E9</v>
      </c>
      <c r="J1187" s="11" t="s">
        <v>25</v>
      </c>
      <c r="K1187" s="12"/>
      <c r="L1187" s="13"/>
      <c r="M1187" s="14"/>
      <c r="N1187" s="15"/>
      <c r="O1187" s="5" t="s">
        <v>564</v>
      </c>
      <c r="P1187" s="15"/>
      <c r="Q1187" s="15"/>
      <c r="R1187" s="16" t="s">
        <v>28</v>
      </c>
      <c r="S1187" s="15"/>
      <c r="T1187" s="15"/>
      <c r="U1187" s="15"/>
      <c r="V1187" s="15"/>
      <c r="W1187" s="15"/>
      <c r="X1187" s="15"/>
      <c r="Y1187" s="15"/>
      <c r="Z1187" s="15"/>
      <c r="AA1187" s="15"/>
    </row>
    <row r="1188">
      <c r="A1188" s="5" t="s">
        <v>4858</v>
      </c>
      <c r="B1188" s="6" t="s">
        <v>4859</v>
      </c>
      <c r="C1188" s="40" t="s">
        <v>4860</v>
      </c>
      <c r="D1188" s="8"/>
      <c r="E1188" s="8" t="s">
        <v>116</v>
      </c>
      <c r="F1188" s="90">
        <v>1000.0</v>
      </c>
      <c r="G1188" s="97" t="s">
        <v>4861</v>
      </c>
      <c r="H1188" s="11" t="s">
        <v>4862</v>
      </c>
      <c r="I1188" s="97">
        <v>7.407531106E9</v>
      </c>
      <c r="J1188" s="11" t="s">
        <v>25</v>
      </c>
      <c r="K1188" s="12"/>
      <c r="L1188" s="13"/>
      <c r="M1188" s="14"/>
      <c r="N1188" s="15"/>
      <c r="O1188" s="5" t="s">
        <v>564</v>
      </c>
      <c r="P1188" s="15"/>
      <c r="Q1188" s="15"/>
      <c r="R1188" s="16" t="s">
        <v>28</v>
      </c>
      <c r="S1188" s="15"/>
      <c r="T1188" s="15"/>
      <c r="U1188" s="15"/>
      <c r="V1188" s="15"/>
      <c r="W1188" s="15"/>
      <c r="X1188" s="15"/>
      <c r="Y1188" s="15"/>
      <c r="Z1188" s="15"/>
      <c r="AA1188" s="15"/>
    </row>
    <row r="1189">
      <c r="A1189" s="5" t="s">
        <v>4858</v>
      </c>
      <c r="B1189" s="6" t="s">
        <v>4863</v>
      </c>
      <c r="C1189" s="40" t="s">
        <v>4864</v>
      </c>
      <c r="D1189" s="8"/>
      <c r="E1189" s="8" t="s">
        <v>130</v>
      </c>
      <c r="F1189" s="90">
        <v>25000.0</v>
      </c>
      <c r="G1189" s="97" t="s">
        <v>4865</v>
      </c>
      <c r="H1189" s="11" t="s">
        <v>4866</v>
      </c>
      <c r="I1189" s="97">
        <v>8.210143036E9</v>
      </c>
      <c r="J1189" s="11" t="s">
        <v>25</v>
      </c>
      <c r="K1189" s="12"/>
      <c r="L1189" s="13"/>
      <c r="M1189" s="14"/>
      <c r="N1189" s="15"/>
      <c r="O1189" s="5" t="s">
        <v>34</v>
      </c>
      <c r="P1189" s="5" t="s">
        <v>727</v>
      </c>
      <c r="Q1189" s="15"/>
      <c r="R1189" s="16" t="s">
        <v>28</v>
      </c>
      <c r="S1189" s="15"/>
      <c r="T1189" s="15"/>
      <c r="U1189" s="15"/>
      <c r="V1189" s="15"/>
      <c r="W1189" s="15"/>
      <c r="X1189" s="15"/>
      <c r="Y1189" s="15"/>
      <c r="Z1189" s="15"/>
      <c r="AA1189" s="15"/>
    </row>
    <row r="1190">
      <c r="A1190" s="5" t="s">
        <v>4858</v>
      </c>
      <c r="B1190" s="6" t="s">
        <v>4867</v>
      </c>
      <c r="C1190" s="40" t="s">
        <v>4868</v>
      </c>
      <c r="D1190" s="8"/>
      <c r="E1190" s="8" t="s">
        <v>4869</v>
      </c>
      <c r="F1190" s="90">
        <v>200.0</v>
      </c>
      <c r="G1190" s="128" t="s">
        <v>4870</v>
      </c>
      <c r="H1190" s="11" t="s">
        <v>4871</v>
      </c>
      <c r="I1190" s="97">
        <v>9.657489812E9</v>
      </c>
      <c r="J1190" s="11" t="s">
        <v>25</v>
      </c>
      <c r="K1190" s="12"/>
      <c r="L1190" s="13"/>
      <c r="M1190" s="11" t="s">
        <v>4872</v>
      </c>
      <c r="N1190" s="15"/>
      <c r="O1190" s="5" t="s">
        <v>34</v>
      </c>
      <c r="P1190" s="5" t="s">
        <v>4873</v>
      </c>
      <c r="Q1190" s="15"/>
      <c r="R1190" s="16" t="s">
        <v>74</v>
      </c>
      <c r="S1190" s="15"/>
      <c r="T1190" s="15"/>
      <c r="U1190" s="15"/>
      <c r="V1190" s="15"/>
      <c r="W1190" s="15"/>
      <c r="X1190" s="15"/>
      <c r="Y1190" s="15"/>
      <c r="Z1190" s="15"/>
      <c r="AA1190" s="15"/>
    </row>
    <row r="1191">
      <c r="A1191" s="5" t="s">
        <v>4858</v>
      </c>
      <c r="B1191" s="6" t="s">
        <v>4874</v>
      </c>
      <c r="C1191" s="40" t="s">
        <v>4875</v>
      </c>
      <c r="D1191" s="8"/>
      <c r="E1191" s="8" t="s">
        <v>130</v>
      </c>
      <c r="F1191" s="90">
        <v>10000.0</v>
      </c>
      <c r="G1191" s="97" t="s">
        <v>4876</v>
      </c>
      <c r="H1191" s="11" t="s">
        <v>4877</v>
      </c>
      <c r="I1191" s="97">
        <v>9.065784221E9</v>
      </c>
      <c r="J1191" s="11" t="s">
        <v>25</v>
      </c>
      <c r="K1191" s="12"/>
      <c r="L1191" s="13"/>
      <c r="M1191" s="14"/>
      <c r="N1191" s="15"/>
      <c r="O1191" s="5" t="s">
        <v>564</v>
      </c>
      <c r="P1191" s="15"/>
      <c r="Q1191" s="15"/>
      <c r="R1191" s="16" t="s">
        <v>28</v>
      </c>
      <c r="S1191" s="15"/>
      <c r="T1191" s="15"/>
      <c r="U1191" s="15"/>
      <c r="V1191" s="15"/>
      <c r="W1191" s="15"/>
      <c r="X1191" s="15"/>
      <c r="Y1191" s="15"/>
      <c r="Z1191" s="15"/>
      <c r="AA1191" s="15"/>
    </row>
    <row r="1192">
      <c r="A1192" s="5" t="s">
        <v>4858</v>
      </c>
      <c r="B1192" s="6" t="s">
        <v>4878</v>
      </c>
      <c r="C1192" s="40" t="s">
        <v>4879</v>
      </c>
      <c r="D1192" s="8"/>
      <c r="E1192" s="8" t="s">
        <v>4171</v>
      </c>
      <c r="F1192" s="90">
        <v>1000.0</v>
      </c>
      <c r="G1192" s="97" t="s">
        <v>4880</v>
      </c>
      <c r="H1192" s="11" t="s">
        <v>44</v>
      </c>
      <c r="I1192" s="97">
        <v>9.05150377E9</v>
      </c>
      <c r="J1192" s="11" t="s">
        <v>25</v>
      </c>
      <c r="K1192" s="12"/>
      <c r="L1192" s="13"/>
      <c r="M1192" s="14"/>
      <c r="N1192" s="15"/>
      <c r="O1192" s="5" t="s">
        <v>564</v>
      </c>
      <c r="P1192" s="15"/>
      <c r="Q1192" s="15"/>
      <c r="R1192" s="16" t="s">
        <v>28</v>
      </c>
      <c r="S1192" s="15"/>
      <c r="T1192" s="15"/>
      <c r="U1192" s="15"/>
      <c r="V1192" s="15"/>
      <c r="W1192" s="15"/>
      <c r="X1192" s="15"/>
      <c r="Y1192" s="15"/>
      <c r="Z1192" s="15"/>
      <c r="AA1192" s="15"/>
    </row>
    <row r="1193">
      <c r="A1193" s="5" t="s">
        <v>4881</v>
      </c>
      <c r="B1193" s="6" t="s">
        <v>4882</v>
      </c>
      <c r="C1193" s="40" t="s">
        <v>4883</v>
      </c>
      <c r="D1193" s="8"/>
      <c r="E1193" s="8" t="s">
        <v>4884</v>
      </c>
      <c r="F1193" s="90">
        <v>500.0</v>
      </c>
      <c r="G1193" s="97" t="s">
        <v>4885</v>
      </c>
      <c r="H1193" s="11" t="s">
        <v>4886</v>
      </c>
      <c r="I1193" s="97">
        <v>9.934340894E9</v>
      </c>
      <c r="J1193" s="11" t="s">
        <v>25</v>
      </c>
      <c r="K1193" s="12"/>
      <c r="L1193" s="13"/>
      <c r="M1193" s="14"/>
      <c r="N1193" s="15"/>
      <c r="O1193" s="5" t="s">
        <v>564</v>
      </c>
      <c r="P1193" s="15"/>
      <c r="Q1193" s="15"/>
      <c r="R1193" s="16" t="s">
        <v>28</v>
      </c>
      <c r="S1193" s="15"/>
      <c r="T1193" s="15"/>
      <c r="U1193" s="15"/>
      <c r="V1193" s="15"/>
      <c r="W1193" s="15"/>
      <c r="X1193" s="15"/>
      <c r="Y1193" s="15"/>
      <c r="Z1193" s="15"/>
      <c r="AA1193" s="15"/>
    </row>
    <row r="1194">
      <c r="A1194" s="5" t="s">
        <v>4881</v>
      </c>
      <c r="B1194" s="6" t="s">
        <v>4887</v>
      </c>
      <c r="C1194" s="40" t="s">
        <v>4888</v>
      </c>
      <c r="D1194" s="8"/>
      <c r="E1194" s="8" t="s">
        <v>4507</v>
      </c>
      <c r="F1194" s="90">
        <v>50000.0</v>
      </c>
      <c r="G1194" s="97" t="s">
        <v>4889</v>
      </c>
      <c r="H1194" s="11" t="s">
        <v>99</v>
      </c>
      <c r="I1194" s="97">
        <v>9.9321133E9</v>
      </c>
      <c r="J1194" s="11" t="s">
        <v>4008</v>
      </c>
      <c r="K1194" s="12"/>
      <c r="L1194" s="13"/>
      <c r="M1194" s="14"/>
      <c r="N1194" s="15"/>
      <c r="O1194" s="5" t="s">
        <v>564</v>
      </c>
      <c r="P1194" s="15"/>
      <c r="Q1194" s="15"/>
      <c r="R1194" s="16" t="s">
        <v>28</v>
      </c>
      <c r="S1194" s="15"/>
      <c r="T1194" s="15"/>
      <c r="U1194" s="15"/>
      <c r="V1194" s="15"/>
      <c r="W1194" s="15"/>
      <c r="X1194" s="15"/>
      <c r="Y1194" s="15"/>
      <c r="Z1194" s="15"/>
      <c r="AA1194" s="15"/>
    </row>
    <row r="1195">
      <c r="A1195" s="5" t="s">
        <v>4881</v>
      </c>
      <c r="B1195" s="6" t="s">
        <v>4890</v>
      </c>
      <c r="C1195" s="40" t="s">
        <v>4891</v>
      </c>
      <c r="D1195" s="8"/>
      <c r="E1195" s="8" t="s">
        <v>4892</v>
      </c>
      <c r="F1195" s="90">
        <v>2000.0</v>
      </c>
      <c r="G1195" s="97" t="s">
        <v>4893</v>
      </c>
      <c r="H1195" s="11" t="s">
        <v>191</v>
      </c>
      <c r="I1195" s="97">
        <v>7.003649351E9</v>
      </c>
      <c r="J1195" s="11" t="s">
        <v>25</v>
      </c>
      <c r="K1195" s="12"/>
      <c r="L1195" s="13"/>
      <c r="M1195" s="14"/>
      <c r="N1195" s="15"/>
      <c r="O1195" s="5" t="s">
        <v>564</v>
      </c>
      <c r="P1195" s="15"/>
      <c r="Q1195" s="15"/>
      <c r="R1195" s="16" t="s">
        <v>28</v>
      </c>
      <c r="S1195" s="15"/>
      <c r="T1195" s="15"/>
      <c r="U1195" s="15"/>
      <c r="V1195" s="15"/>
      <c r="W1195" s="15"/>
      <c r="X1195" s="15"/>
      <c r="Y1195" s="15"/>
      <c r="Z1195" s="15"/>
      <c r="AA1195" s="15"/>
    </row>
    <row r="1196">
      <c r="A1196" s="5" t="s">
        <v>4894</v>
      </c>
      <c r="B1196" s="6" t="s">
        <v>4895</v>
      </c>
      <c r="C1196" s="40" t="s">
        <v>4896</v>
      </c>
      <c r="D1196" s="8"/>
      <c r="E1196" s="8" t="s">
        <v>1412</v>
      </c>
      <c r="F1196" s="90">
        <v>25000.0</v>
      </c>
      <c r="G1196" s="97" t="s">
        <v>4897</v>
      </c>
      <c r="H1196" s="11" t="s">
        <v>44</v>
      </c>
      <c r="I1196" s="97">
        <v>8.777639925E9</v>
      </c>
      <c r="J1196" s="11" t="s">
        <v>25</v>
      </c>
      <c r="K1196" s="12"/>
      <c r="L1196" s="13"/>
      <c r="M1196" s="14"/>
      <c r="N1196" s="15"/>
      <c r="O1196" s="5" t="s">
        <v>564</v>
      </c>
      <c r="P1196" s="5" t="s">
        <v>1632</v>
      </c>
      <c r="Q1196" s="15"/>
      <c r="R1196" s="16" t="s">
        <v>28</v>
      </c>
      <c r="S1196" s="15"/>
      <c r="T1196" s="15"/>
      <c r="U1196" s="15"/>
      <c r="V1196" s="15"/>
      <c r="W1196" s="15"/>
      <c r="X1196" s="15"/>
      <c r="Y1196" s="15"/>
      <c r="Z1196" s="15"/>
      <c r="AA1196" s="15"/>
    </row>
    <row r="1197">
      <c r="A1197" s="5" t="s">
        <v>4894</v>
      </c>
      <c r="B1197" s="6" t="s">
        <v>4898</v>
      </c>
      <c r="C1197" s="40" t="s">
        <v>4899</v>
      </c>
      <c r="D1197" s="8"/>
      <c r="E1197" s="8" t="s">
        <v>4900</v>
      </c>
      <c r="F1197" s="90" t="s">
        <v>4901</v>
      </c>
      <c r="G1197" s="97" t="s">
        <v>4902</v>
      </c>
      <c r="H1197" s="11" t="s">
        <v>4903</v>
      </c>
      <c r="I1197" s="97">
        <v>9.337201802E9</v>
      </c>
      <c r="J1197" s="11" t="s">
        <v>25</v>
      </c>
      <c r="K1197" s="12" t="s">
        <v>4904</v>
      </c>
      <c r="L1197" s="13"/>
      <c r="M1197" s="14"/>
      <c r="N1197" s="15"/>
      <c r="O1197" s="5" t="s">
        <v>564</v>
      </c>
      <c r="P1197" s="5" t="s">
        <v>4905</v>
      </c>
      <c r="Q1197" s="15"/>
      <c r="R1197" s="16" t="s">
        <v>28</v>
      </c>
      <c r="S1197" s="15"/>
      <c r="T1197" s="15"/>
      <c r="U1197" s="15"/>
      <c r="V1197" s="15"/>
      <c r="W1197" s="15"/>
      <c r="X1197" s="15"/>
      <c r="Y1197" s="15"/>
      <c r="Z1197" s="15"/>
      <c r="AA1197" s="15"/>
    </row>
    <row r="1198">
      <c r="A1198" s="5" t="s">
        <v>4894</v>
      </c>
      <c r="B1198" s="6" t="s">
        <v>4906</v>
      </c>
      <c r="C1198" s="40" t="s">
        <v>4907</v>
      </c>
      <c r="D1198" s="8"/>
      <c r="E1198" s="8" t="s">
        <v>4892</v>
      </c>
      <c r="F1198" s="90">
        <v>1000.0</v>
      </c>
      <c r="G1198" s="97"/>
      <c r="H1198" s="11" t="s">
        <v>449</v>
      </c>
      <c r="I1198" s="97">
        <v>8.597455365E9</v>
      </c>
      <c r="J1198" s="11" t="s">
        <v>25</v>
      </c>
      <c r="K1198" s="12"/>
      <c r="L1198" s="13"/>
      <c r="M1198" s="14"/>
      <c r="N1198" s="15"/>
      <c r="O1198" s="5" t="s">
        <v>564</v>
      </c>
      <c r="P1198" s="15"/>
      <c r="Q1198" s="15"/>
      <c r="R1198" s="16" t="s">
        <v>28</v>
      </c>
      <c r="S1198" s="15"/>
      <c r="T1198" s="15"/>
      <c r="U1198" s="15"/>
      <c r="V1198" s="15"/>
      <c r="W1198" s="15"/>
      <c r="X1198" s="15"/>
      <c r="Y1198" s="15"/>
      <c r="Z1198" s="15"/>
      <c r="AA1198" s="15"/>
    </row>
    <row r="1199">
      <c r="A1199" s="5" t="s">
        <v>4894</v>
      </c>
      <c r="B1199" s="6" t="s">
        <v>4908</v>
      </c>
      <c r="C1199" s="40" t="s">
        <v>4909</v>
      </c>
      <c r="D1199" s="8"/>
      <c r="E1199" s="8" t="s">
        <v>43</v>
      </c>
      <c r="F1199" s="90">
        <v>2500.0</v>
      </c>
      <c r="G1199" s="97" t="s">
        <v>4910</v>
      </c>
      <c r="H1199" s="11" t="s">
        <v>44</v>
      </c>
      <c r="I1199" s="97">
        <v>9.830492893E9</v>
      </c>
      <c r="J1199" s="11" t="s">
        <v>25</v>
      </c>
      <c r="K1199" s="12" t="s">
        <v>3648</v>
      </c>
      <c r="L1199" s="13"/>
      <c r="M1199" s="14"/>
      <c r="N1199" s="15"/>
      <c r="O1199" s="5" t="s">
        <v>564</v>
      </c>
      <c r="P1199" s="5" t="s">
        <v>4911</v>
      </c>
      <c r="Q1199" s="15"/>
      <c r="R1199" s="16" t="s">
        <v>28</v>
      </c>
      <c r="S1199" s="15"/>
      <c r="T1199" s="15"/>
      <c r="U1199" s="15"/>
      <c r="V1199" s="15"/>
      <c r="W1199" s="15"/>
      <c r="X1199" s="15"/>
      <c r="Y1199" s="15"/>
      <c r="Z1199" s="15"/>
      <c r="AA1199" s="15"/>
    </row>
    <row r="1200">
      <c r="A1200" s="5" t="s">
        <v>4912</v>
      </c>
      <c r="B1200" s="6" t="s">
        <v>4913</v>
      </c>
      <c r="C1200" s="40" t="s">
        <v>4914</v>
      </c>
      <c r="D1200" s="8"/>
      <c r="E1200" s="8" t="s">
        <v>4915</v>
      </c>
      <c r="F1200" s="90">
        <v>500.0</v>
      </c>
      <c r="G1200" s="97" t="s">
        <v>4916</v>
      </c>
      <c r="H1200" s="11" t="s">
        <v>4320</v>
      </c>
      <c r="I1200" s="97">
        <v>7.002763476E9</v>
      </c>
      <c r="J1200" s="11" t="s">
        <v>25</v>
      </c>
      <c r="K1200" s="12"/>
      <c r="L1200" s="13"/>
      <c r="M1200" s="14"/>
      <c r="N1200" s="15"/>
      <c r="O1200" s="5" t="s">
        <v>564</v>
      </c>
      <c r="P1200" s="15"/>
      <c r="Q1200" s="15"/>
      <c r="R1200" s="16" t="s">
        <v>28</v>
      </c>
      <c r="S1200" s="15"/>
      <c r="T1200" s="15"/>
      <c r="U1200" s="15"/>
      <c r="V1200" s="15"/>
      <c r="W1200" s="15"/>
      <c r="X1200" s="15"/>
      <c r="Y1200" s="15"/>
      <c r="Z1200" s="15"/>
      <c r="AA1200" s="15"/>
    </row>
    <row r="1201">
      <c r="A1201" s="5" t="s">
        <v>4912</v>
      </c>
      <c r="B1201" s="6" t="s">
        <v>4917</v>
      </c>
      <c r="C1201" s="40" t="s">
        <v>4918</v>
      </c>
      <c r="D1201" s="8"/>
      <c r="E1201" s="8" t="s">
        <v>4919</v>
      </c>
      <c r="F1201" s="90">
        <v>5000.0</v>
      </c>
      <c r="G1201" s="97" t="s">
        <v>4920</v>
      </c>
      <c r="H1201" s="11" t="s">
        <v>4237</v>
      </c>
      <c r="I1201" s="41">
        <v>7.004929011E9</v>
      </c>
      <c r="J1201" s="11" t="s">
        <v>25</v>
      </c>
      <c r="K1201" s="12" t="s">
        <v>4921</v>
      </c>
      <c r="L1201" s="13"/>
      <c r="M1201" s="14"/>
      <c r="N1201" s="15"/>
      <c r="O1201" s="5" t="s">
        <v>564</v>
      </c>
      <c r="P1201" s="5" t="s">
        <v>4922</v>
      </c>
      <c r="Q1201" s="15"/>
      <c r="R1201" s="16" t="s">
        <v>28</v>
      </c>
      <c r="S1201" s="15"/>
      <c r="T1201" s="15"/>
      <c r="U1201" s="15"/>
      <c r="V1201" s="15"/>
      <c r="W1201" s="15"/>
      <c r="X1201" s="15"/>
      <c r="Y1201" s="15"/>
      <c r="Z1201" s="15"/>
      <c r="AA1201" s="15"/>
    </row>
    <row r="1202">
      <c r="A1202" s="5" t="s">
        <v>4912</v>
      </c>
      <c r="B1202" s="6" t="s">
        <v>4923</v>
      </c>
      <c r="C1202" s="40" t="s">
        <v>4924</v>
      </c>
      <c r="D1202" s="8"/>
      <c r="E1202" s="8" t="s">
        <v>718</v>
      </c>
      <c r="F1202" s="90">
        <v>2000.0</v>
      </c>
      <c r="G1202" s="97" t="s">
        <v>4925</v>
      </c>
      <c r="H1202" s="11" t="s">
        <v>4926</v>
      </c>
      <c r="I1202" s="41" t="s">
        <v>4927</v>
      </c>
      <c r="J1202" s="11" t="s">
        <v>25</v>
      </c>
      <c r="K1202" s="12"/>
      <c r="L1202" s="13"/>
      <c r="M1202" s="14"/>
      <c r="N1202" s="15"/>
      <c r="O1202" s="5" t="s">
        <v>564</v>
      </c>
      <c r="P1202" s="5" t="s">
        <v>4928</v>
      </c>
      <c r="Q1202" s="15"/>
      <c r="R1202" s="16" t="s">
        <v>28</v>
      </c>
      <c r="S1202" s="15"/>
      <c r="T1202" s="15"/>
      <c r="U1202" s="15"/>
      <c r="V1202" s="15"/>
      <c r="W1202" s="15"/>
      <c r="X1202" s="15"/>
      <c r="Y1202" s="15"/>
      <c r="Z1202" s="15"/>
      <c r="AA1202" s="15"/>
    </row>
    <row r="1203">
      <c r="A1203" s="5" t="s">
        <v>4929</v>
      </c>
      <c r="B1203" s="6" t="s">
        <v>4930</v>
      </c>
      <c r="C1203" s="40" t="s">
        <v>4931</v>
      </c>
      <c r="D1203" s="8"/>
      <c r="E1203" s="8" t="s">
        <v>3918</v>
      </c>
      <c r="F1203" s="90">
        <v>2000.0</v>
      </c>
      <c r="G1203" s="97" t="s">
        <v>4932</v>
      </c>
      <c r="H1203" s="11" t="s">
        <v>4933</v>
      </c>
      <c r="I1203" s="97">
        <v>8.777260623E9</v>
      </c>
      <c r="J1203" s="11" t="s">
        <v>25</v>
      </c>
      <c r="K1203" s="12" t="s">
        <v>4934</v>
      </c>
      <c r="L1203" s="13"/>
      <c r="M1203" s="14"/>
      <c r="N1203" s="15"/>
      <c r="O1203" s="5" t="s">
        <v>564</v>
      </c>
      <c r="P1203" s="15"/>
      <c r="Q1203" s="15"/>
      <c r="R1203" s="16" t="s">
        <v>28</v>
      </c>
      <c r="S1203" s="15"/>
      <c r="T1203" s="15"/>
      <c r="U1203" s="15"/>
      <c r="V1203" s="15"/>
      <c r="W1203" s="15"/>
      <c r="X1203" s="15"/>
      <c r="Y1203" s="15"/>
      <c r="Z1203" s="15"/>
      <c r="AA1203" s="15"/>
    </row>
    <row r="1204">
      <c r="A1204" s="5" t="s">
        <v>4929</v>
      </c>
      <c r="B1204" s="6" t="s">
        <v>4935</v>
      </c>
      <c r="C1204" s="40" t="s">
        <v>4936</v>
      </c>
      <c r="D1204" s="8"/>
      <c r="E1204" s="8" t="s">
        <v>4937</v>
      </c>
      <c r="F1204" s="90" t="s">
        <v>4901</v>
      </c>
      <c r="G1204" s="97" t="s">
        <v>4938</v>
      </c>
      <c r="H1204" s="11" t="s">
        <v>44</v>
      </c>
      <c r="I1204" s="97">
        <v>8.820417538E9</v>
      </c>
      <c r="J1204" s="11" t="s">
        <v>25</v>
      </c>
      <c r="K1204" s="12"/>
      <c r="L1204" s="13"/>
      <c r="M1204" s="14"/>
      <c r="N1204" s="15"/>
      <c r="O1204" s="5" t="s">
        <v>564</v>
      </c>
      <c r="P1204" s="5" t="s">
        <v>4939</v>
      </c>
      <c r="Q1204" s="15"/>
      <c r="R1204" s="16" t="s">
        <v>28</v>
      </c>
      <c r="S1204" s="15"/>
      <c r="T1204" s="15"/>
      <c r="U1204" s="15"/>
      <c r="V1204" s="15"/>
      <c r="W1204" s="15"/>
      <c r="X1204" s="15"/>
      <c r="Y1204" s="15"/>
      <c r="Z1204" s="15"/>
      <c r="AA1204" s="15"/>
    </row>
    <row r="1205">
      <c r="A1205" s="5" t="s">
        <v>4929</v>
      </c>
      <c r="B1205" s="6" t="s">
        <v>4940</v>
      </c>
      <c r="C1205" s="40" t="s">
        <v>4941</v>
      </c>
      <c r="D1205" s="8"/>
      <c r="E1205" s="8" t="s">
        <v>4942</v>
      </c>
      <c r="F1205" s="90">
        <v>20000.0</v>
      </c>
      <c r="G1205" s="97" t="s">
        <v>4943</v>
      </c>
      <c r="H1205" s="11" t="s">
        <v>4944</v>
      </c>
      <c r="I1205" s="97">
        <v>8.142543367E9</v>
      </c>
      <c r="J1205" s="11" t="s">
        <v>25</v>
      </c>
      <c r="K1205" s="12"/>
      <c r="L1205" s="13"/>
      <c r="M1205" s="14"/>
      <c r="N1205" s="15"/>
      <c r="O1205" s="5" t="s">
        <v>108</v>
      </c>
      <c r="P1205" s="15"/>
      <c r="Q1205" s="15"/>
      <c r="R1205" s="16" t="s">
        <v>28</v>
      </c>
      <c r="S1205" s="15"/>
      <c r="T1205" s="15"/>
      <c r="U1205" s="15"/>
      <c r="V1205" s="15"/>
      <c r="W1205" s="15"/>
      <c r="X1205" s="15"/>
      <c r="Y1205" s="15"/>
      <c r="Z1205" s="15"/>
      <c r="AA1205" s="15"/>
    </row>
    <row r="1206">
      <c r="A1206" s="5" t="s">
        <v>4929</v>
      </c>
      <c r="B1206" s="6" t="s">
        <v>4945</v>
      </c>
      <c r="C1206" s="40" t="s">
        <v>4946</v>
      </c>
      <c r="D1206" s="8"/>
      <c r="E1206" s="8" t="s">
        <v>4947</v>
      </c>
      <c r="F1206" s="90">
        <v>1000.0</v>
      </c>
      <c r="G1206" s="97" t="s">
        <v>4948</v>
      </c>
      <c r="H1206" s="11" t="s">
        <v>1414</v>
      </c>
      <c r="I1206" s="97">
        <v>9.630025144E9</v>
      </c>
      <c r="J1206" s="11" t="s">
        <v>4008</v>
      </c>
      <c r="K1206" s="12"/>
      <c r="L1206" s="13"/>
      <c r="M1206" s="14"/>
      <c r="N1206" s="15"/>
      <c r="O1206" s="5" t="s">
        <v>564</v>
      </c>
      <c r="P1206" s="15"/>
      <c r="Q1206" s="15"/>
      <c r="R1206" s="16" t="s">
        <v>28</v>
      </c>
      <c r="S1206" s="15"/>
      <c r="T1206" s="15"/>
      <c r="U1206" s="15"/>
      <c r="V1206" s="15"/>
      <c r="W1206" s="15"/>
      <c r="X1206" s="15"/>
      <c r="Y1206" s="15"/>
      <c r="Z1206" s="15"/>
      <c r="AA1206" s="15"/>
    </row>
    <row r="1207">
      <c r="A1207" s="5" t="s">
        <v>4929</v>
      </c>
      <c r="B1207" s="6" t="s">
        <v>4949</v>
      </c>
      <c r="C1207" s="40" t="s">
        <v>4950</v>
      </c>
      <c r="D1207" s="8"/>
      <c r="E1207" s="8" t="s">
        <v>4951</v>
      </c>
      <c r="F1207" s="90">
        <v>500.0</v>
      </c>
      <c r="G1207" s="97" t="s">
        <v>4952</v>
      </c>
      <c r="H1207" s="11" t="s">
        <v>4953</v>
      </c>
      <c r="I1207" s="97">
        <v>7.029773585E9</v>
      </c>
      <c r="J1207" s="11" t="s">
        <v>25</v>
      </c>
      <c r="K1207" s="12"/>
      <c r="L1207" s="13"/>
      <c r="M1207" s="14"/>
      <c r="N1207" s="15"/>
      <c r="O1207" s="5" t="s">
        <v>564</v>
      </c>
      <c r="P1207" s="15"/>
      <c r="Q1207" s="15"/>
      <c r="R1207" s="16" t="s">
        <v>28</v>
      </c>
      <c r="S1207" s="15"/>
      <c r="T1207" s="15"/>
      <c r="U1207" s="15"/>
      <c r="V1207" s="15"/>
      <c r="W1207" s="15"/>
      <c r="X1207" s="15"/>
      <c r="Y1207" s="15"/>
      <c r="Z1207" s="15"/>
      <c r="AA1207" s="15"/>
    </row>
    <row r="1208">
      <c r="A1208" s="5" t="s">
        <v>4954</v>
      </c>
      <c r="B1208" s="6" t="s">
        <v>4955</v>
      </c>
      <c r="C1208" s="40" t="s">
        <v>4956</v>
      </c>
      <c r="D1208" s="8"/>
      <c r="E1208" s="8" t="s">
        <v>207</v>
      </c>
      <c r="F1208" s="90">
        <v>25000.0</v>
      </c>
      <c r="G1208" s="97" t="s">
        <v>4957</v>
      </c>
      <c r="H1208" s="11" t="s">
        <v>44</v>
      </c>
      <c r="I1208" s="97">
        <v>8.370977615E9</v>
      </c>
      <c r="J1208" s="11" t="s">
        <v>25</v>
      </c>
      <c r="K1208" s="12"/>
      <c r="L1208" s="13"/>
      <c r="M1208" s="14"/>
      <c r="N1208" s="15"/>
      <c r="O1208" s="5" t="s">
        <v>564</v>
      </c>
      <c r="P1208" s="5" t="s">
        <v>1619</v>
      </c>
      <c r="Q1208" s="15"/>
      <c r="R1208" s="16" t="s">
        <v>28</v>
      </c>
      <c r="S1208" s="15"/>
      <c r="T1208" s="15"/>
      <c r="U1208" s="15"/>
      <c r="V1208" s="15"/>
      <c r="W1208" s="15"/>
      <c r="X1208" s="15"/>
      <c r="Y1208" s="15"/>
      <c r="Z1208" s="15"/>
      <c r="AA1208" s="15"/>
    </row>
    <row r="1209">
      <c r="A1209" s="5" t="s">
        <v>4954</v>
      </c>
      <c r="B1209" s="6" t="s">
        <v>4958</v>
      </c>
      <c r="C1209" s="40" t="s">
        <v>4959</v>
      </c>
      <c r="D1209" s="8"/>
      <c r="E1209" s="8" t="s">
        <v>4960</v>
      </c>
      <c r="F1209" s="90">
        <v>1000.0</v>
      </c>
      <c r="G1209" s="97" t="s">
        <v>4961</v>
      </c>
      <c r="H1209" s="11" t="s">
        <v>4962</v>
      </c>
      <c r="I1209" s="97">
        <v>9.433013661E9</v>
      </c>
      <c r="J1209" s="11" t="s">
        <v>25</v>
      </c>
      <c r="K1209" s="12" t="s">
        <v>4963</v>
      </c>
      <c r="L1209" s="13"/>
      <c r="M1209" s="14"/>
      <c r="N1209" s="15"/>
      <c r="O1209" s="5" t="s">
        <v>564</v>
      </c>
      <c r="P1209" s="15"/>
      <c r="Q1209" s="15"/>
      <c r="R1209" s="16" t="s">
        <v>28</v>
      </c>
      <c r="S1209" s="15"/>
      <c r="T1209" s="15"/>
      <c r="U1209" s="15"/>
      <c r="V1209" s="15"/>
      <c r="W1209" s="15"/>
      <c r="X1209" s="15"/>
      <c r="Y1209" s="15"/>
      <c r="Z1209" s="15"/>
      <c r="AA1209" s="15"/>
    </row>
    <row r="1210">
      <c r="A1210" s="5" t="s">
        <v>4954</v>
      </c>
      <c r="B1210" s="6" t="s">
        <v>4964</v>
      </c>
      <c r="C1210" s="40" t="s">
        <v>4729</v>
      </c>
      <c r="D1210" s="8"/>
      <c r="E1210" s="8" t="s">
        <v>3918</v>
      </c>
      <c r="F1210" s="90">
        <v>500.0</v>
      </c>
      <c r="G1210" s="97" t="s">
        <v>4730</v>
      </c>
      <c r="H1210" s="11" t="s">
        <v>4155</v>
      </c>
      <c r="I1210" s="97">
        <v>8.910371058E9</v>
      </c>
      <c r="J1210" s="11" t="s">
        <v>25</v>
      </c>
      <c r="K1210" s="12"/>
      <c r="L1210" s="13"/>
      <c r="M1210" s="14"/>
      <c r="N1210" s="15"/>
      <c r="O1210" s="5" t="s">
        <v>34</v>
      </c>
      <c r="P1210" s="5" t="s">
        <v>777</v>
      </c>
      <c r="Q1210" s="15"/>
      <c r="R1210" s="16" t="s">
        <v>723</v>
      </c>
      <c r="S1210" s="15"/>
      <c r="T1210" s="15"/>
      <c r="U1210" s="15"/>
      <c r="V1210" s="15"/>
      <c r="W1210" s="15"/>
      <c r="X1210" s="15"/>
      <c r="Y1210" s="15"/>
      <c r="Z1210" s="15"/>
      <c r="AA1210" s="15"/>
    </row>
    <row r="1211">
      <c r="A1211" s="5" t="s">
        <v>4965</v>
      </c>
      <c r="B1211" s="6" t="s">
        <v>4966</v>
      </c>
      <c r="C1211" s="40" t="s">
        <v>4967</v>
      </c>
      <c r="D1211" s="8"/>
      <c r="E1211" s="8" t="s">
        <v>4968</v>
      </c>
      <c r="F1211" s="90" t="s">
        <v>4969</v>
      </c>
      <c r="G1211" s="97" t="s">
        <v>4970</v>
      </c>
      <c r="H1211" s="11" t="s">
        <v>4971</v>
      </c>
      <c r="I1211" s="97">
        <v>9.378316643E9</v>
      </c>
      <c r="J1211" s="11" t="s">
        <v>25</v>
      </c>
      <c r="K1211" s="12"/>
      <c r="L1211" s="13"/>
      <c r="M1211" s="11" t="s">
        <v>4972</v>
      </c>
      <c r="N1211" s="15"/>
      <c r="O1211" s="5" t="s">
        <v>34</v>
      </c>
      <c r="P1211" s="5" t="s">
        <v>4973</v>
      </c>
      <c r="Q1211" s="15"/>
      <c r="R1211" s="16" t="s">
        <v>551</v>
      </c>
      <c r="S1211" s="15"/>
      <c r="T1211" s="15"/>
      <c r="U1211" s="15"/>
      <c r="V1211" s="15"/>
      <c r="W1211" s="15"/>
      <c r="X1211" s="15"/>
      <c r="Y1211" s="15"/>
      <c r="Z1211" s="15"/>
      <c r="AA1211" s="15"/>
    </row>
    <row r="1212">
      <c r="A1212" s="5" t="s">
        <v>4965</v>
      </c>
      <c r="B1212" s="6" t="s">
        <v>4974</v>
      </c>
      <c r="C1212" s="40" t="s">
        <v>4975</v>
      </c>
      <c r="D1212" s="8"/>
      <c r="E1212" s="8" t="s">
        <v>267</v>
      </c>
      <c r="F1212" s="90">
        <v>1000.0</v>
      </c>
      <c r="G1212" s="97" t="s">
        <v>4976</v>
      </c>
      <c r="H1212" s="11" t="s">
        <v>4977</v>
      </c>
      <c r="I1212" s="97">
        <v>9.925998498E9</v>
      </c>
      <c r="J1212" s="11" t="s">
        <v>25</v>
      </c>
      <c r="K1212" s="12"/>
      <c r="L1212" s="13"/>
      <c r="M1212" s="11" t="s">
        <v>4978</v>
      </c>
      <c r="N1212" s="15"/>
      <c r="O1212" s="5" t="s">
        <v>34</v>
      </c>
      <c r="P1212" s="5" t="s">
        <v>4973</v>
      </c>
      <c r="Q1212" s="15"/>
      <c r="R1212" s="16" t="s">
        <v>74</v>
      </c>
      <c r="S1212" s="15"/>
      <c r="T1212" s="15"/>
      <c r="U1212" s="15"/>
      <c r="V1212" s="15"/>
      <c r="W1212" s="15"/>
      <c r="X1212" s="15"/>
      <c r="Y1212" s="15"/>
      <c r="Z1212" s="15"/>
      <c r="AA1212" s="15"/>
    </row>
    <row r="1213">
      <c r="A1213" s="5" t="s">
        <v>4965</v>
      </c>
      <c r="B1213" s="6" t="s">
        <v>4979</v>
      </c>
      <c r="C1213" s="40" t="s">
        <v>4980</v>
      </c>
      <c r="D1213" s="8"/>
      <c r="E1213" s="8" t="s">
        <v>4981</v>
      </c>
      <c r="F1213" s="90">
        <v>1500.0</v>
      </c>
      <c r="G1213" s="97" t="s">
        <v>4982</v>
      </c>
      <c r="H1213" s="11" t="s">
        <v>44</v>
      </c>
      <c r="I1213" s="97">
        <v>9.331880386E9</v>
      </c>
      <c r="J1213" s="11" t="s">
        <v>25</v>
      </c>
      <c r="K1213" s="12"/>
      <c r="L1213" s="13"/>
      <c r="M1213" s="11" t="s">
        <v>4983</v>
      </c>
      <c r="N1213" s="15"/>
      <c r="O1213" s="5" t="s">
        <v>34</v>
      </c>
      <c r="P1213" s="5" t="s">
        <v>4984</v>
      </c>
      <c r="Q1213" s="15"/>
      <c r="R1213" s="16" t="s">
        <v>723</v>
      </c>
      <c r="S1213" s="15"/>
      <c r="T1213" s="15"/>
      <c r="U1213" s="15"/>
      <c r="V1213" s="15"/>
      <c r="W1213" s="15"/>
      <c r="X1213" s="15"/>
      <c r="Y1213" s="15"/>
      <c r="Z1213" s="15"/>
      <c r="AA1213" s="15"/>
    </row>
    <row r="1214">
      <c r="A1214" s="5" t="s">
        <v>4965</v>
      </c>
      <c r="B1214" s="6" t="s">
        <v>4985</v>
      </c>
      <c r="C1214" s="40" t="s">
        <v>4986</v>
      </c>
      <c r="D1214" s="8"/>
      <c r="E1214" s="8" t="s">
        <v>1579</v>
      </c>
      <c r="F1214" s="90">
        <v>40000.0</v>
      </c>
      <c r="G1214" s="97" t="s">
        <v>1580</v>
      </c>
      <c r="H1214" s="11" t="s">
        <v>44</v>
      </c>
      <c r="I1214" s="97">
        <v>8.348059314E9</v>
      </c>
      <c r="J1214" s="11" t="s">
        <v>25</v>
      </c>
      <c r="K1214" s="12"/>
      <c r="L1214" s="13"/>
      <c r="M1214" s="14"/>
      <c r="N1214" s="15"/>
      <c r="O1214" s="5" t="s">
        <v>564</v>
      </c>
      <c r="P1214" s="15"/>
      <c r="Q1214" s="15"/>
      <c r="R1214" s="16" t="s">
        <v>28</v>
      </c>
      <c r="S1214" s="15"/>
      <c r="T1214" s="15"/>
      <c r="U1214" s="15"/>
      <c r="V1214" s="15"/>
      <c r="W1214" s="15"/>
      <c r="X1214" s="15"/>
      <c r="Y1214" s="15"/>
      <c r="Z1214" s="15"/>
      <c r="AA1214" s="15"/>
    </row>
    <row r="1215">
      <c r="A1215" s="5" t="s">
        <v>4965</v>
      </c>
      <c r="B1215" s="6" t="s">
        <v>4987</v>
      </c>
      <c r="C1215" s="40" t="s">
        <v>4988</v>
      </c>
      <c r="D1215" s="8"/>
      <c r="E1215" s="8" t="s">
        <v>130</v>
      </c>
      <c r="F1215" s="90">
        <v>3000.0</v>
      </c>
      <c r="G1215" s="97" t="s">
        <v>4989</v>
      </c>
      <c r="H1215" s="11" t="s">
        <v>4288</v>
      </c>
      <c r="I1215" s="97">
        <v>7.908429944E9</v>
      </c>
      <c r="J1215" s="11" t="s">
        <v>25</v>
      </c>
      <c r="K1215" s="12"/>
      <c r="L1215" s="13"/>
      <c r="M1215" s="14"/>
      <c r="N1215" s="15"/>
      <c r="O1215" s="5" t="s">
        <v>34</v>
      </c>
      <c r="P1215" s="5" t="s">
        <v>209</v>
      </c>
      <c r="Q1215" s="15"/>
      <c r="R1215" s="16" t="s">
        <v>28</v>
      </c>
      <c r="S1215" s="15"/>
      <c r="T1215" s="15"/>
      <c r="U1215" s="15"/>
      <c r="V1215" s="15"/>
      <c r="W1215" s="15"/>
      <c r="X1215" s="15"/>
      <c r="Y1215" s="15"/>
      <c r="Z1215" s="15"/>
      <c r="AA1215" s="15"/>
    </row>
    <row r="1216">
      <c r="A1216" s="5" t="s">
        <v>4965</v>
      </c>
      <c r="B1216" s="6" t="s">
        <v>4990</v>
      </c>
      <c r="C1216" s="40" t="s">
        <v>4991</v>
      </c>
      <c r="D1216" s="8"/>
      <c r="E1216" s="8" t="s">
        <v>130</v>
      </c>
      <c r="F1216" s="90">
        <v>5000.0</v>
      </c>
      <c r="G1216" s="97" t="s">
        <v>4992</v>
      </c>
      <c r="H1216" s="11" t="s">
        <v>4375</v>
      </c>
      <c r="I1216" s="97">
        <v>9.404683564E9</v>
      </c>
      <c r="J1216" s="11" t="s">
        <v>25</v>
      </c>
      <c r="K1216" s="12"/>
      <c r="L1216" s="13"/>
      <c r="M1216" s="14"/>
      <c r="N1216" s="15"/>
      <c r="O1216" s="5" t="s">
        <v>108</v>
      </c>
      <c r="P1216" s="15"/>
      <c r="Q1216" s="15"/>
      <c r="R1216" s="16" t="s">
        <v>28</v>
      </c>
      <c r="S1216" s="15"/>
      <c r="T1216" s="15"/>
      <c r="U1216" s="15"/>
      <c r="V1216" s="15"/>
      <c r="W1216" s="15"/>
      <c r="X1216" s="15"/>
      <c r="Y1216" s="15"/>
      <c r="Z1216" s="15"/>
      <c r="AA1216" s="15"/>
    </row>
    <row r="1217">
      <c r="A1217" s="5" t="s">
        <v>4965</v>
      </c>
      <c r="B1217" s="6" t="s">
        <v>4993</v>
      </c>
      <c r="C1217" s="40" t="s">
        <v>4994</v>
      </c>
      <c r="D1217" s="8"/>
      <c r="E1217" s="8" t="s">
        <v>116</v>
      </c>
      <c r="F1217" s="90">
        <v>1000.0</v>
      </c>
      <c r="G1217" s="97"/>
      <c r="H1217" s="11" t="s">
        <v>4995</v>
      </c>
      <c r="I1217" s="97">
        <v>9.310193834E9</v>
      </c>
      <c r="J1217" s="11" t="s">
        <v>25</v>
      </c>
      <c r="K1217" s="12"/>
      <c r="L1217" s="13"/>
      <c r="M1217" s="11" t="s">
        <v>0</v>
      </c>
      <c r="N1217" s="15"/>
      <c r="O1217" s="5" t="s">
        <v>564</v>
      </c>
      <c r="P1217" s="15"/>
      <c r="Q1217" s="15"/>
      <c r="R1217" s="16" t="s">
        <v>28</v>
      </c>
      <c r="S1217" s="15"/>
      <c r="T1217" s="15"/>
      <c r="U1217" s="15"/>
      <c r="V1217" s="15"/>
      <c r="W1217" s="15"/>
      <c r="X1217" s="15"/>
      <c r="Y1217" s="15"/>
      <c r="Z1217" s="15"/>
      <c r="AA1217" s="15"/>
    </row>
    <row r="1218">
      <c r="A1218" s="5" t="s">
        <v>4965</v>
      </c>
      <c r="B1218" s="6" t="s">
        <v>4996</v>
      </c>
      <c r="C1218" s="40" t="s">
        <v>4997</v>
      </c>
      <c r="D1218" s="8"/>
      <c r="E1218" s="8" t="s">
        <v>4512</v>
      </c>
      <c r="F1218" s="90">
        <v>1500.0</v>
      </c>
      <c r="G1218" s="97"/>
      <c r="H1218" s="11" t="s">
        <v>495</v>
      </c>
      <c r="I1218" s="97">
        <v>9.931658316E9</v>
      </c>
      <c r="J1218" s="11" t="s">
        <v>25</v>
      </c>
      <c r="K1218" s="12"/>
      <c r="L1218" s="13"/>
      <c r="M1218" s="14"/>
      <c r="N1218" s="15"/>
      <c r="O1218" s="5" t="s">
        <v>564</v>
      </c>
      <c r="P1218" s="15"/>
      <c r="Q1218" s="15"/>
      <c r="R1218" s="16" t="s">
        <v>28</v>
      </c>
      <c r="S1218" s="15"/>
      <c r="T1218" s="15"/>
      <c r="U1218" s="15"/>
      <c r="V1218" s="15"/>
      <c r="W1218" s="15"/>
      <c r="X1218" s="15"/>
      <c r="Y1218" s="15"/>
      <c r="Z1218" s="15"/>
      <c r="AA1218" s="15"/>
    </row>
    <row r="1219">
      <c r="A1219" s="5" t="s">
        <v>4965</v>
      </c>
      <c r="B1219" s="6" t="s">
        <v>4998</v>
      </c>
      <c r="C1219" s="40" t="s">
        <v>4999</v>
      </c>
      <c r="D1219" s="8"/>
      <c r="E1219" s="8" t="s">
        <v>22</v>
      </c>
      <c r="F1219" s="90">
        <v>1000.0</v>
      </c>
      <c r="G1219" s="97" t="s">
        <v>5000</v>
      </c>
      <c r="H1219" s="11" t="s">
        <v>44</v>
      </c>
      <c r="I1219" s="97">
        <v>7.278356409E9</v>
      </c>
      <c r="J1219" s="11" t="s">
        <v>25</v>
      </c>
      <c r="K1219" s="12"/>
      <c r="L1219" s="13"/>
      <c r="M1219" s="14"/>
      <c r="N1219" s="15"/>
      <c r="O1219" s="5" t="s">
        <v>564</v>
      </c>
      <c r="P1219" s="15"/>
      <c r="Q1219" s="15"/>
      <c r="R1219" s="16" t="s">
        <v>28</v>
      </c>
      <c r="S1219" s="15"/>
      <c r="T1219" s="15"/>
      <c r="U1219" s="15"/>
      <c r="V1219" s="15"/>
      <c r="W1219" s="15"/>
      <c r="X1219" s="15"/>
      <c r="Y1219" s="15"/>
      <c r="Z1219" s="15"/>
      <c r="AA1219" s="15"/>
    </row>
    <row r="1220">
      <c r="A1220" s="5" t="s">
        <v>4965</v>
      </c>
      <c r="B1220" s="6" t="s">
        <v>5001</v>
      </c>
      <c r="C1220" s="40" t="s">
        <v>5002</v>
      </c>
      <c r="D1220" s="8"/>
      <c r="E1220" s="8" t="s">
        <v>189</v>
      </c>
      <c r="F1220" s="90">
        <v>1000.0</v>
      </c>
      <c r="G1220" s="97" t="s">
        <v>5003</v>
      </c>
      <c r="H1220" s="11" t="s">
        <v>5004</v>
      </c>
      <c r="I1220" s="97">
        <v>8.98421734E9</v>
      </c>
      <c r="J1220" s="11" t="s">
        <v>25</v>
      </c>
      <c r="K1220" s="12"/>
      <c r="L1220" s="13"/>
      <c r="M1220" s="14"/>
      <c r="N1220" s="15"/>
      <c r="O1220" s="5" t="s">
        <v>564</v>
      </c>
      <c r="P1220" s="15"/>
      <c r="Q1220" s="15"/>
      <c r="R1220" s="16" t="s">
        <v>28</v>
      </c>
      <c r="S1220" s="15"/>
      <c r="T1220" s="15"/>
      <c r="U1220" s="15"/>
      <c r="V1220" s="15"/>
      <c r="W1220" s="15"/>
      <c r="X1220" s="15"/>
      <c r="Y1220" s="15"/>
      <c r="Z1220" s="15"/>
      <c r="AA1220" s="15"/>
    </row>
    <row r="1221">
      <c r="A1221" s="5" t="s">
        <v>5005</v>
      </c>
      <c r="B1221" s="6" t="s">
        <v>5006</v>
      </c>
      <c r="C1221" s="40" t="s">
        <v>5007</v>
      </c>
      <c r="D1221" s="8"/>
      <c r="E1221" s="8" t="s">
        <v>189</v>
      </c>
      <c r="F1221" s="90">
        <v>25000.0</v>
      </c>
      <c r="G1221" s="97" t="s">
        <v>5008</v>
      </c>
      <c r="H1221" s="11" t="s">
        <v>449</v>
      </c>
      <c r="I1221" s="97">
        <v>7.00116274E9</v>
      </c>
      <c r="J1221" s="11" t="s">
        <v>25</v>
      </c>
      <c r="K1221" s="12"/>
      <c r="L1221" s="13"/>
      <c r="M1221" s="14"/>
      <c r="N1221" s="15"/>
      <c r="O1221" s="5" t="s">
        <v>564</v>
      </c>
      <c r="P1221" s="15"/>
      <c r="Q1221" s="15"/>
      <c r="R1221" s="16" t="s">
        <v>28</v>
      </c>
      <c r="S1221" s="15"/>
      <c r="T1221" s="15"/>
      <c r="U1221" s="15"/>
      <c r="V1221" s="15"/>
      <c r="W1221" s="15"/>
      <c r="X1221" s="15"/>
      <c r="Y1221" s="15"/>
      <c r="Z1221" s="15"/>
      <c r="AA1221" s="15"/>
    </row>
    <row r="1222">
      <c r="A1222" s="5" t="s">
        <v>5005</v>
      </c>
      <c r="B1222" s="6" t="s">
        <v>5009</v>
      </c>
      <c r="C1222" s="40" t="s">
        <v>5010</v>
      </c>
      <c r="D1222" s="8"/>
      <c r="E1222" s="8" t="s">
        <v>3748</v>
      </c>
      <c r="F1222" s="90">
        <v>20000.0</v>
      </c>
      <c r="G1222" s="97" t="s">
        <v>5011</v>
      </c>
      <c r="H1222" s="11" t="s">
        <v>44</v>
      </c>
      <c r="I1222" s="97">
        <v>8.910850802E9</v>
      </c>
      <c r="J1222" s="11" t="s">
        <v>25</v>
      </c>
      <c r="K1222" s="12"/>
      <c r="L1222" s="13"/>
      <c r="M1222" s="14"/>
      <c r="N1222" s="15"/>
      <c r="O1222" s="5" t="s">
        <v>564</v>
      </c>
      <c r="P1222" s="15"/>
      <c r="Q1222" s="15"/>
      <c r="R1222" s="16" t="s">
        <v>28</v>
      </c>
      <c r="S1222" s="15"/>
      <c r="T1222" s="15"/>
      <c r="U1222" s="15"/>
      <c r="V1222" s="15"/>
      <c r="W1222" s="15"/>
      <c r="X1222" s="15"/>
      <c r="Y1222" s="15"/>
      <c r="Z1222" s="15"/>
      <c r="AA1222" s="15"/>
    </row>
    <row r="1223">
      <c r="A1223" s="5" t="s">
        <v>5005</v>
      </c>
      <c r="B1223" s="6" t="s">
        <v>5012</v>
      </c>
      <c r="C1223" s="40" t="s">
        <v>5013</v>
      </c>
      <c r="D1223" s="8"/>
      <c r="E1223" s="8" t="s">
        <v>5014</v>
      </c>
      <c r="F1223" s="90">
        <v>5000.0</v>
      </c>
      <c r="G1223" s="97" t="s">
        <v>5015</v>
      </c>
      <c r="H1223" s="11" t="s">
        <v>1445</v>
      </c>
      <c r="I1223" s="97">
        <v>9.34028302E9</v>
      </c>
      <c r="J1223" s="11" t="s">
        <v>25</v>
      </c>
      <c r="K1223" s="12"/>
      <c r="L1223" s="13"/>
      <c r="M1223" s="14"/>
      <c r="N1223" s="15"/>
      <c r="O1223" s="5" t="s">
        <v>108</v>
      </c>
      <c r="P1223" s="15"/>
      <c r="Q1223" s="15"/>
      <c r="R1223" s="16" t="s">
        <v>28</v>
      </c>
      <c r="S1223" s="15"/>
      <c r="T1223" s="15"/>
      <c r="U1223" s="15"/>
      <c r="V1223" s="15"/>
      <c r="W1223" s="15"/>
      <c r="X1223" s="15"/>
      <c r="Y1223" s="15"/>
      <c r="Z1223" s="15"/>
      <c r="AA1223" s="15"/>
    </row>
    <row r="1224">
      <c r="A1224" s="5" t="s">
        <v>5005</v>
      </c>
      <c r="B1224" s="6" t="s">
        <v>5016</v>
      </c>
      <c r="C1224" s="40" t="s">
        <v>5017</v>
      </c>
      <c r="D1224" s="8"/>
      <c r="E1224" s="8" t="s">
        <v>130</v>
      </c>
      <c r="F1224" s="90">
        <v>1000.0</v>
      </c>
      <c r="G1224" s="97" t="s">
        <v>5018</v>
      </c>
      <c r="H1224" s="11" t="s">
        <v>44</v>
      </c>
      <c r="I1224" s="97">
        <v>9.903205472E9</v>
      </c>
      <c r="J1224" s="11" t="s">
        <v>25</v>
      </c>
      <c r="K1224" s="12" t="s">
        <v>4921</v>
      </c>
      <c r="L1224" s="13"/>
      <c r="M1224" s="14"/>
      <c r="N1224" s="15"/>
      <c r="O1224" s="5" t="s">
        <v>564</v>
      </c>
      <c r="P1224" s="5" t="s">
        <v>5019</v>
      </c>
      <c r="Q1224" s="15"/>
      <c r="R1224" s="16" t="s">
        <v>28</v>
      </c>
      <c r="S1224" s="15"/>
      <c r="T1224" s="15"/>
      <c r="U1224" s="15"/>
      <c r="V1224" s="15"/>
      <c r="W1224" s="15"/>
      <c r="X1224" s="15"/>
      <c r="Y1224" s="15"/>
      <c r="Z1224" s="15"/>
      <c r="AA1224" s="15"/>
    </row>
    <row r="1225">
      <c r="A1225" s="5" t="s">
        <v>5020</v>
      </c>
      <c r="B1225" s="6" t="s">
        <v>5021</v>
      </c>
      <c r="C1225" s="40" t="s">
        <v>5022</v>
      </c>
      <c r="D1225" s="8"/>
      <c r="E1225" s="8" t="s">
        <v>5023</v>
      </c>
      <c r="F1225" s="90">
        <v>3000.0</v>
      </c>
      <c r="G1225" s="97" t="s">
        <v>5024</v>
      </c>
      <c r="H1225" s="11" t="s">
        <v>5025</v>
      </c>
      <c r="I1225" s="97">
        <v>8.240415818E9</v>
      </c>
      <c r="J1225" s="11" t="s">
        <v>25</v>
      </c>
      <c r="K1225" s="12" t="s">
        <v>5026</v>
      </c>
      <c r="L1225" s="13"/>
      <c r="M1225" s="14"/>
      <c r="N1225" s="15"/>
      <c r="O1225" s="5" t="s">
        <v>564</v>
      </c>
      <c r="P1225" s="5" t="s">
        <v>1786</v>
      </c>
      <c r="Q1225" s="15"/>
      <c r="R1225" s="16" t="s">
        <v>28</v>
      </c>
      <c r="S1225" s="15"/>
      <c r="T1225" s="15"/>
      <c r="U1225" s="15"/>
      <c r="V1225" s="15"/>
      <c r="W1225" s="15"/>
      <c r="X1225" s="15"/>
      <c r="Y1225" s="15"/>
      <c r="Z1225" s="15"/>
      <c r="AA1225" s="15"/>
    </row>
    <row r="1226">
      <c r="A1226" s="5" t="s">
        <v>5027</v>
      </c>
      <c r="B1226" s="6" t="s">
        <v>5028</v>
      </c>
      <c r="C1226" s="40" t="s">
        <v>5029</v>
      </c>
      <c r="D1226" s="8"/>
      <c r="E1226" s="8" t="s">
        <v>357</v>
      </c>
      <c r="F1226" s="90">
        <v>2000.0</v>
      </c>
      <c r="G1226" s="97" t="s">
        <v>5030</v>
      </c>
      <c r="H1226" s="11" t="s">
        <v>131</v>
      </c>
      <c r="I1226" s="97">
        <v>8.638102726E9</v>
      </c>
      <c r="J1226" s="11" t="s">
        <v>25</v>
      </c>
      <c r="K1226" s="12" t="s">
        <v>5031</v>
      </c>
      <c r="L1226" s="13"/>
      <c r="M1226" s="14"/>
      <c r="N1226" s="15"/>
      <c r="O1226" s="5" t="s">
        <v>564</v>
      </c>
      <c r="P1226" s="5" t="s">
        <v>5032</v>
      </c>
      <c r="Q1226" s="15"/>
      <c r="R1226" s="16" t="s">
        <v>28</v>
      </c>
      <c r="S1226" s="15"/>
      <c r="T1226" s="15"/>
      <c r="U1226" s="15"/>
      <c r="V1226" s="15"/>
      <c r="W1226" s="15"/>
      <c r="X1226" s="15"/>
      <c r="Y1226" s="15"/>
      <c r="Z1226" s="15"/>
      <c r="AA1226" s="15"/>
    </row>
    <row r="1227">
      <c r="A1227" s="5" t="s">
        <v>5027</v>
      </c>
      <c r="B1227" s="6" t="s">
        <v>5033</v>
      </c>
      <c r="C1227" s="40" t="s">
        <v>5034</v>
      </c>
      <c r="D1227" s="8"/>
      <c r="E1227" s="8" t="s">
        <v>4892</v>
      </c>
      <c r="F1227" s="90">
        <v>5000.0</v>
      </c>
      <c r="G1227" s="97" t="s">
        <v>5035</v>
      </c>
      <c r="H1227" s="11" t="s">
        <v>5036</v>
      </c>
      <c r="I1227" s="97">
        <v>7.381029092E9</v>
      </c>
      <c r="J1227" s="11" t="s">
        <v>25</v>
      </c>
      <c r="K1227" s="12"/>
      <c r="L1227" s="13"/>
      <c r="M1227" s="14"/>
      <c r="N1227" s="15"/>
      <c r="O1227" s="5" t="s">
        <v>564</v>
      </c>
      <c r="P1227" s="5" t="s">
        <v>5037</v>
      </c>
      <c r="Q1227" s="15"/>
      <c r="R1227" s="16" t="s">
        <v>28</v>
      </c>
      <c r="S1227" s="15"/>
      <c r="T1227" s="15"/>
      <c r="U1227" s="15"/>
      <c r="V1227" s="15"/>
      <c r="W1227" s="15"/>
      <c r="X1227" s="15"/>
      <c r="Y1227" s="15"/>
      <c r="Z1227" s="15"/>
      <c r="AA1227" s="15"/>
    </row>
    <row r="1228">
      <c r="A1228" s="5" t="s">
        <v>5027</v>
      </c>
      <c r="B1228" s="6" t="s">
        <v>5038</v>
      </c>
      <c r="C1228" s="40" t="s">
        <v>5039</v>
      </c>
      <c r="D1228" s="8"/>
      <c r="E1228" s="8" t="s">
        <v>718</v>
      </c>
      <c r="F1228" s="90">
        <v>38000.0</v>
      </c>
      <c r="G1228" s="97" t="s">
        <v>5040</v>
      </c>
      <c r="H1228" s="11" t="s">
        <v>977</v>
      </c>
      <c r="I1228" s="97">
        <v>9.304718831E9</v>
      </c>
      <c r="J1228" s="11" t="s">
        <v>25</v>
      </c>
      <c r="K1228" s="12"/>
      <c r="L1228" s="13"/>
      <c r="M1228" s="14"/>
      <c r="N1228" s="15"/>
      <c r="O1228" s="5" t="s">
        <v>564</v>
      </c>
      <c r="P1228" s="5" t="s">
        <v>1619</v>
      </c>
      <c r="Q1228" s="15"/>
      <c r="R1228" s="16" t="s">
        <v>28</v>
      </c>
      <c r="S1228" s="15"/>
      <c r="T1228" s="15"/>
      <c r="U1228" s="15"/>
      <c r="V1228" s="15"/>
      <c r="W1228" s="15"/>
      <c r="X1228" s="15"/>
      <c r="Y1228" s="15"/>
      <c r="Z1228" s="15"/>
      <c r="AA1228" s="15"/>
    </row>
    <row r="1229">
      <c r="A1229" s="5" t="s">
        <v>5027</v>
      </c>
      <c r="B1229" s="6" t="s">
        <v>5041</v>
      </c>
      <c r="C1229" s="40" t="s">
        <v>5042</v>
      </c>
      <c r="D1229" s="8"/>
      <c r="E1229" s="8" t="s">
        <v>357</v>
      </c>
      <c r="F1229" s="90">
        <v>3000.0</v>
      </c>
      <c r="G1229" s="97" t="s">
        <v>5043</v>
      </c>
      <c r="H1229" s="11" t="s">
        <v>5044</v>
      </c>
      <c r="I1229" s="97">
        <v>9.830656651E9</v>
      </c>
      <c r="J1229" s="11" t="s">
        <v>25</v>
      </c>
      <c r="K1229" s="12" t="s">
        <v>5045</v>
      </c>
      <c r="L1229" s="13"/>
      <c r="M1229" s="14"/>
      <c r="N1229" s="15"/>
      <c r="O1229" s="5" t="s">
        <v>564</v>
      </c>
      <c r="P1229" s="5" t="s">
        <v>5046</v>
      </c>
      <c r="Q1229" s="15"/>
      <c r="R1229" s="16" t="s">
        <v>28</v>
      </c>
      <c r="S1229" s="15"/>
      <c r="T1229" s="15"/>
      <c r="U1229" s="15"/>
      <c r="V1229" s="15"/>
      <c r="W1229" s="15"/>
      <c r="X1229" s="15"/>
      <c r="Y1229" s="15"/>
      <c r="Z1229" s="15"/>
      <c r="AA1229" s="15"/>
    </row>
    <row r="1230">
      <c r="A1230" s="5" t="s">
        <v>5027</v>
      </c>
      <c r="B1230" s="6" t="s">
        <v>5047</v>
      </c>
      <c r="C1230" s="40" t="s">
        <v>5048</v>
      </c>
      <c r="D1230" s="8"/>
      <c r="E1230" s="8" t="s">
        <v>5049</v>
      </c>
      <c r="F1230" s="90">
        <v>3000.0</v>
      </c>
      <c r="G1230" s="97" t="s">
        <v>5050</v>
      </c>
      <c r="H1230" s="11" t="s">
        <v>5051</v>
      </c>
      <c r="I1230" s="97">
        <v>9.90381535E9</v>
      </c>
      <c r="J1230" s="11" t="s">
        <v>25</v>
      </c>
      <c r="K1230" s="12"/>
      <c r="L1230" s="13"/>
      <c r="M1230" s="14"/>
      <c r="N1230" s="15"/>
      <c r="O1230" s="5" t="s">
        <v>564</v>
      </c>
      <c r="P1230" s="15"/>
      <c r="Q1230" s="15"/>
      <c r="R1230" s="16" t="s">
        <v>28</v>
      </c>
      <c r="S1230" s="15"/>
      <c r="T1230" s="15"/>
      <c r="U1230" s="15"/>
      <c r="V1230" s="15"/>
      <c r="W1230" s="15"/>
      <c r="X1230" s="15"/>
      <c r="Y1230" s="15"/>
      <c r="Z1230" s="15"/>
      <c r="AA1230" s="15"/>
    </row>
    <row r="1231">
      <c r="A1231" s="5" t="s">
        <v>5027</v>
      </c>
      <c r="B1231" s="6" t="s">
        <v>5052</v>
      </c>
      <c r="C1231" s="40" t="s">
        <v>5053</v>
      </c>
      <c r="D1231" s="8"/>
      <c r="E1231" s="8" t="s">
        <v>5054</v>
      </c>
      <c r="F1231" s="90">
        <v>500.0</v>
      </c>
      <c r="G1231" s="97" t="s">
        <v>5055</v>
      </c>
      <c r="H1231" s="11" t="s">
        <v>985</v>
      </c>
      <c r="I1231" s="97">
        <v>7.584922923E9</v>
      </c>
      <c r="J1231" s="11" t="s">
        <v>25</v>
      </c>
      <c r="K1231" s="12"/>
      <c r="L1231" s="13"/>
      <c r="M1231" s="14"/>
      <c r="N1231" s="15"/>
      <c r="O1231" s="5" t="s">
        <v>564</v>
      </c>
      <c r="P1231" s="15"/>
      <c r="Q1231" s="15"/>
      <c r="R1231" s="16" t="s">
        <v>28</v>
      </c>
      <c r="S1231" s="15"/>
      <c r="T1231" s="15"/>
      <c r="U1231" s="15"/>
      <c r="V1231" s="15"/>
      <c r="W1231" s="15"/>
      <c r="X1231" s="15"/>
      <c r="Y1231" s="15"/>
      <c r="Z1231" s="15"/>
      <c r="AA1231" s="15"/>
    </row>
    <row r="1232">
      <c r="A1232" s="5" t="s">
        <v>5056</v>
      </c>
      <c r="B1232" s="6" t="s">
        <v>5057</v>
      </c>
      <c r="C1232" s="40" t="s">
        <v>5058</v>
      </c>
      <c r="D1232" s="8"/>
      <c r="E1232" s="8" t="s">
        <v>207</v>
      </c>
      <c r="F1232" s="90">
        <v>500.0</v>
      </c>
      <c r="G1232" s="97" t="s">
        <v>5059</v>
      </c>
      <c r="H1232" s="11" t="s">
        <v>5051</v>
      </c>
      <c r="I1232" s="97">
        <v>9.88378419E9</v>
      </c>
      <c r="J1232" s="11" t="s">
        <v>25</v>
      </c>
      <c r="K1232" s="12"/>
      <c r="L1232" s="13"/>
      <c r="M1232" s="14"/>
      <c r="N1232" s="15"/>
      <c r="O1232" s="5" t="s">
        <v>564</v>
      </c>
      <c r="P1232" s="5" t="s">
        <v>844</v>
      </c>
      <c r="Q1232" s="15"/>
      <c r="R1232" s="16" t="s">
        <v>28</v>
      </c>
      <c r="S1232" s="15"/>
      <c r="T1232" s="15"/>
      <c r="U1232" s="15"/>
      <c r="V1232" s="15"/>
      <c r="W1232" s="15"/>
      <c r="X1232" s="15"/>
      <c r="Y1232" s="15"/>
      <c r="Z1232" s="15"/>
      <c r="AA1232" s="15"/>
    </row>
    <row r="1233">
      <c r="A1233" s="5" t="s">
        <v>5056</v>
      </c>
      <c r="B1233" s="6" t="s">
        <v>5060</v>
      </c>
      <c r="C1233" s="40" t="s">
        <v>5061</v>
      </c>
      <c r="D1233" s="8"/>
      <c r="E1233" s="8" t="s">
        <v>5062</v>
      </c>
      <c r="F1233" s="90">
        <v>2000.0</v>
      </c>
      <c r="G1233" s="97" t="s">
        <v>5063</v>
      </c>
      <c r="H1233" s="11" t="s">
        <v>5064</v>
      </c>
      <c r="I1233" s="97">
        <v>9.937389187E9</v>
      </c>
      <c r="J1233" s="11" t="s">
        <v>25</v>
      </c>
      <c r="K1233" s="12"/>
      <c r="L1233" s="13"/>
      <c r="M1233" s="14"/>
      <c r="N1233" s="15"/>
      <c r="O1233" s="5" t="s">
        <v>564</v>
      </c>
      <c r="P1233" s="5" t="s">
        <v>5065</v>
      </c>
      <c r="Q1233" s="15"/>
      <c r="R1233" s="16" t="s">
        <v>28</v>
      </c>
      <c r="S1233" s="15"/>
      <c r="T1233" s="15"/>
      <c r="U1233" s="15"/>
      <c r="V1233" s="15"/>
      <c r="W1233" s="15"/>
      <c r="X1233" s="15"/>
      <c r="Y1233" s="15"/>
      <c r="Z1233" s="15"/>
      <c r="AA1233" s="15"/>
    </row>
    <row r="1234">
      <c r="A1234" s="5" t="s">
        <v>5056</v>
      </c>
      <c r="B1234" s="6" t="s">
        <v>5066</v>
      </c>
      <c r="C1234" s="40" t="s">
        <v>5067</v>
      </c>
      <c r="D1234" s="8"/>
      <c r="E1234" s="8" t="s">
        <v>4047</v>
      </c>
      <c r="F1234" s="90">
        <v>500.0</v>
      </c>
      <c r="G1234" s="97" t="s">
        <v>5068</v>
      </c>
      <c r="H1234" s="11" t="s">
        <v>5069</v>
      </c>
      <c r="I1234" s="97">
        <v>9.73290009E9</v>
      </c>
      <c r="J1234" s="11" t="s">
        <v>25</v>
      </c>
      <c r="K1234" s="12"/>
      <c r="L1234" s="13"/>
      <c r="M1234" s="14"/>
      <c r="N1234" s="15"/>
      <c r="O1234" s="5" t="s">
        <v>564</v>
      </c>
      <c r="P1234" s="15"/>
      <c r="Q1234" s="15"/>
      <c r="R1234" s="16" t="s">
        <v>28</v>
      </c>
      <c r="S1234" s="15"/>
      <c r="T1234" s="15"/>
      <c r="U1234" s="15"/>
      <c r="V1234" s="15"/>
      <c r="W1234" s="15"/>
      <c r="X1234" s="15"/>
      <c r="Y1234" s="15"/>
      <c r="Z1234" s="15"/>
      <c r="AA1234" s="15"/>
    </row>
    <row r="1235">
      <c r="A1235" s="5" t="s">
        <v>5056</v>
      </c>
      <c r="B1235" s="6" t="s">
        <v>5070</v>
      </c>
      <c r="C1235" s="40" t="s">
        <v>5071</v>
      </c>
      <c r="D1235" s="8"/>
      <c r="E1235" s="8" t="s">
        <v>4047</v>
      </c>
      <c r="F1235" s="90">
        <v>2000.0</v>
      </c>
      <c r="G1235" s="97" t="s">
        <v>5072</v>
      </c>
      <c r="H1235" s="11" t="s">
        <v>472</v>
      </c>
      <c r="I1235" s="97">
        <v>7.980640729E9</v>
      </c>
      <c r="J1235" s="11" t="s">
        <v>25</v>
      </c>
      <c r="K1235" s="12"/>
      <c r="L1235" s="13"/>
      <c r="M1235" s="14"/>
      <c r="N1235" s="15"/>
      <c r="O1235" s="5" t="s">
        <v>564</v>
      </c>
      <c r="P1235" s="15"/>
      <c r="Q1235" s="15"/>
      <c r="R1235" s="16" t="s">
        <v>28</v>
      </c>
      <c r="S1235" s="15"/>
      <c r="T1235" s="15"/>
      <c r="U1235" s="15"/>
      <c r="V1235" s="15"/>
      <c r="W1235" s="15"/>
      <c r="X1235" s="15"/>
      <c r="Y1235" s="15"/>
      <c r="Z1235" s="15"/>
      <c r="AA1235" s="15"/>
    </row>
    <row r="1236">
      <c r="A1236" s="5" t="s">
        <v>5073</v>
      </c>
      <c r="B1236" s="6" t="s">
        <v>5074</v>
      </c>
      <c r="C1236" s="40" t="s">
        <v>5075</v>
      </c>
      <c r="D1236" s="8"/>
      <c r="E1236" s="8" t="s">
        <v>43</v>
      </c>
      <c r="F1236" s="90">
        <v>5000.0</v>
      </c>
      <c r="G1236" s="97" t="s">
        <v>5076</v>
      </c>
      <c r="H1236" s="11" t="s">
        <v>5077</v>
      </c>
      <c r="I1236" s="97" t="s">
        <v>5078</v>
      </c>
      <c r="J1236" s="11" t="s">
        <v>25</v>
      </c>
      <c r="K1236" s="12"/>
      <c r="L1236" s="13"/>
      <c r="M1236" s="14"/>
      <c r="N1236" s="15"/>
      <c r="O1236" s="5" t="s">
        <v>564</v>
      </c>
      <c r="P1236" s="5" t="s">
        <v>453</v>
      </c>
      <c r="Q1236" s="15"/>
      <c r="R1236" s="16" t="s">
        <v>28</v>
      </c>
      <c r="S1236" s="15"/>
      <c r="T1236" s="15"/>
      <c r="U1236" s="15"/>
      <c r="V1236" s="15"/>
      <c r="W1236" s="15"/>
      <c r="X1236" s="15"/>
      <c r="Y1236" s="15"/>
      <c r="Z1236" s="15"/>
      <c r="AA1236" s="15"/>
    </row>
    <row r="1237">
      <c r="A1237" s="5" t="s">
        <v>5079</v>
      </c>
      <c r="B1237" s="6" t="s">
        <v>5080</v>
      </c>
      <c r="C1237" s="40" t="s">
        <v>5081</v>
      </c>
      <c r="D1237" s="8"/>
      <c r="E1237" s="8" t="s">
        <v>4047</v>
      </c>
      <c r="F1237" s="90">
        <v>1000.0</v>
      </c>
      <c r="G1237" s="97" t="s">
        <v>5082</v>
      </c>
      <c r="H1237" s="11" t="s">
        <v>44</v>
      </c>
      <c r="I1237" s="97">
        <v>8.670670356E9</v>
      </c>
      <c r="J1237" s="11" t="s">
        <v>25</v>
      </c>
      <c r="K1237" s="12"/>
      <c r="L1237" s="13"/>
      <c r="M1237" s="14"/>
      <c r="N1237" s="15"/>
      <c r="O1237" s="5" t="s">
        <v>564</v>
      </c>
      <c r="P1237" s="15"/>
      <c r="Q1237" s="15"/>
      <c r="R1237" s="16" t="s">
        <v>28</v>
      </c>
      <c r="S1237" s="15"/>
      <c r="T1237" s="15"/>
      <c r="U1237" s="15"/>
      <c r="V1237" s="15"/>
      <c r="W1237" s="15"/>
      <c r="X1237" s="15"/>
      <c r="Y1237" s="15"/>
      <c r="Z1237" s="15"/>
      <c r="AA1237" s="15"/>
    </row>
    <row r="1238">
      <c r="A1238" s="5" t="s">
        <v>5079</v>
      </c>
      <c r="B1238" s="6" t="s">
        <v>5083</v>
      </c>
      <c r="C1238" s="40" t="s">
        <v>5084</v>
      </c>
      <c r="D1238" s="8"/>
      <c r="E1238" s="8" t="s">
        <v>4960</v>
      </c>
      <c r="F1238" s="90">
        <v>10000.0</v>
      </c>
      <c r="G1238" s="97"/>
      <c r="H1238" s="11" t="s">
        <v>906</v>
      </c>
      <c r="I1238" s="97" t="s">
        <v>5085</v>
      </c>
      <c r="J1238" s="11" t="s">
        <v>25</v>
      </c>
      <c r="K1238" s="12"/>
      <c r="L1238" s="13"/>
      <c r="M1238" s="14"/>
      <c r="N1238" s="15"/>
      <c r="O1238" s="5" t="s">
        <v>564</v>
      </c>
      <c r="P1238" s="15"/>
      <c r="Q1238" s="15"/>
      <c r="R1238" s="16" t="s">
        <v>28</v>
      </c>
      <c r="S1238" s="15"/>
      <c r="T1238" s="15"/>
      <c r="U1238" s="15"/>
      <c r="V1238" s="15"/>
      <c r="W1238" s="15"/>
      <c r="X1238" s="15"/>
      <c r="Y1238" s="15"/>
      <c r="Z1238" s="15"/>
      <c r="AA1238" s="15"/>
    </row>
    <row r="1239">
      <c r="A1239" s="5" t="s">
        <v>5079</v>
      </c>
      <c r="B1239" s="6" t="s">
        <v>5086</v>
      </c>
      <c r="C1239" s="40" t="s">
        <v>5087</v>
      </c>
      <c r="D1239" s="8"/>
      <c r="E1239" s="8" t="s">
        <v>189</v>
      </c>
      <c r="F1239" s="90">
        <v>10000.0</v>
      </c>
      <c r="G1239" s="97" t="s">
        <v>5088</v>
      </c>
      <c r="H1239" s="11" t="s">
        <v>5089</v>
      </c>
      <c r="I1239" s="97">
        <v>9.861455462E9</v>
      </c>
      <c r="J1239" s="11" t="s">
        <v>25</v>
      </c>
      <c r="K1239" s="12"/>
      <c r="L1239" s="13"/>
      <c r="M1239" s="11" t="s">
        <v>5090</v>
      </c>
      <c r="N1239" s="15"/>
      <c r="O1239" s="5" t="s">
        <v>34</v>
      </c>
      <c r="P1239" s="5" t="s">
        <v>209</v>
      </c>
      <c r="Q1239" s="5" t="s">
        <v>5091</v>
      </c>
      <c r="R1239" s="16" t="s">
        <v>723</v>
      </c>
      <c r="S1239" s="15"/>
      <c r="T1239" s="15"/>
      <c r="U1239" s="15"/>
      <c r="V1239" s="15"/>
      <c r="W1239" s="15"/>
      <c r="X1239" s="15"/>
      <c r="Y1239" s="15"/>
      <c r="Z1239" s="15"/>
      <c r="AA1239" s="15"/>
    </row>
    <row r="1240">
      <c r="A1240" s="5" t="s">
        <v>5079</v>
      </c>
      <c r="B1240" s="6" t="s">
        <v>5092</v>
      </c>
      <c r="C1240" s="40" t="s">
        <v>5093</v>
      </c>
      <c r="D1240" s="8"/>
      <c r="E1240" s="8" t="s">
        <v>5094</v>
      </c>
      <c r="F1240" s="90">
        <v>1000.0</v>
      </c>
      <c r="G1240" s="97" t="s">
        <v>5095</v>
      </c>
      <c r="H1240" s="11" t="s">
        <v>1461</v>
      </c>
      <c r="I1240" s="97">
        <v>9.001487771E9</v>
      </c>
      <c r="J1240" s="11" t="s">
        <v>25</v>
      </c>
      <c r="K1240" s="12"/>
      <c r="L1240" s="13"/>
      <c r="M1240" s="14"/>
      <c r="N1240" s="15"/>
      <c r="O1240" s="5" t="s">
        <v>108</v>
      </c>
      <c r="P1240" s="15"/>
      <c r="Q1240" s="15"/>
      <c r="R1240" s="16" t="s">
        <v>28</v>
      </c>
      <c r="S1240" s="15"/>
      <c r="T1240" s="15"/>
      <c r="U1240" s="15"/>
      <c r="V1240" s="15"/>
      <c r="W1240" s="15"/>
      <c r="X1240" s="15"/>
      <c r="Y1240" s="15"/>
      <c r="Z1240" s="15"/>
      <c r="AA1240" s="15"/>
    </row>
    <row r="1241">
      <c r="A1241" s="5" t="s">
        <v>5079</v>
      </c>
      <c r="B1241" s="6" t="s">
        <v>5096</v>
      </c>
      <c r="C1241" s="40" t="s">
        <v>5097</v>
      </c>
      <c r="D1241" s="8"/>
      <c r="E1241" s="8" t="s">
        <v>4892</v>
      </c>
      <c r="F1241" s="90">
        <v>3000.0</v>
      </c>
      <c r="G1241" s="97" t="s">
        <v>5098</v>
      </c>
      <c r="H1241" s="11" t="s">
        <v>44</v>
      </c>
      <c r="I1241" s="97">
        <v>9.830614783E9</v>
      </c>
      <c r="J1241" s="11" t="s">
        <v>25</v>
      </c>
      <c r="K1241" s="12"/>
      <c r="L1241" s="13"/>
      <c r="M1241" s="14"/>
      <c r="N1241" s="15"/>
      <c r="O1241" s="5" t="s">
        <v>564</v>
      </c>
      <c r="P1241" s="15"/>
      <c r="Q1241" s="15"/>
      <c r="R1241" s="16" t="s">
        <v>28</v>
      </c>
      <c r="S1241" s="15"/>
      <c r="T1241" s="15"/>
      <c r="U1241" s="15"/>
      <c r="V1241" s="15"/>
      <c r="W1241" s="15"/>
      <c r="X1241" s="15"/>
      <c r="Y1241" s="15"/>
      <c r="Z1241" s="15"/>
      <c r="AA1241" s="15"/>
    </row>
    <row r="1242">
      <c r="A1242" s="5" t="s">
        <v>5079</v>
      </c>
      <c r="B1242" s="6" t="s">
        <v>5099</v>
      </c>
      <c r="C1242" s="40" t="s">
        <v>4617</v>
      </c>
      <c r="D1242" s="8"/>
      <c r="E1242" s="8" t="s">
        <v>87</v>
      </c>
      <c r="F1242" s="90">
        <v>1000.0</v>
      </c>
      <c r="G1242" s="97" t="s">
        <v>4618</v>
      </c>
      <c r="H1242" s="11" t="s">
        <v>4619</v>
      </c>
      <c r="I1242" s="97">
        <v>9.007004209E9</v>
      </c>
      <c r="J1242" s="11" t="s">
        <v>25</v>
      </c>
      <c r="K1242" s="12"/>
      <c r="L1242" s="13"/>
      <c r="M1242" s="14"/>
      <c r="N1242" s="15"/>
      <c r="O1242" s="5" t="s">
        <v>34</v>
      </c>
      <c r="P1242" s="5" t="s">
        <v>209</v>
      </c>
      <c r="Q1242" s="5" t="s">
        <v>1751</v>
      </c>
      <c r="R1242" s="16" t="s">
        <v>723</v>
      </c>
      <c r="S1242" s="15"/>
      <c r="T1242" s="15"/>
      <c r="U1242" s="15"/>
      <c r="V1242" s="15"/>
      <c r="W1242" s="15"/>
      <c r="X1242" s="15"/>
      <c r="Y1242" s="15"/>
      <c r="Z1242" s="15"/>
      <c r="AA1242" s="15"/>
    </row>
    <row r="1243">
      <c r="A1243" s="5" t="s">
        <v>5079</v>
      </c>
      <c r="B1243" s="6" t="s">
        <v>5100</v>
      </c>
      <c r="C1243" s="40" t="s">
        <v>5101</v>
      </c>
      <c r="D1243" s="8"/>
      <c r="E1243" s="8" t="s">
        <v>5102</v>
      </c>
      <c r="F1243" s="90">
        <v>10000.0</v>
      </c>
      <c r="G1243" s="97" t="s">
        <v>5103</v>
      </c>
      <c r="H1243" s="11" t="s">
        <v>44</v>
      </c>
      <c r="I1243" s="97">
        <v>7.908734332E9</v>
      </c>
      <c r="J1243" s="11" t="s">
        <v>25</v>
      </c>
      <c r="K1243" s="12"/>
      <c r="L1243" s="13"/>
      <c r="M1243" s="14"/>
      <c r="N1243" s="15"/>
      <c r="O1243" s="5" t="s">
        <v>564</v>
      </c>
      <c r="P1243" s="15"/>
      <c r="Q1243" s="15"/>
      <c r="R1243" s="16" t="s">
        <v>28</v>
      </c>
      <c r="S1243" s="15"/>
      <c r="T1243" s="15"/>
      <c r="U1243" s="15"/>
      <c r="V1243" s="15"/>
      <c r="W1243" s="15"/>
      <c r="X1243" s="15"/>
      <c r="Y1243" s="15"/>
      <c r="Z1243" s="15"/>
      <c r="AA1243" s="15"/>
    </row>
    <row r="1244">
      <c r="A1244" s="5" t="s">
        <v>5104</v>
      </c>
      <c r="B1244" s="6" t="s">
        <v>5105</v>
      </c>
      <c r="C1244" s="40" t="s">
        <v>1145</v>
      </c>
      <c r="D1244" s="8"/>
      <c r="E1244" s="8" t="s">
        <v>130</v>
      </c>
      <c r="F1244" s="90">
        <v>20000.0</v>
      </c>
      <c r="G1244" s="97" t="s">
        <v>5106</v>
      </c>
      <c r="H1244" s="11" t="s">
        <v>268</v>
      </c>
      <c r="I1244" s="97">
        <v>8.670366541E9</v>
      </c>
      <c r="J1244" s="11" t="s">
        <v>4008</v>
      </c>
      <c r="K1244" s="12"/>
      <c r="L1244" s="13"/>
      <c r="M1244" s="14"/>
      <c r="N1244" s="15"/>
      <c r="O1244" s="5" t="s">
        <v>564</v>
      </c>
      <c r="P1244" s="5" t="s">
        <v>5107</v>
      </c>
      <c r="Q1244" s="15"/>
      <c r="R1244" s="16" t="s">
        <v>28</v>
      </c>
      <c r="S1244" s="15"/>
      <c r="T1244" s="15"/>
      <c r="U1244" s="15"/>
      <c r="V1244" s="15"/>
      <c r="W1244" s="15"/>
      <c r="X1244" s="15"/>
      <c r="Y1244" s="15"/>
      <c r="Z1244" s="15"/>
      <c r="AA1244" s="15"/>
    </row>
    <row r="1245">
      <c r="A1245" s="5" t="s">
        <v>5108</v>
      </c>
      <c r="B1245" s="6" t="s">
        <v>5109</v>
      </c>
      <c r="C1245" s="40" t="s">
        <v>5110</v>
      </c>
      <c r="D1245" s="8"/>
      <c r="E1245" s="8" t="s">
        <v>5111</v>
      </c>
      <c r="F1245" s="90">
        <v>38000.0</v>
      </c>
      <c r="G1245" s="97" t="s">
        <v>5112</v>
      </c>
      <c r="H1245" s="11" t="s">
        <v>977</v>
      </c>
      <c r="I1245" s="97">
        <v>7.870945078E9</v>
      </c>
      <c r="J1245" s="11" t="s">
        <v>25</v>
      </c>
      <c r="K1245" s="12"/>
      <c r="L1245" s="13"/>
      <c r="M1245" s="14"/>
      <c r="N1245" s="15"/>
      <c r="O1245" s="5" t="s">
        <v>564</v>
      </c>
      <c r="P1245" s="5" t="s">
        <v>5113</v>
      </c>
      <c r="Q1245" s="15"/>
      <c r="R1245" s="16" t="s">
        <v>28</v>
      </c>
      <c r="S1245" s="15"/>
      <c r="T1245" s="15"/>
      <c r="U1245" s="15"/>
      <c r="V1245" s="15"/>
      <c r="W1245" s="15"/>
      <c r="X1245" s="15"/>
      <c r="Y1245" s="15"/>
      <c r="Z1245" s="15"/>
      <c r="AA1245" s="15"/>
    </row>
    <row r="1246">
      <c r="A1246" s="5" t="s">
        <v>5104</v>
      </c>
      <c r="B1246" s="6" t="s">
        <v>5114</v>
      </c>
      <c r="C1246" s="40" t="s">
        <v>5115</v>
      </c>
      <c r="D1246" s="8"/>
      <c r="E1246" s="8" t="s">
        <v>130</v>
      </c>
      <c r="F1246" s="90">
        <v>25000.0</v>
      </c>
      <c r="G1246" s="97"/>
      <c r="H1246" s="11" t="s">
        <v>5116</v>
      </c>
      <c r="I1246" s="97">
        <v>9.546894868E9</v>
      </c>
      <c r="J1246" s="11" t="s">
        <v>25</v>
      </c>
      <c r="K1246" s="12"/>
      <c r="L1246" s="13"/>
      <c r="M1246" s="14"/>
      <c r="N1246" s="15"/>
      <c r="O1246" s="5" t="s">
        <v>564</v>
      </c>
      <c r="P1246" s="15"/>
      <c r="Q1246" s="15"/>
      <c r="R1246" s="16" t="s">
        <v>28</v>
      </c>
      <c r="S1246" s="15"/>
      <c r="T1246" s="15"/>
      <c r="U1246" s="15"/>
      <c r="V1246" s="15"/>
      <c r="W1246" s="15"/>
      <c r="X1246" s="15"/>
      <c r="Y1246" s="15"/>
      <c r="Z1246" s="15"/>
      <c r="AA1246" s="15"/>
    </row>
    <row r="1247">
      <c r="A1247" s="5" t="s">
        <v>5104</v>
      </c>
      <c r="B1247" s="6" t="s">
        <v>5117</v>
      </c>
      <c r="C1247" s="40" t="s">
        <v>5118</v>
      </c>
      <c r="D1247" s="8"/>
      <c r="E1247" s="8" t="s">
        <v>1217</v>
      </c>
      <c r="F1247" s="90">
        <v>650.0</v>
      </c>
      <c r="G1247" s="97" t="s">
        <v>5119</v>
      </c>
      <c r="H1247" s="11" t="s">
        <v>5120</v>
      </c>
      <c r="I1247" s="97">
        <v>7.894638034E9</v>
      </c>
      <c r="J1247" s="11" t="s">
        <v>25</v>
      </c>
      <c r="K1247" s="12"/>
      <c r="L1247" s="13"/>
      <c r="M1247" s="14"/>
      <c r="N1247" s="15"/>
      <c r="O1247" s="5" t="s">
        <v>564</v>
      </c>
      <c r="P1247" s="15"/>
      <c r="Q1247" s="15"/>
      <c r="R1247" s="16" t="s">
        <v>28</v>
      </c>
      <c r="S1247" s="15"/>
      <c r="T1247" s="15"/>
      <c r="U1247" s="15"/>
      <c r="V1247" s="15"/>
      <c r="W1247" s="15"/>
      <c r="X1247" s="15"/>
      <c r="Y1247" s="15"/>
      <c r="Z1247" s="15"/>
      <c r="AA1247" s="15"/>
    </row>
    <row r="1248">
      <c r="A1248" s="5" t="s">
        <v>5121</v>
      </c>
      <c r="B1248" s="6" t="s">
        <v>5122</v>
      </c>
      <c r="C1248" s="40" t="s">
        <v>5123</v>
      </c>
      <c r="D1248" s="8"/>
      <c r="E1248" s="8" t="s">
        <v>189</v>
      </c>
      <c r="F1248" s="90">
        <v>4000.0</v>
      </c>
      <c r="G1248" s="97" t="s">
        <v>5124</v>
      </c>
      <c r="H1248" s="11" t="s">
        <v>5125</v>
      </c>
      <c r="I1248" s="97">
        <v>9.835240548E9</v>
      </c>
      <c r="J1248" s="11" t="s">
        <v>25</v>
      </c>
      <c r="K1248" s="12"/>
      <c r="L1248" s="13"/>
      <c r="M1248" s="14"/>
      <c r="N1248" s="15"/>
      <c r="O1248" s="5" t="s">
        <v>564</v>
      </c>
      <c r="P1248" s="15"/>
      <c r="Q1248" s="15"/>
      <c r="R1248" s="16" t="s">
        <v>28</v>
      </c>
      <c r="S1248" s="15"/>
      <c r="T1248" s="15"/>
      <c r="U1248" s="15"/>
      <c r="V1248" s="15"/>
      <c r="W1248" s="15"/>
      <c r="X1248" s="15"/>
      <c r="Y1248" s="15"/>
      <c r="Z1248" s="15"/>
      <c r="AA1248" s="15"/>
    </row>
    <row r="1249">
      <c r="A1249" s="5" t="s">
        <v>5121</v>
      </c>
      <c r="B1249" s="6" t="s">
        <v>5126</v>
      </c>
      <c r="C1249" s="40" t="s">
        <v>5127</v>
      </c>
      <c r="D1249" s="8"/>
      <c r="E1249" s="8" t="s">
        <v>156</v>
      </c>
      <c r="F1249" s="90">
        <v>25000.0</v>
      </c>
      <c r="G1249" s="97" t="s">
        <v>5128</v>
      </c>
      <c r="H1249" s="11" t="s">
        <v>3216</v>
      </c>
      <c r="I1249" s="97">
        <v>7.076214983E9</v>
      </c>
      <c r="J1249" s="11" t="s">
        <v>25</v>
      </c>
      <c r="K1249" s="12"/>
      <c r="L1249" s="13"/>
      <c r="M1249" s="14"/>
      <c r="N1249" s="15"/>
      <c r="O1249" s="5" t="s">
        <v>564</v>
      </c>
      <c r="P1249" s="15"/>
      <c r="Q1249" s="15"/>
      <c r="R1249" s="16" t="s">
        <v>28</v>
      </c>
      <c r="S1249" s="15"/>
      <c r="T1249" s="15"/>
      <c r="U1249" s="15"/>
      <c r="V1249" s="15"/>
      <c r="W1249" s="15"/>
      <c r="X1249" s="15"/>
      <c r="Y1249" s="15"/>
      <c r="Z1249" s="15"/>
      <c r="AA1249" s="15"/>
    </row>
    <row r="1250">
      <c r="A1250" s="5" t="s">
        <v>5121</v>
      </c>
      <c r="B1250" s="6" t="s">
        <v>5129</v>
      </c>
      <c r="C1250" s="40" t="s">
        <v>3417</v>
      </c>
      <c r="D1250" s="8"/>
      <c r="E1250" s="8" t="s">
        <v>43</v>
      </c>
      <c r="F1250" s="90">
        <v>3000.0</v>
      </c>
      <c r="G1250" s="97" t="s">
        <v>5130</v>
      </c>
      <c r="H1250" s="11" t="s">
        <v>5131</v>
      </c>
      <c r="I1250" s="97">
        <v>9.08882315E9</v>
      </c>
      <c r="J1250" s="11" t="s">
        <v>25</v>
      </c>
      <c r="K1250" s="12" t="s">
        <v>2577</v>
      </c>
      <c r="L1250" s="13"/>
      <c r="M1250" s="14"/>
      <c r="N1250" s="15"/>
      <c r="O1250" s="5" t="s">
        <v>564</v>
      </c>
      <c r="P1250" s="5" t="s">
        <v>5132</v>
      </c>
      <c r="Q1250" s="15"/>
      <c r="R1250" s="16" t="s">
        <v>28</v>
      </c>
      <c r="S1250" s="15"/>
      <c r="T1250" s="15"/>
      <c r="U1250" s="15"/>
      <c r="V1250" s="15"/>
      <c r="W1250" s="15"/>
      <c r="X1250" s="15"/>
      <c r="Y1250" s="15"/>
      <c r="Z1250" s="15"/>
      <c r="AA1250" s="15"/>
    </row>
    <row r="1251">
      <c r="A1251" s="5" t="s">
        <v>5121</v>
      </c>
      <c r="B1251" s="6" t="s">
        <v>5133</v>
      </c>
      <c r="C1251" s="40" t="s">
        <v>5134</v>
      </c>
      <c r="D1251" s="8"/>
      <c r="E1251" s="8" t="s">
        <v>130</v>
      </c>
      <c r="F1251" s="90">
        <v>600.0</v>
      </c>
      <c r="G1251" s="97"/>
      <c r="H1251" s="11" t="s">
        <v>472</v>
      </c>
      <c r="I1251" s="97">
        <v>6.393416007E9</v>
      </c>
      <c r="J1251" s="11" t="s">
        <v>25</v>
      </c>
      <c r="K1251" s="12"/>
      <c r="L1251" s="13"/>
      <c r="M1251" s="14"/>
      <c r="N1251" s="15"/>
      <c r="O1251" s="5" t="s">
        <v>564</v>
      </c>
      <c r="P1251" s="15"/>
      <c r="Q1251" s="15"/>
      <c r="R1251" s="16" t="s">
        <v>28</v>
      </c>
      <c r="S1251" s="15"/>
      <c r="T1251" s="15"/>
      <c r="U1251" s="15"/>
      <c r="V1251" s="15"/>
      <c r="W1251" s="15"/>
      <c r="X1251" s="15"/>
      <c r="Y1251" s="15"/>
      <c r="Z1251" s="15"/>
      <c r="AA1251" s="15"/>
    </row>
    <row r="1252">
      <c r="A1252" s="5" t="s">
        <v>5135</v>
      </c>
      <c r="B1252" s="6" t="s">
        <v>5136</v>
      </c>
      <c r="C1252" s="40" t="s">
        <v>5137</v>
      </c>
      <c r="D1252" s="8"/>
      <c r="E1252" s="8" t="s">
        <v>3165</v>
      </c>
      <c r="F1252" s="90">
        <v>1000.0</v>
      </c>
      <c r="G1252" s="97" t="s">
        <v>5138</v>
      </c>
      <c r="H1252" s="11" t="s">
        <v>5139</v>
      </c>
      <c r="I1252" s="97">
        <v>9.163107019E9</v>
      </c>
      <c r="J1252" s="11" t="s">
        <v>25</v>
      </c>
      <c r="K1252" s="12"/>
      <c r="L1252" s="13"/>
      <c r="M1252" s="14"/>
      <c r="N1252" s="15"/>
      <c r="O1252" s="5" t="s">
        <v>564</v>
      </c>
      <c r="P1252" s="15"/>
      <c r="Q1252" s="15"/>
      <c r="R1252" s="16" t="s">
        <v>28</v>
      </c>
      <c r="S1252" s="15"/>
      <c r="T1252" s="15"/>
      <c r="U1252" s="15"/>
      <c r="V1252" s="15"/>
      <c r="W1252" s="15"/>
      <c r="X1252" s="15"/>
      <c r="Y1252" s="15"/>
      <c r="Z1252" s="15"/>
      <c r="AA1252" s="15"/>
    </row>
    <row r="1253">
      <c r="A1253" s="5" t="s">
        <v>5140</v>
      </c>
      <c r="B1253" s="6" t="s">
        <v>5141</v>
      </c>
      <c r="C1253" s="40" t="s">
        <v>5142</v>
      </c>
      <c r="D1253" s="8"/>
      <c r="E1253" s="8" t="s">
        <v>5143</v>
      </c>
      <c r="F1253" s="90">
        <v>500.0</v>
      </c>
      <c r="G1253" s="97" t="s">
        <v>5144</v>
      </c>
      <c r="H1253" s="11" t="s">
        <v>5145</v>
      </c>
      <c r="I1253" s="97">
        <v>9.474796393E9</v>
      </c>
      <c r="J1253" s="11" t="s">
        <v>25</v>
      </c>
      <c r="K1253" s="12" t="s">
        <v>5146</v>
      </c>
      <c r="L1253" s="13"/>
      <c r="M1253" s="14"/>
      <c r="N1253" s="15"/>
      <c r="O1253" s="5" t="s">
        <v>564</v>
      </c>
      <c r="P1253" s="5" t="s">
        <v>5147</v>
      </c>
      <c r="Q1253" s="15"/>
      <c r="R1253" s="16" t="s">
        <v>28</v>
      </c>
      <c r="S1253" s="15"/>
      <c r="T1253" s="15"/>
      <c r="U1253" s="15"/>
      <c r="V1253" s="15"/>
      <c r="W1253" s="15"/>
      <c r="X1253" s="15"/>
      <c r="Y1253" s="15"/>
      <c r="Z1253" s="15"/>
      <c r="AA1253" s="15"/>
    </row>
    <row r="1254">
      <c r="A1254" s="5" t="s">
        <v>5140</v>
      </c>
      <c r="B1254" s="6" t="s">
        <v>5148</v>
      </c>
      <c r="C1254" s="40" t="s">
        <v>5149</v>
      </c>
      <c r="D1254" s="8"/>
      <c r="E1254" s="8" t="s">
        <v>5150</v>
      </c>
      <c r="F1254" s="90">
        <v>25000.0</v>
      </c>
      <c r="G1254" s="97" t="s">
        <v>5151</v>
      </c>
      <c r="H1254" s="11" t="s">
        <v>44</v>
      </c>
      <c r="I1254" s="97">
        <v>7.603006867E9</v>
      </c>
      <c r="J1254" s="11" t="s">
        <v>25</v>
      </c>
      <c r="K1254" s="12"/>
      <c r="L1254" s="13"/>
      <c r="M1254" s="14"/>
      <c r="N1254" s="15"/>
      <c r="O1254" s="5" t="s">
        <v>564</v>
      </c>
      <c r="P1254" s="15"/>
      <c r="Q1254" s="15"/>
      <c r="R1254" s="16" t="s">
        <v>28</v>
      </c>
      <c r="S1254" s="15"/>
      <c r="T1254" s="15"/>
      <c r="U1254" s="15"/>
      <c r="V1254" s="15"/>
      <c r="W1254" s="15"/>
      <c r="X1254" s="15"/>
      <c r="Y1254" s="15"/>
      <c r="Z1254" s="15"/>
      <c r="AA1254" s="15"/>
    </row>
    <row r="1255">
      <c r="A1255" s="5" t="s">
        <v>5140</v>
      </c>
      <c r="B1255" s="6" t="s">
        <v>5152</v>
      </c>
      <c r="C1255" s="40" t="s">
        <v>4604</v>
      </c>
      <c r="D1255" s="8"/>
      <c r="E1255" s="8" t="s">
        <v>152</v>
      </c>
      <c r="F1255" s="90">
        <v>2000.0</v>
      </c>
      <c r="G1255" s="97" t="s">
        <v>5153</v>
      </c>
      <c r="H1255" s="11" t="s">
        <v>4605</v>
      </c>
      <c r="I1255" s="97">
        <v>9.564269738E9</v>
      </c>
      <c r="J1255" s="11" t="s">
        <v>25</v>
      </c>
      <c r="K1255" s="12"/>
      <c r="L1255" s="13"/>
      <c r="M1255" s="14"/>
      <c r="N1255" s="15"/>
      <c r="O1255" s="5" t="s">
        <v>564</v>
      </c>
      <c r="P1255" s="5" t="s">
        <v>5154</v>
      </c>
      <c r="Q1255" s="15"/>
      <c r="R1255" s="16" t="s">
        <v>28</v>
      </c>
      <c r="S1255" s="15"/>
      <c r="T1255" s="15"/>
      <c r="U1255" s="15"/>
      <c r="V1255" s="15"/>
      <c r="W1255" s="15"/>
      <c r="X1255" s="15"/>
      <c r="Y1255" s="15"/>
      <c r="Z1255" s="15"/>
      <c r="AA1255" s="15"/>
    </row>
    <row r="1256">
      <c r="A1256" s="5" t="s">
        <v>5140</v>
      </c>
      <c r="B1256" s="6" t="s">
        <v>5155</v>
      </c>
      <c r="C1256" s="40" t="s">
        <v>5156</v>
      </c>
      <c r="D1256" s="8"/>
      <c r="E1256" s="8" t="s">
        <v>189</v>
      </c>
      <c r="F1256" s="90">
        <v>25000.0</v>
      </c>
      <c r="G1256" s="97" t="s">
        <v>5157</v>
      </c>
      <c r="H1256" s="11" t="s">
        <v>44</v>
      </c>
      <c r="I1256" s="97">
        <v>8.649878399E9</v>
      </c>
      <c r="J1256" s="11" t="s">
        <v>25</v>
      </c>
      <c r="K1256" s="12"/>
      <c r="L1256" s="13"/>
      <c r="M1256" s="14"/>
      <c r="N1256" s="15"/>
      <c r="O1256" s="5" t="s">
        <v>5158</v>
      </c>
      <c r="P1256" s="5" t="s">
        <v>5159</v>
      </c>
      <c r="Q1256" s="15"/>
      <c r="R1256" s="16" t="s">
        <v>28</v>
      </c>
      <c r="S1256" s="15"/>
      <c r="T1256" s="15"/>
      <c r="U1256" s="15"/>
      <c r="V1256" s="15"/>
      <c r="W1256" s="15"/>
      <c r="X1256" s="15"/>
      <c r="Y1256" s="15"/>
      <c r="Z1256" s="15"/>
      <c r="AA1256" s="15"/>
    </row>
    <row r="1257">
      <c r="A1257" s="5" t="s">
        <v>5160</v>
      </c>
      <c r="B1257" s="6" t="s">
        <v>5161</v>
      </c>
      <c r="C1257" s="40" t="s">
        <v>5162</v>
      </c>
      <c r="D1257" s="8"/>
      <c r="E1257" s="8" t="s">
        <v>167</v>
      </c>
      <c r="F1257" s="90">
        <v>1000.0</v>
      </c>
      <c r="G1257" s="97" t="s">
        <v>5163</v>
      </c>
      <c r="H1257" s="11" t="s">
        <v>4615</v>
      </c>
      <c r="I1257" s="97">
        <v>8.444995074E9</v>
      </c>
      <c r="J1257" s="11" t="s">
        <v>25</v>
      </c>
      <c r="K1257" s="12" t="s">
        <v>3468</v>
      </c>
      <c r="L1257" s="13"/>
      <c r="M1257" s="14"/>
      <c r="N1257" s="15"/>
      <c r="O1257" s="5" t="s">
        <v>564</v>
      </c>
      <c r="P1257" s="5" t="s">
        <v>5164</v>
      </c>
      <c r="Q1257" s="15"/>
      <c r="R1257" s="16" t="s">
        <v>28</v>
      </c>
      <c r="S1257" s="15"/>
      <c r="T1257" s="15"/>
      <c r="U1257" s="15"/>
      <c r="V1257" s="15"/>
      <c r="W1257" s="15"/>
      <c r="X1257" s="15"/>
      <c r="Y1257" s="15"/>
      <c r="Z1257" s="15"/>
      <c r="AA1257" s="15"/>
    </row>
    <row r="1258">
      <c r="A1258" s="5" t="s">
        <v>5160</v>
      </c>
      <c r="B1258" s="6" t="s">
        <v>5165</v>
      </c>
      <c r="C1258" s="40" t="s">
        <v>5166</v>
      </c>
      <c r="D1258" s="8"/>
      <c r="E1258" s="8" t="s">
        <v>357</v>
      </c>
      <c r="F1258" s="90">
        <v>10000.0</v>
      </c>
      <c r="G1258" s="97" t="s">
        <v>5167</v>
      </c>
      <c r="H1258" s="11" t="s">
        <v>981</v>
      </c>
      <c r="I1258" s="97">
        <v>9.775068998E9</v>
      </c>
      <c r="J1258" s="11" t="s">
        <v>25</v>
      </c>
      <c r="K1258" s="12" t="s">
        <v>5168</v>
      </c>
      <c r="L1258" s="13"/>
      <c r="M1258" s="14"/>
      <c r="N1258" s="15"/>
      <c r="O1258" s="5" t="s">
        <v>564</v>
      </c>
      <c r="P1258" s="5" t="s">
        <v>27</v>
      </c>
      <c r="Q1258" s="15"/>
      <c r="R1258" s="16" t="s">
        <v>28</v>
      </c>
      <c r="S1258" s="15"/>
      <c r="T1258" s="15"/>
      <c r="U1258" s="15"/>
      <c r="V1258" s="15"/>
      <c r="W1258" s="15"/>
      <c r="X1258" s="15"/>
      <c r="Y1258" s="15"/>
      <c r="Z1258" s="15"/>
      <c r="AA1258" s="15"/>
    </row>
    <row r="1259">
      <c r="A1259" s="5" t="s">
        <v>5169</v>
      </c>
      <c r="B1259" s="6" t="s">
        <v>5170</v>
      </c>
      <c r="C1259" s="40" t="s">
        <v>5171</v>
      </c>
      <c r="D1259" s="8"/>
      <c r="E1259" s="8" t="s">
        <v>5172</v>
      </c>
      <c r="F1259" s="90">
        <v>3000.0</v>
      </c>
      <c r="G1259" s="97" t="s">
        <v>5173</v>
      </c>
      <c r="H1259" s="11" t="s">
        <v>981</v>
      </c>
      <c r="I1259" s="129">
        <v>9.832898068E9</v>
      </c>
      <c r="J1259" s="11" t="s">
        <v>25</v>
      </c>
      <c r="K1259" s="12"/>
      <c r="L1259" s="13"/>
      <c r="M1259" s="14"/>
      <c r="N1259" s="15"/>
      <c r="O1259" s="5" t="s">
        <v>564</v>
      </c>
      <c r="P1259" s="5" t="s">
        <v>5174</v>
      </c>
      <c r="Q1259" s="15"/>
      <c r="R1259" s="16" t="s">
        <v>28</v>
      </c>
      <c r="S1259" s="15"/>
      <c r="T1259" s="15"/>
      <c r="U1259" s="15"/>
      <c r="V1259" s="15"/>
      <c r="W1259" s="15"/>
      <c r="X1259" s="15"/>
      <c r="Y1259" s="15"/>
      <c r="Z1259" s="15"/>
      <c r="AA1259" s="15"/>
    </row>
    <row r="1260">
      <c r="A1260" s="5" t="s">
        <v>5175</v>
      </c>
      <c r="B1260" s="6" t="s">
        <v>5176</v>
      </c>
      <c r="C1260" s="40" t="s">
        <v>5177</v>
      </c>
      <c r="D1260" s="8"/>
      <c r="E1260" s="8" t="s">
        <v>4782</v>
      </c>
      <c r="F1260" s="90">
        <v>35000.0</v>
      </c>
      <c r="G1260" s="97" t="s">
        <v>5178</v>
      </c>
      <c r="H1260" s="11" t="s">
        <v>981</v>
      </c>
      <c r="I1260" s="97">
        <v>9.647966216E9</v>
      </c>
      <c r="J1260" s="11" t="s">
        <v>25</v>
      </c>
      <c r="K1260" s="12"/>
      <c r="L1260" s="13"/>
      <c r="M1260" s="14"/>
      <c r="N1260" s="15"/>
      <c r="O1260" s="5" t="s">
        <v>564</v>
      </c>
      <c r="P1260" s="15"/>
      <c r="Q1260" s="15"/>
      <c r="R1260" s="16" t="s">
        <v>28</v>
      </c>
      <c r="S1260" s="15"/>
      <c r="T1260" s="15"/>
      <c r="U1260" s="15"/>
      <c r="V1260" s="15"/>
      <c r="W1260" s="15"/>
      <c r="X1260" s="15"/>
      <c r="Y1260" s="15"/>
      <c r="Z1260" s="15"/>
      <c r="AA1260" s="15"/>
    </row>
    <row r="1261">
      <c r="A1261" s="5" t="s">
        <v>5175</v>
      </c>
      <c r="B1261" s="6" t="s">
        <v>5179</v>
      </c>
      <c r="C1261" s="40" t="s">
        <v>5180</v>
      </c>
      <c r="D1261" s="8"/>
      <c r="E1261" s="8" t="s">
        <v>130</v>
      </c>
      <c r="F1261" s="90">
        <v>4000.0</v>
      </c>
      <c r="G1261" s="97" t="s">
        <v>5181</v>
      </c>
      <c r="H1261" s="11" t="s">
        <v>131</v>
      </c>
      <c r="I1261" s="97">
        <v>8.010881234E9</v>
      </c>
      <c r="J1261" s="11" t="s">
        <v>4008</v>
      </c>
      <c r="K1261" s="12"/>
      <c r="L1261" s="13"/>
      <c r="M1261" s="14"/>
      <c r="N1261" s="15"/>
      <c r="O1261" s="5" t="s">
        <v>564</v>
      </c>
      <c r="P1261" s="5" t="s">
        <v>5182</v>
      </c>
      <c r="Q1261" s="15"/>
      <c r="R1261" s="16" t="s">
        <v>28</v>
      </c>
      <c r="S1261" s="15"/>
      <c r="T1261" s="15"/>
      <c r="U1261" s="15"/>
      <c r="V1261" s="15"/>
      <c r="W1261" s="15"/>
      <c r="X1261" s="15"/>
      <c r="Y1261" s="15"/>
      <c r="Z1261" s="15"/>
      <c r="AA1261" s="15"/>
    </row>
    <row r="1262">
      <c r="A1262" s="5" t="s">
        <v>5175</v>
      </c>
      <c r="B1262" s="6" t="s">
        <v>5183</v>
      </c>
      <c r="C1262" s="40" t="s">
        <v>5184</v>
      </c>
      <c r="D1262" s="8"/>
      <c r="E1262" s="8" t="s">
        <v>152</v>
      </c>
      <c r="F1262" s="90">
        <v>2000.0</v>
      </c>
      <c r="G1262" s="97" t="s">
        <v>5185</v>
      </c>
      <c r="H1262" s="11" t="s">
        <v>5186</v>
      </c>
      <c r="I1262" s="97">
        <v>9.537144421E9</v>
      </c>
      <c r="J1262" s="11" t="s">
        <v>25</v>
      </c>
      <c r="K1262" s="12"/>
      <c r="L1262" s="13"/>
      <c r="M1262" s="14"/>
      <c r="N1262" s="15"/>
      <c r="O1262" s="5" t="s">
        <v>108</v>
      </c>
      <c r="P1262" s="15"/>
      <c r="Q1262" s="15"/>
      <c r="R1262" s="16" t="s">
        <v>28</v>
      </c>
      <c r="S1262" s="15"/>
      <c r="T1262" s="15"/>
      <c r="U1262" s="15"/>
      <c r="V1262" s="15"/>
      <c r="W1262" s="15"/>
      <c r="X1262" s="15"/>
      <c r="Y1262" s="15"/>
      <c r="Z1262" s="15"/>
      <c r="AA1262" s="15"/>
    </row>
    <row r="1263">
      <c r="A1263" s="5" t="s">
        <v>5175</v>
      </c>
      <c r="B1263" s="6" t="s">
        <v>5187</v>
      </c>
      <c r="C1263" s="40" t="s">
        <v>757</v>
      </c>
      <c r="D1263" s="8"/>
      <c r="E1263" s="8" t="s">
        <v>83</v>
      </c>
      <c r="F1263" s="90">
        <v>10000.0</v>
      </c>
      <c r="G1263" s="97" t="s">
        <v>5188</v>
      </c>
      <c r="H1263" s="11" t="s">
        <v>5189</v>
      </c>
      <c r="I1263" s="97">
        <v>8.910055978E9</v>
      </c>
      <c r="J1263" s="11" t="s">
        <v>4008</v>
      </c>
      <c r="K1263" s="12"/>
      <c r="L1263" s="13"/>
      <c r="M1263" s="14"/>
      <c r="N1263" s="15"/>
      <c r="O1263" s="5" t="s">
        <v>564</v>
      </c>
      <c r="P1263" s="5" t="s">
        <v>0</v>
      </c>
      <c r="Q1263" s="15"/>
      <c r="R1263" s="16" t="s">
        <v>28</v>
      </c>
      <c r="S1263" s="15"/>
      <c r="T1263" s="15"/>
      <c r="U1263" s="15"/>
      <c r="V1263" s="15"/>
      <c r="W1263" s="15"/>
      <c r="X1263" s="15"/>
      <c r="Y1263" s="15"/>
      <c r="Z1263" s="15"/>
      <c r="AA1263" s="15"/>
    </row>
    <row r="1264">
      <c r="A1264" s="5" t="s">
        <v>5190</v>
      </c>
      <c r="B1264" s="6" t="s">
        <v>5191</v>
      </c>
      <c r="C1264" s="40" t="s">
        <v>5192</v>
      </c>
      <c r="D1264" s="8"/>
      <c r="E1264" s="8" t="s">
        <v>5054</v>
      </c>
      <c r="F1264" s="90">
        <v>500.0</v>
      </c>
      <c r="G1264" s="97" t="s">
        <v>5193</v>
      </c>
      <c r="H1264" s="11" t="s">
        <v>5194</v>
      </c>
      <c r="I1264" s="97">
        <v>8.240189233E9</v>
      </c>
      <c r="J1264" s="11" t="s">
        <v>4008</v>
      </c>
      <c r="K1264" s="12"/>
      <c r="L1264" s="13"/>
      <c r="M1264" s="14"/>
      <c r="N1264" s="15"/>
      <c r="O1264" s="5" t="s">
        <v>564</v>
      </c>
      <c r="P1264" s="15"/>
      <c r="Q1264" s="15"/>
      <c r="R1264" s="16" t="s">
        <v>28</v>
      </c>
      <c r="S1264" s="15"/>
      <c r="T1264" s="15"/>
      <c r="U1264" s="15"/>
      <c r="V1264" s="15"/>
      <c r="W1264" s="15"/>
      <c r="X1264" s="15"/>
      <c r="Y1264" s="15"/>
      <c r="Z1264" s="15"/>
      <c r="AA1264" s="15"/>
    </row>
    <row r="1265">
      <c r="A1265" s="5" t="s">
        <v>5190</v>
      </c>
      <c r="B1265" s="6" t="s">
        <v>5195</v>
      </c>
      <c r="C1265" s="40" t="s">
        <v>5196</v>
      </c>
      <c r="D1265" s="8"/>
      <c r="E1265" s="8" t="s">
        <v>5014</v>
      </c>
      <c r="F1265" s="90">
        <v>5000.0</v>
      </c>
      <c r="G1265" s="97" t="s">
        <v>5197</v>
      </c>
      <c r="H1265" s="11" t="s">
        <v>44</v>
      </c>
      <c r="I1265" s="97">
        <v>9.333078754E9</v>
      </c>
      <c r="J1265" s="11" t="s">
        <v>25</v>
      </c>
      <c r="K1265" s="12"/>
      <c r="L1265" s="13"/>
      <c r="M1265" s="14"/>
      <c r="N1265" s="15"/>
      <c r="O1265" s="5" t="s">
        <v>564</v>
      </c>
      <c r="P1265" s="15"/>
      <c r="Q1265" s="15"/>
      <c r="R1265" s="16" t="s">
        <v>28</v>
      </c>
      <c r="S1265" s="15"/>
      <c r="T1265" s="15"/>
      <c r="U1265" s="15"/>
      <c r="V1265" s="15"/>
      <c r="W1265" s="15"/>
      <c r="X1265" s="15"/>
      <c r="Y1265" s="15"/>
      <c r="Z1265" s="15"/>
      <c r="AA1265" s="15"/>
    </row>
    <row r="1266">
      <c r="A1266" s="5" t="s">
        <v>5190</v>
      </c>
      <c r="B1266" s="6" t="s">
        <v>5198</v>
      </c>
      <c r="C1266" s="40" t="s">
        <v>4754</v>
      </c>
      <c r="D1266" s="8"/>
      <c r="E1266" s="8" t="s">
        <v>2660</v>
      </c>
      <c r="F1266" s="90">
        <v>2000.0</v>
      </c>
      <c r="G1266" s="97" t="s">
        <v>5199</v>
      </c>
      <c r="H1266" s="11" t="s">
        <v>5044</v>
      </c>
      <c r="I1266" s="97">
        <v>9.830265047E9</v>
      </c>
      <c r="J1266" s="11" t="s">
        <v>25</v>
      </c>
      <c r="K1266" s="12"/>
      <c r="L1266" s="13"/>
      <c r="M1266" s="14"/>
      <c r="N1266" s="15"/>
      <c r="O1266" s="5" t="s">
        <v>564</v>
      </c>
      <c r="P1266" s="5" t="s">
        <v>5200</v>
      </c>
      <c r="Q1266" s="15"/>
      <c r="R1266" s="16" t="s">
        <v>28</v>
      </c>
      <c r="S1266" s="15"/>
      <c r="T1266" s="15"/>
      <c r="U1266" s="15"/>
      <c r="V1266" s="15"/>
      <c r="W1266" s="15"/>
      <c r="X1266" s="15"/>
      <c r="Y1266" s="15"/>
      <c r="Z1266" s="15"/>
      <c r="AA1266" s="15"/>
    </row>
    <row r="1267">
      <c r="A1267" s="5" t="s">
        <v>5190</v>
      </c>
      <c r="B1267" s="6" t="s">
        <v>5201</v>
      </c>
      <c r="C1267" s="40" t="s">
        <v>5202</v>
      </c>
      <c r="D1267" s="8"/>
      <c r="E1267" s="8" t="s">
        <v>5203</v>
      </c>
      <c r="F1267" s="90">
        <v>2000.0</v>
      </c>
      <c r="G1267" s="97" t="s">
        <v>5204</v>
      </c>
      <c r="H1267" s="11" t="s">
        <v>44</v>
      </c>
      <c r="I1267" s="97">
        <v>9.831794818E9</v>
      </c>
      <c r="J1267" s="11" t="s">
        <v>4008</v>
      </c>
      <c r="K1267" s="12"/>
      <c r="L1267" s="13"/>
      <c r="M1267" s="14"/>
      <c r="N1267" s="15"/>
      <c r="O1267" s="5" t="s">
        <v>564</v>
      </c>
      <c r="P1267" s="15"/>
      <c r="Q1267" s="15"/>
      <c r="R1267" s="16" t="s">
        <v>28</v>
      </c>
      <c r="S1267" s="15"/>
      <c r="T1267" s="15"/>
      <c r="U1267" s="15"/>
      <c r="V1267" s="15"/>
      <c r="W1267" s="15"/>
      <c r="X1267" s="15"/>
      <c r="Y1267" s="15"/>
      <c r="Z1267" s="15"/>
      <c r="AA1267" s="15"/>
    </row>
    <row r="1268">
      <c r="A1268" s="5" t="s">
        <v>5205</v>
      </c>
      <c r="B1268" s="130" t="s">
        <v>5206</v>
      </c>
      <c r="C1268" s="40" t="s">
        <v>5207</v>
      </c>
      <c r="D1268" s="8"/>
      <c r="E1268" s="8" t="s">
        <v>2660</v>
      </c>
      <c r="F1268" s="90">
        <v>500.0</v>
      </c>
      <c r="G1268" s="97" t="s">
        <v>5208</v>
      </c>
      <c r="H1268" s="11" t="s">
        <v>44</v>
      </c>
      <c r="I1268" s="97">
        <v>9.163194495E9</v>
      </c>
      <c r="J1268" s="11" t="s">
        <v>25</v>
      </c>
      <c r="K1268" s="12"/>
      <c r="L1268" s="13"/>
      <c r="M1268" s="14"/>
      <c r="N1268" s="15"/>
      <c r="O1268" s="5" t="s">
        <v>564</v>
      </c>
      <c r="P1268" s="5" t="s">
        <v>453</v>
      </c>
      <c r="Q1268" s="15"/>
      <c r="R1268" s="16" t="s">
        <v>28</v>
      </c>
      <c r="S1268" s="15"/>
      <c r="T1268" s="15"/>
      <c r="U1268" s="15"/>
      <c r="V1268" s="15"/>
      <c r="W1268" s="15"/>
      <c r="X1268" s="15"/>
      <c r="Y1268" s="15"/>
      <c r="Z1268" s="15"/>
      <c r="AA1268" s="15"/>
    </row>
    <row r="1269">
      <c r="A1269" s="5" t="s">
        <v>5205</v>
      </c>
      <c r="B1269" s="6" t="s">
        <v>5209</v>
      </c>
      <c r="C1269" s="40" t="s">
        <v>5210</v>
      </c>
      <c r="D1269" s="8"/>
      <c r="E1269" s="8" t="s">
        <v>5211</v>
      </c>
      <c r="F1269" s="90">
        <v>3000.0</v>
      </c>
      <c r="G1269" s="97" t="s">
        <v>5212</v>
      </c>
      <c r="H1269" s="11" t="s">
        <v>44</v>
      </c>
      <c r="I1269" s="97">
        <v>9.641862654E9</v>
      </c>
      <c r="J1269" s="11" t="s">
        <v>25</v>
      </c>
      <c r="K1269" s="12"/>
      <c r="L1269" s="13"/>
      <c r="M1269" s="14"/>
      <c r="N1269" s="15"/>
      <c r="O1269" s="5" t="s">
        <v>564</v>
      </c>
      <c r="P1269" s="15"/>
      <c r="Q1269" s="15"/>
      <c r="R1269" s="16" t="s">
        <v>28</v>
      </c>
      <c r="S1269" s="15"/>
      <c r="T1269" s="15"/>
      <c r="U1269" s="15"/>
      <c r="V1269" s="15"/>
      <c r="W1269" s="15"/>
      <c r="X1269" s="15"/>
      <c r="Y1269" s="15"/>
      <c r="Z1269" s="15"/>
      <c r="AA1269" s="15"/>
    </row>
    <row r="1270">
      <c r="A1270" s="5" t="s">
        <v>5213</v>
      </c>
      <c r="B1270" s="6" t="s">
        <v>5214</v>
      </c>
      <c r="C1270" s="40" t="s">
        <v>5215</v>
      </c>
      <c r="D1270" s="8"/>
      <c r="E1270" s="8" t="s">
        <v>130</v>
      </c>
      <c r="F1270" s="90">
        <v>1000.0</v>
      </c>
      <c r="G1270" s="97" t="s">
        <v>5216</v>
      </c>
      <c r="H1270" s="11" t="s">
        <v>44</v>
      </c>
      <c r="I1270" s="97">
        <v>9.007446142E9</v>
      </c>
      <c r="J1270" s="11" t="s">
        <v>25</v>
      </c>
      <c r="K1270" s="12"/>
      <c r="L1270" s="13"/>
      <c r="M1270" s="14"/>
      <c r="N1270" s="15"/>
      <c r="O1270" s="5" t="s">
        <v>564</v>
      </c>
      <c r="P1270" s="5" t="s">
        <v>5217</v>
      </c>
      <c r="Q1270" s="15"/>
      <c r="R1270" s="16" t="s">
        <v>28</v>
      </c>
      <c r="S1270" s="15"/>
      <c r="T1270" s="15"/>
      <c r="U1270" s="15"/>
      <c r="V1270" s="15"/>
      <c r="W1270" s="15"/>
      <c r="X1270" s="15"/>
      <c r="Y1270" s="15"/>
      <c r="Z1270" s="15"/>
      <c r="AA1270" s="15"/>
    </row>
    <row r="1271">
      <c r="A1271" s="5" t="s">
        <v>5213</v>
      </c>
      <c r="B1271" s="6" t="s">
        <v>5218</v>
      </c>
      <c r="C1271" s="40" t="s">
        <v>5219</v>
      </c>
      <c r="D1271" s="8"/>
      <c r="E1271" s="8" t="s">
        <v>4096</v>
      </c>
      <c r="F1271" s="90">
        <v>600.0</v>
      </c>
      <c r="G1271" s="97" t="s">
        <v>5220</v>
      </c>
      <c r="H1271" s="11" t="s">
        <v>44</v>
      </c>
      <c r="I1271" s="97">
        <v>6.291609962E9</v>
      </c>
      <c r="J1271" s="11" t="s">
        <v>25</v>
      </c>
      <c r="K1271" s="12" t="s">
        <v>5221</v>
      </c>
      <c r="L1271" s="13"/>
      <c r="M1271" s="14"/>
      <c r="N1271" s="15"/>
      <c r="O1271" s="5" t="s">
        <v>5222</v>
      </c>
      <c r="P1271" s="5" t="s">
        <v>5223</v>
      </c>
      <c r="Q1271" s="15"/>
      <c r="R1271" s="16" t="s">
        <v>28</v>
      </c>
      <c r="S1271" s="15"/>
      <c r="T1271" s="15"/>
      <c r="U1271" s="15"/>
      <c r="V1271" s="15"/>
      <c r="W1271" s="15"/>
      <c r="X1271" s="15"/>
      <c r="Y1271" s="15"/>
      <c r="Z1271" s="15"/>
      <c r="AA1271" s="15"/>
    </row>
    <row r="1272">
      <c r="A1272" s="5" t="s">
        <v>5213</v>
      </c>
      <c r="B1272" s="6" t="s">
        <v>5224</v>
      </c>
      <c r="C1272" s="40" t="s">
        <v>5225</v>
      </c>
      <c r="D1272" s="8"/>
      <c r="E1272" s="8" t="s">
        <v>5226</v>
      </c>
      <c r="F1272" s="90">
        <v>500.0</v>
      </c>
      <c r="G1272" s="97" t="s">
        <v>5227</v>
      </c>
      <c r="H1272" s="11" t="s">
        <v>1691</v>
      </c>
      <c r="I1272" s="97">
        <v>7.718310262E9</v>
      </c>
      <c r="J1272" s="11" t="s">
        <v>25</v>
      </c>
      <c r="K1272" s="12"/>
      <c r="L1272" s="13"/>
      <c r="M1272" s="14"/>
      <c r="N1272" s="15"/>
      <c r="O1272" s="5" t="s">
        <v>564</v>
      </c>
      <c r="P1272" s="15"/>
      <c r="Q1272" s="15"/>
      <c r="R1272" s="16" t="s">
        <v>28</v>
      </c>
      <c r="S1272" s="15"/>
      <c r="T1272" s="15"/>
      <c r="U1272" s="15"/>
      <c r="V1272" s="15"/>
      <c r="W1272" s="15"/>
      <c r="X1272" s="15"/>
      <c r="Y1272" s="15"/>
      <c r="Z1272" s="15"/>
      <c r="AA1272" s="15"/>
    </row>
    <row r="1273">
      <c r="A1273" s="5" t="s">
        <v>5213</v>
      </c>
      <c r="B1273" s="6" t="s">
        <v>5228</v>
      </c>
      <c r="C1273" s="40" t="s">
        <v>5229</v>
      </c>
      <c r="D1273" s="8"/>
      <c r="E1273" s="8" t="s">
        <v>5230</v>
      </c>
      <c r="F1273" s="90">
        <v>50000.0</v>
      </c>
      <c r="G1273" s="97" t="s">
        <v>5231</v>
      </c>
      <c r="H1273" s="11" t="s">
        <v>5232</v>
      </c>
      <c r="I1273" s="97" t="s">
        <v>5233</v>
      </c>
      <c r="J1273" s="11" t="s">
        <v>25</v>
      </c>
      <c r="K1273" s="12" t="s">
        <v>5234</v>
      </c>
      <c r="L1273" s="13"/>
      <c r="M1273" s="14"/>
      <c r="N1273" s="15"/>
      <c r="O1273" s="5" t="s">
        <v>564</v>
      </c>
      <c r="P1273" s="5" t="s">
        <v>453</v>
      </c>
      <c r="Q1273" s="15"/>
      <c r="R1273" s="16" t="s">
        <v>723</v>
      </c>
      <c r="S1273" s="15"/>
      <c r="T1273" s="15"/>
      <c r="U1273" s="15"/>
      <c r="V1273" s="15"/>
      <c r="W1273" s="15"/>
      <c r="X1273" s="15"/>
      <c r="Y1273" s="15"/>
      <c r="Z1273" s="15"/>
      <c r="AA1273" s="15"/>
    </row>
    <row r="1274">
      <c r="A1274" s="5" t="s">
        <v>5235</v>
      </c>
      <c r="B1274" s="6" t="s">
        <v>5236</v>
      </c>
      <c r="C1274" s="40" t="s">
        <v>5237</v>
      </c>
      <c r="D1274" s="8"/>
      <c r="E1274" s="8" t="s">
        <v>5238</v>
      </c>
      <c r="F1274" s="90">
        <v>1000.0</v>
      </c>
      <c r="G1274" s="97" t="s">
        <v>5239</v>
      </c>
      <c r="H1274" s="11" t="s">
        <v>5240</v>
      </c>
      <c r="I1274" s="97">
        <v>8.967065775E9</v>
      </c>
      <c r="J1274" s="11" t="s">
        <v>25</v>
      </c>
      <c r="K1274" s="12"/>
      <c r="L1274" s="13"/>
      <c r="M1274" s="14"/>
      <c r="N1274" s="15"/>
      <c r="O1274" s="5" t="s">
        <v>564</v>
      </c>
      <c r="P1274" s="5" t="s">
        <v>5241</v>
      </c>
      <c r="Q1274" s="15"/>
      <c r="R1274" s="16" t="s">
        <v>723</v>
      </c>
      <c r="S1274" s="5"/>
      <c r="T1274" s="15"/>
      <c r="U1274" s="15"/>
      <c r="V1274" s="15"/>
      <c r="W1274" s="15"/>
      <c r="X1274" s="15"/>
      <c r="Y1274" s="15"/>
      <c r="Z1274" s="15"/>
      <c r="AA1274" s="15"/>
    </row>
    <row r="1275">
      <c r="A1275" s="5" t="s">
        <v>5235</v>
      </c>
      <c r="B1275" s="6" t="s">
        <v>5242</v>
      </c>
      <c r="C1275" s="36" t="s">
        <v>5243</v>
      </c>
      <c r="D1275" s="75"/>
      <c r="E1275" s="8" t="s">
        <v>5244</v>
      </c>
      <c r="F1275" s="90">
        <v>1000.0</v>
      </c>
      <c r="G1275" s="97" t="s">
        <v>5245</v>
      </c>
      <c r="H1275" s="11" t="s">
        <v>44</v>
      </c>
      <c r="I1275" s="97">
        <v>8.420005059E9</v>
      </c>
      <c r="J1275" s="11" t="s">
        <v>25</v>
      </c>
      <c r="K1275" s="12"/>
      <c r="L1275" s="13"/>
      <c r="M1275" s="14"/>
      <c r="N1275" s="15"/>
      <c r="O1275" s="5" t="s">
        <v>564</v>
      </c>
      <c r="P1275" s="15"/>
      <c r="Q1275" s="15"/>
      <c r="R1275" s="16" t="s">
        <v>28</v>
      </c>
      <c r="S1275" s="5" t="s">
        <v>0</v>
      </c>
      <c r="T1275" s="15"/>
      <c r="U1275" s="15"/>
      <c r="V1275" s="15"/>
      <c r="W1275" s="15"/>
      <c r="X1275" s="15"/>
      <c r="Y1275" s="15"/>
      <c r="Z1275" s="15"/>
      <c r="AA1275" s="15"/>
    </row>
    <row r="1276">
      <c r="A1276" s="5" t="s">
        <v>5235</v>
      </c>
      <c r="B1276" s="6" t="s">
        <v>5246</v>
      </c>
      <c r="C1276" s="40" t="s">
        <v>5247</v>
      </c>
      <c r="D1276" s="8"/>
      <c r="E1276" s="8" t="s">
        <v>130</v>
      </c>
      <c r="F1276" s="90">
        <v>5000.0</v>
      </c>
      <c r="G1276" s="97" t="s">
        <v>5248</v>
      </c>
      <c r="H1276" s="11" t="s">
        <v>44</v>
      </c>
      <c r="I1276" s="97">
        <v>9.330395062E9</v>
      </c>
      <c r="J1276" s="11" t="s">
        <v>25</v>
      </c>
      <c r="K1276" s="12" t="s">
        <v>2631</v>
      </c>
      <c r="L1276" s="13"/>
      <c r="M1276" s="14"/>
      <c r="N1276" s="15"/>
      <c r="O1276" s="5" t="s">
        <v>564</v>
      </c>
      <c r="P1276" s="5" t="s">
        <v>5249</v>
      </c>
      <c r="Q1276" s="15"/>
      <c r="R1276" s="16" t="s">
        <v>28</v>
      </c>
      <c r="S1276" s="5"/>
      <c r="T1276" s="15"/>
      <c r="U1276" s="15"/>
      <c r="V1276" s="15"/>
      <c r="W1276" s="15"/>
      <c r="X1276" s="15"/>
      <c r="Y1276" s="15"/>
      <c r="Z1276" s="15"/>
      <c r="AA1276" s="15"/>
    </row>
    <row r="1277">
      <c r="A1277" s="5" t="s">
        <v>5235</v>
      </c>
      <c r="B1277" s="6" t="s">
        <v>5250</v>
      </c>
      <c r="C1277" s="40" t="s">
        <v>5251</v>
      </c>
      <c r="D1277" s="8"/>
      <c r="E1277" s="8" t="s">
        <v>5252</v>
      </c>
      <c r="F1277" s="90">
        <v>10000.0</v>
      </c>
      <c r="G1277" s="97" t="s">
        <v>5253</v>
      </c>
      <c r="H1277" s="11" t="s">
        <v>4165</v>
      </c>
      <c r="I1277" s="97">
        <v>9.068391624E9</v>
      </c>
      <c r="J1277" s="11" t="s">
        <v>4008</v>
      </c>
      <c r="K1277" s="12"/>
      <c r="L1277" s="13"/>
      <c r="M1277" s="14"/>
      <c r="N1277" s="15"/>
      <c r="O1277" s="5" t="s">
        <v>108</v>
      </c>
      <c r="P1277" s="5" t="s">
        <v>5254</v>
      </c>
      <c r="Q1277" s="15"/>
      <c r="R1277" s="16" t="s">
        <v>28</v>
      </c>
      <c r="S1277" s="15"/>
      <c r="T1277" s="15"/>
      <c r="U1277" s="15"/>
      <c r="V1277" s="15"/>
      <c r="W1277" s="15"/>
      <c r="X1277" s="15"/>
      <c r="Y1277" s="15"/>
      <c r="Z1277" s="15"/>
      <c r="AA1277" s="15"/>
    </row>
    <row r="1278">
      <c r="A1278" s="5" t="s">
        <v>5255</v>
      </c>
      <c r="B1278" s="6" t="s">
        <v>5256</v>
      </c>
      <c r="C1278" s="40" t="s">
        <v>5257</v>
      </c>
      <c r="D1278" s="8"/>
      <c r="E1278" s="8" t="s">
        <v>1217</v>
      </c>
      <c r="F1278" s="90">
        <v>1000.0</v>
      </c>
      <c r="G1278" s="97"/>
      <c r="H1278" s="11" t="s">
        <v>44</v>
      </c>
      <c r="I1278" s="97">
        <v>8.583972577E9</v>
      </c>
      <c r="J1278" s="11" t="s">
        <v>25</v>
      </c>
      <c r="K1278" s="12"/>
      <c r="L1278" s="13"/>
      <c r="M1278" s="14"/>
      <c r="N1278" s="15"/>
      <c r="O1278" s="5" t="s">
        <v>564</v>
      </c>
      <c r="P1278" s="15"/>
      <c r="Q1278" s="15"/>
      <c r="R1278" s="16" t="s">
        <v>28</v>
      </c>
      <c r="S1278" s="15"/>
      <c r="T1278" s="15"/>
      <c r="U1278" s="15"/>
      <c r="V1278" s="15"/>
      <c r="W1278" s="15"/>
      <c r="X1278" s="15"/>
      <c r="Y1278" s="15"/>
      <c r="Z1278" s="15"/>
      <c r="AA1278" s="15"/>
    </row>
    <row r="1279">
      <c r="A1279" s="5" t="s">
        <v>5255</v>
      </c>
      <c r="B1279" s="6" t="s">
        <v>5258</v>
      </c>
      <c r="C1279" s="40" t="s">
        <v>5149</v>
      </c>
      <c r="D1279" s="8"/>
      <c r="E1279" s="8" t="s">
        <v>5259</v>
      </c>
      <c r="F1279" s="90">
        <v>1000.0</v>
      </c>
      <c r="G1279" s="97" t="s">
        <v>5260</v>
      </c>
      <c r="H1279" s="11" t="s">
        <v>906</v>
      </c>
      <c r="I1279" s="97">
        <v>7.603006867E9</v>
      </c>
      <c r="J1279" s="11" t="s">
        <v>25</v>
      </c>
      <c r="K1279" s="12"/>
      <c r="L1279" s="13"/>
      <c r="M1279" s="14"/>
      <c r="N1279" s="15"/>
      <c r="O1279" s="5" t="s">
        <v>108</v>
      </c>
      <c r="P1279" s="15"/>
      <c r="Q1279" s="15"/>
      <c r="R1279" s="16" t="s">
        <v>28</v>
      </c>
      <c r="S1279" s="15"/>
      <c r="T1279" s="15"/>
      <c r="U1279" s="15"/>
      <c r="V1279" s="15"/>
      <c r="W1279" s="15"/>
      <c r="X1279" s="15"/>
      <c r="Y1279" s="15"/>
      <c r="Z1279" s="15"/>
      <c r="AA1279" s="15"/>
    </row>
    <row r="1280">
      <c r="A1280" s="5" t="s">
        <v>5261</v>
      </c>
      <c r="B1280" s="6" t="s">
        <v>4083</v>
      </c>
      <c r="C1280" s="40" t="s">
        <v>5262</v>
      </c>
      <c r="D1280" s="8"/>
      <c r="E1280" s="8" t="s">
        <v>5263</v>
      </c>
      <c r="F1280" s="90">
        <v>1000.0</v>
      </c>
      <c r="G1280" s="97" t="s">
        <v>5264</v>
      </c>
      <c r="H1280" s="11" t="s">
        <v>44</v>
      </c>
      <c r="I1280" s="97">
        <v>9.859864455E9</v>
      </c>
      <c r="J1280" s="11" t="s">
        <v>25</v>
      </c>
      <c r="K1280" s="12"/>
      <c r="L1280" s="13"/>
      <c r="M1280" s="14"/>
      <c r="N1280" s="15"/>
      <c r="O1280" s="5" t="s">
        <v>34</v>
      </c>
      <c r="P1280" s="5" t="s">
        <v>1751</v>
      </c>
      <c r="Q1280" s="15"/>
      <c r="R1280" s="16" t="s">
        <v>723</v>
      </c>
      <c r="S1280" s="15"/>
      <c r="T1280" s="15"/>
      <c r="U1280" s="15"/>
      <c r="V1280" s="15"/>
      <c r="W1280" s="15"/>
      <c r="X1280" s="15"/>
      <c r="Y1280" s="15"/>
      <c r="Z1280" s="15"/>
      <c r="AA1280" s="15"/>
    </row>
    <row r="1281">
      <c r="A1281" s="5" t="s">
        <v>5261</v>
      </c>
      <c r="B1281" s="6" t="s">
        <v>4089</v>
      </c>
      <c r="C1281" s="40" t="s">
        <v>5265</v>
      </c>
      <c r="D1281" s="8"/>
      <c r="E1281" s="8" t="s">
        <v>222</v>
      </c>
      <c r="F1281" s="90">
        <v>500.0</v>
      </c>
      <c r="G1281" s="97" t="s">
        <v>5266</v>
      </c>
      <c r="H1281" s="11" t="s">
        <v>44</v>
      </c>
      <c r="I1281" s="97">
        <v>8.420418453E9</v>
      </c>
      <c r="J1281" s="11" t="s">
        <v>25</v>
      </c>
      <c r="K1281" s="12" t="s">
        <v>3647</v>
      </c>
      <c r="L1281" s="13"/>
      <c r="M1281" s="14"/>
      <c r="N1281" s="15"/>
      <c r="O1281" s="5" t="s">
        <v>564</v>
      </c>
      <c r="P1281" s="5" t="s">
        <v>1400</v>
      </c>
      <c r="Q1281" s="15"/>
      <c r="R1281" s="16" t="s">
        <v>28</v>
      </c>
      <c r="S1281" s="15"/>
      <c r="T1281" s="15"/>
      <c r="U1281" s="15"/>
      <c r="V1281" s="15"/>
      <c r="W1281" s="15"/>
      <c r="X1281" s="15"/>
      <c r="Y1281" s="15"/>
      <c r="Z1281" s="15"/>
      <c r="AA1281" s="15"/>
    </row>
    <row r="1282">
      <c r="A1282" s="5" t="s">
        <v>5261</v>
      </c>
      <c r="B1282" s="6" t="s">
        <v>4094</v>
      </c>
      <c r="C1282" s="40" t="s">
        <v>5267</v>
      </c>
      <c r="D1282" s="8"/>
      <c r="E1282" s="8" t="s">
        <v>156</v>
      </c>
      <c r="F1282" s="90">
        <v>1000.0</v>
      </c>
      <c r="G1282" s="97" t="s">
        <v>5268</v>
      </c>
      <c r="H1282" s="11" t="s">
        <v>981</v>
      </c>
      <c r="I1282" s="97">
        <v>8.348810365E9</v>
      </c>
      <c r="J1282" s="11" t="s">
        <v>25</v>
      </c>
      <c r="K1282" s="12"/>
      <c r="L1282" s="13"/>
      <c r="M1282" s="11" t="s">
        <v>0</v>
      </c>
      <c r="N1282" s="15"/>
      <c r="O1282" s="5" t="s">
        <v>564</v>
      </c>
      <c r="P1282" s="15"/>
      <c r="Q1282" s="15"/>
      <c r="R1282" s="16" t="s">
        <v>28</v>
      </c>
      <c r="S1282" s="15"/>
      <c r="T1282" s="15"/>
      <c r="U1282" s="15"/>
      <c r="V1282" s="15"/>
      <c r="W1282" s="15"/>
      <c r="X1282" s="15"/>
      <c r="Y1282" s="15"/>
      <c r="Z1282" s="15"/>
      <c r="AA1282" s="15"/>
    </row>
    <row r="1283">
      <c r="A1283" s="5" t="s">
        <v>5261</v>
      </c>
      <c r="B1283" s="6" t="s">
        <v>4100</v>
      </c>
      <c r="C1283" s="40" t="s">
        <v>5269</v>
      </c>
      <c r="D1283" s="8"/>
      <c r="E1283" s="8" t="s">
        <v>3193</v>
      </c>
      <c r="F1283" s="90">
        <v>500.0</v>
      </c>
      <c r="G1283" s="97" t="s">
        <v>5270</v>
      </c>
      <c r="H1283" s="11" t="s">
        <v>977</v>
      </c>
      <c r="I1283" s="97">
        <v>7.97999595E9</v>
      </c>
      <c r="J1283" s="11" t="s">
        <v>25</v>
      </c>
      <c r="K1283" s="12" t="s">
        <v>1557</v>
      </c>
      <c r="L1283" s="13"/>
      <c r="M1283" s="14"/>
      <c r="N1283" s="15"/>
      <c r="O1283" s="5" t="s">
        <v>564</v>
      </c>
      <c r="P1283" s="5" t="s">
        <v>5271</v>
      </c>
      <c r="Q1283" s="15"/>
      <c r="R1283" s="16" t="s">
        <v>28</v>
      </c>
      <c r="S1283" s="15"/>
      <c r="T1283" s="15"/>
      <c r="U1283" s="15"/>
      <c r="V1283" s="15"/>
      <c r="W1283" s="15"/>
      <c r="X1283" s="15"/>
      <c r="Y1283" s="15"/>
      <c r="Z1283" s="15"/>
      <c r="AA1283" s="15"/>
    </row>
    <row r="1284">
      <c r="A1284" s="5" t="s">
        <v>5272</v>
      </c>
      <c r="B1284" s="6" t="s">
        <v>5273</v>
      </c>
      <c r="C1284" s="40" t="s">
        <v>5274</v>
      </c>
      <c r="D1284" s="8"/>
      <c r="E1284" s="8" t="s">
        <v>156</v>
      </c>
      <c r="F1284" s="9">
        <v>10000.0</v>
      </c>
      <c r="G1284" s="97"/>
      <c r="H1284" s="11" t="s">
        <v>5275</v>
      </c>
      <c r="I1284" s="97">
        <v>9.831109067E9</v>
      </c>
      <c r="J1284" s="11" t="s">
        <v>25</v>
      </c>
      <c r="K1284" s="12"/>
      <c r="L1284" s="13"/>
      <c r="M1284" s="11" t="s">
        <v>2951</v>
      </c>
      <c r="N1284" s="15"/>
      <c r="O1284" s="5" t="s">
        <v>34</v>
      </c>
      <c r="P1284" s="5" t="s">
        <v>2952</v>
      </c>
      <c r="Q1284" s="5" t="s">
        <v>2144</v>
      </c>
      <c r="R1284" s="16" t="s">
        <v>551</v>
      </c>
      <c r="S1284" s="15"/>
      <c r="T1284" s="15"/>
      <c r="U1284" s="15"/>
      <c r="V1284" s="15"/>
      <c r="W1284" s="15"/>
      <c r="X1284" s="15"/>
      <c r="Y1284" s="15"/>
      <c r="Z1284" s="15"/>
      <c r="AA1284" s="15"/>
    </row>
    <row r="1285">
      <c r="A1285" s="5" t="s">
        <v>5272</v>
      </c>
      <c r="B1285" s="6" t="s">
        <v>4103</v>
      </c>
      <c r="C1285" s="40" t="s">
        <v>5276</v>
      </c>
      <c r="D1285" s="8"/>
      <c r="E1285" s="8" t="s">
        <v>116</v>
      </c>
      <c r="F1285" s="90">
        <v>500.0</v>
      </c>
      <c r="G1285" s="97" t="s">
        <v>5277</v>
      </c>
      <c r="H1285" s="11" t="s">
        <v>4288</v>
      </c>
      <c r="I1285" s="97">
        <v>9.540782122E9</v>
      </c>
      <c r="J1285" s="11" t="s">
        <v>25</v>
      </c>
      <c r="K1285" s="12"/>
      <c r="L1285" s="13"/>
      <c r="M1285" s="14"/>
      <c r="N1285" s="15"/>
      <c r="O1285" s="5" t="s">
        <v>564</v>
      </c>
      <c r="P1285" s="15"/>
      <c r="Q1285" s="15"/>
      <c r="R1285" s="16" t="s">
        <v>28</v>
      </c>
      <c r="S1285" s="15"/>
      <c r="T1285" s="15"/>
      <c r="U1285" s="15"/>
      <c r="V1285" s="15"/>
      <c r="W1285" s="15"/>
      <c r="X1285" s="15"/>
      <c r="Y1285" s="15"/>
      <c r="Z1285" s="15"/>
      <c r="AA1285" s="15"/>
    </row>
    <row r="1286">
      <c r="A1286" s="5" t="s">
        <v>5272</v>
      </c>
      <c r="B1286" s="6" t="s">
        <v>4109</v>
      </c>
      <c r="C1286" s="40" t="s">
        <v>5278</v>
      </c>
      <c r="D1286" s="8"/>
      <c r="E1286" s="8" t="s">
        <v>156</v>
      </c>
      <c r="F1286" s="90">
        <v>10000.0</v>
      </c>
      <c r="G1286" s="97" t="s">
        <v>5279</v>
      </c>
      <c r="H1286" s="11" t="s">
        <v>44</v>
      </c>
      <c r="I1286" s="97">
        <v>9.804621919E9</v>
      </c>
      <c r="J1286" s="11" t="s">
        <v>25</v>
      </c>
      <c r="K1286" s="12"/>
      <c r="L1286" s="13"/>
      <c r="M1286" s="14"/>
      <c r="N1286" s="15"/>
      <c r="O1286" s="5" t="s">
        <v>34</v>
      </c>
      <c r="P1286" s="5" t="s">
        <v>5280</v>
      </c>
      <c r="Q1286" s="15"/>
      <c r="R1286" s="16" t="s">
        <v>28</v>
      </c>
      <c r="S1286" s="15"/>
      <c r="T1286" s="15"/>
      <c r="U1286" s="15"/>
      <c r="V1286" s="15"/>
      <c r="W1286" s="15"/>
      <c r="X1286" s="15"/>
      <c r="Y1286" s="15"/>
      <c r="Z1286" s="15"/>
      <c r="AA1286" s="15"/>
    </row>
    <row r="1287">
      <c r="A1287" s="5" t="s">
        <v>5272</v>
      </c>
      <c r="B1287" s="131" t="s">
        <v>4113</v>
      </c>
      <c r="C1287" s="5" t="s">
        <v>5281</v>
      </c>
      <c r="D1287" s="5"/>
      <c r="E1287" s="5" t="s">
        <v>5282</v>
      </c>
      <c r="F1287" s="5">
        <v>5000.0</v>
      </c>
      <c r="G1287" s="5" t="s">
        <v>5283</v>
      </c>
      <c r="H1287" s="11" t="s">
        <v>44</v>
      </c>
      <c r="I1287" s="97">
        <v>7.023778482E9</v>
      </c>
      <c r="J1287" s="11" t="s">
        <v>4008</v>
      </c>
      <c r="K1287" s="12"/>
      <c r="L1287" s="13"/>
      <c r="M1287" s="14"/>
      <c r="N1287" s="15"/>
      <c r="O1287" s="5" t="s">
        <v>564</v>
      </c>
      <c r="P1287" s="5" t="s">
        <v>5284</v>
      </c>
      <c r="Q1287" s="15"/>
      <c r="R1287" s="16" t="s">
        <v>28</v>
      </c>
      <c r="S1287" s="15"/>
      <c r="T1287" s="15"/>
      <c r="U1287" s="15"/>
      <c r="V1287" s="15"/>
      <c r="W1287" s="15"/>
      <c r="X1287" s="15"/>
      <c r="Y1287" s="15"/>
      <c r="Z1287" s="15"/>
      <c r="AA1287" s="15"/>
    </row>
    <row r="1288">
      <c r="A1288" s="5" t="s">
        <v>5285</v>
      </c>
      <c r="B1288" s="6" t="s">
        <v>4117</v>
      </c>
      <c r="C1288" s="40" t="s">
        <v>5286</v>
      </c>
      <c r="D1288" s="8"/>
      <c r="E1288" s="8" t="s">
        <v>189</v>
      </c>
      <c r="F1288" s="90">
        <v>15000.0</v>
      </c>
      <c r="G1288" s="97" t="s">
        <v>5287</v>
      </c>
      <c r="H1288" s="11" t="s">
        <v>5288</v>
      </c>
      <c r="I1288" s="97">
        <v>8.001700987E9</v>
      </c>
      <c r="J1288" s="11" t="s">
        <v>4008</v>
      </c>
      <c r="K1288" s="12"/>
      <c r="L1288" s="13"/>
      <c r="M1288" s="14"/>
      <c r="N1288" s="15"/>
      <c r="O1288" s="5" t="s">
        <v>34</v>
      </c>
      <c r="P1288" s="5" t="s">
        <v>5289</v>
      </c>
      <c r="Q1288" s="5" t="s">
        <v>5290</v>
      </c>
      <c r="R1288" s="16" t="s">
        <v>28</v>
      </c>
      <c r="S1288" s="15"/>
      <c r="T1288" s="15"/>
      <c r="U1288" s="15"/>
      <c r="V1288" s="15"/>
      <c r="W1288" s="15"/>
      <c r="X1288" s="15"/>
      <c r="Y1288" s="15"/>
      <c r="Z1288" s="15"/>
      <c r="AA1288" s="15"/>
    </row>
    <row r="1289">
      <c r="A1289" s="5" t="s">
        <v>5291</v>
      </c>
      <c r="B1289" s="6" t="s">
        <v>4121</v>
      </c>
      <c r="C1289" s="40" t="s">
        <v>5292</v>
      </c>
      <c r="D1289" s="8"/>
      <c r="E1289" s="8" t="s">
        <v>5293</v>
      </c>
      <c r="F1289" s="90">
        <v>250.0</v>
      </c>
      <c r="G1289" s="97" t="s">
        <v>5294</v>
      </c>
      <c r="H1289" s="11" t="s">
        <v>5295</v>
      </c>
      <c r="I1289" s="97">
        <v>9.122225088E9</v>
      </c>
      <c r="J1289" s="11" t="s">
        <v>25</v>
      </c>
      <c r="K1289" s="12"/>
      <c r="L1289" s="13"/>
      <c r="M1289" s="14"/>
      <c r="N1289" s="15"/>
      <c r="O1289" s="5" t="s">
        <v>34</v>
      </c>
      <c r="P1289" s="15"/>
      <c r="Q1289" s="15"/>
      <c r="R1289" s="16" t="s">
        <v>28</v>
      </c>
      <c r="S1289" s="15"/>
      <c r="T1289" s="15"/>
      <c r="U1289" s="15"/>
      <c r="V1289" s="15"/>
      <c r="W1289" s="15"/>
      <c r="X1289" s="15"/>
      <c r="Y1289" s="15"/>
      <c r="Z1289" s="15"/>
      <c r="AA1289" s="15"/>
    </row>
    <row r="1290">
      <c r="A1290" s="5" t="s">
        <v>5291</v>
      </c>
      <c r="B1290" s="6" t="s">
        <v>4126</v>
      </c>
      <c r="C1290" s="40" t="s">
        <v>5296</v>
      </c>
      <c r="D1290" s="8"/>
      <c r="E1290" s="8" t="s">
        <v>5172</v>
      </c>
      <c r="F1290" s="90">
        <v>30000.0</v>
      </c>
      <c r="G1290" s="97" t="s">
        <v>5297</v>
      </c>
      <c r="H1290" s="11" t="s">
        <v>5298</v>
      </c>
      <c r="I1290" s="97">
        <v>9.732526867E9</v>
      </c>
      <c r="J1290" s="11" t="s">
        <v>25</v>
      </c>
      <c r="K1290" s="12"/>
      <c r="L1290" s="13"/>
      <c r="M1290" s="14"/>
      <c r="N1290" s="15"/>
      <c r="O1290" s="5" t="s">
        <v>564</v>
      </c>
      <c r="P1290" s="5" t="s">
        <v>5299</v>
      </c>
      <c r="Q1290" s="15"/>
      <c r="R1290" s="16" t="s">
        <v>28</v>
      </c>
      <c r="S1290" s="15"/>
      <c r="T1290" s="15"/>
      <c r="U1290" s="15"/>
      <c r="V1290" s="15"/>
      <c r="W1290" s="15"/>
      <c r="X1290" s="15"/>
      <c r="Y1290" s="15"/>
      <c r="Z1290" s="15"/>
      <c r="AA1290" s="15"/>
    </row>
    <row r="1291">
      <c r="A1291" s="5" t="s">
        <v>5291</v>
      </c>
      <c r="B1291" s="6" t="s">
        <v>4131</v>
      </c>
      <c r="C1291" s="40" t="s">
        <v>5300</v>
      </c>
      <c r="D1291" s="8"/>
      <c r="E1291" s="8" t="s">
        <v>1412</v>
      </c>
      <c r="F1291" s="90">
        <v>2000.0</v>
      </c>
      <c r="G1291" s="97" t="s">
        <v>5301</v>
      </c>
      <c r="H1291" s="11" t="s">
        <v>44</v>
      </c>
      <c r="I1291" s="97">
        <v>7.003037484E9</v>
      </c>
      <c r="J1291" s="11" t="s">
        <v>25</v>
      </c>
      <c r="K1291" s="12"/>
      <c r="L1291" s="13"/>
      <c r="M1291" s="14"/>
      <c r="N1291" s="15"/>
      <c r="O1291" s="5" t="s">
        <v>564</v>
      </c>
      <c r="P1291" s="5" t="s">
        <v>453</v>
      </c>
      <c r="Q1291" s="15"/>
      <c r="R1291" s="16" t="s">
        <v>28</v>
      </c>
      <c r="S1291" s="15"/>
      <c r="T1291" s="15"/>
      <c r="U1291" s="15"/>
      <c r="V1291" s="15"/>
      <c r="W1291" s="15"/>
      <c r="X1291" s="15"/>
      <c r="Y1291" s="15"/>
      <c r="Z1291" s="15"/>
      <c r="AA1291" s="15"/>
    </row>
    <row r="1292">
      <c r="A1292" s="5" t="s">
        <v>5291</v>
      </c>
      <c r="B1292" s="6" t="s">
        <v>4139</v>
      </c>
      <c r="C1292" s="40" t="s">
        <v>5302</v>
      </c>
      <c r="D1292" s="8"/>
      <c r="E1292" s="8" t="s">
        <v>794</v>
      </c>
      <c r="F1292" s="90">
        <v>500.0</v>
      </c>
      <c r="G1292" s="97" t="s">
        <v>5303</v>
      </c>
      <c r="H1292" s="11" t="s">
        <v>5304</v>
      </c>
      <c r="I1292" s="97">
        <v>9.098665023E9</v>
      </c>
      <c r="J1292" s="11" t="s">
        <v>25</v>
      </c>
      <c r="K1292" s="12"/>
      <c r="L1292" s="13"/>
      <c r="M1292" s="14"/>
      <c r="N1292" s="5" t="s">
        <v>0</v>
      </c>
      <c r="O1292" s="5" t="s">
        <v>34</v>
      </c>
      <c r="P1292" s="5" t="s">
        <v>5305</v>
      </c>
      <c r="Q1292" s="15"/>
      <c r="R1292" s="16" t="s">
        <v>28</v>
      </c>
      <c r="S1292" s="15"/>
      <c r="T1292" s="15"/>
      <c r="U1292" s="15"/>
      <c r="V1292" s="15"/>
      <c r="W1292" s="15"/>
      <c r="X1292" s="15"/>
      <c r="Y1292" s="15"/>
      <c r="Z1292" s="15"/>
      <c r="AA1292" s="15"/>
    </row>
    <row r="1293">
      <c r="A1293" s="5" t="s">
        <v>5291</v>
      </c>
      <c r="B1293" s="6" t="s">
        <v>4143</v>
      </c>
      <c r="C1293" s="40" t="s">
        <v>5306</v>
      </c>
      <c r="D1293" s="8"/>
      <c r="E1293" s="8" t="s">
        <v>412</v>
      </c>
      <c r="F1293" s="90">
        <v>5000.0</v>
      </c>
      <c r="G1293" s="97" t="s">
        <v>5307</v>
      </c>
      <c r="H1293" s="11" t="s">
        <v>44</v>
      </c>
      <c r="I1293" s="97">
        <v>9.804503342E9</v>
      </c>
      <c r="J1293" s="11" t="s">
        <v>25</v>
      </c>
      <c r="K1293" s="12"/>
      <c r="L1293" s="13"/>
      <c r="M1293" s="14"/>
      <c r="N1293" s="15"/>
      <c r="O1293" s="5" t="s">
        <v>34</v>
      </c>
      <c r="P1293" s="15"/>
      <c r="Q1293" s="15"/>
      <c r="R1293" s="16" t="s">
        <v>28</v>
      </c>
      <c r="S1293" s="15"/>
      <c r="T1293" s="15"/>
      <c r="U1293" s="15"/>
      <c r="V1293" s="15"/>
      <c r="W1293" s="15"/>
      <c r="X1293" s="15"/>
      <c r="Y1293" s="15"/>
      <c r="Z1293" s="15"/>
      <c r="AA1293" s="15"/>
    </row>
    <row r="1294">
      <c r="A1294" s="5" t="s">
        <v>5291</v>
      </c>
      <c r="B1294" s="6" t="s">
        <v>4147</v>
      </c>
      <c r="C1294" s="40" t="s">
        <v>5308</v>
      </c>
      <c r="D1294" s="8"/>
      <c r="E1294" s="8" t="s">
        <v>5309</v>
      </c>
      <c r="F1294" s="90">
        <v>500.0</v>
      </c>
      <c r="G1294" s="97" t="s">
        <v>5310</v>
      </c>
      <c r="H1294" s="11" t="s">
        <v>44</v>
      </c>
      <c r="I1294" s="97">
        <v>9.883229172E9</v>
      </c>
      <c r="J1294" s="11" t="s">
        <v>25</v>
      </c>
      <c r="K1294" s="12"/>
      <c r="L1294" s="13"/>
      <c r="M1294" s="14"/>
      <c r="N1294" s="15"/>
      <c r="O1294" s="5" t="s">
        <v>564</v>
      </c>
      <c r="P1294" s="15"/>
      <c r="Q1294" s="15"/>
      <c r="R1294" s="16" t="s">
        <v>28</v>
      </c>
      <c r="S1294" s="15"/>
      <c r="T1294" s="15"/>
      <c r="U1294" s="15"/>
      <c r="V1294" s="15"/>
      <c r="W1294" s="15"/>
      <c r="X1294" s="15"/>
      <c r="Y1294" s="15"/>
      <c r="Z1294" s="15"/>
      <c r="AA1294" s="15"/>
    </row>
    <row r="1295">
      <c r="A1295" s="5" t="s">
        <v>5291</v>
      </c>
      <c r="B1295" s="6" t="s">
        <v>4149</v>
      </c>
      <c r="C1295" s="40" t="s">
        <v>5311</v>
      </c>
      <c r="D1295" s="8"/>
      <c r="E1295" s="8" t="s">
        <v>1412</v>
      </c>
      <c r="F1295" s="90">
        <v>25000.0</v>
      </c>
      <c r="G1295" s="97" t="s">
        <v>5312</v>
      </c>
      <c r="H1295" s="11" t="s">
        <v>4650</v>
      </c>
      <c r="I1295" s="97">
        <v>9.830013122E9</v>
      </c>
      <c r="J1295" s="11" t="s">
        <v>25</v>
      </c>
      <c r="K1295" s="12"/>
      <c r="L1295" s="13"/>
      <c r="M1295" s="14"/>
      <c r="N1295" s="15"/>
      <c r="O1295" s="5" t="s">
        <v>564</v>
      </c>
      <c r="P1295" s="15"/>
      <c r="Q1295" s="15"/>
      <c r="R1295" s="16" t="s">
        <v>28</v>
      </c>
      <c r="S1295" s="15"/>
      <c r="T1295" s="15"/>
      <c r="U1295" s="15"/>
      <c r="V1295" s="15"/>
      <c r="W1295" s="15"/>
      <c r="X1295" s="15"/>
      <c r="Y1295" s="15"/>
      <c r="Z1295" s="15"/>
      <c r="AA1295" s="15"/>
    </row>
    <row r="1296">
      <c r="A1296" s="5" t="s">
        <v>5291</v>
      </c>
      <c r="B1296" s="6" t="s">
        <v>4152</v>
      </c>
      <c r="C1296" s="40" t="s">
        <v>5313</v>
      </c>
      <c r="D1296" s="8"/>
      <c r="E1296" s="8" t="s">
        <v>286</v>
      </c>
      <c r="F1296" s="90">
        <v>500.0</v>
      </c>
      <c r="G1296" s="97" t="s">
        <v>5314</v>
      </c>
      <c r="H1296" s="11" t="s">
        <v>44</v>
      </c>
      <c r="I1296" s="97">
        <v>9.123075017E9</v>
      </c>
      <c r="J1296" s="11" t="s">
        <v>25</v>
      </c>
      <c r="K1296" s="12"/>
      <c r="L1296" s="13"/>
      <c r="M1296" s="14"/>
      <c r="N1296" s="15"/>
      <c r="O1296" s="5" t="s">
        <v>564</v>
      </c>
      <c r="P1296" s="5" t="s">
        <v>453</v>
      </c>
      <c r="Q1296" s="15"/>
      <c r="R1296" s="16" t="s">
        <v>28</v>
      </c>
      <c r="S1296" s="15"/>
      <c r="T1296" s="15"/>
      <c r="U1296" s="15"/>
      <c r="V1296" s="15"/>
      <c r="W1296" s="15"/>
      <c r="X1296" s="15"/>
      <c r="Y1296" s="15"/>
      <c r="Z1296" s="15"/>
      <c r="AA1296" s="15"/>
    </row>
    <row r="1297">
      <c r="A1297" s="5" t="s">
        <v>5291</v>
      </c>
      <c r="B1297" s="6" t="s">
        <v>4156</v>
      </c>
      <c r="C1297" s="40" t="s">
        <v>5315</v>
      </c>
      <c r="D1297" s="8"/>
      <c r="E1297" s="8" t="s">
        <v>152</v>
      </c>
      <c r="F1297" s="90">
        <v>2000.0</v>
      </c>
      <c r="G1297" s="97" t="s">
        <v>5316</v>
      </c>
      <c r="H1297" s="11" t="s">
        <v>131</v>
      </c>
      <c r="I1297" s="97">
        <v>8.133948346E9</v>
      </c>
      <c r="J1297" s="11" t="s">
        <v>25</v>
      </c>
      <c r="K1297" s="12"/>
      <c r="L1297" s="13"/>
      <c r="M1297" s="11" t="s">
        <v>0</v>
      </c>
      <c r="N1297" s="15"/>
      <c r="O1297" s="5" t="s">
        <v>34</v>
      </c>
      <c r="P1297" s="5" t="s">
        <v>727</v>
      </c>
      <c r="Q1297" s="5" t="s">
        <v>1751</v>
      </c>
      <c r="R1297" s="16" t="s">
        <v>723</v>
      </c>
      <c r="S1297" s="15"/>
      <c r="T1297" s="15"/>
      <c r="U1297" s="15"/>
      <c r="V1297" s="15"/>
      <c r="W1297" s="15"/>
      <c r="X1297" s="15"/>
      <c r="Y1297" s="15"/>
      <c r="Z1297" s="15"/>
      <c r="AA1297" s="15"/>
    </row>
    <row r="1298">
      <c r="A1298" s="5" t="s">
        <v>5291</v>
      </c>
      <c r="B1298" s="6" t="s">
        <v>4160</v>
      </c>
      <c r="C1298" s="40" t="s">
        <v>5317</v>
      </c>
      <c r="D1298" s="8"/>
      <c r="E1298" s="8" t="s">
        <v>286</v>
      </c>
      <c r="F1298" s="90">
        <v>30000.0</v>
      </c>
      <c r="G1298" s="97" t="s">
        <v>5318</v>
      </c>
      <c r="H1298" s="11" t="s">
        <v>981</v>
      </c>
      <c r="I1298" s="97">
        <v>8.617055613E9</v>
      </c>
      <c r="J1298" s="11" t="s">
        <v>25</v>
      </c>
      <c r="K1298" s="12"/>
      <c r="L1298" s="13"/>
      <c r="M1298" s="14"/>
      <c r="N1298" s="15"/>
      <c r="O1298" s="5" t="s">
        <v>564</v>
      </c>
      <c r="P1298" s="5" t="s">
        <v>3287</v>
      </c>
      <c r="Q1298" s="15"/>
      <c r="R1298" s="16" t="s">
        <v>28</v>
      </c>
      <c r="S1298" s="15"/>
      <c r="T1298" s="15"/>
      <c r="U1298" s="15"/>
      <c r="V1298" s="15"/>
      <c r="W1298" s="15"/>
      <c r="X1298" s="15"/>
      <c r="Y1298" s="15"/>
      <c r="Z1298" s="15"/>
      <c r="AA1298" s="15"/>
    </row>
    <row r="1299">
      <c r="A1299" s="5" t="s">
        <v>5319</v>
      </c>
      <c r="B1299" s="6" t="s">
        <v>5320</v>
      </c>
      <c r="C1299" s="40" t="s">
        <v>474</v>
      </c>
      <c r="D1299" s="8"/>
      <c r="E1299" s="8" t="s">
        <v>116</v>
      </c>
      <c r="F1299" s="90">
        <v>1000.0</v>
      </c>
      <c r="G1299" s="97" t="s">
        <v>5321</v>
      </c>
      <c r="H1299" s="11" t="s">
        <v>5322</v>
      </c>
      <c r="I1299" s="97">
        <v>8.709866152E9</v>
      </c>
      <c r="J1299" s="11" t="s">
        <v>25</v>
      </c>
      <c r="K1299" s="12"/>
      <c r="L1299" s="13"/>
      <c r="M1299" s="11" t="s">
        <v>0</v>
      </c>
      <c r="N1299" s="15"/>
      <c r="O1299" s="5" t="s">
        <v>564</v>
      </c>
      <c r="P1299" s="15"/>
      <c r="Q1299" s="15"/>
      <c r="R1299" s="16" t="s">
        <v>28</v>
      </c>
      <c r="S1299" s="15"/>
      <c r="T1299" s="15"/>
      <c r="U1299" s="15"/>
      <c r="V1299" s="15"/>
      <c r="W1299" s="15"/>
      <c r="X1299" s="15"/>
      <c r="Y1299" s="15"/>
      <c r="Z1299" s="15"/>
      <c r="AA1299" s="15"/>
    </row>
    <row r="1300">
      <c r="A1300" s="5" t="s">
        <v>5323</v>
      </c>
      <c r="B1300" s="6" t="s">
        <v>5324</v>
      </c>
      <c r="C1300" s="40" t="s">
        <v>5325</v>
      </c>
      <c r="D1300" s="8"/>
      <c r="E1300" s="8" t="s">
        <v>3165</v>
      </c>
      <c r="F1300" s="90">
        <v>1000.0</v>
      </c>
      <c r="G1300" s="97" t="s">
        <v>5326</v>
      </c>
      <c r="H1300" s="11" t="s">
        <v>5327</v>
      </c>
      <c r="I1300" s="97">
        <v>6.29443957E9</v>
      </c>
      <c r="J1300" s="11" t="s">
        <v>25</v>
      </c>
      <c r="K1300" s="12" t="s">
        <v>5328</v>
      </c>
      <c r="L1300" s="13"/>
      <c r="M1300" s="11" t="s">
        <v>0</v>
      </c>
      <c r="N1300" s="15"/>
      <c r="O1300" s="5" t="s">
        <v>564</v>
      </c>
      <c r="P1300" s="5" t="s">
        <v>453</v>
      </c>
      <c r="Q1300" s="15"/>
      <c r="R1300" s="16" t="s">
        <v>28</v>
      </c>
      <c r="S1300" s="15"/>
      <c r="T1300" s="15"/>
      <c r="U1300" s="15"/>
      <c r="V1300" s="15"/>
      <c r="W1300" s="15"/>
      <c r="X1300" s="15"/>
      <c r="Y1300" s="15"/>
      <c r="Z1300" s="15"/>
      <c r="AA1300" s="15"/>
    </row>
    <row r="1301">
      <c r="A1301" s="5" t="s">
        <v>5323</v>
      </c>
      <c r="B1301" s="6" t="s">
        <v>5329</v>
      </c>
      <c r="C1301" s="40" t="s">
        <v>5300</v>
      </c>
      <c r="D1301" s="8"/>
      <c r="E1301" s="8" t="s">
        <v>1412</v>
      </c>
      <c r="F1301" s="90">
        <v>2000.0</v>
      </c>
      <c r="G1301" s="97" t="s">
        <v>5330</v>
      </c>
      <c r="H1301" s="11" t="s">
        <v>44</v>
      </c>
      <c r="I1301" s="97">
        <v>7.003037484E9</v>
      </c>
      <c r="J1301" s="11" t="s">
        <v>25</v>
      </c>
      <c r="K1301" s="12"/>
      <c r="L1301" s="13"/>
      <c r="M1301" s="14"/>
      <c r="N1301" s="15"/>
      <c r="O1301" s="5" t="s">
        <v>564</v>
      </c>
      <c r="P1301" s="5" t="s">
        <v>5331</v>
      </c>
      <c r="Q1301" s="15"/>
      <c r="R1301" s="16" t="s">
        <v>28</v>
      </c>
      <c r="S1301" s="15"/>
      <c r="T1301" s="15"/>
      <c r="U1301" s="15"/>
      <c r="V1301" s="15"/>
      <c r="W1301" s="15"/>
      <c r="X1301" s="15"/>
      <c r="Y1301" s="15"/>
      <c r="Z1301" s="15"/>
      <c r="AA1301" s="15"/>
    </row>
    <row r="1302">
      <c r="A1302" s="5" t="s">
        <v>5323</v>
      </c>
      <c r="B1302" s="6" t="s">
        <v>5332</v>
      </c>
      <c r="C1302" s="40" t="s">
        <v>5333</v>
      </c>
      <c r="D1302" s="8"/>
      <c r="E1302" s="8" t="s">
        <v>357</v>
      </c>
      <c r="F1302" s="90">
        <v>2000.0</v>
      </c>
      <c r="G1302" s="97"/>
      <c r="H1302" s="11" t="s">
        <v>5334</v>
      </c>
      <c r="I1302" s="97">
        <v>9.002404502E9</v>
      </c>
      <c r="J1302" s="11" t="s">
        <v>25</v>
      </c>
      <c r="K1302" s="12"/>
      <c r="L1302" s="13"/>
      <c r="M1302" s="11" t="s">
        <v>4536</v>
      </c>
      <c r="N1302" s="15"/>
      <c r="O1302" s="5" t="s">
        <v>34</v>
      </c>
      <c r="P1302" s="5" t="s">
        <v>5335</v>
      </c>
      <c r="Q1302" s="5"/>
      <c r="R1302" s="16" t="s">
        <v>74</v>
      </c>
      <c r="S1302" s="15"/>
      <c r="T1302" s="15"/>
      <c r="U1302" s="15"/>
      <c r="V1302" s="15"/>
      <c r="W1302" s="15"/>
      <c r="X1302" s="15"/>
      <c r="Y1302" s="15"/>
      <c r="Z1302" s="15"/>
      <c r="AA1302" s="15"/>
    </row>
    <row r="1303">
      <c r="A1303" s="5" t="s">
        <v>5323</v>
      </c>
      <c r="B1303" s="6" t="s">
        <v>5336</v>
      </c>
      <c r="C1303" s="40" t="s">
        <v>5337</v>
      </c>
      <c r="D1303" s="8"/>
      <c r="E1303" s="8" t="s">
        <v>5338</v>
      </c>
      <c r="F1303" s="90">
        <v>30000.0</v>
      </c>
      <c r="G1303" s="97" t="s">
        <v>5339</v>
      </c>
      <c r="H1303" s="11" t="s">
        <v>349</v>
      </c>
      <c r="I1303" s="97">
        <v>9.932273392E9</v>
      </c>
      <c r="J1303" s="11" t="s">
        <v>4008</v>
      </c>
      <c r="K1303" s="12"/>
      <c r="L1303" s="13"/>
      <c r="M1303" s="14"/>
      <c r="N1303" s="15"/>
      <c r="O1303" s="5" t="s">
        <v>564</v>
      </c>
      <c r="P1303" s="15"/>
      <c r="Q1303" s="15"/>
      <c r="R1303" s="16" t="s">
        <v>28</v>
      </c>
      <c r="S1303" s="15"/>
      <c r="T1303" s="15"/>
      <c r="U1303" s="15"/>
      <c r="V1303" s="15"/>
      <c r="W1303" s="15"/>
      <c r="X1303" s="15"/>
      <c r="Y1303" s="15"/>
      <c r="Z1303" s="15"/>
      <c r="AA1303" s="15"/>
    </row>
    <row r="1304">
      <c r="A1304" s="5" t="s">
        <v>5323</v>
      </c>
      <c r="B1304" s="6" t="s">
        <v>5340</v>
      </c>
      <c r="C1304" s="40" t="s">
        <v>5341</v>
      </c>
      <c r="D1304" s="8"/>
      <c r="E1304" s="8" t="s">
        <v>43</v>
      </c>
      <c r="F1304" s="90">
        <v>5000.0</v>
      </c>
      <c r="G1304" s="97"/>
      <c r="H1304" s="11" t="s">
        <v>5342</v>
      </c>
      <c r="I1304" s="97">
        <v>8.949279171E9</v>
      </c>
      <c r="J1304" s="11" t="s">
        <v>25</v>
      </c>
      <c r="K1304" s="12"/>
      <c r="L1304" s="13"/>
      <c r="M1304" s="11" t="s">
        <v>4703</v>
      </c>
      <c r="N1304" s="15"/>
      <c r="O1304" s="5" t="s">
        <v>34</v>
      </c>
      <c r="P1304" s="5" t="s">
        <v>2850</v>
      </c>
      <c r="Q1304" s="15"/>
      <c r="R1304" s="16" t="s">
        <v>28</v>
      </c>
      <c r="S1304" s="15"/>
      <c r="T1304" s="15"/>
      <c r="U1304" s="15"/>
      <c r="V1304" s="15"/>
      <c r="W1304" s="15"/>
      <c r="X1304" s="15"/>
      <c r="Y1304" s="15"/>
      <c r="Z1304" s="15"/>
      <c r="AA1304" s="15"/>
    </row>
    <row r="1305">
      <c r="A1305" s="5" t="s">
        <v>5343</v>
      </c>
      <c r="B1305" s="6" t="s">
        <v>5344</v>
      </c>
      <c r="C1305" s="40" t="s">
        <v>5345</v>
      </c>
      <c r="D1305" s="8"/>
      <c r="E1305" s="8" t="s">
        <v>152</v>
      </c>
      <c r="F1305" s="90">
        <v>2000.0</v>
      </c>
      <c r="G1305" s="97" t="s">
        <v>5346</v>
      </c>
      <c r="H1305" s="11" t="s">
        <v>5347</v>
      </c>
      <c r="I1305" s="97">
        <v>8.797127744E9</v>
      </c>
      <c r="J1305" s="11" t="s">
        <v>25</v>
      </c>
      <c r="K1305" s="12"/>
      <c r="L1305" s="13"/>
      <c r="M1305" s="14"/>
      <c r="N1305" s="15"/>
      <c r="O1305" s="5" t="s">
        <v>34</v>
      </c>
      <c r="P1305" s="5" t="s">
        <v>727</v>
      </c>
      <c r="Q1305" s="15"/>
      <c r="R1305" s="16" t="s">
        <v>28</v>
      </c>
      <c r="S1305" s="15"/>
      <c r="T1305" s="15"/>
      <c r="U1305" s="15"/>
      <c r="V1305" s="15"/>
      <c r="W1305" s="15"/>
      <c r="X1305" s="15"/>
      <c r="Y1305" s="15"/>
      <c r="Z1305" s="15"/>
      <c r="AA1305" s="15"/>
    </row>
    <row r="1306">
      <c r="A1306" s="5" t="s">
        <v>5343</v>
      </c>
      <c r="B1306" s="6" t="s">
        <v>5348</v>
      </c>
      <c r="C1306" s="40" t="s">
        <v>5349</v>
      </c>
      <c r="D1306" s="8"/>
      <c r="E1306" s="8" t="s">
        <v>202</v>
      </c>
      <c r="F1306" s="90">
        <v>1000.0</v>
      </c>
      <c r="G1306" s="97" t="s">
        <v>5350</v>
      </c>
      <c r="H1306" s="11" t="s">
        <v>44</v>
      </c>
      <c r="I1306" s="97">
        <v>9.830785034E9</v>
      </c>
      <c r="J1306" s="11" t="s">
        <v>25</v>
      </c>
      <c r="K1306" s="12"/>
      <c r="L1306" s="13"/>
      <c r="M1306" s="11" t="s">
        <v>5351</v>
      </c>
      <c r="N1306" s="15"/>
      <c r="O1306" s="5" t="s">
        <v>34</v>
      </c>
      <c r="P1306" s="5" t="s">
        <v>2850</v>
      </c>
      <c r="Q1306" s="15"/>
      <c r="R1306" s="16" t="s">
        <v>74</v>
      </c>
      <c r="S1306" s="15"/>
      <c r="T1306" s="15"/>
      <c r="U1306" s="15"/>
      <c r="V1306" s="15"/>
      <c r="W1306" s="15"/>
      <c r="X1306" s="15"/>
      <c r="Y1306" s="15"/>
      <c r="Z1306" s="15"/>
      <c r="AA1306" s="15"/>
    </row>
    <row r="1307">
      <c r="A1307" s="5" t="s">
        <v>5352</v>
      </c>
      <c r="B1307" s="6" t="s">
        <v>5353</v>
      </c>
      <c r="C1307" s="102" t="s">
        <v>5354</v>
      </c>
      <c r="D1307" s="75"/>
      <c r="E1307" s="8" t="s">
        <v>222</v>
      </c>
      <c r="F1307" s="90">
        <v>5000.0</v>
      </c>
      <c r="G1307" s="132" t="s">
        <v>5355</v>
      </c>
      <c r="H1307" s="11" t="s">
        <v>5356</v>
      </c>
      <c r="I1307" s="97">
        <v>8.527116663E9</v>
      </c>
      <c r="J1307" s="11" t="s">
        <v>25</v>
      </c>
      <c r="K1307" s="12"/>
      <c r="L1307" s="13"/>
      <c r="M1307" s="11" t="s">
        <v>5357</v>
      </c>
      <c r="N1307" s="15"/>
      <c r="O1307" s="5" t="s">
        <v>34</v>
      </c>
      <c r="P1307" s="5" t="s">
        <v>1384</v>
      </c>
      <c r="Q1307" s="5" t="s">
        <v>777</v>
      </c>
      <c r="R1307" s="16" t="s">
        <v>634</v>
      </c>
      <c r="S1307" s="15"/>
      <c r="T1307" s="15"/>
      <c r="U1307" s="15"/>
      <c r="V1307" s="15"/>
      <c r="W1307" s="15"/>
      <c r="X1307" s="15"/>
      <c r="Y1307" s="15"/>
      <c r="Z1307" s="15"/>
      <c r="AA1307" s="15"/>
    </row>
    <row r="1308">
      <c r="A1308" s="5" t="s">
        <v>5352</v>
      </c>
      <c r="B1308" s="6" t="s">
        <v>5358</v>
      </c>
      <c r="C1308" s="40" t="s">
        <v>5359</v>
      </c>
      <c r="D1308" s="8"/>
      <c r="E1308" s="8" t="s">
        <v>189</v>
      </c>
      <c r="F1308" s="90">
        <v>20000.0</v>
      </c>
      <c r="G1308" s="97" t="s">
        <v>5360</v>
      </c>
      <c r="H1308" s="11" t="s">
        <v>449</v>
      </c>
      <c r="I1308" s="97">
        <v>8.918170319E9</v>
      </c>
      <c r="J1308" s="11" t="s">
        <v>25</v>
      </c>
      <c r="K1308" s="12"/>
      <c r="L1308" s="13"/>
      <c r="M1308" s="14"/>
      <c r="N1308" s="15"/>
      <c r="O1308" s="5" t="s">
        <v>564</v>
      </c>
      <c r="P1308" s="15"/>
      <c r="Q1308" s="15"/>
      <c r="R1308" s="16" t="s">
        <v>28</v>
      </c>
      <c r="S1308" s="15"/>
      <c r="T1308" s="15"/>
      <c r="U1308" s="15"/>
      <c r="V1308" s="15"/>
      <c r="W1308" s="15"/>
      <c r="X1308" s="15"/>
      <c r="Y1308" s="15"/>
      <c r="Z1308" s="15"/>
      <c r="AA1308" s="15"/>
    </row>
    <row r="1309">
      <c r="A1309" s="5" t="s">
        <v>5361</v>
      </c>
      <c r="B1309" s="6" t="s">
        <v>5362</v>
      </c>
      <c r="C1309" s="40" t="s">
        <v>5363</v>
      </c>
      <c r="D1309" s="8"/>
      <c r="E1309" s="8" t="s">
        <v>130</v>
      </c>
      <c r="F1309" s="90">
        <v>15000.0</v>
      </c>
      <c r="G1309" s="97" t="s">
        <v>5364</v>
      </c>
      <c r="H1309" s="11" t="s">
        <v>5365</v>
      </c>
      <c r="I1309" s="97">
        <v>7.797454566E9</v>
      </c>
      <c r="J1309" s="11" t="s">
        <v>4008</v>
      </c>
      <c r="K1309" s="12"/>
      <c r="L1309" s="13"/>
      <c r="M1309" s="14"/>
      <c r="N1309" s="15"/>
      <c r="O1309" s="5" t="s">
        <v>34</v>
      </c>
      <c r="P1309" s="5" t="s">
        <v>3586</v>
      </c>
      <c r="Q1309" s="15"/>
      <c r="R1309" s="16" t="s">
        <v>28</v>
      </c>
      <c r="S1309" s="15"/>
      <c r="T1309" s="15"/>
      <c r="U1309" s="15"/>
      <c r="V1309" s="15"/>
      <c r="W1309" s="15"/>
      <c r="X1309" s="15"/>
      <c r="Y1309" s="15"/>
      <c r="Z1309" s="15"/>
      <c r="AA1309" s="15"/>
    </row>
    <row r="1310">
      <c r="A1310" s="5" t="s">
        <v>5361</v>
      </c>
      <c r="B1310" s="6" t="s">
        <v>5366</v>
      </c>
      <c r="C1310" s="40" t="s">
        <v>5367</v>
      </c>
      <c r="D1310" s="8"/>
      <c r="E1310" s="8" t="s">
        <v>5368</v>
      </c>
      <c r="F1310" s="90">
        <v>2000.0</v>
      </c>
      <c r="G1310" s="97" t="s">
        <v>5369</v>
      </c>
      <c r="H1310" s="11" t="s">
        <v>5370</v>
      </c>
      <c r="I1310" s="41" t="s">
        <v>5371</v>
      </c>
      <c r="J1310" s="11" t="s">
        <v>4008</v>
      </c>
      <c r="K1310" s="12"/>
      <c r="L1310" s="13"/>
      <c r="M1310" s="11" t="s">
        <v>3547</v>
      </c>
      <c r="N1310" s="15"/>
      <c r="O1310" s="5" t="s">
        <v>34</v>
      </c>
      <c r="P1310" s="5" t="s">
        <v>2952</v>
      </c>
      <c r="Q1310" s="5" t="s">
        <v>1436</v>
      </c>
      <c r="R1310" s="16" t="s">
        <v>74</v>
      </c>
      <c r="S1310" s="15"/>
      <c r="T1310" s="15"/>
      <c r="U1310" s="15"/>
      <c r="V1310" s="15"/>
      <c r="W1310" s="15"/>
      <c r="X1310" s="15"/>
      <c r="Y1310" s="15"/>
      <c r="Z1310" s="15"/>
      <c r="AA1310" s="15"/>
    </row>
    <row r="1311">
      <c r="A1311" s="5" t="s">
        <v>5361</v>
      </c>
      <c r="B1311" s="6" t="s">
        <v>5372</v>
      </c>
      <c r="C1311" s="40" t="s">
        <v>5373</v>
      </c>
      <c r="D1311" s="8"/>
      <c r="E1311" s="8" t="s">
        <v>286</v>
      </c>
      <c r="F1311" s="90">
        <v>20000.0</v>
      </c>
      <c r="G1311" s="97" t="s">
        <v>5374</v>
      </c>
      <c r="H1311" s="11" t="s">
        <v>5089</v>
      </c>
      <c r="I1311" s="97">
        <v>9.124564389E9</v>
      </c>
      <c r="J1311" s="11" t="s">
        <v>4008</v>
      </c>
      <c r="K1311" s="12"/>
      <c r="L1311" s="13"/>
      <c r="M1311" s="14"/>
      <c r="N1311" s="15"/>
      <c r="O1311" s="5" t="s">
        <v>564</v>
      </c>
      <c r="P1311" s="5" t="s">
        <v>1619</v>
      </c>
      <c r="Q1311" s="5" t="s">
        <v>2537</v>
      </c>
      <c r="R1311" s="16" t="s">
        <v>28</v>
      </c>
      <c r="S1311" s="15"/>
      <c r="T1311" s="15"/>
      <c r="U1311" s="15"/>
      <c r="V1311" s="15"/>
      <c r="W1311" s="15"/>
      <c r="X1311" s="15"/>
      <c r="Y1311" s="15"/>
      <c r="Z1311" s="15"/>
      <c r="AA1311" s="15"/>
    </row>
    <row r="1312">
      <c r="A1312" s="5" t="s">
        <v>5361</v>
      </c>
      <c r="B1312" s="6" t="s">
        <v>5375</v>
      </c>
      <c r="C1312" s="40" t="s">
        <v>5376</v>
      </c>
      <c r="D1312" s="8"/>
      <c r="E1312" s="8" t="s">
        <v>4047</v>
      </c>
      <c r="F1312" s="90">
        <v>1000.0</v>
      </c>
      <c r="G1312" s="97"/>
      <c r="H1312" s="11" t="s">
        <v>3051</v>
      </c>
      <c r="I1312" s="97">
        <v>7.250551806E9</v>
      </c>
      <c r="J1312" s="11" t="s">
        <v>25</v>
      </c>
      <c r="K1312" s="12"/>
      <c r="L1312" s="13"/>
      <c r="M1312" s="14"/>
      <c r="N1312" s="15"/>
      <c r="O1312" s="5" t="s">
        <v>564</v>
      </c>
      <c r="P1312" s="15"/>
      <c r="Q1312" s="15"/>
      <c r="R1312" s="16" t="s">
        <v>28</v>
      </c>
      <c r="S1312" s="15"/>
      <c r="T1312" s="15"/>
      <c r="U1312" s="15"/>
      <c r="V1312" s="15"/>
      <c r="W1312" s="15"/>
      <c r="X1312" s="15"/>
      <c r="Y1312" s="15"/>
      <c r="Z1312" s="15"/>
      <c r="AA1312" s="15"/>
    </row>
    <row r="1313">
      <c r="A1313" s="5" t="s">
        <v>5377</v>
      </c>
      <c r="B1313" s="6" t="s">
        <v>5378</v>
      </c>
      <c r="C1313" s="40" t="s">
        <v>5379</v>
      </c>
      <c r="D1313" s="8"/>
      <c r="E1313" s="8" t="s">
        <v>5263</v>
      </c>
      <c r="F1313" s="90">
        <v>30000.0</v>
      </c>
      <c r="G1313" s="97" t="s">
        <v>5380</v>
      </c>
      <c r="H1313" s="11" t="s">
        <v>44</v>
      </c>
      <c r="I1313" s="97">
        <v>9.903300902E9</v>
      </c>
      <c r="J1313" s="11" t="s">
        <v>25</v>
      </c>
      <c r="K1313" s="12"/>
      <c r="L1313" s="13"/>
      <c r="M1313" s="14"/>
      <c r="N1313" s="15"/>
      <c r="O1313" s="5" t="s">
        <v>564</v>
      </c>
      <c r="P1313" s="15"/>
      <c r="Q1313" s="15"/>
      <c r="R1313" s="16" t="s">
        <v>28</v>
      </c>
      <c r="S1313" s="15"/>
      <c r="T1313" s="15"/>
      <c r="U1313" s="15"/>
      <c r="V1313" s="15"/>
      <c r="W1313" s="15"/>
      <c r="X1313" s="15"/>
      <c r="Y1313" s="15"/>
      <c r="Z1313" s="15"/>
      <c r="AA1313" s="15"/>
    </row>
    <row r="1314">
      <c r="A1314" s="5" t="s">
        <v>5377</v>
      </c>
      <c r="B1314" s="6" t="s">
        <v>5381</v>
      </c>
      <c r="C1314" s="40" t="s">
        <v>5382</v>
      </c>
      <c r="D1314" s="8"/>
      <c r="E1314" s="8" t="s">
        <v>189</v>
      </c>
      <c r="F1314" s="90">
        <v>25000.0</v>
      </c>
      <c r="G1314" s="97" t="s">
        <v>5383</v>
      </c>
      <c r="H1314" s="11" t="s">
        <v>44</v>
      </c>
      <c r="I1314" s="97">
        <v>7.003526691E9</v>
      </c>
      <c r="J1314" s="11" t="s">
        <v>25</v>
      </c>
      <c r="K1314" s="12"/>
      <c r="L1314" s="13"/>
      <c r="M1314" s="14"/>
      <c r="N1314" s="15"/>
      <c r="O1314" s="5" t="s">
        <v>564</v>
      </c>
      <c r="P1314" s="15"/>
      <c r="Q1314" s="15"/>
      <c r="R1314" s="16" t="s">
        <v>28</v>
      </c>
      <c r="S1314" s="15"/>
      <c r="T1314" s="15"/>
      <c r="U1314" s="15"/>
      <c r="V1314" s="15"/>
      <c r="W1314" s="15"/>
      <c r="X1314" s="15"/>
      <c r="Y1314" s="15"/>
      <c r="Z1314" s="15"/>
      <c r="AA1314" s="15"/>
    </row>
    <row r="1315">
      <c r="A1315" s="5" t="s">
        <v>5377</v>
      </c>
      <c r="B1315" s="6" t="s">
        <v>5384</v>
      </c>
      <c r="C1315" s="40" t="s">
        <v>5385</v>
      </c>
      <c r="D1315" s="8"/>
      <c r="E1315" s="8" t="s">
        <v>4096</v>
      </c>
      <c r="F1315" s="90">
        <v>1200.0</v>
      </c>
      <c r="G1315" s="97" t="s">
        <v>5386</v>
      </c>
      <c r="H1315" s="11" t="s">
        <v>44</v>
      </c>
      <c r="I1315" s="97">
        <v>8.013684727E9</v>
      </c>
      <c r="J1315" s="11" t="s">
        <v>25</v>
      </c>
      <c r="K1315" s="12"/>
      <c r="L1315" s="13"/>
      <c r="M1315" s="11" t="s">
        <v>5387</v>
      </c>
      <c r="N1315" s="15"/>
      <c r="O1315" s="5" t="s">
        <v>34</v>
      </c>
      <c r="P1315" s="5" t="s">
        <v>55</v>
      </c>
      <c r="Q1315" s="15"/>
      <c r="R1315" s="16" t="s">
        <v>723</v>
      </c>
      <c r="S1315" s="15"/>
      <c r="T1315" s="15"/>
      <c r="U1315" s="15"/>
      <c r="V1315" s="15"/>
      <c r="W1315" s="15"/>
      <c r="X1315" s="15"/>
      <c r="Y1315" s="15"/>
      <c r="Z1315" s="15"/>
      <c r="AA1315" s="15"/>
    </row>
    <row r="1316">
      <c r="A1316" s="5" t="s">
        <v>5377</v>
      </c>
      <c r="B1316" s="6" t="s">
        <v>5388</v>
      </c>
      <c r="C1316" s="40" t="s">
        <v>5389</v>
      </c>
      <c r="D1316" s="8"/>
      <c r="E1316" s="8" t="s">
        <v>5390</v>
      </c>
      <c r="F1316" s="90">
        <v>1100.0</v>
      </c>
      <c r="G1316" s="97"/>
      <c r="H1316" s="11" t="s">
        <v>44</v>
      </c>
      <c r="I1316" s="97">
        <v>9.05142527E9</v>
      </c>
      <c r="J1316" s="11" t="s">
        <v>25</v>
      </c>
      <c r="K1316" s="12"/>
      <c r="L1316" s="13"/>
      <c r="M1316" s="14"/>
      <c r="N1316" s="15"/>
      <c r="O1316" s="5" t="s">
        <v>34</v>
      </c>
      <c r="P1316" s="5" t="s">
        <v>5391</v>
      </c>
      <c r="Q1316" s="15"/>
      <c r="R1316" s="16" t="s">
        <v>634</v>
      </c>
      <c r="S1316" s="15"/>
      <c r="T1316" s="15"/>
      <c r="U1316" s="15"/>
      <c r="V1316" s="15"/>
      <c r="W1316" s="15"/>
      <c r="X1316" s="15"/>
      <c r="Y1316" s="15"/>
      <c r="Z1316" s="15"/>
      <c r="AA1316" s="15"/>
    </row>
    <row r="1317">
      <c r="A1317" s="5" t="s">
        <v>5377</v>
      </c>
      <c r="B1317" s="6" t="s">
        <v>5392</v>
      </c>
      <c r="C1317" s="40" t="s">
        <v>5393</v>
      </c>
      <c r="D1317" s="8"/>
      <c r="E1317" s="8" t="s">
        <v>130</v>
      </c>
      <c r="F1317" s="90">
        <v>5000.0</v>
      </c>
      <c r="G1317" s="97"/>
      <c r="H1317" s="11" t="s">
        <v>24</v>
      </c>
      <c r="I1317" s="97">
        <v>6.200397201E9</v>
      </c>
      <c r="J1317" s="11" t="s">
        <v>25</v>
      </c>
      <c r="K1317" s="12"/>
      <c r="L1317" s="13"/>
      <c r="M1317" s="14"/>
      <c r="N1317" s="15"/>
      <c r="O1317" s="5" t="s">
        <v>564</v>
      </c>
      <c r="P1317" s="5" t="s">
        <v>5394</v>
      </c>
      <c r="Q1317" s="15"/>
      <c r="R1317" s="16" t="s">
        <v>28</v>
      </c>
      <c r="S1317" s="15"/>
      <c r="T1317" s="15"/>
      <c r="U1317" s="15"/>
      <c r="V1317" s="15"/>
      <c r="W1317" s="15"/>
      <c r="X1317" s="15"/>
      <c r="Y1317" s="15"/>
      <c r="Z1317" s="15"/>
      <c r="AA1317" s="15"/>
    </row>
    <row r="1318">
      <c r="A1318" s="5" t="s">
        <v>5377</v>
      </c>
      <c r="B1318" s="6" t="s">
        <v>5395</v>
      </c>
      <c r="C1318" s="40" t="s">
        <v>5396</v>
      </c>
      <c r="D1318" s="8"/>
      <c r="E1318" s="8" t="s">
        <v>189</v>
      </c>
      <c r="F1318" s="90">
        <v>19000.0</v>
      </c>
      <c r="G1318" s="97"/>
      <c r="H1318" s="11" t="s">
        <v>5397</v>
      </c>
      <c r="I1318" s="97">
        <v>7.8648356E9</v>
      </c>
      <c r="J1318" s="11" t="s">
        <v>25</v>
      </c>
      <c r="K1318" s="12"/>
      <c r="L1318" s="13"/>
      <c r="M1318" s="14"/>
      <c r="N1318" s="15"/>
      <c r="O1318" s="5" t="s">
        <v>564</v>
      </c>
      <c r="P1318" s="5" t="s">
        <v>5398</v>
      </c>
      <c r="Q1318" s="15"/>
      <c r="R1318" s="16" t="s">
        <v>28</v>
      </c>
      <c r="S1318" s="15"/>
      <c r="T1318" s="15"/>
      <c r="U1318" s="15"/>
      <c r="V1318" s="15"/>
      <c r="W1318" s="15"/>
      <c r="X1318" s="15"/>
      <c r="Y1318" s="15"/>
      <c r="Z1318" s="15"/>
      <c r="AA1318" s="15"/>
    </row>
    <row r="1319">
      <c r="A1319" s="5" t="s">
        <v>5377</v>
      </c>
      <c r="B1319" s="6" t="s">
        <v>5399</v>
      </c>
      <c r="C1319" s="40" t="s">
        <v>5400</v>
      </c>
      <c r="D1319" s="8"/>
      <c r="E1319" s="8" t="s">
        <v>5054</v>
      </c>
      <c r="F1319" s="90">
        <v>1000.0</v>
      </c>
      <c r="G1319" s="97" t="s">
        <v>5401</v>
      </c>
      <c r="H1319" s="11" t="s">
        <v>4288</v>
      </c>
      <c r="I1319" s="97">
        <v>9.135074301E9</v>
      </c>
      <c r="J1319" s="11" t="s">
        <v>25</v>
      </c>
      <c r="K1319" s="12"/>
      <c r="L1319" s="13"/>
      <c r="M1319" s="14"/>
      <c r="N1319" s="15"/>
      <c r="O1319" s="5" t="s">
        <v>34</v>
      </c>
      <c r="P1319" s="5" t="s">
        <v>727</v>
      </c>
      <c r="Q1319" s="15"/>
      <c r="R1319" s="16" t="s">
        <v>28</v>
      </c>
      <c r="S1319" s="15"/>
      <c r="T1319" s="15"/>
      <c r="U1319" s="15"/>
      <c r="V1319" s="15"/>
      <c r="W1319" s="15"/>
      <c r="X1319" s="15"/>
      <c r="Y1319" s="15"/>
      <c r="Z1319" s="15"/>
      <c r="AA1319" s="15"/>
    </row>
    <row r="1320">
      <c r="A1320" s="5" t="s">
        <v>5377</v>
      </c>
      <c r="B1320" s="6" t="s">
        <v>5402</v>
      </c>
      <c r="C1320" s="40" t="s">
        <v>5403</v>
      </c>
      <c r="D1320" s="8"/>
      <c r="E1320" s="8" t="s">
        <v>5404</v>
      </c>
      <c r="F1320" s="90" t="s">
        <v>4901</v>
      </c>
      <c r="G1320" s="97" t="s">
        <v>5405</v>
      </c>
      <c r="H1320" s="11" t="s">
        <v>4079</v>
      </c>
      <c r="I1320" s="97">
        <v>9.836146612E9</v>
      </c>
      <c r="J1320" s="11" t="s">
        <v>25</v>
      </c>
      <c r="K1320" s="12"/>
      <c r="L1320" s="13"/>
      <c r="M1320" s="14"/>
      <c r="N1320" s="15"/>
      <c r="O1320" s="5" t="s">
        <v>34</v>
      </c>
      <c r="P1320" s="5" t="s">
        <v>0</v>
      </c>
      <c r="Q1320" s="15"/>
      <c r="R1320" s="16" t="s">
        <v>28</v>
      </c>
      <c r="S1320" s="15"/>
      <c r="T1320" s="15"/>
      <c r="U1320" s="15"/>
      <c r="V1320" s="15"/>
      <c r="W1320" s="15"/>
      <c r="X1320" s="15"/>
      <c r="Y1320" s="15"/>
      <c r="Z1320" s="15"/>
      <c r="AA1320" s="15"/>
    </row>
    <row r="1321">
      <c r="A1321" s="5" t="s">
        <v>5406</v>
      </c>
      <c r="B1321" s="6" t="s">
        <v>5407</v>
      </c>
      <c r="C1321" s="40" t="s">
        <v>5408</v>
      </c>
      <c r="D1321" s="8"/>
      <c r="E1321" s="8" t="s">
        <v>189</v>
      </c>
      <c r="F1321" s="90">
        <v>30000.0</v>
      </c>
      <c r="G1321" s="97" t="s">
        <v>5409</v>
      </c>
      <c r="H1321" s="11" t="s">
        <v>449</v>
      </c>
      <c r="I1321" s="97">
        <v>7.076417363E9</v>
      </c>
      <c r="J1321" s="11" t="s">
        <v>25</v>
      </c>
      <c r="K1321" s="12"/>
      <c r="L1321" s="13"/>
      <c r="M1321" s="14"/>
      <c r="N1321" s="15"/>
      <c r="O1321" s="5" t="s">
        <v>564</v>
      </c>
      <c r="P1321" s="15"/>
      <c r="Q1321" s="15"/>
      <c r="R1321" s="16" t="s">
        <v>28</v>
      </c>
      <c r="S1321" s="15"/>
      <c r="T1321" s="15"/>
      <c r="U1321" s="15"/>
      <c r="V1321" s="15"/>
      <c r="W1321" s="15"/>
      <c r="X1321" s="15"/>
      <c r="Y1321" s="15"/>
      <c r="Z1321" s="15"/>
      <c r="AA1321" s="15"/>
    </row>
    <row r="1322">
      <c r="A1322" s="5" t="s">
        <v>5406</v>
      </c>
      <c r="B1322" s="6" t="s">
        <v>5410</v>
      </c>
      <c r="C1322" s="40" t="s">
        <v>5411</v>
      </c>
      <c r="D1322" s="8"/>
      <c r="E1322" s="8" t="s">
        <v>92</v>
      </c>
      <c r="F1322" s="90">
        <v>1000.0</v>
      </c>
      <c r="G1322" s="97" t="s">
        <v>5412</v>
      </c>
      <c r="H1322" s="11" t="s">
        <v>44</v>
      </c>
      <c r="I1322" s="97">
        <v>7.001872009E9</v>
      </c>
      <c r="J1322" s="11" t="s">
        <v>25</v>
      </c>
      <c r="K1322" s="12"/>
      <c r="L1322" s="13"/>
      <c r="M1322" s="14"/>
      <c r="N1322" s="15"/>
      <c r="O1322" s="5" t="s">
        <v>564</v>
      </c>
      <c r="P1322" s="15"/>
      <c r="Q1322" s="15"/>
      <c r="R1322" s="16" t="s">
        <v>28</v>
      </c>
      <c r="S1322" s="15"/>
      <c r="T1322" s="15"/>
      <c r="U1322" s="15"/>
      <c r="V1322" s="15"/>
      <c r="W1322" s="15"/>
      <c r="X1322" s="15"/>
      <c r="Y1322" s="15"/>
      <c r="Z1322" s="15"/>
      <c r="AA1322" s="15"/>
    </row>
    <row r="1323">
      <c r="A1323" s="5" t="s">
        <v>5406</v>
      </c>
      <c r="B1323" s="6" t="s">
        <v>5413</v>
      </c>
      <c r="C1323" s="40" t="s">
        <v>5414</v>
      </c>
      <c r="D1323" s="8"/>
      <c r="E1323" s="8" t="s">
        <v>1675</v>
      </c>
      <c r="F1323" s="90">
        <v>500.0</v>
      </c>
      <c r="G1323" s="97" t="s">
        <v>5415</v>
      </c>
      <c r="H1323" s="11" t="s">
        <v>44</v>
      </c>
      <c r="I1323" s="97">
        <v>9.674024634E9</v>
      </c>
      <c r="J1323" s="11" t="s">
        <v>25</v>
      </c>
      <c r="K1323" s="12"/>
      <c r="L1323" s="13"/>
      <c r="M1323" s="14"/>
      <c r="N1323" s="15"/>
      <c r="O1323" s="5" t="s">
        <v>34</v>
      </c>
      <c r="P1323" s="15"/>
      <c r="Q1323" s="15"/>
      <c r="R1323" s="16" t="s">
        <v>28</v>
      </c>
      <c r="S1323" s="15"/>
      <c r="T1323" s="15"/>
      <c r="U1323" s="15"/>
      <c r="V1323" s="15"/>
      <c r="W1323" s="15"/>
      <c r="X1323" s="15"/>
      <c r="Y1323" s="15"/>
      <c r="Z1323" s="15"/>
      <c r="AA1323" s="15"/>
    </row>
    <row r="1324">
      <c r="A1324" s="5" t="s">
        <v>5406</v>
      </c>
      <c r="B1324" s="6" t="s">
        <v>5416</v>
      </c>
      <c r="C1324" s="40" t="s">
        <v>5417</v>
      </c>
      <c r="D1324" s="8"/>
      <c r="E1324" s="8" t="s">
        <v>5014</v>
      </c>
      <c r="F1324" s="90">
        <v>5000.0</v>
      </c>
      <c r="G1324" s="97" t="s">
        <v>5418</v>
      </c>
      <c r="H1324" s="11" t="s">
        <v>467</v>
      </c>
      <c r="I1324" s="97">
        <v>8.650809728E9</v>
      </c>
      <c r="J1324" s="11" t="s">
        <v>25</v>
      </c>
      <c r="K1324" s="12"/>
      <c r="L1324" s="13"/>
      <c r="M1324" s="11" t="s">
        <v>5419</v>
      </c>
      <c r="N1324" s="15"/>
      <c r="O1324" s="5" t="s">
        <v>108</v>
      </c>
      <c r="P1324" s="15"/>
      <c r="Q1324" s="15"/>
      <c r="R1324" s="16" t="s">
        <v>28</v>
      </c>
      <c r="S1324" s="15"/>
      <c r="T1324" s="15"/>
      <c r="U1324" s="15"/>
      <c r="V1324" s="15"/>
      <c r="W1324" s="15"/>
      <c r="X1324" s="15"/>
      <c r="Y1324" s="15"/>
      <c r="Z1324" s="15"/>
      <c r="AA1324" s="15"/>
    </row>
    <row r="1325">
      <c r="A1325" s="5" t="s">
        <v>5420</v>
      </c>
      <c r="B1325" s="6" t="s">
        <v>5421</v>
      </c>
      <c r="C1325" s="40" t="s">
        <v>5422</v>
      </c>
      <c r="D1325" s="8"/>
      <c r="E1325" s="8" t="s">
        <v>31</v>
      </c>
      <c r="F1325" s="90">
        <v>1500.0</v>
      </c>
      <c r="G1325" s="97" t="s">
        <v>5423</v>
      </c>
      <c r="H1325" s="11" t="s">
        <v>44</v>
      </c>
      <c r="I1325" s="97">
        <v>8.017832577E9</v>
      </c>
      <c r="J1325" s="11" t="s">
        <v>25</v>
      </c>
      <c r="K1325" s="12"/>
      <c r="L1325" s="13"/>
      <c r="M1325" s="14"/>
      <c r="N1325" s="15"/>
      <c r="O1325" s="5" t="s">
        <v>34</v>
      </c>
      <c r="P1325" s="5" t="s">
        <v>1697</v>
      </c>
      <c r="Q1325" s="15"/>
      <c r="R1325" s="16" t="s">
        <v>28</v>
      </c>
      <c r="S1325" s="15"/>
      <c r="T1325" s="15"/>
      <c r="U1325" s="15"/>
      <c r="V1325" s="15"/>
      <c r="W1325" s="15"/>
      <c r="X1325" s="15"/>
      <c r="Y1325" s="15"/>
      <c r="Z1325" s="15"/>
      <c r="AA1325" s="15"/>
    </row>
    <row r="1326">
      <c r="A1326" s="5" t="s">
        <v>5420</v>
      </c>
      <c r="B1326" s="6" t="s">
        <v>5424</v>
      </c>
      <c r="C1326" s="40" t="s">
        <v>5425</v>
      </c>
      <c r="D1326" s="8"/>
      <c r="E1326" s="8" t="s">
        <v>5426</v>
      </c>
      <c r="F1326" s="90">
        <v>800.0</v>
      </c>
      <c r="G1326" s="97"/>
      <c r="H1326" s="11" t="s">
        <v>5427</v>
      </c>
      <c r="I1326" s="97">
        <v>8.013349961E9</v>
      </c>
      <c r="J1326" s="11" t="s">
        <v>25</v>
      </c>
      <c r="K1326" s="12"/>
      <c r="L1326" s="13"/>
      <c r="M1326" s="11" t="s">
        <v>4872</v>
      </c>
      <c r="N1326" s="15"/>
      <c r="O1326" s="5" t="s">
        <v>34</v>
      </c>
      <c r="P1326" s="5" t="s">
        <v>2952</v>
      </c>
      <c r="Q1326" s="5" t="s">
        <v>1436</v>
      </c>
      <c r="R1326" s="16" t="s">
        <v>74</v>
      </c>
      <c r="S1326" s="15"/>
      <c r="T1326" s="15"/>
      <c r="U1326" s="15"/>
      <c r="V1326" s="15"/>
      <c r="W1326" s="15"/>
      <c r="X1326" s="15"/>
      <c r="Y1326" s="15"/>
      <c r="Z1326" s="15"/>
      <c r="AA1326" s="15"/>
    </row>
    <row r="1327">
      <c r="A1327" s="5" t="s">
        <v>5420</v>
      </c>
      <c r="B1327" s="6" t="s">
        <v>5428</v>
      </c>
      <c r="C1327" s="40" t="s">
        <v>5429</v>
      </c>
      <c r="D1327" s="8"/>
      <c r="E1327" s="8" t="s">
        <v>5293</v>
      </c>
      <c r="F1327" s="90">
        <v>1000.0</v>
      </c>
      <c r="G1327" s="97" t="s">
        <v>5430</v>
      </c>
      <c r="H1327" s="11" t="s">
        <v>5431</v>
      </c>
      <c r="I1327" s="97">
        <v>8.249787502E9</v>
      </c>
      <c r="J1327" s="11" t="s">
        <v>25</v>
      </c>
      <c r="K1327" s="12"/>
      <c r="L1327" s="13"/>
      <c r="M1327" s="14"/>
      <c r="N1327" s="15"/>
      <c r="O1327" s="5" t="s">
        <v>34</v>
      </c>
      <c r="P1327" s="15"/>
      <c r="Q1327" s="15"/>
      <c r="R1327" s="16" t="s">
        <v>28</v>
      </c>
      <c r="S1327" s="15"/>
      <c r="T1327" s="15"/>
      <c r="U1327" s="15"/>
      <c r="V1327" s="15"/>
      <c r="W1327" s="15"/>
      <c r="X1327" s="15"/>
      <c r="Y1327" s="15"/>
      <c r="Z1327" s="15"/>
      <c r="AA1327" s="15"/>
    </row>
    <row r="1328">
      <c r="A1328" s="5" t="s">
        <v>5420</v>
      </c>
      <c r="B1328" s="6" t="s">
        <v>5432</v>
      </c>
      <c r="C1328" s="40" t="s">
        <v>5433</v>
      </c>
      <c r="D1328" s="8"/>
      <c r="E1328" s="8" t="s">
        <v>5014</v>
      </c>
      <c r="F1328" s="90">
        <v>150000.0</v>
      </c>
      <c r="G1328" s="97" t="s">
        <v>5434</v>
      </c>
      <c r="H1328" s="11" t="s">
        <v>5435</v>
      </c>
      <c r="I1328" s="97">
        <v>9.320529036E9</v>
      </c>
      <c r="J1328" s="11" t="s">
        <v>4008</v>
      </c>
      <c r="K1328" s="12"/>
      <c r="L1328" s="13"/>
      <c r="M1328" s="11" t="s">
        <v>5436</v>
      </c>
      <c r="N1328" s="15"/>
      <c r="O1328" s="5" t="s">
        <v>108</v>
      </c>
      <c r="P1328" s="15"/>
      <c r="Q1328" s="15"/>
      <c r="R1328" s="16" t="s">
        <v>28</v>
      </c>
      <c r="S1328" s="15"/>
      <c r="T1328" s="15"/>
      <c r="U1328" s="15"/>
      <c r="V1328" s="15"/>
      <c r="W1328" s="15"/>
      <c r="X1328" s="15"/>
      <c r="Y1328" s="15"/>
      <c r="Z1328" s="15"/>
      <c r="AA1328" s="15"/>
    </row>
    <row r="1329">
      <c r="A1329" s="5" t="s">
        <v>5420</v>
      </c>
      <c r="B1329" s="6" t="s">
        <v>5437</v>
      </c>
      <c r="C1329" s="40" t="s">
        <v>5438</v>
      </c>
      <c r="D1329" s="8"/>
      <c r="E1329" s="8" t="s">
        <v>4892</v>
      </c>
      <c r="F1329" s="90">
        <v>10000.0</v>
      </c>
      <c r="G1329" s="97" t="s">
        <v>5439</v>
      </c>
      <c r="H1329" s="11" t="s">
        <v>49</v>
      </c>
      <c r="I1329" s="97">
        <v>9.734486101E9</v>
      </c>
      <c r="J1329" s="11" t="s">
        <v>25</v>
      </c>
      <c r="K1329" s="12"/>
      <c r="L1329" s="13"/>
      <c r="M1329" s="14"/>
      <c r="N1329" s="15"/>
      <c r="O1329" s="5" t="s">
        <v>564</v>
      </c>
      <c r="P1329" s="15"/>
      <c r="Q1329" s="15"/>
      <c r="R1329" s="16" t="s">
        <v>28</v>
      </c>
      <c r="S1329" s="15"/>
      <c r="T1329" s="15"/>
      <c r="U1329" s="15"/>
      <c r="V1329" s="15"/>
      <c r="W1329" s="15"/>
      <c r="X1329" s="15"/>
      <c r="Y1329" s="15"/>
      <c r="Z1329" s="15"/>
      <c r="AA1329" s="15"/>
    </row>
    <row r="1330">
      <c r="A1330" s="5" t="s">
        <v>5440</v>
      </c>
      <c r="B1330" s="6" t="s">
        <v>5441</v>
      </c>
      <c r="C1330" s="40" t="s">
        <v>5442</v>
      </c>
      <c r="D1330" s="8"/>
      <c r="E1330" s="8" t="s">
        <v>130</v>
      </c>
      <c r="F1330" s="90">
        <v>1500.0</v>
      </c>
      <c r="G1330" s="97" t="s">
        <v>5443</v>
      </c>
      <c r="H1330" s="11" t="s">
        <v>44</v>
      </c>
      <c r="I1330" s="97">
        <v>8.099034172E9</v>
      </c>
      <c r="J1330" s="11" t="s">
        <v>25</v>
      </c>
      <c r="K1330" s="12"/>
      <c r="L1330" s="13"/>
      <c r="M1330" s="14"/>
      <c r="N1330" s="15"/>
      <c r="O1330" s="5" t="s">
        <v>34</v>
      </c>
      <c r="P1330" s="5" t="s">
        <v>5444</v>
      </c>
      <c r="Q1330" s="15"/>
      <c r="R1330" s="16" t="s">
        <v>723</v>
      </c>
      <c r="S1330" s="15"/>
      <c r="T1330" s="15"/>
      <c r="U1330" s="15"/>
      <c r="V1330" s="15"/>
      <c r="W1330" s="15"/>
      <c r="X1330" s="15"/>
      <c r="Y1330" s="15"/>
      <c r="Z1330" s="15"/>
      <c r="AA1330" s="15"/>
    </row>
    <row r="1331">
      <c r="A1331" s="5" t="s">
        <v>5440</v>
      </c>
      <c r="B1331" s="6" t="s">
        <v>5445</v>
      </c>
      <c r="C1331" s="40" t="s">
        <v>5446</v>
      </c>
      <c r="D1331" s="8"/>
      <c r="E1331" s="8" t="s">
        <v>22</v>
      </c>
      <c r="F1331" s="90">
        <v>500.0</v>
      </c>
      <c r="G1331" s="97" t="s">
        <v>5447</v>
      </c>
      <c r="H1331" s="11" t="s">
        <v>44</v>
      </c>
      <c r="I1331" s="97">
        <v>8.918906912E9</v>
      </c>
      <c r="J1331" s="11" t="s">
        <v>25</v>
      </c>
      <c r="K1331" s="12"/>
      <c r="L1331" s="13"/>
      <c r="M1331" s="14"/>
      <c r="N1331" s="15"/>
      <c r="O1331" s="5" t="s">
        <v>564</v>
      </c>
      <c r="P1331" s="15"/>
      <c r="Q1331" s="15"/>
      <c r="R1331" s="16" t="s">
        <v>28</v>
      </c>
      <c r="S1331" s="15"/>
      <c r="T1331" s="15"/>
      <c r="U1331" s="15"/>
      <c r="V1331" s="15"/>
      <c r="W1331" s="15"/>
      <c r="X1331" s="15"/>
      <c r="Y1331" s="15"/>
      <c r="Z1331" s="15"/>
      <c r="AA1331" s="15"/>
    </row>
    <row r="1332">
      <c r="A1332" s="5" t="s">
        <v>5440</v>
      </c>
      <c r="B1332" s="6" t="s">
        <v>5448</v>
      </c>
      <c r="C1332" s="40" t="s">
        <v>5449</v>
      </c>
      <c r="D1332" s="8"/>
      <c r="E1332" s="8" t="s">
        <v>5450</v>
      </c>
      <c r="F1332" s="90">
        <v>500.0</v>
      </c>
      <c r="G1332" s="97" t="s">
        <v>5451</v>
      </c>
      <c r="H1332" s="11" t="s">
        <v>44</v>
      </c>
      <c r="I1332" s="97">
        <v>7.003611583E9</v>
      </c>
      <c r="J1332" s="11" t="s">
        <v>25</v>
      </c>
      <c r="K1332" s="12"/>
      <c r="L1332" s="13"/>
      <c r="M1332" s="14"/>
      <c r="N1332" s="15"/>
      <c r="O1332" s="5" t="s">
        <v>34</v>
      </c>
      <c r="P1332" s="15"/>
      <c r="Q1332" s="15"/>
      <c r="R1332" s="16" t="s">
        <v>28</v>
      </c>
      <c r="S1332" s="15"/>
      <c r="T1332" s="15"/>
      <c r="U1332" s="15"/>
      <c r="V1332" s="15"/>
      <c r="W1332" s="15"/>
      <c r="X1332" s="15"/>
      <c r="Y1332" s="15"/>
      <c r="Z1332" s="15"/>
      <c r="AA1332" s="15"/>
    </row>
    <row r="1333">
      <c r="A1333" s="5" t="s">
        <v>5452</v>
      </c>
      <c r="B1333" s="6" t="s">
        <v>5453</v>
      </c>
      <c r="C1333" s="40" t="s">
        <v>5454</v>
      </c>
      <c r="D1333" s="8"/>
      <c r="E1333" s="8" t="s">
        <v>189</v>
      </c>
      <c r="F1333" s="9">
        <v>15000.0</v>
      </c>
      <c r="G1333" s="97"/>
      <c r="H1333" s="11" t="s">
        <v>44</v>
      </c>
      <c r="I1333" s="97">
        <v>7.044024118E9</v>
      </c>
      <c r="J1333" s="11" t="s">
        <v>25</v>
      </c>
      <c r="K1333" s="12"/>
      <c r="L1333" s="13"/>
      <c r="M1333" s="14"/>
      <c r="N1333" s="15"/>
      <c r="O1333" s="5" t="s">
        <v>26</v>
      </c>
      <c r="P1333" s="15"/>
      <c r="Q1333" s="15"/>
      <c r="R1333" s="16" t="s">
        <v>28</v>
      </c>
      <c r="S1333" s="15"/>
      <c r="T1333" s="15"/>
      <c r="U1333" s="15"/>
      <c r="V1333" s="15"/>
      <c r="W1333" s="15"/>
      <c r="X1333" s="15"/>
      <c r="Y1333" s="15"/>
      <c r="Z1333" s="15"/>
      <c r="AA1333" s="15"/>
    </row>
    <row r="1334">
      <c r="A1334" s="5" t="s">
        <v>5452</v>
      </c>
      <c r="B1334" s="6" t="s">
        <v>5455</v>
      </c>
      <c r="C1334" s="40" t="s">
        <v>5456</v>
      </c>
      <c r="D1334" s="8"/>
      <c r="E1334" s="8" t="s">
        <v>2917</v>
      </c>
      <c r="F1334" s="90">
        <v>10000.0</v>
      </c>
      <c r="G1334" s="97"/>
      <c r="H1334" s="11" t="s">
        <v>5457</v>
      </c>
      <c r="I1334" s="97">
        <v>8.011479968E9</v>
      </c>
      <c r="J1334" s="11" t="s">
        <v>25</v>
      </c>
      <c r="K1334" s="12"/>
      <c r="L1334" s="13"/>
      <c r="M1334" s="14"/>
      <c r="N1334" s="15"/>
      <c r="O1334" s="5" t="s">
        <v>34</v>
      </c>
      <c r="P1334" s="15"/>
      <c r="Q1334" s="15"/>
      <c r="R1334" s="16" t="s">
        <v>28</v>
      </c>
      <c r="S1334" s="15"/>
      <c r="T1334" s="15"/>
      <c r="U1334" s="15"/>
      <c r="V1334" s="15"/>
      <c r="W1334" s="15"/>
      <c r="X1334" s="15"/>
      <c r="Y1334" s="15"/>
      <c r="Z1334" s="15"/>
      <c r="AA1334" s="15"/>
    </row>
    <row r="1335">
      <c r="A1335" s="5" t="s">
        <v>5452</v>
      </c>
      <c r="B1335" s="6" t="s">
        <v>5458</v>
      </c>
      <c r="C1335" s="40" t="s">
        <v>5459</v>
      </c>
      <c r="D1335" s="8"/>
      <c r="E1335" s="8" t="s">
        <v>718</v>
      </c>
      <c r="F1335" s="90">
        <v>20000.0</v>
      </c>
      <c r="G1335" s="97" t="s">
        <v>5460</v>
      </c>
      <c r="H1335" s="11" t="s">
        <v>985</v>
      </c>
      <c r="I1335" s="97">
        <v>9.163972196E9</v>
      </c>
      <c r="J1335" s="11" t="s">
        <v>25</v>
      </c>
      <c r="K1335" s="12" t="s">
        <v>3647</v>
      </c>
      <c r="L1335" s="13"/>
      <c r="M1335" s="14"/>
      <c r="N1335" s="5" t="s">
        <v>5461</v>
      </c>
      <c r="O1335" s="5" t="s">
        <v>34</v>
      </c>
      <c r="P1335" s="5" t="s">
        <v>79</v>
      </c>
      <c r="Q1335" s="11" t="s">
        <v>5462</v>
      </c>
      <c r="R1335" s="16" t="s">
        <v>28</v>
      </c>
      <c r="S1335" s="15"/>
      <c r="T1335" s="15"/>
      <c r="U1335" s="15"/>
      <c r="V1335" s="15"/>
      <c r="W1335" s="15"/>
      <c r="X1335" s="15"/>
      <c r="Y1335" s="15"/>
      <c r="Z1335" s="15"/>
      <c r="AA1335" s="15"/>
    </row>
    <row r="1336">
      <c r="A1336" s="5" t="s">
        <v>5463</v>
      </c>
      <c r="B1336" s="6" t="s">
        <v>5464</v>
      </c>
      <c r="C1336" s="40" t="s">
        <v>5465</v>
      </c>
      <c r="D1336" s="8"/>
      <c r="E1336" s="8" t="s">
        <v>5466</v>
      </c>
      <c r="F1336" s="9">
        <v>500000.0</v>
      </c>
      <c r="G1336" s="126" t="s">
        <v>5467</v>
      </c>
      <c r="H1336" s="11" t="s">
        <v>44</v>
      </c>
      <c r="I1336" s="97">
        <v>9.511569346E9</v>
      </c>
      <c r="J1336" s="11" t="s">
        <v>25</v>
      </c>
      <c r="K1336" s="12"/>
      <c r="L1336" s="13"/>
      <c r="M1336" s="14"/>
      <c r="N1336" s="15"/>
      <c r="O1336" s="5" t="s">
        <v>26</v>
      </c>
      <c r="P1336" s="15"/>
      <c r="Q1336" s="15"/>
      <c r="R1336" s="16" t="s">
        <v>28</v>
      </c>
      <c r="S1336" s="15"/>
      <c r="T1336" s="15"/>
      <c r="U1336" s="15"/>
      <c r="V1336" s="15"/>
      <c r="W1336" s="15"/>
      <c r="X1336" s="15"/>
      <c r="Y1336" s="15"/>
      <c r="Z1336" s="15"/>
      <c r="AA1336" s="15"/>
    </row>
    <row r="1337">
      <c r="A1337" s="5" t="s">
        <v>5463</v>
      </c>
      <c r="B1337" s="6" t="s">
        <v>5468</v>
      </c>
      <c r="C1337" s="40" t="s">
        <v>5469</v>
      </c>
      <c r="D1337" s="8"/>
      <c r="E1337" s="8" t="s">
        <v>207</v>
      </c>
      <c r="F1337" s="90">
        <v>20000.0</v>
      </c>
      <c r="G1337" s="97" t="s">
        <v>5470</v>
      </c>
      <c r="H1337" s="11" t="s">
        <v>99</v>
      </c>
      <c r="I1337" s="97">
        <v>9.337501881E9</v>
      </c>
      <c r="J1337" s="11" t="s">
        <v>25</v>
      </c>
      <c r="K1337" s="12"/>
      <c r="L1337" s="13"/>
      <c r="M1337" s="14"/>
      <c r="N1337" s="15"/>
      <c r="O1337" s="5" t="s">
        <v>34</v>
      </c>
      <c r="P1337" s="5" t="s">
        <v>727</v>
      </c>
      <c r="Q1337" s="5" t="s">
        <v>5471</v>
      </c>
      <c r="R1337" s="16" t="s">
        <v>28</v>
      </c>
      <c r="S1337" s="15"/>
      <c r="T1337" s="15"/>
      <c r="U1337" s="15"/>
      <c r="V1337" s="15"/>
      <c r="W1337" s="15"/>
      <c r="X1337" s="15"/>
      <c r="Y1337" s="15"/>
      <c r="Z1337" s="15"/>
      <c r="AA1337" s="15"/>
    </row>
    <row r="1338">
      <c r="A1338" s="5" t="s">
        <v>5472</v>
      </c>
      <c r="B1338" s="6" t="s">
        <v>5473</v>
      </c>
      <c r="C1338" s="40" t="s">
        <v>5474</v>
      </c>
      <c r="D1338" s="8"/>
      <c r="E1338" s="8" t="s">
        <v>1217</v>
      </c>
      <c r="F1338" s="90">
        <v>500.0</v>
      </c>
      <c r="G1338" s="120" t="s">
        <v>5475</v>
      </c>
      <c r="H1338" s="36" t="s">
        <v>5476</v>
      </c>
      <c r="I1338" s="97">
        <v>8.134950018E9</v>
      </c>
      <c r="J1338" s="11" t="s">
        <v>4008</v>
      </c>
      <c r="K1338" s="12"/>
      <c r="L1338" s="13"/>
      <c r="M1338" s="14"/>
      <c r="N1338" s="15"/>
      <c r="O1338" s="5" t="s">
        <v>26</v>
      </c>
      <c r="P1338" s="15"/>
      <c r="Q1338" s="15"/>
      <c r="R1338" s="16" t="s">
        <v>28</v>
      </c>
      <c r="S1338" s="15"/>
      <c r="T1338" s="15"/>
      <c r="U1338" s="15"/>
      <c r="V1338" s="15"/>
      <c r="W1338" s="15"/>
      <c r="X1338" s="15"/>
      <c r="Y1338" s="15"/>
      <c r="Z1338" s="15"/>
      <c r="AA1338" s="15"/>
    </row>
    <row r="1339">
      <c r="A1339" s="5" t="s">
        <v>5472</v>
      </c>
      <c r="B1339" s="6" t="s">
        <v>5477</v>
      </c>
      <c r="C1339" s="40" t="s">
        <v>5478</v>
      </c>
      <c r="D1339" s="8"/>
      <c r="E1339" s="8" t="s">
        <v>189</v>
      </c>
      <c r="F1339" s="90">
        <v>1000.0</v>
      </c>
      <c r="G1339" s="123"/>
      <c r="H1339" s="11" t="s">
        <v>5479</v>
      </c>
      <c r="I1339" s="97">
        <v>9.564022042E9</v>
      </c>
      <c r="J1339" s="11" t="s">
        <v>4008</v>
      </c>
      <c r="K1339" s="12"/>
      <c r="L1339" s="13"/>
      <c r="M1339" s="11" t="s">
        <v>4978</v>
      </c>
      <c r="N1339" s="15"/>
      <c r="O1339" s="5" t="s">
        <v>34</v>
      </c>
      <c r="P1339" s="5" t="s">
        <v>5480</v>
      </c>
      <c r="Q1339" s="15"/>
      <c r="R1339" s="16" t="s">
        <v>248</v>
      </c>
      <c r="S1339" s="15"/>
      <c r="T1339" s="15"/>
      <c r="U1339" s="15"/>
      <c r="V1339" s="15"/>
      <c r="W1339" s="15"/>
      <c r="X1339" s="15"/>
      <c r="Y1339" s="15"/>
      <c r="Z1339" s="15"/>
      <c r="AA1339" s="15"/>
    </row>
    <row r="1340">
      <c r="A1340" s="5" t="s">
        <v>5472</v>
      </c>
      <c r="B1340" s="6" t="s">
        <v>5481</v>
      </c>
      <c r="C1340" s="40" t="s">
        <v>5482</v>
      </c>
      <c r="D1340" s="8"/>
      <c r="E1340" s="8" t="s">
        <v>1280</v>
      </c>
      <c r="F1340" s="9">
        <v>20000.0</v>
      </c>
      <c r="G1340" s="120" t="s">
        <v>5483</v>
      </c>
      <c r="H1340" s="11" t="s">
        <v>1337</v>
      </c>
      <c r="I1340" s="97">
        <v>9.647781651E9</v>
      </c>
      <c r="J1340" s="11" t="s">
        <v>4008</v>
      </c>
      <c r="K1340" s="12"/>
      <c r="L1340" s="13"/>
      <c r="M1340" s="11" t="s">
        <v>5484</v>
      </c>
      <c r="N1340" s="15"/>
      <c r="O1340" s="5" t="s">
        <v>34</v>
      </c>
      <c r="P1340" s="5" t="s">
        <v>4366</v>
      </c>
      <c r="Q1340" s="15"/>
      <c r="R1340" s="16" t="s">
        <v>723</v>
      </c>
      <c r="S1340" s="15"/>
      <c r="T1340" s="15"/>
      <c r="U1340" s="15"/>
      <c r="V1340" s="15"/>
      <c r="W1340" s="15"/>
      <c r="X1340" s="15"/>
      <c r="Y1340" s="15"/>
      <c r="Z1340" s="15"/>
      <c r="AA1340" s="15"/>
    </row>
    <row r="1341" ht="24.0" customHeight="1">
      <c r="A1341" s="5" t="s">
        <v>5472</v>
      </c>
      <c r="B1341" s="6" t="s">
        <v>5485</v>
      </c>
      <c r="C1341" s="40" t="s">
        <v>5486</v>
      </c>
      <c r="D1341" s="8"/>
      <c r="E1341" s="8" t="s">
        <v>5203</v>
      </c>
      <c r="F1341" s="9">
        <v>10000.0</v>
      </c>
      <c r="G1341" s="120" t="s">
        <v>5487</v>
      </c>
      <c r="H1341" s="11" t="s">
        <v>44</v>
      </c>
      <c r="I1341" s="41" t="s">
        <v>5488</v>
      </c>
      <c r="J1341" s="11" t="s">
        <v>4008</v>
      </c>
      <c r="K1341" s="12"/>
      <c r="L1341" s="13"/>
      <c r="M1341" s="11" t="s">
        <v>5489</v>
      </c>
      <c r="N1341" s="15"/>
      <c r="O1341" s="5" t="s">
        <v>26</v>
      </c>
      <c r="P1341" s="5" t="s">
        <v>5490</v>
      </c>
      <c r="Q1341" s="15"/>
      <c r="R1341" s="16" t="s">
        <v>28</v>
      </c>
      <c r="S1341" s="15"/>
      <c r="T1341" s="15"/>
      <c r="U1341" s="15"/>
      <c r="V1341" s="15"/>
      <c r="W1341" s="15"/>
      <c r="X1341" s="15"/>
      <c r="Y1341" s="15"/>
      <c r="Z1341" s="15"/>
      <c r="AA1341" s="15"/>
    </row>
    <row r="1342" ht="24.75" customHeight="1">
      <c r="A1342" s="5" t="s">
        <v>5472</v>
      </c>
      <c r="B1342" s="6" t="s">
        <v>5491</v>
      </c>
      <c r="C1342" s="40" t="s">
        <v>5492</v>
      </c>
      <c r="D1342" s="8"/>
      <c r="E1342" s="8" t="s">
        <v>189</v>
      </c>
      <c r="F1342" s="9">
        <v>30000.0</v>
      </c>
      <c r="G1342" s="123"/>
      <c r="H1342" s="11" t="s">
        <v>44</v>
      </c>
      <c r="I1342" s="97">
        <v>9.641203567E9</v>
      </c>
      <c r="J1342" s="11" t="s">
        <v>4008</v>
      </c>
      <c r="K1342" s="12"/>
      <c r="L1342" s="13"/>
      <c r="M1342" s="14"/>
      <c r="N1342" s="15"/>
      <c r="O1342" s="5" t="s">
        <v>26</v>
      </c>
      <c r="P1342" s="5" t="s">
        <v>5493</v>
      </c>
      <c r="Q1342" s="15"/>
      <c r="R1342" s="16" t="s">
        <v>28</v>
      </c>
      <c r="S1342" s="15"/>
      <c r="T1342" s="15"/>
      <c r="U1342" s="15"/>
      <c r="V1342" s="15"/>
      <c r="W1342" s="15"/>
      <c r="X1342" s="15"/>
      <c r="Y1342" s="15"/>
      <c r="Z1342" s="15"/>
      <c r="AA1342" s="15"/>
    </row>
    <row r="1343">
      <c r="A1343" s="5" t="s">
        <v>5472</v>
      </c>
      <c r="B1343" s="6" t="s">
        <v>5494</v>
      </c>
      <c r="C1343" s="40" t="s">
        <v>5495</v>
      </c>
      <c r="D1343" s="8"/>
      <c r="E1343" s="8" t="s">
        <v>1023</v>
      </c>
      <c r="F1343" s="90">
        <v>5000.0</v>
      </c>
      <c r="G1343" s="125" t="s">
        <v>5496</v>
      </c>
      <c r="H1343" s="129" t="s">
        <v>5497</v>
      </c>
      <c r="I1343" s="41" t="s">
        <v>5498</v>
      </c>
      <c r="J1343" s="11" t="s">
        <v>4008</v>
      </c>
      <c r="K1343" s="12"/>
      <c r="L1343" s="13"/>
      <c r="M1343" s="14"/>
      <c r="N1343" s="15"/>
      <c r="O1343" s="5" t="s">
        <v>108</v>
      </c>
      <c r="P1343" s="15"/>
      <c r="Q1343" s="15"/>
      <c r="R1343" s="16" t="s">
        <v>28</v>
      </c>
      <c r="S1343" s="15"/>
      <c r="T1343" s="15"/>
      <c r="U1343" s="15"/>
      <c r="V1343" s="15"/>
      <c r="W1343" s="15"/>
      <c r="X1343" s="15"/>
      <c r="Y1343" s="15"/>
      <c r="Z1343" s="15"/>
      <c r="AA1343" s="15"/>
    </row>
    <row r="1344">
      <c r="A1344" s="5" t="s">
        <v>5499</v>
      </c>
      <c r="B1344" s="6" t="s">
        <v>5500</v>
      </c>
      <c r="C1344" s="40" t="s">
        <v>5501</v>
      </c>
      <c r="D1344" s="8"/>
      <c r="E1344" s="8" t="s">
        <v>5502</v>
      </c>
      <c r="F1344" s="90" t="s">
        <v>5503</v>
      </c>
      <c r="G1344" s="97" t="s">
        <v>5504</v>
      </c>
      <c r="H1344" s="11" t="s">
        <v>5505</v>
      </c>
      <c r="I1344" s="97">
        <v>9.987088164E9</v>
      </c>
      <c r="J1344" s="11" t="s">
        <v>4008</v>
      </c>
      <c r="K1344" s="12"/>
      <c r="L1344" s="13"/>
      <c r="M1344" s="14"/>
      <c r="N1344" s="15"/>
      <c r="O1344" s="5" t="s">
        <v>108</v>
      </c>
      <c r="P1344" s="15"/>
      <c r="Q1344" s="15"/>
      <c r="R1344" s="16" t="s">
        <v>28</v>
      </c>
      <c r="S1344" s="15"/>
      <c r="T1344" s="15"/>
      <c r="U1344" s="15"/>
      <c r="V1344" s="15"/>
      <c r="W1344" s="15"/>
      <c r="X1344" s="15"/>
      <c r="Y1344" s="15"/>
      <c r="Z1344" s="15"/>
      <c r="AA1344" s="15"/>
    </row>
    <row r="1345">
      <c r="A1345" s="5" t="s">
        <v>5506</v>
      </c>
      <c r="B1345" s="6" t="s">
        <v>5507</v>
      </c>
      <c r="C1345" s="40" t="s">
        <v>5508</v>
      </c>
      <c r="D1345" s="8"/>
      <c r="E1345" s="8" t="s">
        <v>189</v>
      </c>
      <c r="F1345" s="90">
        <v>1000.0</v>
      </c>
      <c r="G1345" s="97" t="s">
        <v>5509</v>
      </c>
      <c r="H1345" s="11" t="s">
        <v>5510</v>
      </c>
      <c r="I1345" s="97">
        <v>7.008649239E9</v>
      </c>
      <c r="J1345" s="11" t="s">
        <v>25</v>
      </c>
      <c r="K1345" s="12"/>
      <c r="L1345" s="13"/>
      <c r="M1345" s="14"/>
      <c r="N1345" s="15"/>
      <c r="O1345" s="5" t="s">
        <v>34</v>
      </c>
      <c r="P1345" s="5" t="s">
        <v>209</v>
      </c>
      <c r="Q1345" s="15"/>
      <c r="R1345" s="16" t="s">
        <v>28</v>
      </c>
      <c r="S1345" s="15"/>
      <c r="T1345" s="15"/>
      <c r="U1345" s="15"/>
      <c r="V1345" s="15"/>
      <c r="W1345" s="15"/>
      <c r="X1345" s="15"/>
      <c r="Y1345" s="15"/>
      <c r="Z1345" s="15"/>
      <c r="AA1345" s="15"/>
    </row>
    <row r="1346">
      <c r="A1346" s="5" t="s">
        <v>5506</v>
      </c>
      <c r="B1346" s="6" t="s">
        <v>5511</v>
      </c>
      <c r="C1346" s="40" t="s">
        <v>5512</v>
      </c>
      <c r="D1346" s="8"/>
      <c r="E1346" s="8" t="s">
        <v>286</v>
      </c>
      <c r="F1346" s="90">
        <v>1000.0</v>
      </c>
      <c r="G1346" s="97" t="s">
        <v>5513</v>
      </c>
      <c r="H1346" s="11" t="s">
        <v>44</v>
      </c>
      <c r="I1346" s="97">
        <v>9.831044509E9</v>
      </c>
      <c r="J1346" s="11" t="s">
        <v>25</v>
      </c>
      <c r="K1346" s="12"/>
      <c r="L1346" s="13"/>
      <c r="M1346" s="14"/>
      <c r="N1346" s="15"/>
      <c r="O1346" s="5" t="s">
        <v>564</v>
      </c>
      <c r="P1346" s="5" t="s">
        <v>1899</v>
      </c>
      <c r="Q1346" s="15"/>
      <c r="R1346" s="16" t="s">
        <v>28</v>
      </c>
      <c r="S1346" s="15"/>
      <c r="T1346" s="15"/>
      <c r="U1346" s="15"/>
      <c r="V1346" s="15"/>
      <c r="W1346" s="15"/>
      <c r="X1346" s="15"/>
      <c r="Y1346" s="15"/>
      <c r="Z1346" s="15"/>
      <c r="AA1346" s="15"/>
    </row>
    <row r="1347">
      <c r="A1347" s="5" t="s">
        <v>5506</v>
      </c>
      <c r="B1347" s="6" t="s">
        <v>5514</v>
      </c>
      <c r="C1347" s="40" t="s">
        <v>5515</v>
      </c>
      <c r="D1347" s="8"/>
      <c r="E1347" s="8" t="s">
        <v>4096</v>
      </c>
      <c r="F1347" s="90">
        <v>20000.0</v>
      </c>
      <c r="G1347" s="97" t="s">
        <v>5516</v>
      </c>
      <c r="H1347" s="11" t="s">
        <v>638</v>
      </c>
      <c r="I1347" s="97">
        <v>9.641519111E9</v>
      </c>
      <c r="J1347" s="11" t="s">
        <v>25</v>
      </c>
      <c r="K1347" s="12"/>
      <c r="L1347" s="13"/>
      <c r="M1347" s="14"/>
      <c r="N1347" s="15"/>
      <c r="O1347" s="5" t="s">
        <v>34</v>
      </c>
      <c r="P1347" s="5" t="s">
        <v>727</v>
      </c>
      <c r="Q1347" s="15"/>
      <c r="R1347" s="16" t="s">
        <v>28</v>
      </c>
      <c r="S1347" s="15"/>
      <c r="T1347" s="15"/>
      <c r="U1347" s="15"/>
      <c r="V1347" s="15"/>
      <c r="W1347" s="15"/>
      <c r="X1347" s="15"/>
      <c r="Y1347" s="15"/>
      <c r="Z1347" s="15"/>
      <c r="AA1347" s="15"/>
    </row>
    <row r="1348">
      <c r="A1348" s="5" t="s">
        <v>5517</v>
      </c>
      <c r="B1348" s="6" t="s">
        <v>5518</v>
      </c>
      <c r="C1348" s="40" t="s">
        <v>5519</v>
      </c>
      <c r="D1348" s="8"/>
      <c r="E1348" s="8" t="s">
        <v>116</v>
      </c>
      <c r="F1348" s="90">
        <v>5000.0</v>
      </c>
      <c r="G1348" s="97" t="s">
        <v>5520</v>
      </c>
      <c r="H1348" s="11" t="s">
        <v>5521</v>
      </c>
      <c r="I1348" s="97">
        <v>8.910850561E9</v>
      </c>
      <c r="J1348" s="11" t="s">
        <v>25</v>
      </c>
      <c r="K1348" s="12"/>
      <c r="L1348" s="13"/>
      <c r="M1348" s="14"/>
      <c r="N1348" s="15"/>
      <c r="O1348" s="5" t="s">
        <v>564</v>
      </c>
      <c r="P1348" s="15"/>
      <c r="Q1348" s="15"/>
      <c r="R1348" s="16" t="s">
        <v>28</v>
      </c>
      <c r="S1348" s="15"/>
      <c r="T1348" s="15"/>
      <c r="U1348" s="15"/>
      <c r="V1348" s="15"/>
      <c r="W1348" s="15"/>
      <c r="X1348" s="15"/>
      <c r="Y1348" s="15"/>
      <c r="Z1348" s="15"/>
      <c r="AA1348" s="15"/>
    </row>
    <row r="1349">
      <c r="A1349" s="5" t="s">
        <v>5517</v>
      </c>
      <c r="B1349" s="6" t="s">
        <v>5522</v>
      </c>
      <c r="C1349" s="40" t="s">
        <v>5523</v>
      </c>
      <c r="D1349" s="8"/>
      <c r="E1349" s="8" t="s">
        <v>43</v>
      </c>
      <c r="F1349" s="90">
        <v>5000.0</v>
      </c>
      <c r="G1349" s="97" t="s">
        <v>5524</v>
      </c>
      <c r="H1349" s="11" t="s">
        <v>555</v>
      </c>
      <c r="I1349" s="97">
        <v>8.797125457E9</v>
      </c>
      <c r="J1349" s="11" t="s">
        <v>25</v>
      </c>
      <c r="K1349" s="12"/>
      <c r="L1349" s="13"/>
      <c r="M1349" s="11" t="s">
        <v>5525</v>
      </c>
      <c r="N1349" s="5" t="s">
        <v>5526</v>
      </c>
      <c r="O1349" s="5" t="s">
        <v>34</v>
      </c>
      <c r="P1349" s="5" t="s">
        <v>1035</v>
      </c>
      <c r="Q1349" s="5" t="s">
        <v>777</v>
      </c>
      <c r="R1349" s="16" t="s">
        <v>723</v>
      </c>
      <c r="S1349" s="15"/>
      <c r="T1349" s="15"/>
      <c r="U1349" s="15"/>
      <c r="V1349" s="15"/>
      <c r="W1349" s="15"/>
      <c r="X1349" s="15"/>
      <c r="Y1349" s="15"/>
      <c r="Z1349" s="15"/>
      <c r="AA1349" s="15"/>
    </row>
    <row r="1350">
      <c r="A1350" s="5" t="s">
        <v>5517</v>
      </c>
      <c r="B1350" s="6" t="s">
        <v>5527</v>
      </c>
      <c r="C1350" s="36" t="s">
        <v>5528</v>
      </c>
      <c r="D1350" s="75"/>
      <c r="E1350" s="8" t="s">
        <v>4892</v>
      </c>
      <c r="F1350" s="90">
        <v>500.0</v>
      </c>
      <c r="G1350" s="97" t="s">
        <v>5529</v>
      </c>
      <c r="H1350" s="11" t="s">
        <v>44</v>
      </c>
      <c r="I1350" s="97">
        <v>9.805916693E9</v>
      </c>
      <c r="J1350" s="11" t="s">
        <v>25</v>
      </c>
      <c r="K1350" s="12"/>
      <c r="L1350" s="13"/>
      <c r="M1350" s="14"/>
      <c r="N1350" s="15"/>
      <c r="O1350" s="5" t="s">
        <v>34</v>
      </c>
      <c r="P1350" s="5" t="s">
        <v>727</v>
      </c>
      <c r="Q1350" s="15"/>
      <c r="R1350" s="16" t="s">
        <v>28</v>
      </c>
      <c r="S1350" s="15"/>
      <c r="T1350" s="15"/>
      <c r="U1350" s="15"/>
      <c r="V1350" s="15"/>
      <c r="W1350" s="15"/>
      <c r="X1350" s="15"/>
      <c r="Y1350" s="15"/>
      <c r="Z1350" s="15"/>
      <c r="AA1350" s="15"/>
    </row>
    <row r="1351">
      <c r="A1351" s="5" t="s">
        <v>5530</v>
      </c>
      <c r="B1351" s="6" t="s">
        <v>5531</v>
      </c>
      <c r="C1351" s="40" t="s">
        <v>5532</v>
      </c>
      <c r="D1351" s="8"/>
      <c r="E1351" s="8" t="s">
        <v>152</v>
      </c>
      <c r="F1351" s="90">
        <v>500.0</v>
      </c>
      <c r="G1351" s="97" t="s">
        <v>5533</v>
      </c>
      <c r="H1351" s="11" t="s">
        <v>44</v>
      </c>
      <c r="I1351" s="97">
        <v>9.674181531E9</v>
      </c>
      <c r="J1351" s="11" t="s">
        <v>25</v>
      </c>
      <c r="K1351" s="12"/>
      <c r="L1351" s="13"/>
      <c r="M1351" s="14"/>
      <c r="N1351" s="15"/>
      <c r="O1351" s="5" t="s">
        <v>34</v>
      </c>
      <c r="P1351" s="5" t="s">
        <v>4850</v>
      </c>
      <c r="Q1351" s="5" t="s">
        <v>727</v>
      </c>
      <c r="R1351" s="16" t="s">
        <v>28</v>
      </c>
      <c r="S1351" s="15"/>
      <c r="T1351" s="15"/>
      <c r="U1351" s="15"/>
      <c r="V1351" s="15"/>
      <c r="W1351" s="15"/>
      <c r="X1351" s="15"/>
      <c r="Y1351" s="15"/>
      <c r="Z1351" s="15"/>
      <c r="AA1351" s="15"/>
    </row>
    <row r="1352">
      <c r="A1352" s="5" t="s">
        <v>5530</v>
      </c>
      <c r="B1352" s="6" t="s">
        <v>5534</v>
      </c>
      <c r="C1352" s="40" t="s">
        <v>5535</v>
      </c>
      <c r="D1352" s="8"/>
      <c r="E1352" s="8" t="s">
        <v>5536</v>
      </c>
      <c r="F1352" s="90">
        <v>1000.0</v>
      </c>
      <c r="G1352" s="97" t="s">
        <v>5537</v>
      </c>
      <c r="H1352" s="11" t="s">
        <v>44</v>
      </c>
      <c r="I1352" s="97">
        <v>8.697197235E9</v>
      </c>
      <c r="J1352" s="11" t="s">
        <v>25</v>
      </c>
      <c r="K1352" s="12"/>
      <c r="L1352" s="13"/>
      <c r="M1352" s="14"/>
      <c r="N1352" s="15"/>
      <c r="O1352" s="5" t="s">
        <v>34</v>
      </c>
      <c r="P1352" s="15"/>
      <c r="Q1352" s="15"/>
      <c r="R1352" s="16" t="s">
        <v>28</v>
      </c>
      <c r="S1352" s="15"/>
      <c r="T1352" s="15"/>
      <c r="U1352" s="15"/>
      <c r="V1352" s="15"/>
      <c r="W1352" s="15"/>
      <c r="X1352" s="15"/>
      <c r="Y1352" s="15"/>
      <c r="Z1352" s="15"/>
      <c r="AA1352" s="15"/>
    </row>
    <row r="1353">
      <c r="A1353" s="5" t="s">
        <v>5530</v>
      </c>
      <c r="B1353" s="6" t="s">
        <v>5538</v>
      </c>
      <c r="C1353" s="40" t="s">
        <v>5539</v>
      </c>
      <c r="D1353" s="8"/>
      <c r="E1353" s="8" t="s">
        <v>1412</v>
      </c>
      <c r="F1353" s="90">
        <v>2000.0</v>
      </c>
      <c r="G1353" s="97" t="s">
        <v>5540</v>
      </c>
      <c r="H1353" s="11" t="s">
        <v>3090</v>
      </c>
      <c r="I1353" s="97">
        <v>6.291387574E9</v>
      </c>
      <c r="J1353" s="11" t="s">
        <v>25</v>
      </c>
      <c r="K1353" s="12"/>
      <c r="L1353" s="13"/>
      <c r="M1353" s="11" t="s">
        <v>5541</v>
      </c>
      <c r="N1353" s="15"/>
      <c r="O1353" s="5" t="s">
        <v>34</v>
      </c>
      <c r="P1353" s="5" t="s">
        <v>209</v>
      </c>
      <c r="Q1353" s="11" t="s">
        <v>5542</v>
      </c>
      <c r="R1353" s="16" t="s">
        <v>723</v>
      </c>
      <c r="S1353" s="15"/>
      <c r="T1353" s="15"/>
      <c r="U1353" s="15"/>
      <c r="V1353" s="15"/>
      <c r="W1353" s="15"/>
      <c r="X1353" s="15"/>
      <c r="Y1353" s="15"/>
      <c r="Z1353" s="15"/>
      <c r="AA1353" s="15"/>
    </row>
    <row r="1354">
      <c r="A1354" s="5" t="s">
        <v>5543</v>
      </c>
      <c r="B1354" s="6" t="s">
        <v>5544</v>
      </c>
      <c r="C1354" s="40" t="s">
        <v>5545</v>
      </c>
      <c r="D1354" s="8"/>
      <c r="E1354" s="8" t="s">
        <v>156</v>
      </c>
      <c r="F1354" s="90">
        <v>10000.0</v>
      </c>
      <c r="G1354" s="97" t="s">
        <v>5546</v>
      </c>
      <c r="H1354" s="11" t="s">
        <v>44</v>
      </c>
      <c r="I1354" s="97">
        <v>8.777456167E9</v>
      </c>
      <c r="J1354" s="11" t="s">
        <v>25</v>
      </c>
      <c r="K1354" s="12"/>
      <c r="L1354" s="13"/>
      <c r="M1354" s="14"/>
      <c r="N1354" s="15"/>
      <c r="O1354" s="5" t="s">
        <v>564</v>
      </c>
      <c r="P1354" s="5" t="s">
        <v>5547</v>
      </c>
      <c r="Q1354" s="5" t="s">
        <v>5548</v>
      </c>
      <c r="R1354" s="16" t="s">
        <v>28</v>
      </c>
      <c r="S1354" s="15"/>
      <c r="T1354" s="15"/>
      <c r="U1354" s="15"/>
      <c r="V1354" s="15"/>
      <c r="W1354" s="15"/>
      <c r="X1354" s="15"/>
      <c r="Y1354" s="15"/>
      <c r="Z1354" s="15"/>
      <c r="AA1354" s="15"/>
    </row>
    <row r="1355">
      <c r="A1355" s="5" t="s">
        <v>5549</v>
      </c>
      <c r="B1355" s="6" t="s">
        <v>5550</v>
      </c>
      <c r="C1355" s="40" t="s">
        <v>4643</v>
      </c>
      <c r="D1355" s="8"/>
      <c r="E1355" s="8" t="s">
        <v>1217</v>
      </c>
      <c r="F1355" s="90">
        <v>1000.0</v>
      </c>
      <c r="G1355" s="97" t="s">
        <v>4644</v>
      </c>
      <c r="H1355" s="11" t="s">
        <v>822</v>
      </c>
      <c r="I1355" s="97">
        <v>9.832953263E9</v>
      </c>
      <c r="J1355" s="11" t="s">
        <v>25</v>
      </c>
      <c r="K1355" s="12"/>
      <c r="L1355" s="13"/>
      <c r="M1355" s="11" t="s">
        <v>5551</v>
      </c>
      <c r="N1355" s="15"/>
      <c r="O1355" s="5" t="s">
        <v>564</v>
      </c>
      <c r="P1355" s="5" t="s">
        <v>5552</v>
      </c>
      <c r="Q1355" s="15"/>
      <c r="R1355" s="16" t="s">
        <v>28</v>
      </c>
      <c r="S1355" s="15"/>
      <c r="T1355" s="15"/>
      <c r="U1355" s="15"/>
      <c r="V1355" s="15"/>
      <c r="W1355" s="15"/>
      <c r="X1355" s="15"/>
      <c r="Y1355" s="15"/>
      <c r="Z1355" s="15"/>
      <c r="AA1355" s="15"/>
    </row>
    <row r="1356">
      <c r="A1356" s="5" t="s">
        <v>5549</v>
      </c>
      <c r="B1356" s="6" t="s">
        <v>5553</v>
      </c>
      <c r="C1356" s="40" t="s">
        <v>1827</v>
      </c>
      <c r="D1356" s="8"/>
      <c r="E1356" s="8" t="s">
        <v>4884</v>
      </c>
      <c r="F1356" s="90">
        <v>2000.0</v>
      </c>
      <c r="G1356" s="97" t="s">
        <v>5554</v>
      </c>
      <c r="H1356" s="11" t="s">
        <v>44</v>
      </c>
      <c r="I1356" s="97">
        <v>8.250674855E9</v>
      </c>
      <c r="J1356" s="11" t="s">
        <v>25</v>
      </c>
      <c r="K1356" s="12"/>
      <c r="L1356" s="13"/>
      <c r="M1356" s="14"/>
      <c r="N1356" s="15"/>
      <c r="O1356" s="5" t="s">
        <v>564</v>
      </c>
      <c r="P1356" s="15"/>
      <c r="Q1356" s="15"/>
      <c r="R1356" s="16" t="s">
        <v>28</v>
      </c>
      <c r="S1356" s="15"/>
      <c r="T1356" s="15"/>
      <c r="U1356" s="15"/>
      <c r="V1356" s="15"/>
      <c r="W1356" s="15"/>
      <c r="X1356" s="15"/>
      <c r="Y1356" s="15"/>
      <c r="Z1356" s="15"/>
      <c r="AA1356" s="15"/>
    </row>
    <row r="1357">
      <c r="A1357" s="5" t="s">
        <v>5549</v>
      </c>
      <c r="B1357" s="6" t="s">
        <v>5555</v>
      </c>
      <c r="C1357" s="40" t="s">
        <v>5556</v>
      </c>
      <c r="D1357" s="8"/>
      <c r="E1357" s="8" t="s">
        <v>5230</v>
      </c>
      <c r="F1357" s="90">
        <v>5000.0</v>
      </c>
      <c r="G1357" s="97" t="s">
        <v>5557</v>
      </c>
      <c r="H1357" s="11" t="s">
        <v>2682</v>
      </c>
      <c r="I1357" s="97">
        <v>7.019557897E9</v>
      </c>
      <c r="J1357" s="11" t="s">
        <v>25</v>
      </c>
      <c r="K1357" s="12"/>
      <c r="L1357" s="13"/>
      <c r="M1357" s="14"/>
      <c r="N1357" s="15"/>
      <c r="O1357" s="5" t="s">
        <v>34</v>
      </c>
      <c r="P1357" s="5" t="s">
        <v>3586</v>
      </c>
      <c r="Q1357" s="11" t="s">
        <v>5558</v>
      </c>
      <c r="R1357" s="16" t="s">
        <v>723</v>
      </c>
      <c r="S1357" s="15"/>
      <c r="T1357" s="15"/>
      <c r="U1357" s="15"/>
      <c r="V1357" s="15"/>
      <c r="W1357" s="15"/>
      <c r="X1357" s="15"/>
      <c r="Y1357" s="15"/>
      <c r="Z1357" s="15"/>
      <c r="AA1357" s="15"/>
    </row>
    <row r="1358">
      <c r="A1358" s="5" t="s">
        <v>5549</v>
      </c>
      <c r="B1358" s="6" t="s">
        <v>5559</v>
      </c>
      <c r="C1358" s="40" t="s">
        <v>5560</v>
      </c>
      <c r="D1358" s="8"/>
      <c r="E1358" s="8" t="s">
        <v>4047</v>
      </c>
      <c r="F1358" s="90">
        <v>2000.0</v>
      </c>
      <c r="G1358" s="97" t="s">
        <v>5561</v>
      </c>
      <c r="H1358" s="11" t="s">
        <v>5562</v>
      </c>
      <c r="I1358" s="97">
        <v>8.077470209E9</v>
      </c>
      <c r="J1358" s="11" t="s">
        <v>25</v>
      </c>
      <c r="K1358" s="12" t="s">
        <v>1706</v>
      </c>
      <c r="L1358" s="13"/>
      <c r="M1358" s="14"/>
      <c r="N1358" s="15"/>
      <c r="O1358" s="5" t="s">
        <v>564</v>
      </c>
      <c r="P1358" s="5" t="s">
        <v>5563</v>
      </c>
      <c r="Q1358" s="15"/>
      <c r="R1358" s="16" t="s">
        <v>28</v>
      </c>
      <c r="S1358" s="15"/>
      <c r="T1358" s="15"/>
      <c r="U1358" s="15"/>
      <c r="V1358" s="15"/>
      <c r="W1358" s="15"/>
      <c r="X1358" s="15"/>
      <c r="Y1358" s="15"/>
      <c r="Z1358" s="15"/>
      <c r="AA1358" s="15"/>
    </row>
    <row r="1359">
      <c r="A1359" s="5" t="s">
        <v>5549</v>
      </c>
      <c r="B1359" s="6" t="s">
        <v>5564</v>
      </c>
      <c r="C1359" s="40" t="s">
        <v>5565</v>
      </c>
      <c r="D1359" s="8"/>
      <c r="E1359" s="8" t="s">
        <v>4096</v>
      </c>
      <c r="F1359" s="90">
        <v>1000.0</v>
      </c>
      <c r="G1359" s="97" t="s">
        <v>5566</v>
      </c>
      <c r="H1359" s="11" t="s">
        <v>78</v>
      </c>
      <c r="I1359" s="97">
        <v>9.142589619E9</v>
      </c>
      <c r="J1359" s="11" t="s">
        <v>25</v>
      </c>
      <c r="K1359" s="12" t="s">
        <v>3267</v>
      </c>
      <c r="L1359" s="13"/>
      <c r="M1359" s="14"/>
      <c r="N1359" s="15"/>
      <c r="O1359" s="5" t="s">
        <v>564</v>
      </c>
      <c r="P1359" s="5" t="s">
        <v>453</v>
      </c>
      <c r="Q1359" s="15"/>
      <c r="R1359" s="16" t="s">
        <v>28</v>
      </c>
      <c r="S1359" s="15"/>
      <c r="T1359" s="15"/>
      <c r="U1359" s="15"/>
      <c r="V1359" s="15"/>
      <c r="W1359" s="15"/>
      <c r="X1359" s="15"/>
      <c r="Y1359" s="15"/>
      <c r="Z1359" s="15"/>
      <c r="AA1359" s="15"/>
    </row>
    <row r="1360">
      <c r="A1360" s="5" t="s">
        <v>5549</v>
      </c>
      <c r="B1360" s="6" t="s">
        <v>5567</v>
      </c>
      <c r="C1360" s="40" t="s">
        <v>5568</v>
      </c>
      <c r="D1360" s="8"/>
      <c r="E1360" s="8" t="s">
        <v>189</v>
      </c>
      <c r="F1360" s="90">
        <v>10000.0</v>
      </c>
      <c r="G1360" s="97" t="s">
        <v>5569</v>
      </c>
      <c r="H1360" s="11" t="s">
        <v>449</v>
      </c>
      <c r="I1360" s="97">
        <v>9.86724607E9</v>
      </c>
      <c r="J1360" s="11" t="s">
        <v>25</v>
      </c>
      <c r="K1360" s="12"/>
      <c r="L1360" s="13"/>
      <c r="M1360" s="14"/>
      <c r="N1360" s="15"/>
      <c r="O1360" s="5" t="s">
        <v>26</v>
      </c>
      <c r="P1360" s="5" t="s">
        <v>5570</v>
      </c>
      <c r="Q1360" s="15"/>
      <c r="R1360" s="16" t="s">
        <v>28</v>
      </c>
      <c r="S1360" s="15"/>
      <c r="T1360" s="15"/>
      <c r="U1360" s="15"/>
      <c r="V1360" s="15"/>
      <c r="W1360" s="15"/>
      <c r="X1360" s="15"/>
      <c r="Y1360" s="15"/>
      <c r="Z1360" s="15"/>
      <c r="AA1360" s="15"/>
    </row>
    <row r="1361">
      <c r="A1361" s="5" t="s">
        <v>5549</v>
      </c>
      <c r="B1361" s="6" t="s">
        <v>5571</v>
      </c>
      <c r="C1361" s="40" t="s">
        <v>4369</v>
      </c>
      <c r="D1361" s="8"/>
      <c r="E1361" s="8" t="s">
        <v>189</v>
      </c>
      <c r="F1361" s="90">
        <v>5000.0</v>
      </c>
      <c r="G1361" s="97"/>
      <c r="H1361" s="11" t="s">
        <v>5572</v>
      </c>
      <c r="I1361" s="97">
        <v>9.641675594E9</v>
      </c>
      <c r="J1361" s="11" t="s">
        <v>25</v>
      </c>
      <c r="K1361" s="12"/>
      <c r="L1361" s="13"/>
      <c r="M1361" s="14"/>
      <c r="N1361" s="15"/>
      <c r="O1361" s="5" t="s">
        <v>34</v>
      </c>
      <c r="P1361" s="5" t="s">
        <v>4583</v>
      </c>
      <c r="Q1361" s="15"/>
      <c r="R1361" s="16" t="s">
        <v>28</v>
      </c>
      <c r="S1361" s="15"/>
      <c r="T1361" s="15"/>
      <c r="U1361" s="15"/>
      <c r="V1361" s="15"/>
      <c r="W1361" s="15"/>
      <c r="X1361" s="15"/>
      <c r="Y1361" s="15"/>
      <c r="Z1361" s="15"/>
      <c r="AA1361" s="15"/>
    </row>
    <row r="1362">
      <c r="A1362" s="5" t="s">
        <v>5549</v>
      </c>
      <c r="B1362" s="6" t="s">
        <v>5573</v>
      </c>
      <c r="C1362" s="40" t="s">
        <v>5574</v>
      </c>
      <c r="D1362" s="8"/>
      <c r="E1362" s="8" t="s">
        <v>22</v>
      </c>
      <c r="F1362" s="90">
        <v>4000.0</v>
      </c>
      <c r="G1362" s="97" t="s">
        <v>5575</v>
      </c>
      <c r="H1362" s="11" t="s">
        <v>131</v>
      </c>
      <c r="I1362" s="97">
        <v>9.435469321E9</v>
      </c>
      <c r="J1362" s="11" t="s">
        <v>25</v>
      </c>
      <c r="K1362" s="12"/>
      <c r="L1362" s="13"/>
      <c r="M1362" s="14"/>
      <c r="N1362" s="15"/>
      <c r="O1362" s="5" t="s">
        <v>34</v>
      </c>
      <c r="P1362" s="5" t="s">
        <v>1668</v>
      </c>
      <c r="Q1362" s="15"/>
      <c r="R1362" s="16" t="s">
        <v>723</v>
      </c>
      <c r="S1362" s="15"/>
      <c r="T1362" s="15"/>
      <c r="U1362" s="15"/>
      <c r="V1362" s="15"/>
      <c r="W1362" s="15"/>
      <c r="X1362" s="15"/>
      <c r="Y1362" s="15"/>
      <c r="Z1362" s="15"/>
      <c r="AA1362" s="15"/>
    </row>
    <row r="1363">
      <c r="A1363" s="5" t="s">
        <v>5549</v>
      </c>
      <c r="B1363" s="6" t="s">
        <v>5576</v>
      </c>
      <c r="C1363" s="40" t="s">
        <v>5577</v>
      </c>
      <c r="D1363" s="8"/>
      <c r="E1363" s="8" t="s">
        <v>4507</v>
      </c>
      <c r="F1363" s="90">
        <v>3000.0</v>
      </c>
      <c r="G1363" s="97" t="s">
        <v>5578</v>
      </c>
      <c r="H1363" s="11" t="s">
        <v>5579</v>
      </c>
      <c r="I1363" s="97">
        <v>9.593957412E9</v>
      </c>
      <c r="J1363" s="11" t="s">
        <v>25</v>
      </c>
      <c r="K1363" s="12"/>
      <c r="L1363" s="13"/>
      <c r="M1363" s="14"/>
      <c r="N1363" s="15"/>
      <c r="O1363" s="5" t="s">
        <v>26</v>
      </c>
      <c r="P1363" s="5" t="s">
        <v>5580</v>
      </c>
      <c r="Q1363" s="15"/>
      <c r="R1363" s="16" t="s">
        <v>28</v>
      </c>
      <c r="S1363" s="15"/>
      <c r="T1363" s="15"/>
      <c r="U1363" s="15"/>
      <c r="V1363" s="15"/>
      <c r="W1363" s="15"/>
      <c r="X1363" s="15"/>
      <c r="Y1363" s="15"/>
      <c r="Z1363" s="15"/>
      <c r="AA1363" s="15"/>
    </row>
    <row r="1364">
      <c r="A1364" s="5" t="s">
        <v>5581</v>
      </c>
      <c r="B1364" s="6" t="s">
        <v>5582</v>
      </c>
      <c r="C1364" s="40" t="s">
        <v>5583</v>
      </c>
      <c r="D1364" s="8"/>
      <c r="E1364" s="8" t="s">
        <v>5584</v>
      </c>
      <c r="F1364" s="90" t="s">
        <v>5585</v>
      </c>
      <c r="G1364" s="97" t="s">
        <v>4723</v>
      </c>
      <c r="H1364" s="11" t="s">
        <v>44</v>
      </c>
      <c r="I1364" s="97">
        <v>9.830875927E9</v>
      </c>
      <c r="J1364" s="11" t="s">
        <v>25</v>
      </c>
      <c r="K1364" s="12"/>
      <c r="L1364" s="13"/>
      <c r="M1364" s="14"/>
      <c r="N1364" s="15"/>
      <c r="O1364" s="5" t="s">
        <v>26</v>
      </c>
      <c r="P1364" s="15"/>
      <c r="Q1364" s="15"/>
      <c r="R1364" s="16" t="s">
        <v>28</v>
      </c>
      <c r="S1364" s="15"/>
      <c r="T1364" s="15"/>
      <c r="U1364" s="15"/>
      <c r="V1364" s="15"/>
      <c r="W1364" s="15"/>
      <c r="X1364" s="15"/>
      <c r="Y1364" s="15"/>
      <c r="Z1364" s="15"/>
      <c r="AA1364" s="15"/>
    </row>
    <row r="1365">
      <c r="A1365" s="5" t="s">
        <v>5581</v>
      </c>
      <c r="B1365" s="6" t="s">
        <v>5586</v>
      </c>
      <c r="C1365" s="40" t="s">
        <v>5587</v>
      </c>
      <c r="D1365" s="8"/>
      <c r="E1365" s="8" t="s">
        <v>92</v>
      </c>
      <c r="F1365" s="90">
        <v>1000.0</v>
      </c>
      <c r="G1365" s="97" t="s">
        <v>5588</v>
      </c>
      <c r="H1365" s="11" t="s">
        <v>44</v>
      </c>
      <c r="I1365" s="97">
        <v>7.008255723E9</v>
      </c>
      <c r="J1365" s="11" t="s">
        <v>4008</v>
      </c>
      <c r="K1365" s="12"/>
      <c r="L1365" s="13"/>
      <c r="M1365" s="14"/>
      <c r="N1365" s="15"/>
      <c r="O1365" s="5" t="s">
        <v>34</v>
      </c>
      <c r="P1365" s="11" t="s">
        <v>5589</v>
      </c>
      <c r="Q1365" s="15"/>
      <c r="R1365" s="16" t="s">
        <v>723</v>
      </c>
      <c r="S1365" s="15"/>
      <c r="T1365" s="15"/>
      <c r="U1365" s="15"/>
      <c r="V1365" s="15"/>
      <c r="W1365" s="15"/>
      <c r="X1365" s="15"/>
      <c r="Y1365" s="15"/>
      <c r="Z1365" s="15"/>
      <c r="AA1365" s="15"/>
    </row>
    <row r="1366">
      <c r="A1366" s="5" t="s">
        <v>5581</v>
      </c>
      <c r="B1366" s="6" t="s">
        <v>5590</v>
      </c>
      <c r="C1366" s="40" t="s">
        <v>5591</v>
      </c>
      <c r="D1366" s="8"/>
      <c r="E1366" s="8" t="s">
        <v>189</v>
      </c>
      <c r="F1366" s="90">
        <v>20000.0</v>
      </c>
      <c r="G1366" s="97" t="s">
        <v>5592</v>
      </c>
      <c r="H1366" s="11" t="s">
        <v>5593</v>
      </c>
      <c r="I1366" s="97">
        <v>7.077133917E9</v>
      </c>
      <c r="J1366" s="11" t="s">
        <v>4008</v>
      </c>
      <c r="K1366" s="12"/>
      <c r="L1366" s="13"/>
      <c r="M1366" s="14"/>
      <c r="N1366" s="15"/>
      <c r="O1366" s="5" t="s">
        <v>26</v>
      </c>
      <c r="P1366" s="5" t="s">
        <v>5594</v>
      </c>
      <c r="Q1366" s="15"/>
      <c r="R1366" s="16" t="s">
        <v>28</v>
      </c>
      <c r="S1366" s="15"/>
      <c r="T1366" s="15"/>
      <c r="U1366" s="15"/>
      <c r="V1366" s="15"/>
      <c r="W1366" s="15"/>
      <c r="X1366" s="15"/>
      <c r="Y1366" s="15"/>
      <c r="Z1366" s="15"/>
      <c r="AA1366" s="15"/>
    </row>
    <row r="1367">
      <c r="A1367" s="5" t="s">
        <v>5595</v>
      </c>
      <c r="B1367" s="6" t="s">
        <v>5596</v>
      </c>
      <c r="C1367" s="40" t="s">
        <v>5597</v>
      </c>
      <c r="D1367" s="8"/>
      <c r="E1367" s="8" t="s">
        <v>5598</v>
      </c>
      <c r="F1367" s="90">
        <v>500.0</v>
      </c>
      <c r="G1367" s="133" t="s">
        <v>5599</v>
      </c>
      <c r="H1367" s="11" t="s">
        <v>472</v>
      </c>
      <c r="I1367" s="97">
        <v>9.832282788E9</v>
      </c>
      <c r="J1367" s="11" t="s">
        <v>25</v>
      </c>
      <c r="K1367" s="12"/>
      <c r="L1367" s="13"/>
      <c r="M1367" s="14"/>
      <c r="N1367" s="15"/>
      <c r="O1367" s="5" t="s">
        <v>26</v>
      </c>
      <c r="P1367" s="15"/>
      <c r="Q1367" s="15"/>
      <c r="R1367" s="16" t="s">
        <v>28</v>
      </c>
      <c r="S1367" s="15"/>
      <c r="T1367" s="15"/>
      <c r="U1367" s="15"/>
      <c r="V1367" s="15"/>
      <c r="W1367" s="15"/>
      <c r="X1367" s="15"/>
      <c r="Y1367" s="15"/>
      <c r="Z1367" s="15"/>
      <c r="AA1367" s="15"/>
    </row>
    <row r="1368">
      <c r="A1368" s="5" t="s">
        <v>5595</v>
      </c>
      <c r="B1368" s="6" t="s">
        <v>5600</v>
      </c>
      <c r="C1368" s="40" t="s">
        <v>5601</v>
      </c>
      <c r="D1368" s="8"/>
      <c r="E1368" s="8" t="s">
        <v>5602</v>
      </c>
      <c r="F1368" s="9">
        <v>25000.0</v>
      </c>
      <c r="G1368" s="133" t="s">
        <v>5603</v>
      </c>
      <c r="H1368" s="36" t="s">
        <v>49</v>
      </c>
      <c r="I1368" s="97">
        <v>7.501879591E9</v>
      </c>
      <c r="J1368" s="11" t="s">
        <v>25</v>
      </c>
      <c r="K1368" s="12"/>
      <c r="L1368" s="13"/>
      <c r="M1368" s="14"/>
      <c r="N1368" s="15"/>
      <c r="O1368" s="5" t="s">
        <v>26</v>
      </c>
      <c r="P1368" s="5" t="s">
        <v>1899</v>
      </c>
      <c r="Q1368" s="15"/>
      <c r="R1368" s="16" t="s">
        <v>28</v>
      </c>
      <c r="S1368" s="15"/>
      <c r="T1368" s="15"/>
      <c r="U1368" s="15"/>
      <c r="V1368" s="15"/>
      <c r="W1368" s="15"/>
      <c r="X1368" s="15"/>
      <c r="Y1368" s="15"/>
      <c r="Z1368" s="15"/>
      <c r="AA1368" s="15"/>
    </row>
    <row r="1369">
      <c r="A1369" s="5" t="s">
        <v>5595</v>
      </c>
      <c r="B1369" s="6" t="s">
        <v>5604</v>
      </c>
      <c r="C1369" s="40" t="s">
        <v>5605</v>
      </c>
      <c r="D1369" s="8"/>
      <c r="E1369" s="8" t="s">
        <v>178</v>
      </c>
      <c r="F1369" s="90">
        <v>6000.0</v>
      </c>
      <c r="G1369" s="134"/>
      <c r="H1369" s="11" t="s">
        <v>44</v>
      </c>
      <c r="I1369" s="97">
        <v>9.831231333E9</v>
      </c>
      <c r="J1369" s="11" t="s">
        <v>25</v>
      </c>
      <c r="K1369" s="12"/>
      <c r="L1369" s="13"/>
      <c r="M1369" s="11" t="s">
        <v>3547</v>
      </c>
      <c r="N1369" s="15"/>
      <c r="O1369" s="5" t="s">
        <v>34</v>
      </c>
      <c r="P1369" s="5" t="s">
        <v>5480</v>
      </c>
      <c r="Q1369" s="15"/>
      <c r="R1369" s="16" t="s">
        <v>74</v>
      </c>
      <c r="S1369" s="15"/>
      <c r="T1369" s="15"/>
      <c r="U1369" s="15"/>
      <c r="V1369" s="15"/>
      <c r="W1369" s="15"/>
      <c r="X1369" s="15"/>
      <c r="Y1369" s="15"/>
      <c r="Z1369" s="15"/>
      <c r="AA1369" s="15"/>
    </row>
    <row r="1370">
      <c r="A1370" s="5" t="s">
        <v>5595</v>
      </c>
      <c r="B1370" s="6" t="s">
        <v>5606</v>
      </c>
      <c r="C1370" s="40" t="s">
        <v>5607</v>
      </c>
      <c r="D1370" s="8"/>
      <c r="E1370" s="8" t="s">
        <v>5608</v>
      </c>
      <c r="F1370" s="90">
        <v>1000.0</v>
      </c>
      <c r="G1370" s="133" t="s">
        <v>5609</v>
      </c>
      <c r="H1370" s="11" t="s">
        <v>44</v>
      </c>
      <c r="I1370" s="97">
        <v>9.831030623E9</v>
      </c>
      <c r="J1370" s="11" t="s">
        <v>25</v>
      </c>
      <c r="K1370" s="12"/>
      <c r="L1370" s="13"/>
      <c r="M1370" s="14"/>
      <c r="N1370" s="15"/>
      <c r="O1370" s="5" t="s">
        <v>26</v>
      </c>
      <c r="P1370" s="5" t="s">
        <v>5610</v>
      </c>
      <c r="Q1370" s="15"/>
      <c r="R1370" s="16" t="s">
        <v>28</v>
      </c>
      <c r="S1370" s="15"/>
      <c r="T1370" s="15"/>
      <c r="U1370" s="15"/>
      <c r="V1370" s="15"/>
      <c r="W1370" s="15"/>
      <c r="X1370" s="15"/>
      <c r="Y1370" s="15"/>
      <c r="Z1370" s="15"/>
      <c r="AA1370" s="15"/>
    </row>
    <row r="1371">
      <c r="A1371" s="5" t="s">
        <v>5595</v>
      </c>
      <c r="B1371" s="6" t="s">
        <v>5611</v>
      </c>
      <c r="C1371" s="40" t="s">
        <v>5612</v>
      </c>
      <c r="D1371" s="8"/>
      <c r="E1371" s="8" t="s">
        <v>5613</v>
      </c>
      <c r="F1371" s="90">
        <v>2000.0</v>
      </c>
      <c r="G1371" s="133" t="s">
        <v>5614</v>
      </c>
      <c r="H1371" s="11" t="s">
        <v>44</v>
      </c>
      <c r="I1371" s="97">
        <v>9.16303057E9</v>
      </c>
      <c r="J1371" s="11" t="s">
        <v>25</v>
      </c>
      <c r="K1371" s="12" t="s">
        <v>5615</v>
      </c>
      <c r="L1371" s="13"/>
      <c r="M1371" s="14"/>
      <c r="N1371" s="15"/>
      <c r="O1371" s="5" t="s">
        <v>26</v>
      </c>
      <c r="P1371" s="5" t="s">
        <v>5616</v>
      </c>
      <c r="Q1371" s="15"/>
      <c r="R1371" s="16" t="s">
        <v>28</v>
      </c>
      <c r="S1371" s="15"/>
      <c r="T1371" s="15"/>
      <c r="U1371" s="15"/>
      <c r="V1371" s="15"/>
      <c r="W1371" s="15"/>
      <c r="X1371" s="15"/>
      <c r="Y1371" s="15"/>
      <c r="Z1371" s="15"/>
      <c r="AA1371" s="15"/>
    </row>
    <row r="1372">
      <c r="A1372" s="5" t="s">
        <v>5595</v>
      </c>
      <c r="B1372" s="6" t="s">
        <v>5617</v>
      </c>
      <c r="C1372" s="40" t="s">
        <v>5618</v>
      </c>
      <c r="D1372" s="8"/>
      <c r="E1372" s="8" t="s">
        <v>5619</v>
      </c>
      <c r="F1372" s="90">
        <v>1000.0</v>
      </c>
      <c r="G1372" s="135" t="s">
        <v>5620</v>
      </c>
      <c r="H1372" s="136" t="s">
        <v>5621</v>
      </c>
      <c r="I1372" s="97">
        <v>7.567433303E9</v>
      </c>
      <c r="J1372" s="11" t="s">
        <v>25</v>
      </c>
      <c r="K1372" s="12"/>
      <c r="L1372" s="13"/>
      <c r="M1372" s="14"/>
      <c r="N1372" s="15"/>
      <c r="O1372" s="5" t="s">
        <v>108</v>
      </c>
      <c r="P1372" s="15"/>
      <c r="Q1372" s="15"/>
      <c r="R1372" s="16" t="s">
        <v>28</v>
      </c>
      <c r="S1372" s="15"/>
      <c r="T1372" s="15"/>
      <c r="U1372" s="15"/>
      <c r="V1372" s="15"/>
      <c r="W1372" s="15"/>
      <c r="X1372" s="15"/>
      <c r="Y1372" s="15"/>
      <c r="Z1372" s="15"/>
      <c r="AA1372" s="15"/>
    </row>
    <row r="1373">
      <c r="A1373" s="5" t="s">
        <v>5622</v>
      </c>
      <c r="B1373" s="6" t="s">
        <v>5623</v>
      </c>
      <c r="C1373" s="40" t="s">
        <v>5624</v>
      </c>
      <c r="D1373" s="8"/>
      <c r="E1373" s="8" t="s">
        <v>5625</v>
      </c>
      <c r="F1373" s="90">
        <v>2000.0</v>
      </c>
      <c r="G1373" s="134" t="s">
        <v>5626</v>
      </c>
      <c r="H1373" s="11" t="s">
        <v>5627</v>
      </c>
      <c r="I1373" s="97">
        <v>8.918087961E9</v>
      </c>
      <c r="J1373" s="11" t="s">
        <v>25</v>
      </c>
      <c r="K1373" s="12"/>
      <c r="L1373" s="13"/>
      <c r="M1373" s="14"/>
      <c r="N1373" s="15"/>
      <c r="O1373" s="5" t="s">
        <v>34</v>
      </c>
      <c r="P1373" s="5" t="s">
        <v>2952</v>
      </c>
      <c r="Q1373" s="5" t="s">
        <v>5480</v>
      </c>
      <c r="R1373" s="16" t="s">
        <v>74</v>
      </c>
      <c r="S1373" s="15"/>
      <c r="T1373" s="15"/>
      <c r="U1373" s="15"/>
      <c r="V1373" s="15"/>
      <c r="W1373" s="15"/>
      <c r="X1373" s="15"/>
      <c r="Y1373" s="15"/>
      <c r="Z1373" s="15"/>
      <c r="AA1373" s="15"/>
    </row>
    <row r="1374">
      <c r="A1374" s="5" t="s">
        <v>5622</v>
      </c>
      <c r="B1374" s="6" t="s">
        <v>5628</v>
      </c>
      <c r="C1374" s="40" t="s">
        <v>5629</v>
      </c>
      <c r="D1374" s="36"/>
      <c r="E1374" s="36" t="s">
        <v>5630</v>
      </c>
      <c r="F1374" s="90">
        <v>12000.0</v>
      </c>
      <c r="G1374" s="133" t="s">
        <v>5631</v>
      </c>
      <c r="H1374" s="11" t="s">
        <v>5632</v>
      </c>
      <c r="I1374" s="97">
        <v>7.029310155E9</v>
      </c>
      <c r="J1374" s="11" t="s">
        <v>25</v>
      </c>
      <c r="K1374" s="12"/>
      <c r="L1374" s="13"/>
      <c r="M1374" s="14"/>
      <c r="N1374" s="15"/>
      <c r="O1374" s="5" t="s">
        <v>26</v>
      </c>
      <c r="P1374" s="5" t="s">
        <v>5633</v>
      </c>
      <c r="Q1374" s="15"/>
      <c r="R1374" s="16" t="s">
        <v>28</v>
      </c>
      <c r="S1374" s="15"/>
      <c r="T1374" s="15"/>
      <c r="U1374" s="15"/>
      <c r="V1374" s="15"/>
      <c r="W1374" s="15"/>
      <c r="X1374" s="15"/>
      <c r="Y1374" s="15"/>
      <c r="Z1374" s="15"/>
      <c r="AA1374" s="15"/>
    </row>
    <row r="1375">
      <c r="A1375" s="5" t="s">
        <v>5622</v>
      </c>
      <c r="B1375" s="6" t="s">
        <v>5634</v>
      </c>
      <c r="C1375" s="40" t="s">
        <v>5635</v>
      </c>
      <c r="D1375" s="8"/>
      <c r="E1375" s="8" t="s">
        <v>3555</v>
      </c>
      <c r="F1375" s="90">
        <v>5000.0</v>
      </c>
      <c r="G1375" s="137" t="s">
        <v>5636</v>
      </c>
      <c r="H1375" s="136" t="s">
        <v>5637</v>
      </c>
      <c r="I1375" s="41" t="s">
        <v>5638</v>
      </c>
      <c r="J1375" s="11" t="s">
        <v>25</v>
      </c>
      <c r="K1375" s="12"/>
      <c r="L1375" s="13"/>
      <c r="M1375" s="14"/>
      <c r="N1375" s="15"/>
      <c r="O1375" s="5" t="s">
        <v>108</v>
      </c>
      <c r="P1375" s="15"/>
      <c r="Q1375" s="15"/>
      <c r="R1375" s="16" t="s">
        <v>28</v>
      </c>
      <c r="S1375" s="15"/>
      <c r="T1375" s="15"/>
      <c r="U1375" s="15"/>
      <c r="V1375" s="15"/>
      <c r="W1375" s="15"/>
      <c r="X1375" s="15"/>
      <c r="Y1375" s="15"/>
      <c r="Z1375" s="15"/>
      <c r="AA1375" s="15"/>
    </row>
    <row r="1376">
      <c r="A1376" s="5" t="s">
        <v>5639</v>
      </c>
      <c r="B1376" s="6" t="s">
        <v>5640</v>
      </c>
      <c r="C1376" s="40" t="s">
        <v>5641</v>
      </c>
      <c r="D1376" s="8"/>
      <c r="E1376" s="8" t="s">
        <v>5642</v>
      </c>
      <c r="F1376" s="90">
        <v>500.0</v>
      </c>
      <c r="G1376" s="133" t="s">
        <v>5643</v>
      </c>
      <c r="H1376" s="11" t="s">
        <v>44</v>
      </c>
      <c r="I1376" s="97">
        <v>9.903055958E9</v>
      </c>
      <c r="J1376" s="11" t="s">
        <v>25</v>
      </c>
      <c r="K1376" s="12" t="s">
        <v>5644</v>
      </c>
      <c r="L1376" s="13"/>
      <c r="M1376" s="14"/>
      <c r="N1376" s="15"/>
      <c r="O1376" s="5" t="s">
        <v>26</v>
      </c>
      <c r="P1376" s="5" t="s">
        <v>1736</v>
      </c>
      <c r="Q1376" s="15"/>
      <c r="R1376" s="16" t="s">
        <v>28</v>
      </c>
      <c r="S1376" s="15"/>
      <c r="T1376" s="15"/>
      <c r="U1376" s="15"/>
      <c r="V1376" s="15"/>
      <c r="W1376" s="15"/>
      <c r="X1376" s="15"/>
      <c r="Y1376" s="15"/>
      <c r="Z1376" s="15"/>
      <c r="AA1376" s="15"/>
    </row>
    <row r="1377">
      <c r="A1377" s="5" t="s">
        <v>5639</v>
      </c>
      <c r="B1377" s="6" t="s">
        <v>5645</v>
      </c>
      <c r="C1377" s="40" t="s">
        <v>5646</v>
      </c>
      <c r="D1377" s="8"/>
      <c r="E1377" s="8" t="s">
        <v>5647</v>
      </c>
      <c r="F1377" s="90">
        <v>1000.0</v>
      </c>
      <c r="G1377" s="133" t="s">
        <v>5648</v>
      </c>
      <c r="H1377" s="36" t="s">
        <v>1090</v>
      </c>
      <c r="I1377" s="97">
        <v>9.336728837E9</v>
      </c>
      <c r="J1377" s="11" t="s">
        <v>25</v>
      </c>
      <c r="K1377" s="12"/>
      <c r="L1377" s="13"/>
      <c r="M1377" s="14"/>
      <c r="N1377" s="15"/>
      <c r="O1377" s="5" t="s">
        <v>108</v>
      </c>
      <c r="P1377" s="15"/>
      <c r="Q1377" s="15"/>
      <c r="R1377" s="16" t="s">
        <v>28</v>
      </c>
      <c r="S1377" s="15"/>
      <c r="T1377" s="15"/>
      <c r="U1377" s="15"/>
      <c r="V1377" s="15"/>
      <c r="W1377" s="15"/>
      <c r="X1377" s="15"/>
      <c r="Y1377" s="15"/>
      <c r="Z1377" s="15"/>
      <c r="AA1377" s="15"/>
    </row>
    <row r="1378">
      <c r="A1378" s="5" t="s">
        <v>5639</v>
      </c>
      <c r="B1378" s="6" t="s">
        <v>5649</v>
      </c>
      <c r="C1378" s="40" t="s">
        <v>5650</v>
      </c>
      <c r="D1378" s="8"/>
      <c r="E1378" s="8" t="s">
        <v>5172</v>
      </c>
      <c r="F1378" s="90">
        <v>500.0</v>
      </c>
      <c r="G1378" s="133" t="s">
        <v>5651</v>
      </c>
      <c r="H1378" s="11" t="s">
        <v>5652</v>
      </c>
      <c r="I1378" s="97">
        <v>7.551031754E9</v>
      </c>
      <c r="J1378" s="11" t="s">
        <v>25</v>
      </c>
      <c r="K1378" s="12"/>
      <c r="L1378" s="13"/>
      <c r="M1378" s="14"/>
      <c r="N1378" s="15"/>
      <c r="O1378" s="5" t="s">
        <v>26</v>
      </c>
      <c r="P1378" s="5" t="s">
        <v>544</v>
      </c>
      <c r="Q1378" s="15"/>
      <c r="R1378" s="16" t="s">
        <v>28</v>
      </c>
      <c r="S1378" s="15"/>
      <c r="T1378" s="15"/>
      <c r="U1378" s="15"/>
      <c r="V1378" s="15"/>
      <c r="W1378" s="15"/>
      <c r="X1378" s="15"/>
      <c r="Y1378" s="15"/>
      <c r="Z1378" s="15"/>
      <c r="AA1378" s="15"/>
    </row>
    <row r="1379">
      <c r="A1379" s="5" t="s">
        <v>5639</v>
      </c>
      <c r="B1379" s="6" t="s">
        <v>5653</v>
      </c>
      <c r="C1379" s="40" t="s">
        <v>5654</v>
      </c>
      <c r="D1379" s="105"/>
      <c r="E1379" s="105" t="s">
        <v>5655</v>
      </c>
      <c r="F1379" s="90">
        <v>1500.0</v>
      </c>
      <c r="G1379" s="133" t="s">
        <v>5656</v>
      </c>
      <c r="H1379" s="36" t="s">
        <v>5657</v>
      </c>
      <c r="I1379" s="97">
        <v>8.412866025E9</v>
      </c>
      <c r="J1379" s="11" t="s">
        <v>25</v>
      </c>
      <c r="K1379" s="12"/>
      <c r="L1379" s="13"/>
      <c r="M1379" s="14"/>
      <c r="N1379" s="15"/>
      <c r="O1379" s="5" t="s">
        <v>108</v>
      </c>
      <c r="P1379" s="15"/>
      <c r="Q1379" s="15"/>
      <c r="R1379" s="16" t="s">
        <v>28</v>
      </c>
      <c r="S1379" s="15"/>
      <c r="T1379" s="15"/>
      <c r="U1379" s="15"/>
      <c r="V1379" s="15"/>
      <c r="W1379" s="15"/>
      <c r="X1379" s="15"/>
      <c r="Y1379" s="15"/>
      <c r="Z1379" s="15"/>
      <c r="AA1379" s="15"/>
    </row>
    <row r="1380">
      <c r="A1380" s="5" t="s">
        <v>5639</v>
      </c>
      <c r="B1380" s="6" t="s">
        <v>5658</v>
      </c>
      <c r="C1380" s="40" t="s">
        <v>5659</v>
      </c>
      <c r="D1380" s="8"/>
      <c r="E1380" s="8" t="s">
        <v>87</v>
      </c>
      <c r="F1380" s="90">
        <v>3000.0</v>
      </c>
      <c r="G1380" s="138" t="s">
        <v>5660</v>
      </c>
      <c r="H1380" s="136" t="s">
        <v>5661</v>
      </c>
      <c r="I1380" s="97">
        <v>9.662163069E9</v>
      </c>
      <c r="J1380" s="11" t="s">
        <v>3718</v>
      </c>
      <c r="K1380" s="12"/>
      <c r="L1380" s="13"/>
      <c r="M1380" s="14"/>
      <c r="N1380" s="15"/>
      <c r="O1380" s="5" t="s">
        <v>108</v>
      </c>
      <c r="P1380" s="15"/>
      <c r="Q1380" s="15"/>
      <c r="R1380" s="16" t="s">
        <v>28</v>
      </c>
      <c r="S1380" s="15"/>
      <c r="T1380" s="15"/>
      <c r="U1380" s="15"/>
      <c r="V1380" s="15"/>
      <c r="W1380" s="15"/>
      <c r="X1380" s="15"/>
      <c r="Y1380" s="15"/>
      <c r="Z1380" s="15"/>
      <c r="AA1380" s="15"/>
    </row>
    <row r="1381">
      <c r="A1381" s="5" t="s">
        <v>5662</v>
      </c>
      <c r="B1381" s="6" t="s">
        <v>5663</v>
      </c>
      <c r="C1381" s="40" t="s">
        <v>5664</v>
      </c>
      <c r="D1381" s="8"/>
      <c r="E1381" s="8" t="s">
        <v>5665</v>
      </c>
      <c r="F1381" s="9">
        <v>25000.0</v>
      </c>
      <c r="G1381" s="135" t="s">
        <v>5666</v>
      </c>
      <c r="H1381" s="136" t="s">
        <v>5667</v>
      </c>
      <c r="I1381" s="97">
        <v>9.898244231E9</v>
      </c>
      <c r="J1381" s="11" t="s">
        <v>25</v>
      </c>
      <c r="K1381" s="12"/>
      <c r="L1381" s="13"/>
      <c r="M1381" s="14"/>
      <c r="N1381" s="15"/>
      <c r="O1381" s="5" t="s">
        <v>108</v>
      </c>
      <c r="P1381" s="5" t="s">
        <v>5668</v>
      </c>
      <c r="Q1381" s="15"/>
      <c r="R1381" s="16" t="s">
        <v>28</v>
      </c>
      <c r="S1381" s="15"/>
      <c r="T1381" s="15"/>
      <c r="U1381" s="15"/>
      <c r="V1381" s="15"/>
      <c r="W1381" s="15"/>
      <c r="X1381" s="15"/>
      <c r="Y1381" s="15"/>
      <c r="Z1381" s="15"/>
      <c r="AA1381" s="15"/>
    </row>
    <row r="1382">
      <c r="A1382" s="5" t="s">
        <v>5669</v>
      </c>
      <c r="B1382" s="6" t="s">
        <v>5670</v>
      </c>
      <c r="C1382" s="40" t="s">
        <v>3804</v>
      </c>
      <c r="D1382" s="8"/>
      <c r="E1382" s="8" t="s">
        <v>1023</v>
      </c>
      <c r="F1382" s="9">
        <v>50000.0</v>
      </c>
      <c r="G1382" s="135" t="s">
        <v>3805</v>
      </c>
      <c r="H1382" s="11" t="s">
        <v>5671</v>
      </c>
      <c r="I1382" s="41" t="s">
        <v>5672</v>
      </c>
      <c r="J1382" s="11" t="s">
        <v>25</v>
      </c>
      <c r="K1382" s="12"/>
      <c r="L1382" s="13"/>
      <c r="M1382" s="14"/>
      <c r="N1382" s="15"/>
      <c r="O1382" s="5" t="s">
        <v>108</v>
      </c>
      <c r="P1382" s="5" t="s">
        <v>5673</v>
      </c>
      <c r="Q1382" s="15"/>
      <c r="R1382" s="16" t="s">
        <v>28</v>
      </c>
      <c r="S1382" s="15"/>
      <c r="T1382" s="15"/>
      <c r="U1382" s="15"/>
      <c r="V1382" s="15"/>
      <c r="W1382" s="15"/>
      <c r="X1382" s="15"/>
      <c r="Y1382" s="15"/>
      <c r="Z1382" s="15"/>
      <c r="AA1382" s="15"/>
    </row>
    <row r="1383">
      <c r="A1383" s="5" t="s">
        <v>5669</v>
      </c>
      <c r="B1383" s="6" t="s">
        <v>5674</v>
      </c>
      <c r="C1383" s="40" t="s">
        <v>5675</v>
      </c>
      <c r="D1383" s="8"/>
      <c r="E1383" s="8" t="s">
        <v>5676</v>
      </c>
      <c r="F1383" s="90">
        <v>15000.0</v>
      </c>
      <c r="G1383" s="133" t="s">
        <v>5677</v>
      </c>
      <c r="H1383" s="36" t="s">
        <v>5678</v>
      </c>
      <c r="I1383" s="97">
        <v>7.585852159E9</v>
      </c>
      <c r="J1383" s="11" t="s">
        <v>25</v>
      </c>
      <c r="K1383" s="12"/>
      <c r="L1383" s="13"/>
      <c r="M1383" s="14"/>
      <c r="N1383" s="15"/>
      <c r="O1383" s="5" t="s">
        <v>26</v>
      </c>
      <c r="P1383" s="15"/>
      <c r="Q1383" s="15"/>
      <c r="R1383" s="16" t="s">
        <v>28</v>
      </c>
      <c r="S1383" s="15"/>
      <c r="T1383" s="15"/>
      <c r="U1383" s="15"/>
      <c r="V1383" s="15"/>
      <c r="W1383" s="15"/>
      <c r="X1383" s="15"/>
      <c r="Y1383" s="15"/>
      <c r="Z1383" s="15"/>
      <c r="AA1383" s="15"/>
    </row>
    <row r="1384">
      <c r="A1384" s="5" t="s">
        <v>5669</v>
      </c>
      <c r="B1384" s="6" t="s">
        <v>5679</v>
      </c>
      <c r="C1384" s="40" t="s">
        <v>5680</v>
      </c>
      <c r="D1384" s="8"/>
      <c r="E1384" s="8" t="s">
        <v>189</v>
      </c>
      <c r="F1384" s="90">
        <v>5000.0</v>
      </c>
      <c r="G1384" s="134"/>
      <c r="H1384" s="11" t="s">
        <v>44</v>
      </c>
      <c r="I1384" s="97">
        <v>7.045898945E9</v>
      </c>
      <c r="J1384" s="11" t="s">
        <v>25</v>
      </c>
      <c r="K1384" s="12" t="s">
        <v>4921</v>
      </c>
      <c r="L1384" s="13"/>
      <c r="M1384" s="14"/>
      <c r="N1384" s="15"/>
      <c r="O1384" s="5" t="s">
        <v>26</v>
      </c>
      <c r="P1384" s="5" t="s">
        <v>5681</v>
      </c>
      <c r="Q1384" s="15"/>
      <c r="R1384" s="16" t="s">
        <v>28</v>
      </c>
      <c r="S1384" s="15"/>
      <c r="T1384" s="15"/>
      <c r="U1384" s="15"/>
      <c r="V1384" s="15"/>
      <c r="W1384" s="15"/>
      <c r="X1384" s="15"/>
      <c r="Y1384" s="15"/>
      <c r="Z1384" s="15"/>
      <c r="AA1384" s="15"/>
    </row>
    <row r="1385">
      <c r="A1385" s="5" t="s">
        <v>5669</v>
      </c>
      <c r="B1385" s="6" t="s">
        <v>5682</v>
      </c>
      <c r="C1385" s="40" t="s">
        <v>5683</v>
      </c>
      <c r="D1385" s="8"/>
      <c r="E1385" s="8" t="s">
        <v>87</v>
      </c>
      <c r="F1385" s="9">
        <v>10000.0</v>
      </c>
      <c r="G1385" s="133" t="s">
        <v>5684</v>
      </c>
      <c r="H1385" s="11" t="s">
        <v>49</v>
      </c>
      <c r="I1385" s="98">
        <v>9.531694696E9</v>
      </c>
      <c r="J1385" s="11" t="s">
        <v>3718</v>
      </c>
      <c r="K1385" s="12"/>
      <c r="L1385" s="13"/>
      <c r="M1385" s="14"/>
      <c r="N1385" s="15"/>
      <c r="O1385" s="5" t="s">
        <v>26</v>
      </c>
      <c r="P1385" s="5" t="s">
        <v>5685</v>
      </c>
      <c r="Q1385" s="15"/>
      <c r="R1385" s="16" t="s">
        <v>28</v>
      </c>
      <c r="S1385" s="15"/>
      <c r="T1385" s="15"/>
      <c r="U1385" s="15"/>
      <c r="V1385" s="15"/>
      <c r="W1385" s="15"/>
      <c r="X1385" s="15"/>
      <c r="Y1385" s="15"/>
      <c r="Z1385" s="15"/>
      <c r="AA1385" s="15"/>
    </row>
    <row r="1386">
      <c r="A1386" s="5" t="s">
        <v>5686</v>
      </c>
      <c r="B1386" s="6" t="s">
        <v>5687</v>
      </c>
      <c r="C1386" s="40" t="s">
        <v>4636</v>
      </c>
      <c r="D1386" s="8"/>
      <c r="E1386" s="8" t="s">
        <v>3049</v>
      </c>
      <c r="F1386" s="90">
        <v>1000.0</v>
      </c>
      <c r="G1386" s="133" t="s">
        <v>5688</v>
      </c>
      <c r="H1386" s="36" t="s">
        <v>4638</v>
      </c>
      <c r="I1386" s="97">
        <v>9.830045597E9</v>
      </c>
      <c r="J1386" s="11" t="s">
        <v>25</v>
      </c>
      <c r="K1386" s="12"/>
      <c r="L1386" s="13"/>
      <c r="M1386" s="14"/>
      <c r="N1386" s="15"/>
      <c r="O1386" s="5" t="s">
        <v>26</v>
      </c>
      <c r="P1386" s="15"/>
      <c r="Q1386" s="15"/>
      <c r="R1386" s="16" t="s">
        <v>28</v>
      </c>
      <c r="S1386" s="15"/>
      <c r="T1386" s="15"/>
      <c r="U1386" s="15"/>
      <c r="V1386" s="15"/>
      <c r="W1386" s="15"/>
      <c r="X1386" s="15"/>
      <c r="Y1386" s="15"/>
      <c r="Z1386" s="15"/>
      <c r="AA1386" s="15"/>
    </row>
    <row r="1387">
      <c r="A1387" s="5" t="s">
        <v>5686</v>
      </c>
      <c r="B1387" s="6" t="s">
        <v>5689</v>
      </c>
      <c r="C1387" s="40" t="s">
        <v>5690</v>
      </c>
      <c r="D1387" s="8"/>
      <c r="E1387" s="8" t="s">
        <v>5691</v>
      </c>
      <c r="F1387" s="9">
        <v>60000.0</v>
      </c>
      <c r="G1387" s="133" t="s">
        <v>5692</v>
      </c>
      <c r="H1387" s="36" t="s">
        <v>5693</v>
      </c>
      <c r="I1387" s="41" t="s">
        <v>5694</v>
      </c>
      <c r="J1387" s="11" t="s">
        <v>25</v>
      </c>
      <c r="K1387" s="12"/>
      <c r="L1387" s="13"/>
      <c r="M1387" s="14"/>
      <c r="N1387" s="15"/>
      <c r="O1387" s="5" t="s">
        <v>26</v>
      </c>
      <c r="P1387" s="5" t="s">
        <v>5695</v>
      </c>
      <c r="Q1387" s="15"/>
      <c r="R1387" s="16" t="s">
        <v>28</v>
      </c>
      <c r="S1387" s="15"/>
      <c r="T1387" s="15"/>
      <c r="U1387" s="15"/>
      <c r="V1387" s="15"/>
      <c r="W1387" s="15"/>
      <c r="X1387" s="15"/>
      <c r="Y1387" s="15"/>
      <c r="Z1387" s="15"/>
      <c r="AA1387" s="15"/>
    </row>
    <row r="1388">
      <c r="A1388" s="5" t="s">
        <v>5686</v>
      </c>
      <c r="B1388" s="6" t="s">
        <v>5696</v>
      </c>
      <c r="C1388" s="40" t="s">
        <v>5697</v>
      </c>
      <c r="D1388" s="8"/>
      <c r="E1388" s="8" t="s">
        <v>5062</v>
      </c>
      <c r="F1388" s="90">
        <v>500.0</v>
      </c>
      <c r="G1388" s="139" t="s">
        <v>5698</v>
      </c>
      <c r="H1388" s="11" t="s">
        <v>4271</v>
      </c>
      <c r="I1388" s="97">
        <v>9.593602511E9</v>
      </c>
      <c r="J1388" s="11" t="s">
        <v>25</v>
      </c>
      <c r="K1388" s="12"/>
      <c r="L1388" s="13"/>
      <c r="M1388" s="11" t="s">
        <v>5699</v>
      </c>
      <c r="N1388" s="15"/>
      <c r="O1388" s="5" t="s">
        <v>26</v>
      </c>
      <c r="P1388" s="5" t="s">
        <v>5700</v>
      </c>
      <c r="Q1388" s="15"/>
      <c r="R1388" s="16" t="s">
        <v>28</v>
      </c>
      <c r="S1388" s="15"/>
      <c r="T1388" s="15"/>
      <c r="U1388" s="15"/>
      <c r="V1388" s="15"/>
      <c r="W1388" s="15"/>
      <c r="X1388" s="15"/>
      <c r="Y1388" s="15"/>
      <c r="Z1388" s="15"/>
      <c r="AA1388" s="15"/>
    </row>
    <row r="1389">
      <c r="A1389" s="5" t="s">
        <v>5686</v>
      </c>
      <c r="B1389" s="6" t="s">
        <v>5701</v>
      </c>
      <c r="C1389" s="40" t="s">
        <v>5702</v>
      </c>
      <c r="D1389" s="8"/>
      <c r="E1389" s="8" t="s">
        <v>130</v>
      </c>
      <c r="F1389" s="9">
        <v>100000.0</v>
      </c>
      <c r="G1389" s="133" t="s">
        <v>5703</v>
      </c>
      <c r="H1389" s="36" t="s">
        <v>5704</v>
      </c>
      <c r="I1389" s="97">
        <v>7.076736279E9</v>
      </c>
      <c r="J1389" s="11" t="s">
        <v>3718</v>
      </c>
      <c r="K1389" s="12" t="s">
        <v>2504</v>
      </c>
      <c r="L1389" s="12" t="s">
        <v>5705</v>
      </c>
      <c r="M1389" s="14"/>
      <c r="N1389" s="15"/>
      <c r="O1389" s="5" t="s">
        <v>26</v>
      </c>
      <c r="P1389" s="5" t="s">
        <v>453</v>
      </c>
      <c r="Q1389" s="15"/>
      <c r="R1389" s="16" t="s">
        <v>28</v>
      </c>
      <c r="S1389" s="15"/>
      <c r="T1389" s="15"/>
      <c r="U1389" s="15"/>
      <c r="V1389" s="15"/>
      <c r="W1389" s="15"/>
      <c r="X1389" s="15"/>
      <c r="Y1389" s="15"/>
      <c r="Z1389" s="15"/>
      <c r="AA1389" s="15"/>
    </row>
    <row r="1390">
      <c r="A1390" s="5" t="s">
        <v>5686</v>
      </c>
      <c r="B1390" s="6" t="s">
        <v>5706</v>
      </c>
      <c r="C1390" s="40" t="s">
        <v>5707</v>
      </c>
      <c r="D1390" s="8"/>
      <c r="E1390" s="8" t="s">
        <v>1230</v>
      </c>
      <c r="F1390" s="9">
        <v>100000.0</v>
      </c>
      <c r="G1390" s="133" t="s">
        <v>5708</v>
      </c>
      <c r="H1390" s="11" t="s">
        <v>5709</v>
      </c>
      <c r="I1390" s="97">
        <v>9.614262125E9</v>
      </c>
      <c r="J1390" s="11" t="s">
        <v>25</v>
      </c>
      <c r="K1390" s="12"/>
      <c r="L1390" s="13"/>
      <c r="M1390" s="14"/>
      <c r="N1390" s="15"/>
      <c r="O1390" s="5" t="s">
        <v>26</v>
      </c>
      <c r="P1390" s="5" t="s">
        <v>5710</v>
      </c>
      <c r="Q1390" s="15"/>
      <c r="R1390" s="16" t="s">
        <v>28</v>
      </c>
      <c r="S1390" s="15"/>
      <c r="T1390" s="15"/>
      <c r="U1390" s="15"/>
      <c r="V1390" s="15"/>
      <c r="W1390" s="15"/>
      <c r="X1390" s="15"/>
      <c r="Y1390" s="15"/>
      <c r="Z1390" s="15"/>
      <c r="AA1390" s="15"/>
    </row>
    <row r="1391">
      <c r="A1391" s="5" t="s">
        <v>5686</v>
      </c>
      <c r="B1391" s="6" t="s">
        <v>5711</v>
      </c>
      <c r="C1391" s="40" t="s">
        <v>5712</v>
      </c>
      <c r="D1391" s="8"/>
      <c r="E1391" s="8" t="s">
        <v>130</v>
      </c>
      <c r="F1391" s="9">
        <v>20000.0</v>
      </c>
      <c r="G1391" s="133" t="s">
        <v>5713</v>
      </c>
      <c r="H1391" s="11" t="s">
        <v>44</v>
      </c>
      <c r="I1391" s="97">
        <v>9.03807038E9</v>
      </c>
      <c r="J1391" s="11" t="s">
        <v>25</v>
      </c>
      <c r="K1391" s="12"/>
      <c r="L1391" s="13"/>
      <c r="M1391" s="11" t="s">
        <v>5714</v>
      </c>
      <c r="N1391" s="15"/>
      <c r="O1391" s="5" t="s">
        <v>34</v>
      </c>
      <c r="P1391" s="5" t="s">
        <v>2144</v>
      </c>
      <c r="Q1391" s="15"/>
      <c r="R1391" s="16" t="s">
        <v>723</v>
      </c>
      <c r="S1391" s="15"/>
      <c r="T1391" s="15"/>
      <c r="U1391" s="15"/>
      <c r="V1391" s="15"/>
      <c r="W1391" s="15"/>
      <c r="X1391" s="15"/>
      <c r="Y1391" s="15"/>
      <c r="Z1391" s="15"/>
      <c r="AA1391" s="15"/>
    </row>
    <row r="1392">
      <c r="A1392" s="5" t="s">
        <v>5686</v>
      </c>
      <c r="B1392" s="6" t="s">
        <v>5715</v>
      </c>
      <c r="C1392" s="40" t="s">
        <v>5716</v>
      </c>
      <c r="D1392" s="8"/>
      <c r="E1392" s="8" t="s">
        <v>43</v>
      </c>
      <c r="F1392" s="90">
        <v>2500.0</v>
      </c>
      <c r="G1392" s="133" t="s">
        <v>5717</v>
      </c>
      <c r="H1392" s="11" t="s">
        <v>78</v>
      </c>
      <c r="I1392" s="97">
        <v>8.21004833E9</v>
      </c>
      <c r="J1392" s="11" t="s">
        <v>25</v>
      </c>
      <c r="K1392" s="12"/>
      <c r="L1392" s="13"/>
      <c r="M1392" s="14"/>
      <c r="N1392" s="15"/>
      <c r="O1392" s="5" t="s">
        <v>26</v>
      </c>
      <c r="P1392" s="15"/>
      <c r="Q1392" s="15"/>
      <c r="R1392" s="16" t="s">
        <v>28</v>
      </c>
      <c r="S1392" s="15"/>
      <c r="T1392" s="15"/>
      <c r="U1392" s="15"/>
      <c r="V1392" s="15"/>
      <c r="W1392" s="15"/>
      <c r="X1392" s="15"/>
      <c r="Y1392" s="15"/>
      <c r="Z1392" s="15"/>
      <c r="AA1392" s="15"/>
    </row>
    <row r="1393">
      <c r="A1393" s="5" t="s">
        <v>5686</v>
      </c>
      <c r="B1393" s="6" t="s">
        <v>5718</v>
      </c>
      <c r="C1393" s="40" t="s">
        <v>5719</v>
      </c>
      <c r="D1393" s="8"/>
      <c r="E1393" s="8" t="s">
        <v>5720</v>
      </c>
      <c r="F1393" s="90">
        <v>5000.0</v>
      </c>
      <c r="G1393" s="135" t="s">
        <v>5721</v>
      </c>
      <c r="H1393" s="11" t="s">
        <v>5722</v>
      </c>
      <c r="I1393" s="97">
        <v>9.824110552E9</v>
      </c>
      <c r="J1393" s="11" t="s">
        <v>25</v>
      </c>
      <c r="K1393" s="12"/>
      <c r="L1393" s="13"/>
      <c r="M1393" s="14"/>
      <c r="N1393" s="15"/>
      <c r="O1393" s="5" t="s">
        <v>108</v>
      </c>
      <c r="P1393" s="15"/>
      <c r="Q1393" s="15"/>
      <c r="R1393" s="16" t="s">
        <v>28</v>
      </c>
      <c r="S1393" s="15"/>
      <c r="T1393" s="15"/>
      <c r="U1393" s="15"/>
      <c r="V1393" s="15"/>
      <c r="W1393" s="15"/>
      <c r="X1393" s="15"/>
      <c r="Y1393" s="15"/>
      <c r="Z1393" s="15"/>
      <c r="AA1393" s="15"/>
    </row>
    <row r="1394">
      <c r="A1394" s="5" t="s">
        <v>5723</v>
      </c>
      <c r="B1394" s="6" t="s">
        <v>5724</v>
      </c>
      <c r="C1394" s="40" t="s">
        <v>1709</v>
      </c>
      <c r="D1394" s="8"/>
      <c r="E1394" s="8" t="s">
        <v>5725</v>
      </c>
      <c r="F1394" s="90">
        <v>2000.0</v>
      </c>
      <c r="G1394" s="134" t="s">
        <v>5726</v>
      </c>
      <c r="H1394" s="11" t="s">
        <v>5727</v>
      </c>
      <c r="I1394" s="97">
        <v>9.9038698E9</v>
      </c>
      <c r="J1394" s="11" t="s">
        <v>25</v>
      </c>
      <c r="K1394" s="12"/>
      <c r="L1394" s="13"/>
      <c r="M1394" s="14"/>
      <c r="N1394" s="15"/>
      <c r="O1394" s="5" t="s">
        <v>34</v>
      </c>
      <c r="P1394" s="5" t="s">
        <v>5728</v>
      </c>
      <c r="Q1394" s="5" t="s">
        <v>5480</v>
      </c>
      <c r="R1394" s="16" t="s">
        <v>634</v>
      </c>
      <c r="S1394" s="15"/>
      <c r="T1394" s="15"/>
      <c r="U1394" s="15"/>
      <c r="V1394" s="15"/>
      <c r="W1394" s="15"/>
      <c r="X1394" s="15"/>
      <c r="Y1394" s="15"/>
      <c r="Z1394" s="15"/>
      <c r="AA1394" s="15"/>
    </row>
    <row r="1395">
      <c r="A1395" s="5" t="s">
        <v>5729</v>
      </c>
      <c r="B1395" s="6" t="s">
        <v>5730</v>
      </c>
      <c r="C1395" s="40" t="s">
        <v>5731</v>
      </c>
      <c r="D1395" s="8"/>
      <c r="E1395" s="8" t="s">
        <v>5732</v>
      </c>
      <c r="F1395" s="90">
        <v>5000.0</v>
      </c>
      <c r="G1395" s="134" t="s">
        <v>5733</v>
      </c>
      <c r="H1395" s="11" t="s">
        <v>3090</v>
      </c>
      <c r="I1395" s="97">
        <v>8.69715458E9</v>
      </c>
      <c r="J1395" s="11" t="s">
        <v>25</v>
      </c>
      <c r="K1395" s="12"/>
      <c r="L1395" s="13"/>
      <c r="M1395" s="14"/>
      <c r="N1395" s="15"/>
      <c r="O1395" s="5" t="s">
        <v>564</v>
      </c>
      <c r="P1395" s="15"/>
      <c r="Q1395" s="15"/>
      <c r="R1395" s="16" t="s">
        <v>28</v>
      </c>
      <c r="S1395" s="15"/>
      <c r="T1395" s="15"/>
      <c r="U1395" s="15"/>
      <c r="V1395" s="15"/>
      <c r="W1395" s="15"/>
      <c r="X1395" s="15"/>
      <c r="Y1395" s="15"/>
      <c r="Z1395" s="15"/>
      <c r="AA1395" s="15"/>
    </row>
    <row r="1396">
      <c r="A1396" s="5" t="s">
        <v>5729</v>
      </c>
      <c r="B1396" s="6" t="s">
        <v>5734</v>
      </c>
      <c r="C1396" s="40" t="s">
        <v>5735</v>
      </c>
      <c r="D1396" s="8"/>
      <c r="E1396" s="8" t="s">
        <v>3918</v>
      </c>
      <c r="F1396" s="90">
        <v>500.0</v>
      </c>
      <c r="G1396" s="134" t="s">
        <v>5736</v>
      </c>
      <c r="H1396" s="11" t="s">
        <v>78</v>
      </c>
      <c r="I1396" s="97">
        <v>9.334000325E9</v>
      </c>
      <c r="J1396" s="11" t="s">
        <v>25</v>
      </c>
      <c r="K1396" s="12"/>
      <c r="L1396" s="13"/>
      <c r="M1396" s="14"/>
      <c r="N1396" s="15"/>
      <c r="O1396" s="5" t="s">
        <v>34</v>
      </c>
      <c r="P1396" s="5" t="s">
        <v>5737</v>
      </c>
      <c r="Q1396" s="5" t="s">
        <v>727</v>
      </c>
      <c r="R1396" s="16" t="s">
        <v>28</v>
      </c>
      <c r="S1396" s="15"/>
      <c r="T1396" s="15"/>
      <c r="U1396" s="15"/>
      <c r="V1396" s="15"/>
      <c r="W1396" s="15"/>
      <c r="X1396" s="15"/>
      <c r="Y1396" s="15"/>
      <c r="Z1396" s="15"/>
      <c r="AA1396" s="15"/>
    </row>
    <row r="1397">
      <c r="A1397" s="5" t="s">
        <v>5729</v>
      </c>
      <c r="B1397" s="6" t="s">
        <v>5738</v>
      </c>
      <c r="C1397" s="40" t="s">
        <v>5739</v>
      </c>
      <c r="D1397" s="8"/>
      <c r="E1397" s="8" t="s">
        <v>2429</v>
      </c>
      <c r="F1397" s="90">
        <v>5000.0</v>
      </c>
      <c r="G1397" s="134" t="s">
        <v>1956</v>
      </c>
      <c r="H1397" s="11" t="s">
        <v>5740</v>
      </c>
      <c r="I1397" s="97">
        <v>9.831725611E9</v>
      </c>
      <c r="J1397" s="11" t="s">
        <v>25</v>
      </c>
      <c r="K1397" s="12"/>
      <c r="L1397" s="13"/>
      <c r="M1397" s="14"/>
      <c r="N1397" s="15"/>
      <c r="O1397" s="5" t="s">
        <v>564</v>
      </c>
      <c r="P1397" s="15"/>
      <c r="Q1397" s="15"/>
      <c r="R1397" s="16" t="s">
        <v>28</v>
      </c>
      <c r="S1397" s="15"/>
      <c r="T1397" s="15"/>
      <c r="U1397" s="15"/>
      <c r="V1397" s="15"/>
      <c r="W1397" s="15"/>
      <c r="X1397" s="15"/>
      <c r="Y1397" s="15"/>
      <c r="Z1397" s="15"/>
      <c r="AA1397" s="15"/>
    </row>
    <row r="1398">
      <c r="A1398" s="5" t="s">
        <v>5729</v>
      </c>
      <c r="B1398" s="6" t="s">
        <v>5741</v>
      </c>
      <c r="C1398" s="40" t="s">
        <v>5742</v>
      </c>
      <c r="D1398" s="8"/>
      <c r="E1398" s="8" t="s">
        <v>116</v>
      </c>
      <c r="F1398" s="90">
        <v>2000.0</v>
      </c>
      <c r="G1398" s="97" t="s">
        <v>5743</v>
      </c>
      <c r="H1398" s="11" t="s">
        <v>5744</v>
      </c>
      <c r="I1398" s="97">
        <v>9.83102192E9</v>
      </c>
      <c r="J1398" s="11" t="s">
        <v>25</v>
      </c>
      <c r="K1398" s="12"/>
      <c r="L1398" s="13"/>
      <c r="M1398" s="14"/>
      <c r="N1398" s="15"/>
      <c r="O1398" s="5" t="s">
        <v>564</v>
      </c>
      <c r="P1398" s="15"/>
      <c r="Q1398" s="15"/>
      <c r="R1398" s="16" t="s">
        <v>28</v>
      </c>
      <c r="S1398" s="15"/>
      <c r="T1398" s="15"/>
      <c r="U1398" s="15"/>
      <c r="V1398" s="15"/>
      <c r="W1398" s="15"/>
      <c r="X1398" s="15"/>
      <c r="Y1398" s="15"/>
      <c r="Z1398" s="15"/>
      <c r="AA1398" s="15"/>
    </row>
    <row r="1399">
      <c r="A1399" s="5" t="s">
        <v>5729</v>
      </c>
      <c r="B1399" s="6" t="s">
        <v>5745</v>
      </c>
      <c r="C1399" s="40" t="s">
        <v>5746</v>
      </c>
      <c r="D1399" s="8"/>
      <c r="E1399" s="8" t="s">
        <v>3918</v>
      </c>
      <c r="F1399" s="90">
        <v>1000.0</v>
      </c>
      <c r="G1399" s="97" t="s">
        <v>5747</v>
      </c>
      <c r="H1399" s="11" t="s">
        <v>5748</v>
      </c>
      <c r="I1399" s="97">
        <v>7.864883382E9</v>
      </c>
      <c r="J1399" s="11" t="s">
        <v>25</v>
      </c>
      <c r="K1399" s="12"/>
      <c r="L1399" s="13"/>
      <c r="M1399" s="14"/>
      <c r="N1399" s="15"/>
      <c r="O1399" s="5" t="s">
        <v>564</v>
      </c>
      <c r="P1399" s="5" t="s">
        <v>5749</v>
      </c>
      <c r="Q1399" s="15"/>
      <c r="R1399" s="16" t="s">
        <v>28</v>
      </c>
      <c r="S1399" s="15"/>
      <c r="T1399" s="15"/>
      <c r="U1399" s="15"/>
      <c r="V1399" s="15"/>
      <c r="W1399" s="15"/>
      <c r="X1399" s="15"/>
      <c r="Y1399" s="15"/>
      <c r="Z1399" s="15"/>
      <c r="AA1399" s="15"/>
    </row>
    <row r="1400">
      <c r="A1400" s="5" t="s">
        <v>5750</v>
      </c>
      <c r="B1400" s="6" t="s">
        <v>5751</v>
      </c>
      <c r="C1400" s="40" t="s">
        <v>5752</v>
      </c>
      <c r="D1400" s="8"/>
      <c r="E1400" s="8" t="s">
        <v>4555</v>
      </c>
      <c r="F1400" s="90">
        <v>2000.0</v>
      </c>
      <c r="G1400" s="97" t="s">
        <v>5753</v>
      </c>
      <c r="H1400" s="11" t="s">
        <v>158</v>
      </c>
      <c r="I1400" s="97">
        <v>8.91027233E9</v>
      </c>
      <c r="J1400" s="11" t="s">
        <v>25</v>
      </c>
      <c r="K1400" s="12"/>
      <c r="L1400" s="13"/>
      <c r="M1400" s="14"/>
      <c r="N1400" s="15"/>
      <c r="O1400" s="5" t="s">
        <v>564</v>
      </c>
      <c r="P1400" s="15"/>
      <c r="Q1400" s="15"/>
      <c r="R1400" s="16" t="s">
        <v>28</v>
      </c>
      <c r="S1400" s="15"/>
      <c r="T1400" s="15"/>
      <c r="U1400" s="15"/>
      <c r="V1400" s="15"/>
      <c r="W1400" s="15"/>
      <c r="X1400" s="15"/>
      <c r="Y1400" s="15"/>
      <c r="Z1400" s="15"/>
      <c r="AA1400" s="15"/>
    </row>
    <row r="1401">
      <c r="A1401" s="5" t="s">
        <v>5750</v>
      </c>
      <c r="B1401" s="6" t="s">
        <v>5754</v>
      </c>
      <c r="C1401" s="40" t="s">
        <v>5755</v>
      </c>
      <c r="D1401" s="8"/>
      <c r="E1401" s="8" t="s">
        <v>5756</v>
      </c>
      <c r="F1401" s="90">
        <v>500.0</v>
      </c>
      <c r="G1401" s="97" t="s">
        <v>5757</v>
      </c>
      <c r="H1401" s="11" t="s">
        <v>5758</v>
      </c>
      <c r="I1401" s="97">
        <v>8.509498217E9</v>
      </c>
      <c r="J1401" s="11" t="s">
        <v>25</v>
      </c>
      <c r="K1401" s="12"/>
      <c r="L1401" s="13"/>
      <c r="M1401" s="14"/>
      <c r="N1401" s="15"/>
      <c r="O1401" s="5" t="s">
        <v>564</v>
      </c>
      <c r="P1401" s="15"/>
      <c r="Q1401" s="15"/>
      <c r="R1401" s="16" t="s">
        <v>28</v>
      </c>
      <c r="S1401" s="15"/>
      <c r="T1401" s="15"/>
      <c r="U1401" s="15"/>
      <c r="V1401" s="15"/>
      <c r="W1401" s="15"/>
      <c r="X1401" s="15"/>
      <c r="Y1401" s="15"/>
      <c r="Z1401" s="15"/>
      <c r="AA1401" s="15"/>
    </row>
    <row r="1402">
      <c r="A1402" s="5" t="s">
        <v>5750</v>
      </c>
      <c r="B1402" s="6" t="s">
        <v>5759</v>
      </c>
      <c r="C1402" s="40" t="s">
        <v>5760</v>
      </c>
      <c r="D1402" s="8"/>
      <c r="E1402" s="8" t="s">
        <v>5761</v>
      </c>
      <c r="F1402" s="90">
        <v>500.0</v>
      </c>
      <c r="G1402" s="97" t="s">
        <v>5762</v>
      </c>
      <c r="H1402" s="11" t="s">
        <v>44</v>
      </c>
      <c r="I1402" s="97">
        <v>6.202794925E9</v>
      </c>
      <c r="J1402" s="11" t="s">
        <v>4008</v>
      </c>
      <c r="K1402" s="12"/>
      <c r="L1402" s="13"/>
      <c r="M1402" s="14"/>
      <c r="N1402" s="15"/>
      <c r="O1402" s="5" t="s">
        <v>34</v>
      </c>
      <c r="P1402" s="15"/>
      <c r="Q1402" s="15"/>
      <c r="R1402" s="16" t="s">
        <v>28</v>
      </c>
      <c r="S1402" s="15"/>
      <c r="T1402" s="15"/>
      <c r="U1402" s="15"/>
      <c r="V1402" s="15"/>
      <c r="W1402" s="15"/>
      <c r="X1402" s="15"/>
      <c r="Y1402" s="15"/>
      <c r="Z1402" s="15"/>
      <c r="AA1402" s="15"/>
    </row>
    <row r="1403">
      <c r="A1403" s="5" t="s">
        <v>5750</v>
      </c>
      <c r="B1403" s="6" t="s">
        <v>5763</v>
      </c>
      <c r="C1403" s="40" t="s">
        <v>5764</v>
      </c>
      <c r="D1403" s="8"/>
      <c r="E1403" s="8" t="s">
        <v>189</v>
      </c>
      <c r="F1403" s="90">
        <v>10000.0</v>
      </c>
      <c r="G1403" s="97" t="s">
        <v>5765</v>
      </c>
      <c r="H1403" s="11" t="s">
        <v>5766</v>
      </c>
      <c r="I1403" s="97">
        <v>9.475145484E9</v>
      </c>
      <c r="J1403" s="11" t="s">
        <v>25</v>
      </c>
      <c r="K1403" s="12"/>
      <c r="L1403" s="13"/>
      <c r="M1403" s="14"/>
      <c r="N1403" s="15"/>
      <c r="O1403" s="5" t="s">
        <v>34</v>
      </c>
      <c r="P1403" s="5" t="s">
        <v>204</v>
      </c>
      <c r="Q1403" s="15"/>
      <c r="R1403" s="16" t="s">
        <v>28</v>
      </c>
      <c r="S1403" s="15"/>
      <c r="T1403" s="15"/>
      <c r="U1403" s="15"/>
      <c r="V1403" s="15"/>
      <c r="W1403" s="15"/>
      <c r="X1403" s="15"/>
      <c r="Y1403" s="15"/>
      <c r="Z1403" s="15"/>
      <c r="AA1403" s="15"/>
    </row>
    <row r="1404">
      <c r="A1404" s="5" t="s">
        <v>5767</v>
      </c>
      <c r="B1404" s="6" t="s">
        <v>5768</v>
      </c>
      <c r="C1404" s="40" t="s">
        <v>5769</v>
      </c>
      <c r="D1404" s="8"/>
      <c r="E1404" s="8" t="s">
        <v>5502</v>
      </c>
      <c r="F1404" s="90" t="s">
        <v>5770</v>
      </c>
      <c r="G1404" s="97" t="s">
        <v>5771</v>
      </c>
      <c r="H1404" s="11" t="s">
        <v>3861</v>
      </c>
      <c r="I1404" s="97">
        <v>9.35991785E9</v>
      </c>
      <c r="J1404" s="11" t="s">
        <v>25</v>
      </c>
      <c r="K1404" s="12"/>
      <c r="L1404" s="13"/>
      <c r="M1404" s="14"/>
      <c r="N1404" s="15"/>
      <c r="O1404" s="5" t="s">
        <v>108</v>
      </c>
      <c r="P1404" s="15"/>
      <c r="Q1404" s="15"/>
      <c r="R1404" s="16" t="s">
        <v>28</v>
      </c>
      <c r="S1404" s="15"/>
      <c r="T1404" s="15"/>
      <c r="U1404" s="15"/>
      <c r="V1404" s="15"/>
      <c r="W1404" s="15"/>
      <c r="X1404" s="15"/>
      <c r="Y1404" s="15"/>
      <c r="Z1404" s="15"/>
      <c r="AA1404" s="15"/>
    </row>
    <row r="1405">
      <c r="A1405" s="5" t="s">
        <v>5767</v>
      </c>
      <c r="B1405" s="6" t="s">
        <v>5772</v>
      </c>
      <c r="C1405" s="40" t="s">
        <v>5773</v>
      </c>
      <c r="D1405" s="8"/>
      <c r="E1405" s="8" t="s">
        <v>5774</v>
      </c>
      <c r="F1405" s="90">
        <v>500.0</v>
      </c>
      <c r="G1405" s="97" t="s">
        <v>5775</v>
      </c>
      <c r="H1405" s="11" t="s">
        <v>5776</v>
      </c>
      <c r="I1405" s="97">
        <v>8.668390709E9</v>
      </c>
      <c r="J1405" s="11" t="s">
        <v>25</v>
      </c>
      <c r="K1405" s="12"/>
      <c r="L1405" s="13"/>
      <c r="M1405" s="14"/>
      <c r="N1405" s="15"/>
      <c r="O1405" s="5" t="s">
        <v>108</v>
      </c>
      <c r="P1405" s="15"/>
      <c r="Q1405" s="15"/>
      <c r="R1405" s="16" t="s">
        <v>28</v>
      </c>
      <c r="S1405" s="15"/>
      <c r="T1405" s="15"/>
      <c r="U1405" s="15"/>
      <c r="V1405" s="15"/>
      <c r="W1405" s="15"/>
      <c r="X1405" s="15"/>
      <c r="Y1405" s="15"/>
      <c r="Z1405" s="15"/>
      <c r="AA1405" s="15"/>
    </row>
    <row r="1406">
      <c r="A1406" s="5" t="s">
        <v>5767</v>
      </c>
      <c r="B1406" s="6" t="s">
        <v>5777</v>
      </c>
      <c r="C1406" s="40" t="s">
        <v>5778</v>
      </c>
      <c r="D1406" s="8"/>
      <c r="E1406" s="8" t="s">
        <v>116</v>
      </c>
      <c r="F1406" s="90">
        <v>30000.0</v>
      </c>
      <c r="G1406" s="97" t="s">
        <v>5779</v>
      </c>
      <c r="H1406" s="11" t="s">
        <v>44</v>
      </c>
      <c r="I1406" s="97">
        <v>7.980157026E9</v>
      </c>
      <c r="J1406" s="11" t="s">
        <v>25</v>
      </c>
      <c r="K1406" s="12"/>
      <c r="L1406" s="13"/>
      <c r="M1406" s="14"/>
      <c r="N1406" s="15"/>
      <c r="O1406" s="5" t="s">
        <v>564</v>
      </c>
      <c r="P1406" s="15"/>
      <c r="Q1406" s="15"/>
      <c r="R1406" s="16" t="s">
        <v>28</v>
      </c>
      <c r="S1406" s="15"/>
      <c r="T1406" s="15"/>
      <c r="U1406" s="15"/>
      <c r="V1406" s="15"/>
      <c r="W1406" s="15"/>
      <c r="X1406" s="15"/>
      <c r="Y1406" s="15"/>
      <c r="Z1406" s="15"/>
      <c r="AA1406" s="15"/>
    </row>
    <row r="1407">
      <c r="A1407" s="5" t="s">
        <v>5767</v>
      </c>
      <c r="B1407" s="6" t="s">
        <v>5780</v>
      </c>
      <c r="C1407" s="40" t="s">
        <v>5781</v>
      </c>
      <c r="D1407" s="8"/>
      <c r="E1407" s="8" t="s">
        <v>501</v>
      </c>
      <c r="F1407" s="90">
        <v>50000.0</v>
      </c>
      <c r="G1407" s="97" t="s">
        <v>5782</v>
      </c>
      <c r="H1407" s="11" t="s">
        <v>5783</v>
      </c>
      <c r="I1407" s="97">
        <v>8.235493465E9</v>
      </c>
      <c r="J1407" s="11" t="s">
        <v>4008</v>
      </c>
      <c r="K1407" s="12"/>
      <c r="L1407" s="13"/>
      <c r="M1407" s="14"/>
      <c r="N1407" s="15"/>
      <c r="O1407" s="5" t="s">
        <v>564</v>
      </c>
      <c r="P1407" s="15"/>
      <c r="Q1407" s="15"/>
      <c r="R1407" s="16" t="s">
        <v>28</v>
      </c>
      <c r="S1407" s="15"/>
      <c r="T1407" s="15"/>
      <c r="U1407" s="15"/>
      <c r="V1407" s="15"/>
      <c r="W1407" s="15"/>
      <c r="X1407" s="15"/>
      <c r="Y1407" s="15"/>
      <c r="Z1407" s="15"/>
      <c r="AA1407" s="15"/>
    </row>
    <row r="1408">
      <c r="A1408" s="5" t="s">
        <v>5767</v>
      </c>
      <c r="B1408" s="6" t="s">
        <v>5784</v>
      </c>
      <c r="C1408" s="40" t="s">
        <v>5785</v>
      </c>
      <c r="D1408" s="8"/>
      <c r="E1408" s="8" t="s">
        <v>43</v>
      </c>
      <c r="F1408" s="90">
        <v>10000.0</v>
      </c>
      <c r="G1408" s="97" t="s">
        <v>5786</v>
      </c>
      <c r="H1408" s="11" t="s">
        <v>638</v>
      </c>
      <c r="I1408" s="41" t="s">
        <v>5787</v>
      </c>
      <c r="J1408" s="11" t="s">
        <v>25</v>
      </c>
      <c r="K1408" s="12"/>
      <c r="L1408" s="13"/>
      <c r="M1408" s="14"/>
      <c r="N1408" s="15"/>
      <c r="O1408" s="5" t="s">
        <v>34</v>
      </c>
      <c r="P1408" s="5" t="s">
        <v>5788</v>
      </c>
      <c r="Q1408" s="15"/>
      <c r="R1408" s="16" t="s">
        <v>723</v>
      </c>
      <c r="S1408" s="15"/>
      <c r="T1408" s="15"/>
      <c r="U1408" s="15"/>
      <c r="V1408" s="15"/>
      <c r="W1408" s="15"/>
      <c r="X1408" s="15"/>
      <c r="Y1408" s="15"/>
      <c r="Z1408" s="15"/>
      <c r="AA1408" s="15"/>
    </row>
    <row r="1409">
      <c r="A1409" s="5" t="s">
        <v>5767</v>
      </c>
      <c r="B1409" s="6" t="s">
        <v>5789</v>
      </c>
      <c r="C1409" s="40" t="s">
        <v>5790</v>
      </c>
      <c r="D1409" s="8"/>
      <c r="E1409" s="8" t="s">
        <v>3049</v>
      </c>
      <c r="F1409" s="90">
        <v>1000.0</v>
      </c>
      <c r="G1409" s="97" t="s">
        <v>5791</v>
      </c>
      <c r="H1409" s="11" t="s">
        <v>44</v>
      </c>
      <c r="I1409" s="97">
        <v>7.980879505E9</v>
      </c>
      <c r="J1409" s="11" t="s">
        <v>25</v>
      </c>
      <c r="K1409" s="12"/>
      <c r="L1409" s="13"/>
      <c r="M1409" s="14"/>
      <c r="N1409" s="15"/>
      <c r="O1409" s="5" t="s">
        <v>34</v>
      </c>
      <c r="P1409" s="15"/>
      <c r="Q1409" s="15"/>
      <c r="R1409" s="16" t="s">
        <v>28</v>
      </c>
      <c r="S1409" s="15"/>
      <c r="T1409" s="15"/>
      <c r="U1409" s="15"/>
      <c r="V1409" s="15"/>
      <c r="W1409" s="15"/>
      <c r="X1409" s="15"/>
      <c r="Y1409" s="15"/>
      <c r="Z1409" s="15"/>
      <c r="AA1409" s="15"/>
    </row>
    <row r="1410">
      <c r="A1410" s="5" t="s">
        <v>5767</v>
      </c>
      <c r="B1410" s="6" t="s">
        <v>5792</v>
      </c>
      <c r="C1410" s="40" t="s">
        <v>5793</v>
      </c>
      <c r="D1410" s="8"/>
      <c r="E1410" s="8" t="s">
        <v>130</v>
      </c>
      <c r="F1410" s="90">
        <v>4000.0</v>
      </c>
      <c r="G1410" s="97" t="s">
        <v>5794</v>
      </c>
      <c r="H1410" s="11" t="s">
        <v>981</v>
      </c>
      <c r="I1410" s="97">
        <v>9.962851698E9</v>
      </c>
      <c r="J1410" s="11" t="s">
        <v>25</v>
      </c>
      <c r="K1410" s="12"/>
      <c r="L1410" s="13"/>
      <c r="M1410" s="14"/>
      <c r="N1410" s="15"/>
      <c r="O1410" s="5" t="s">
        <v>34</v>
      </c>
      <c r="P1410" s="5" t="s">
        <v>5795</v>
      </c>
      <c r="Q1410" s="15"/>
      <c r="R1410" s="16" t="s">
        <v>723</v>
      </c>
      <c r="S1410" s="15"/>
      <c r="T1410" s="15"/>
      <c r="U1410" s="15"/>
      <c r="V1410" s="15"/>
      <c r="W1410" s="15"/>
      <c r="X1410" s="15"/>
      <c r="Y1410" s="15"/>
      <c r="Z1410" s="15"/>
      <c r="AA1410" s="15"/>
    </row>
    <row r="1411">
      <c r="A1411" s="5" t="s">
        <v>5767</v>
      </c>
      <c r="B1411" s="6" t="s">
        <v>5796</v>
      </c>
      <c r="C1411" s="40" t="s">
        <v>5797</v>
      </c>
      <c r="D1411" s="8"/>
      <c r="E1411" s="8" t="s">
        <v>4047</v>
      </c>
      <c r="F1411" s="90">
        <v>1000.0</v>
      </c>
      <c r="G1411" s="97" t="s">
        <v>5798</v>
      </c>
      <c r="H1411" s="11" t="s">
        <v>44</v>
      </c>
      <c r="I1411" s="97">
        <v>8.777803725E9</v>
      </c>
      <c r="J1411" s="11" t="s">
        <v>25</v>
      </c>
      <c r="K1411" s="12"/>
      <c r="L1411" s="13"/>
      <c r="M1411" s="14"/>
      <c r="N1411" s="15"/>
      <c r="O1411" s="5" t="s">
        <v>564</v>
      </c>
      <c r="P1411" s="5" t="s">
        <v>544</v>
      </c>
      <c r="Q1411" s="15"/>
      <c r="R1411" s="16" t="s">
        <v>28</v>
      </c>
      <c r="S1411" s="15"/>
      <c r="T1411" s="15"/>
      <c r="U1411" s="15"/>
      <c r="V1411" s="15"/>
      <c r="W1411" s="15"/>
      <c r="X1411" s="15"/>
      <c r="Y1411" s="15"/>
      <c r="Z1411" s="15"/>
      <c r="AA1411" s="15"/>
    </row>
    <row r="1412">
      <c r="A1412" s="5" t="s">
        <v>5767</v>
      </c>
      <c r="B1412" s="6" t="s">
        <v>5799</v>
      </c>
      <c r="C1412" s="40" t="s">
        <v>5800</v>
      </c>
      <c r="D1412" s="8"/>
      <c r="E1412" s="8" t="s">
        <v>501</v>
      </c>
      <c r="F1412" s="90">
        <v>1000.0</v>
      </c>
      <c r="G1412" s="97" t="s">
        <v>5801</v>
      </c>
      <c r="H1412" s="11" t="s">
        <v>1337</v>
      </c>
      <c r="I1412" s="97">
        <v>8.638381889E9</v>
      </c>
      <c r="J1412" s="11" t="s">
        <v>25</v>
      </c>
      <c r="K1412" s="12"/>
      <c r="L1412" s="13"/>
      <c r="M1412" s="14"/>
      <c r="N1412" s="15"/>
      <c r="O1412" s="5" t="s">
        <v>564</v>
      </c>
      <c r="P1412" s="5" t="s">
        <v>5802</v>
      </c>
      <c r="Q1412" s="15"/>
      <c r="R1412" s="16" t="s">
        <v>28</v>
      </c>
      <c r="S1412" s="15"/>
      <c r="T1412" s="15"/>
      <c r="U1412" s="15"/>
      <c r="V1412" s="15"/>
      <c r="W1412" s="15"/>
      <c r="X1412" s="15"/>
      <c r="Y1412" s="15"/>
      <c r="Z1412" s="15"/>
      <c r="AA1412" s="15"/>
    </row>
    <row r="1413">
      <c r="A1413" s="5" t="s">
        <v>5803</v>
      </c>
      <c r="B1413" s="6" t="s">
        <v>5804</v>
      </c>
      <c r="C1413" s="40" t="s">
        <v>5805</v>
      </c>
      <c r="D1413" s="8"/>
      <c r="E1413" s="8" t="s">
        <v>5172</v>
      </c>
      <c r="F1413" s="90">
        <v>500.0</v>
      </c>
      <c r="G1413" s="97" t="s">
        <v>5806</v>
      </c>
      <c r="H1413" s="11" t="s">
        <v>44</v>
      </c>
      <c r="I1413" s="97">
        <v>9.836207208E9</v>
      </c>
      <c r="J1413" s="11" t="s">
        <v>25</v>
      </c>
      <c r="K1413" s="12"/>
      <c r="L1413" s="13"/>
      <c r="M1413" s="14"/>
      <c r="N1413" s="15"/>
      <c r="O1413" s="5" t="s">
        <v>34</v>
      </c>
      <c r="P1413" s="5" t="s">
        <v>5305</v>
      </c>
      <c r="Q1413" s="15"/>
      <c r="R1413" s="16" t="s">
        <v>28</v>
      </c>
      <c r="S1413" s="15"/>
      <c r="T1413" s="15"/>
      <c r="U1413" s="15"/>
      <c r="V1413" s="15"/>
      <c r="W1413" s="15"/>
      <c r="X1413" s="15"/>
      <c r="Y1413" s="15"/>
      <c r="Z1413" s="15"/>
      <c r="AA1413" s="15"/>
    </row>
    <row r="1414">
      <c r="A1414" s="5" t="s">
        <v>5803</v>
      </c>
      <c r="B1414" s="6" t="s">
        <v>5807</v>
      </c>
      <c r="C1414" s="40" t="s">
        <v>5808</v>
      </c>
      <c r="D1414" s="8"/>
      <c r="E1414" s="8" t="s">
        <v>4000</v>
      </c>
      <c r="F1414" s="90">
        <v>5000.0</v>
      </c>
      <c r="G1414" s="97" t="s">
        <v>5809</v>
      </c>
      <c r="H1414" s="11" t="s">
        <v>78</v>
      </c>
      <c r="I1414" s="97">
        <v>9.771445038E9</v>
      </c>
      <c r="J1414" s="11" t="s">
        <v>25</v>
      </c>
      <c r="K1414" s="12"/>
      <c r="L1414" s="13"/>
      <c r="M1414" s="14"/>
      <c r="N1414" s="15"/>
      <c r="O1414" s="5" t="s">
        <v>564</v>
      </c>
      <c r="P1414" s="5" t="s">
        <v>5810</v>
      </c>
      <c r="Q1414" s="15"/>
      <c r="R1414" s="16" t="s">
        <v>28</v>
      </c>
      <c r="S1414" s="15"/>
      <c r="T1414" s="15"/>
      <c r="U1414" s="15"/>
      <c r="V1414" s="15"/>
      <c r="W1414" s="15"/>
      <c r="X1414" s="15"/>
      <c r="Y1414" s="15"/>
      <c r="Z1414" s="15"/>
      <c r="AA1414" s="15"/>
    </row>
    <row r="1415">
      <c r="A1415" s="5" t="s">
        <v>5803</v>
      </c>
      <c r="B1415" s="6" t="s">
        <v>5811</v>
      </c>
      <c r="C1415" s="40" t="s">
        <v>5812</v>
      </c>
      <c r="D1415" s="8"/>
      <c r="E1415" s="8" t="s">
        <v>5813</v>
      </c>
      <c r="F1415" s="90" t="s">
        <v>5814</v>
      </c>
      <c r="G1415" s="97" t="s">
        <v>5815</v>
      </c>
      <c r="H1415" s="11" t="s">
        <v>1414</v>
      </c>
      <c r="I1415" s="97">
        <v>6.295975474E9</v>
      </c>
      <c r="J1415" s="11" t="s">
        <v>25</v>
      </c>
      <c r="K1415" s="12"/>
      <c r="L1415" s="13"/>
      <c r="M1415" s="14"/>
      <c r="N1415" s="15"/>
      <c r="O1415" s="5" t="s">
        <v>564</v>
      </c>
      <c r="P1415" s="15"/>
      <c r="Q1415" s="15"/>
      <c r="R1415" s="16" t="s">
        <v>28</v>
      </c>
      <c r="S1415" s="15"/>
      <c r="T1415" s="15"/>
      <c r="U1415" s="15"/>
      <c r="V1415" s="15"/>
      <c r="W1415" s="15"/>
      <c r="X1415" s="15"/>
      <c r="Y1415" s="15"/>
      <c r="Z1415" s="15"/>
      <c r="AA1415" s="15"/>
    </row>
    <row r="1416">
      <c r="A1416" s="5" t="s">
        <v>5803</v>
      </c>
      <c r="B1416" s="6" t="s">
        <v>5816</v>
      </c>
      <c r="C1416" s="40" t="s">
        <v>5817</v>
      </c>
      <c r="D1416" s="8"/>
      <c r="E1416" s="8" t="s">
        <v>1520</v>
      </c>
      <c r="F1416" s="90">
        <v>5000.0</v>
      </c>
      <c r="G1416" s="97" t="s">
        <v>5818</v>
      </c>
      <c r="H1416" s="11" t="s">
        <v>44</v>
      </c>
      <c r="I1416" s="97">
        <v>9.733553696E9</v>
      </c>
      <c r="J1416" s="11" t="s">
        <v>25</v>
      </c>
      <c r="K1416" s="12" t="s">
        <v>890</v>
      </c>
      <c r="L1416" s="13"/>
      <c r="M1416" s="14"/>
      <c r="N1416" s="15"/>
      <c r="O1416" s="5" t="s">
        <v>564</v>
      </c>
      <c r="P1416" s="15"/>
      <c r="Q1416" s="15"/>
      <c r="R1416" s="16" t="s">
        <v>28</v>
      </c>
      <c r="S1416" s="15"/>
      <c r="T1416" s="15"/>
      <c r="U1416" s="15"/>
      <c r="V1416" s="15"/>
      <c r="W1416" s="15"/>
      <c r="X1416" s="15"/>
      <c r="Y1416" s="15"/>
      <c r="Z1416" s="15"/>
      <c r="AA1416" s="15"/>
    </row>
    <row r="1417">
      <c r="A1417" s="5" t="s">
        <v>5803</v>
      </c>
      <c r="B1417" s="6" t="s">
        <v>5819</v>
      </c>
      <c r="C1417" s="40" t="s">
        <v>5820</v>
      </c>
      <c r="D1417" s="8"/>
      <c r="E1417" s="8" t="s">
        <v>412</v>
      </c>
      <c r="F1417" s="90">
        <v>500.0</v>
      </c>
      <c r="G1417" s="97" t="s">
        <v>5821</v>
      </c>
      <c r="H1417" s="11" t="s">
        <v>1461</v>
      </c>
      <c r="I1417" s="97">
        <v>9.828724506E9</v>
      </c>
      <c r="J1417" s="11" t="s">
        <v>25</v>
      </c>
      <c r="K1417" s="12"/>
      <c r="L1417" s="13"/>
      <c r="M1417" s="14"/>
      <c r="N1417" s="15"/>
      <c r="O1417" s="5" t="s">
        <v>108</v>
      </c>
      <c r="P1417" s="5" t="s">
        <v>5822</v>
      </c>
      <c r="Q1417" s="15"/>
      <c r="R1417" s="16" t="s">
        <v>28</v>
      </c>
      <c r="S1417" s="15"/>
      <c r="T1417" s="15"/>
      <c r="U1417" s="15"/>
      <c r="V1417" s="15"/>
      <c r="W1417" s="15"/>
      <c r="X1417" s="15"/>
      <c r="Y1417" s="15"/>
      <c r="Z1417" s="15"/>
      <c r="AA1417" s="15"/>
    </row>
    <row r="1418">
      <c r="A1418" s="5" t="s">
        <v>5803</v>
      </c>
      <c r="B1418" s="6" t="s">
        <v>5823</v>
      </c>
      <c r="C1418" s="40" t="s">
        <v>5824</v>
      </c>
      <c r="D1418" s="8"/>
      <c r="E1418" s="8" t="s">
        <v>4000</v>
      </c>
      <c r="F1418" s="90">
        <v>12000.0</v>
      </c>
      <c r="G1418" s="97" t="s">
        <v>5825</v>
      </c>
      <c r="H1418" s="11" t="s">
        <v>44</v>
      </c>
      <c r="I1418" s="97">
        <v>9.163670233E9</v>
      </c>
      <c r="J1418" s="11" t="s">
        <v>25</v>
      </c>
      <c r="K1418" s="12"/>
      <c r="L1418" s="13"/>
      <c r="M1418" s="14"/>
      <c r="N1418" s="15"/>
      <c r="O1418" s="5" t="s">
        <v>26</v>
      </c>
      <c r="P1418" s="5" t="s">
        <v>5826</v>
      </c>
      <c r="Q1418" s="15"/>
      <c r="R1418" s="16" t="s">
        <v>28</v>
      </c>
      <c r="S1418" s="15"/>
      <c r="T1418" s="15"/>
      <c r="U1418" s="15"/>
      <c r="V1418" s="15"/>
      <c r="W1418" s="15"/>
      <c r="X1418" s="15"/>
      <c r="Y1418" s="15"/>
      <c r="Z1418" s="15"/>
      <c r="AA1418" s="15"/>
    </row>
    <row r="1419">
      <c r="A1419" s="5" t="s">
        <v>5803</v>
      </c>
      <c r="B1419" s="6" t="s">
        <v>5827</v>
      </c>
      <c r="C1419" s="40" t="s">
        <v>5828</v>
      </c>
      <c r="D1419" s="8"/>
      <c r="E1419" s="8" t="s">
        <v>152</v>
      </c>
      <c r="F1419" s="90">
        <v>10000.0</v>
      </c>
      <c r="G1419" s="97" t="s">
        <v>5829</v>
      </c>
      <c r="H1419" s="11" t="s">
        <v>44</v>
      </c>
      <c r="I1419" s="97">
        <v>8.336877227E9</v>
      </c>
      <c r="J1419" s="11" t="s">
        <v>25</v>
      </c>
      <c r="K1419" s="12"/>
      <c r="L1419" s="13"/>
      <c r="M1419" s="14"/>
      <c r="N1419" s="15"/>
      <c r="O1419" s="5" t="s">
        <v>564</v>
      </c>
      <c r="P1419" s="5" t="s">
        <v>5830</v>
      </c>
      <c r="Q1419" s="15"/>
      <c r="R1419" s="16" t="s">
        <v>28</v>
      </c>
      <c r="S1419" s="15"/>
      <c r="T1419" s="15"/>
      <c r="U1419" s="15"/>
      <c r="V1419" s="15"/>
      <c r="W1419" s="15"/>
      <c r="X1419" s="15"/>
      <c r="Y1419" s="15"/>
      <c r="Z1419" s="15"/>
      <c r="AA1419" s="15"/>
    </row>
    <row r="1420">
      <c r="A1420" s="5" t="s">
        <v>5803</v>
      </c>
      <c r="B1420" s="6" t="s">
        <v>5831</v>
      </c>
      <c r="C1420" s="40" t="s">
        <v>5832</v>
      </c>
      <c r="D1420" s="8"/>
      <c r="E1420" s="8" t="s">
        <v>1280</v>
      </c>
      <c r="F1420" s="90">
        <v>2000.0</v>
      </c>
      <c r="G1420" s="97" t="s">
        <v>5833</v>
      </c>
      <c r="H1420" s="11" t="s">
        <v>5834</v>
      </c>
      <c r="I1420" s="97">
        <v>7.797117435E9</v>
      </c>
      <c r="J1420" s="11" t="s">
        <v>4008</v>
      </c>
      <c r="K1420" s="12"/>
      <c r="L1420" s="13"/>
      <c r="M1420" s="14"/>
      <c r="N1420" s="15"/>
      <c r="O1420" s="5" t="s">
        <v>34</v>
      </c>
      <c r="P1420" s="11" t="s">
        <v>5835</v>
      </c>
      <c r="Q1420" s="15"/>
      <c r="R1420" s="16" t="s">
        <v>723</v>
      </c>
      <c r="S1420" s="15"/>
      <c r="T1420" s="15"/>
      <c r="U1420" s="15"/>
      <c r="V1420" s="15"/>
      <c r="W1420" s="15"/>
      <c r="X1420" s="15"/>
      <c r="Y1420" s="15"/>
      <c r="Z1420" s="15"/>
      <c r="AA1420" s="15"/>
    </row>
    <row r="1421">
      <c r="A1421" s="5" t="s">
        <v>5803</v>
      </c>
      <c r="B1421" s="6" t="s">
        <v>5836</v>
      </c>
      <c r="C1421" s="40" t="s">
        <v>5286</v>
      </c>
      <c r="D1421" s="8"/>
      <c r="E1421" s="8" t="s">
        <v>189</v>
      </c>
      <c r="F1421" s="90">
        <v>10000.0</v>
      </c>
      <c r="G1421" s="97" t="s">
        <v>5287</v>
      </c>
      <c r="H1421" s="11" t="s">
        <v>158</v>
      </c>
      <c r="I1421" s="97">
        <v>8.001700987E9</v>
      </c>
      <c r="J1421" s="11" t="s">
        <v>25</v>
      </c>
      <c r="K1421" s="12"/>
      <c r="L1421" s="13"/>
      <c r="M1421" s="14"/>
      <c r="N1421" s="15"/>
      <c r="O1421" s="5" t="s">
        <v>34</v>
      </c>
      <c r="P1421" s="5" t="s">
        <v>55</v>
      </c>
      <c r="Q1421" s="15"/>
      <c r="R1421" s="16" t="s">
        <v>723</v>
      </c>
      <c r="S1421" s="15"/>
      <c r="T1421" s="15"/>
      <c r="U1421" s="15"/>
      <c r="V1421" s="15"/>
      <c r="W1421" s="15"/>
      <c r="X1421" s="15"/>
      <c r="Y1421" s="15"/>
      <c r="Z1421" s="15"/>
      <c r="AA1421" s="15"/>
    </row>
    <row r="1422">
      <c r="A1422" s="5" t="s">
        <v>5803</v>
      </c>
      <c r="B1422" s="6" t="s">
        <v>5837</v>
      </c>
      <c r="C1422" s="40" t="s">
        <v>5838</v>
      </c>
      <c r="D1422" s="8"/>
      <c r="E1422" s="8" t="s">
        <v>5502</v>
      </c>
      <c r="F1422" s="90" t="s">
        <v>5839</v>
      </c>
      <c r="G1422" s="97" t="s">
        <v>5840</v>
      </c>
      <c r="H1422" s="11" t="s">
        <v>5776</v>
      </c>
      <c r="I1422" s="97">
        <v>7.977827527E9</v>
      </c>
      <c r="J1422" s="11" t="s">
        <v>25</v>
      </c>
      <c r="K1422" s="12"/>
      <c r="L1422" s="13"/>
      <c r="M1422" s="14"/>
      <c r="N1422" s="15"/>
      <c r="O1422" s="5" t="s">
        <v>108</v>
      </c>
      <c r="P1422" s="15"/>
      <c r="Q1422" s="15"/>
      <c r="R1422" s="16" t="s">
        <v>28</v>
      </c>
      <c r="S1422" s="15"/>
      <c r="T1422" s="15"/>
      <c r="U1422" s="15"/>
      <c r="V1422" s="15"/>
      <c r="W1422" s="15"/>
      <c r="X1422" s="15"/>
      <c r="Y1422" s="15"/>
      <c r="Z1422" s="15"/>
      <c r="AA1422" s="15"/>
    </row>
    <row r="1423">
      <c r="A1423" s="5" t="s">
        <v>5841</v>
      </c>
      <c r="B1423" s="6" t="s">
        <v>5842</v>
      </c>
      <c r="C1423" s="40" t="s">
        <v>5843</v>
      </c>
      <c r="D1423" s="8"/>
      <c r="E1423" s="8" t="s">
        <v>5844</v>
      </c>
      <c r="F1423" s="90">
        <v>1000.0</v>
      </c>
      <c r="G1423" s="97" t="s">
        <v>5845</v>
      </c>
      <c r="H1423" s="11" t="s">
        <v>4288</v>
      </c>
      <c r="I1423" s="97">
        <v>9.749005779E9</v>
      </c>
      <c r="J1423" s="11" t="s">
        <v>25</v>
      </c>
      <c r="K1423" s="12"/>
      <c r="L1423" s="13"/>
      <c r="M1423" s="14"/>
      <c r="N1423" s="15"/>
      <c r="O1423" s="5" t="s">
        <v>564</v>
      </c>
      <c r="P1423" s="15"/>
      <c r="Q1423" s="15"/>
      <c r="R1423" s="16" t="s">
        <v>28</v>
      </c>
      <c r="S1423" s="15"/>
      <c r="T1423" s="15"/>
      <c r="U1423" s="15"/>
      <c r="V1423" s="15"/>
      <c r="W1423" s="15"/>
      <c r="X1423" s="15"/>
      <c r="Y1423" s="15"/>
      <c r="Z1423" s="15"/>
      <c r="AA1423" s="15"/>
    </row>
    <row r="1424">
      <c r="A1424" s="5" t="s">
        <v>5841</v>
      </c>
      <c r="B1424" s="6" t="s">
        <v>5846</v>
      </c>
      <c r="C1424" s="40" t="s">
        <v>5847</v>
      </c>
      <c r="D1424" s="8"/>
      <c r="E1424" s="8" t="s">
        <v>43</v>
      </c>
      <c r="F1424" s="90">
        <v>30000.0</v>
      </c>
      <c r="G1424" s="97" t="s">
        <v>5848</v>
      </c>
      <c r="H1424" s="11" t="s">
        <v>977</v>
      </c>
      <c r="I1424" s="97">
        <v>7.004200926E9</v>
      </c>
      <c r="J1424" s="11" t="s">
        <v>4008</v>
      </c>
      <c r="K1424" s="12"/>
      <c r="L1424" s="13"/>
      <c r="M1424" s="14"/>
      <c r="N1424" s="15"/>
      <c r="O1424" s="5" t="s">
        <v>34</v>
      </c>
      <c r="P1424" s="5" t="s">
        <v>727</v>
      </c>
      <c r="Q1424" s="15"/>
      <c r="R1424" s="16" t="s">
        <v>28</v>
      </c>
      <c r="S1424" s="15"/>
      <c r="T1424" s="15"/>
      <c r="U1424" s="15"/>
      <c r="V1424" s="15"/>
      <c r="W1424" s="15"/>
      <c r="X1424" s="15"/>
      <c r="Y1424" s="15"/>
      <c r="Z1424" s="15"/>
      <c r="AA1424" s="15"/>
    </row>
    <row r="1425">
      <c r="A1425" s="5" t="s">
        <v>5841</v>
      </c>
      <c r="B1425" s="6" t="s">
        <v>5849</v>
      </c>
      <c r="C1425" s="40" t="s">
        <v>5850</v>
      </c>
      <c r="D1425" s="8"/>
      <c r="E1425" s="8" t="s">
        <v>130</v>
      </c>
      <c r="F1425" s="90">
        <v>5000.0</v>
      </c>
      <c r="G1425" s="97"/>
      <c r="H1425" s="11" t="s">
        <v>555</v>
      </c>
      <c r="I1425" s="97">
        <v>7.250900405E9</v>
      </c>
      <c r="J1425" s="11" t="s">
        <v>25</v>
      </c>
      <c r="K1425" s="12"/>
      <c r="L1425" s="13"/>
      <c r="M1425" s="14"/>
      <c r="N1425" s="15"/>
      <c r="O1425" s="5" t="s">
        <v>564</v>
      </c>
      <c r="P1425" s="5" t="s">
        <v>844</v>
      </c>
      <c r="Q1425" s="15"/>
      <c r="R1425" s="16" t="s">
        <v>28</v>
      </c>
      <c r="S1425" s="15"/>
      <c r="T1425" s="15"/>
      <c r="U1425" s="15"/>
      <c r="V1425" s="15"/>
      <c r="W1425" s="15"/>
      <c r="X1425" s="15"/>
      <c r="Y1425" s="15"/>
      <c r="Z1425" s="15"/>
      <c r="AA1425" s="15"/>
    </row>
    <row r="1426">
      <c r="A1426" s="5" t="s">
        <v>5841</v>
      </c>
      <c r="B1426" s="6" t="s">
        <v>5851</v>
      </c>
      <c r="C1426" s="40" t="s">
        <v>5852</v>
      </c>
      <c r="D1426" s="8"/>
      <c r="E1426" s="8" t="s">
        <v>5853</v>
      </c>
      <c r="F1426" s="90">
        <v>500.0</v>
      </c>
      <c r="G1426" s="97" t="s">
        <v>5854</v>
      </c>
      <c r="H1426" s="11" t="s">
        <v>4405</v>
      </c>
      <c r="I1426" s="97">
        <v>6.291671969E9</v>
      </c>
      <c r="J1426" s="11" t="s">
        <v>25</v>
      </c>
      <c r="K1426" s="12"/>
      <c r="L1426" s="13"/>
      <c r="M1426" s="14"/>
      <c r="N1426" s="15"/>
      <c r="O1426" s="5" t="s">
        <v>564</v>
      </c>
      <c r="P1426" s="15"/>
      <c r="Q1426" s="15"/>
      <c r="R1426" s="16" t="s">
        <v>28</v>
      </c>
      <c r="S1426" s="15"/>
      <c r="T1426" s="15"/>
      <c r="U1426" s="15"/>
      <c r="V1426" s="15"/>
      <c r="W1426" s="15"/>
      <c r="X1426" s="15"/>
      <c r="Y1426" s="15"/>
      <c r="Z1426" s="15"/>
      <c r="AA1426" s="15"/>
    </row>
    <row r="1427">
      <c r="A1427" s="5" t="s">
        <v>5841</v>
      </c>
      <c r="B1427" s="6" t="s">
        <v>5855</v>
      </c>
      <c r="C1427" s="40" t="s">
        <v>5856</v>
      </c>
      <c r="D1427" s="8"/>
      <c r="E1427" s="8" t="s">
        <v>4096</v>
      </c>
      <c r="F1427" s="90">
        <v>650.0</v>
      </c>
      <c r="G1427" s="97" t="s">
        <v>5857</v>
      </c>
      <c r="H1427" s="11" t="s">
        <v>107</v>
      </c>
      <c r="I1427" s="97">
        <v>7.250030944E9</v>
      </c>
      <c r="J1427" s="11" t="s">
        <v>25</v>
      </c>
      <c r="K1427" s="12"/>
      <c r="L1427" s="13"/>
      <c r="M1427" s="14"/>
      <c r="N1427" s="15"/>
      <c r="O1427" s="5" t="s">
        <v>108</v>
      </c>
      <c r="P1427" s="15"/>
      <c r="Q1427" s="15"/>
      <c r="R1427" s="16" t="s">
        <v>28</v>
      </c>
      <c r="S1427" s="15"/>
      <c r="T1427" s="15"/>
      <c r="U1427" s="15"/>
      <c r="V1427" s="15"/>
      <c r="W1427" s="15"/>
      <c r="X1427" s="15"/>
      <c r="Y1427" s="15"/>
      <c r="Z1427" s="15"/>
      <c r="AA1427" s="15"/>
    </row>
    <row r="1428">
      <c r="A1428" s="5" t="s">
        <v>5841</v>
      </c>
      <c r="B1428" s="6" t="s">
        <v>5858</v>
      </c>
      <c r="C1428" s="40" t="s">
        <v>5859</v>
      </c>
      <c r="D1428" s="8"/>
      <c r="E1428" s="8" t="s">
        <v>5676</v>
      </c>
      <c r="F1428" s="90">
        <v>5000.0</v>
      </c>
      <c r="G1428" s="97" t="s">
        <v>5860</v>
      </c>
      <c r="H1428" s="11" t="s">
        <v>5861</v>
      </c>
      <c r="I1428" s="97">
        <v>7.003492493E9</v>
      </c>
      <c r="J1428" s="11" t="s">
        <v>25</v>
      </c>
      <c r="K1428" s="12"/>
      <c r="L1428" s="13"/>
      <c r="M1428" s="14"/>
      <c r="N1428" s="15"/>
      <c r="O1428" s="5" t="s">
        <v>564</v>
      </c>
      <c r="P1428" s="15"/>
      <c r="Q1428" s="15"/>
      <c r="R1428" s="16" t="s">
        <v>28</v>
      </c>
      <c r="S1428" s="15"/>
      <c r="T1428" s="15"/>
      <c r="U1428" s="15"/>
      <c r="V1428" s="15"/>
      <c r="W1428" s="15"/>
      <c r="X1428" s="15"/>
      <c r="Y1428" s="15"/>
      <c r="Z1428" s="15"/>
      <c r="AA1428" s="15"/>
    </row>
    <row r="1429">
      <c r="A1429" s="5" t="s">
        <v>5862</v>
      </c>
      <c r="B1429" s="6" t="s">
        <v>5863</v>
      </c>
      <c r="C1429" s="40" t="s">
        <v>5864</v>
      </c>
      <c r="D1429" s="8"/>
      <c r="E1429" s="8" t="s">
        <v>5238</v>
      </c>
      <c r="F1429" s="90">
        <v>600.0</v>
      </c>
      <c r="G1429" s="97" t="s">
        <v>5865</v>
      </c>
      <c r="H1429" s="11" t="s">
        <v>4389</v>
      </c>
      <c r="I1429" s="97">
        <v>7.978279576E9</v>
      </c>
      <c r="J1429" s="11" t="s">
        <v>4008</v>
      </c>
      <c r="K1429" s="12"/>
      <c r="L1429" s="13"/>
      <c r="M1429" s="14"/>
      <c r="N1429" s="15"/>
      <c r="O1429" s="5" t="s">
        <v>34</v>
      </c>
      <c r="P1429" s="5" t="s">
        <v>5866</v>
      </c>
      <c r="Q1429" s="15"/>
      <c r="R1429" s="16" t="s">
        <v>723</v>
      </c>
      <c r="S1429" s="15"/>
      <c r="T1429" s="15"/>
      <c r="U1429" s="15"/>
      <c r="V1429" s="15"/>
      <c r="W1429" s="15"/>
      <c r="X1429" s="15"/>
      <c r="Y1429" s="15"/>
      <c r="Z1429" s="15"/>
      <c r="AA1429" s="15"/>
    </row>
    <row r="1430">
      <c r="A1430" s="5" t="s">
        <v>5862</v>
      </c>
      <c r="B1430" s="6" t="s">
        <v>5867</v>
      </c>
      <c r="C1430" s="40" t="s">
        <v>5868</v>
      </c>
      <c r="D1430" s="8"/>
      <c r="E1430" s="8" t="s">
        <v>116</v>
      </c>
      <c r="F1430" s="90">
        <v>600.0</v>
      </c>
      <c r="G1430" s="97" t="s">
        <v>5869</v>
      </c>
      <c r="H1430" s="11" t="s">
        <v>5870</v>
      </c>
      <c r="I1430" s="97">
        <v>9.775178993E9</v>
      </c>
      <c r="J1430" s="11" t="s">
        <v>25</v>
      </c>
      <c r="K1430" s="12"/>
      <c r="L1430" s="13"/>
      <c r="M1430" s="14"/>
      <c r="N1430" s="15"/>
      <c r="O1430" s="5" t="s">
        <v>564</v>
      </c>
      <c r="P1430" s="15"/>
      <c r="Q1430" s="15"/>
      <c r="R1430" s="16" t="s">
        <v>28</v>
      </c>
      <c r="S1430" s="15"/>
      <c r="T1430" s="15"/>
      <c r="U1430" s="15"/>
      <c r="V1430" s="15"/>
      <c r="W1430" s="15"/>
      <c r="X1430" s="15"/>
      <c r="Y1430" s="15"/>
      <c r="Z1430" s="15"/>
      <c r="AA1430" s="15"/>
    </row>
    <row r="1431">
      <c r="A1431" s="5" t="s">
        <v>5862</v>
      </c>
      <c r="B1431" s="6" t="s">
        <v>5871</v>
      </c>
      <c r="C1431" s="40" t="s">
        <v>5872</v>
      </c>
      <c r="D1431" s="8"/>
      <c r="E1431" s="8" t="s">
        <v>2821</v>
      </c>
      <c r="F1431" s="90">
        <v>5000.0</v>
      </c>
      <c r="G1431" s="97" t="s">
        <v>5873</v>
      </c>
      <c r="H1431" s="11" t="s">
        <v>5874</v>
      </c>
      <c r="I1431" s="97">
        <v>9.933496414E9</v>
      </c>
      <c r="J1431" s="11" t="s">
        <v>25</v>
      </c>
      <c r="K1431" s="12"/>
      <c r="L1431" s="13"/>
      <c r="M1431" s="14"/>
      <c r="N1431" s="15"/>
      <c r="O1431" s="5" t="s">
        <v>34</v>
      </c>
      <c r="P1431" s="5" t="s">
        <v>777</v>
      </c>
      <c r="Q1431" s="15"/>
      <c r="R1431" s="16" t="s">
        <v>723</v>
      </c>
      <c r="S1431" s="15"/>
      <c r="T1431" s="15"/>
      <c r="U1431" s="15"/>
      <c r="V1431" s="15"/>
      <c r="W1431" s="15"/>
      <c r="X1431" s="15"/>
      <c r="Y1431" s="15"/>
      <c r="Z1431" s="15"/>
      <c r="AA1431" s="15"/>
    </row>
    <row r="1432">
      <c r="A1432" s="5" t="s">
        <v>5862</v>
      </c>
      <c r="B1432" s="6" t="s">
        <v>5875</v>
      </c>
      <c r="C1432" s="40" t="s">
        <v>5876</v>
      </c>
      <c r="D1432" s="8"/>
      <c r="E1432" s="8" t="s">
        <v>130</v>
      </c>
      <c r="F1432" s="90">
        <v>1000.0</v>
      </c>
      <c r="G1432" s="97" t="s">
        <v>5877</v>
      </c>
      <c r="H1432" s="11" t="s">
        <v>5878</v>
      </c>
      <c r="I1432" s="97">
        <v>8.766879421E9</v>
      </c>
      <c r="J1432" s="11" t="s">
        <v>25</v>
      </c>
      <c r="K1432" s="12"/>
      <c r="L1432" s="13"/>
      <c r="M1432" s="14"/>
      <c r="N1432" s="15"/>
      <c r="O1432" s="5" t="s">
        <v>108</v>
      </c>
      <c r="P1432" s="15"/>
      <c r="Q1432" s="15"/>
      <c r="R1432" s="16" t="s">
        <v>28</v>
      </c>
      <c r="S1432" s="15"/>
      <c r="T1432" s="15"/>
      <c r="U1432" s="15"/>
      <c r="V1432" s="15"/>
      <c r="W1432" s="15"/>
      <c r="X1432" s="15"/>
      <c r="Y1432" s="15"/>
      <c r="Z1432" s="15"/>
      <c r="AA1432" s="15"/>
    </row>
    <row r="1433">
      <c r="A1433" s="5" t="s">
        <v>5862</v>
      </c>
      <c r="B1433" s="6" t="s">
        <v>5879</v>
      </c>
      <c r="C1433" s="40" t="s">
        <v>5880</v>
      </c>
      <c r="D1433" s="8"/>
      <c r="E1433" s="8" t="s">
        <v>189</v>
      </c>
      <c r="F1433" s="90">
        <v>25000.0</v>
      </c>
      <c r="G1433" s="97" t="s">
        <v>5881</v>
      </c>
      <c r="H1433" s="11" t="s">
        <v>981</v>
      </c>
      <c r="I1433" s="97">
        <v>9.73291523E9</v>
      </c>
      <c r="J1433" s="11" t="s">
        <v>25</v>
      </c>
      <c r="K1433" s="12"/>
      <c r="L1433" s="13"/>
      <c r="M1433" s="14"/>
      <c r="N1433" s="15"/>
      <c r="O1433" s="5" t="s">
        <v>34</v>
      </c>
      <c r="P1433" s="5" t="s">
        <v>5882</v>
      </c>
      <c r="Q1433" s="15"/>
      <c r="R1433" s="16" t="s">
        <v>723</v>
      </c>
      <c r="S1433" s="15"/>
      <c r="T1433" s="15"/>
      <c r="U1433" s="15"/>
      <c r="V1433" s="15"/>
      <c r="W1433" s="15"/>
      <c r="X1433" s="15"/>
      <c r="Y1433" s="15"/>
      <c r="Z1433" s="15"/>
      <c r="AA1433" s="15"/>
    </row>
    <row r="1434">
      <c r="A1434" s="5" t="s">
        <v>5862</v>
      </c>
      <c r="B1434" s="6" t="s">
        <v>5883</v>
      </c>
      <c r="C1434" s="40" t="s">
        <v>5884</v>
      </c>
      <c r="D1434" s="8"/>
      <c r="E1434" s="8" t="s">
        <v>1217</v>
      </c>
      <c r="F1434" s="90">
        <v>10000.0</v>
      </c>
      <c r="G1434" s="97" t="s">
        <v>5885</v>
      </c>
      <c r="H1434" s="11" t="s">
        <v>4288</v>
      </c>
      <c r="I1434" s="97">
        <v>6.207835726E9</v>
      </c>
      <c r="J1434" s="11" t="s">
        <v>25</v>
      </c>
      <c r="K1434" s="12"/>
      <c r="L1434" s="13"/>
      <c r="M1434" s="14"/>
      <c r="N1434" s="15"/>
      <c r="O1434" s="5" t="s">
        <v>564</v>
      </c>
      <c r="P1434" s="15"/>
      <c r="Q1434" s="15"/>
      <c r="R1434" s="16" t="s">
        <v>28</v>
      </c>
      <c r="S1434" s="15"/>
      <c r="T1434" s="15"/>
      <c r="U1434" s="15"/>
      <c r="V1434" s="15"/>
      <c r="W1434" s="15"/>
      <c r="X1434" s="15"/>
      <c r="Y1434" s="15"/>
      <c r="Z1434" s="15"/>
      <c r="AA1434" s="15"/>
    </row>
    <row r="1435">
      <c r="A1435" s="5" t="s">
        <v>5862</v>
      </c>
      <c r="B1435" s="6" t="s">
        <v>5886</v>
      </c>
      <c r="C1435" s="40" t="s">
        <v>5887</v>
      </c>
      <c r="D1435" s="8"/>
      <c r="E1435" s="8" t="s">
        <v>92</v>
      </c>
      <c r="F1435" s="90">
        <v>1000.0</v>
      </c>
      <c r="G1435" s="97" t="s">
        <v>5888</v>
      </c>
      <c r="H1435" s="11" t="s">
        <v>3090</v>
      </c>
      <c r="I1435" s="97">
        <v>9.038162693E9</v>
      </c>
      <c r="J1435" s="11" t="s">
        <v>25</v>
      </c>
      <c r="K1435" s="12"/>
      <c r="L1435" s="13"/>
      <c r="M1435" s="14"/>
      <c r="N1435" s="15"/>
      <c r="O1435" s="5" t="s">
        <v>34</v>
      </c>
      <c r="P1435" s="15"/>
      <c r="Q1435" s="15"/>
      <c r="R1435" s="16" t="s">
        <v>28</v>
      </c>
      <c r="S1435" s="15"/>
      <c r="T1435" s="15"/>
      <c r="U1435" s="15"/>
      <c r="V1435" s="15"/>
      <c r="W1435" s="15"/>
      <c r="X1435" s="15"/>
      <c r="Y1435" s="15"/>
      <c r="Z1435" s="15"/>
      <c r="AA1435" s="15"/>
    </row>
    <row r="1436">
      <c r="A1436" s="5" t="s">
        <v>5862</v>
      </c>
      <c r="B1436" s="6" t="s">
        <v>5889</v>
      </c>
      <c r="C1436" s="40" t="s">
        <v>5890</v>
      </c>
      <c r="D1436" s="8"/>
      <c r="E1436" s="8" t="s">
        <v>5368</v>
      </c>
      <c r="F1436" s="90">
        <v>30000.0</v>
      </c>
      <c r="G1436" s="97" t="s">
        <v>5891</v>
      </c>
      <c r="H1436" s="11" t="s">
        <v>5892</v>
      </c>
      <c r="I1436" s="97">
        <v>9.775600606E9</v>
      </c>
      <c r="J1436" s="11" t="s">
        <v>25</v>
      </c>
      <c r="K1436" s="12"/>
      <c r="L1436" s="13"/>
      <c r="M1436" s="14"/>
      <c r="N1436" s="15"/>
      <c r="O1436" s="5" t="s">
        <v>564</v>
      </c>
      <c r="P1436" s="15"/>
      <c r="Q1436" s="15"/>
      <c r="R1436" s="16" t="s">
        <v>28</v>
      </c>
      <c r="S1436" s="15"/>
      <c r="T1436" s="15"/>
      <c r="U1436" s="15"/>
      <c r="V1436" s="15"/>
      <c r="W1436" s="15"/>
      <c r="X1436" s="15"/>
      <c r="Y1436" s="15"/>
      <c r="Z1436" s="15"/>
      <c r="AA1436" s="15"/>
    </row>
    <row r="1437">
      <c r="A1437" s="5" t="s">
        <v>5893</v>
      </c>
      <c r="B1437" s="6" t="s">
        <v>5894</v>
      </c>
      <c r="C1437" s="40" t="s">
        <v>5895</v>
      </c>
      <c r="D1437" s="8"/>
      <c r="E1437" s="8" t="s">
        <v>4507</v>
      </c>
      <c r="F1437" s="90">
        <v>35000.0</v>
      </c>
      <c r="G1437" s="97" t="s">
        <v>5896</v>
      </c>
      <c r="H1437" s="11" t="s">
        <v>99</v>
      </c>
      <c r="I1437" s="97">
        <v>9.861186943E9</v>
      </c>
      <c r="J1437" s="11" t="s">
        <v>25</v>
      </c>
      <c r="K1437" s="12"/>
      <c r="L1437" s="13"/>
      <c r="M1437" s="14"/>
      <c r="N1437" s="15"/>
      <c r="O1437" s="5" t="s">
        <v>564</v>
      </c>
      <c r="P1437" s="15"/>
      <c r="Q1437" s="15"/>
      <c r="R1437" s="16" t="s">
        <v>28</v>
      </c>
      <c r="S1437" s="15"/>
      <c r="T1437" s="15"/>
      <c r="U1437" s="15"/>
      <c r="V1437" s="15"/>
      <c r="W1437" s="15"/>
      <c r="X1437" s="15"/>
      <c r="Y1437" s="15"/>
      <c r="Z1437" s="15"/>
      <c r="AA1437" s="15"/>
    </row>
    <row r="1438">
      <c r="A1438" s="5" t="s">
        <v>5893</v>
      </c>
      <c r="B1438" s="6" t="s">
        <v>5897</v>
      </c>
      <c r="C1438" s="40" t="s">
        <v>5898</v>
      </c>
      <c r="D1438" s="8"/>
      <c r="E1438" s="8" t="s">
        <v>130</v>
      </c>
      <c r="F1438" s="90">
        <v>500.0</v>
      </c>
      <c r="G1438" s="97" t="s">
        <v>5899</v>
      </c>
      <c r="H1438" s="11" t="s">
        <v>44</v>
      </c>
      <c r="I1438" s="97">
        <v>9.836808742E9</v>
      </c>
      <c r="J1438" s="11" t="s">
        <v>25</v>
      </c>
      <c r="K1438" s="12"/>
      <c r="L1438" s="13"/>
      <c r="M1438" s="14"/>
      <c r="N1438" s="15"/>
      <c r="O1438" s="5" t="s">
        <v>34</v>
      </c>
      <c r="P1438" s="5" t="s">
        <v>5900</v>
      </c>
      <c r="Q1438" s="15"/>
      <c r="R1438" s="16" t="s">
        <v>28</v>
      </c>
      <c r="S1438" s="15"/>
      <c r="T1438" s="15"/>
      <c r="U1438" s="15"/>
      <c r="V1438" s="15"/>
      <c r="W1438" s="15"/>
      <c r="X1438" s="15"/>
      <c r="Y1438" s="15"/>
      <c r="Z1438" s="15"/>
      <c r="AA1438" s="15"/>
    </row>
    <row r="1439">
      <c r="A1439" s="5" t="s">
        <v>5893</v>
      </c>
      <c r="B1439" s="6" t="s">
        <v>5901</v>
      </c>
      <c r="C1439" s="40" t="s">
        <v>5902</v>
      </c>
      <c r="D1439" s="8"/>
      <c r="E1439" s="8" t="s">
        <v>130</v>
      </c>
      <c r="F1439" s="90">
        <v>500.0</v>
      </c>
      <c r="G1439" s="97" t="s">
        <v>5903</v>
      </c>
      <c r="H1439" s="11" t="s">
        <v>5904</v>
      </c>
      <c r="I1439" s="97">
        <v>8.637011401E9</v>
      </c>
      <c r="J1439" s="11" t="s">
        <v>25</v>
      </c>
      <c r="K1439" s="12"/>
      <c r="L1439" s="13"/>
      <c r="M1439" s="14"/>
      <c r="N1439" s="15"/>
      <c r="O1439" s="5" t="s">
        <v>34</v>
      </c>
      <c r="P1439" s="5" t="s">
        <v>55</v>
      </c>
      <c r="Q1439" s="15"/>
      <c r="R1439" s="16" t="s">
        <v>723</v>
      </c>
      <c r="S1439" s="15"/>
      <c r="T1439" s="15"/>
      <c r="U1439" s="15"/>
      <c r="V1439" s="15"/>
      <c r="W1439" s="15"/>
      <c r="X1439" s="15"/>
      <c r="Y1439" s="15"/>
      <c r="Z1439" s="15"/>
      <c r="AA1439" s="15"/>
    </row>
    <row r="1440">
      <c r="A1440" s="5" t="s">
        <v>5893</v>
      </c>
      <c r="B1440" s="6" t="s">
        <v>5905</v>
      </c>
      <c r="C1440" s="40" t="s">
        <v>5906</v>
      </c>
      <c r="D1440" s="8"/>
      <c r="E1440" s="8" t="s">
        <v>130</v>
      </c>
      <c r="F1440" s="90">
        <v>20000.0</v>
      </c>
      <c r="G1440" s="97" t="s">
        <v>5907</v>
      </c>
      <c r="H1440" s="11" t="s">
        <v>24</v>
      </c>
      <c r="I1440" s="97">
        <v>9.85251777E9</v>
      </c>
      <c r="J1440" s="11" t="s">
        <v>25</v>
      </c>
      <c r="K1440" s="12"/>
      <c r="L1440" s="13"/>
      <c r="M1440" s="14"/>
      <c r="N1440" s="15"/>
      <c r="O1440" s="5" t="s">
        <v>564</v>
      </c>
      <c r="P1440" s="15"/>
      <c r="Q1440" s="15"/>
      <c r="R1440" s="16" t="s">
        <v>28</v>
      </c>
      <c r="S1440" s="15"/>
      <c r="T1440" s="15"/>
      <c r="U1440" s="15"/>
      <c r="V1440" s="15"/>
      <c r="W1440" s="15"/>
      <c r="X1440" s="15"/>
      <c r="Y1440" s="15"/>
      <c r="Z1440" s="15"/>
      <c r="AA1440" s="15"/>
    </row>
    <row r="1441">
      <c r="A1441" s="5" t="s">
        <v>5893</v>
      </c>
      <c r="B1441" s="6" t="s">
        <v>5908</v>
      </c>
      <c r="C1441" s="40" t="s">
        <v>5909</v>
      </c>
      <c r="D1441" s="8"/>
      <c r="E1441" s="8" t="s">
        <v>189</v>
      </c>
      <c r="F1441" s="90">
        <v>5000.0</v>
      </c>
      <c r="G1441" s="97" t="s">
        <v>5910</v>
      </c>
      <c r="H1441" s="11" t="s">
        <v>99</v>
      </c>
      <c r="I1441" s="41" t="s">
        <v>5911</v>
      </c>
      <c r="J1441" s="11" t="s">
        <v>25</v>
      </c>
      <c r="K1441" s="12"/>
      <c r="L1441" s="13"/>
      <c r="M1441" s="14"/>
      <c r="N1441" s="15"/>
      <c r="O1441" s="5" t="s">
        <v>34</v>
      </c>
      <c r="P1441" s="5" t="s">
        <v>5912</v>
      </c>
      <c r="Q1441" s="15"/>
      <c r="R1441" s="16" t="s">
        <v>28</v>
      </c>
      <c r="S1441" s="15"/>
      <c r="T1441" s="15"/>
      <c r="U1441" s="15"/>
      <c r="V1441" s="15"/>
      <c r="W1441" s="15"/>
      <c r="X1441" s="15"/>
      <c r="Y1441" s="15"/>
      <c r="Z1441" s="15"/>
      <c r="AA1441" s="15"/>
    </row>
    <row r="1442">
      <c r="A1442" s="5" t="s">
        <v>5893</v>
      </c>
      <c r="B1442" s="6" t="s">
        <v>5913</v>
      </c>
      <c r="C1442" s="40" t="s">
        <v>5914</v>
      </c>
      <c r="D1442" s="8"/>
      <c r="E1442" s="8" t="s">
        <v>1217</v>
      </c>
      <c r="F1442" s="90">
        <v>2200.0</v>
      </c>
      <c r="G1442" s="97" t="s">
        <v>5915</v>
      </c>
      <c r="H1442" s="11" t="s">
        <v>5916</v>
      </c>
      <c r="I1442" s="97">
        <v>9.681929132E9</v>
      </c>
      <c r="J1442" s="11" t="s">
        <v>4008</v>
      </c>
      <c r="K1442" s="12"/>
      <c r="L1442" s="13"/>
      <c r="M1442" s="14"/>
      <c r="N1442" s="15"/>
      <c r="O1442" s="5" t="s">
        <v>564</v>
      </c>
      <c r="P1442" s="15"/>
      <c r="Q1442" s="15"/>
      <c r="R1442" s="16" t="s">
        <v>28</v>
      </c>
      <c r="S1442" s="15"/>
      <c r="T1442" s="15"/>
      <c r="U1442" s="15"/>
      <c r="V1442" s="15"/>
      <c r="W1442" s="15"/>
      <c r="X1442" s="15"/>
      <c r="Y1442" s="15"/>
      <c r="Z1442" s="15"/>
      <c r="AA1442" s="15"/>
    </row>
    <row r="1443">
      <c r="A1443" s="5" t="s">
        <v>5893</v>
      </c>
      <c r="B1443" s="6" t="s">
        <v>5917</v>
      </c>
      <c r="C1443" s="40" t="s">
        <v>5918</v>
      </c>
      <c r="D1443" s="8"/>
      <c r="E1443" s="8" t="s">
        <v>4000</v>
      </c>
      <c r="F1443" s="90">
        <v>10000.0</v>
      </c>
      <c r="G1443" s="97" t="s">
        <v>5919</v>
      </c>
      <c r="H1443" s="11" t="s">
        <v>5920</v>
      </c>
      <c r="I1443" s="97">
        <v>8.016296577E9</v>
      </c>
      <c r="J1443" s="11" t="s">
        <v>25</v>
      </c>
      <c r="K1443" s="12"/>
      <c r="L1443" s="13"/>
      <c r="M1443" s="14"/>
      <c r="N1443" s="15"/>
      <c r="O1443" s="5" t="s">
        <v>34</v>
      </c>
      <c r="P1443" s="5" t="s">
        <v>5921</v>
      </c>
      <c r="Q1443" s="15"/>
      <c r="R1443" s="16" t="s">
        <v>723</v>
      </c>
      <c r="S1443" s="15"/>
      <c r="T1443" s="15"/>
      <c r="U1443" s="15"/>
      <c r="V1443" s="15"/>
      <c r="W1443" s="15"/>
      <c r="X1443" s="15"/>
      <c r="Y1443" s="15"/>
      <c r="Z1443" s="15"/>
      <c r="AA1443" s="15"/>
    </row>
    <row r="1444">
      <c r="A1444" s="5" t="s">
        <v>5893</v>
      </c>
      <c r="B1444" s="6" t="s">
        <v>5922</v>
      </c>
      <c r="C1444" s="40" t="s">
        <v>5923</v>
      </c>
      <c r="D1444" s="8"/>
      <c r="E1444" s="8" t="s">
        <v>2335</v>
      </c>
      <c r="F1444" s="90">
        <v>10000.0</v>
      </c>
      <c r="G1444" s="97" t="s">
        <v>5924</v>
      </c>
      <c r="H1444" s="11" t="s">
        <v>44</v>
      </c>
      <c r="I1444" s="97">
        <v>7.003934599E9</v>
      </c>
      <c r="J1444" s="11" t="s">
        <v>4008</v>
      </c>
      <c r="K1444" s="12"/>
      <c r="L1444" s="13"/>
      <c r="M1444" s="14"/>
      <c r="N1444" s="15"/>
      <c r="O1444" s="5" t="s">
        <v>34</v>
      </c>
      <c r="P1444" s="5" t="s">
        <v>5925</v>
      </c>
      <c r="Q1444" s="15"/>
      <c r="R1444" s="16" t="s">
        <v>28</v>
      </c>
      <c r="S1444" s="15"/>
      <c r="T1444" s="15"/>
      <c r="U1444" s="15"/>
      <c r="V1444" s="15"/>
      <c r="W1444" s="15"/>
      <c r="X1444" s="15"/>
      <c r="Y1444" s="15"/>
      <c r="Z1444" s="15"/>
      <c r="AA1444" s="15"/>
    </row>
    <row r="1445">
      <c r="A1445" s="5" t="s">
        <v>5893</v>
      </c>
      <c r="B1445" s="6" t="s">
        <v>5926</v>
      </c>
      <c r="C1445" s="40" t="s">
        <v>5927</v>
      </c>
      <c r="D1445" s="8"/>
      <c r="E1445" s="8" t="s">
        <v>5928</v>
      </c>
      <c r="F1445" s="90">
        <v>1000.0</v>
      </c>
      <c r="G1445" s="97" t="s">
        <v>5929</v>
      </c>
      <c r="H1445" s="11" t="s">
        <v>5044</v>
      </c>
      <c r="I1445" s="97">
        <v>9.8311801E9</v>
      </c>
      <c r="J1445" s="11" t="s">
        <v>25</v>
      </c>
      <c r="K1445" s="12"/>
      <c r="L1445" s="13"/>
      <c r="M1445" s="14"/>
      <c r="N1445" s="15"/>
      <c r="O1445" s="5" t="s">
        <v>564</v>
      </c>
      <c r="P1445" s="15"/>
      <c r="Q1445" s="15"/>
      <c r="R1445" s="16" t="s">
        <v>28</v>
      </c>
      <c r="S1445" s="15"/>
      <c r="T1445" s="15"/>
      <c r="U1445" s="15"/>
      <c r="V1445" s="15"/>
      <c r="W1445" s="15"/>
      <c r="X1445" s="15"/>
      <c r="Y1445" s="15"/>
      <c r="Z1445" s="15"/>
      <c r="AA1445" s="15"/>
    </row>
    <row r="1446">
      <c r="A1446" s="5" t="s">
        <v>5893</v>
      </c>
      <c r="B1446" s="6" t="s">
        <v>5930</v>
      </c>
      <c r="C1446" s="40" t="s">
        <v>5931</v>
      </c>
      <c r="D1446" s="8"/>
      <c r="E1446" s="8" t="s">
        <v>5054</v>
      </c>
      <c r="F1446" s="90">
        <v>3000.0</v>
      </c>
      <c r="G1446" s="97" t="s">
        <v>5932</v>
      </c>
      <c r="H1446" s="11" t="s">
        <v>5933</v>
      </c>
      <c r="I1446" s="97">
        <v>9.874735838E9</v>
      </c>
      <c r="J1446" s="11" t="s">
        <v>25</v>
      </c>
      <c r="K1446" s="12"/>
      <c r="L1446" s="13"/>
      <c r="M1446" s="14"/>
      <c r="N1446" s="15"/>
      <c r="O1446" s="5" t="s">
        <v>564</v>
      </c>
      <c r="P1446" s="15"/>
      <c r="Q1446" s="15"/>
      <c r="R1446" s="16" t="s">
        <v>28</v>
      </c>
      <c r="S1446" s="15"/>
      <c r="T1446" s="15"/>
      <c r="U1446" s="15"/>
      <c r="V1446" s="15"/>
      <c r="W1446" s="15"/>
      <c r="X1446" s="15"/>
      <c r="Y1446" s="15"/>
      <c r="Z1446" s="15"/>
      <c r="AA1446" s="15"/>
    </row>
    <row r="1447">
      <c r="A1447" s="5" t="s">
        <v>5893</v>
      </c>
      <c r="B1447" s="6" t="s">
        <v>5934</v>
      </c>
      <c r="C1447" s="40" t="s">
        <v>5935</v>
      </c>
      <c r="D1447" s="8"/>
      <c r="E1447" s="8" t="s">
        <v>4096</v>
      </c>
      <c r="F1447" s="90">
        <v>1500.0</v>
      </c>
      <c r="G1447" s="97" t="s">
        <v>5936</v>
      </c>
      <c r="H1447" s="11" t="s">
        <v>5521</v>
      </c>
      <c r="I1447" s="97">
        <v>9.8302518E9</v>
      </c>
      <c r="J1447" s="11" t="s">
        <v>25</v>
      </c>
      <c r="K1447" s="12"/>
      <c r="L1447" s="13"/>
      <c r="M1447" s="14"/>
      <c r="N1447" s="15"/>
      <c r="O1447" s="5" t="s">
        <v>564</v>
      </c>
      <c r="P1447" s="15"/>
      <c r="Q1447" s="15"/>
      <c r="R1447" s="16" t="s">
        <v>28</v>
      </c>
      <c r="S1447" s="15"/>
      <c r="T1447" s="15"/>
      <c r="U1447" s="15"/>
      <c r="V1447" s="15"/>
      <c r="W1447" s="15"/>
      <c r="X1447" s="15"/>
      <c r="Y1447" s="15"/>
      <c r="Z1447" s="15"/>
      <c r="AA1447" s="15"/>
    </row>
    <row r="1448">
      <c r="A1448" s="5" t="s">
        <v>5893</v>
      </c>
      <c r="B1448" s="6" t="s">
        <v>5937</v>
      </c>
      <c r="C1448" s="40" t="s">
        <v>5938</v>
      </c>
      <c r="D1448" s="8"/>
      <c r="E1448" s="8" t="s">
        <v>5054</v>
      </c>
      <c r="F1448" s="90">
        <v>500.0</v>
      </c>
      <c r="G1448" s="97" t="s">
        <v>5939</v>
      </c>
      <c r="H1448" s="11" t="s">
        <v>44</v>
      </c>
      <c r="I1448" s="97">
        <v>8.777260526E9</v>
      </c>
      <c r="J1448" s="11" t="s">
        <v>25</v>
      </c>
      <c r="K1448" s="12"/>
      <c r="L1448" s="13"/>
      <c r="M1448" s="11" t="s">
        <v>5940</v>
      </c>
      <c r="N1448" s="5" t="s">
        <v>5941</v>
      </c>
      <c r="O1448" s="5" t="s">
        <v>34</v>
      </c>
      <c r="P1448" s="5" t="s">
        <v>79</v>
      </c>
      <c r="Q1448" s="15"/>
      <c r="R1448" s="16" t="s">
        <v>28</v>
      </c>
      <c r="S1448" s="15"/>
      <c r="T1448" s="15"/>
      <c r="U1448" s="15"/>
      <c r="V1448" s="15"/>
      <c r="W1448" s="15"/>
      <c r="X1448" s="15"/>
      <c r="Y1448" s="15"/>
      <c r="Z1448" s="15"/>
      <c r="AA1448" s="15"/>
    </row>
    <row r="1449">
      <c r="A1449" s="5" t="s">
        <v>5893</v>
      </c>
      <c r="B1449" s="6" t="s">
        <v>5942</v>
      </c>
      <c r="C1449" s="40" t="s">
        <v>5568</v>
      </c>
      <c r="D1449" s="8"/>
      <c r="E1449" s="8" t="s">
        <v>189</v>
      </c>
      <c r="F1449" s="90">
        <v>25000.0</v>
      </c>
      <c r="G1449" s="97" t="s">
        <v>5943</v>
      </c>
      <c r="H1449" s="11" t="s">
        <v>5944</v>
      </c>
      <c r="I1449" s="97">
        <v>9.86724607E9</v>
      </c>
      <c r="J1449" s="11" t="s">
        <v>25</v>
      </c>
      <c r="K1449" s="12"/>
      <c r="L1449" s="13"/>
      <c r="M1449" s="14"/>
      <c r="N1449" s="15"/>
      <c r="O1449" s="5" t="s">
        <v>564</v>
      </c>
      <c r="P1449" s="15"/>
      <c r="Q1449" s="15"/>
      <c r="R1449" s="16" t="s">
        <v>28</v>
      </c>
      <c r="S1449" s="15"/>
      <c r="T1449" s="15"/>
      <c r="U1449" s="15"/>
      <c r="V1449" s="15"/>
      <c r="W1449" s="15"/>
      <c r="X1449" s="15"/>
      <c r="Y1449" s="15"/>
      <c r="Z1449" s="15"/>
      <c r="AA1449" s="15"/>
    </row>
    <row r="1450">
      <c r="A1450" s="5" t="s">
        <v>5945</v>
      </c>
      <c r="B1450" s="6" t="s">
        <v>5946</v>
      </c>
      <c r="C1450" s="40" t="s">
        <v>3804</v>
      </c>
      <c r="D1450" s="8"/>
      <c r="E1450" s="8" t="s">
        <v>1023</v>
      </c>
      <c r="F1450" s="90">
        <v>25000.0</v>
      </c>
      <c r="G1450" s="140" t="s">
        <v>3805</v>
      </c>
      <c r="H1450" s="141" t="s">
        <v>3622</v>
      </c>
      <c r="I1450" s="41" t="s">
        <v>5672</v>
      </c>
      <c r="J1450" s="11" t="s">
        <v>25</v>
      </c>
      <c r="K1450" s="12"/>
      <c r="L1450" s="13"/>
      <c r="M1450" s="14"/>
      <c r="N1450" s="15"/>
      <c r="O1450" s="5" t="s">
        <v>108</v>
      </c>
      <c r="P1450" s="5" t="s">
        <v>5947</v>
      </c>
      <c r="Q1450" s="15"/>
      <c r="R1450" s="16" t="s">
        <v>28</v>
      </c>
      <c r="S1450" s="15"/>
      <c r="T1450" s="15"/>
      <c r="U1450" s="15"/>
      <c r="V1450" s="15"/>
      <c r="W1450" s="15"/>
      <c r="X1450" s="15"/>
      <c r="Y1450" s="15"/>
      <c r="Z1450" s="15"/>
      <c r="AA1450" s="15"/>
    </row>
    <row r="1451">
      <c r="A1451" s="5" t="s">
        <v>5945</v>
      </c>
      <c r="B1451" s="6" t="s">
        <v>5948</v>
      </c>
      <c r="C1451" s="40" t="s">
        <v>5949</v>
      </c>
      <c r="D1451" s="8"/>
      <c r="E1451" s="8" t="s">
        <v>501</v>
      </c>
      <c r="F1451" s="90">
        <v>2500.0</v>
      </c>
      <c r="G1451" s="124" t="s">
        <v>5950</v>
      </c>
      <c r="H1451" s="142" t="s">
        <v>5951</v>
      </c>
      <c r="I1451" s="97">
        <v>8.954780988E9</v>
      </c>
      <c r="J1451" s="11" t="s">
        <v>25</v>
      </c>
      <c r="K1451" s="12"/>
      <c r="L1451" s="13"/>
      <c r="M1451" s="14"/>
      <c r="N1451" s="15"/>
      <c r="O1451" s="5" t="s">
        <v>108</v>
      </c>
      <c r="P1451" s="5" t="s">
        <v>5952</v>
      </c>
      <c r="Q1451" s="15"/>
      <c r="R1451" s="16" t="s">
        <v>28</v>
      </c>
      <c r="S1451" s="15"/>
      <c r="T1451" s="15"/>
      <c r="U1451" s="15"/>
      <c r="V1451" s="15"/>
      <c r="W1451" s="15"/>
      <c r="X1451" s="15"/>
      <c r="Y1451" s="15"/>
      <c r="Z1451" s="15"/>
      <c r="AA1451" s="15"/>
    </row>
    <row r="1452">
      <c r="A1452" s="5" t="s">
        <v>5945</v>
      </c>
      <c r="B1452" s="6" t="s">
        <v>5953</v>
      </c>
      <c r="C1452" s="40" t="s">
        <v>5954</v>
      </c>
      <c r="D1452" s="8"/>
      <c r="E1452" s="8" t="s">
        <v>3533</v>
      </c>
      <c r="F1452" s="90">
        <v>3000.0</v>
      </c>
      <c r="G1452" s="125" t="s">
        <v>5955</v>
      </c>
      <c r="H1452" s="138" t="s">
        <v>5956</v>
      </c>
      <c r="I1452" s="41" t="s">
        <v>5957</v>
      </c>
      <c r="J1452" s="11" t="s">
        <v>25</v>
      </c>
      <c r="K1452" s="12"/>
      <c r="L1452" s="13"/>
      <c r="M1452" s="14"/>
      <c r="N1452" s="15"/>
      <c r="O1452" s="5" t="s">
        <v>108</v>
      </c>
      <c r="P1452" s="5" t="s">
        <v>5958</v>
      </c>
      <c r="Q1452" s="15"/>
      <c r="R1452" s="16" t="s">
        <v>28</v>
      </c>
      <c r="S1452" s="15"/>
      <c r="T1452" s="15"/>
      <c r="U1452" s="15"/>
      <c r="V1452" s="15"/>
      <c r="W1452" s="15"/>
      <c r="X1452" s="15"/>
      <c r="Y1452" s="15"/>
      <c r="Z1452" s="15"/>
      <c r="AA1452" s="15"/>
    </row>
    <row r="1453">
      <c r="A1453" s="5" t="s">
        <v>5945</v>
      </c>
      <c r="B1453" s="6" t="s">
        <v>5959</v>
      </c>
      <c r="C1453" s="40" t="s">
        <v>5960</v>
      </c>
      <c r="D1453" s="8"/>
      <c r="E1453" s="8" t="s">
        <v>5961</v>
      </c>
      <c r="F1453" s="90">
        <v>2000.0</v>
      </c>
      <c r="G1453" s="124" t="s">
        <v>5962</v>
      </c>
      <c r="H1453" s="11" t="s">
        <v>44</v>
      </c>
      <c r="I1453" s="41" t="s">
        <v>5963</v>
      </c>
      <c r="J1453" s="11" t="s">
        <v>25</v>
      </c>
      <c r="K1453" s="12"/>
      <c r="L1453" s="13"/>
      <c r="M1453" s="14"/>
      <c r="N1453" s="15"/>
      <c r="O1453" s="5" t="s">
        <v>26</v>
      </c>
      <c r="P1453" s="15"/>
      <c r="Q1453" s="15"/>
      <c r="R1453" s="16" t="s">
        <v>28</v>
      </c>
      <c r="S1453" s="15"/>
      <c r="T1453" s="15"/>
      <c r="U1453" s="15"/>
      <c r="V1453" s="15"/>
      <c r="W1453" s="15"/>
      <c r="X1453" s="15"/>
      <c r="Y1453" s="15"/>
      <c r="Z1453" s="15"/>
      <c r="AA1453" s="15"/>
    </row>
    <row r="1454">
      <c r="A1454" s="5" t="s">
        <v>5945</v>
      </c>
      <c r="B1454" s="6" t="s">
        <v>5964</v>
      </c>
      <c r="C1454" s="40" t="s">
        <v>5535</v>
      </c>
      <c r="D1454" s="8"/>
      <c r="E1454" s="8" t="s">
        <v>5965</v>
      </c>
      <c r="F1454" s="90">
        <v>5000.0</v>
      </c>
      <c r="G1454" s="134"/>
      <c r="H1454" s="11" t="s">
        <v>44</v>
      </c>
      <c r="I1454" s="97">
        <v>8.697197235E9</v>
      </c>
      <c r="J1454" s="11" t="s">
        <v>25</v>
      </c>
      <c r="K1454" s="12"/>
      <c r="L1454" s="13"/>
      <c r="M1454" s="14"/>
      <c r="N1454" s="15"/>
      <c r="O1454" s="5" t="s">
        <v>26</v>
      </c>
      <c r="P1454" s="15"/>
      <c r="Q1454" s="15"/>
      <c r="R1454" s="16" t="s">
        <v>28</v>
      </c>
      <c r="S1454" s="15"/>
      <c r="T1454" s="15"/>
      <c r="U1454" s="15"/>
      <c r="V1454" s="15"/>
      <c r="W1454" s="15"/>
      <c r="X1454" s="15"/>
      <c r="Y1454" s="15"/>
      <c r="Z1454" s="15"/>
      <c r="AA1454" s="15"/>
    </row>
    <row r="1455">
      <c r="A1455" s="5" t="s">
        <v>5966</v>
      </c>
      <c r="B1455" s="6" t="s">
        <v>5967</v>
      </c>
      <c r="C1455" s="40" t="s">
        <v>5968</v>
      </c>
      <c r="D1455" s="8"/>
      <c r="E1455" s="8" t="s">
        <v>189</v>
      </c>
      <c r="F1455" s="90">
        <v>24000.0</v>
      </c>
      <c r="G1455" s="134"/>
      <c r="H1455" s="11" t="s">
        <v>449</v>
      </c>
      <c r="I1455" s="97">
        <v>9.082653385E9</v>
      </c>
      <c r="J1455" s="11" t="s">
        <v>25</v>
      </c>
      <c r="K1455" s="12"/>
      <c r="L1455" s="13"/>
      <c r="M1455" s="14"/>
      <c r="N1455" s="15"/>
      <c r="O1455" s="5" t="s">
        <v>34</v>
      </c>
      <c r="P1455" s="5" t="s">
        <v>1751</v>
      </c>
      <c r="Q1455" s="15"/>
      <c r="R1455" s="16" t="s">
        <v>723</v>
      </c>
      <c r="S1455" s="15"/>
      <c r="T1455" s="15"/>
      <c r="U1455" s="15"/>
      <c r="V1455" s="15"/>
      <c r="W1455" s="15"/>
      <c r="X1455" s="15"/>
      <c r="Y1455" s="15"/>
      <c r="Z1455" s="15"/>
      <c r="AA1455" s="15"/>
    </row>
    <row r="1456">
      <c r="A1456" s="5" t="s">
        <v>5966</v>
      </c>
      <c r="B1456" s="6" t="s">
        <v>5969</v>
      </c>
      <c r="C1456" s="40" t="s">
        <v>2158</v>
      </c>
      <c r="D1456" s="8"/>
      <c r="E1456" s="8" t="s">
        <v>1629</v>
      </c>
      <c r="F1456" s="90">
        <v>500.0</v>
      </c>
      <c r="G1456" s="97" t="s">
        <v>2160</v>
      </c>
      <c r="H1456" s="11" t="s">
        <v>5970</v>
      </c>
      <c r="I1456" s="97">
        <v>9.748188804E9</v>
      </c>
      <c r="J1456" s="11" t="s">
        <v>25</v>
      </c>
      <c r="K1456" s="12"/>
      <c r="L1456" s="13"/>
      <c r="M1456" s="14"/>
      <c r="N1456" s="15"/>
      <c r="O1456" s="5" t="s">
        <v>564</v>
      </c>
      <c r="P1456" s="15"/>
      <c r="Q1456" s="15"/>
      <c r="R1456" s="16" t="s">
        <v>28</v>
      </c>
      <c r="S1456" s="15"/>
      <c r="T1456" s="15"/>
      <c r="U1456" s="15"/>
      <c r="V1456" s="15"/>
      <c r="W1456" s="15"/>
      <c r="X1456" s="15"/>
      <c r="Y1456" s="15"/>
      <c r="Z1456" s="15"/>
      <c r="AA1456" s="15"/>
    </row>
    <row r="1457">
      <c r="A1457" s="5" t="s">
        <v>5971</v>
      </c>
      <c r="B1457" s="6" t="s">
        <v>5972</v>
      </c>
      <c r="C1457" s="40" t="s">
        <v>5973</v>
      </c>
      <c r="D1457" s="8"/>
      <c r="E1457" s="8" t="s">
        <v>2647</v>
      </c>
      <c r="F1457" s="90">
        <v>25000.0</v>
      </c>
      <c r="G1457" s="97" t="s">
        <v>2648</v>
      </c>
      <c r="H1457" s="11" t="s">
        <v>5974</v>
      </c>
      <c r="I1457" s="97">
        <v>9.97851313E9</v>
      </c>
      <c r="J1457" s="11" t="s">
        <v>25</v>
      </c>
      <c r="K1457" s="12"/>
      <c r="L1457" s="13"/>
      <c r="M1457" s="14"/>
      <c r="N1457" s="15"/>
      <c r="O1457" s="5" t="s">
        <v>108</v>
      </c>
      <c r="P1457" s="15"/>
      <c r="Q1457" s="15"/>
      <c r="R1457" s="16" t="s">
        <v>28</v>
      </c>
      <c r="S1457" s="15"/>
      <c r="T1457" s="15"/>
      <c r="U1457" s="15"/>
      <c r="V1457" s="15"/>
      <c r="W1457" s="15"/>
      <c r="X1457" s="15"/>
      <c r="Y1457" s="15"/>
      <c r="Z1457" s="15"/>
      <c r="AA1457" s="15"/>
    </row>
    <row r="1458">
      <c r="A1458" s="5" t="s">
        <v>5971</v>
      </c>
      <c r="B1458" s="6" t="s">
        <v>5975</v>
      </c>
      <c r="C1458" s="40" t="s">
        <v>5976</v>
      </c>
      <c r="D1458" s="8"/>
      <c r="E1458" s="8" t="s">
        <v>5977</v>
      </c>
      <c r="F1458" s="90">
        <v>1000.0</v>
      </c>
      <c r="G1458" s="97" t="s">
        <v>5978</v>
      </c>
      <c r="H1458" s="11" t="s">
        <v>5979</v>
      </c>
      <c r="I1458" s="97">
        <v>9.939135071E9</v>
      </c>
      <c r="J1458" s="11" t="s">
        <v>25</v>
      </c>
      <c r="K1458" s="12"/>
      <c r="L1458" s="13"/>
      <c r="M1458" s="14"/>
      <c r="N1458" s="15"/>
      <c r="O1458" s="5" t="s">
        <v>564</v>
      </c>
      <c r="P1458" s="15"/>
      <c r="Q1458" s="15"/>
      <c r="R1458" s="16" t="s">
        <v>28</v>
      </c>
      <c r="S1458" s="15"/>
      <c r="T1458" s="15"/>
      <c r="U1458" s="15"/>
      <c r="V1458" s="15"/>
      <c r="W1458" s="15"/>
      <c r="X1458" s="15"/>
      <c r="Y1458" s="15"/>
      <c r="Z1458" s="15"/>
      <c r="AA1458" s="15"/>
    </row>
    <row r="1459">
      <c r="A1459" s="5" t="s">
        <v>5980</v>
      </c>
      <c r="B1459" s="6" t="s">
        <v>5981</v>
      </c>
      <c r="C1459" s="40" t="s">
        <v>5982</v>
      </c>
      <c r="D1459" s="8"/>
      <c r="E1459" s="8" t="s">
        <v>4205</v>
      </c>
      <c r="F1459" s="90">
        <v>500.0</v>
      </c>
      <c r="G1459" s="97" t="s">
        <v>5983</v>
      </c>
      <c r="H1459" s="11" t="s">
        <v>44</v>
      </c>
      <c r="I1459" s="97">
        <v>8.910180324E9</v>
      </c>
      <c r="J1459" s="11" t="s">
        <v>25</v>
      </c>
      <c r="K1459" s="12"/>
      <c r="L1459" s="13"/>
      <c r="M1459" s="14"/>
      <c r="N1459" s="15"/>
      <c r="O1459" s="5" t="s">
        <v>34</v>
      </c>
      <c r="P1459" s="5" t="s">
        <v>727</v>
      </c>
      <c r="Q1459" s="15"/>
      <c r="R1459" s="16" t="s">
        <v>28</v>
      </c>
      <c r="S1459" s="15"/>
      <c r="T1459" s="15"/>
      <c r="U1459" s="15"/>
      <c r="V1459" s="15"/>
      <c r="W1459" s="15"/>
      <c r="X1459" s="15"/>
      <c r="Y1459" s="15"/>
      <c r="Z1459" s="15"/>
      <c r="AA1459" s="15"/>
    </row>
    <row r="1460">
      <c r="A1460" s="5" t="s">
        <v>5984</v>
      </c>
      <c r="B1460" s="6" t="s">
        <v>5985</v>
      </c>
      <c r="C1460" s="40" t="s">
        <v>3768</v>
      </c>
      <c r="D1460" s="8"/>
      <c r="E1460" s="8" t="s">
        <v>116</v>
      </c>
      <c r="F1460" s="90">
        <v>2000.0</v>
      </c>
      <c r="G1460" s="97"/>
      <c r="H1460" s="11" t="s">
        <v>24</v>
      </c>
      <c r="I1460" s="97">
        <v>9.142951517E9</v>
      </c>
      <c r="J1460" s="11" t="s">
        <v>25</v>
      </c>
      <c r="K1460" s="12"/>
      <c r="L1460" s="13"/>
      <c r="M1460" s="14"/>
      <c r="N1460" s="15"/>
      <c r="O1460" s="5" t="s">
        <v>564</v>
      </c>
      <c r="P1460" s="15"/>
      <c r="Q1460" s="15"/>
      <c r="R1460" s="16" t="s">
        <v>28</v>
      </c>
      <c r="S1460" s="15"/>
      <c r="T1460" s="15"/>
      <c r="U1460" s="15"/>
      <c r="V1460" s="15"/>
      <c r="W1460" s="15"/>
      <c r="X1460" s="15"/>
      <c r="Y1460" s="15"/>
      <c r="Z1460" s="15"/>
      <c r="AA1460" s="15"/>
    </row>
    <row r="1461">
      <c r="A1461" s="5" t="s">
        <v>5984</v>
      </c>
      <c r="B1461" s="6" t="s">
        <v>5986</v>
      </c>
      <c r="C1461" s="40" t="s">
        <v>5987</v>
      </c>
      <c r="D1461" s="8"/>
      <c r="E1461" s="8" t="s">
        <v>5988</v>
      </c>
      <c r="F1461" s="90">
        <v>1000.0</v>
      </c>
      <c r="G1461" s="97" t="s">
        <v>5989</v>
      </c>
      <c r="H1461" s="11" t="s">
        <v>44</v>
      </c>
      <c r="I1461" s="97">
        <v>8.910363617E9</v>
      </c>
      <c r="J1461" s="11" t="s">
        <v>25</v>
      </c>
      <c r="K1461" s="12"/>
      <c r="L1461" s="13"/>
      <c r="M1461" s="14"/>
      <c r="N1461" s="15"/>
      <c r="O1461" s="5" t="s">
        <v>34</v>
      </c>
      <c r="P1461" s="15"/>
      <c r="Q1461" s="15"/>
      <c r="R1461" s="16" t="s">
        <v>28</v>
      </c>
      <c r="S1461" s="15"/>
      <c r="T1461" s="15"/>
      <c r="U1461" s="15"/>
      <c r="V1461" s="15"/>
      <c r="W1461" s="15"/>
      <c r="X1461" s="15"/>
      <c r="Y1461" s="15"/>
      <c r="Z1461" s="15"/>
      <c r="AA1461" s="15"/>
    </row>
    <row r="1462">
      <c r="A1462" s="5" t="s">
        <v>5984</v>
      </c>
      <c r="B1462" s="6" t="s">
        <v>5990</v>
      </c>
      <c r="C1462" s="40" t="s">
        <v>4776</v>
      </c>
      <c r="D1462" s="8"/>
      <c r="E1462" s="8" t="s">
        <v>1217</v>
      </c>
      <c r="F1462" s="90">
        <v>5000.0</v>
      </c>
      <c r="G1462" s="97" t="s">
        <v>4777</v>
      </c>
      <c r="H1462" s="11" t="s">
        <v>5991</v>
      </c>
      <c r="I1462" s="97">
        <v>9.851855369E9</v>
      </c>
      <c r="J1462" s="11" t="s">
        <v>25</v>
      </c>
      <c r="K1462" s="12" t="s">
        <v>5992</v>
      </c>
      <c r="L1462" s="13"/>
      <c r="M1462" s="14"/>
      <c r="N1462" s="15"/>
      <c r="O1462" s="5" t="s">
        <v>564</v>
      </c>
      <c r="P1462" s="15"/>
      <c r="Q1462" s="15"/>
      <c r="R1462" s="16" t="s">
        <v>28</v>
      </c>
      <c r="S1462" s="15"/>
      <c r="T1462" s="15"/>
      <c r="U1462" s="15"/>
      <c r="V1462" s="15"/>
      <c r="W1462" s="15"/>
      <c r="X1462" s="15"/>
      <c r="Y1462" s="15"/>
      <c r="Z1462" s="15"/>
      <c r="AA1462" s="15"/>
    </row>
    <row r="1463">
      <c r="A1463" s="5" t="s">
        <v>5984</v>
      </c>
      <c r="B1463" s="6" t="s">
        <v>5993</v>
      </c>
      <c r="C1463" s="40" t="s">
        <v>5994</v>
      </c>
      <c r="D1463" s="8"/>
      <c r="E1463" s="8" t="s">
        <v>5995</v>
      </c>
      <c r="F1463" s="90">
        <v>500.0</v>
      </c>
      <c r="G1463" s="97" t="s">
        <v>5996</v>
      </c>
      <c r="H1463" s="11" t="s">
        <v>158</v>
      </c>
      <c r="I1463" s="97">
        <v>9.831362758E9</v>
      </c>
      <c r="J1463" s="11" t="s">
        <v>25</v>
      </c>
      <c r="K1463" s="12"/>
      <c r="L1463" s="13"/>
      <c r="M1463" s="14"/>
      <c r="N1463" s="15"/>
      <c r="O1463" s="5" t="s">
        <v>34</v>
      </c>
      <c r="P1463" s="15"/>
      <c r="Q1463" s="15"/>
      <c r="R1463" s="16" t="s">
        <v>28</v>
      </c>
      <c r="S1463" s="15"/>
      <c r="T1463" s="15"/>
      <c r="U1463" s="15"/>
      <c r="V1463" s="15"/>
      <c r="W1463" s="15"/>
      <c r="X1463" s="15"/>
      <c r="Y1463" s="15"/>
      <c r="Z1463" s="15"/>
      <c r="AA1463" s="15"/>
    </row>
    <row r="1464">
      <c r="A1464" s="5" t="s">
        <v>5984</v>
      </c>
      <c r="B1464" s="6" t="s">
        <v>5997</v>
      </c>
      <c r="C1464" s="40" t="s">
        <v>5998</v>
      </c>
      <c r="D1464" s="8"/>
      <c r="E1464" s="8" t="s">
        <v>189</v>
      </c>
      <c r="F1464" s="90">
        <v>5000.0</v>
      </c>
      <c r="G1464" s="97" t="s">
        <v>5999</v>
      </c>
      <c r="H1464" s="11" t="s">
        <v>99</v>
      </c>
      <c r="I1464" s="97">
        <v>7.008514506E9</v>
      </c>
      <c r="J1464" s="11" t="s">
        <v>25</v>
      </c>
      <c r="K1464" s="12"/>
      <c r="L1464" s="13"/>
      <c r="M1464" s="14"/>
      <c r="N1464" s="15"/>
      <c r="O1464" s="5" t="s">
        <v>564</v>
      </c>
      <c r="P1464" s="15"/>
      <c r="Q1464" s="15"/>
      <c r="R1464" s="16" t="s">
        <v>28</v>
      </c>
      <c r="S1464" s="15"/>
      <c r="T1464" s="15"/>
      <c r="U1464" s="15"/>
      <c r="V1464" s="15"/>
      <c r="W1464" s="15"/>
      <c r="X1464" s="15"/>
      <c r="Y1464" s="15"/>
      <c r="Z1464" s="15"/>
      <c r="AA1464" s="15"/>
    </row>
    <row r="1465">
      <c r="A1465" s="5" t="s">
        <v>6000</v>
      </c>
      <c r="B1465" s="6" t="s">
        <v>6001</v>
      </c>
      <c r="C1465" s="40" t="s">
        <v>6002</v>
      </c>
      <c r="D1465" s="8"/>
      <c r="E1465" s="8" t="s">
        <v>43</v>
      </c>
      <c r="F1465" s="90">
        <v>1500.0</v>
      </c>
      <c r="G1465" s="97" t="s">
        <v>6003</v>
      </c>
      <c r="H1465" s="11" t="s">
        <v>44</v>
      </c>
      <c r="I1465" s="97">
        <v>6.289271623E9</v>
      </c>
      <c r="J1465" s="11" t="s">
        <v>25</v>
      </c>
      <c r="K1465" s="12"/>
      <c r="L1465" s="13"/>
      <c r="M1465" s="14"/>
      <c r="N1465" s="15"/>
      <c r="O1465" s="5" t="s">
        <v>34</v>
      </c>
      <c r="P1465" s="5" t="s">
        <v>209</v>
      </c>
      <c r="Q1465" s="15"/>
      <c r="R1465" s="16" t="s">
        <v>28</v>
      </c>
      <c r="S1465" s="15"/>
      <c r="T1465" s="15"/>
      <c r="U1465" s="15"/>
      <c r="V1465" s="15"/>
      <c r="W1465" s="15"/>
      <c r="X1465" s="15"/>
      <c r="Y1465" s="15"/>
      <c r="Z1465" s="15"/>
      <c r="AA1465" s="15"/>
    </row>
    <row r="1466">
      <c r="A1466" s="5" t="s">
        <v>6000</v>
      </c>
      <c r="B1466" s="6" t="s">
        <v>6004</v>
      </c>
      <c r="C1466" s="40" t="s">
        <v>6005</v>
      </c>
      <c r="D1466" s="8"/>
      <c r="E1466" s="8" t="s">
        <v>116</v>
      </c>
      <c r="F1466" s="90">
        <v>300.0</v>
      </c>
      <c r="G1466" s="97" t="s">
        <v>6006</v>
      </c>
      <c r="H1466" s="11" t="s">
        <v>6007</v>
      </c>
      <c r="I1466" s="97">
        <v>8.180088809E9</v>
      </c>
      <c r="J1466" s="11" t="s">
        <v>25</v>
      </c>
      <c r="K1466" s="12"/>
      <c r="L1466" s="13"/>
      <c r="M1466" s="14"/>
      <c r="N1466" s="15"/>
      <c r="O1466" s="5" t="s">
        <v>108</v>
      </c>
      <c r="P1466" s="15"/>
      <c r="Q1466" s="15"/>
      <c r="R1466" s="16" t="s">
        <v>28</v>
      </c>
      <c r="S1466" s="15"/>
      <c r="T1466" s="15"/>
      <c r="U1466" s="15"/>
      <c r="V1466" s="15"/>
      <c r="W1466" s="15"/>
      <c r="X1466" s="15"/>
      <c r="Y1466" s="15"/>
      <c r="Z1466" s="15"/>
      <c r="AA1466" s="15"/>
    </row>
    <row r="1467">
      <c r="A1467" s="5" t="s">
        <v>6000</v>
      </c>
      <c r="B1467" s="6" t="s">
        <v>6008</v>
      </c>
      <c r="C1467" s="40" t="s">
        <v>6009</v>
      </c>
      <c r="D1467" s="8"/>
      <c r="E1467" s="8" t="s">
        <v>6010</v>
      </c>
      <c r="F1467" s="90" t="s">
        <v>6011</v>
      </c>
      <c r="G1467" s="97" t="s">
        <v>6012</v>
      </c>
      <c r="H1467" s="11" t="s">
        <v>268</v>
      </c>
      <c r="I1467" s="97">
        <v>6.295332214E9</v>
      </c>
      <c r="J1467" s="11" t="s">
        <v>4008</v>
      </c>
      <c r="K1467" s="12"/>
      <c r="L1467" s="13"/>
      <c r="M1467" s="14"/>
      <c r="N1467" s="15"/>
      <c r="O1467" s="5" t="s">
        <v>564</v>
      </c>
      <c r="P1467" s="15"/>
      <c r="Q1467" s="15"/>
      <c r="R1467" s="16" t="s">
        <v>28</v>
      </c>
      <c r="S1467" s="15"/>
      <c r="T1467" s="15"/>
      <c r="U1467" s="15"/>
      <c r="V1467" s="15"/>
      <c r="W1467" s="15"/>
      <c r="X1467" s="15"/>
      <c r="Y1467" s="15"/>
      <c r="Z1467" s="15"/>
      <c r="AA1467" s="15"/>
    </row>
    <row r="1468">
      <c r="A1468" s="5" t="s">
        <v>6000</v>
      </c>
      <c r="B1468" s="6" t="s">
        <v>6013</v>
      </c>
      <c r="C1468" s="40" t="s">
        <v>6014</v>
      </c>
      <c r="D1468" s="8"/>
      <c r="E1468" s="8" t="s">
        <v>6015</v>
      </c>
      <c r="F1468" s="90">
        <v>20000.0</v>
      </c>
      <c r="G1468" s="97" t="s">
        <v>6016</v>
      </c>
      <c r="H1468" s="11" t="s">
        <v>4460</v>
      </c>
      <c r="I1468" s="97">
        <v>9.769472001E9</v>
      </c>
      <c r="J1468" s="11" t="s">
        <v>4008</v>
      </c>
      <c r="K1468" s="12"/>
      <c r="L1468" s="13"/>
      <c r="M1468" s="14"/>
      <c r="N1468" s="15"/>
      <c r="O1468" s="5" t="s">
        <v>108</v>
      </c>
      <c r="P1468" s="5" t="s">
        <v>6017</v>
      </c>
      <c r="Q1468" s="15"/>
      <c r="R1468" s="16" t="s">
        <v>28</v>
      </c>
      <c r="S1468" s="15"/>
      <c r="T1468" s="15"/>
      <c r="U1468" s="15"/>
      <c r="V1468" s="15"/>
      <c r="W1468" s="15"/>
      <c r="X1468" s="15"/>
      <c r="Y1468" s="15"/>
      <c r="Z1468" s="15"/>
      <c r="AA1468" s="15"/>
    </row>
    <row r="1469">
      <c r="A1469" s="5" t="s">
        <v>6018</v>
      </c>
      <c r="B1469" s="6" t="s">
        <v>6019</v>
      </c>
      <c r="C1469" s="40" t="s">
        <v>6020</v>
      </c>
      <c r="D1469" s="8"/>
      <c r="E1469" s="8" t="s">
        <v>130</v>
      </c>
      <c r="F1469" s="90">
        <v>15000.0</v>
      </c>
      <c r="G1469" s="97"/>
      <c r="H1469" s="11" t="s">
        <v>24</v>
      </c>
      <c r="I1469" s="97">
        <v>6.30762266E9</v>
      </c>
      <c r="J1469" s="11" t="s">
        <v>4008</v>
      </c>
      <c r="K1469" s="12"/>
      <c r="L1469" s="13"/>
      <c r="M1469" s="14"/>
      <c r="N1469" s="15"/>
      <c r="O1469" s="5" t="s">
        <v>564</v>
      </c>
      <c r="P1469" s="5" t="s">
        <v>6021</v>
      </c>
      <c r="Q1469" s="15"/>
      <c r="R1469" s="16" t="s">
        <v>28</v>
      </c>
      <c r="S1469" s="15"/>
      <c r="T1469" s="15"/>
      <c r="U1469" s="15"/>
      <c r="V1469" s="15"/>
      <c r="W1469" s="15"/>
      <c r="X1469" s="15"/>
      <c r="Y1469" s="15"/>
      <c r="Z1469" s="15"/>
      <c r="AA1469" s="15"/>
    </row>
    <row r="1470">
      <c r="A1470" s="5" t="s">
        <v>6018</v>
      </c>
      <c r="B1470" s="6" t="s">
        <v>6022</v>
      </c>
      <c r="C1470" s="40" t="s">
        <v>6023</v>
      </c>
      <c r="D1470" s="8"/>
      <c r="E1470" s="8" t="s">
        <v>222</v>
      </c>
      <c r="F1470" s="90">
        <v>10000.0</v>
      </c>
      <c r="G1470" s="97" t="s">
        <v>6024</v>
      </c>
      <c r="H1470" s="11" t="s">
        <v>44</v>
      </c>
      <c r="I1470" s="97">
        <v>9.143509918E9</v>
      </c>
      <c r="J1470" s="11" t="s">
        <v>25</v>
      </c>
      <c r="K1470" s="12"/>
      <c r="L1470" s="13"/>
      <c r="M1470" s="14"/>
      <c r="N1470" s="15"/>
      <c r="O1470" s="5" t="s">
        <v>564</v>
      </c>
      <c r="P1470" s="15"/>
      <c r="Q1470" s="15"/>
      <c r="R1470" s="16" t="s">
        <v>28</v>
      </c>
      <c r="S1470" s="15"/>
      <c r="T1470" s="15"/>
      <c r="U1470" s="15"/>
      <c r="V1470" s="15"/>
      <c r="W1470" s="15"/>
      <c r="X1470" s="15"/>
      <c r="Y1470" s="15"/>
      <c r="Z1470" s="15"/>
      <c r="AA1470" s="15"/>
    </row>
    <row r="1471">
      <c r="A1471" s="5" t="s">
        <v>6018</v>
      </c>
      <c r="B1471" s="6" t="s">
        <v>6025</v>
      </c>
      <c r="C1471" s="40" t="s">
        <v>6026</v>
      </c>
      <c r="D1471" s="8"/>
      <c r="E1471" s="8" t="s">
        <v>6027</v>
      </c>
      <c r="F1471" s="90">
        <v>500.0</v>
      </c>
      <c r="G1471" s="97" t="s">
        <v>6028</v>
      </c>
      <c r="H1471" s="11" t="s">
        <v>6029</v>
      </c>
      <c r="I1471" s="97">
        <v>7.908985161E9</v>
      </c>
      <c r="J1471" s="11" t="s">
        <v>25</v>
      </c>
      <c r="K1471" s="12"/>
      <c r="L1471" s="13"/>
      <c r="M1471" s="14"/>
      <c r="N1471" s="15"/>
      <c r="O1471" s="5" t="s">
        <v>564</v>
      </c>
      <c r="P1471" s="15"/>
      <c r="Q1471" s="15"/>
      <c r="R1471" s="16" t="s">
        <v>28</v>
      </c>
      <c r="S1471" s="15"/>
      <c r="T1471" s="15"/>
      <c r="U1471" s="15"/>
      <c r="V1471" s="15"/>
      <c r="W1471" s="15"/>
      <c r="X1471" s="15"/>
      <c r="Y1471" s="15"/>
      <c r="Z1471" s="15"/>
      <c r="AA1471" s="15"/>
    </row>
    <row r="1472">
      <c r="A1472" s="5" t="s">
        <v>6030</v>
      </c>
      <c r="B1472" s="6" t="s">
        <v>6031</v>
      </c>
      <c r="C1472" s="40" t="s">
        <v>6032</v>
      </c>
      <c r="D1472" s="8"/>
      <c r="E1472" s="8" t="s">
        <v>1217</v>
      </c>
      <c r="F1472" s="90">
        <v>600.0</v>
      </c>
      <c r="G1472" s="97" t="s">
        <v>6033</v>
      </c>
      <c r="H1472" s="11" t="s">
        <v>44</v>
      </c>
      <c r="I1472" s="97">
        <v>9.836351626E9</v>
      </c>
      <c r="J1472" s="11" t="s">
        <v>25</v>
      </c>
      <c r="K1472" s="12"/>
      <c r="L1472" s="13"/>
      <c r="M1472" s="14"/>
      <c r="N1472" s="15"/>
      <c r="O1472" s="5" t="s">
        <v>564</v>
      </c>
      <c r="P1472" s="15"/>
      <c r="Q1472" s="15"/>
      <c r="R1472" s="16" t="s">
        <v>28</v>
      </c>
      <c r="S1472" s="15"/>
      <c r="T1472" s="15"/>
      <c r="U1472" s="15"/>
      <c r="V1472" s="15"/>
      <c r="W1472" s="15"/>
      <c r="X1472" s="15"/>
      <c r="Y1472" s="15"/>
      <c r="Z1472" s="15"/>
      <c r="AA1472" s="15"/>
    </row>
    <row r="1473">
      <c r="A1473" s="5" t="s">
        <v>6030</v>
      </c>
      <c r="B1473" s="6" t="s">
        <v>6034</v>
      </c>
      <c r="C1473" s="40" t="s">
        <v>6035</v>
      </c>
      <c r="D1473" s="8"/>
      <c r="E1473" s="8" t="s">
        <v>6036</v>
      </c>
      <c r="F1473" s="90">
        <v>2000.0</v>
      </c>
      <c r="G1473" s="97" t="s">
        <v>6037</v>
      </c>
      <c r="H1473" s="11" t="s">
        <v>6038</v>
      </c>
      <c r="I1473" s="97" t="s">
        <v>6039</v>
      </c>
      <c r="J1473" s="11" t="s">
        <v>25</v>
      </c>
      <c r="K1473" s="12"/>
      <c r="L1473" s="13"/>
      <c r="M1473" s="14"/>
      <c r="N1473" s="15"/>
      <c r="O1473" s="5" t="s">
        <v>34</v>
      </c>
      <c r="P1473" s="5" t="s">
        <v>4850</v>
      </c>
      <c r="Q1473" s="5" t="s">
        <v>777</v>
      </c>
      <c r="R1473" s="16" t="s">
        <v>723</v>
      </c>
      <c r="S1473" s="15"/>
      <c r="T1473" s="15"/>
      <c r="U1473" s="15"/>
      <c r="V1473" s="15"/>
      <c r="W1473" s="15"/>
      <c r="X1473" s="15"/>
      <c r="Y1473" s="15"/>
      <c r="Z1473" s="15"/>
      <c r="AA1473" s="15"/>
    </row>
    <row r="1474">
      <c r="A1474" s="5" t="s">
        <v>6030</v>
      </c>
      <c r="B1474" s="6" t="s">
        <v>6040</v>
      </c>
      <c r="C1474" s="40" t="s">
        <v>6041</v>
      </c>
      <c r="D1474" s="8"/>
      <c r="E1474" s="8" t="s">
        <v>6042</v>
      </c>
      <c r="F1474" s="90">
        <v>250.0</v>
      </c>
      <c r="G1474" s="97" t="s">
        <v>6043</v>
      </c>
      <c r="H1474" s="11" t="s">
        <v>5304</v>
      </c>
      <c r="I1474" s="97">
        <v>8.109659195E9</v>
      </c>
      <c r="J1474" s="11" t="s">
        <v>25</v>
      </c>
      <c r="K1474" s="12"/>
      <c r="L1474" s="13"/>
      <c r="M1474" s="14"/>
      <c r="N1474" s="15"/>
      <c r="O1474" s="5" t="s">
        <v>564</v>
      </c>
      <c r="P1474" s="5" t="s">
        <v>6044</v>
      </c>
      <c r="Q1474" s="15"/>
      <c r="R1474" s="16" t="s">
        <v>28</v>
      </c>
      <c r="S1474" s="15"/>
      <c r="T1474" s="15"/>
      <c r="U1474" s="15"/>
      <c r="V1474" s="15"/>
      <c r="W1474" s="15"/>
      <c r="X1474" s="15"/>
      <c r="Y1474" s="15"/>
      <c r="Z1474" s="15"/>
      <c r="AA1474" s="15"/>
    </row>
    <row r="1475">
      <c r="A1475" s="5" t="s">
        <v>6030</v>
      </c>
      <c r="B1475" s="6" t="s">
        <v>6045</v>
      </c>
      <c r="C1475" s="40" t="s">
        <v>6046</v>
      </c>
      <c r="D1475" s="8"/>
      <c r="E1475" s="8" t="s">
        <v>116</v>
      </c>
      <c r="F1475" s="90">
        <v>500.0</v>
      </c>
      <c r="G1475" s="97" t="s">
        <v>6047</v>
      </c>
      <c r="H1475" s="11" t="s">
        <v>6048</v>
      </c>
      <c r="I1475" s="97">
        <v>7.741908886E9</v>
      </c>
      <c r="J1475" s="11" t="s">
        <v>25</v>
      </c>
      <c r="K1475" s="12"/>
      <c r="L1475" s="13"/>
      <c r="M1475" s="14"/>
      <c r="N1475" s="15"/>
      <c r="O1475" s="5" t="s">
        <v>108</v>
      </c>
      <c r="P1475" s="15"/>
      <c r="Q1475" s="15"/>
      <c r="R1475" s="16" t="s">
        <v>28</v>
      </c>
      <c r="S1475" s="15"/>
      <c r="T1475" s="15"/>
      <c r="U1475" s="15"/>
      <c r="V1475" s="15"/>
      <c r="W1475" s="15"/>
      <c r="X1475" s="15"/>
      <c r="Y1475" s="15"/>
      <c r="Z1475" s="15"/>
      <c r="AA1475" s="15"/>
    </row>
    <row r="1476">
      <c r="A1476" s="5" t="s">
        <v>6030</v>
      </c>
      <c r="B1476" s="6" t="s">
        <v>6049</v>
      </c>
      <c r="C1476" s="40" t="s">
        <v>6050</v>
      </c>
      <c r="D1476" s="8"/>
      <c r="E1476" s="8" t="s">
        <v>47</v>
      </c>
      <c r="F1476" s="90">
        <v>60000.0</v>
      </c>
      <c r="G1476" s="97" t="s">
        <v>6051</v>
      </c>
      <c r="H1476" s="11" t="s">
        <v>44</v>
      </c>
      <c r="I1476" s="97">
        <v>8.584008208E9</v>
      </c>
      <c r="J1476" s="11" t="s">
        <v>25</v>
      </c>
      <c r="K1476" s="12"/>
      <c r="L1476" s="13"/>
      <c r="M1476" s="14"/>
      <c r="N1476" s="15"/>
      <c r="O1476" s="5" t="s">
        <v>34</v>
      </c>
      <c r="P1476" s="5" t="s">
        <v>727</v>
      </c>
      <c r="Q1476" s="15"/>
      <c r="R1476" s="16" t="s">
        <v>28</v>
      </c>
      <c r="S1476" s="15"/>
      <c r="T1476" s="15"/>
      <c r="U1476" s="15"/>
      <c r="V1476" s="15"/>
      <c r="W1476" s="15"/>
      <c r="X1476" s="15"/>
      <c r="Y1476" s="15"/>
      <c r="Z1476" s="15"/>
      <c r="AA1476" s="15"/>
    </row>
    <row r="1477">
      <c r="A1477" s="5" t="s">
        <v>6030</v>
      </c>
      <c r="B1477" s="6" t="s">
        <v>6052</v>
      </c>
      <c r="C1477" s="40" t="s">
        <v>6053</v>
      </c>
      <c r="D1477" s="8"/>
      <c r="E1477" s="8" t="s">
        <v>207</v>
      </c>
      <c r="F1477" s="90">
        <v>25000.0</v>
      </c>
      <c r="G1477" s="97" t="s">
        <v>6054</v>
      </c>
      <c r="H1477" s="11" t="s">
        <v>44</v>
      </c>
      <c r="I1477" s="97">
        <v>8.961406728E9</v>
      </c>
      <c r="J1477" s="11" t="s">
        <v>25</v>
      </c>
      <c r="K1477" s="12"/>
      <c r="L1477" s="13"/>
      <c r="M1477" s="14"/>
      <c r="N1477" s="15"/>
      <c r="O1477" s="5" t="s">
        <v>564</v>
      </c>
      <c r="P1477" s="15"/>
      <c r="Q1477" s="15"/>
      <c r="R1477" s="16" t="s">
        <v>28</v>
      </c>
      <c r="S1477" s="15"/>
      <c r="T1477" s="15"/>
      <c r="U1477" s="15"/>
      <c r="V1477" s="15"/>
      <c r="W1477" s="15"/>
      <c r="X1477" s="15"/>
      <c r="Y1477" s="15"/>
      <c r="Z1477" s="15"/>
      <c r="AA1477" s="15"/>
    </row>
    <row r="1478">
      <c r="A1478" s="5" t="s">
        <v>6030</v>
      </c>
      <c r="B1478" s="6" t="s">
        <v>6055</v>
      </c>
      <c r="C1478" s="40" t="s">
        <v>6056</v>
      </c>
      <c r="D1478" s="8"/>
      <c r="E1478" s="8" t="s">
        <v>152</v>
      </c>
      <c r="F1478" s="90">
        <v>15000.0</v>
      </c>
      <c r="G1478" s="97" t="s">
        <v>6057</v>
      </c>
      <c r="H1478" s="11" t="s">
        <v>6058</v>
      </c>
      <c r="I1478" s="41" t="s">
        <v>6059</v>
      </c>
      <c r="J1478" s="11" t="s">
        <v>25</v>
      </c>
      <c r="K1478" s="12"/>
      <c r="L1478" s="13"/>
      <c r="M1478" s="14"/>
      <c r="N1478" s="15"/>
      <c r="O1478" s="5" t="s">
        <v>34</v>
      </c>
      <c r="P1478" s="5" t="s">
        <v>4366</v>
      </c>
      <c r="Q1478" s="5" t="s">
        <v>6060</v>
      </c>
      <c r="R1478" s="16" t="s">
        <v>28</v>
      </c>
      <c r="S1478" s="15"/>
      <c r="T1478" s="15"/>
      <c r="U1478" s="15"/>
      <c r="V1478" s="15"/>
      <c r="W1478" s="15"/>
      <c r="X1478" s="15"/>
      <c r="Y1478" s="15"/>
      <c r="Z1478" s="15"/>
      <c r="AA1478" s="15"/>
    </row>
    <row r="1479">
      <c r="A1479" s="5" t="s">
        <v>6030</v>
      </c>
      <c r="B1479" s="6" t="s">
        <v>6061</v>
      </c>
      <c r="C1479" s="40" t="s">
        <v>6062</v>
      </c>
      <c r="D1479" s="8"/>
      <c r="E1479" s="8" t="s">
        <v>2501</v>
      </c>
      <c r="F1479" s="90">
        <v>1000.0</v>
      </c>
      <c r="G1479" s="97" t="s">
        <v>6063</v>
      </c>
      <c r="H1479" s="11" t="s">
        <v>5991</v>
      </c>
      <c r="I1479" s="97">
        <v>8.670083493E9</v>
      </c>
      <c r="J1479" s="11" t="s">
        <v>25</v>
      </c>
      <c r="K1479" s="12"/>
      <c r="L1479" s="13"/>
      <c r="M1479" s="14"/>
      <c r="N1479" s="15"/>
      <c r="O1479" s="5" t="s">
        <v>34</v>
      </c>
      <c r="P1479" s="5" t="s">
        <v>4850</v>
      </c>
      <c r="Q1479" s="15"/>
      <c r="R1479" s="16" t="s">
        <v>28</v>
      </c>
      <c r="S1479" s="15"/>
      <c r="T1479" s="15"/>
      <c r="U1479" s="15"/>
      <c r="V1479" s="15"/>
      <c r="W1479" s="15"/>
      <c r="X1479" s="15"/>
      <c r="Y1479" s="15"/>
      <c r="Z1479" s="15"/>
      <c r="AA1479" s="15"/>
    </row>
    <row r="1480">
      <c r="A1480" s="5" t="s">
        <v>6030</v>
      </c>
      <c r="B1480" s="6" t="s">
        <v>6064</v>
      </c>
      <c r="C1480" s="40" t="s">
        <v>6065</v>
      </c>
      <c r="D1480" s="8"/>
      <c r="E1480" s="8" t="s">
        <v>189</v>
      </c>
      <c r="F1480" s="90">
        <v>2000.0</v>
      </c>
      <c r="G1480" s="97" t="s">
        <v>6066</v>
      </c>
      <c r="H1480" s="11" t="s">
        <v>44</v>
      </c>
      <c r="I1480" s="97">
        <v>9.564022042E9</v>
      </c>
      <c r="J1480" s="11" t="s">
        <v>25</v>
      </c>
      <c r="K1480" s="12"/>
      <c r="L1480" s="13"/>
      <c r="M1480" s="14"/>
      <c r="N1480" s="15"/>
      <c r="O1480" s="5" t="s">
        <v>34</v>
      </c>
      <c r="P1480" s="5" t="s">
        <v>209</v>
      </c>
      <c r="Q1480" s="15"/>
      <c r="R1480" s="16" t="s">
        <v>28</v>
      </c>
      <c r="S1480" s="15"/>
      <c r="T1480" s="15"/>
      <c r="U1480" s="15"/>
      <c r="V1480" s="15"/>
      <c r="W1480" s="15"/>
      <c r="X1480" s="15"/>
      <c r="Y1480" s="15"/>
      <c r="Z1480" s="15"/>
      <c r="AA1480" s="15"/>
    </row>
    <row r="1481">
      <c r="A1481" s="5" t="s">
        <v>6030</v>
      </c>
      <c r="B1481" s="6" t="s">
        <v>6067</v>
      </c>
      <c r="C1481" s="40" t="s">
        <v>6068</v>
      </c>
      <c r="D1481" s="8"/>
      <c r="E1481" s="8" t="s">
        <v>794</v>
      </c>
      <c r="F1481" s="90">
        <v>11000.0</v>
      </c>
      <c r="G1481" s="97" t="s">
        <v>6069</v>
      </c>
      <c r="H1481" s="11" t="s">
        <v>6070</v>
      </c>
      <c r="I1481" s="97">
        <v>9.830361221E9</v>
      </c>
      <c r="J1481" s="11" t="s">
        <v>25</v>
      </c>
      <c r="K1481" s="12" t="s">
        <v>6071</v>
      </c>
      <c r="L1481" s="13"/>
      <c r="M1481" s="14"/>
      <c r="N1481" s="15"/>
      <c r="O1481" s="5" t="s">
        <v>564</v>
      </c>
      <c r="P1481" s="5" t="s">
        <v>453</v>
      </c>
      <c r="Q1481" s="15"/>
      <c r="R1481" s="16" t="s">
        <v>28</v>
      </c>
      <c r="S1481" s="15"/>
      <c r="T1481" s="15"/>
      <c r="U1481" s="15"/>
      <c r="V1481" s="15"/>
      <c r="W1481" s="15"/>
      <c r="X1481" s="15"/>
      <c r="Y1481" s="15"/>
      <c r="Z1481" s="15"/>
      <c r="AA1481" s="15"/>
    </row>
    <row r="1482">
      <c r="A1482" s="5" t="s">
        <v>6030</v>
      </c>
      <c r="B1482" s="6" t="s">
        <v>6072</v>
      </c>
      <c r="C1482" s="40" t="s">
        <v>6073</v>
      </c>
      <c r="D1482" s="8"/>
      <c r="E1482" s="8" t="s">
        <v>2402</v>
      </c>
      <c r="F1482" s="90">
        <v>2000.0</v>
      </c>
      <c r="G1482" s="97" t="s">
        <v>6074</v>
      </c>
      <c r="H1482" s="11" t="s">
        <v>6075</v>
      </c>
      <c r="I1482" s="97">
        <v>7.004994681E9</v>
      </c>
      <c r="J1482" s="11" t="s">
        <v>25</v>
      </c>
      <c r="K1482" s="12"/>
      <c r="L1482" s="13"/>
      <c r="M1482" s="14"/>
      <c r="N1482" s="15"/>
      <c r="O1482" s="5" t="s">
        <v>5222</v>
      </c>
      <c r="P1482" s="15"/>
      <c r="Q1482" s="15"/>
      <c r="R1482" s="16" t="s">
        <v>28</v>
      </c>
      <c r="S1482" s="15"/>
      <c r="T1482" s="15"/>
      <c r="U1482" s="15"/>
      <c r="V1482" s="15"/>
      <c r="W1482" s="15"/>
      <c r="X1482" s="15"/>
      <c r="Y1482" s="15"/>
      <c r="Z1482" s="15"/>
      <c r="AA1482" s="15"/>
    </row>
    <row r="1483">
      <c r="A1483" s="5" t="s">
        <v>6030</v>
      </c>
      <c r="B1483" s="6" t="s">
        <v>6076</v>
      </c>
      <c r="C1483" s="40" t="s">
        <v>6077</v>
      </c>
      <c r="D1483" s="8"/>
      <c r="E1483" s="8" t="s">
        <v>286</v>
      </c>
      <c r="F1483" s="90">
        <v>25000.0</v>
      </c>
      <c r="G1483" s="97" t="s">
        <v>6078</v>
      </c>
      <c r="H1483" s="11" t="s">
        <v>6079</v>
      </c>
      <c r="I1483" s="97">
        <v>8.670467038E9</v>
      </c>
      <c r="J1483" s="11" t="s">
        <v>25</v>
      </c>
      <c r="K1483" s="12"/>
      <c r="L1483" s="13"/>
      <c r="M1483" s="14"/>
      <c r="N1483" s="15"/>
      <c r="O1483" s="5" t="s">
        <v>34</v>
      </c>
      <c r="P1483" s="11" t="s">
        <v>6080</v>
      </c>
      <c r="Q1483" s="15"/>
      <c r="R1483" s="16" t="s">
        <v>723</v>
      </c>
      <c r="S1483" s="15"/>
      <c r="T1483" s="15"/>
      <c r="U1483" s="15"/>
      <c r="V1483" s="15"/>
      <c r="W1483" s="15"/>
      <c r="X1483" s="15"/>
      <c r="Y1483" s="15"/>
      <c r="Z1483" s="15"/>
      <c r="AA1483" s="15"/>
    </row>
    <row r="1484">
      <c r="A1484" s="5" t="s">
        <v>6081</v>
      </c>
      <c r="B1484" s="6" t="s">
        <v>6082</v>
      </c>
      <c r="C1484" s="40" t="s">
        <v>6083</v>
      </c>
      <c r="D1484" s="8"/>
      <c r="E1484" s="8" t="s">
        <v>6084</v>
      </c>
      <c r="F1484" s="90">
        <v>50000.0</v>
      </c>
      <c r="G1484" s="97" t="s">
        <v>6085</v>
      </c>
      <c r="H1484" s="11" t="s">
        <v>4165</v>
      </c>
      <c r="I1484" s="97">
        <v>9.832824375E9</v>
      </c>
      <c r="J1484" s="11" t="s">
        <v>25</v>
      </c>
      <c r="K1484" s="12"/>
      <c r="L1484" s="13"/>
      <c r="M1484" s="14"/>
      <c r="N1484" s="15"/>
      <c r="O1484" s="5" t="s">
        <v>108</v>
      </c>
      <c r="P1484" s="15"/>
      <c r="Q1484" s="15"/>
      <c r="R1484" s="16" t="s">
        <v>28</v>
      </c>
      <c r="S1484" s="15"/>
      <c r="T1484" s="15"/>
      <c r="U1484" s="15"/>
      <c r="V1484" s="15"/>
      <c r="W1484" s="15"/>
      <c r="X1484" s="15"/>
      <c r="Y1484" s="15"/>
      <c r="Z1484" s="15"/>
      <c r="AA1484" s="15"/>
    </row>
    <row r="1485">
      <c r="A1485" s="5" t="s">
        <v>6081</v>
      </c>
      <c r="B1485" s="6" t="s">
        <v>6086</v>
      </c>
      <c r="C1485" s="40" t="s">
        <v>6087</v>
      </c>
      <c r="D1485" s="8"/>
      <c r="E1485" s="8" t="s">
        <v>6088</v>
      </c>
      <c r="F1485" s="90">
        <v>1000.0</v>
      </c>
      <c r="G1485" s="97" t="s">
        <v>6089</v>
      </c>
      <c r="H1485" s="11" t="s">
        <v>6090</v>
      </c>
      <c r="I1485" s="97">
        <v>9.830134101E9</v>
      </c>
      <c r="J1485" s="11" t="s">
        <v>25</v>
      </c>
      <c r="K1485" s="12"/>
      <c r="L1485" s="13"/>
      <c r="M1485" s="14"/>
      <c r="N1485" s="15"/>
      <c r="O1485" s="5" t="s">
        <v>34</v>
      </c>
      <c r="P1485" s="15"/>
      <c r="Q1485" s="15"/>
      <c r="R1485" s="16" t="s">
        <v>28</v>
      </c>
      <c r="S1485" s="15"/>
      <c r="T1485" s="15"/>
      <c r="U1485" s="15"/>
      <c r="V1485" s="15"/>
      <c r="W1485" s="15"/>
      <c r="X1485" s="15"/>
      <c r="Y1485" s="15"/>
      <c r="Z1485" s="15"/>
      <c r="AA1485" s="15"/>
    </row>
    <row r="1486">
      <c r="A1486" s="5" t="s">
        <v>6081</v>
      </c>
      <c r="B1486" s="6" t="s">
        <v>6091</v>
      </c>
      <c r="C1486" s="40" t="s">
        <v>6092</v>
      </c>
      <c r="D1486" s="8"/>
      <c r="E1486" s="8" t="s">
        <v>1373</v>
      </c>
      <c r="F1486" s="90">
        <v>500.0</v>
      </c>
      <c r="G1486" s="97" t="s">
        <v>6093</v>
      </c>
      <c r="H1486" s="11" t="s">
        <v>278</v>
      </c>
      <c r="I1486" s="97">
        <v>8.116682264E9</v>
      </c>
      <c r="J1486" s="11" t="s">
        <v>25</v>
      </c>
      <c r="K1486" s="12"/>
      <c r="L1486" s="13"/>
      <c r="M1486" s="14"/>
      <c r="N1486" s="15"/>
      <c r="O1486" s="5" t="s">
        <v>564</v>
      </c>
      <c r="P1486" s="11" t="s">
        <v>6094</v>
      </c>
      <c r="Q1486" s="15"/>
      <c r="R1486" s="16" t="s">
        <v>28</v>
      </c>
      <c r="S1486" s="15"/>
      <c r="T1486" s="15"/>
      <c r="U1486" s="15"/>
      <c r="V1486" s="15"/>
      <c r="W1486" s="15"/>
      <c r="X1486" s="15"/>
      <c r="Y1486" s="15"/>
      <c r="Z1486" s="15"/>
      <c r="AA1486" s="15"/>
    </row>
    <row r="1487">
      <c r="A1487" s="5" t="s">
        <v>6095</v>
      </c>
      <c r="B1487" s="6" t="s">
        <v>6096</v>
      </c>
      <c r="C1487" s="40" t="s">
        <v>6097</v>
      </c>
      <c r="D1487" s="8"/>
      <c r="E1487" s="8" t="s">
        <v>6098</v>
      </c>
      <c r="F1487" s="90">
        <v>3600.0</v>
      </c>
      <c r="G1487" s="97"/>
      <c r="H1487" s="11"/>
      <c r="I1487" s="97" t="s">
        <v>6099</v>
      </c>
      <c r="J1487" s="11" t="s">
        <v>25</v>
      </c>
      <c r="K1487" s="12"/>
      <c r="L1487" s="13"/>
      <c r="M1487" s="14"/>
      <c r="N1487" s="15"/>
      <c r="O1487" s="5" t="s">
        <v>564</v>
      </c>
      <c r="P1487" s="15"/>
      <c r="Q1487" s="15"/>
      <c r="R1487" s="16" t="s">
        <v>28</v>
      </c>
      <c r="S1487" s="15"/>
      <c r="T1487" s="15"/>
      <c r="U1487" s="15"/>
      <c r="V1487" s="15"/>
      <c r="W1487" s="15"/>
      <c r="X1487" s="15"/>
      <c r="Y1487" s="15"/>
      <c r="Z1487" s="15"/>
      <c r="AA1487" s="15"/>
    </row>
    <row r="1488">
      <c r="A1488" s="5" t="s">
        <v>6095</v>
      </c>
      <c r="B1488" s="6" t="s">
        <v>6100</v>
      </c>
      <c r="C1488" s="40" t="s">
        <v>6101</v>
      </c>
      <c r="D1488" s="8"/>
      <c r="E1488" s="8" t="s">
        <v>6102</v>
      </c>
      <c r="F1488" s="90">
        <v>10000.0</v>
      </c>
      <c r="G1488" s="97" t="s">
        <v>6103</v>
      </c>
      <c r="H1488" s="11" t="s">
        <v>6104</v>
      </c>
      <c r="I1488" s="97">
        <v>9.448463957E9</v>
      </c>
      <c r="J1488" s="11" t="s">
        <v>25</v>
      </c>
      <c r="K1488" s="12"/>
      <c r="L1488" s="13"/>
      <c r="M1488" s="14"/>
      <c r="N1488" s="15"/>
      <c r="O1488" s="5" t="s">
        <v>108</v>
      </c>
      <c r="P1488" s="15"/>
      <c r="Q1488" s="15"/>
      <c r="R1488" s="16" t="s">
        <v>28</v>
      </c>
      <c r="S1488" s="15"/>
      <c r="T1488" s="15"/>
      <c r="U1488" s="15"/>
      <c r="V1488" s="15"/>
      <c r="W1488" s="15"/>
      <c r="X1488" s="15"/>
      <c r="Y1488" s="15"/>
      <c r="Z1488" s="15"/>
      <c r="AA1488" s="15"/>
    </row>
    <row r="1489">
      <c r="A1489" s="5" t="s">
        <v>6095</v>
      </c>
      <c r="B1489" s="6" t="s">
        <v>6105</v>
      </c>
      <c r="C1489" s="40" t="s">
        <v>6106</v>
      </c>
      <c r="D1489" s="8"/>
      <c r="E1489" s="8" t="s">
        <v>6107</v>
      </c>
      <c r="F1489" s="90">
        <v>20000.0</v>
      </c>
      <c r="G1489" s="97" t="s">
        <v>6108</v>
      </c>
      <c r="H1489" s="11" t="s">
        <v>4444</v>
      </c>
      <c r="I1489" s="97">
        <v>9.223278245E9</v>
      </c>
      <c r="J1489" s="11" t="s">
        <v>4008</v>
      </c>
      <c r="K1489" s="12"/>
      <c r="L1489" s="13"/>
      <c r="M1489" s="14"/>
      <c r="N1489" s="15"/>
      <c r="O1489" s="5" t="s">
        <v>108</v>
      </c>
      <c r="P1489" s="15"/>
      <c r="Q1489" s="15"/>
      <c r="R1489" s="16" t="s">
        <v>28</v>
      </c>
      <c r="S1489" s="15"/>
      <c r="T1489" s="15"/>
      <c r="U1489" s="15"/>
      <c r="V1489" s="15"/>
      <c r="W1489" s="15"/>
      <c r="X1489" s="15"/>
      <c r="Y1489" s="15"/>
      <c r="Z1489" s="15"/>
      <c r="AA1489" s="15"/>
    </row>
    <row r="1490">
      <c r="A1490" s="5" t="s">
        <v>6095</v>
      </c>
      <c r="B1490" s="6" t="s">
        <v>6109</v>
      </c>
      <c r="C1490" s="40" t="s">
        <v>4852</v>
      </c>
      <c r="D1490" s="8"/>
      <c r="E1490" s="8" t="s">
        <v>6110</v>
      </c>
      <c r="F1490" s="90">
        <v>20000.0</v>
      </c>
      <c r="G1490" s="97" t="s">
        <v>6111</v>
      </c>
      <c r="H1490" s="11" t="s">
        <v>44</v>
      </c>
      <c r="I1490" s="97">
        <v>9.733637947E9</v>
      </c>
      <c r="J1490" s="11" t="s">
        <v>25</v>
      </c>
      <c r="K1490" s="12"/>
      <c r="L1490" s="13"/>
      <c r="M1490" s="14"/>
      <c r="N1490" s="15"/>
      <c r="O1490" s="5" t="s">
        <v>34</v>
      </c>
      <c r="P1490" s="5" t="s">
        <v>3139</v>
      </c>
      <c r="Q1490" s="15"/>
      <c r="R1490" s="16" t="s">
        <v>28</v>
      </c>
      <c r="S1490" s="15"/>
      <c r="T1490" s="15"/>
      <c r="U1490" s="15"/>
      <c r="V1490" s="15"/>
      <c r="W1490" s="15"/>
      <c r="X1490" s="15"/>
      <c r="Y1490" s="15"/>
      <c r="Z1490" s="15"/>
      <c r="AA1490" s="15"/>
    </row>
    <row r="1491">
      <c r="A1491" s="5" t="s">
        <v>6095</v>
      </c>
      <c r="B1491" s="6" t="s">
        <v>6112</v>
      </c>
      <c r="C1491" s="40" t="s">
        <v>6113</v>
      </c>
      <c r="D1491" s="8"/>
      <c r="E1491" s="8" t="s">
        <v>189</v>
      </c>
      <c r="F1491" s="90">
        <v>10000.0</v>
      </c>
      <c r="G1491" s="97"/>
      <c r="H1491" s="11" t="s">
        <v>99</v>
      </c>
      <c r="I1491" s="97">
        <v>9.891226039E9</v>
      </c>
      <c r="J1491" s="11" t="s">
        <v>25</v>
      </c>
      <c r="K1491" s="12"/>
      <c r="L1491" s="13"/>
      <c r="M1491" s="14"/>
      <c r="N1491" s="15"/>
      <c r="O1491" s="5" t="s">
        <v>564</v>
      </c>
      <c r="P1491" s="15"/>
      <c r="Q1491" s="15"/>
      <c r="R1491" s="16" t="s">
        <v>28</v>
      </c>
      <c r="S1491" s="15"/>
      <c r="T1491" s="15"/>
      <c r="U1491" s="15"/>
      <c r="V1491" s="15"/>
      <c r="W1491" s="15"/>
      <c r="X1491" s="15"/>
      <c r="Y1491" s="15"/>
      <c r="Z1491" s="15"/>
      <c r="AA1491" s="15"/>
    </row>
    <row r="1492">
      <c r="A1492" s="5" t="s">
        <v>6095</v>
      </c>
      <c r="B1492" s="6" t="s">
        <v>6114</v>
      </c>
      <c r="C1492" s="40" t="s">
        <v>6115</v>
      </c>
      <c r="D1492" s="8"/>
      <c r="E1492" s="8" t="s">
        <v>147</v>
      </c>
      <c r="F1492" s="90">
        <v>2000.0</v>
      </c>
      <c r="G1492" s="97" t="s">
        <v>6116</v>
      </c>
      <c r="H1492" s="11" t="s">
        <v>1282</v>
      </c>
      <c r="I1492" s="97">
        <v>9.775634623E9</v>
      </c>
      <c r="J1492" s="11" t="s">
        <v>25</v>
      </c>
      <c r="K1492" s="12" t="s">
        <v>890</v>
      </c>
      <c r="L1492" s="13"/>
      <c r="M1492" s="11" t="s">
        <v>6117</v>
      </c>
      <c r="N1492" s="15"/>
      <c r="O1492" s="5" t="s">
        <v>564</v>
      </c>
      <c r="P1492" s="15"/>
      <c r="Q1492" s="15"/>
      <c r="R1492" s="16" t="s">
        <v>28</v>
      </c>
      <c r="S1492" s="15"/>
      <c r="T1492" s="15"/>
      <c r="U1492" s="15"/>
      <c r="V1492" s="15"/>
      <c r="W1492" s="15"/>
      <c r="X1492" s="15"/>
      <c r="Y1492" s="15"/>
      <c r="Z1492" s="15"/>
      <c r="AA1492" s="15"/>
    </row>
    <row r="1493">
      <c r="A1493" s="5" t="s">
        <v>6118</v>
      </c>
      <c r="B1493" s="6" t="s">
        <v>6119</v>
      </c>
      <c r="C1493" s="40" t="s">
        <v>6120</v>
      </c>
      <c r="D1493" s="8"/>
      <c r="E1493" s="8" t="s">
        <v>5238</v>
      </c>
      <c r="F1493" s="90">
        <v>500.0</v>
      </c>
      <c r="G1493" s="97" t="s">
        <v>6121</v>
      </c>
      <c r="H1493" s="11" t="s">
        <v>44</v>
      </c>
      <c r="I1493" s="97" t="s">
        <v>6122</v>
      </c>
      <c r="J1493" s="11" t="s">
        <v>25</v>
      </c>
      <c r="K1493" s="12" t="s">
        <v>6123</v>
      </c>
      <c r="L1493" s="13"/>
      <c r="M1493" s="14"/>
      <c r="N1493" s="15"/>
      <c r="O1493" s="5" t="s">
        <v>564</v>
      </c>
      <c r="P1493" s="15"/>
      <c r="Q1493" s="15"/>
      <c r="R1493" s="16" t="s">
        <v>28</v>
      </c>
      <c r="S1493" s="15"/>
      <c r="T1493" s="15"/>
      <c r="U1493" s="15"/>
      <c r="V1493" s="15"/>
      <c r="W1493" s="15"/>
      <c r="X1493" s="15"/>
      <c r="Y1493" s="15"/>
      <c r="Z1493" s="15"/>
      <c r="AA1493" s="15"/>
    </row>
    <row r="1494">
      <c r="A1494" s="5" t="s">
        <v>6118</v>
      </c>
      <c r="B1494" s="6" t="s">
        <v>6124</v>
      </c>
      <c r="C1494" s="40" t="s">
        <v>6125</v>
      </c>
      <c r="D1494" s="8"/>
      <c r="E1494" s="8" t="s">
        <v>43</v>
      </c>
      <c r="F1494" s="90">
        <v>6000.0</v>
      </c>
      <c r="G1494" s="97" t="s">
        <v>6126</v>
      </c>
      <c r="H1494" s="11" t="s">
        <v>99</v>
      </c>
      <c r="I1494" s="97">
        <v>8.90070729E9</v>
      </c>
      <c r="J1494" s="11" t="s">
        <v>25</v>
      </c>
      <c r="K1494" s="12" t="s">
        <v>2951</v>
      </c>
      <c r="L1494" s="13"/>
      <c r="M1494" s="14"/>
      <c r="N1494" s="15"/>
      <c r="O1494" s="5" t="s">
        <v>564</v>
      </c>
      <c r="P1494" s="5" t="s">
        <v>6127</v>
      </c>
      <c r="Q1494" s="15"/>
      <c r="R1494" s="16" t="s">
        <v>28</v>
      </c>
      <c r="S1494" s="15"/>
      <c r="T1494" s="15"/>
      <c r="U1494" s="15"/>
      <c r="V1494" s="15"/>
      <c r="W1494" s="15"/>
      <c r="X1494" s="15"/>
      <c r="Y1494" s="15"/>
      <c r="Z1494" s="15"/>
      <c r="AA1494" s="15"/>
    </row>
    <row r="1495">
      <c r="A1495" s="5" t="s">
        <v>6118</v>
      </c>
      <c r="B1495" s="6" t="s">
        <v>6128</v>
      </c>
      <c r="C1495" s="40" t="s">
        <v>6129</v>
      </c>
      <c r="D1495" s="8"/>
      <c r="E1495" s="8" t="s">
        <v>156</v>
      </c>
      <c r="F1495" s="90">
        <v>5000.0</v>
      </c>
      <c r="G1495" s="97" t="s">
        <v>6130</v>
      </c>
      <c r="H1495" s="11" t="s">
        <v>6131</v>
      </c>
      <c r="I1495" s="97">
        <v>7.699463648E9</v>
      </c>
      <c r="J1495" s="11" t="s">
        <v>25</v>
      </c>
      <c r="K1495" s="12"/>
      <c r="L1495" s="13"/>
      <c r="M1495" s="14"/>
      <c r="N1495" s="15"/>
      <c r="O1495" s="5" t="s">
        <v>34</v>
      </c>
      <c r="P1495" s="5" t="s">
        <v>6132</v>
      </c>
      <c r="Q1495" s="15"/>
      <c r="R1495" s="16" t="s">
        <v>28</v>
      </c>
      <c r="S1495" s="15"/>
      <c r="T1495" s="15"/>
      <c r="U1495" s="15"/>
      <c r="V1495" s="15"/>
      <c r="W1495" s="15"/>
      <c r="X1495" s="15"/>
      <c r="Y1495" s="15"/>
      <c r="Z1495" s="15"/>
      <c r="AA1495" s="15"/>
    </row>
    <row r="1496">
      <c r="A1496" s="5" t="s">
        <v>6118</v>
      </c>
      <c r="B1496" s="6" t="s">
        <v>6133</v>
      </c>
      <c r="C1496" s="40" t="s">
        <v>6134</v>
      </c>
      <c r="D1496" s="8"/>
      <c r="E1496" s="8" t="s">
        <v>189</v>
      </c>
      <c r="F1496" s="90">
        <v>20000.0</v>
      </c>
      <c r="G1496" s="97" t="s">
        <v>6135</v>
      </c>
      <c r="H1496" s="11" t="s">
        <v>5089</v>
      </c>
      <c r="I1496" s="97">
        <v>8.097251858E9</v>
      </c>
      <c r="J1496" s="11" t="s">
        <v>25</v>
      </c>
      <c r="K1496" s="12" t="s">
        <v>3044</v>
      </c>
      <c r="L1496" s="13"/>
      <c r="M1496" s="14"/>
      <c r="N1496" s="15"/>
      <c r="O1496" s="5" t="s">
        <v>564</v>
      </c>
      <c r="P1496" s="15"/>
      <c r="Q1496" s="15"/>
      <c r="R1496" s="16" t="s">
        <v>28</v>
      </c>
      <c r="S1496" s="15"/>
      <c r="T1496" s="15"/>
      <c r="U1496" s="15"/>
      <c r="V1496" s="15"/>
      <c r="W1496" s="15"/>
      <c r="X1496" s="15"/>
      <c r="Y1496" s="15"/>
      <c r="Z1496" s="15"/>
      <c r="AA1496" s="15"/>
    </row>
    <row r="1497">
      <c r="A1497" s="5" t="s">
        <v>6118</v>
      </c>
      <c r="B1497" s="6" t="s">
        <v>6136</v>
      </c>
      <c r="C1497" s="40" t="s">
        <v>6137</v>
      </c>
      <c r="D1497" s="8"/>
      <c r="E1497" s="8" t="s">
        <v>501</v>
      </c>
      <c r="F1497" s="90">
        <v>1000.0</v>
      </c>
      <c r="G1497" s="97" t="s">
        <v>6138</v>
      </c>
      <c r="H1497" s="11" t="s">
        <v>44</v>
      </c>
      <c r="I1497" s="97">
        <v>9.90361898E9</v>
      </c>
      <c r="J1497" s="11" t="s">
        <v>25</v>
      </c>
      <c r="K1497" s="12"/>
      <c r="L1497" s="13"/>
      <c r="M1497" s="14"/>
      <c r="N1497" s="15"/>
      <c r="O1497" s="5" t="s">
        <v>34</v>
      </c>
      <c r="P1497" s="5" t="s">
        <v>79</v>
      </c>
      <c r="Q1497" s="5" t="s">
        <v>1751</v>
      </c>
      <c r="R1497" s="16" t="s">
        <v>723</v>
      </c>
      <c r="S1497" s="15"/>
      <c r="T1497" s="15"/>
      <c r="U1497" s="15"/>
      <c r="V1497" s="15"/>
      <c r="W1497" s="15"/>
      <c r="X1497" s="15"/>
      <c r="Y1497" s="15"/>
      <c r="Z1497" s="15"/>
      <c r="AA1497" s="15"/>
    </row>
    <row r="1498">
      <c r="A1498" s="5" t="s">
        <v>6139</v>
      </c>
      <c r="B1498" s="6" t="s">
        <v>6140</v>
      </c>
      <c r="C1498" s="40" t="s">
        <v>6141</v>
      </c>
      <c r="D1498" s="8"/>
      <c r="E1498" s="8" t="s">
        <v>6142</v>
      </c>
      <c r="F1498" s="90">
        <v>2000.0</v>
      </c>
      <c r="G1498" s="97" t="s">
        <v>6143</v>
      </c>
      <c r="H1498" s="11" t="s">
        <v>1414</v>
      </c>
      <c r="I1498" s="97">
        <v>9.88439114E9</v>
      </c>
      <c r="J1498" s="11" t="s">
        <v>4008</v>
      </c>
      <c r="K1498" s="12"/>
      <c r="L1498" s="13"/>
      <c r="M1498" s="14"/>
      <c r="N1498" s="15"/>
      <c r="O1498" s="5" t="s">
        <v>564</v>
      </c>
      <c r="P1498" s="15"/>
      <c r="Q1498" s="15"/>
      <c r="R1498" s="16" t="s">
        <v>28</v>
      </c>
      <c r="S1498" s="15"/>
      <c r="T1498" s="15"/>
      <c r="U1498" s="15"/>
      <c r="V1498" s="15"/>
      <c r="W1498" s="15"/>
      <c r="X1498" s="15"/>
      <c r="Y1498" s="15"/>
      <c r="Z1498" s="15"/>
      <c r="AA1498" s="15"/>
    </row>
    <row r="1499">
      <c r="A1499" s="5" t="s">
        <v>6139</v>
      </c>
      <c r="B1499" s="6" t="s">
        <v>6144</v>
      </c>
      <c r="C1499" s="40" t="s">
        <v>4424</v>
      </c>
      <c r="D1499" s="8"/>
      <c r="E1499" s="8" t="s">
        <v>6145</v>
      </c>
      <c r="F1499" s="90">
        <v>1000.0</v>
      </c>
      <c r="G1499" s="97" t="s">
        <v>4426</v>
      </c>
      <c r="H1499" s="11" t="s">
        <v>3090</v>
      </c>
      <c r="I1499" s="97">
        <v>9.831160925E9</v>
      </c>
      <c r="J1499" s="11" t="s">
        <v>25</v>
      </c>
      <c r="K1499" s="12"/>
      <c r="L1499" s="13"/>
      <c r="M1499" s="14"/>
      <c r="N1499" s="15"/>
      <c r="O1499" s="5" t="s">
        <v>564</v>
      </c>
      <c r="P1499" s="15"/>
      <c r="Q1499" s="15"/>
      <c r="R1499" s="16" t="s">
        <v>28</v>
      </c>
      <c r="S1499" s="15"/>
      <c r="T1499" s="15"/>
      <c r="U1499" s="15"/>
      <c r="V1499" s="15"/>
      <c r="W1499" s="15"/>
      <c r="X1499" s="15"/>
      <c r="Y1499" s="15"/>
      <c r="Z1499" s="15"/>
      <c r="AA1499" s="15"/>
    </row>
    <row r="1500">
      <c r="A1500" s="5" t="s">
        <v>6139</v>
      </c>
      <c r="B1500" s="6" t="s">
        <v>6146</v>
      </c>
      <c r="C1500" s="40" t="s">
        <v>6147</v>
      </c>
      <c r="D1500" s="8"/>
      <c r="E1500" s="8" t="s">
        <v>87</v>
      </c>
      <c r="F1500" s="90">
        <v>3000.0</v>
      </c>
      <c r="G1500" s="97" t="s">
        <v>6148</v>
      </c>
      <c r="H1500" s="11" t="s">
        <v>6149</v>
      </c>
      <c r="I1500" s="97">
        <v>8.481971906E9</v>
      </c>
      <c r="J1500" s="11" t="s">
        <v>25</v>
      </c>
      <c r="K1500" s="12"/>
      <c r="L1500" s="13"/>
      <c r="M1500" s="11" t="s">
        <v>6150</v>
      </c>
      <c r="N1500" s="15"/>
      <c r="O1500" s="5" t="s">
        <v>34</v>
      </c>
      <c r="P1500" s="5" t="s">
        <v>209</v>
      </c>
      <c r="Q1500" s="5" t="s">
        <v>6151</v>
      </c>
      <c r="R1500" s="16" t="s">
        <v>723</v>
      </c>
      <c r="S1500" s="15"/>
      <c r="T1500" s="15"/>
      <c r="U1500" s="15"/>
      <c r="V1500" s="15"/>
      <c r="W1500" s="15"/>
      <c r="X1500" s="15"/>
      <c r="Y1500" s="15"/>
      <c r="Z1500" s="15"/>
      <c r="AA1500" s="15"/>
    </row>
    <row r="1501">
      <c r="A1501" s="5" t="s">
        <v>6139</v>
      </c>
      <c r="B1501" s="6" t="s">
        <v>6152</v>
      </c>
      <c r="C1501" s="40" t="s">
        <v>6153</v>
      </c>
      <c r="D1501" s="8"/>
      <c r="E1501" s="8" t="s">
        <v>87</v>
      </c>
      <c r="F1501" s="90">
        <v>500.0</v>
      </c>
      <c r="G1501" s="97" t="s">
        <v>6154</v>
      </c>
      <c r="H1501" s="11" t="s">
        <v>977</v>
      </c>
      <c r="I1501" s="97">
        <v>8.340670076E9</v>
      </c>
      <c r="J1501" s="11" t="s">
        <v>25</v>
      </c>
      <c r="K1501" s="12"/>
      <c r="L1501" s="13"/>
      <c r="M1501" s="11" t="s">
        <v>6155</v>
      </c>
      <c r="N1501" s="15"/>
      <c r="O1501" s="5" t="s">
        <v>34</v>
      </c>
      <c r="P1501" s="5" t="s">
        <v>6156</v>
      </c>
      <c r="Q1501" s="15"/>
      <c r="R1501" s="16" t="s">
        <v>723</v>
      </c>
      <c r="S1501" s="15"/>
      <c r="T1501" s="15"/>
      <c r="U1501" s="15"/>
      <c r="V1501" s="15"/>
      <c r="W1501" s="15"/>
      <c r="X1501" s="15"/>
      <c r="Y1501" s="15"/>
      <c r="Z1501" s="15"/>
      <c r="AA1501" s="15"/>
    </row>
    <row r="1502">
      <c r="A1502" s="5" t="s">
        <v>6139</v>
      </c>
      <c r="B1502" s="6" t="s">
        <v>6157</v>
      </c>
      <c r="C1502" s="40" t="s">
        <v>6158</v>
      </c>
      <c r="D1502" s="8"/>
      <c r="E1502" s="8" t="s">
        <v>286</v>
      </c>
      <c r="F1502" s="90">
        <v>1000.0</v>
      </c>
      <c r="G1502" s="97" t="s">
        <v>6159</v>
      </c>
      <c r="H1502" s="11" t="s">
        <v>638</v>
      </c>
      <c r="I1502" s="97">
        <v>9.474944135E9</v>
      </c>
      <c r="J1502" s="11" t="s">
        <v>25</v>
      </c>
      <c r="K1502" s="12"/>
      <c r="L1502" s="13"/>
      <c r="M1502" s="14"/>
      <c r="N1502" s="15"/>
      <c r="O1502" s="5" t="s">
        <v>34</v>
      </c>
      <c r="P1502" s="5" t="s">
        <v>79</v>
      </c>
      <c r="Q1502" s="5" t="s">
        <v>777</v>
      </c>
      <c r="R1502" s="16" t="s">
        <v>723</v>
      </c>
      <c r="S1502" s="15"/>
      <c r="T1502" s="15"/>
      <c r="U1502" s="15"/>
      <c r="V1502" s="15"/>
      <c r="W1502" s="15"/>
      <c r="X1502" s="15"/>
      <c r="Y1502" s="15"/>
      <c r="Z1502" s="15"/>
      <c r="AA1502" s="15"/>
    </row>
    <row r="1503">
      <c r="A1503" s="5" t="s">
        <v>6139</v>
      </c>
      <c r="B1503" s="6" t="s">
        <v>6160</v>
      </c>
      <c r="C1503" s="40" t="s">
        <v>5556</v>
      </c>
      <c r="D1503" s="8"/>
      <c r="E1503" s="8" t="s">
        <v>240</v>
      </c>
      <c r="F1503" s="90">
        <v>20000.0</v>
      </c>
      <c r="G1503" s="97" t="s">
        <v>5557</v>
      </c>
      <c r="H1503" s="11" t="s">
        <v>2682</v>
      </c>
      <c r="I1503" s="97">
        <v>7.019557897E9</v>
      </c>
      <c r="J1503" s="11" t="s">
        <v>4008</v>
      </c>
      <c r="K1503" s="12"/>
      <c r="L1503" s="13"/>
      <c r="M1503" s="14"/>
      <c r="N1503" s="15"/>
      <c r="O1503" s="5" t="s">
        <v>564</v>
      </c>
      <c r="P1503" s="5" t="s">
        <v>6161</v>
      </c>
      <c r="Q1503" s="15"/>
      <c r="R1503" s="16" t="s">
        <v>28</v>
      </c>
      <c r="S1503" s="15"/>
      <c r="T1503" s="15"/>
      <c r="U1503" s="15"/>
      <c r="V1503" s="15"/>
      <c r="W1503" s="15"/>
      <c r="X1503" s="15"/>
      <c r="Y1503" s="15"/>
      <c r="Z1503" s="15"/>
      <c r="AA1503" s="15"/>
    </row>
    <row r="1504">
      <c r="A1504" s="5" t="s">
        <v>6139</v>
      </c>
      <c r="B1504" s="6" t="s">
        <v>6162</v>
      </c>
      <c r="C1504" s="40" t="s">
        <v>6163</v>
      </c>
      <c r="D1504" s="8"/>
      <c r="E1504" s="8" t="s">
        <v>5368</v>
      </c>
      <c r="F1504" s="90">
        <v>6000.0</v>
      </c>
      <c r="G1504" s="97" t="s">
        <v>6164</v>
      </c>
      <c r="H1504" s="11" t="s">
        <v>49</v>
      </c>
      <c r="I1504" s="97">
        <v>8.927542067E9</v>
      </c>
      <c r="J1504" s="11" t="s">
        <v>25</v>
      </c>
      <c r="K1504" s="12"/>
      <c r="L1504" s="13"/>
      <c r="M1504" s="14"/>
      <c r="N1504" s="15"/>
      <c r="O1504" s="5" t="s">
        <v>34</v>
      </c>
      <c r="P1504" s="5" t="s">
        <v>6165</v>
      </c>
      <c r="Q1504" s="15"/>
      <c r="R1504" s="16" t="s">
        <v>28</v>
      </c>
      <c r="S1504" s="15"/>
      <c r="T1504" s="15"/>
      <c r="U1504" s="15"/>
      <c r="V1504" s="15"/>
      <c r="W1504" s="15"/>
      <c r="X1504" s="15"/>
      <c r="Y1504" s="15"/>
      <c r="Z1504" s="15"/>
      <c r="AA1504" s="15"/>
    </row>
    <row r="1505">
      <c r="A1505" s="5" t="s">
        <v>6139</v>
      </c>
      <c r="B1505" s="6" t="s">
        <v>6166</v>
      </c>
      <c r="C1505" s="40" t="s">
        <v>6167</v>
      </c>
      <c r="D1505" s="8"/>
      <c r="E1505" s="8" t="s">
        <v>6168</v>
      </c>
      <c r="F1505" s="90">
        <v>500.0</v>
      </c>
      <c r="G1505" s="97" t="s">
        <v>6169</v>
      </c>
      <c r="H1505" s="11" t="s">
        <v>6170</v>
      </c>
      <c r="I1505" s="97">
        <v>7.001811483E9</v>
      </c>
      <c r="J1505" s="11" t="s">
        <v>25</v>
      </c>
      <c r="K1505" s="12"/>
      <c r="L1505" s="13"/>
      <c r="M1505" s="14"/>
      <c r="N1505" s="15"/>
      <c r="O1505" s="5" t="s">
        <v>564</v>
      </c>
      <c r="P1505" s="15"/>
      <c r="Q1505" s="15"/>
      <c r="R1505" s="16" t="s">
        <v>28</v>
      </c>
      <c r="S1505" s="15"/>
      <c r="T1505" s="15"/>
      <c r="U1505" s="15"/>
      <c r="V1505" s="15"/>
      <c r="W1505" s="15"/>
      <c r="X1505" s="15"/>
      <c r="Y1505" s="15"/>
      <c r="Z1505" s="15"/>
      <c r="AA1505" s="15"/>
    </row>
    <row r="1506">
      <c r="A1506" s="5" t="s">
        <v>6171</v>
      </c>
      <c r="B1506" s="6" t="s">
        <v>6157</v>
      </c>
      <c r="C1506" s="40" t="s">
        <v>6172</v>
      </c>
      <c r="D1506" s="8"/>
      <c r="E1506" s="8" t="s">
        <v>286</v>
      </c>
      <c r="F1506" s="90">
        <v>1000.0</v>
      </c>
      <c r="G1506" s="97" t="s">
        <v>6173</v>
      </c>
      <c r="H1506" s="11" t="s">
        <v>44</v>
      </c>
      <c r="I1506" s="97">
        <v>8.420883002E9</v>
      </c>
      <c r="J1506" s="11" t="s">
        <v>25</v>
      </c>
      <c r="K1506" s="12"/>
      <c r="L1506" s="13"/>
      <c r="M1506" s="14"/>
      <c r="N1506" s="15"/>
      <c r="O1506" s="5" t="s">
        <v>34</v>
      </c>
      <c r="P1506" s="5" t="s">
        <v>4850</v>
      </c>
      <c r="Q1506" s="5" t="s">
        <v>2144</v>
      </c>
      <c r="R1506" s="16" t="s">
        <v>723</v>
      </c>
      <c r="S1506" s="15"/>
      <c r="T1506" s="15"/>
      <c r="U1506" s="15"/>
      <c r="V1506" s="15"/>
      <c r="W1506" s="15"/>
      <c r="X1506" s="15"/>
      <c r="Y1506" s="15"/>
      <c r="Z1506" s="15"/>
      <c r="AA1506" s="15"/>
    </row>
    <row r="1507">
      <c r="A1507" s="5" t="s">
        <v>6171</v>
      </c>
      <c r="B1507" s="6" t="s">
        <v>6174</v>
      </c>
      <c r="C1507" s="40" t="s">
        <v>6175</v>
      </c>
      <c r="D1507" s="8"/>
      <c r="E1507" s="8" t="s">
        <v>1217</v>
      </c>
      <c r="F1507" s="90">
        <v>5000.0</v>
      </c>
      <c r="G1507" s="97" t="s">
        <v>6176</v>
      </c>
      <c r="H1507" s="11" t="s">
        <v>6177</v>
      </c>
      <c r="I1507" s="97">
        <v>9.437027199E9</v>
      </c>
      <c r="J1507" s="11" t="s">
        <v>25</v>
      </c>
      <c r="K1507" s="12"/>
      <c r="L1507" s="13"/>
      <c r="M1507" s="14"/>
      <c r="N1507" s="15"/>
      <c r="O1507" s="5" t="s">
        <v>564</v>
      </c>
      <c r="P1507" s="15"/>
      <c r="Q1507" s="15"/>
      <c r="R1507" s="16" t="s">
        <v>28</v>
      </c>
      <c r="S1507" s="15"/>
      <c r="T1507" s="15"/>
      <c r="U1507" s="15"/>
      <c r="V1507" s="15"/>
      <c r="W1507" s="15"/>
      <c r="X1507" s="15"/>
      <c r="Y1507" s="15"/>
      <c r="Z1507" s="15"/>
      <c r="AA1507" s="15"/>
    </row>
    <row r="1508">
      <c r="A1508" s="5" t="s">
        <v>6171</v>
      </c>
      <c r="B1508" s="6" t="s">
        <v>6178</v>
      </c>
      <c r="C1508" s="40" t="s">
        <v>6179</v>
      </c>
      <c r="D1508" s="8"/>
      <c r="E1508" s="8" t="s">
        <v>387</v>
      </c>
      <c r="F1508" s="90">
        <v>40000.0</v>
      </c>
      <c r="G1508" s="97" t="s">
        <v>6180</v>
      </c>
      <c r="H1508" s="11" t="s">
        <v>6181</v>
      </c>
      <c r="I1508" s="97">
        <v>9.831083858E9</v>
      </c>
      <c r="J1508" s="11" t="s">
        <v>25</v>
      </c>
      <c r="K1508" s="12"/>
      <c r="L1508" s="13"/>
      <c r="M1508" s="14"/>
      <c r="N1508" s="15"/>
      <c r="O1508" s="5" t="s">
        <v>564</v>
      </c>
      <c r="P1508" s="15"/>
      <c r="Q1508" s="15"/>
      <c r="R1508" s="16" t="s">
        <v>28</v>
      </c>
      <c r="S1508" s="15"/>
      <c r="T1508" s="15"/>
      <c r="U1508" s="15"/>
      <c r="V1508" s="15"/>
      <c r="W1508" s="15"/>
      <c r="X1508" s="15"/>
      <c r="Y1508" s="15"/>
      <c r="Z1508" s="15"/>
      <c r="AA1508" s="15"/>
    </row>
    <row r="1509">
      <c r="A1509" s="5" t="s">
        <v>6171</v>
      </c>
      <c r="B1509" s="6" t="s">
        <v>6182</v>
      </c>
      <c r="C1509" s="40" t="s">
        <v>6183</v>
      </c>
      <c r="D1509" s="8"/>
      <c r="E1509" s="8" t="s">
        <v>189</v>
      </c>
      <c r="F1509" s="90">
        <v>24000.0</v>
      </c>
      <c r="G1509" s="97"/>
      <c r="H1509" s="11" t="s">
        <v>449</v>
      </c>
      <c r="I1509" s="97">
        <v>8.652149661E9</v>
      </c>
      <c r="J1509" s="11" t="s">
        <v>25</v>
      </c>
      <c r="K1509" s="12"/>
      <c r="L1509" s="13"/>
      <c r="M1509" s="14"/>
      <c r="N1509" s="15"/>
      <c r="O1509" s="5" t="s">
        <v>34</v>
      </c>
      <c r="P1509" s="11" t="s">
        <v>6184</v>
      </c>
      <c r="Q1509" s="15"/>
      <c r="R1509" s="16" t="s">
        <v>723</v>
      </c>
      <c r="S1509" s="15"/>
      <c r="T1509" s="15"/>
      <c r="U1509" s="15"/>
      <c r="V1509" s="15"/>
      <c r="W1509" s="15"/>
      <c r="X1509" s="15"/>
      <c r="Y1509" s="15"/>
      <c r="Z1509" s="15"/>
      <c r="AA1509" s="15"/>
    </row>
    <row r="1510">
      <c r="A1510" s="5" t="s">
        <v>6171</v>
      </c>
      <c r="B1510" s="6" t="s">
        <v>6185</v>
      </c>
      <c r="C1510" s="40" t="s">
        <v>6186</v>
      </c>
      <c r="D1510" s="8"/>
      <c r="E1510" s="8" t="s">
        <v>43</v>
      </c>
      <c r="F1510" s="90">
        <v>40000.0</v>
      </c>
      <c r="G1510" s="97"/>
      <c r="H1510" s="11" t="s">
        <v>638</v>
      </c>
      <c r="I1510" s="97">
        <v>8.617878134E9</v>
      </c>
      <c r="J1510" s="11" t="s">
        <v>25</v>
      </c>
      <c r="K1510" s="12"/>
      <c r="L1510" s="13"/>
      <c r="M1510" s="14"/>
      <c r="N1510" s="15"/>
      <c r="O1510" s="5" t="s">
        <v>564</v>
      </c>
      <c r="P1510" s="15"/>
      <c r="Q1510" s="15"/>
      <c r="R1510" s="16" t="s">
        <v>28</v>
      </c>
      <c r="S1510" s="15"/>
      <c r="T1510" s="15"/>
      <c r="U1510" s="15"/>
      <c r="V1510" s="15"/>
      <c r="W1510" s="15"/>
      <c r="X1510" s="15"/>
      <c r="Y1510" s="15"/>
      <c r="Z1510" s="15"/>
      <c r="AA1510" s="15"/>
    </row>
    <row r="1511">
      <c r="A1511" s="5" t="s">
        <v>6187</v>
      </c>
      <c r="B1511" s="6" t="s">
        <v>6188</v>
      </c>
      <c r="C1511" s="40" t="s">
        <v>6189</v>
      </c>
      <c r="D1511" s="8"/>
      <c r="E1511" s="8" t="s">
        <v>6190</v>
      </c>
      <c r="F1511" s="90">
        <v>50000.0</v>
      </c>
      <c r="G1511" s="97" t="s">
        <v>6191</v>
      </c>
      <c r="H1511" s="11" t="s">
        <v>6192</v>
      </c>
      <c r="I1511" s="97">
        <v>7.070839041E9</v>
      </c>
      <c r="J1511" s="11" t="s">
        <v>25</v>
      </c>
      <c r="K1511" s="12"/>
      <c r="L1511" s="13"/>
      <c r="M1511" s="14"/>
      <c r="N1511" s="15"/>
      <c r="O1511" s="5" t="s">
        <v>564</v>
      </c>
      <c r="P1511" s="15"/>
      <c r="Q1511" s="15"/>
      <c r="R1511" s="16" t="s">
        <v>28</v>
      </c>
      <c r="S1511" s="15"/>
      <c r="T1511" s="15"/>
      <c r="U1511" s="15"/>
      <c r="V1511" s="15"/>
      <c r="W1511" s="15"/>
      <c r="X1511" s="15"/>
      <c r="Y1511" s="15"/>
      <c r="Z1511" s="15"/>
      <c r="AA1511" s="15"/>
    </row>
    <row r="1512">
      <c r="A1512" s="5" t="s">
        <v>6187</v>
      </c>
      <c r="B1512" s="6" t="s">
        <v>6193</v>
      </c>
      <c r="C1512" s="40" t="s">
        <v>6194</v>
      </c>
      <c r="D1512" s="8"/>
      <c r="E1512" s="8" t="s">
        <v>87</v>
      </c>
      <c r="F1512" s="90">
        <v>1000.0</v>
      </c>
      <c r="G1512" s="97"/>
      <c r="H1512" s="11" t="s">
        <v>44</v>
      </c>
      <c r="I1512" s="97">
        <v>7.059628854E9</v>
      </c>
      <c r="J1512" s="11" t="s">
        <v>25</v>
      </c>
      <c r="K1512" s="12"/>
      <c r="L1512" s="13"/>
      <c r="M1512" s="14"/>
      <c r="N1512" s="15"/>
      <c r="O1512" s="5" t="s">
        <v>34</v>
      </c>
      <c r="P1512" s="5" t="s">
        <v>727</v>
      </c>
      <c r="Q1512" s="5" t="s">
        <v>727</v>
      </c>
      <c r="R1512" s="16" t="s">
        <v>723</v>
      </c>
      <c r="S1512" s="15"/>
      <c r="T1512" s="15"/>
      <c r="U1512" s="15"/>
      <c r="V1512" s="15"/>
      <c r="W1512" s="15"/>
      <c r="X1512" s="15"/>
      <c r="Y1512" s="15"/>
      <c r="Z1512" s="15"/>
      <c r="AA1512" s="15"/>
    </row>
    <row r="1513">
      <c r="A1513" s="5" t="s">
        <v>6187</v>
      </c>
      <c r="B1513" s="6" t="s">
        <v>6195</v>
      </c>
      <c r="C1513" s="40" t="s">
        <v>6196</v>
      </c>
      <c r="D1513" s="8"/>
      <c r="E1513" s="8" t="s">
        <v>2747</v>
      </c>
      <c r="F1513" s="90">
        <v>1000.0</v>
      </c>
      <c r="G1513" s="97" t="s">
        <v>6197</v>
      </c>
      <c r="H1513" s="11" t="s">
        <v>44</v>
      </c>
      <c r="I1513" s="97">
        <v>9.163792099E9</v>
      </c>
      <c r="J1513" s="11" t="s">
        <v>25</v>
      </c>
      <c r="K1513" s="12"/>
      <c r="L1513" s="13"/>
      <c r="M1513" s="12" t="s">
        <v>3443</v>
      </c>
      <c r="N1513" s="15"/>
      <c r="O1513" s="5" t="s">
        <v>34</v>
      </c>
      <c r="P1513" s="5" t="s">
        <v>2952</v>
      </c>
      <c r="Q1513" s="15"/>
      <c r="R1513" s="16" t="s">
        <v>723</v>
      </c>
      <c r="S1513" s="15"/>
      <c r="T1513" s="15"/>
      <c r="U1513" s="15"/>
      <c r="V1513" s="15"/>
      <c r="W1513" s="15"/>
      <c r="X1513" s="15"/>
      <c r="Y1513" s="15"/>
      <c r="Z1513" s="15"/>
      <c r="AA1513" s="15"/>
    </row>
    <row r="1514">
      <c r="A1514" s="5" t="s">
        <v>6187</v>
      </c>
      <c r="B1514" s="6" t="s">
        <v>6198</v>
      </c>
      <c r="C1514" s="40" t="s">
        <v>6199</v>
      </c>
      <c r="D1514" s="8"/>
      <c r="E1514" s="8" t="s">
        <v>3918</v>
      </c>
      <c r="F1514" s="90">
        <v>2000.0</v>
      </c>
      <c r="G1514" s="97" t="s">
        <v>6200</v>
      </c>
      <c r="H1514" s="11" t="s">
        <v>44</v>
      </c>
      <c r="I1514" s="97">
        <v>9.330542101E9</v>
      </c>
      <c r="J1514" s="11" t="s">
        <v>25</v>
      </c>
      <c r="K1514" s="12"/>
      <c r="L1514" s="13"/>
      <c r="M1514" s="14"/>
      <c r="N1514" s="15"/>
      <c r="O1514" s="5" t="s">
        <v>34</v>
      </c>
      <c r="P1514" s="5" t="s">
        <v>727</v>
      </c>
      <c r="Q1514" s="15"/>
      <c r="R1514" s="16" t="s">
        <v>28</v>
      </c>
      <c r="S1514" s="15"/>
      <c r="T1514" s="15"/>
      <c r="U1514" s="15"/>
      <c r="V1514" s="15"/>
      <c r="W1514" s="15"/>
      <c r="X1514" s="15"/>
      <c r="Y1514" s="15"/>
      <c r="Z1514" s="15"/>
      <c r="AA1514" s="15"/>
    </row>
    <row r="1515">
      <c r="A1515" s="5" t="s">
        <v>6187</v>
      </c>
      <c r="B1515" s="6" t="s">
        <v>6201</v>
      </c>
      <c r="C1515" s="40" t="s">
        <v>6202</v>
      </c>
      <c r="D1515" s="8"/>
      <c r="E1515" s="8" t="s">
        <v>501</v>
      </c>
      <c r="F1515" s="90">
        <v>1000.0</v>
      </c>
      <c r="G1515" s="97" t="s">
        <v>6203</v>
      </c>
      <c r="H1515" s="11" t="s">
        <v>977</v>
      </c>
      <c r="I1515" s="97">
        <v>9.038025559E9</v>
      </c>
      <c r="J1515" s="11" t="s">
        <v>25</v>
      </c>
      <c r="K1515" s="12" t="s">
        <v>6204</v>
      </c>
      <c r="L1515" s="13"/>
      <c r="M1515" s="14"/>
      <c r="N1515" s="15"/>
      <c r="O1515" s="5" t="s">
        <v>564</v>
      </c>
      <c r="P1515" s="15"/>
      <c r="Q1515" s="15"/>
      <c r="R1515" s="16" t="s">
        <v>28</v>
      </c>
      <c r="S1515" s="15"/>
      <c r="T1515" s="15"/>
      <c r="U1515" s="15"/>
      <c r="V1515" s="15"/>
      <c r="W1515" s="15"/>
      <c r="X1515" s="15"/>
      <c r="Y1515" s="15"/>
      <c r="Z1515" s="15"/>
      <c r="AA1515" s="15"/>
    </row>
    <row r="1516">
      <c r="A1516" s="5" t="s">
        <v>6187</v>
      </c>
      <c r="B1516" s="6" t="s">
        <v>6205</v>
      </c>
      <c r="C1516" s="40" t="s">
        <v>6206</v>
      </c>
      <c r="D1516" s="8"/>
      <c r="E1516" s="8" t="s">
        <v>6207</v>
      </c>
      <c r="F1516" s="90">
        <v>9000.0</v>
      </c>
      <c r="G1516" s="97" t="s">
        <v>6208</v>
      </c>
      <c r="H1516" s="11" t="s">
        <v>6209</v>
      </c>
      <c r="I1516" s="97">
        <v>9.749005779E9</v>
      </c>
      <c r="J1516" s="11" t="s">
        <v>25</v>
      </c>
      <c r="K1516" s="12"/>
      <c r="L1516" s="13"/>
      <c r="M1516" s="11" t="s">
        <v>6210</v>
      </c>
      <c r="N1516" s="15"/>
      <c r="O1516" s="5" t="s">
        <v>34</v>
      </c>
      <c r="P1516" s="5" t="s">
        <v>6211</v>
      </c>
      <c r="Q1516" s="5" t="s">
        <v>6212</v>
      </c>
      <c r="R1516" s="16" t="s">
        <v>551</v>
      </c>
      <c r="S1516" s="15"/>
      <c r="T1516" s="15"/>
      <c r="U1516" s="15"/>
      <c r="V1516" s="15"/>
      <c r="W1516" s="15"/>
      <c r="X1516" s="15"/>
      <c r="Y1516" s="15"/>
      <c r="Z1516" s="15"/>
      <c r="AA1516" s="15"/>
    </row>
    <row r="1517">
      <c r="A1517" s="5" t="s">
        <v>6187</v>
      </c>
      <c r="B1517" s="6" t="s">
        <v>6213</v>
      </c>
      <c r="C1517" s="40" t="s">
        <v>6214</v>
      </c>
      <c r="D1517" s="8"/>
      <c r="E1517" s="8" t="s">
        <v>189</v>
      </c>
      <c r="F1517" s="90">
        <v>4000.0</v>
      </c>
      <c r="G1517" s="97" t="s">
        <v>6215</v>
      </c>
      <c r="H1517" s="11" t="s">
        <v>4686</v>
      </c>
      <c r="I1517" s="97">
        <v>9.830182625E9</v>
      </c>
      <c r="J1517" s="11" t="s">
        <v>25</v>
      </c>
      <c r="K1517" s="12"/>
      <c r="L1517" s="13"/>
      <c r="M1517" s="14"/>
      <c r="N1517" s="15"/>
      <c r="O1517" s="5" t="s">
        <v>34</v>
      </c>
      <c r="P1517" s="5" t="s">
        <v>6216</v>
      </c>
      <c r="Q1517" s="5" t="s">
        <v>6212</v>
      </c>
      <c r="R1517" s="16" t="s">
        <v>74</v>
      </c>
      <c r="S1517" s="15"/>
      <c r="T1517" s="15"/>
      <c r="U1517" s="15"/>
      <c r="V1517" s="15"/>
      <c r="W1517" s="15"/>
      <c r="X1517" s="15"/>
      <c r="Y1517" s="15"/>
      <c r="Z1517" s="15"/>
      <c r="AA1517" s="15"/>
    </row>
    <row r="1518">
      <c r="A1518" s="5" t="s">
        <v>6217</v>
      </c>
      <c r="B1518" s="6" t="s">
        <v>6218</v>
      </c>
      <c r="C1518" s="40" t="s">
        <v>6219</v>
      </c>
      <c r="D1518" s="8"/>
      <c r="E1518" s="8" t="s">
        <v>6220</v>
      </c>
      <c r="F1518" s="90">
        <v>25000.0</v>
      </c>
      <c r="G1518" s="97" t="s">
        <v>6221</v>
      </c>
      <c r="H1518" s="11" t="s">
        <v>99</v>
      </c>
      <c r="I1518" s="97">
        <v>9.776633253E9</v>
      </c>
      <c r="J1518" s="11" t="s">
        <v>25</v>
      </c>
      <c r="K1518" s="12"/>
      <c r="L1518" s="13"/>
      <c r="M1518" s="14"/>
      <c r="N1518" s="15"/>
      <c r="O1518" s="5" t="s">
        <v>34</v>
      </c>
      <c r="P1518" s="5" t="s">
        <v>209</v>
      </c>
      <c r="Q1518" s="5" t="s">
        <v>55</v>
      </c>
      <c r="R1518" s="16" t="s">
        <v>723</v>
      </c>
      <c r="S1518" s="15"/>
      <c r="T1518" s="15"/>
      <c r="U1518" s="15"/>
      <c r="V1518" s="15"/>
      <c r="W1518" s="15"/>
      <c r="X1518" s="15"/>
      <c r="Y1518" s="15"/>
      <c r="Z1518" s="15"/>
      <c r="AA1518" s="15"/>
    </row>
    <row r="1519">
      <c r="A1519" s="5" t="s">
        <v>6217</v>
      </c>
      <c r="B1519" s="6" t="s">
        <v>6222</v>
      </c>
      <c r="C1519" s="40" t="s">
        <v>6223</v>
      </c>
      <c r="D1519" s="8"/>
      <c r="E1519" s="8" t="s">
        <v>960</v>
      </c>
      <c r="F1519" s="90">
        <v>5000.0</v>
      </c>
      <c r="G1519" s="97" t="s">
        <v>6224</v>
      </c>
      <c r="H1519" s="11" t="s">
        <v>1337</v>
      </c>
      <c r="I1519" s="97">
        <v>7.417324371E9</v>
      </c>
      <c r="J1519" s="11" t="s">
        <v>25</v>
      </c>
      <c r="K1519" s="12"/>
      <c r="L1519" s="13"/>
      <c r="M1519" s="14"/>
      <c r="N1519" s="15"/>
      <c r="O1519" s="5" t="s">
        <v>34</v>
      </c>
      <c r="P1519" s="15"/>
      <c r="Q1519" s="15"/>
      <c r="R1519" s="16" t="s">
        <v>28</v>
      </c>
      <c r="S1519" s="15"/>
      <c r="T1519" s="15"/>
      <c r="U1519" s="15"/>
      <c r="V1519" s="15"/>
      <c r="W1519" s="15"/>
      <c r="X1519" s="15"/>
      <c r="Y1519" s="15"/>
      <c r="Z1519" s="15"/>
      <c r="AA1519" s="15"/>
    </row>
    <row r="1520">
      <c r="A1520" s="5" t="s">
        <v>6217</v>
      </c>
      <c r="B1520" s="6" t="s">
        <v>6225</v>
      </c>
      <c r="C1520" s="40" t="s">
        <v>6226</v>
      </c>
      <c r="D1520" s="8"/>
      <c r="E1520" s="8" t="s">
        <v>130</v>
      </c>
      <c r="F1520" s="90">
        <v>16000.0</v>
      </c>
      <c r="G1520" s="97" t="s">
        <v>6227</v>
      </c>
      <c r="H1520" s="11" t="s">
        <v>6228</v>
      </c>
      <c r="I1520" s="97">
        <v>9.830033756E9</v>
      </c>
      <c r="J1520" s="11" t="s">
        <v>25</v>
      </c>
      <c r="K1520" s="12"/>
      <c r="L1520" s="13"/>
      <c r="M1520" s="14"/>
      <c r="N1520" s="15"/>
      <c r="O1520" s="5" t="s">
        <v>564</v>
      </c>
      <c r="P1520" s="5" t="s">
        <v>6229</v>
      </c>
      <c r="Q1520" s="15"/>
      <c r="R1520" s="16" t="s">
        <v>28</v>
      </c>
      <c r="S1520" s="15"/>
      <c r="T1520" s="15"/>
      <c r="U1520" s="15"/>
      <c r="V1520" s="15"/>
      <c r="W1520" s="15"/>
      <c r="X1520" s="15"/>
      <c r="Y1520" s="15"/>
      <c r="Z1520" s="15"/>
      <c r="AA1520" s="15"/>
    </row>
    <row r="1521">
      <c r="A1521" s="5" t="s">
        <v>6217</v>
      </c>
      <c r="B1521" s="6" t="s">
        <v>6230</v>
      </c>
      <c r="C1521" s="40" t="s">
        <v>6231</v>
      </c>
      <c r="D1521" s="8"/>
      <c r="E1521" s="8" t="s">
        <v>6232</v>
      </c>
      <c r="F1521" s="90">
        <v>8000.0</v>
      </c>
      <c r="G1521" s="97" t="s">
        <v>6233</v>
      </c>
      <c r="H1521" s="11" t="s">
        <v>6234</v>
      </c>
      <c r="I1521" s="97">
        <v>7.001159635E9</v>
      </c>
      <c r="J1521" s="11" t="s">
        <v>25</v>
      </c>
      <c r="K1521" s="12" t="s">
        <v>6235</v>
      </c>
      <c r="L1521" s="13"/>
      <c r="M1521" s="14"/>
      <c r="N1521" s="15"/>
      <c r="O1521" s="5" t="s">
        <v>564</v>
      </c>
      <c r="P1521" s="5" t="s">
        <v>6236</v>
      </c>
      <c r="Q1521" s="15"/>
      <c r="R1521" s="16" t="s">
        <v>28</v>
      </c>
      <c r="S1521" s="15"/>
      <c r="T1521" s="15"/>
      <c r="U1521" s="15"/>
      <c r="V1521" s="15"/>
      <c r="W1521" s="15"/>
      <c r="X1521" s="15"/>
      <c r="Y1521" s="15"/>
      <c r="Z1521" s="15"/>
      <c r="AA1521" s="15"/>
    </row>
    <row r="1522">
      <c r="A1522" s="5" t="s">
        <v>6237</v>
      </c>
      <c r="B1522" s="6" t="s">
        <v>6238</v>
      </c>
      <c r="C1522" s="40" t="s">
        <v>6239</v>
      </c>
      <c r="D1522" s="8"/>
      <c r="E1522" s="8" t="s">
        <v>286</v>
      </c>
      <c r="F1522" s="90">
        <v>5000.0</v>
      </c>
      <c r="G1522" s="97" t="s">
        <v>6240</v>
      </c>
      <c r="H1522" s="11" t="s">
        <v>6241</v>
      </c>
      <c r="I1522" s="97">
        <v>9.933329266E9</v>
      </c>
      <c r="J1522" s="11" t="s">
        <v>25</v>
      </c>
      <c r="K1522" s="12"/>
      <c r="L1522" s="13"/>
      <c r="M1522" s="14"/>
      <c r="N1522" s="15"/>
      <c r="O1522" s="5" t="s">
        <v>34</v>
      </c>
      <c r="P1522" s="5" t="s">
        <v>6242</v>
      </c>
      <c r="Q1522" s="15"/>
      <c r="R1522" s="16" t="s">
        <v>723</v>
      </c>
      <c r="S1522" s="15"/>
      <c r="T1522" s="15"/>
      <c r="U1522" s="15"/>
      <c r="V1522" s="15"/>
      <c r="W1522" s="15"/>
      <c r="X1522" s="15"/>
      <c r="Y1522" s="15"/>
      <c r="Z1522" s="15"/>
      <c r="AA1522" s="15"/>
    </row>
    <row r="1523">
      <c r="A1523" s="5" t="s">
        <v>6237</v>
      </c>
      <c r="B1523" s="6" t="s">
        <v>6243</v>
      </c>
      <c r="C1523" s="40" t="s">
        <v>6244</v>
      </c>
      <c r="D1523" s="8"/>
      <c r="E1523" s="8" t="s">
        <v>6245</v>
      </c>
      <c r="F1523" s="90">
        <v>15000.0</v>
      </c>
      <c r="G1523" s="97" t="s">
        <v>6246</v>
      </c>
      <c r="H1523" s="11" t="s">
        <v>44</v>
      </c>
      <c r="I1523" s="97">
        <v>9.836215959E9</v>
      </c>
      <c r="J1523" s="11" t="s">
        <v>25</v>
      </c>
      <c r="K1523" s="12"/>
      <c r="L1523" s="13"/>
      <c r="M1523" s="14"/>
      <c r="N1523" s="15"/>
      <c r="O1523" s="5" t="s">
        <v>34</v>
      </c>
      <c r="P1523" s="5" t="s">
        <v>727</v>
      </c>
      <c r="Q1523" s="15"/>
      <c r="R1523" s="16" t="s">
        <v>28</v>
      </c>
      <c r="S1523" s="15"/>
      <c r="T1523" s="15"/>
      <c r="U1523" s="15"/>
      <c r="V1523" s="15"/>
      <c r="W1523" s="15"/>
      <c r="X1523" s="15"/>
      <c r="Y1523" s="15"/>
      <c r="Z1523" s="15"/>
      <c r="AA1523" s="15"/>
    </row>
    <row r="1524">
      <c r="A1524" s="5" t="s">
        <v>6237</v>
      </c>
      <c r="B1524" s="6" t="s">
        <v>6247</v>
      </c>
      <c r="C1524" s="40" t="s">
        <v>6248</v>
      </c>
      <c r="D1524" s="8"/>
      <c r="E1524" s="8" t="s">
        <v>6249</v>
      </c>
      <c r="F1524" s="90">
        <v>16000.0</v>
      </c>
      <c r="G1524" s="97" t="s">
        <v>6250</v>
      </c>
      <c r="H1524" s="11" t="s">
        <v>6251</v>
      </c>
      <c r="I1524" s="97">
        <v>8.91091508E9</v>
      </c>
      <c r="J1524" s="11" t="s">
        <v>25</v>
      </c>
      <c r="K1524" s="12"/>
      <c r="L1524" s="13"/>
      <c r="M1524" s="14"/>
      <c r="N1524" s="15"/>
      <c r="O1524" s="5" t="s">
        <v>34</v>
      </c>
      <c r="P1524" s="15"/>
      <c r="Q1524" s="15"/>
      <c r="R1524" s="16" t="s">
        <v>28</v>
      </c>
      <c r="S1524" s="15"/>
      <c r="T1524" s="15"/>
      <c r="U1524" s="15"/>
      <c r="V1524" s="15"/>
      <c r="W1524" s="15"/>
      <c r="X1524" s="15"/>
      <c r="Y1524" s="15"/>
      <c r="Z1524" s="15"/>
      <c r="AA1524" s="15"/>
    </row>
    <row r="1525">
      <c r="A1525" s="5" t="s">
        <v>6237</v>
      </c>
      <c r="B1525" s="6" t="s">
        <v>6252</v>
      </c>
      <c r="C1525" s="40" t="s">
        <v>6253</v>
      </c>
      <c r="D1525" s="8"/>
      <c r="E1525" s="8" t="s">
        <v>147</v>
      </c>
      <c r="F1525" s="90">
        <v>5000.0</v>
      </c>
      <c r="G1525" s="97" t="s">
        <v>6254</v>
      </c>
      <c r="H1525" s="11" t="s">
        <v>349</v>
      </c>
      <c r="I1525" s="97">
        <v>9.123903741E9</v>
      </c>
      <c r="J1525" s="11" t="s">
        <v>25</v>
      </c>
      <c r="K1525" s="12"/>
      <c r="L1525" s="13"/>
      <c r="M1525" s="14"/>
      <c r="N1525" s="15"/>
      <c r="O1525" s="5" t="s">
        <v>564</v>
      </c>
      <c r="P1525" s="5" t="s">
        <v>6255</v>
      </c>
      <c r="Q1525" s="15"/>
      <c r="R1525" s="16" t="s">
        <v>28</v>
      </c>
      <c r="S1525" s="15"/>
      <c r="T1525" s="15"/>
      <c r="U1525" s="15"/>
      <c r="V1525" s="15"/>
      <c r="W1525" s="15"/>
      <c r="X1525" s="15"/>
      <c r="Y1525" s="15"/>
      <c r="Z1525" s="15"/>
      <c r="AA1525" s="15"/>
    </row>
    <row r="1526">
      <c r="A1526" s="5" t="s">
        <v>6256</v>
      </c>
      <c r="B1526" s="6" t="s">
        <v>6257</v>
      </c>
      <c r="C1526" s="40" t="s">
        <v>6258</v>
      </c>
      <c r="D1526" s="8"/>
      <c r="E1526" s="8" t="s">
        <v>6259</v>
      </c>
      <c r="F1526" s="90">
        <v>2000.0</v>
      </c>
      <c r="G1526" s="97" t="s">
        <v>6260</v>
      </c>
      <c r="H1526" s="11" t="s">
        <v>44</v>
      </c>
      <c r="I1526" s="97">
        <v>8.584853235E9</v>
      </c>
      <c r="J1526" s="11" t="s">
        <v>25</v>
      </c>
      <c r="K1526" s="12"/>
      <c r="L1526" s="13"/>
      <c r="M1526" s="11" t="s">
        <v>4727</v>
      </c>
      <c r="N1526" s="15"/>
      <c r="O1526" s="5" t="s">
        <v>34</v>
      </c>
      <c r="P1526" s="5" t="s">
        <v>6211</v>
      </c>
      <c r="Q1526" s="5" t="s">
        <v>6261</v>
      </c>
      <c r="R1526" s="16" t="s">
        <v>248</v>
      </c>
      <c r="S1526" s="15"/>
      <c r="T1526" s="15"/>
      <c r="U1526" s="15"/>
      <c r="V1526" s="15"/>
      <c r="W1526" s="15"/>
      <c r="X1526" s="15"/>
      <c r="Y1526" s="15"/>
      <c r="Z1526" s="15"/>
      <c r="AA1526" s="15"/>
    </row>
    <row r="1527">
      <c r="A1527" s="5" t="s">
        <v>6256</v>
      </c>
      <c r="B1527" s="6" t="s">
        <v>6262</v>
      </c>
      <c r="C1527" s="40" t="s">
        <v>6263</v>
      </c>
      <c r="D1527" s="8"/>
      <c r="E1527" s="8" t="s">
        <v>189</v>
      </c>
      <c r="F1527" s="90">
        <v>7000.0</v>
      </c>
      <c r="G1527" s="97" t="s">
        <v>6264</v>
      </c>
      <c r="H1527" s="11" t="s">
        <v>985</v>
      </c>
      <c r="I1527" s="97">
        <v>8.945553616E9</v>
      </c>
      <c r="J1527" s="11" t="s">
        <v>25</v>
      </c>
      <c r="K1527" s="12"/>
      <c r="L1527" s="13"/>
      <c r="M1527" s="14"/>
      <c r="N1527" s="15"/>
      <c r="O1527" s="5" t="s">
        <v>34</v>
      </c>
      <c r="P1527" s="5" t="s">
        <v>6265</v>
      </c>
      <c r="Q1527" s="15"/>
      <c r="R1527" s="16" t="s">
        <v>28</v>
      </c>
      <c r="S1527" s="15"/>
      <c r="T1527" s="15"/>
      <c r="U1527" s="15"/>
      <c r="V1527" s="15"/>
      <c r="W1527" s="15"/>
      <c r="X1527" s="15"/>
      <c r="Y1527" s="15"/>
      <c r="Z1527" s="15"/>
      <c r="AA1527" s="15"/>
    </row>
    <row r="1528">
      <c r="A1528" s="5" t="s">
        <v>6256</v>
      </c>
      <c r="B1528" s="6" t="s">
        <v>6266</v>
      </c>
      <c r="C1528" s="40" t="s">
        <v>6267</v>
      </c>
      <c r="D1528" s="8"/>
      <c r="E1528" s="8" t="s">
        <v>286</v>
      </c>
      <c r="F1528" s="90">
        <v>2000.0</v>
      </c>
      <c r="G1528" s="97"/>
      <c r="H1528" s="11" t="s">
        <v>44</v>
      </c>
      <c r="I1528" s="97">
        <v>9.330152131E9</v>
      </c>
      <c r="J1528" s="11" t="s">
        <v>25</v>
      </c>
      <c r="K1528" s="12"/>
      <c r="L1528" s="13"/>
      <c r="M1528" s="14"/>
      <c r="N1528" s="15"/>
      <c r="O1528" s="5" t="s">
        <v>34</v>
      </c>
      <c r="P1528" s="11" t="s">
        <v>6268</v>
      </c>
      <c r="Q1528" s="15"/>
      <c r="R1528" s="16" t="s">
        <v>28</v>
      </c>
      <c r="S1528" s="15"/>
      <c r="T1528" s="15"/>
      <c r="U1528" s="15"/>
      <c r="V1528" s="15"/>
      <c r="W1528" s="15"/>
      <c r="X1528" s="15"/>
      <c r="Y1528" s="15"/>
      <c r="Z1528" s="15"/>
      <c r="AA1528" s="15"/>
    </row>
    <row r="1529">
      <c r="A1529" s="5" t="s">
        <v>6256</v>
      </c>
      <c r="B1529" s="6" t="s">
        <v>6269</v>
      </c>
      <c r="C1529" s="40" t="s">
        <v>6270</v>
      </c>
      <c r="D1529" s="8"/>
      <c r="E1529" s="8" t="s">
        <v>189</v>
      </c>
      <c r="F1529" s="90">
        <v>30000.0</v>
      </c>
      <c r="G1529" s="97" t="s">
        <v>6271</v>
      </c>
      <c r="H1529" s="11" t="s">
        <v>6272</v>
      </c>
      <c r="I1529" s="97">
        <v>9.435639999E9</v>
      </c>
      <c r="J1529" s="11" t="s">
        <v>25</v>
      </c>
      <c r="K1529" s="12"/>
      <c r="L1529" s="13"/>
      <c r="M1529" s="14"/>
      <c r="N1529" s="15"/>
      <c r="O1529" s="5" t="s">
        <v>564</v>
      </c>
      <c r="P1529" s="15"/>
      <c r="Q1529" s="15"/>
      <c r="R1529" s="16" t="s">
        <v>28</v>
      </c>
      <c r="S1529" s="15"/>
      <c r="T1529" s="15"/>
      <c r="U1529" s="15"/>
      <c r="V1529" s="15"/>
      <c r="W1529" s="15"/>
      <c r="X1529" s="15"/>
      <c r="Y1529" s="15"/>
      <c r="Z1529" s="15"/>
      <c r="AA1529" s="15"/>
    </row>
    <row r="1530">
      <c r="A1530" s="5" t="s">
        <v>6256</v>
      </c>
      <c r="B1530" s="6" t="s">
        <v>6273</v>
      </c>
      <c r="C1530" s="40" t="s">
        <v>6274</v>
      </c>
      <c r="D1530" s="8"/>
      <c r="E1530" s="8" t="s">
        <v>6275</v>
      </c>
      <c r="F1530" s="90">
        <v>5000.0</v>
      </c>
      <c r="G1530" s="97" t="s">
        <v>6276</v>
      </c>
      <c r="H1530" s="11" t="s">
        <v>3090</v>
      </c>
      <c r="I1530" s="97">
        <v>9.681033767E9</v>
      </c>
      <c r="J1530" s="11" t="s">
        <v>4008</v>
      </c>
      <c r="K1530" s="12"/>
      <c r="L1530" s="13"/>
      <c r="M1530" s="14"/>
      <c r="N1530" s="15"/>
      <c r="O1530" s="5" t="s">
        <v>564</v>
      </c>
      <c r="P1530" s="5" t="s">
        <v>6277</v>
      </c>
      <c r="Q1530" s="15"/>
      <c r="R1530" s="16" t="s">
        <v>28</v>
      </c>
      <c r="S1530" s="15"/>
      <c r="T1530" s="15"/>
      <c r="U1530" s="15"/>
      <c r="V1530" s="15"/>
      <c r="W1530" s="15"/>
      <c r="X1530" s="15"/>
      <c r="Y1530" s="15"/>
      <c r="Z1530" s="15"/>
      <c r="AA1530" s="15"/>
    </row>
    <row r="1531">
      <c r="A1531" s="5" t="s">
        <v>6256</v>
      </c>
      <c r="B1531" s="6" t="s">
        <v>6278</v>
      </c>
      <c r="C1531" s="40" t="s">
        <v>6279</v>
      </c>
      <c r="D1531" s="8"/>
      <c r="E1531" s="8" t="s">
        <v>286</v>
      </c>
      <c r="F1531" s="90">
        <v>3000.0</v>
      </c>
      <c r="G1531" s="97" t="s">
        <v>6280</v>
      </c>
      <c r="H1531" s="11" t="s">
        <v>6281</v>
      </c>
      <c r="I1531" s="97">
        <v>9.874483901E9</v>
      </c>
      <c r="J1531" s="11" t="s">
        <v>25</v>
      </c>
      <c r="K1531" s="12"/>
      <c r="L1531" s="13"/>
      <c r="M1531" s="14"/>
      <c r="N1531" s="15"/>
      <c r="O1531" s="5" t="s">
        <v>34</v>
      </c>
      <c r="P1531" s="5" t="s">
        <v>55</v>
      </c>
      <c r="Q1531" s="15"/>
      <c r="R1531" s="16" t="s">
        <v>723</v>
      </c>
      <c r="S1531" s="15"/>
      <c r="T1531" s="15"/>
      <c r="U1531" s="15"/>
      <c r="V1531" s="15"/>
      <c r="W1531" s="15"/>
      <c r="X1531" s="15"/>
      <c r="Y1531" s="15"/>
      <c r="Z1531" s="15"/>
      <c r="AA1531" s="15"/>
    </row>
    <row r="1532">
      <c r="A1532" s="5" t="s">
        <v>6256</v>
      </c>
      <c r="B1532" s="6" t="s">
        <v>6282</v>
      </c>
      <c r="C1532" s="40" t="s">
        <v>6283</v>
      </c>
      <c r="D1532" s="8"/>
      <c r="E1532" s="8" t="s">
        <v>189</v>
      </c>
      <c r="F1532" s="90">
        <v>6500.0</v>
      </c>
      <c r="G1532" s="97" t="s">
        <v>6284</v>
      </c>
      <c r="H1532" s="11" t="s">
        <v>44</v>
      </c>
      <c r="I1532" s="97">
        <v>9.351911872E9</v>
      </c>
      <c r="J1532" s="11" t="s">
        <v>25</v>
      </c>
      <c r="K1532" s="12"/>
      <c r="L1532" s="13"/>
      <c r="M1532" s="14"/>
      <c r="N1532" s="15"/>
      <c r="O1532" s="5" t="s">
        <v>34</v>
      </c>
      <c r="P1532" s="15"/>
      <c r="Q1532" s="15"/>
      <c r="R1532" s="16" t="s">
        <v>28</v>
      </c>
      <c r="S1532" s="15"/>
      <c r="T1532" s="15"/>
      <c r="U1532" s="15"/>
      <c r="V1532" s="15"/>
      <c r="W1532" s="15"/>
      <c r="X1532" s="15"/>
      <c r="Y1532" s="15"/>
      <c r="Z1532" s="15"/>
      <c r="AA1532" s="15"/>
    </row>
    <row r="1533">
      <c r="A1533" s="5" t="s">
        <v>6256</v>
      </c>
      <c r="B1533" s="6" t="s">
        <v>6285</v>
      </c>
      <c r="C1533" s="40" t="s">
        <v>3411</v>
      </c>
      <c r="D1533" s="8"/>
      <c r="E1533" s="8" t="s">
        <v>6286</v>
      </c>
      <c r="F1533" s="90">
        <v>40000.0</v>
      </c>
      <c r="G1533" s="97" t="s">
        <v>6287</v>
      </c>
      <c r="H1533" s="11" t="s">
        <v>3414</v>
      </c>
      <c r="I1533" s="97">
        <v>9.958756004E9</v>
      </c>
      <c r="J1533" s="11" t="s">
        <v>25</v>
      </c>
      <c r="K1533" s="12"/>
      <c r="L1533" s="13"/>
      <c r="M1533" s="14"/>
      <c r="N1533" s="15"/>
      <c r="O1533" s="5" t="s">
        <v>564</v>
      </c>
      <c r="P1533" s="15"/>
      <c r="Q1533" s="15"/>
      <c r="R1533" s="16" t="s">
        <v>28</v>
      </c>
      <c r="S1533" s="15"/>
      <c r="T1533" s="15"/>
      <c r="U1533" s="15"/>
      <c r="V1533" s="15"/>
      <c r="W1533" s="15"/>
      <c r="X1533" s="15"/>
      <c r="Y1533" s="15"/>
      <c r="Z1533" s="15"/>
      <c r="AA1533" s="15"/>
    </row>
    <row r="1534">
      <c r="A1534" s="5" t="s">
        <v>6288</v>
      </c>
      <c r="B1534" s="6" t="s">
        <v>6289</v>
      </c>
      <c r="C1534" s="40" t="s">
        <v>6290</v>
      </c>
      <c r="D1534" s="8"/>
      <c r="E1534" s="8" t="s">
        <v>6291</v>
      </c>
      <c r="F1534" s="90">
        <v>5000.0</v>
      </c>
      <c r="G1534" s="97"/>
      <c r="H1534" s="11" t="s">
        <v>44</v>
      </c>
      <c r="I1534" s="97">
        <v>6.29486186E9</v>
      </c>
      <c r="J1534" s="11" t="s">
        <v>25</v>
      </c>
      <c r="K1534" s="12"/>
      <c r="L1534" s="13"/>
      <c r="M1534" s="14"/>
      <c r="N1534" s="15"/>
      <c r="O1534" s="5" t="s">
        <v>564</v>
      </c>
      <c r="P1534" s="15"/>
      <c r="Q1534" s="15"/>
      <c r="R1534" s="16" t="s">
        <v>28</v>
      </c>
      <c r="S1534" s="15"/>
      <c r="T1534" s="15"/>
      <c r="U1534" s="15"/>
      <c r="V1534" s="15"/>
      <c r="W1534" s="15"/>
      <c r="X1534" s="15"/>
      <c r="Y1534" s="15"/>
      <c r="Z1534" s="15"/>
      <c r="AA1534" s="15"/>
    </row>
    <row r="1535">
      <c r="A1535" s="5" t="s">
        <v>6288</v>
      </c>
      <c r="B1535" s="6" t="s">
        <v>6292</v>
      </c>
      <c r="C1535" s="40" t="s">
        <v>6293</v>
      </c>
      <c r="D1535" s="8"/>
      <c r="E1535" s="8" t="s">
        <v>412</v>
      </c>
      <c r="F1535" s="90">
        <v>500.0</v>
      </c>
      <c r="G1535" s="97" t="s">
        <v>6294</v>
      </c>
      <c r="H1535" s="11" t="s">
        <v>985</v>
      </c>
      <c r="I1535" s="97">
        <v>7.478064932E9</v>
      </c>
      <c r="J1535" s="11" t="s">
        <v>4008</v>
      </c>
      <c r="K1535" s="12"/>
      <c r="L1535" s="13"/>
      <c r="M1535" s="14"/>
      <c r="N1535" s="15"/>
      <c r="O1535" s="5" t="s">
        <v>34</v>
      </c>
      <c r="P1535" s="5" t="s">
        <v>6295</v>
      </c>
      <c r="Q1535" s="15"/>
      <c r="R1535" s="16" t="s">
        <v>28</v>
      </c>
      <c r="S1535" s="15"/>
      <c r="T1535" s="15"/>
      <c r="U1535" s="15"/>
      <c r="V1535" s="15"/>
      <c r="W1535" s="15"/>
      <c r="X1535" s="15"/>
      <c r="Y1535" s="15"/>
      <c r="Z1535" s="15"/>
      <c r="AA1535" s="15"/>
    </row>
    <row r="1536">
      <c r="A1536" s="5" t="s">
        <v>6296</v>
      </c>
      <c r="B1536" s="6" t="s">
        <v>6297</v>
      </c>
      <c r="C1536" s="40" t="s">
        <v>6298</v>
      </c>
      <c r="D1536" s="8"/>
      <c r="E1536" s="8" t="s">
        <v>5338</v>
      </c>
      <c r="F1536" s="90">
        <v>10000.0</v>
      </c>
      <c r="G1536" s="97"/>
      <c r="H1536" s="11" t="s">
        <v>6299</v>
      </c>
      <c r="I1536" s="97">
        <v>9.007938968E9</v>
      </c>
      <c r="J1536" s="11" t="s">
        <v>25</v>
      </c>
      <c r="K1536" s="12"/>
      <c r="L1536" s="13"/>
      <c r="M1536" s="14"/>
      <c r="N1536" s="15"/>
      <c r="O1536" s="5" t="s">
        <v>34</v>
      </c>
      <c r="P1536" s="5" t="s">
        <v>727</v>
      </c>
      <c r="Q1536" s="15"/>
      <c r="R1536" s="16" t="s">
        <v>28</v>
      </c>
      <c r="S1536" s="15"/>
      <c r="T1536" s="15"/>
      <c r="U1536" s="15"/>
      <c r="V1536" s="15"/>
      <c r="W1536" s="15"/>
      <c r="X1536" s="15"/>
      <c r="Y1536" s="15"/>
      <c r="Z1536" s="15"/>
      <c r="AA1536" s="15"/>
    </row>
    <row r="1537">
      <c r="A1537" s="5" t="s">
        <v>6296</v>
      </c>
      <c r="B1537" s="6" t="s">
        <v>6300</v>
      </c>
      <c r="C1537" s="40" t="s">
        <v>6301</v>
      </c>
      <c r="D1537" s="8"/>
      <c r="E1537" s="8" t="s">
        <v>5293</v>
      </c>
      <c r="F1537" s="90">
        <v>20000.0</v>
      </c>
      <c r="G1537" s="97" t="s">
        <v>6302</v>
      </c>
      <c r="H1537" s="11" t="s">
        <v>6303</v>
      </c>
      <c r="I1537" s="97" t="s">
        <v>6304</v>
      </c>
      <c r="J1537" s="11" t="s">
        <v>25</v>
      </c>
      <c r="K1537" s="12"/>
      <c r="L1537" s="13"/>
      <c r="M1537" s="14"/>
      <c r="N1537" s="15"/>
      <c r="O1537" s="5" t="s">
        <v>34</v>
      </c>
      <c r="P1537" s="15"/>
      <c r="Q1537" s="15"/>
      <c r="R1537" s="16" t="s">
        <v>28</v>
      </c>
      <c r="S1537" s="15"/>
      <c r="T1537" s="15"/>
      <c r="U1537" s="15"/>
      <c r="V1537" s="15"/>
      <c r="W1537" s="15"/>
      <c r="X1537" s="15"/>
      <c r="Y1537" s="15"/>
      <c r="Z1537" s="15"/>
      <c r="AA1537" s="15"/>
    </row>
    <row r="1538">
      <c r="A1538" s="5" t="s">
        <v>6296</v>
      </c>
      <c r="B1538" s="6" t="s">
        <v>6305</v>
      </c>
      <c r="C1538" s="40" t="s">
        <v>4844</v>
      </c>
      <c r="D1538" s="8"/>
      <c r="E1538" s="8" t="s">
        <v>4096</v>
      </c>
      <c r="F1538" s="90">
        <v>25000.0</v>
      </c>
      <c r="G1538" s="97" t="s">
        <v>6306</v>
      </c>
      <c r="H1538" s="11" t="s">
        <v>6307</v>
      </c>
      <c r="I1538" s="97">
        <v>8.271602015E9</v>
      </c>
      <c r="J1538" s="11" t="s">
        <v>25</v>
      </c>
      <c r="K1538" s="12"/>
      <c r="L1538" s="13"/>
      <c r="M1538" s="14"/>
      <c r="N1538" s="15"/>
      <c r="O1538" s="5" t="s">
        <v>34</v>
      </c>
      <c r="P1538" s="11" t="s">
        <v>6308</v>
      </c>
      <c r="Q1538" s="15"/>
      <c r="R1538" s="16" t="s">
        <v>723</v>
      </c>
      <c r="S1538" s="15"/>
      <c r="T1538" s="15"/>
      <c r="U1538" s="15"/>
      <c r="V1538" s="15"/>
      <c r="W1538" s="15"/>
      <c r="X1538" s="15"/>
      <c r="Y1538" s="15"/>
      <c r="Z1538" s="15"/>
      <c r="AA1538" s="15"/>
    </row>
    <row r="1539">
      <c r="A1539" s="5" t="s">
        <v>6296</v>
      </c>
      <c r="B1539" s="6" t="s">
        <v>6309</v>
      </c>
      <c r="C1539" s="40" t="s">
        <v>6310</v>
      </c>
      <c r="D1539" s="8"/>
      <c r="E1539" s="8" t="s">
        <v>6311</v>
      </c>
      <c r="F1539" s="90">
        <v>2000.0</v>
      </c>
      <c r="G1539" s="97" t="s">
        <v>6312</v>
      </c>
      <c r="H1539" s="11" t="s">
        <v>24</v>
      </c>
      <c r="I1539" s="97">
        <v>9.334071935E9</v>
      </c>
      <c r="J1539" s="11" t="s">
        <v>25</v>
      </c>
      <c r="K1539" s="12"/>
      <c r="L1539" s="13"/>
      <c r="M1539" s="14"/>
      <c r="N1539" s="15"/>
      <c r="O1539" s="5" t="s">
        <v>34</v>
      </c>
      <c r="P1539" s="5" t="s">
        <v>2289</v>
      </c>
      <c r="Q1539" s="11" t="s">
        <v>6313</v>
      </c>
      <c r="R1539" s="16" t="s">
        <v>723</v>
      </c>
      <c r="S1539" s="15"/>
      <c r="T1539" s="15"/>
      <c r="U1539" s="15"/>
      <c r="V1539" s="15"/>
      <c r="W1539" s="15"/>
      <c r="X1539" s="15"/>
      <c r="Y1539" s="15"/>
      <c r="Z1539" s="15"/>
      <c r="AA1539" s="15"/>
    </row>
    <row r="1540">
      <c r="A1540" s="5" t="s">
        <v>6296</v>
      </c>
      <c r="B1540" s="6" t="s">
        <v>6314</v>
      </c>
      <c r="C1540" s="40" t="s">
        <v>6315</v>
      </c>
      <c r="D1540" s="8"/>
      <c r="E1540" s="8" t="s">
        <v>5502</v>
      </c>
      <c r="F1540" s="90">
        <v>100000.0</v>
      </c>
      <c r="G1540" s="97" t="s">
        <v>6316</v>
      </c>
      <c r="H1540" s="11" t="s">
        <v>6317</v>
      </c>
      <c r="I1540" s="97">
        <v>8.506967121E9</v>
      </c>
      <c r="J1540" s="11" t="s">
        <v>25</v>
      </c>
      <c r="K1540" s="12"/>
      <c r="L1540" s="13"/>
      <c r="M1540" s="14"/>
      <c r="N1540" s="15"/>
      <c r="O1540" s="5" t="s">
        <v>108</v>
      </c>
      <c r="P1540" s="15"/>
      <c r="Q1540" s="15"/>
      <c r="R1540" s="16" t="s">
        <v>28</v>
      </c>
      <c r="S1540" s="15"/>
      <c r="T1540" s="15"/>
      <c r="U1540" s="15"/>
      <c r="V1540" s="15"/>
      <c r="W1540" s="15"/>
      <c r="X1540" s="15"/>
      <c r="Y1540" s="15"/>
      <c r="Z1540" s="15"/>
      <c r="AA1540" s="15"/>
    </row>
    <row r="1541">
      <c r="A1541" s="5" t="s">
        <v>6296</v>
      </c>
      <c r="B1541" s="6" t="s">
        <v>6318</v>
      </c>
      <c r="C1541" s="40" t="s">
        <v>6319</v>
      </c>
      <c r="D1541" s="8"/>
      <c r="E1541" s="8" t="s">
        <v>189</v>
      </c>
      <c r="F1541" s="90">
        <v>20000.0</v>
      </c>
      <c r="G1541" s="97"/>
      <c r="H1541" s="11" t="s">
        <v>44</v>
      </c>
      <c r="I1541" s="97">
        <v>7.439847001E9</v>
      </c>
      <c r="J1541" s="11" t="s">
        <v>4008</v>
      </c>
      <c r="K1541" s="12"/>
      <c r="L1541" s="13"/>
      <c r="M1541" s="14"/>
      <c r="N1541" s="15"/>
      <c r="O1541" s="5" t="s">
        <v>34</v>
      </c>
      <c r="P1541" s="5" t="s">
        <v>6320</v>
      </c>
      <c r="Q1541" s="15"/>
      <c r="R1541" s="16" t="s">
        <v>28</v>
      </c>
      <c r="S1541" s="15"/>
      <c r="T1541" s="15"/>
      <c r="U1541" s="15"/>
      <c r="V1541" s="15"/>
      <c r="W1541" s="15"/>
      <c r="X1541" s="15"/>
      <c r="Y1541" s="15"/>
      <c r="Z1541" s="15"/>
      <c r="AA1541" s="15"/>
    </row>
    <row r="1542">
      <c r="A1542" s="5" t="s">
        <v>6296</v>
      </c>
      <c r="B1542" s="6" t="s">
        <v>6321</v>
      </c>
      <c r="C1542" s="40" t="s">
        <v>6322</v>
      </c>
      <c r="D1542" s="8"/>
      <c r="E1542" s="8" t="s">
        <v>6323</v>
      </c>
      <c r="F1542" s="90">
        <v>5000.0</v>
      </c>
      <c r="G1542" s="97" t="s">
        <v>6324</v>
      </c>
      <c r="H1542" s="11" t="s">
        <v>6325</v>
      </c>
      <c r="I1542" s="97">
        <v>8.961791884E9</v>
      </c>
      <c r="J1542" s="11" t="s">
        <v>25</v>
      </c>
      <c r="K1542" s="12"/>
      <c r="L1542" s="13"/>
      <c r="M1542" s="14"/>
      <c r="N1542" s="15"/>
      <c r="O1542" s="5" t="s">
        <v>34</v>
      </c>
      <c r="P1542" s="15"/>
      <c r="Q1542" s="15"/>
      <c r="R1542" s="16" t="s">
        <v>28</v>
      </c>
      <c r="S1542" s="15"/>
      <c r="T1542" s="15"/>
      <c r="U1542" s="15"/>
      <c r="V1542" s="15"/>
      <c r="W1542" s="15"/>
      <c r="X1542" s="15"/>
      <c r="Y1542" s="15"/>
      <c r="Z1542" s="15"/>
      <c r="AA1542" s="15"/>
    </row>
    <row r="1543">
      <c r="A1543" s="5" t="s">
        <v>6296</v>
      </c>
      <c r="B1543" s="6" t="s">
        <v>6326</v>
      </c>
      <c r="C1543" s="40" t="s">
        <v>6327</v>
      </c>
      <c r="D1543" s="8"/>
      <c r="E1543" s="8" t="s">
        <v>6328</v>
      </c>
      <c r="F1543" s="90" t="s">
        <v>6329</v>
      </c>
      <c r="G1543" s="97" t="s">
        <v>3022</v>
      </c>
      <c r="H1543" s="11" t="s">
        <v>6330</v>
      </c>
      <c r="I1543" s="97">
        <v>9.102273569E9</v>
      </c>
      <c r="J1543" s="11" t="s">
        <v>25</v>
      </c>
      <c r="K1543" s="12"/>
      <c r="L1543" s="13"/>
      <c r="M1543" s="14"/>
      <c r="N1543" s="15"/>
      <c r="O1543" s="5" t="s">
        <v>34</v>
      </c>
      <c r="P1543" s="5" t="s">
        <v>6331</v>
      </c>
      <c r="Q1543" s="5" t="s">
        <v>55</v>
      </c>
      <c r="R1543" s="16" t="s">
        <v>723</v>
      </c>
      <c r="S1543" s="15"/>
      <c r="T1543" s="15"/>
      <c r="U1543" s="15"/>
      <c r="V1543" s="15"/>
      <c r="W1543" s="15"/>
      <c r="X1543" s="15"/>
      <c r="Y1543" s="15"/>
      <c r="Z1543" s="15"/>
      <c r="AA1543" s="15"/>
    </row>
    <row r="1544">
      <c r="A1544" s="5" t="s">
        <v>6296</v>
      </c>
      <c r="B1544" s="6" t="s">
        <v>6332</v>
      </c>
      <c r="C1544" s="40" t="s">
        <v>6056</v>
      </c>
      <c r="D1544" s="8"/>
      <c r="E1544" s="8" t="s">
        <v>152</v>
      </c>
      <c r="F1544" s="90">
        <v>10000.0</v>
      </c>
      <c r="G1544" s="97" t="s">
        <v>6057</v>
      </c>
      <c r="H1544" s="11" t="s">
        <v>6333</v>
      </c>
      <c r="I1544" s="97">
        <v>7.908594617E9</v>
      </c>
      <c r="J1544" s="11" t="s">
        <v>25</v>
      </c>
      <c r="K1544" s="12"/>
      <c r="L1544" s="13"/>
      <c r="M1544" s="14"/>
      <c r="N1544" s="15"/>
      <c r="O1544" s="5" t="s">
        <v>34</v>
      </c>
      <c r="P1544" s="5" t="s">
        <v>6334</v>
      </c>
      <c r="Q1544" s="15"/>
      <c r="R1544" s="16" t="s">
        <v>28</v>
      </c>
      <c r="S1544" s="15"/>
      <c r="T1544" s="15"/>
      <c r="U1544" s="15"/>
      <c r="V1544" s="15"/>
      <c r="W1544" s="15"/>
      <c r="X1544" s="15"/>
      <c r="Y1544" s="15"/>
      <c r="Z1544" s="15"/>
      <c r="AA1544" s="15"/>
    </row>
    <row r="1545">
      <c r="A1545" s="5" t="s">
        <v>6296</v>
      </c>
      <c r="B1545" s="6" t="s">
        <v>6335</v>
      </c>
      <c r="C1545" s="40" t="s">
        <v>6336</v>
      </c>
      <c r="D1545" s="8"/>
      <c r="E1545" s="8" t="s">
        <v>222</v>
      </c>
      <c r="F1545" s="90">
        <v>4000.0</v>
      </c>
      <c r="G1545" s="97" t="s">
        <v>6337</v>
      </c>
      <c r="H1545" s="11" t="s">
        <v>6338</v>
      </c>
      <c r="I1545" s="97">
        <v>9.800004297E9</v>
      </c>
      <c r="J1545" s="11" t="s">
        <v>25</v>
      </c>
      <c r="K1545" s="12"/>
      <c r="L1545" s="13"/>
      <c r="M1545" s="14"/>
      <c r="N1545" s="15"/>
      <c r="O1545" s="5" t="s">
        <v>34</v>
      </c>
      <c r="P1545" s="5" t="s">
        <v>1035</v>
      </c>
      <c r="Q1545" s="5" t="s">
        <v>2314</v>
      </c>
      <c r="R1545" s="16" t="s">
        <v>28</v>
      </c>
      <c r="S1545" s="15"/>
      <c r="T1545" s="15"/>
      <c r="U1545" s="15"/>
      <c r="V1545" s="15"/>
      <c r="W1545" s="15"/>
      <c r="X1545" s="15"/>
      <c r="Y1545" s="15"/>
      <c r="Z1545" s="15"/>
      <c r="AA1545" s="15"/>
    </row>
    <row r="1546">
      <c r="A1546" s="5" t="s">
        <v>6339</v>
      </c>
      <c r="B1546" s="6" t="s">
        <v>6340</v>
      </c>
      <c r="C1546" s="40" t="s">
        <v>3160</v>
      </c>
      <c r="D1546" s="8"/>
      <c r="E1546" s="8" t="s">
        <v>794</v>
      </c>
      <c r="F1546" s="9">
        <v>10000.0</v>
      </c>
      <c r="G1546" s="120" t="s">
        <v>1321</v>
      </c>
      <c r="H1546" s="11" t="s">
        <v>99</v>
      </c>
      <c r="I1546" s="97">
        <v>9.871484703E9</v>
      </c>
      <c r="J1546" s="11" t="s">
        <v>25</v>
      </c>
      <c r="K1546" s="12"/>
      <c r="L1546" s="13"/>
      <c r="M1546" s="14"/>
      <c r="N1546" s="15"/>
      <c r="O1546" s="5" t="s">
        <v>26</v>
      </c>
      <c r="P1546" s="15"/>
      <c r="Q1546" s="15"/>
      <c r="R1546" s="16" t="s">
        <v>28</v>
      </c>
      <c r="S1546" s="15"/>
      <c r="T1546" s="15"/>
      <c r="U1546" s="15"/>
      <c r="V1546" s="15"/>
      <c r="W1546" s="15"/>
      <c r="X1546" s="15"/>
      <c r="Y1546" s="15"/>
      <c r="Z1546" s="15"/>
      <c r="AA1546" s="15"/>
    </row>
    <row r="1547">
      <c r="A1547" s="5" t="s">
        <v>6339</v>
      </c>
      <c r="B1547" s="6" t="s">
        <v>6341</v>
      </c>
      <c r="C1547" s="40" t="s">
        <v>6342</v>
      </c>
      <c r="D1547" s="8"/>
      <c r="E1547" s="8" t="s">
        <v>5230</v>
      </c>
      <c r="F1547" s="9">
        <v>10000.0</v>
      </c>
      <c r="G1547" s="120" t="s">
        <v>6343</v>
      </c>
      <c r="H1547" s="11" t="s">
        <v>44</v>
      </c>
      <c r="I1547" s="97">
        <v>9.830753133E9</v>
      </c>
      <c r="J1547" s="11" t="s">
        <v>25</v>
      </c>
      <c r="K1547" s="12"/>
      <c r="L1547" s="13"/>
      <c r="M1547" s="14"/>
      <c r="N1547" s="15"/>
      <c r="O1547" s="5" t="s">
        <v>26</v>
      </c>
      <c r="P1547" s="15"/>
      <c r="Q1547" s="15"/>
      <c r="R1547" s="16" t="s">
        <v>28</v>
      </c>
      <c r="S1547" s="15"/>
      <c r="T1547" s="15"/>
      <c r="U1547" s="15"/>
      <c r="V1547" s="15"/>
      <c r="W1547" s="15"/>
      <c r="X1547" s="15"/>
      <c r="Y1547" s="15"/>
      <c r="Z1547" s="15"/>
      <c r="AA1547" s="15"/>
    </row>
    <row r="1548">
      <c r="A1548" s="5" t="s">
        <v>6339</v>
      </c>
      <c r="B1548" s="6" t="s">
        <v>6344</v>
      </c>
      <c r="C1548" s="40" t="s">
        <v>6345</v>
      </c>
      <c r="D1548" s="8"/>
      <c r="E1548" s="8" t="s">
        <v>6346</v>
      </c>
      <c r="F1548" s="9">
        <v>100000.0</v>
      </c>
      <c r="G1548" s="143" t="s">
        <v>6347</v>
      </c>
      <c r="H1548" s="11" t="s">
        <v>2682</v>
      </c>
      <c r="I1548" s="41" t="s">
        <v>6348</v>
      </c>
      <c r="J1548" s="11" t="s">
        <v>25</v>
      </c>
      <c r="K1548" s="12"/>
      <c r="L1548" s="13"/>
      <c r="M1548" s="11" t="s">
        <v>6349</v>
      </c>
      <c r="N1548" s="15"/>
      <c r="O1548" s="5" t="s">
        <v>108</v>
      </c>
      <c r="P1548" s="5" t="s">
        <v>6350</v>
      </c>
      <c r="Q1548" s="15"/>
      <c r="R1548" s="16" t="s">
        <v>28</v>
      </c>
      <c r="S1548" s="15"/>
      <c r="T1548" s="15"/>
      <c r="U1548" s="15"/>
      <c r="V1548" s="15"/>
      <c r="W1548" s="15"/>
      <c r="X1548" s="15"/>
      <c r="Y1548" s="15"/>
      <c r="Z1548" s="15"/>
      <c r="AA1548" s="15"/>
    </row>
    <row r="1549">
      <c r="A1549" s="5" t="s">
        <v>6339</v>
      </c>
      <c r="B1549" s="6" t="s">
        <v>6351</v>
      </c>
      <c r="C1549" s="40" t="s">
        <v>6352</v>
      </c>
      <c r="D1549" s="8"/>
      <c r="E1549" s="8" t="s">
        <v>6353</v>
      </c>
      <c r="F1549" s="9">
        <v>10050.0</v>
      </c>
      <c r="G1549" s="97" t="s">
        <v>6354</v>
      </c>
      <c r="H1549" s="11" t="s">
        <v>590</v>
      </c>
      <c r="I1549" s="97">
        <v>8.777853611E9</v>
      </c>
      <c r="J1549" s="11" t="s">
        <v>25</v>
      </c>
      <c r="K1549" s="12"/>
      <c r="L1549" s="13"/>
      <c r="M1549" s="11" t="s">
        <v>6355</v>
      </c>
      <c r="N1549" s="15"/>
      <c r="O1549" s="5" t="s">
        <v>34</v>
      </c>
      <c r="P1549" s="5" t="s">
        <v>6356</v>
      </c>
      <c r="Q1549" s="15"/>
      <c r="R1549" s="16" t="s">
        <v>248</v>
      </c>
      <c r="S1549" s="15"/>
      <c r="T1549" s="15"/>
      <c r="U1549" s="15"/>
      <c r="V1549" s="15"/>
      <c r="W1549" s="15"/>
      <c r="X1549" s="15"/>
      <c r="Y1549" s="15"/>
      <c r="Z1549" s="15"/>
      <c r="AA1549" s="15"/>
    </row>
    <row r="1550">
      <c r="A1550" s="5" t="s">
        <v>6357</v>
      </c>
      <c r="B1550" s="6" t="s">
        <v>6358</v>
      </c>
      <c r="C1550" s="40" t="s">
        <v>6359</v>
      </c>
      <c r="D1550" s="8"/>
      <c r="E1550" s="8" t="s">
        <v>6360</v>
      </c>
      <c r="F1550" s="90">
        <v>2000.0</v>
      </c>
      <c r="G1550" s="120" t="s">
        <v>6361</v>
      </c>
      <c r="H1550" s="11" t="s">
        <v>44</v>
      </c>
      <c r="I1550" s="97">
        <v>9.831363936E9</v>
      </c>
      <c r="J1550" s="11" t="s">
        <v>4008</v>
      </c>
      <c r="K1550" s="12"/>
      <c r="L1550" s="13"/>
      <c r="M1550" s="14"/>
      <c r="N1550" s="15"/>
      <c r="O1550" s="5" t="s">
        <v>26</v>
      </c>
      <c r="P1550" s="15"/>
      <c r="Q1550" s="15"/>
      <c r="R1550" s="16" t="s">
        <v>28</v>
      </c>
      <c r="S1550" s="15"/>
      <c r="T1550" s="15"/>
      <c r="U1550" s="15"/>
      <c r="V1550" s="15"/>
      <c r="W1550" s="15"/>
      <c r="X1550" s="15"/>
      <c r="Y1550" s="15"/>
      <c r="Z1550" s="15"/>
      <c r="AA1550" s="15"/>
    </row>
    <row r="1551">
      <c r="A1551" s="5" t="s">
        <v>6357</v>
      </c>
      <c r="B1551" s="6" t="s">
        <v>6362</v>
      </c>
      <c r="C1551" s="40" t="s">
        <v>6363</v>
      </c>
      <c r="D1551" s="8"/>
      <c r="E1551" s="8" t="s">
        <v>22</v>
      </c>
      <c r="F1551" s="9">
        <v>33000.0</v>
      </c>
      <c r="G1551" s="120" t="s">
        <v>6364</v>
      </c>
      <c r="H1551" s="11" t="s">
        <v>44</v>
      </c>
      <c r="I1551" s="97">
        <v>9.830076161E9</v>
      </c>
      <c r="J1551" s="11" t="s">
        <v>25</v>
      </c>
      <c r="K1551" s="12" t="s">
        <v>373</v>
      </c>
      <c r="L1551" s="13"/>
      <c r="M1551" s="14"/>
      <c r="N1551" s="15"/>
      <c r="O1551" s="5" t="s">
        <v>26</v>
      </c>
      <c r="P1551" s="5" t="s">
        <v>6365</v>
      </c>
      <c r="Q1551" s="15"/>
      <c r="R1551" s="16" t="s">
        <v>28</v>
      </c>
      <c r="S1551" s="15"/>
      <c r="T1551" s="15"/>
      <c r="U1551" s="15"/>
      <c r="V1551" s="15"/>
      <c r="W1551" s="15"/>
      <c r="X1551" s="15"/>
      <c r="Y1551" s="15"/>
      <c r="Z1551" s="15"/>
      <c r="AA1551" s="15"/>
    </row>
    <row r="1552">
      <c r="A1552" s="5" t="s">
        <v>6357</v>
      </c>
      <c r="B1552" s="6" t="s">
        <v>6366</v>
      </c>
      <c r="C1552" s="40" t="s">
        <v>6367</v>
      </c>
      <c r="D1552" s="8"/>
      <c r="E1552" s="8" t="s">
        <v>6368</v>
      </c>
      <c r="F1552" s="9">
        <v>14000.0</v>
      </c>
      <c r="G1552" s="97" t="s">
        <v>6369</v>
      </c>
      <c r="H1552" s="11" t="s">
        <v>3844</v>
      </c>
      <c r="I1552" s="97">
        <v>9.004055321E9</v>
      </c>
      <c r="J1552" s="11" t="s">
        <v>25</v>
      </c>
      <c r="K1552" s="12"/>
      <c r="L1552" s="13"/>
      <c r="M1552" s="14"/>
      <c r="N1552" s="15"/>
      <c r="O1552" s="5" t="s">
        <v>108</v>
      </c>
      <c r="P1552" s="5"/>
      <c r="Q1552" s="15"/>
      <c r="R1552" s="16" t="s">
        <v>28</v>
      </c>
      <c r="S1552" s="15"/>
      <c r="T1552" s="15"/>
      <c r="U1552" s="15"/>
      <c r="V1552" s="15"/>
      <c r="W1552" s="15"/>
      <c r="X1552" s="15"/>
      <c r="Y1552" s="15"/>
      <c r="Z1552" s="15"/>
      <c r="AA1552" s="15"/>
    </row>
    <row r="1553">
      <c r="A1553" s="5" t="s">
        <v>6357</v>
      </c>
      <c r="B1553" s="6" t="s">
        <v>6370</v>
      </c>
      <c r="C1553" s="40" t="s">
        <v>6371</v>
      </c>
      <c r="D1553" s="8"/>
      <c r="E1553" s="8" t="s">
        <v>3824</v>
      </c>
      <c r="F1553" s="90">
        <v>1000.0</v>
      </c>
      <c r="G1553" s="144" t="s">
        <v>6372</v>
      </c>
      <c r="H1553" s="11" t="s">
        <v>5667</v>
      </c>
      <c r="I1553" s="97">
        <v>9.825044264E9</v>
      </c>
      <c r="J1553" s="11" t="s">
        <v>25</v>
      </c>
      <c r="K1553" s="12"/>
      <c r="L1553" s="13"/>
      <c r="M1553" s="14"/>
      <c r="N1553" s="15"/>
      <c r="O1553" s="5" t="s">
        <v>108</v>
      </c>
      <c r="P1553" s="5"/>
      <c r="Q1553" s="15"/>
      <c r="R1553" s="16" t="s">
        <v>28</v>
      </c>
      <c r="S1553" s="15"/>
      <c r="T1553" s="15"/>
      <c r="U1553" s="15"/>
      <c r="V1553" s="15"/>
      <c r="W1553" s="15"/>
      <c r="X1553" s="15"/>
      <c r="Y1553" s="15"/>
      <c r="Z1553" s="15"/>
      <c r="AA1553" s="15"/>
    </row>
    <row r="1554">
      <c r="A1554" s="5" t="s">
        <v>6373</v>
      </c>
      <c r="B1554" s="6" t="s">
        <v>6374</v>
      </c>
      <c r="C1554" s="40" t="s">
        <v>6375</v>
      </c>
      <c r="D1554" s="8"/>
      <c r="E1554" s="8" t="s">
        <v>794</v>
      </c>
      <c r="F1554" s="90">
        <v>1000.0</v>
      </c>
      <c r="G1554" s="97" t="s">
        <v>6376</v>
      </c>
      <c r="H1554" s="11" t="s">
        <v>6377</v>
      </c>
      <c r="I1554" s="97">
        <v>8.011125409E9</v>
      </c>
      <c r="J1554" s="11" t="s">
        <v>25</v>
      </c>
      <c r="K1554" s="12"/>
      <c r="L1554" s="13"/>
      <c r="M1554" s="14"/>
      <c r="N1554" s="15"/>
      <c r="O1554" s="5" t="s">
        <v>564</v>
      </c>
      <c r="P1554" s="5" t="s">
        <v>1619</v>
      </c>
      <c r="Q1554" s="15"/>
      <c r="R1554" s="16" t="s">
        <v>28</v>
      </c>
      <c r="S1554" s="15"/>
      <c r="T1554" s="15"/>
      <c r="U1554" s="15"/>
      <c r="V1554" s="15"/>
      <c r="W1554" s="15"/>
      <c r="X1554" s="15"/>
      <c r="Y1554" s="15"/>
      <c r="Z1554" s="15"/>
      <c r="AA1554" s="15"/>
    </row>
    <row r="1555">
      <c r="A1555" s="5" t="s">
        <v>6378</v>
      </c>
      <c r="B1555" s="6" t="s">
        <v>6379</v>
      </c>
      <c r="C1555" s="40" t="s">
        <v>6380</v>
      </c>
      <c r="D1555" s="8"/>
      <c r="E1555" s="8" t="s">
        <v>130</v>
      </c>
      <c r="F1555" s="9">
        <v>10000.0</v>
      </c>
      <c r="G1555" s="97"/>
      <c r="H1555" s="11" t="s">
        <v>6381</v>
      </c>
      <c r="I1555" s="97">
        <v>7.25700193E9</v>
      </c>
      <c r="J1555" s="11" t="s">
        <v>25</v>
      </c>
      <c r="K1555" s="12"/>
      <c r="L1555" s="13"/>
      <c r="M1555" s="11" t="s">
        <v>5484</v>
      </c>
      <c r="N1555" s="15"/>
      <c r="O1555" s="5" t="s">
        <v>34</v>
      </c>
      <c r="P1555" s="5" t="s">
        <v>6382</v>
      </c>
      <c r="Q1555" s="15"/>
      <c r="R1555" s="16" t="s">
        <v>634</v>
      </c>
      <c r="S1555" s="15"/>
      <c r="T1555" s="15"/>
      <c r="U1555" s="15"/>
      <c r="V1555" s="15"/>
      <c r="W1555" s="15"/>
      <c r="X1555" s="15"/>
      <c r="Y1555" s="15"/>
      <c r="Z1555" s="15"/>
      <c r="AA1555" s="15"/>
    </row>
    <row r="1556">
      <c r="A1556" s="5" t="s">
        <v>6378</v>
      </c>
      <c r="B1556" s="6" t="s">
        <v>6383</v>
      </c>
      <c r="C1556" s="40" t="s">
        <v>5931</v>
      </c>
      <c r="D1556" s="8"/>
      <c r="E1556" s="8" t="s">
        <v>4000</v>
      </c>
      <c r="F1556" s="90">
        <v>500.0</v>
      </c>
      <c r="G1556" s="97" t="s">
        <v>6384</v>
      </c>
      <c r="H1556" s="11" t="s">
        <v>6385</v>
      </c>
      <c r="I1556" s="97">
        <v>7.003607362E9</v>
      </c>
      <c r="J1556" s="11" t="s">
        <v>25</v>
      </c>
      <c r="K1556" s="12"/>
      <c r="L1556" s="13"/>
      <c r="M1556" s="14"/>
      <c r="N1556" s="15"/>
      <c r="O1556" s="5" t="s">
        <v>564</v>
      </c>
      <c r="P1556" s="15"/>
      <c r="Q1556" s="15"/>
      <c r="R1556" s="16" t="s">
        <v>28</v>
      </c>
      <c r="S1556" s="15"/>
      <c r="T1556" s="15"/>
      <c r="U1556" s="15"/>
      <c r="V1556" s="15"/>
      <c r="W1556" s="15"/>
      <c r="X1556" s="15"/>
      <c r="Y1556" s="15"/>
      <c r="Z1556" s="15"/>
      <c r="AA1556" s="15"/>
    </row>
    <row r="1557">
      <c r="A1557" s="5" t="s">
        <v>6378</v>
      </c>
      <c r="B1557" s="6" t="s">
        <v>6386</v>
      </c>
      <c r="C1557" s="40" t="s">
        <v>6387</v>
      </c>
      <c r="D1557" s="8"/>
      <c r="E1557" s="8" t="s">
        <v>87</v>
      </c>
      <c r="F1557" s="90">
        <v>10000.0</v>
      </c>
      <c r="G1557" s="97" t="s">
        <v>6388</v>
      </c>
      <c r="H1557" s="11" t="s">
        <v>449</v>
      </c>
      <c r="I1557" s="97">
        <v>9.733080181E9</v>
      </c>
      <c r="J1557" s="11" t="s">
        <v>25</v>
      </c>
      <c r="K1557" s="12"/>
      <c r="L1557" s="13"/>
      <c r="M1557" s="14"/>
      <c r="N1557" s="15"/>
      <c r="O1557" s="5" t="s">
        <v>34</v>
      </c>
      <c r="P1557" s="5" t="s">
        <v>4850</v>
      </c>
      <c r="Q1557" s="15"/>
      <c r="R1557" s="16" t="s">
        <v>28</v>
      </c>
      <c r="S1557" s="15"/>
      <c r="T1557" s="15"/>
      <c r="U1557" s="15"/>
      <c r="V1557" s="15"/>
      <c r="W1557" s="15"/>
      <c r="X1557" s="15"/>
      <c r="Y1557" s="15"/>
      <c r="Z1557" s="15"/>
      <c r="AA1557" s="15"/>
    </row>
    <row r="1558">
      <c r="A1558" s="5" t="s">
        <v>6389</v>
      </c>
      <c r="B1558" s="6" t="s">
        <v>6390</v>
      </c>
      <c r="C1558" s="40" t="s">
        <v>6391</v>
      </c>
      <c r="D1558" s="8"/>
      <c r="E1558" s="8" t="s">
        <v>240</v>
      </c>
      <c r="F1558" s="90">
        <v>50000.0</v>
      </c>
      <c r="G1558" s="97" t="s">
        <v>6392</v>
      </c>
      <c r="H1558" s="11" t="s">
        <v>6393</v>
      </c>
      <c r="I1558" s="97">
        <v>9.725054985E9</v>
      </c>
      <c r="J1558" s="11" t="s">
        <v>25</v>
      </c>
      <c r="K1558" s="12"/>
      <c r="L1558" s="13"/>
      <c r="M1558" s="14"/>
      <c r="N1558" s="15"/>
      <c r="O1558" s="5" t="s">
        <v>108</v>
      </c>
      <c r="P1558" s="15"/>
      <c r="Q1558" s="15"/>
      <c r="R1558" s="16" t="s">
        <v>28</v>
      </c>
      <c r="S1558" s="15"/>
      <c r="T1558" s="15"/>
      <c r="U1558" s="15"/>
      <c r="V1558" s="15"/>
      <c r="W1558" s="15"/>
      <c r="X1558" s="15"/>
      <c r="Y1558" s="15"/>
      <c r="Z1558" s="15"/>
      <c r="AA1558" s="15"/>
    </row>
    <row r="1559">
      <c r="A1559" s="5" t="s">
        <v>6389</v>
      </c>
      <c r="B1559" s="6" t="s">
        <v>6394</v>
      </c>
      <c r="C1559" s="40" t="s">
        <v>6395</v>
      </c>
      <c r="D1559" s="8"/>
      <c r="E1559" s="8" t="s">
        <v>189</v>
      </c>
      <c r="F1559" s="90">
        <v>25000.0</v>
      </c>
      <c r="G1559" s="97" t="s">
        <v>6396</v>
      </c>
      <c r="H1559" s="11" t="s">
        <v>6397</v>
      </c>
      <c r="I1559" s="97">
        <v>9.889040664E9</v>
      </c>
      <c r="J1559" s="11" t="s">
        <v>25</v>
      </c>
      <c r="K1559" s="12"/>
      <c r="L1559" s="13"/>
      <c r="M1559" s="14"/>
      <c r="N1559" s="15"/>
      <c r="O1559" s="5" t="s">
        <v>108</v>
      </c>
      <c r="P1559" s="15"/>
      <c r="Q1559" s="15"/>
      <c r="R1559" s="16" t="s">
        <v>28</v>
      </c>
      <c r="S1559" s="15"/>
      <c r="T1559" s="15"/>
      <c r="U1559" s="15"/>
      <c r="V1559" s="15"/>
      <c r="W1559" s="15"/>
      <c r="X1559" s="15"/>
      <c r="Y1559" s="15"/>
      <c r="Z1559" s="15"/>
      <c r="AA1559" s="15"/>
    </row>
    <row r="1560">
      <c r="A1560" s="5" t="s">
        <v>6398</v>
      </c>
      <c r="B1560" s="6" t="s">
        <v>6399</v>
      </c>
      <c r="C1560" s="40" t="s">
        <v>6400</v>
      </c>
      <c r="D1560" s="8"/>
      <c r="E1560" s="8" t="s">
        <v>2220</v>
      </c>
      <c r="F1560" s="90">
        <v>1000.0</v>
      </c>
      <c r="G1560" s="97" t="s">
        <v>6401</v>
      </c>
      <c r="H1560" s="11" t="s">
        <v>6402</v>
      </c>
      <c r="I1560" s="97">
        <v>9.416741734E9</v>
      </c>
      <c r="J1560" s="11" t="s">
        <v>25</v>
      </c>
      <c r="K1560" s="12"/>
      <c r="L1560" s="13"/>
      <c r="M1560" s="14"/>
      <c r="N1560" s="15"/>
      <c r="O1560" s="5" t="s">
        <v>108</v>
      </c>
      <c r="P1560" s="15"/>
      <c r="Q1560" s="15"/>
      <c r="R1560" s="16" t="s">
        <v>28</v>
      </c>
      <c r="S1560" s="15"/>
      <c r="T1560" s="15"/>
      <c r="U1560" s="15"/>
      <c r="V1560" s="15"/>
      <c r="W1560" s="15"/>
      <c r="X1560" s="15"/>
      <c r="Y1560" s="15"/>
      <c r="Z1560" s="15"/>
      <c r="AA1560" s="15"/>
    </row>
    <row r="1561">
      <c r="A1561" s="5" t="s">
        <v>6398</v>
      </c>
      <c r="B1561" s="6" t="s">
        <v>6403</v>
      </c>
      <c r="C1561" s="40" t="s">
        <v>6404</v>
      </c>
      <c r="D1561" s="8"/>
      <c r="E1561" s="8" t="s">
        <v>6405</v>
      </c>
      <c r="F1561" s="90">
        <v>20000.0</v>
      </c>
      <c r="G1561" s="97" t="s">
        <v>6406</v>
      </c>
      <c r="H1561" s="11" t="s">
        <v>44</v>
      </c>
      <c r="I1561" s="97">
        <v>9.03119693E9</v>
      </c>
      <c r="J1561" s="11" t="s">
        <v>25</v>
      </c>
      <c r="K1561" s="12"/>
      <c r="L1561" s="13"/>
      <c r="M1561" s="14"/>
      <c r="N1561" s="15"/>
      <c r="O1561" s="5" t="s">
        <v>34</v>
      </c>
      <c r="P1561" s="15"/>
      <c r="Q1561" s="15"/>
      <c r="R1561" s="16" t="s">
        <v>28</v>
      </c>
      <c r="S1561" s="15"/>
      <c r="T1561" s="15"/>
      <c r="U1561" s="15"/>
      <c r="V1561" s="15"/>
      <c r="W1561" s="15"/>
      <c r="X1561" s="15"/>
      <c r="Y1561" s="15"/>
      <c r="Z1561" s="15"/>
      <c r="AA1561" s="15"/>
    </row>
    <row r="1562">
      <c r="A1562" s="5" t="s">
        <v>6398</v>
      </c>
      <c r="B1562" s="6" t="s">
        <v>6407</v>
      </c>
      <c r="C1562" s="40" t="s">
        <v>6408</v>
      </c>
      <c r="D1562" s="8"/>
      <c r="E1562" s="8" t="s">
        <v>6015</v>
      </c>
      <c r="F1562" s="90" t="s">
        <v>6409</v>
      </c>
      <c r="G1562" s="97" t="s">
        <v>6410</v>
      </c>
      <c r="H1562" s="11" t="s">
        <v>6411</v>
      </c>
      <c r="I1562" s="97">
        <v>9.434184625E9</v>
      </c>
      <c r="J1562" s="11" t="s">
        <v>25</v>
      </c>
      <c r="K1562" s="12"/>
      <c r="L1562" s="13"/>
      <c r="M1562" s="14"/>
      <c r="N1562" s="15"/>
      <c r="O1562" s="5" t="s">
        <v>564</v>
      </c>
      <c r="P1562" s="5" t="s">
        <v>1498</v>
      </c>
      <c r="Q1562" s="15"/>
      <c r="R1562" s="16" t="s">
        <v>28</v>
      </c>
      <c r="S1562" s="15"/>
      <c r="T1562" s="15"/>
      <c r="U1562" s="15"/>
      <c r="V1562" s="15"/>
      <c r="W1562" s="15"/>
      <c r="X1562" s="15"/>
      <c r="Y1562" s="15"/>
      <c r="Z1562" s="15"/>
      <c r="AA1562" s="15"/>
    </row>
    <row r="1563">
      <c r="A1563" s="5" t="s">
        <v>6398</v>
      </c>
      <c r="B1563" s="6" t="s">
        <v>6412</v>
      </c>
      <c r="C1563" s="40" t="s">
        <v>6413</v>
      </c>
      <c r="D1563" s="8"/>
      <c r="E1563" s="8" t="s">
        <v>43</v>
      </c>
      <c r="F1563" s="90">
        <v>1000.0</v>
      </c>
      <c r="G1563" s="41" t="s">
        <v>6414</v>
      </c>
      <c r="H1563" s="11" t="s">
        <v>44</v>
      </c>
      <c r="I1563" s="97">
        <v>8.910297365E9</v>
      </c>
      <c r="J1563" s="11" t="s">
        <v>25</v>
      </c>
      <c r="K1563" s="12"/>
      <c r="L1563" s="13"/>
      <c r="M1563" s="11" t="s">
        <v>5351</v>
      </c>
      <c r="N1563" s="15"/>
      <c r="O1563" s="5" t="s">
        <v>34</v>
      </c>
      <c r="P1563" s="5" t="s">
        <v>6356</v>
      </c>
      <c r="Q1563" s="5" t="s">
        <v>6261</v>
      </c>
      <c r="R1563" s="16" t="s">
        <v>74</v>
      </c>
      <c r="S1563" s="15"/>
      <c r="T1563" s="15"/>
      <c r="U1563" s="15"/>
      <c r="V1563" s="15"/>
      <c r="W1563" s="15"/>
      <c r="X1563" s="15"/>
      <c r="Y1563" s="15"/>
      <c r="Z1563" s="15"/>
      <c r="AA1563" s="15"/>
    </row>
    <row r="1564">
      <c r="A1564" s="5" t="s">
        <v>6415</v>
      </c>
      <c r="B1564" s="6" t="s">
        <v>6416</v>
      </c>
      <c r="C1564" s="40" t="s">
        <v>6417</v>
      </c>
      <c r="D1564" s="8"/>
      <c r="E1564" s="8" t="s">
        <v>38</v>
      </c>
      <c r="F1564" s="90">
        <v>3000.0</v>
      </c>
      <c r="G1564" s="97" t="s">
        <v>6418</v>
      </c>
      <c r="H1564" s="11" t="s">
        <v>44</v>
      </c>
      <c r="I1564" s="97">
        <v>9.739862578E9</v>
      </c>
      <c r="J1564" s="11" t="s">
        <v>25</v>
      </c>
      <c r="K1564" s="12"/>
      <c r="L1564" s="13"/>
      <c r="M1564" s="14"/>
      <c r="N1564" s="15"/>
      <c r="O1564" s="5" t="s">
        <v>564</v>
      </c>
      <c r="P1564" s="15"/>
      <c r="Q1564" s="15"/>
      <c r="R1564" s="16" t="s">
        <v>28</v>
      </c>
      <c r="S1564" s="15"/>
      <c r="T1564" s="15"/>
      <c r="U1564" s="15"/>
      <c r="V1564" s="15"/>
      <c r="W1564" s="15"/>
      <c r="X1564" s="15"/>
      <c r="Y1564" s="15"/>
      <c r="Z1564" s="15"/>
      <c r="AA1564" s="15"/>
    </row>
    <row r="1565">
      <c r="A1565" s="5" t="s">
        <v>6415</v>
      </c>
      <c r="B1565" s="6" t="s">
        <v>6419</v>
      </c>
      <c r="C1565" s="40" t="s">
        <v>6420</v>
      </c>
      <c r="D1565" s="8"/>
      <c r="E1565" s="8" t="s">
        <v>6421</v>
      </c>
      <c r="F1565" s="90">
        <v>500.0</v>
      </c>
      <c r="G1565" s="97"/>
      <c r="H1565" s="11" t="s">
        <v>6422</v>
      </c>
      <c r="I1565" s="97">
        <v>9.87441033E9</v>
      </c>
      <c r="J1565" s="11" t="s">
        <v>25</v>
      </c>
      <c r="K1565" s="12"/>
      <c r="L1565" s="13"/>
      <c r="M1565" s="14"/>
      <c r="N1565" s="15"/>
      <c r="O1565" s="5" t="s">
        <v>564</v>
      </c>
      <c r="P1565" s="15"/>
      <c r="Q1565" s="15"/>
      <c r="R1565" s="16" t="s">
        <v>28</v>
      </c>
      <c r="S1565" s="15"/>
      <c r="T1565" s="15"/>
      <c r="U1565" s="15"/>
      <c r="V1565" s="15"/>
      <c r="W1565" s="15"/>
      <c r="X1565" s="15"/>
      <c r="Y1565" s="15"/>
      <c r="Z1565" s="15"/>
      <c r="AA1565" s="15"/>
    </row>
    <row r="1566">
      <c r="A1566" s="5" t="s">
        <v>6415</v>
      </c>
      <c r="B1566" s="6" t="s">
        <v>6423</v>
      </c>
      <c r="C1566" s="40" t="s">
        <v>6424</v>
      </c>
      <c r="D1566" s="8"/>
      <c r="E1566" s="8" t="s">
        <v>5293</v>
      </c>
      <c r="F1566" s="90">
        <v>5000.0</v>
      </c>
      <c r="G1566" s="97" t="s">
        <v>6425</v>
      </c>
      <c r="H1566" s="11" t="s">
        <v>6426</v>
      </c>
      <c r="I1566" s="97">
        <v>7.003903764E9</v>
      </c>
      <c r="J1566" s="11" t="s">
        <v>25</v>
      </c>
      <c r="K1566" s="12"/>
      <c r="L1566" s="13"/>
      <c r="M1566" s="14"/>
      <c r="N1566" s="15"/>
      <c r="O1566" s="5" t="s">
        <v>34</v>
      </c>
      <c r="P1566" s="5" t="s">
        <v>55</v>
      </c>
      <c r="Q1566" s="15"/>
      <c r="R1566" s="16" t="s">
        <v>28</v>
      </c>
      <c r="S1566" s="15"/>
      <c r="T1566" s="15"/>
      <c r="U1566" s="15"/>
      <c r="V1566" s="15"/>
      <c r="W1566" s="15"/>
      <c r="X1566" s="15"/>
      <c r="Y1566" s="15"/>
      <c r="Z1566" s="15"/>
      <c r="AA1566" s="15"/>
    </row>
    <row r="1567">
      <c r="A1567" s="5" t="s">
        <v>6415</v>
      </c>
      <c r="B1567" s="6" t="s">
        <v>6427</v>
      </c>
      <c r="C1567" s="40" t="s">
        <v>6428</v>
      </c>
      <c r="D1567" s="8"/>
      <c r="E1567" s="8" t="s">
        <v>1285</v>
      </c>
      <c r="F1567" s="90">
        <v>15000.0</v>
      </c>
      <c r="G1567" s="97" t="s">
        <v>6429</v>
      </c>
      <c r="H1567" s="11" t="s">
        <v>99</v>
      </c>
      <c r="I1567" s="97">
        <v>9.658639304E9</v>
      </c>
      <c r="J1567" s="11" t="s">
        <v>25</v>
      </c>
      <c r="K1567" s="12"/>
      <c r="L1567" s="13"/>
      <c r="M1567" s="14"/>
      <c r="N1567" s="15"/>
      <c r="O1567" s="5" t="s">
        <v>564</v>
      </c>
      <c r="P1567" s="15"/>
      <c r="Q1567" s="15"/>
      <c r="R1567" s="16" t="s">
        <v>28</v>
      </c>
      <c r="S1567" s="15"/>
      <c r="T1567" s="15"/>
      <c r="U1567" s="15"/>
      <c r="V1567" s="15"/>
      <c r="W1567" s="15"/>
      <c r="X1567" s="15"/>
      <c r="Y1567" s="15"/>
      <c r="Z1567" s="15"/>
      <c r="AA1567" s="15"/>
    </row>
    <row r="1568">
      <c r="A1568" s="5" t="s">
        <v>6415</v>
      </c>
      <c r="B1568" s="6" t="s">
        <v>6430</v>
      </c>
      <c r="C1568" s="40" t="s">
        <v>6431</v>
      </c>
      <c r="D1568" s="8"/>
      <c r="E1568" s="8" t="s">
        <v>2501</v>
      </c>
      <c r="F1568" s="90">
        <v>20000.0</v>
      </c>
      <c r="G1568" s="97" t="s">
        <v>6432</v>
      </c>
      <c r="H1568" s="11" t="s">
        <v>99</v>
      </c>
      <c r="I1568" s="97">
        <v>9.777276577E9</v>
      </c>
      <c r="J1568" s="11" t="s">
        <v>25</v>
      </c>
      <c r="K1568" s="12"/>
      <c r="L1568" s="13"/>
      <c r="M1568" s="14"/>
      <c r="N1568" s="15"/>
      <c r="O1568" s="5" t="s">
        <v>34</v>
      </c>
      <c r="P1568" s="5" t="s">
        <v>6433</v>
      </c>
      <c r="Q1568" s="15"/>
      <c r="R1568" s="16" t="s">
        <v>28</v>
      </c>
      <c r="S1568" s="15"/>
      <c r="T1568" s="15"/>
      <c r="U1568" s="15"/>
      <c r="V1568" s="15"/>
      <c r="W1568" s="15"/>
      <c r="X1568" s="15"/>
      <c r="Y1568" s="15"/>
      <c r="Z1568" s="15"/>
      <c r="AA1568" s="15"/>
    </row>
    <row r="1569">
      <c r="A1569" s="5" t="s">
        <v>6415</v>
      </c>
      <c r="B1569" s="6" t="s">
        <v>6434</v>
      </c>
      <c r="C1569" s="40" t="s">
        <v>6435</v>
      </c>
      <c r="D1569" s="8"/>
      <c r="E1569" s="8" t="s">
        <v>6436</v>
      </c>
      <c r="F1569" s="90">
        <v>5000.0</v>
      </c>
      <c r="G1569" s="97" t="s">
        <v>6437</v>
      </c>
      <c r="H1569" s="11" t="s">
        <v>6438</v>
      </c>
      <c r="I1569" s="97">
        <v>8.240349475E9</v>
      </c>
      <c r="J1569" s="11" t="s">
        <v>25</v>
      </c>
      <c r="K1569" s="12"/>
      <c r="L1569" s="13"/>
      <c r="M1569" s="14"/>
      <c r="N1569" s="15"/>
      <c r="O1569" s="5" t="s">
        <v>564</v>
      </c>
      <c r="P1569" s="15"/>
      <c r="Q1569" s="15"/>
      <c r="R1569" s="16" t="s">
        <v>28</v>
      </c>
      <c r="S1569" s="15"/>
      <c r="T1569" s="15"/>
      <c r="U1569" s="15"/>
      <c r="V1569" s="15"/>
      <c r="W1569" s="15"/>
      <c r="X1569" s="15"/>
      <c r="Y1569" s="15"/>
      <c r="Z1569" s="15"/>
      <c r="AA1569" s="15"/>
    </row>
    <row r="1570">
      <c r="A1570" s="5" t="s">
        <v>6415</v>
      </c>
      <c r="B1570" s="6" t="s">
        <v>6439</v>
      </c>
      <c r="C1570" s="40" t="s">
        <v>6440</v>
      </c>
      <c r="D1570" s="8"/>
      <c r="E1570" s="8" t="s">
        <v>6441</v>
      </c>
      <c r="F1570" s="90">
        <v>600.0</v>
      </c>
      <c r="G1570" s="97"/>
      <c r="H1570" s="11" t="s">
        <v>44</v>
      </c>
      <c r="I1570" s="97">
        <v>9.366286051E9</v>
      </c>
      <c r="J1570" s="11" t="s">
        <v>25</v>
      </c>
      <c r="K1570" s="12"/>
      <c r="L1570" s="13"/>
      <c r="M1570" s="14"/>
      <c r="N1570" s="15"/>
      <c r="O1570" s="5" t="s">
        <v>34</v>
      </c>
      <c r="P1570" s="11" t="s">
        <v>6442</v>
      </c>
      <c r="Q1570" s="15"/>
      <c r="R1570" s="16" t="s">
        <v>723</v>
      </c>
      <c r="S1570" s="15"/>
      <c r="T1570" s="15"/>
      <c r="U1570" s="15"/>
      <c r="V1570" s="15"/>
      <c r="W1570" s="15"/>
      <c r="X1570" s="15"/>
      <c r="Y1570" s="15"/>
      <c r="Z1570" s="15"/>
      <c r="AA1570" s="15"/>
    </row>
    <row r="1571">
      <c r="A1571" s="5" t="s">
        <v>6415</v>
      </c>
      <c r="B1571" s="6" t="s">
        <v>6443</v>
      </c>
      <c r="C1571" s="40" t="s">
        <v>6444</v>
      </c>
      <c r="D1571" s="8"/>
      <c r="E1571" s="8" t="s">
        <v>43</v>
      </c>
      <c r="F1571" s="90">
        <v>700.0</v>
      </c>
      <c r="G1571" s="97" t="s">
        <v>6445</v>
      </c>
      <c r="H1571" s="11" t="s">
        <v>6446</v>
      </c>
      <c r="I1571" s="97">
        <v>6.026500216E9</v>
      </c>
      <c r="J1571" s="11" t="s">
        <v>25</v>
      </c>
      <c r="K1571" s="12"/>
      <c r="L1571" s="13"/>
      <c r="M1571" s="14"/>
      <c r="N1571" s="15"/>
      <c r="O1571" s="5" t="s">
        <v>34</v>
      </c>
      <c r="P1571" s="5" t="s">
        <v>6447</v>
      </c>
      <c r="Q1571" s="15"/>
      <c r="R1571" s="16" t="s">
        <v>723</v>
      </c>
      <c r="S1571" s="15"/>
      <c r="T1571" s="15"/>
      <c r="U1571" s="15"/>
      <c r="V1571" s="15"/>
      <c r="W1571" s="15"/>
      <c r="X1571" s="15"/>
      <c r="Y1571" s="15"/>
      <c r="Z1571" s="15"/>
      <c r="AA1571" s="15"/>
    </row>
    <row r="1572">
      <c r="A1572" s="5" t="s">
        <v>6415</v>
      </c>
      <c r="B1572" s="6" t="s">
        <v>6448</v>
      </c>
      <c r="C1572" s="40" t="s">
        <v>6449</v>
      </c>
      <c r="D1572" s="8"/>
      <c r="E1572" s="8" t="s">
        <v>116</v>
      </c>
      <c r="F1572" s="90">
        <v>20000.0</v>
      </c>
      <c r="G1572" s="97" t="s">
        <v>6450</v>
      </c>
      <c r="H1572" s="11" t="s">
        <v>6451</v>
      </c>
      <c r="I1572" s="97">
        <v>8.584895111E9</v>
      </c>
      <c r="J1572" s="11" t="s">
        <v>4008</v>
      </c>
      <c r="K1572" s="12"/>
      <c r="L1572" s="13"/>
      <c r="M1572" s="14"/>
      <c r="N1572" s="15"/>
      <c r="O1572" s="5" t="s">
        <v>564</v>
      </c>
      <c r="P1572" s="15"/>
      <c r="Q1572" s="15"/>
      <c r="R1572" s="16" t="s">
        <v>28</v>
      </c>
      <c r="S1572" s="15"/>
      <c r="T1572" s="15"/>
      <c r="U1572" s="15"/>
      <c r="V1572" s="15"/>
      <c r="W1572" s="15"/>
      <c r="X1572" s="15"/>
      <c r="Y1572" s="15"/>
      <c r="Z1572" s="15"/>
      <c r="AA1572" s="15"/>
    </row>
    <row r="1573">
      <c r="A1573" s="5" t="s">
        <v>6415</v>
      </c>
      <c r="B1573" s="6" t="s">
        <v>6452</v>
      </c>
      <c r="C1573" s="40" t="s">
        <v>6453</v>
      </c>
      <c r="D1573" s="8"/>
      <c r="E1573" s="8" t="s">
        <v>38</v>
      </c>
      <c r="F1573" s="90">
        <v>20000.0</v>
      </c>
      <c r="G1573" s="97" t="s">
        <v>6454</v>
      </c>
      <c r="H1573" s="11" t="s">
        <v>6455</v>
      </c>
      <c r="I1573" s="97">
        <v>9.708097832E9</v>
      </c>
      <c r="J1573" s="11" t="s">
        <v>25</v>
      </c>
      <c r="K1573" s="12"/>
      <c r="L1573" s="13"/>
      <c r="M1573" s="14"/>
      <c r="N1573" s="15"/>
      <c r="O1573" s="5" t="s">
        <v>564</v>
      </c>
      <c r="P1573" s="15"/>
      <c r="Q1573" s="15"/>
      <c r="R1573" s="16" t="s">
        <v>28</v>
      </c>
      <c r="S1573" s="15"/>
      <c r="T1573" s="15"/>
      <c r="U1573" s="15"/>
      <c r="V1573" s="15"/>
      <c r="W1573" s="15"/>
      <c r="X1573" s="15"/>
      <c r="Y1573" s="15"/>
      <c r="Z1573" s="15"/>
      <c r="AA1573" s="15"/>
    </row>
    <row r="1574">
      <c r="A1574" s="5" t="s">
        <v>6415</v>
      </c>
      <c r="B1574" s="6" t="s">
        <v>6456</v>
      </c>
      <c r="C1574" s="40" t="s">
        <v>6457</v>
      </c>
      <c r="D1574" s="8"/>
      <c r="E1574" s="8" t="s">
        <v>189</v>
      </c>
      <c r="F1574" s="90">
        <v>27000.0</v>
      </c>
      <c r="G1574" s="97" t="s">
        <v>6458</v>
      </c>
      <c r="H1574" s="11" t="s">
        <v>44</v>
      </c>
      <c r="I1574" s="97">
        <v>7.98061739E9</v>
      </c>
      <c r="J1574" s="11" t="s">
        <v>25</v>
      </c>
      <c r="K1574" s="12"/>
      <c r="L1574" s="13"/>
      <c r="M1574" s="14"/>
      <c r="N1574" s="15"/>
      <c r="O1574" s="5" t="s">
        <v>34</v>
      </c>
      <c r="P1574" s="11" t="s">
        <v>6459</v>
      </c>
      <c r="Q1574" s="15"/>
      <c r="R1574" s="16" t="s">
        <v>28</v>
      </c>
      <c r="S1574" s="15"/>
      <c r="T1574" s="15"/>
      <c r="U1574" s="15"/>
      <c r="V1574" s="15"/>
      <c r="W1574" s="15"/>
      <c r="X1574" s="15"/>
      <c r="Y1574" s="15"/>
      <c r="Z1574" s="15"/>
      <c r="AA1574" s="15"/>
    </row>
    <row r="1575">
      <c r="A1575" s="5" t="s">
        <v>6415</v>
      </c>
      <c r="B1575" s="6" t="s">
        <v>6460</v>
      </c>
      <c r="C1575" s="40" t="s">
        <v>6461</v>
      </c>
      <c r="D1575" s="8"/>
      <c r="E1575" s="8" t="s">
        <v>5054</v>
      </c>
      <c r="F1575" s="90">
        <v>30000.0</v>
      </c>
      <c r="G1575" s="97" t="s">
        <v>6462</v>
      </c>
      <c r="H1575" s="11" t="s">
        <v>2643</v>
      </c>
      <c r="I1575" s="97">
        <v>7.004518433E9</v>
      </c>
      <c r="J1575" s="11" t="s">
        <v>25</v>
      </c>
      <c r="K1575" s="12"/>
      <c r="L1575" s="13"/>
      <c r="M1575" s="14"/>
      <c r="N1575" s="15"/>
      <c r="O1575" s="5" t="s">
        <v>564</v>
      </c>
      <c r="P1575" s="15"/>
      <c r="Q1575" s="15"/>
      <c r="R1575" s="16" t="s">
        <v>28</v>
      </c>
      <c r="S1575" s="15"/>
      <c r="T1575" s="15"/>
      <c r="U1575" s="15"/>
      <c r="V1575" s="15"/>
      <c r="W1575" s="15"/>
      <c r="X1575" s="15"/>
      <c r="Y1575" s="15"/>
      <c r="Z1575" s="15"/>
      <c r="AA1575" s="15"/>
    </row>
    <row r="1576">
      <c r="A1576" s="5" t="s">
        <v>6415</v>
      </c>
      <c r="B1576" s="6" t="s">
        <v>6463</v>
      </c>
      <c r="C1576" s="40" t="s">
        <v>6464</v>
      </c>
      <c r="D1576" s="8"/>
      <c r="E1576" s="8" t="s">
        <v>130</v>
      </c>
      <c r="F1576" s="90">
        <v>2000.0</v>
      </c>
      <c r="G1576" s="97" t="s">
        <v>6465</v>
      </c>
      <c r="H1576" s="11" t="s">
        <v>1414</v>
      </c>
      <c r="I1576" s="97">
        <v>7.908325307E9</v>
      </c>
      <c r="J1576" s="11" t="s">
        <v>25</v>
      </c>
      <c r="K1576" s="12"/>
      <c r="L1576" s="13"/>
      <c r="M1576" s="14"/>
      <c r="N1576" s="15"/>
      <c r="O1576" s="5" t="s">
        <v>34</v>
      </c>
      <c r="P1576" s="5" t="s">
        <v>6466</v>
      </c>
      <c r="Q1576" s="5" t="s">
        <v>2144</v>
      </c>
      <c r="R1576" s="16" t="s">
        <v>723</v>
      </c>
      <c r="S1576" s="15"/>
      <c r="T1576" s="15"/>
      <c r="U1576" s="15"/>
      <c r="V1576" s="15"/>
      <c r="W1576" s="15"/>
      <c r="X1576" s="15"/>
      <c r="Y1576" s="15"/>
      <c r="Z1576" s="15"/>
      <c r="AA1576" s="15"/>
    </row>
    <row r="1577">
      <c r="A1577" s="5" t="s">
        <v>6467</v>
      </c>
      <c r="B1577" s="6" t="s">
        <v>6468</v>
      </c>
      <c r="C1577" s="40" t="s">
        <v>5918</v>
      </c>
      <c r="D1577" s="8"/>
      <c r="E1577" s="8" t="s">
        <v>4266</v>
      </c>
      <c r="F1577" s="90">
        <v>5000.0</v>
      </c>
      <c r="G1577" s="97" t="s">
        <v>6469</v>
      </c>
      <c r="H1577" s="11" t="s">
        <v>5920</v>
      </c>
      <c r="I1577" s="97">
        <v>8.016296577E9</v>
      </c>
      <c r="J1577" s="11" t="s">
        <v>25</v>
      </c>
      <c r="K1577" s="12"/>
      <c r="L1577" s="13"/>
      <c r="M1577" s="14"/>
      <c r="N1577" s="15"/>
      <c r="O1577" s="5" t="s">
        <v>564</v>
      </c>
      <c r="P1577" s="15"/>
      <c r="Q1577" s="15"/>
      <c r="R1577" s="16" t="s">
        <v>28</v>
      </c>
      <c r="S1577" s="15"/>
      <c r="T1577" s="15"/>
      <c r="U1577" s="15"/>
      <c r="V1577" s="15"/>
      <c r="W1577" s="15"/>
      <c r="X1577" s="15"/>
      <c r="Y1577" s="15"/>
      <c r="Z1577" s="15"/>
      <c r="AA1577" s="15"/>
    </row>
    <row r="1578">
      <c r="A1578" s="5" t="s">
        <v>6467</v>
      </c>
      <c r="B1578" s="6" t="s">
        <v>6470</v>
      </c>
      <c r="C1578" s="40" t="s">
        <v>5229</v>
      </c>
      <c r="D1578" s="8"/>
      <c r="E1578" s="8" t="s">
        <v>207</v>
      </c>
      <c r="F1578" s="90">
        <v>30000.0</v>
      </c>
      <c r="G1578" s="97" t="s">
        <v>771</v>
      </c>
      <c r="H1578" s="11" t="s">
        <v>977</v>
      </c>
      <c r="I1578" s="97">
        <v>9.431301084E9</v>
      </c>
      <c r="J1578" s="11" t="s">
        <v>25</v>
      </c>
      <c r="K1578" s="12"/>
      <c r="L1578" s="13"/>
      <c r="M1578" s="14"/>
      <c r="N1578" s="15"/>
      <c r="O1578" s="5" t="s">
        <v>564</v>
      </c>
      <c r="P1578" s="5" t="s">
        <v>6471</v>
      </c>
      <c r="Q1578" s="15"/>
      <c r="R1578" s="16" t="s">
        <v>28</v>
      </c>
      <c r="S1578" s="15"/>
      <c r="T1578" s="15"/>
      <c r="U1578" s="15"/>
      <c r="V1578" s="15"/>
      <c r="W1578" s="15"/>
      <c r="X1578" s="15"/>
      <c r="Y1578" s="15"/>
      <c r="Z1578" s="15"/>
      <c r="AA1578" s="15"/>
    </row>
    <row r="1579">
      <c r="A1579" s="5" t="s">
        <v>6467</v>
      </c>
      <c r="B1579" s="6" t="s">
        <v>6472</v>
      </c>
      <c r="C1579" s="40" t="s">
        <v>6473</v>
      </c>
      <c r="D1579" s="8"/>
      <c r="E1579" s="8" t="s">
        <v>5761</v>
      </c>
      <c r="F1579" s="90">
        <v>500.0</v>
      </c>
      <c r="G1579" s="97" t="s">
        <v>6474</v>
      </c>
      <c r="H1579" s="11" t="s">
        <v>44</v>
      </c>
      <c r="I1579" s="97">
        <v>8.777580128E9</v>
      </c>
      <c r="J1579" s="11" t="s">
        <v>4008</v>
      </c>
      <c r="K1579" s="12"/>
      <c r="L1579" s="13"/>
      <c r="M1579" s="14"/>
      <c r="N1579" s="15"/>
      <c r="O1579" s="5" t="s">
        <v>34</v>
      </c>
      <c r="P1579" s="5" t="s">
        <v>1668</v>
      </c>
      <c r="Q1579" s="15"/>
      <c r="R1579" s="16" t="s">
        <v>28</v>
      </c>
      <c r="S1579" s="15"/>
      <c r="T1579" s="15"/>
      <c r="U1579" s="15"/>
      <c r="V1579" s="15"/>
      <c r="W1579" s="15"/>
      <c r="X1579" s="15"/>
      <c r="Y1579" s="15"/>
      <c r="Z1579" s="15"/>
      <c r="AA1579" s="15"/>
    </row>
    <row r="1580">
      <c r="A1580" s="5" t="s">
        <v>6467</v>
      </c>
      <c r="B1580" s="6" t="s">
        <v>6475</v>
      </c>
      <c r="C1580" s="36" t="s">
        <v>6476</v>
      </c>
      <c r="D1580" s="75"/>
      <c r="E1580" s="8" t="s">
        <v>4096</v>
      </c>
      <c r="F1580" s="90">
        <v>1000.0</v>
      </c>
      <c r="G1580" s="97" t="s">
        <v>6477</v>
      </c>
      <c r="H1580" s="11" t="s">
        <v>6478</v>
      </c>
      <c r="I1580" s="97">
        <v>7.992385104E9</v>
      </c>
      <c r="J1580" s="11" t="s">
        <v>25</v>
      </c>
      <c r="K1580" s="12"/>
      <c r="L1580" s="13"/>
      <c r="M1580" s="14"/>
      <c r="N1580" s="15"/>
      <c r="O1580" s="5" t="s">
        <v>34</v>
      </c>
      <c r="P1580" s="5" t="s">
        <v>6479</v>
      </c>
      <c r="Q1580" s="15"/>
      <c r="R1580" s="16" t="s">
        <v>723</v>
      </c>
      <c r="S1580" s="15"/>
      <c r="T1580" s="15"/>
      <c r="U1580" s="15"/>
      <c r="V1580" s="15"/>
      <c r="W1580" s="15"/>
      <c r="X1580" s="15"/>
      <c r="Y1580" s="15"/>
      <c r="Z1580" s="15"/>
      <c r="AA1580" s="15"/>
    </row>
    <row r="1581">
      <c r="A1581" s="5" t="s">
        <v>6480</v>
      </c>
      <c r="B1581" s="6" t="s">
        <v>6481</v>
      </c>
      <c r="C1581" s="40" t="s">
        <v>6482</v>
      </c>
      <c r="D1581" s="8"/>
      <c r="E1581" s="8" t="s">
        <v>5014</v>
      </c>
      <c r="F1581" s="90">
        <v>4000.0</v>
      </c>
      <c r="G1581" s="97" t="s">
        <v>6483</v>
      </c>
      <c r="H1581" s="11" t="s">
        <v>6484</v>
      </c>
      <c r="I1581" s="97">
        <v>9.831963242E9</v>
      </c>
      <c r="J1581" s="11" t="s">
        <v>25</v>
      </c>
      <c r="K1581" s="12"/>
      <c r="L1581" s="13"/>
      <c r="M1581" s="14"/>
      <c r="N1581" s="15"/>
      <c r="O1581" s="5" t="s">
        <v>34</v>
      </c>
      <c r="P1581" s="15"/>
      <c r="Q1581" s="15"/>
      <c r="R1581" s="16" t="s">
        <v>28</v>
      </c>
      <c r="S1581" s="15"/>
      <c r="T1581" s="15"/>
      <c r="U1581" s="15"/>
      <c r="V1581" s="15"/>
      <c r="W1581" s="15"/>
      <c r="X1581" s="15"/>
      <c r="Y1581" s="15"/>
      <c r="Z1581" s="15"/>
      <c r="AA1581" s="15"/>
    </row>
    <row r="1582">
      <c r="A1582" s="5" t="s">
        <v>6480</v>
      </c>
      <c r="B1582" s="6" t="s">
        <v>6485</v>
      </c>
      <c r="C1582" s="40" t="s">
        <v>6486</v>
      </c>
      <c r="D1582" s="8"/>
      <c r="E1582" s="8" t="s">
        <v>152</v>
      </c>
      <c r="F1582" s="90">
        <v>10000.0</v>
      </c>
      <c r="G1582" s="97" t="s">
        <v>6487</v>
      </c>
      <c r="H1582" s="11" t="s">
        <v>4165</v>
      </c>
      <c r="I1582" s="97">
        <v>9.773114877E9</v>
      </c>
      <c r="J1582" s="11" t="s">
        <v>25</v>
      </c>
      <c r="K1582" s="12"/>
      <c r="L1582" s="13"/>
      <c r="M1582" s="14"/>
      <c r="N1582" s="15"/>
      <c r="O1582" s="5" t="s">
        <v>108</v>
      </c>
      <c r="P1582" s="5" t="s">
        <v>6488</v>
      </c>
      <c r="Q1582" s="15"/>
      <c r="R1582" s="16" t="s">
        <v>28</v>
      </c>
      <c r="S1582" s="15"/>
      <c r="T1582" s="15"/>
      <c r="U1582" s="15"/>
      <c r="V1582" s="15"/>
      <c r="W1582" s="15"/>
      <c r="X1582" s="15"/>
      <c r="Y1582" s="15"/>
      <c r="Z1582" s="15"/>
      <c r="AA1582" s="15"/>
    </row>
    <row r="1583">
      <c r="A1583" s="5" t="s">
        <v>6480</v>
      </c>
      <c r="B1583" s="6" t="s">
        <v>6489</v>
      </c>
      <c r="C1583" s="40" t="s">
        <v>6490</v>
      </c>
      <c r="D1583" s="8"/>
      <c r="E1583" s="8" t="s">
        <v>152</v>
      </c>
      <c r="F1583" s="90">
        <v>1000.0</v>
      </c>
      <c r="G1583" s="97" t="s">
        <v>6491</v>
      </c>
      <c r="H1583" s="11" t="s">
        <v>6492</v>
      </c>
      <c r="I1583" s="97">
        <v>9.616126617E9</v>
      </c>
      <c r="J1583" s="11" t="s">
        <v>25</v>
      </c>
      <c r="K1583" s="12"/>
      <c r="L1583" s="13"/>
      <c r="M1583" s="14"/>
      <c r="N1583" s="15"/>
      <c r="O1583" s="5" t="s">
        <v>108</v>
      </c>
      <c r="P1583" s="5" t="s">
        <v>6488</v>
      </c>
      <c r="Q1583" s="15"/>
      <c r="R1583" s="16" t="s">
        <v>28</v>
      </c>
      <c r="S1583" s="15"/>
      <c r="T1583" s="15"/>
      <c r="U1583" s="15"/>
      <c r="V1583" s="15"/>
      <c r="W1583" s="15"/>
      <c r="X1583" s="15"/>
      <c r="Y1583" s="15"/>
      <c r="Z1583" s="15"/>
      <c r="AA1583" s="15"/>
    </row>
    <row r="1584">
      <c r="A1584" s="5" t="s">
        <v>6480</v>
      </c>
      <c r="B1584" s="6" t="s">
        <v>6493</v>
      </c>
      <c r="C1584" s="40" t="s">
        <v>6494</v>
      </c>
      <c r="D1584" s="8"/>
      <c r="E1584" s="8" t="s">
        <v>116</v>
      </c>
      <c r="F1584" s="90">
        <v>1000.0</v>
      </c>
      <c r="G1584" s="97" t="s">
        <v>6495</v>
      </c>
      <c r="H1584" s="11" t="s">
        <v>906</v>
      </c>
      <c r="I1584" s="97">
        <v>7.303263669E9</v>
      </c>
      <c r="J1584" s="11" t="s">
        <v>25</v>
      </c>
      <c r="K1584" s="12"/>
      <c r="L1584" s="13"/>
      <c r="M1584" s="14"/>
      <c r="N1584" s="15"/>
      <c r="O1584" s="5" t="s">
        <v>108</v>
      </c>
      <c r="P1584" s="5" t="s">
        <v>6496</v>
      </c>
      <c r="Q1584" s="15"/>
      <c r="R1584" s="16" t="s">
        <v>28</v>
      </c>
      <c r="S1584" s="15"/>
      <c r="T1584" s="15"/>
      <c r="U1584" s="15"/>
      <c r="V1584" s="15"/>
      <c r="W1584" s="15"/>
      <c r="X1584" s="15"/>
      <c r="Y1584" s="15"/>
      <c r="Z1584" s="15"/>
      <c r="AA1584" s="15"/>
    </row>
    <row r="1585">
      <c r="A1585" s="5" t="s">
        <v>6480</v>
      </c>
      <c r="B1585" s="6" t="s">
        <v>6497</v>
      </c>
      <c r="C1585" s="40" t="s">
        <v>6498</v>
      </c>
      <c r="D1585" s="8"/>
      <c r="E1585" s="8" t="s">
        <v>189</v>
      </c>
      <c r="F1585" s="90">
        <v>30000.0</v>
      </c>
      <c r="G1585" s="97" t="s">
        <v>6499</v>
      </c>
      <c r="H1585" s="11" t="s">
        <v>5089</v>
      </c>
      <c r="I1585" s="97">
        <v>8.249018683E9</v>
      </c>
      <c r="J1585" s="11" t="s">
        <v>25</v>
      </c>
      <c r="K1585" s="12"/>
      <c r="L1585" s="13"/>
      <c r="M1585" s="14"/>
      <c r="N1585" s="15"/>
      <c r="O1585" s="5" t="s">
        <v>564</v>
      </c>
      <c r="P1585" s="15"/>
      <c r="Q1585" s="15"/>
      <c r="R1585" s="16" t="s">
        <v>28</v>
      </c>
      <c r="S1585" s="15"/>
      <c r="T1585" s="15"/>
      <c r="U1585" s="15"/>
      <c r="V1585" s="15"/>
      <c r="W1585" s="15"/>
      <c r="X1585" s="15"/>
      <c r="Y1585" s="15"/>
      <c r="Z1585" s="15"/>
      <c r="AA1585" s="15"/>
    </row>
    <row r="1586">
      <c r="A1586" s="5" t="s">
        <v>6480</v>
      </c>
      <c r="B1586" s="6" t="s">
        <v>6500</v>
      </c>
      <c r="C1586" s="40" t="s">
        <v>6501</v>
      </c>
      <c r="D1586" s="8"/>
      <c r="E1586" s="8" t="s">
        <v>116</v>
      </c>
      <c r="F1586" s="90">
        <v>20000.0</v>
      </c>
      <c r="G1586" s="97" t="s">
        <v>940</v>
      </c>
      <c r="H1586" s="11" t="s">
        <v>44</v>
      </c>
      <c r="I1586" s="97">
        <v>9.433308472E9</v>
      </c>
      <c r="J1586" s="11" t="s">
        <v>25</v>
      </c>
      <c r="K1586" s="12"/>
      <c r="L1586" s="13"/>
      <c r="M1586" s="14"/>
      <c r="N1586" s="15"/>
      <c r="O1586" s="5" t="s">
        <v>564</v>
      </c>
      <c r="P1586" s="15"/>
      <c r="Q1586" s="15"/>
      <c r="R1586" s="16" t="s">
        <v>28</v>
      </c>
      <c r="S1586" s="15"/>
      <c r="T1586" s="15"/>
      <c r="U1586" s="15"/>
      <c r="V1586" s="15"/>
      <c r="W1586" s="15"/>
      <c r="X1586" s="15"/>
      <c r="Y1586" s="15"/>
      <c r="Z1586" s="15"/>
      <c r="AA1586" s="15"/>
    </row>
    <row r="1587">
      <c r="A1587" s="5" t="s">
        <v>6502</v>
      </c>
      <c r="B1587" s="6" t="s">
        <v>6503</v>
      </c>
      <c r="C1587" s="40" t="s">
        <v>6504</v>
      </c>
      <c r="D1587" s="8"/>
      <c r="E1587" s="8" t="s">
        <v>286</v>
      </c>
      <c r="F1587" s="90">
        <v>500.0</v>
      </c>
      <c r="G1587" s="97" t="s">
        <v>6505</v>
      </c>
      <c r="H1587" s="11" t="s">
        <v>218</v>
      </c>
      <c r="I1587" s="97">
        <v>9.831820584E9</v>
      </c>
      <c r="J1587" s="11" t="s">
        <v>25</v>
      </c>
      <c r="K1587" s="12"/>
      <c r="L1587" s="13"/>
      <c r="M1587" s="14"/>
      <c r="N1587" s="15"/>
      <c r="O1587" s="5" t="s">
        <v>34</v>
      </c>
      <c r="P1587" s="5" t="s">
        <v>6506</v>
      </c>
      <c r="Q1587" s="5" t="s">
        <v>1384</v>
      </c>
      <c r="R1587" s="16" t="s">
        <v>28</v>
      </c>
      <c r="S1587" s="15"/>
      <c r="T1587" s="15"/>
      <c r="U1587" s="15"/>
      <c r="V1587" s="15"/>
      <c r="W1587" s="15"/>
      <c r="X1587" s="15"/>
      <c r="Y1587" s="15"/>
      <c r="Z1587" s="15"/>
      <c r="AA1587" s="15"/>
    </row>
    <row r="1588">
      <c r="A1588" s="5" t="s">
        <v>6502</v>
      </c>
      <c r="B1588" s="6" t="s">
        <v>6507</v>
      </c>
      <c r="C1588" s="40" t="s">
        <v>6508</v>
      </c>
      <c r="D1588" s="8"/>
      <c r="E1588" s="8" t="s">
        <v>6042</v>
      </c>
      <c r="F1588" s="90">
        <v>10000.0</v>
      </c>
      <c r="G1588" s="97" t="s">
        <v>6509</v>
      </c>
      <c r="H1588" s="11" t="s">
        <v>44</v>
      </c>
      <c r="I1588" s="97">
        <v>9.83166555E9</v>
      </c>
      <c r="J1588" s="11" t="s">
        <v>25</v>
      </c>
      <c r="K1588" s="12"/>
      <c r="L1588" s="13"/>
      <c r="M1588" s="14"/>
      <c r="N1588" s="15"/>
      <c r="O1588" s="5" t="s">
        <v>564</v>
      </c>
      <c r="P1588" s="5" t="s">
        <v>6510</v>
      </c>
      <c r="Q1588" s="15"/>
      <c r="R1588" s="16" t="s">
        <v>28</v>
      </c>
      <c r="S1588" s="15"/>
      <c r="T1588" s="15"/>
      <c r="U1588" s="15"/>
      <c r="V1588" s="15"/>
      <c r="W1588" s="15"/>
      <c r="X1588" s="15"/>
      <c r="Y1588" s="15"/>
      <c r="Z1588" s="15"/>
      <c r="AA1588" s="15"/>
    </row>
    <row r="1589">
      <c r="A1589" s="5" t="s">
        <v>6502</v>
      </c>
      <c r="B1589" s="6" t="s">
        <v>6511</v>
      </c>
      <c r="C1589" s="40" t="s">
        <v>4369</v>
      </c>
      <c r="D1589" s="8"/>
      <c r="E1589" s="8" t="s">
        <v>189</v>
      </c>
      <c r="F1589" s="90">
        <v>5000.0</v>
      </c>
      <c r="G1589" s="97"/>
      <c r="H1589" s="11" t="s">
        <v>1691</v>
      </c>
      <c r="I1589" s="97">
        <v>9.641675594E9</v>
      </c>
      <c r="J1589" s="11" t="s">
        <v>25</v>
      </c>
      <c r="K1589" s="12"/>
      <c r="L1589" s="13"/>
      <c r="M1589" s="14"/>
      <c r="N1589" s="15"/>
      <c r="O1589" s="5" t="s">
        <v>34</v>
      </c>
      <c r="P1589" s="5" t="s">
        <v>55</v>
      </c>
      <c r="Q1589" s="15"/>
      <c r="R1589" s="16" t="s">
        <v>28</v>
      </c>
      <c r="S1589" s="15"/>
      <c r="T1589" s="15"/>
      <c r="U1589" s="15"/>
      <c r="V1589" s="15"/>
      <c r="W1589" s="15"/>
      <c r="X1589" s="15"/>
      <c r="Y1589" s="15"/>
      <c r="Z1589" s="15"/>
      <c r="AA1589" s="15"/>
    </row>
    <row r="1590">
      <c r="A1590" s="5" t="s">
        <v>6502</v>
      </c>
      <c r="B1590" s="6" t="s">
        <v>6512</v>
      </c>
      <c r="C1590" s="40" t="s">
        <v>6513</v>
      </c>
      <c r="D1590" s="8"/>
      <c r="E1590" s="8" t="s">
        <v>22</v>
      </c>
      <c r="F1590" s="90">
        <v>10000.0</v>
      </c>
      <c r="G1590" s="97" t="s">
        <v>6514</v>
      </c>
      <c r="H1590" s="11" t="s">
        <v>6228</v>
      </c>
      <c r="I1590" s="97">
        <v>7.980596264E9</v>
      </c>
      <c r="J1590" s="11" t="s">
        <v>25</v>
      </c>
      <c r="K1590" s="12"/>
      <c r="L1590" s="13"/>
      <c r="M1590" s="14"/>
      <c r="N1590" s="15"/>
      <c r="O1590" s="5" t="s">
        <v>564</v>
      </c>
      <c r="P1590" s="5" t="s">
        <v>6515</v>
      </c>
      <c r="Q1590" s="15"/>
      <c r="R1590" s="16" t="s">
        <v>28</v>
      </c>
      <c r="S1590" s="15"/>
      <c r="T1590" s="15"/>
      <c r="U1590" s="15"/>
      <c r="V1590" s="15"/>
      <c r="W1590" s="15"/>
      <c r="X1590" s="15"/>
      <c r="Y1590" s="15"/>
      <c r="Z1590" s="15"/>
      <c r="AA1590" s="15"/>
    </row>
    <row r="1591">
      <c r="A1591" s="5" t="s">
        <v>6516</v>
      </c>
      <c r="B1591" s="6" t="s">
        <v>6517</v>
      </c>
      <c r="C1591" s="40" t="s">
        <v>6518</v>
      </c>
      <c r="D1591" s="8"/>
      <c r="E1591" s="8" t="s">
        <v>116</v>
      </c>
      <c r="F1591" s="90">
        <v>4000.0</v>
      </c>
      <c r="G1591" s="97"/>
      <c r="H1591" s="11" t="s">
        <v>44</v>
      </c>
      <c r="I1591" s="97">
        <v>9.342554081E9</v>
      </c>
      <c r="J1591" s="11" t="s">
        <v>25</v>
      </c>
      <c r="K1591" s="12"/>
      <c r="L1591" s="13"/>
      <c r="M1591" s="14"/>
      <c r="N1591" s="15"/>
      <c r="O1591" s="5" t="s">
        <v>34</v>
      </c>
      <c r="P1591" s="5" t="s">
        <v>6519</v>
      </c>
      <c r="Q1591" s="15"/>
      <c r="R1591" s="16" t="s">
        <v>28</v>
      </c>
      <c r="S1591" s="15"/>
      <c r="T1591" s="15"/>
      <c r="U1591" s="15"/>
      <c r="V1591" s="15"/>
      <c r="W1591" s="15"/>
      <c r="X1591" s="15"/>
      <c r="Y1591" s="15"/>
      <c r="Z1591" s="15"/>
      <c r="AA1591" s="15"/>
    </row>
    <row r="1592">
      <c r="A1592" s="5" t="s">
        <v>6516</v>
      </c>
      <c r="B1592" s="6" t="s">
        <v>6520</v>
      </c>
      <c r="C1592" s="40" t="s">
        <v>6521</v>
      </c>
      <c r="D1592" s="8"/>
      <c r="E1592" s="8" t="s">
        <v>501</v>
      </c>
      <c r="F1592" s="90">
        <v>27000.0</v>
      </c>
      <c r="G1592" s="97" t="s">
        <v>6522</v>
      </c>
      <c r="H1592" s="11" t="s">
        <v>44</v>
      </c>
      <c r="I1592" s="97">
        <v>9.836133393E9</v>
      </c>
      <c r="J1592" s="11" t="s">
        <v>25</v>
      </c>
      <c r="K1592" s="12"/>
      <c r="L1592" s="13"/>
      <c r="M1592" s="14"/>
      <c r="N1592" s="15"/>
      <c r="O1592" s="5" t="s">
        <v>564</v>
      </c>
      <c r="P1592" s="5" t="s">
        <v>27</v>
      </c>
      <c r="Q1592" s="15"/>
      <c r="R1592" s="16" t="s">
        <v>28</v>
      </c>
      <c r="S1592" s="15"/>
      <c r="T1592" s="15"/>
      <c r="U1592" s="15"/>
      <c r="V1592" s="15"/>
      <c r="W1592" s="15"/>
      <c r="X1592" s="15"/>
      <c r="Y1592" s="15"/>
      <c r="Z1592" s="15"/>
      <c r="AA1592" s="15"/>
    </row>
    <row r="1593">
      <c r="A1593" s="5" t="s">
        <v>6516</v>
      </c>
      <c r="B1593" s="6" t="s">
        <v>6523</v>
      </c>
      <c r="C1593" s="40" t="s">
        <v>6524</v>
      </c>
      <c r="D1593" s="8"/>
      <c r="E1593" s="8" t="s">
        <v>6275</v>
      </c>
      <c r="F1593" s="90">
        <v>10000.0</v>
      </c>
      <c r="G1593" s="97" t="s">
        <v>6525</v>
      </c>
      <c r="H1593" s="11" t="s">
        <v>3090</v>
      </c>
      <c r="I1593" s="97">
        <v>8.335079806E9</v>
      </c>
      <c r="J1593" s="11" t="s">
        <v>25</v>
      </c>
      <c r="K1593" s="12"/>
      <c r="L1593" s="13"/>
      <c r="M1593" s="14"/>
      <c r="N1593" s="15"/>
      <c r="O1593" s="5" t="s">
        <v>564</v>
      </c>
      <c r="P1593" s="15"/>
      <c r="Q1593" s="15"/>
      <c r="R1593" s="16" t="s">
        <v>28</v>
      </c>
      <c r="S1593" s="15"/>
      <c r="T1593" s="15"/>
      <c r="U1593" s="15"/>
      <c r="V1593" s="15"/>
      <c r="W1593" s="15"/>
      <c r="X1593" s="15"/>
      <c r="Y1593" s="15"/>
      <c r="Z1593" s="15"/>
      <c r="AA1593" s="15"/>
    </row>
    <row r="1594">
      <c r="A1594" s="5" t="s">
        <v>6516</v>
      </c>
      <c r="B1594" s="6" t="s">
        <v>6526</v>
      </c>
      <c r="C1594" s="40" t="s">
        <v>6527</v>
      </c>
      <c r="D1594" s="8"/>
      <c r="E1594" s="8" t="s">
        <v>5368</v>
      </c>
      <c r="F1594" s="90">
        <v>3000.0</v>
      </c>
      <c r="G1594" s="97" t="s">
        <v>6528</v>
      </c>
      <c r="H1594" s="11" t="s">
        <v>449</v>
      </c>
      <c r="I1594" s="97">
        <v>6.297753898E9</v>
      </c>
      <c r="J1594" s="11" t="s">
        <v>25</v>
      </c>
      <c r="K1594" s="12"/>
      <c r="L1594" s="13"/>
      <c r="M1594" s="14"/>
      <c r="N1594" s="15"/>
      <c r="O1594" s="5" t="s">
        <v>34</v>
      </c>
      <c r="P1594" s="5" t="s">
        <v>1384</v>
      </c>
      <c r="Q1594" s="15"/>
      <c r="R1594" s="16" t="s">
        <v>28</v>
      </c>
      <c r="S1594" s="15"/>
      <c r="T1594" s="15"/>
      <c r="U1594" s="15"/>
      <c r="V1594" s="15"/>
      <c r="W1594" s="15"/>
      <c r="X1594" s="15"/>
      <c r="Y1594" s="15"/>
      <c r="Z1594" s="15"/>
      <c r="AA1594" s="15"/>
    </row>
    <row r="1595">
      <c r="A1595" s="5" t="s">
        <v>6516</v>
      </c>
      <c r="B1595" s="6" t="s">
        <v>6529</v>
      </c>
      <c r="C1595" s="40" t="s">
        <v>6530</v>
      </c>
      <c r="D1595" s="8"/>
      <c r="E1595" s="8" t="s">
        <v>6531</v>
      </c>
      <c r="F1595" s="90">
        <v>100.0</v>
      </c>
      <c r="G1595" s="97" t="s">
        <v>6532</v>
      </c>
      <c r="H1595" s="11" t="s">
        <v>6533</v>
      </c>
      <c r="I1595" s="97">
        <v>6.290080973E9</v>
      </c>
      <c r="J1595" s="11" t="s">
        <v>25</v>
      </c>
      <c r="K1595" s="12" t="s">
        <v>6534</v>
      </c>
      <c r="L1595" s="13"/>
      <c r="M1595" s="14"/>
      <c r="N1595" s="15"/>
      <c r="O1595" s="5" t="s">
        <v>34</v>
      </c>
      <c r="P1595" s="5" t="s">
        <v>6535</v>
      </c>
      <c r="Q1595" s="15"/>
      <c r="R1595" s="16" t="s">
        <v>723</v>
      </c>
      <c r="S1595" s="15"/>
      <c r="T1595" s="15"/>
      <c r="U1595" s="15"/>
      <c r="V1595" s="15"/>
      <c r="W1595" s="15"/>
      <c r="X1595" s="15"/>
      <c r="Y1595" s="15"/>
      <c r="Z1595" s="15"/>
      <c r="AA1595" s="15"/>
    </row>
    <row r="1596">
      <c r="A1596" s="5" t="s">
        <v>6536</v>
      </c>
      <c r="B1596" s="6" t="s">
        <v>6537</v>
      </c>
      <c r="C1596" s="40" t="s">
        <v>6538</v>
      </c>
      <c r="D1596" s="8"/>
      <c r="E1596" s="8" t="s">
        <v>6539</v>
      </c>
      <c r="F1596" s="90">
        <v>500.0</v>
      </c>
      <c r="G1596" s="97" t="s">
        <v>6540</v>
      </c>
      <c r="H1596" s="11" t="s">
        <v>44</v>
      </c>
      <c r="I1596" s="97">
        <v>9.874433865E9</v>
      </c>
      <c r="J1596" s="11" t="s">
        <v>25</v>
      </c>
      <c r="K1596" s="12"/>
      <c r="L1596" s="13"/>
      <c r="M1596" s="14"/>
      <c r="N1596" s="15"/>
      <c r="O1596" s="5" t="s">
        <v>564</v>
      </c>
      <c r="P1596" s="5" t="s">
        <v>6541</v>
      </c>
      <c r="Q1596" s="15"/>
      <c r="R1596" s="16" t="s">
        <v>28</v>
      </c>
      <c r="S1596" s="15"/>
      <c r="T1596" s="15"/>
      <c r="U1596" s="15"/>
      <c r="V1596" s="15"/>
      <c r="W1596" s="15"/>
      <c r="X1596" s="15"/>
      <c r="Y1596" s="15"/>
      <c r="Z1596" s="15"/>
      <c r="AA1596" s="15"/>
    </row>
    <row r="1597">
      <c r="A1597" s="5" t="s">
        <v>6536</v>
      </c>
      <c r="B1597" s="6" t="s">
        <v>6542</v>
      </c>
      <c r="C1597" s="40" t="s">
        <v>6543</v>
      </c>
      <c r="D1597" s="8"/>
      <c r="E1597" s="8" t="s">
        <v>286</v>
      </c>
      <c r="F1597" s="90">
        <v>500.0</v>
      </c>
      <c r="G1597" s="97" t="s">
        <v>6544</v>
      </c>
      <c r="H1597" s="11" t="s">
        <v>6545</v>
      </c>
      <c r="I1597" s="97">
        <v>9.437009772E9</v>
      </c>
      <c r="J1597" s="11" t="s">
        <v>25</v>
      </c>
      <c r="K1597" s="12" t="s">
        <v>4003</v>
      </c>
      <c r="L1597" s="13"/>
      <c r="M1597" s="14"/>
      <c r="N1597" s="15"/>
      <c r="O1597" s="5" t="s">
        <v>564</v>
      </c>
      <c r="P1597" s="5" t="s">
        <v>6546</v>
      </c>
      <c r="Q1597" s="15"/>
      <c r="R1597" s="16" t="s">
        <v>28</v>
      </c>
      <c r="S1597" s="15"/>
      <c r="T1597" s="15"/>
      <c r="U1597" s="15"/>
      <c r="V1597" s="15"/>
      <c r="W1597" s="15"/>
      <c r="X1597" s="15"/>
      <c r="Y1597" s="15"/>
      <c r="Z1597" s="15"/>
      <c r="AA1597" s="15"/>
    </row>
    <row r="1598">
      <c r="A1598" s="5" t="s">
        <v>6536</v>
      </c>
      <c r="B1598" s="6" t="s">
        <v>6547</v>
      </c>
      <c r="C1598" s="40" t="s">
        <v>6548</v>
      </c>
      <c r="D1598" s="8"/>
      <c r="E1598" s="8" t="s">
        <v>1217</v>
      </c>
      <c r="F1598" s="90">
        <v>650.0</v>
      </c>
      <c r="G1598" s="97" t="s">
        <v>6549</v>
      </c>
      <c r="H1598" s="11" t="s">
        <v>6550</v>
      </c>
      <c r="I1598" s="97">
        <v>9.074714476E9</v>
      </c>
      <c r="J1598" s="11" t="s">
        <v>25</v>
      </c>
      <c r="K1598" s="12"/>
      <c r="L1598" s="13"/>
      <c r="M1598" s="14"/>
      <c r="N1598" s="15"/>
      <c r="O1598" s="5" t="s">
        <v>564</v>
      </c>
      <c r="P1598" s="15"/>
      <c r="Q1598" s="15"/>
      <c r="R1598" s="16" t="s">
        <v>28</v>
      </c>
      <c r="S1598" s="15"/>
      <c r="T1598" s="15"/>
      <c r="U1598" s="15"/>
      <c r="V1598" s="15"/>
      <c r="W1598" s="15"/>
      <c r="X1598" s="15"/>
      <c r="Y1598" s="15"/>
      <c r="Z1598" s="15"/>
      <c r="AA1598" s="15"/>
    </row>
    <row r="1599">
      <c r="A1599" s="5" t="s">
        <v>6536</v>
      </c>
      <c r="B1599" s="6" t="s">
        <v>6551</v>
      </c>
      <c r="C1599" s="40" t="s">
        <v>6552</v>
      </c>
      <c r="D1599" s="8"/>
      <c r="E1599" s="8" t="s">
        <v>3634</v>
      </c>
      <c r="F1599" s="90">
        <v>1000.0</v>
      </c>
      <c r="G1599" s="97" t="s">
        <v>6553</v>
      </c>
      <c r="H1599" s="11" t="s">
        <v>6554</v>
      </c>
      <c r="I1599" s="97">
        <v>9.917229444E9</v>
      </c>
      <c r="J1599" s="11" t="s">
        <v>25</v>
      </c>
      <c r="K1599" s="12"/>
      <c r="L1599" s="13"/>
      <c r="M1599" s="14"/>
      <c r="N1599" s="15"/>
      <c r="O1599" s="5" t="s">
        <v>108</v>
      </c>
      <c r="P1599" s="5" t="s">
        <v>6555</v>
      </c>
      <c r="Q1599" s="15"/>
      <c r="R1599" s="16" t="s">
        <v>28</v>
      </c>
      <c r="S1599" s="15"/>
      <c r="T1599" s="15"/>
      <c r="U1599" s="15"/>
      <c r="V1599" s="15"/>
      <c r="W1599" s="15"/>
      <c r="X1599" s="15"/>
      <c r="Y1599" s="15"/>
      <c r="Z1599" s="15"/>
      <c r="AA1599" s="15"/>
    </row>
    <row r="1600">
      <c r="A1600" s="5" t="s">
        <v>6536</v>
      </c>
      <c r="B1600" s="6" t="s">
        <v>6556</v>
      </c>
      <c r="C1600" s="40" t="s">
        <v>6557</v>
      </c>
      <c r="D1600" s="8"/>
      <c r="E1600" s="8" t="s">
        <v>116</v>
      </c>
      <c r="F1600" s="90">
        <v>54000.0</v>
      </c>
      <c r="G1600" s="97" t="s">
        <v>6558</v>
      </c>
      <c r="H1600" s="11" t="s">
        <v>4803</v>
      </c>
      <c r="I1600" s="97">
        <v>9.831050338E9</v>
      </c>
      <c r="J1600" s="11" t="s">
        <v>25</v>
      </c>
      <c r="K1600" s="12"/>
      <c r="L1600" s="13"/>
      <c r="M1600" s="14"/>
      <c r="N1600" s="15"/>
      <c r="O1600" s="5" t="s">
        <v>564</v>
      </c>
      <c r="P1600" s="15"/>
      <c r="Q1600" s="15"/>
      <c r="R1600" s="16" t="s">
        <v>28</v>
      </c>
      <c r="S1600" s="15"/>
      <c r="T1600" s="15"/>
      <c r="U1600" s="15"/>
      <c r="V1600" s="15"/>
      <c r="W1600" s="15"/>
      <c r="X1600" s="15"/>
      <c r="Y1600" s="15"/>
      <c r="Z1600" s="15"/>
      <c r="AA1600" s="15"/>
    </row>
    <row r="1601">
      <c r="A1601" s="5" t="s">
        <v>6536</v>
      </c>
      <c r="B1601" s="6" t="s">
        <v>6559</v>
      </c>
      <c r="C1601" s="40" t="s">
        <v>6560</v>
      </c>
      <c r="D1601" s="8"/>
      <c r="E1601" s="8" t="s">
        <v>189</v>
      </c>
      <c r="F1601" s="90">
        <v>50000.0</v>
      </c>
      <c r="G1601" s="97" t="s">
        <v>6561</v>
      </c>
      <c r="H1601" s="11" t="s">
        <v>1337</v>
      </c>
      <c r="I1601" s="97">
        <v>9.86444277E9</v>
      </c>
      <c r="J1601" s="11" t="s">
        <v>25</v>
      </c>
      <c r="K1601" s="12" t="s">
        <v>2786</v>
      </c>
      <c r="L1601" s="13"/>
      <c r="M1601" s="14"/>
      <c r="N1601" s="15"/>
      <c r="O1601" s="5" t="s">
        <v>564</v>
      </c>
      <c r="P1601" s="15"/>
      <c r="Q1601" s="15"/>
      <c r="R1601" s="16" t="s">
        <v>28</v>
      </c>
      <c r="S1601" s="15"/>
      <c r="T1601" s="15"/>
      <c r="U1601" s="15"/>
      <c r="V1601" s="15"/>
      <c r="W1601" s="15"/>
      <c r="X1601" s="15"/>
      <c r="Y1601" s="15"/>
      <c r="Z1601" s="15"/>
      <c r="AA1601" s="15"/>
    </row>
    <row r="1602">
      <c r="A1602" s="5" t="s">
        <v>6536</v>
      </c>
      <c r="B1602" s="6" t="s">
        <v>6562</v>
      </c>
      <c r="C1602" s="40" t="s">
        <v>6183</v>
      </c>
      <c r="D1602" s="8"/>
      <c r="E1602" s="8" t="s">
        <v>189</v>
      </c>
      <c r="F1602" s="90">
        <v>24000.0</v>
      </c>
      <c r="G1602" s="97"/>
      <c r="H1602" s="11" t="s">
        <v>449</v>
      </c>
      <c r="I1602" s="97">
        <v>8.652149661E9</v>
      </c>
      <c r="J1602" s="11" t="s">
        <v>25</v>
      </c>
      <c r="K1602" s="12" t="s">
        <v>4921</v>
      </c>
      <c r="L1602" s="13"/>
      <c r="M1602" s="14"/>
      <c r="N1602" s="15"/>
      <c r="O1602" s="5" t="s">
        <v>564</v>
      </c>
      <c r="P1602" s="5" t="s">
        <v>453</v>
      </c>
      <c r="Q1602" s="15"/>
      <c r="R1602" s="16" t="s">
        <v>28</v>
      </c>
      <c r="S1602" s="15"/>
      <c r="T1602" s="15"/>
      <c r="U1602" s="15"/>
      <c r="V1602" s="15"/>
      <c r="W1602" s="15"/>
      <c r="X1602" s="15"/>
      <c r="Y1602" s="15"/>
      <c r="Z1602" s="15"/>
      <c r="AA1602" s="15"/>
    </row>
    <row r="1603">
      <c r="A1603" s="5" t="s">
        <v>6536</v>
      </c>
      <c r="B1603" s="6" t="s">
        <v>6563</v>
      </c>
      <c r="C1603" s="40" t="s">
        <v>6564</v>
      </c>
      <c r="D1603" s="8"/>
      <c r="E1603" s="8" t="s">
        <v>794</v>
      </c>
      <c r="F1603" s="90">
        <v>50000.0</v>
      </c>
      <c r="G1603" s="97"/>
      <c r="H1603" s="11" t="s">
        <v>5089</v>
      </c>
      <c r="I1603" s="97">
        <v>8.249022471E9</v>
      </c>
      <c r="J1603" s="11" t="s">
        <v>25</v>
      </c>
      <c r="K1603" s="12"/>
      <c r="L1603" s="13"/>
      <c r="M1603" s="14"/>
      <c r="N1603" s="15"/>
      <c r="O1603" s="5" t="s">
        <v>564</v>
      </c>
      <c r="P1603" s="5" t="s">
        <v>6565</v>
      </c>
      <c r="Q1603" s="15"/>
      <c r="R1603" s="16" t="s">
        <v>28</v>
      </c>
      <c r="S1603" s="15"/>
      <c r="T1603" s="15"/>
      <c r="U1603" s="15"/>
      <c r="V1603" s="15"/>
      <c r="W1603" s="15"/>
      <c r="X1603" s="15"/>
      <c r="Y1603" s="15"/>
      <c r="Z1603" s="15"/>
      <c r="AA1603" s="15"/>
    </row>
    <row r="1604">
      <c r="A1604" s="5" t="s">
        <v>6566</v>
      </c>
      <c r="B1604" s="6" t="s">
        <v>6567</v>
      </c>
      <c r="C1604" s="40" t="s">
        <v>2873</v>
      </c>
      <c r="D1604" s="8"/>
      <c r="E1604" s="8" t="s">
        <v>116</v>
      </c>
      <c r="F1604" s="90">
        <v>50000.0</v>
      </c>
      <c r="G1604" s="97" t="s">
        <v>6568</v>
      </c>
      <c r="H1604" s="11" t="s">
        <v>6569</v>
      </c>
      <c r="I1604" s="97">
        <v>8.420227834E9</v>
      </c>
      <c r="J1604" s="11" t="s">
        <v>25</v>
      </c>
      <c r="K1604" s="12"/>
      <c r="L1604" s="13"/>
      <c r="M1604" s="14"/>
      <c r="N1604" s="15"/>
      <c r="O1604" s="5" t="s">
        <v>564</v>
      </c>
      <c r="P1604" s="15"/>
      <c r="Q1604" s="15"/>
      <c r="R1604" s="16" t="s">
        <v>28</v>
      </c>
      <c r="S1604" s="15"/>
      <c r="T1604" s="15"/>
      <c r="U1604" s="15"/>
      <c r="V1604" s="15"/>
      <c r="W1604" s="15"/>
      <c r="X1604" s="15"/>
      <c r="Y1604" s="15"/>
      <c r="Z1604" s="15"/>
      <c r="AA1604" s="15"/>
    </row>
    <row r="1605">
      <c r="A1605" s="5" t="s">
        <v>6566</v>
      </c>
      <c r="B1605" s="6" t="s">
        <v>6570</v>
      </c>
      <c r="C1605" s="40" t="s">
        <v>6571</v>
      </c>
      <c r="D1605" s="8"/>
      <c r="E1605" s="8" t="s">
        <v>501</v>
      </c>
      <c r="F1605" s="90">
        <v>500.0</v>
      </c>
      <c r="G1605" s="97" t="s">
        <v>6572</v>
      </c>
      <c r="H1605" s="11" t="s">
        <v>3090</v>
      </c>
      <c r="I1605" s="97">
        <v>9.830968745E9</v>
      </c>
      <c r="J1605" s="11" t="s">
        <v>25</v>
      </c>
      <c r="K1605" s="12" t="s">
        <v>4921</v>
      </c>
      <c r="L1605" s="13"/>
      <c r="M1605" s="14"/>
      <c r="N1605" s="15"/>
      <c r="O1605" s="5" t="s">
        <v>34</v>
      </c>
      <c r="P1605" s="5" t="s">
        <v>727</v>
      </c>
      <c r="Q1605" s="5" t="s">
        <v>921</v>
      </c>
      <c r="R1605" s="16" t="s">
        <v>28</v>
      </c>
      <c r="S1605" s="15"/>
      <c r="T1605" s="15"/>
      <c r="U1605" s="15"/>
      <c r="V1605" s="15"/>
      <c r="W1605" s="15"/>
      <c r="X1605" s="15"/>
      <c r="Y1605" s="15"/>
      <c r="Z1605" s="15"/>
      <c r="AA1605" s="15"/>
    </row>
    <row r="1606">
      <c r="A1606" s="5" t="s">
        <v>6566</v>
      </c>
      <c r="B1606" s="6" t="s">
        <v>6573</v>
      </c>
      <c r="C1606" s="40" t="s">
        <v>6574</v>
      </c>
      <c r="D1606" s="8"/>
      <c r="E1606" s="8" t="s">
        <v>412</v>
      </c>
      <c r="F1606" s="90">
        <v>50000.0</v>
      </c>
      <c r="G1606" s="97" t="s">
        <v>6575</v>
      </c>
      <c r="H1606" s="11" t="s">
        <v>906</v>
      </c>
      <c r="I1606" s="97">
        <v>9.769559027E9</v>
      </c>
      <c r="J1606" s="11" t="s">
        <v>25</v>
      </c>
      <c r="K1606" s="12"/>
      <c r="L1606" s="13"/>
      <c r="M1606" s="14"/>
      <c r="N1606" s="15"/>
      <c r="O1606" s="5" t="s">
        <v>108</v>
      </c>
      <c r="P1606" s="15"/>
      <c r="Q1606" s="15"/>
      <c r="R1606" s="16" t="s">
        <v>28</v>
      </c>
      <c r="S1606" s="15"/>
      <c r="T1606" s="15"/>
      <c r="U1606" s="15"/>
      <c r="V1606" s="15"/>
      <c r="W1606" s="15"/>
      <c r="X1606" s="15"/>
      <c r="Y1606" s="15"/>
      <c r="Z1606" s="15"/>
      <c r="AA1606" s="15"/>
    </row>
    <row r="1607">
      <c r="A1607" s="5" t="s">
        <v>6566</v>
      </c>
      <c r="B1607" s="6" t="s">
        <v>6576</v>
      </c>
      <c r="C1607" s="40" t="s">
        <v>6577</v>
      </c>
      <c r="D1607" s="8"/>
      <c r="E1607" s="8" t="s">
        <v>152</v>
      </c>
      <c r="F1607" s="90">
        <v>5000.0</v>
      </c>
      <c r="G1607" s="97" t="s">
        <v>6578</v>
      </c>
      <c r="H1607" s="11" t="s">
        <v>1445</v>
      </c>
      <c r="I1607" s="97">
        <v>7.697527377E9</v>
      </c>
      <c r="J1607" s="11" t="s">
        <v>25</v>
      </c>
      <c r="K1607" s="12"/>
      <c r="L1607" s="13"/>
      <c r="M1607" s="14"/>
      <c r="N1607" s="15"/>
      <c r="O1607" s="5" t="s">
        <v>108</v>
      </c>
      <c r="P1607" s="15"/>
      <c r="Q1607" s="15"/>
      <c r="R1607" s="16" t="s">
        <v>28</v>
      </c>
      <c r="S1607" s="15"/>
      <c r="T1607" s="15"/>
      <c r="U1607" s="15"/>
      <c r="V1607" s="15"/>
      <c r="W1607" s="15"/>
      <c r="X1607" s="15"/>
      <c r="Y1607" s="15"/>
      <c r="Z1607" s="15"/>
      <c r="AA1607" s="15"/>
    </row>
    <row r="1608">
      <c r="A1608" s="5" t="s">
        <v>6579</v>
      </c>
      <c r="B1608" s="6" t="s">
        <v>6580</v>
      </c>
      <c r="C1608" s="40" t="s">
        <v>6581</v>
      </c>
      <c r="D1608" s="8"/>
      <c r="E1608" s="8" t="s">
        <v>3926</v>
      </c>
      <c r="F1608" s="90">
        <v>500.0</v>
      </c>
      <c r="G1608" s="97" t="s">
        <v>6582</v>
      </c>
      <c r="H1608" s="36" t="s">
        <v>6325</v>
      </c>
      <c r="I1608" s="97">
        <v>9.33100527E9</v>
      </c>
      <c r="J1608" s="11" t="s">
        <v>25</v>
      </c>
      <c r="K1608" s="12" t="s">
        <v>6583</v>
      </c>
      <c r="L1608" s="13"/>
      <c r="M1608" s="14"/>
      <c r="N1608" s="15"/>
      <c r="O1608" s="5" t="s">
        <v>564</v>
      </c>
      <c r="P1608" s="5" t="s">
        <v>1899</v>
      </c>
      <c r="Q1608" s="15"/>
      <c r="R1608" s="16" t="s">
        <v>28</v>
      </c>
      <c r="S1608" s="15"/>
      <c r="T1608" s="15"/>
      <c r="U1608" s="15"/>
      <c r="V1608" s="15"/>
      <c r="W1608" s="15"/>
      <c r="X1608" s="15"/>
      <c r="Y1608" s="15"/>
      <c r="Z1608" s="15"/>
      <c r="AA1608" s="15"/>
    </row>
    <row r="1609">
      <c r="A1609" s="5" t="s">
        <v>6579</v>
      </c>
      <c r="B1609" s="6" t="s">
        <v>6584</v>
      </c>
      <c r="C1609" s="40" t="s">
        <v>6585</v>
      </c>
      <c r="D1609" s="8"/>
      <c r="E1609" s="8" t="s">
        <v>2821</v>
      </c>
      <c r="F1609" s="90">
        <v>500.0</v>
      </c>
      <c r="G1609" s="97" t="s">
        <v>6586</v>
      </c>
      <c r="H1609" s="11" t="s">
        <v>1414</v>
      </c>
      <c r="I1609" s="97">
        <v>9.732452222E9</v>
      </c>
      <c r="J1609" s="11" t="s">
        <v>25</v>
      </c>
      <c r="K1609" s="12"/>
      <c r="L1609" s="13"/>
      <c r="M1609" s="14"/>
      <c r="N1609" s="15"/>
      <c r="O1609" s="5" t="s">
        <v>34</v>
      </c>
      <c r="P1609" s="5" t="s">
        <v>777</v>
      </c>
      <c r="Q1609" s="15"/>
      <c r="R1609" s="16" t="s">
        <v>28</v>
      </c>
      <c r="S1609" s="15"/>
      <c r="T1609" s="15"/>
      <c r="U1609" s="15"/>
      <c r="V1609" s="15"/>
      <c r="W1609" s="15"/>
      <c r="X1609" s="15"/>
      <c r="Y1609" s="15"/>
      <c r="Z1609" s="15"/>
      <c r="AA1609" s="15"/>
    </row>
    <row r="1610">
      <c r="A1610" s="5" t="s">
        <v>6579</v>
      </c>
      <c r="B1610" s="6" t="s">
        <v>6587</v>
      </c>
      <c r="C1610" s="40" t="s">
        <v>6588</v>
      </c>
      <c r="D1610" s="8"/>
      <c r="E1610" s="8" t="s">
        <v>189</v>
      </c>
      <c r="F1610" s="90">
        <v>24000.0</v>
      </c>
      <c r="G1610" s="97"/>
      <c r="H1610" s="11" t="s">
        <v>449</v>
      </c>
      <c r="I1610" s="97">
        <v>9.733354202E9</v>
      </c>
      <c r="J1610" s="11" t="s">
        <v>25</v>
      </c>
      <c r="K1610" s="12" t="s">
        <v>6589</v>
      </c>
      <c r="L1610" s="13"/>
      <c r="M1610" s="14"/>
      <c r="N1610" s="15"/>
      <c r="O1610" s="5" t="s">
        <v>564</v>
      </c>
      <c r="P1610" s="5" t="s">
        <v>1736</v>
      </c>
      <c r="Q1610" s="15"/>
      <c r="R1610" s="16" t="s">
        <v>28</v>
      </c>
      <c r="S1610" s="15"/>
      <c r="T1610" s="15"/>
      <c r="U1610" s="15"/>
      <c r="V1610" s="15"/>
      <c r="W1610" s="15"/>
      <c r="X1610" s="15"/>
      <c r="Y1610" s="15"/>
      <c r="Z1610" s="15"/>
      <c r="AA1610" s="15"/>
    </row>
    <row r="1611">
      <c r="A1611" s="5" t="s">
        <v>6579</v>
      </c>
      <c r="B1611" s="6" t="s">
        <v>6590</v>
      </c>
      <c r="C1611" s="40" t="s">
        <v>6591</v>
      </c>
      <c r="D1611" s="8"/>
      <c r="E1611" s="8" t="s">
        <v>3634</v>
      </c>
      <c r="F1611" s="90">
        <v>20000.0</v>
      </c>
      <c r="G1611" s="97" t="s">
        <v>6592</v>
      </c>
      <c r="H1611" s="11" t="s">
        <v>6593</v>
      </c>
      <c r="I1611" s="97">
        <v>9.017577E9</v>
      </c>
      <c r="J1611" s="11" t="s">
        <v>25</v>
      </c>
      <c r="K1611" s="12"/>
      <c r="L1611" s="13"/>
      <c r="M1611" s="11" t="s">
        <v>6594</v>
      </c>
      <c r="N1611" s="15"/>
      <c r="O1611" s="5" t="s">
        <v>108</v>
      </c>
      <c r="P1611" s="5" t="s">
        <v>6595</v>
      </c>
      <c r="Q1611" s="15"/>
      <c r="R1611" s="16" t="s">
        <v>28</v>
      </c>
      <c r="S1611" s="15"/>
      <c r="T1611" s="15"/>
      <c r="U1611" s="15"/>
      <c r="V1611" s="15"/>
      <c r="W1611" s="15"/>
      <c r="X1611" s="15"/>
      <c r="Y1611" s="15"/>
      <c r="Z1611" s="15"/>
      <c r="AA1611" s="15"/>
    </row>
    <row r="1612">
      <c r="A1612" s="5" t="s">
        <v>6579</v>
      </c>
      <c r="B1612" s="6" t="s">
        <v>6596</v>
      </c>
      <c r="C1612" s="40" t="s">
        <v>3946</v>
      </c>
      <c r="D1612" s="8"/>
      <c r="E1612" s="8" t="s">
        <v>1217</v>
      </c>
      <c r="F1612" s="90">
        <v>500.0</v>
      </c>
      <c r="G1612" s="97" t="s">
        <v>6597</v>
      </c>
      <c r="H1612" s="11" t="s">
        <v>6181</v>
      </c>
      <c r="I1612" s="97">
        <v>9.874888569E9</v>
      </c>
      <c r="J1612" s="11" t="s">
        <v>25</v>
      </c>
      <c r="K1612" s="12"/>
      <c r="L1612" s="13"/>
      <c r="M1612" s="14"/>
      <c r="N1612" s="15"/>
      <c r="O1612" s="5" t="s">
        <v>564</v>
      </c>
      <c r="P1612" s="15"/>
      <c r="Q1612" s="15"/>
      <c r="R1612" s="16" t="s">
        <v>28</v>
      </c>
      <c r="S1612" s="15"/>
      <c r="T1612" s="15"/>
      <c r="U1612" s="15"/>
      <c r="V1612" s="15"/>
      <c r="W1612" s="15"/>
      <c r="X1612" s="15"/>
      <c r="Y1612" s="15"/>
      <c r="Z1612" s="15"/>
      <c r="AA1612" s="15"/>
    </row>
    <row r="1613">
      <c r="A1613" s="5" t="s">
        <v>6579</v>
      </c>
      <c r="B1613" s="6" t="s">
        <v>6598</v>
      </c>
      <c r="C1613" s="40" t="s">
        <v>6599</v>
      </c>
      <c r="D1613" s="8"/>
      <c r="E1613" s="8" t="s">
        <v>6600</v>
      </c>
      <c r="F1613" s="90">
        <v>15000.0</v>
      </c>
      <c r="G1613" s="97" t="s">
        <v>6601</v>
      </c>
      <c r="H1613" s="11" t="s">
        <v>6602</v>
      </c>
      <c r="I1613" s="97">
        <v>8.609333253E9</v>
      </c>
      <c r="J1613" s="11" t="s">
        <v>25</v>
      </c>
      <c r="K1613" s="12"/>
      <c r="L1613" s="13"/>
      <c r="M1613" s="14"/>
      <c r="N1613" s="15"/>
      <c r="O1613" s="5" t="s">
        <v>564</v>
      </c>
      <c r="P1613" s="5" t="s">
        <v>6603</v>
      </c>
      <c r="Q1613" s="15"/>
      <c r="R1613" s="16" t="s">
        <v>28</v>
      </c>
      <c r="S1613" s="15"/>
      <c r="T1613" s="15"/>
      <c r="U1613" s="15"/>
      <c r="V1613" s="15"/>
      <c r="W1613" s="15"/>
      <c r="X1613" s="15"/>
      <c r="Y1613" s="15"/>
      <c r="Z1613" s="15"/>
      <c r="AA1613" s="15"/>
    </row>
    <row r="1614">
      <c r="A1614" s="5" t="s">
        <v>6579</v>
      </c>
      <c r="B1614" s="6" t="s">
        <v>6604</v>
      </c>
      <c r="C1614" s="40" t="s">
        <v>4542</v>
      </c>
      <c r="D1614" s="8"/>
      <c r="E1614" s="8" t="s">
        <v>207</v>
      </c>
      <c r="F1614" s="90">
        <v>1000.0</v>
      </c>
      <c r="G1614" s="97" t="s">
        <v>4544</v>
      </c>
      <c r="H1614" s="11" t="s">
        <v>422</v>
      </c>
      <c r="I1614" s="97">
        <v>9.674706929E9</v>
      </c>
      <c r="J1614" s="11" t="s">
        <v>25</v>
      </c>
      <c r="K1614" s="12"/>
      <c r="L1614" s="13"/>
      <c r="M1614" s="14"/>
      <c r="N1614" s="15"/>
      <c r="O1614" s="5" t="s">
        <v>34</v>
      </c>
      <c r="P1614" s="5" t="s">
        <v>4366</v>
      </c>
      <c r="Q1614" s="15"/>
      <c r="R1614" s="16" t="s">
        <v>28</v>
      </c>
      <c r="S1614" s="15"/>
      <c r="T1614" s="15"/>
      <c r="U1614" s="15"/>
      <c r="V1614" s="15"/>
      <c r="W1614" s="15"/>
      <c r="X1614" s="15"/>
      <c r="Y1614" s="15"/>
      <c r="Z1614" s="15"/>
      <c r="AA1614" s="15"/>
    </row>
    <row r="1615">
      <c r="A1615" s="5" t="s">
        <v>6579</v>
      </c>
      <c r="B1615" s="6" t="s">
        <v>6605</v>
      </c>
      <c r="C1615" s="40" t="s">
        <v>6606</v>
      </c>
      <c r="D1615" s="8"/>
      <c r="E1615" s="8" t="s">
        <v>5368</v>
      </c>
      <c r="F1615" s="90">
        <v>2000.0</v>
      </c>
      <c r="G1615" s="97" t="s">
        <v>6607</v>
      </c>
      <c r="H1615" s="11" t="s">
        <v>44</v>
      </c>
      <c r="I1615" s="97">
        <v>9.734106785E9</v>
      </c>
      <c r="J1615" s="11" t="s">
        <v>25</v>
      </c>
      <c r="K1615" s="12"/>
      <c r="L1615" s="13"/>
      <c r="M1615" s="14"/>
      <c r="N1615" s="15"/>
      <c r="O1615" s="5" t="s">
        <v>564</v>
      </c>
      <c r="P1615" s="5" t="s">
        <v>6608</v>
      </c>
      <c r="Q1615" s="15"/>
      <c r="R1615" s="16" t="s">
        <v>28</v>
      </c>
      <c r="S1615" s="15"/>
      <c r="T1615" s="15"/>
      <c r="U1615" s="15"/>
      <c r="V1615" s="15"/>
      <c r="W1615" s="15"/>
      <c r="X1615" s="15"/>
      <c r="Y1615" s="15"/>
      <c r="Z1615" s="15"/>
      <c r="AA1615" s="15"/>
    </row>
    <row r="1616">
      <c r="A1616" s="5" t="s">
        <v>6609</v>
      </c>
      <c r="B1616" s="6" t="s">
        <v>6610</v>
      </c>
      <c r="C1616" s="40" t="s">
        <v>6611</v>
      </c>
      <c r="D1616" s="8"/>
      <c r="E1616" s="8" t="s">
        <v>6612</v>
      </c>
      <c r="F1616" s="90">
        <v>2000.0</v>
      </c>
      <c r="G1616" s="123" t="s">
        <v>6613</v>
      </c>
      <c r="H1616" s="11" t="s">
        <v>6614</v>
      </c>
      <c r="I1616" s="97">
        <v>9.339616999E9</v>
      </c>
      <c r="J1616" s="11" t="s">
        <v>3577</v>
      </c>
      <c r="K1616" s="12"/>
      <c r="L1616" s="13"/>
      <c r="M1616" s="11" t="s">
        <v>6615</v>
      </c>
      <c r="N1616" s="15"/>
      <c r="O1616" s="5" t="s">
        <v>34</v>
      </c>
      <c r="P1616" s="5" t="s">
        <v>6356</v>
      </c>
      <c r="Q1616" s="5" t="s">
        <v>6261</v>
      </c>
      <c r="R1616" s="16" t="s">
        <v>248</v>
      </c>
      <c r="S1616" s="15"/>
      <c r="T1616" s="15"/>
      <c r="U1616" s="15"/>
      <c r="V1616" s="15"/>
      <c r="W1616" s="15"/>
      <c r="X1616" s="15"/>
      <c r="Y1616" s="15"/>
      <c r="Z1616" s="15"/>
      <c r="AA1616" s="15"/>
    </row>
    <row r="1617">
      <c r="A1617" s="5" t="s">
        <v>6609</v>
      </c>
      <c r="B1617" s="6" t="s">
        <v>6616</v>
      </c>
      <c r="C1617" s="40" t="s">
        <v>6617</v>
      </c>
      <c r="D1617" s="8"/>
      <c r="E1617" s="8" t="s">
        <v>6618</v>
      </c>
      <c r="F1617" s="90">
        <v>30000.0</v>
      </c>
      <c r="G1617" s="97" t="s">
        <v>6619</v>
      </c>
      <c r="H1617" s="11" t="s">
        <v>44</v>
      </c>
      <c r="I1617" s="97">
        <v>6.207688878E9</v>
      </c>
      <c r="J1617" s="11" t="s">
        <v>25</v>
      </c>
      <c r="K1617" s="12"/>
      <c r="L1617" s="13"/>
      <c r="M1617" s="14"/>
      <c r="N1617" s="15"/>
      <c r="O1617" s="5" t="s">
        <v>564</v>
      </c>
      <c r="P1617" s="15"/>
      <c r="Q1617" s="15"/>
      <c r="R1617" s="16" t="s">
        <v>28</v>
      </c>
      <c r="S1617" s="15"/>
      <c r="T1617" s="15"/>
      <c r="U1617" s="15"/>
      <c r="V1617" s="15"/>
      <c r="W1617" s="15"/>
      <c r="X1617" s="15"/>
      <c r="Y1617" s="15"/>
      <c r="Z1617" s="15"/>
      <c r="AA1617" s="15"/>
    </row>
    <row r="1618">
      <c r="A1618" s="5" t="s">
        <v>6609</v>
      </c>
      <c r="B1618" s="6" t="s">
        <v>6620</v>
      </c>
      <c r="C1618" s="40" t="s">
        <v>6621</v>
      </c>
      <c r="D1618" s="8"/>
      <c r="E1618" s="8" t="s">
        <v>6622</v>
      </c>
      <c r="F1618" s="90">
        <v>3000.0</v>
      </c>
      <c r="G1618" s="97" t="s">
        <v>6623</v>
      </c>
      <c r="H1618" s="11" t="s">
        <v>6624</v>
      </c>
      <c r="I1618" s="97">
        <v>8.0907534E9</v>
      </c>
      <c r="J1618" s="11" t="s">
        <v>25</v>
      </c>
      <c r="K1618" s="12"/>
      <c r="L1618" s="13"/>
      <c r="M1618" s="11" t="s">
        <v>3547</v>
      </c>
      <c r="N1618" s="15"/>
      <c r="O1618" s="5" t="s">
        <v>34</v>
      </c>
      <c r="P1618" s="5"/>
      <c r="Q1618" s="5" t="s">
        <v>6625</v>
      </c>
      <c r="R1618" s="16" t="s">
        <v>248</v>
      </c>
      <c r="S1618" s="15"/>
      <c r="T1618" s="15"/>
      <c r="U1618" s="15"/>
      <c r="V1618" s="15"/>
      <c r="W1618" s="15"/>
      <c r="X1618" s="15"/>
      <c r="Y1618" s="15"/>
      <c r="Z1618" s="15"/>
      <c r="AA1618" s="15"/>
    </row>
    <row r="1619">
      <c r="A1619" s="5" t="s">
        <v>6609</v>
      </c>
      <c r="B1619" s="6" t="s">
        <v>6626</v>
      </c>
      <c r="C1619" s="40" t="s">
        <v>6627</v>
      </c>
      <c r="D1619" s="8"/>
      <c r="E1619" s="8" t="s">
        <v>152</v>
      </c>
      <c r="F1619" s="90">
        <v>3000.0</v>
      </c>
      <c r="G1619" s="97" t="s">
        <v>6628</v>
      </c>
      <c r="H1619" s="11" t="s">
        <v>6629</v>
      </c>
      <c r="I1619" s="97">
        <v>7.504299519E9</v>
      </c>
      <c r="J1619" s="11" t="s">
        <v>25</v>
      </c>
      <c r="K1619" s="12"/>
      <c r="L1619" s="13"/>
      <c r="M1619" s="14"/>
      <c r="N1619" s="15"/>
      <c r="O1619" s="5" t="s">
        <v>564</v>
      </c>
      <c r="P1619" s="5" t="s">
        <v>6630</v>
      </c>
      <c r="Q1619" s="15"/>
      <c r="R1619" s="16" t="s">
        <v>28</v>
      </c>
      <c r="S1619" s="15"/>
      <c r="T1619" s="15"/>
      <c r="U1619" s="15"/>
      <c r="V1619" s="15"/>
      <c r="W1619" s="15"/>
      <c r="X1619" s="15"/>
      <c r="Y1619" s="15"/>
      <c r="Z1619" s="15"/>
      <c r="AA1619" s="15"/>
    </row>
    <row r="1620">
      <c r="A1620" s="5" t="s">
        <v>6609</v>
      </c>
      <c r="B1620" s="6" t="s">
        <v>6631</v>
      </c>
      <c r="C1620" s="40" t="s">
        <v>6632</v>
      </c>
      <c r="D1620" s="8"/>
      <c r="E1620" s="8" t="s">
        <v>5293</v>
      </c>
      <c r="F1620" s="90">
        <v>5000.0</v>
      </c>
      <c r="G1620" s="97" t="s">
        <v>6633</v>
      </c>
      <c r="H1620" s="11" t="s">
        <v>3539</v>
      </c>
      <c r="I1620" s="97">
        <v>9.732169177E9</v>
      </c>
      <c r="J1620" s="11" t="s">
        <v>25</v>
      </c>
      <c r="K1620" s="12"/>
      <c r="L1620" s="13"/>
      <c r="M1620" s="14"/>
      <c r="N1620" s="15"/>
      <c r="O1620" s="5" t="s">
        <v>34</v>
      </c>
      <c r="P1620" s="11" t="s">
        <v>6634</v>
      </c>
      <c r="Q1620" s="15"/>
      <c r="R1620" s="16" t="s">
        <v>723</v>
      </c>
      <c r="S1620" s="15"/>
      <c r="T1620" s="15"/>
      <c r="U1620" s="15"/>
      <c r="V1620" s="15"/>
      <c r="W1620" s="15"/>
      <c r="X1620" s="15"/>
      <c r="Y1620" s="15"/>
      <c r="Z1620" s="15"/>
      <c r="AA1620" s="15"/>
    </row>
    <row r="1621">
      <c r="A1621" s="5" t="s">
        <v>6609</v>
      </c>
      <c r="B1621" s="6" t="s">
        <v>6635</v>
      </c>
      <c r="C1621" s="40" t="s">
        <v>6636</v>
      </c>
      <c r="D1621" s="8"/>
      <c r="E1621" s="8" t="s">
        <v>501</v>
      </c>
      <c r="F1621" s="90">
        <v>2000.0</v>
      </c>
      <c r="G1621" s="97" t="s">
        <v>6637</v>
      </c>
      <c r="H1621" s="11" t="s">
        <v>6638</v>
      </c>
      <c r="I1621" s="97">
        <v>8.984461802E9</v>
      </c>
      <c r="J1621" s="11" t="s">
        <v>25</v>
      </c>
      <c r="K1621" s="12"/>
      <c r="L1621" s="13"/>
      <c r="M1621" s="14"/>
      <c r="N1621" s="15"/>
      <c r="O1621" s="5" t="s">
        <v>34</v>
      </c>
      <c r="P1621" s="5" t="s">
        <v>6639</v>
      </c>
      <c r="Q1621" s="15"/>
      <c r="R1621" s="16" t="s">
        <v>28</v>
      </c>
      <c r="S1621" s="15"/>
      <c r="T1621" s="15"/>
      <c r="U1621" s="15"/>
      <c r="V1621" s="15"/>
      <c r="W1621" s="15"/>
      <c r="X1621" s="15"/>
      <c r="Y1621" s="15"/>
      <c r="Z1621" s="15"/>
      <c r="AA1621" s="15"/>
    </row>
    <row r="1622">
      <c r="A1622" s="5" t="s">
        <v>6609</v>
      </c>
      <c r="B1622" s="6" t="s">
        <v>6640</v>
      </c>
      <c r="C1622" s="40" t="s">
        <v>6641</v>
      </c>
      <c r="D1622" s="8"/>
      <c r="E1622" s="8" t="s">
        <v>6642</v>
      </c>
      <c r="F1622" s="90">
        <v>16000.0</v>
      </c>
      <c r="G1622" s="97" t="s">
        <v>6643</v>
      </c>
      <c r="H1622" s="11" t="s">
        <v>6644</v>
      </c>
      <c r="I1622" s="97">
        <v>9.162782333E9</v>
      </c>
      <c r="J1622" s="11" t="s">
        <v>25</v>
      </c>
      <c r="K1622" s="12"/>
      <c r="L1622" s="13"/>
      <c r="M1622" s="14"/>
      <c r="N1622" s="15"/>
      <c r="O1622" s="5" t="s">
        <v>34</v>
      </c>
      <c r="P1622" s="5" t="s">
        <v>6645</v>
      </c>
      <c r="Q1622" s="5" t="s">
        <v>55</v>
      </c>
      <c r="R1622" s="16" t="s">
        <v>723</v>
      </c>
      <c r="S1622" s="15"/>
      <c r="T1622" s="15"/>
      <c r="U1622" s="15"/>
      <c r="V1622" s="15"/>
      <c r="W1622" s="15"/>
      <c r="X1622" s="15"/>
      <c r="Y1622" s="15"/>
      <c r="Z1622" s="15"/>
      <c r="AA1622" s="15"/>
    </row>
    <row r="1623">
      <c r="A1623" s="5" t="s">
        <v>6609</v>
      </c>
      <c r="B1623" s="6" t="s">
        <v>6646</v>
      </c>
      <c r="C1623" s="40" t="s">
        <v>6647</v>
      </c>
      <c r="D1623" s="8"/>
      <c r="E1623" s="8" t="s">
        <v>189</v>
      </c>
      <c r="F1623" s="90">
        <v>25000.0</v>
      </c>
      <c r="G1623" s="97"/>
      <c r="H1623" s="11" t="s">
        <v>6648</v>
      </c>
      <c r="I1623" s="97">
        <v>7.870440004E9</v>
      </c>
      <c r="J1623" s="11" t="s">
        <v>25</v>
      </c>
      <c r="K1623" s="12"/>
      <c r="L1623" s="13"/>
      <c r="M1623" s="14"/>
      <c r="N1623" s="15"/>
      <c r="O1623" s="5" t="s">
        <v>564</v>
      </c>
      <c r="P1623" s="15"/>
      <c r="Q1623" s="15"/>
      <c r="R1623" s="16" t="s">
        <v>28</v>
      </c>
      <c r="S1623" s="15"/>
      <c r="T1623" s="15"/>
      <c r="U1623" s="15"/>
      <c r="V1623" s="15"/>
      <c r="W1623" s="15"/>
      <c r="X1623" s="15"/>
      <c r="Y1623" s="15"/>
      <c r="Z1623" s="15"/>
      <c r="AA1623" s="15"/>
    </row>
    <row r="1624">
      <c r="A1624" s="5" t="s">
        <v>6649</v>
      </c>
      <c r="B1624" s="6" t="s">
        <v>6650</v>
      </c>
      <c r="C1624" s="40" t="s">
        <v>6651</v>
      </c>
      <c r="D1624" s="8"/>
      <c r="E1624" s="8" t="s">
        <v>189</v>
      </c>
      <c r="F1624" s="90">
        <v>27000.0</v>
      </c>
      <c r="G1624" s="97" t="s">
        <v>6652</v>
      </c>
      <c r="H1624" s="11" t="s">
        <v>4641</v>
      </c>
      <c r="I1624" s="97">
        <v>9.874390166E9</v>
      </c>
      <c r="J1624" s="11" t="s">
        <v>25</v>
      </c>
      <c r="K1624" s="12"/>
      <c r="L1624" s="13"/>
      <c r="M1624" s="14"/>
      <c r="N1624" s="15"/>
      <c r="O1624" s="5" t="s">
        <v>34</v>
      </c>
      <c r="P1624" s="5" t="s">
        <v>55</v>
      </c>
      <c r="Q1624" s="15"/>
      <c r="R1624" s="16" t="s">
        <v>28</v>
      </c>
      <c r="S1624" s="15"/>
      <c r="T1624" s="15"/>
      <c r="U1624" s="15"/>
      <c r="V1624" s="15"/>
      <c r="W1624" s="15"/>
      <c r="X1624" s="15"/>
      <c r="Y1624" s="15"/>
      <c r="Z1624" s="15"/>
      <c r="AA1624" s="15"/>
    </row>
    <row r="1625">
      <c r="A1625" s="5" t="s">
        <v>6649</v>
      </c>
      <c r="B1625" s="6" t="s">
        <v>6653</v>
      </c>
      <c r="C1625" s="40" t="s">
        <v>6654</v>
      </c>
      <c r="D1625" s="8"/>
      <c r="E1625" s="8" t="s">
        <v>6655</v>
      </c>
      <c r="F1625" s="90">
        <v>500.0</v>
      </c>
      <c r="G1625" s="97" t="s">
        <v>6656</v>
      </c>
      <c r="H1625" s="11" t="s">
        <v>1602</v>
      </c>
      <c r="I1625" s="97">
        <v>7.029977317E9</v>
      </c>
      <c r="J1625" s="11" t="s">
        <v>25</v>
      </c>
      <c r="K1625" s="12"/>
      <c r="L1625" s="13"/>
      <c r="M1625" s="14"/>
      <c r="N1625" s="15"/>
      <c r="O1625" s="5" t="s">
        <v>34</v>
      </c>
      <c r="P1625" s="5" t="s">
        <v>6334</v>
      </c>
      <c r="Q1625" s="15"/>
      <c r="R1625" s="16" t="s">
        <v>28</v>
      </c>
      <c r="S1625" s="15"/>
      <c r="T1625" s="15"/>
      <c r="U1625" s="15"/>
      <c r="V1625" s="15"/>
      <c r="W1625" s="15"/>
      <c r="X1625" s="15"/>
      <c r="Y1625" s="15"/>
      <c r="Z1625" s="15"/>
      <c r="AA1625" s="15"/>
    </row>
    <row r="1626">
      <c r="A1626" s="5" t="s">
        <v>6649</v>
      </c>
      <c r="B1626" s="6" t="s">
        <v>6657</v>
      </c>
      <c r="C1626" s="40" t="s">
        <v>6658</v>
      </c>
      <c r="D1626" s="8"/>
      <c r="E1626" s="8" t="s">
        <v>6659</v>
      </c>
      <c r="F1626" s="90">
        <v>4000.0</v>
      </c>
      <c r="G1626" s="97" t="s">
        <v>6660</v>
      </c>
      <c r="H1626" s="11" t="s">
        <v>44</v>
      </c>
      <c r="I1626" s="97">
        <v>8.336907977E9</v>
      </c>
      <c r="J1626" s="11" t="s">
        <v>25</v>
      </c>
      <c r="K1626" s="12"/>
      <c r="L1626" s="13"/>
      <c r="M1626" s="14"/>
      <c r="N1626" s="15"/>
      <c r="O1626" s="5" t="s">
        <v>564</v>
      </c>
      <c r="P1626" s="15"/>
      <c r="Q1626" s="15"/>
      <c r="R1626" s="16" t="s">
        <v>28</v>
      </c>
      <c r="S1626" s="15"/>
      <c r="T1626" s="15"/>
      <c r="U1626" s="15"/>
      <c r="V1626" s="15"/>
      <c r="W1626" s="15"/>
      <c r="X1626" s="15"/>
      <c r="Y1626" s="15"/>
      <c r="Z1626" s="15"/>
      <c r="AA1626" s="15"/>
    </row>
    <row r="1627">
      <c r="A1627" s="5" t="s">
        <v>6661</v>
      </c>
      <c r="B1627" s="6" t="s">
        <v>6662</v>
      </c>
      <c r="C1627" s="40" t="s">
        <v>6663</v>
      </c>
      <c r="D1627" s="8"/>
      <c r="E1627" s="8" t="s">
        <v>6664</v>
      </c>
      <c r="F1627" s="90">
        <v>5000.0</v>
      </c>
      <c r="G1627" s="97" t="s">
        <v>6665</v>
      </c>
      <c r="H1627" s="11" t="s">
        <v>6666</v>
      </c>
      <c r="I1627" s="97">
        <v>9.674149551E9</v>
      </c>
      <c r="J1627" s="11" t="s">
        <v>25</v>
      </c>
      <c r="K1627" s="12"/>
      <c r="L1627" s="13"/>
      <c r="M1627" s="14"/>
      <c r="N1627" s="15"/>
      <c r="O1627" s="5" t="s">
        <v>564</v>
      </c>
      <c r="P1627" s="15"/>
      <c r="Q1627" s="15"/>
      <c r="R1627" s="16" t="s">
        <v>28</v>
      </c>
      <c r="S1627" s="15"/>
      <c r="T1627" s="15"/>
      <c r="U1627" s="15"/>
      <c r="V1627" s="15"/>
      <c r="W1627" s="15"/>
      <c r="X1627" s="15"/>
      <c r="Y1627" s="15"/>
      <c r="Z1627" s="15"/>
      <c r="AA1627" s="15"/>
    </row>
    <row r="1628">
      <c r="A1628" s="5" t="s">
        <v>6661</v>
      </c>
      <c r="B1628" s="6" t="s">
        <v>6667</v>
      </c>
      <c r="C1628" s="40" t="s">
        <v>6668</v>
      </c>
      <c r="D1628" s="8"/>
      <c r="E1628" s="8" t="s">
        <v>387</v>
      </c>
      <c r="F1628" s="90">
        <v>2500.0</v>
      </c>
      <c r="G1628" s="145" t="s">
        <v>6669</v>
      </c>
      <c r="H1628" s="11" t="s">
        <v>6670</v>
      </c>
      <c r="I1628" s="97">
        <v>9.833005842E9</v>
      </c>
      <c r="J1628" s="11" t="s">
        <v>25</v>
      </c>
      <c r="K1628" s="12"/>
      <c r="L1628" s="13"/>
      <c r="M1628" s="11" t="s">
        <v>6671</v>
      </c>
      <c r="N1628" s="15"/>
      <c r="O1628" s="5" t="s">
        <v>34</v>
      </c>
      <c r="P1628" s="5" t="s">
        <v>6356</v>
      </c>
      <c r="Q1628" s="5" t="s">
        <v>6672</v>
      </c>
      <c r="R1628" s="16" t="s">
        <v>248</v>
      </c>
      <c r="S1628" s="15"/>
      <c r="T1628" s="15"/>
      <c r="U1628" s="15"/>
      <c r="V1628" s="15"/>
      <c r="W1628" s="15"/>
      <c r="X1628" s="15"/>
      <c r="Y1628" s="15"/>
      <c r="Z1628" s="15"/>
      <c r="AA1628" s="15"/>
    </row>
    <row r="1629">
      <c r="A1629" s="5" t="s">
        <v>6661</v>
      </c>
      <c r="B1629" s="6" t="s">
        <v>6673</v>
      </c>
      <c r="C1629" s="40" t="s">
        <v>6674</v>
      </c>
      <c r="D1629" s="8"/>
      <c r="E1629" s="8" t="s">
        <v>412</v>
      </c>
      <c r="F1629" s="90">
        <v>10000.0</v>
      </c>
      <c r="G1629" s="97" t="s">
        <v>6675</v>
      </c>
      <c r="H1629" s="11" t="s">
        <v>977</v>
      </c>
      <c r="I1629" s="97">
        <v>7.004614489E9</v>
      </c>
      <c r="J1629" s="11" t="s">
        <v>25</v>
      </c>
      <c r="K1629" s="12"/>
      <c r="L1629" s="13"/>
      <c r="M1629" s="14"/>
      <c r="N1629" s="15"/>
      <c r="O1629" s="5" t="s">
        <v>564</v>
      </c>
      <c r="P1629" s="15"/>
      <c r="Q1629" s="15"/>
      <c r="R1629" s="16" t="s">
        <v>28</v>
      </c>
      <c r="S1629" s="15"/>
      <c r="T1629" s="15"/>
      <c r="U1629" s="15"/>
      <c r="V1629" s="15"/>
      <c r="W1629" s="15"/>
      <c r="X1629" s="15"/>
      <c r="Y1629" s="15"/>
      <c r="Z1629" s="15"/>
      <c r="AA1629" s="15"/>
    </row>
    <row r="1630">
      <c r="A1630" s="5" t="s">
        <v>6661</v>
      </c>
      <c r="B1630" s="6" t="s">
        <v>6676</v>
      </c>
      <c r="C1630" s="40" t="s">
        <v>6677</v>
      </c>
      <c r="D1630" s="8"/>
      <c r="E1630" s="8" t="s">
        <v>1979</v>
      </c>
      <c r="F1630" s="90">
        <v>250.0</v>
      </c>
      <c r="G1630" s="97" t="s">
        <v>6678</v>
      </c>
      <c r="H1630" s="28" t="s">
        <v>6679</v>
      </c>
      <c r="I1630" s="97">
        <v>8.617319891E9</v>
      </c>
      <c r="J1630" s="11" t="s">
        <v>25</v>
      </c>
      <c r="K1630" s="12"/>
      <c r="L1630" s="13"/>
      <c r="M1630" s="14"/>
      <c r="N1630" s="15"/>
      <c r="O1630" s="5" t="s">
        <v>34</v>
      </c>
      <c r="P1630" s="5" t="s">
        <v>4366</v>
      </c>
      <c r="Q1630" s="5" t="s">
        <v>777</v>
      </c>
      <c r="R1630" s="16" t="s">
        <v>723</v>
      </c>
      <c r="S1630" s="15"/>
      <c r="T1630" s="15"/>
      <c r="U1630" s="15"/>
      <c r="V1630" s="15"/>
      <c r="W1630" s="15"/>
      <c r="X1630" s="15"/>
      <c r="Y1630" s="15"/>
      <c r="Z1630" s="15"/>
      <c r="AA1630" s="15"/>
    </row>
    <row r="1631">
      <c r="A1631" s="5" t="s">
        <v>6661</v>
      </c>
      <c r="B1631" s="6" t="s">
        <v>6680</v>
      </c>
      <c r="C1631" s="40" t="s">
        <v>6681</v>
      </c>
      <c r="D1631" s="8"/>
      <c r="E1631" s="8" t="s">
        <v>152</v>
      </c>
      <c r="F1631" s="90">
        <v>15000.0</v>
      </c>
      <c r="G1631" s="97" t="s">
        <v>6682</v>
      </c>
      <c r="H1631" s="36" t="s">
        <v>6683</v>
      </c>
      <c r="I1631" s="97">
        <v>9.632885077E9</v>
      </c>
      <c r="J1631" s="11" t="s">
        <v>25</v>
      </c>
      <c r="K1631" s="12"/>
      <c r="L1631" s="13"/>
      <c r="M1631" s="14"/>
      <c r="N1631" s="15"/>
      <c r="O1631" s="5" t="s">
        <v>34</v>
      </c>
      <c r="P1631" s="5" t="s">
        <v>6684</v>
      </c>
      <c r="Q1631" s="15"/>
      <c r="R1631" s="16" t="s">
        <v>723</v>
      </c>
      <c r="S1631" s="15"/>
      <c r="T1631" s="15"/>
      <c r="U1631" s="15"/>
      <c r="V1631" s="15"/>
      <c r="W1631" s="15"/>
      <c r="X1631" s="15"/>
      <c r="Y1631" s="15"/>
      <c r="Z1631" s="15"/>
      <c r="AA1631" s="15"/>
    </row>
    <row r="1632">
      <c r="A1632" s="5" t="s">
        <v>6661</v>
      </c>
      <c r="B1632" s="6" t="s">
        <v>6685</v>
      </c>
      <c r="C1632" s="40" t="s">
        <v>6194</v>
      </c>
      <c r="D1632" s="8"/>
      <c r="E1632" s="8" t="s">
        <v>6686</v>
      </c>
      <c r="F1632" s="90">
        <v>18000.0</v>
      </c>
      <c r="G1632" s="97" t="s">
        <v>6687</v>
      </c>
      <c r="H1632" s="11" t="s">
        <v>6688</v>
      </c>
      <c r="I1632" s="97">
        <v>7.029310155E9</v>
      </c>
      <c r="J1632" s="11" t="s">
        <v>4008</v>
      </c>
      <c r="K1632" s="12"/>
      <c r="L1632" s="13"/>
      <c r="M1632" s="14"/>
      <c r="N1632" s="15"/>
      <c r="O1632" s="5" t="s">
        <v>564</v>
      </c>
      <c r="P1632" s="5" t="s">
        <v>6689</v>
      </c>
      <c r="Q1632" s="15"/>
      <c r="R1632" s="16" t="s">
        <v>28</v>
      </c>
      <c r="S1632" s="15"/>
      <c r="T1632" s="15"/>
      <c r="U1632" s="15"/>
      <c r="V1632" s="15"/>
      <c r="W1632" s="15"/>
      <c r="X1632" s="15"/>
      <c r="Y1632" s="15"/>
      <c r="Z1632" s="15"/>
      <c r="AA1632" s="15"/>
    </row>
    <row r="1633">
      <c r="A1633" s="5" t="s">
        <v>6661</v>
      </c>
      <c r="B1633" s="6" t="s">
        <v>6690</v>
      </c>
      <c r="C1633" s="40" t="s">
        <v>6691</v>
      </c>
      <c r="D1633" s="8"/>
      <c r="E1633" s="8" t="s">
        <v>6692</v>
      </c>
      <c r="F1633" s="90">
        <v>5000.0</v>
      </c>
      <c r="G1633" s="97" t="s">
        <v>6693</v>
      </c>
      <c r="H1633" s="11" t="s">
        <v>472</v>
      </c>
      <c r="I1633" s="97">
        <v>9.475372122E9</v>
      </c>
      <c r="J1633" s="11" t="s">
        <v>25</v>
      </c>
      <c r="K1633" s="12" t="s">
        <v>6694</v>
      </c>
      <c r="L1633" s="13"/>
      <c r="M1633" s="14"/>
      <c r="N1633" s="15"/>
      <c r="O1633" s="5" t="s">
        <v>564</v>
      </c>
      <c r="P1633" s="5" t="s">
        <v>1786</v>
      </c>
      <c r="Q1633" s="5" t="s">
        <v>1544</v>
      </c>
      <c r="R1633" s="16" t="s">
        <v>28</v>
      </c>
      <c r="S1633" s="15"/>
      <c r="T1633" s="15"/>
      <c r="U1633" s="15"/>
      <c r="V1633" s="15"/>
      <c r="W1633" s="15"/>
      <c r="X1633" s="15"/>
      <c r="Y1633" s="15"/>
      <c r="Z1633" s="15"/>
      <c r="AA1633" s="15"/>
    </row>
    <row r="1634">
      <c r="A1634" s="5" t="s">
        <v>6661</v>
      </c>
      <c r="B1634" s="6" t="s">
        <v>6695</v>
      </c>
      <c r="C1634" s="40" t="s">
        <v>6696</v>
      </c>
      <c r="D1634" s="8"/>
      <c r="E1634" s="8" t="s">
        <v>4892</v>
      </c>
      <c r="F1634" s="90">
        <v>1000.0</v>
      </c>
      <c r="G1634" s="97" t="s">
        <v>6697</v>
      </c>
      <c r="H1634" s="11" t="s">
        <v>44</v>
      </c>
      <c r="I1634" s="97">
        <v>9.674123702E9</v>
      </c>
      <c r="J1634" s="11" t="s">
        <v>25</v>
      </c>
      <c r="K1634" s="12"/>
      <c r="L1634" s="13"/>
      <c r="M1634" s="14"/>
      <c r="N1634" s="15"/>
      <c r="O1634" s="5" t="s">
        <v>564</v>
      </c>
      <c r="P1634" s="5" t="s">
        <v>6698</v>
      </c>
      <c r="Q1634" s="15"/>
      <c r="R1634" s="16" t="s">
        <v>28</v>
      </c>
      <c r="S1634" s="15"/>
      <c r="T1634" s="15"/>
      <c r="U1634" s="15"/>
      <c r="V1634" s="15"/>
      <c r="W1634" s="15"/>
      <c r="X1634" s="15"/>
      <c r="Y1634" s="15"/>
      <c r="Z1634" s="15"/>
      <c r="AA1634" s="15"/>
    </row>
    <row r="1635">
      <c r="A1635" s="5" t="s">
        <v>6661</v>
      </c>
      <c r="B1635" s="6" t="s">
        <v>6699</v>
      </c>
      <c r="C1635" s="40" t="s">
        <v>4392</v>
      </c>
      <c r="D1635" s="8"/>
      <c r="E1635" s="8" t="s">
        <v>130</v>
      </c>
      <c r="F1635" s="90">
        <v>500.0</v>
      </c>
      <c r="G1635" s="97" t="s">
        <v>4393</v>
      </c>
      <c r="H1635" s="11" t="s">
        <v>4394</v>
      </c>
      <c r="I1635" s="97">
        <v>6.290087386E9</v>
      </c>
      <c r="J1635" s="11" t="s">
        <v>25</v>
      </c>
      <c r="K1635" s="12"/>
      <c r="L1635" s="13"/>
      <c r="M1635" s="14"/>
      <c r="N1635" s="15"/>
      <c r="O1635" s="5" t="s">
        <v>34</v>
      </c>
      <c r="P1635" s="5" t="s">
        <v>4366</v>
      </c>
      <c r="Q1635" s="5" t="s">
        <v>727</v>
      </c>
      <c r="R1635" s="16" t="s">
        <v>723</v>
      </c>
      <c r="S1635" s="15"/>
      <c r="T1635" s="15"/>
      <c r="U1635" s="15"/>
      <c r="V1635" s="15"/>
      <c r="W1635" s="15"/>
      <c r="X1635" s="15"/>
      <c r="Y1635" s="15"/>
      <c r="Z1635" s="15"/>
      <c r="AA1635" s="15"/>
    </row>
    <row r="1636">
      <c r="A1636" s="5" t="s">
        <v>6661</v>
      </c>
      <c r="B1636" s="6" t="s">
        <v>6700</v>
      </c>
      <c r="C1636" s="40" t="s">
        <v>6701</v>
      </c>
      <c r="D1636" s="8"/>
      <c r="E1636" s="8" t="s">
        <v>38</v>
      </c>
      <c r="F1636" s="90">
        <v>1000.0</v>
      </c>
      <c r="G1636" s="97" t="s">
        <v>6702</v>
      </c>
      <c r="H1636" s="11" t="s">
        <v>3090</v>
      </c>
      <c r="I1636" s="97">
        <v>9.007635252E9</v>
      </c>
      <c r="J1636" s="11" t="s">
        <v>25</v>
      </c>
      <c r="K1636" s="12"/>
      <c r="L1636" s="13"/>
      <c r="M1636" s="14"/>
      <c r="N1636" s="15"/>
      <c r="O1636" s="5" t="s">
        <v>564</v>
      </c>
      <c r="P1636" s="5" t="s">
        <v>6703</v>
      </c>
      <c r="Q1636" s="15"/>
      <c r="R1636" s="16" t="s">
        <v>28</v>
      </c>
      <c r="S1636" s="15"/>
      <c r="T1636" s="15"/>
      <c r="U1636" s="15"/>
      <c r="V1636" s="15"/>
      <c r="W1636" s="15"/>
      <c r="X1636" s="15"/>
      <c r="Y1636" s="15"/>
      <c r="Z1636" s="15"/>
      <c r="AA1636" s="15"/>
    </row>
    <row r="1637">
      <c r="A1637" s="5" t="s">
        <v>6661</v>
      </c>
      <c r="B1637" s="6" t="s">
        <v>6704</v>
      </c>
      <c r="C1637" s="40" t="s">
        <v>6705</v>
      </c>
      <c r="D1637" s="8"/>
      <c r="E1637" s="8" t="s">
        <v>47</v>
      </c>
      <c r="F1637" s="90">
        <v>2000.0</v>
      </c>
      <c r="G1637" s="97" t="s">
        <v>6706</v>
      </c>
      <c r="H1637" s="11" t="s">
        <v>1337</v>
      </c>
      <c r="I1637" s="97">
        <v>8.399848707E9</v>
      </c>
      <c r="J1637" s="11" t="s">
        <v>25</v>
      </c>
      <c r="K1637" s="12"/>
      <c r="L1637" s="13"/>
      <c r="M1637" s="14"/>
      <c r="N1637" s="15"/>
      <c r="O1637" s="5" t="s">
        <v>564</v>
      </c>
      <c r="P1637" s="15"/>
      <c r="Q1637" s="15"/>
      <c r="R1637" s="16" t="s">
        <v>28</v>
      </c>
      <c r="S1637" s="15"/>
      <c r="T1637" s="15"/>
      <c r="U1637" s="15"/>
      <c r="V1637" s="15"/>
      <c r="W1637" s="15"/>
      <c r="X1637" s="15"/>
      <c r="Y1637" s="15"/>
      <c r="Z1637" s="15"/>
      <c r="AA1637" s="15"/>
    </row>
    <row r="1638">
      <c r="A1638" s="5" t="s">
        <v>6661</v>
      </c>
      <c r="B1638" s="6" t="s">
        <v>6707</v>
      </c>
      <c r="C1638" s="40" t="s">
        <v>6708</v>
      </c>
      <c r="D1638" s="8"/>
      <c r="E1638" s="8" t="s">
        <v>87</v>
      </c>
      <c r="F1638" s="90">
        <v>25000.0</v>
      </c>
      <c r="G1638" s="97" t="s">
        <v>6709</v>
      </c>
      <c r="H1638" s="11" t="s">
        <v>6710</v>
      </c>
      <c r="I1638" s="97">
        <v>9.83008915E9</v>
      </c>
      <c r="J1638" s="11" t="s">
        <v>25</v>
      </c>
      <c r="K1638" s="12"/>
      <c r="L1638" s="13"/>
      <c r="M1638" s="14"/>
      <c r="N1638" s="15"/>
      <c r="O1638" s="5" t="s">
        <v>34</v>
      </c>
      <c r="P1638" s="15"/>
      <c r="Q1638" s="15"/>
      <c r="R1638" s="16" t="s">
        <v>28</v>
      </c>
      <c r="S1638" s="15"/>
      <c r="T1638" s="15"/>
      <c r="U1638" s="15"/>
      <c r="V1638" s="15"/>
      <c r="W1638" s="15"/>
      <c r="X1638" s="15"/>
      <c r="Y1638" s="15"/>
      <c r="Z1638" s="15"/>
      <c r="AA1638" s="15"/>
    </row>
    <row r="1639">
      <c r="A1639" s="5" t="s">
        <v>6661</v>
      </c>
      <c r="B1639" s="6" t="s">
        <v>6711</v>
      </c>
      <c r="C1639" s="40" t="s">
        <v>6712</v>
      </c>
      <c r="D1639" s="8"/>
      <c r="E1639" s="8" t="s">
        <v>4096</v>
      </c>
      <c r="F1639" s="90">
        <v>600.0</v>
      </c>
      <c r="G1639" s="97" t="s">
        <v>6713</v>
      </c>
      <c r="H1639" s="36" t="s">
        <v>6307</v>
      </c>
      <c r="I1639" s="97">
        <v>7.903813901E9</v>
      </c>
      <c r="J1639" s="11" t="s">
        <v>25</v>
      </c>
      <c r="K1639" s="12"/>
      <c r="L1639" s="13"/>
      <c r="M1639" s="14"/>
      <c r="N1639" s="15"/>
      <c r="O1639" s="5" t="s">
        <v>34</v>
      </c>
      <c r="P1639" s="5" t="s">
        <v>1668</v>
      </c>
      <c r="Q1639" s="15"/>
      <c r="R1639" s="16" t="s">
        <v>723</v>
      </c>
      <c r="S1639" s="15"/>
      <c r="T1639" s="15"/>
      <c r="U1639" s="15"/>
      <c r="V1639" s="15"/>
      <c r="W1639" s="15"/>
      <c r="X1639" s="15"/>
      <c r="Y1639" s="15"/>
      <c r="Z1639" s="15"/>
      <c r="AA1639" s="15"/>
    </row>
    <row r="1640">
      <c r="A1640" s="5" t="s">
        <v>6661</v>
      </c>
      <c r="B1640" s="6" t="s">
        <v>6714</v>
      </c>
      <c r="C1640" s="40" t="s">
        <v>6298</v>
      </c>
      <c r="D1640" s="8"/>
      <c r="E1640" s="8" t="s">
        <v>1890</v>
      </c>
      <c r="F1640" s="90">
        <v>1000.0</v>
      </c>
      <c r="G1640" s="97" t="s">
        <v>6715</v>
      </c>
      <c r="H1640" s="11" t="s">
        <v>349</v>
      </c>
      <c r="I1640" s="97">
        <v>9.733932004E9</v>
      </c>
      <c r="J1640" s="11" t="s">
        <v>25</v>
      </c>
      <c r="K1640" s="12"/>
      <c r="L1640" s="13"/>
      <c r="M1640" s="14"/>
      <c r="N1640" s="15"/>
      <c r="O1640" s="5" t="s">
        <v>34</v>
      </c>
      <c r="P1640" s="5" t="s">
        <v>6716</v>
      </c>
      <c r="Q1640" s="15"/>
      <c r="R1640" s="16" t="s">
        <v>723</v>
      </c>
      <c r="S1640" s="15"/>
      <c r="T1640" s="15"/>
      <c r="U1640" s="15"/>
      <c r="V1640" s="15"/>
      <c r="W1640" s="15"/>
      <c r="X1640" s="15"/>
      <c r="Y1640" s="15"/>
      <c r="Z1640" s="15"/>
      <c r="AA1640" s="15"/>
    </row>
    <row r="1641">
      <c r="A1641" s="5" t="s">
        <v>6661</v>
      </c>
      <c r="B1641" s="6" t="s">
        <v>6717</v>
      </c>
      <c r="C1641" s="40" t="s">
        <v>6718</v>
      </c>
      <c r="D1641" s="8"/>
      <c r="E1641" s="8" t="s">
        <v>6719</v>
      </c>
      <c r="F1641" s="90">
        <v>4500.0</v>
      </c>
      <c r="G1641" s="97" t="s">
        <v>6720</v>
      </c>
      <c r="H1641" s="11" t="s">
        <v>3167</v>
      </c>
      <c r="I1641" s="97">
        <v>9.823207756E9</v>
      </c>
      <c r="J1641" s="11" t="s">
        <v>25</v>
      </c>
      <c r="K1641" s="12" t="s">
        <v>1522</v>
      </c>
      <c r="L1641" s="13"/>
      <c r="M1641" s="14"/>
      <c r="N1641" s="15"/>
      <c r="O1641" s="5" t="s">
        <v>564</v>
      </c>
      <c r="P1641" s="5" t="s">
        <v>3109</v>
      </c>
      <c r="Q1641" s="15"/>
      <c r="R1641" s="16" t="s">
        <v>28</v>
      </c>
      <c r="S1641" s="15"/>
      <c r="T1641" s="15"/>
      <c r="U1641" s="15"/>
      <c r="V1641" s="15"/>
      <c r="W1641" s="15"/>
      <c r="X1641" s="15"/>
      <c r="Y1641" s="15"/>
      <c r="Z1641" s="15"/>
      <c r="AA1641" s="15"/>
    </row>
    <row r="1642">
      <c r="A1642" s="5" t="s">
        <v>6661</v>
      </c>
      <c r="B1642" s="6" t="s">
        <v>6721</v>
      </c>
      <c r="C1642" s="40" t="s">
        <v>6722</v>
      </c>
      <c r="D1642" s="8"/>
      <c r="E1642" s="8" t="s">
        <v>2821</v>
      </c>
      <c r="F1642" s="90">
        <v>500.0</v>
      </c>
      <c r="G1642" s="97" t="s">
        <v>6723</v>
      </c>
      <c r="H1642" s="11" t="s">
        <v>6724</v>
      </c>
      <c r="I1642" s="97">
        <v>8.789750809E9</v>
      </c>
      <c r="J1642" s="11" t="s">
        <v>25</v>
      </c>
      <c r="K1642" s="12"/>
      <c r="L1642" s="13"/>
      <c r="M1642" s="14"/>
      <c r="N1642" s="15"/>
      <c r="O1642" s="5" t="s">
        <v>34</v>
      </c>
      <c r="P1642" s="5" t="s">
        <v>727</v>
      </c>
      <c r="Q1642" s="5" t="s">
        <v>6725</v>
      </c>
      <c r="R1642" s="16" t="s">
        <v>723</v>
      </c>
      <c r="S1642" s="15"/>
      <c r="T1642" s="15"/>
      <c r="U1642" s="15"/>
      <c r="V1642" s="15"/>
      <c r="W1642" s="15"/>
      <c r="X1642" s="15"/>
      <c r="Y1642" s="15"/>
      <c r="Z1642" s="15"/>
      <c r="AA1642" s="15"/>
    </row>
    <row r="1643">
      <c r="A1643" s="5" t="s">
        <v>6726</v>
      </c>
      <c r="B1643" s="6" t="s">
        <v>6727</v>
      </c>
      <c r="C1643" s="40" t="s">
        <v>6728</v>
      </c>
      <c r="D1643" s="8"/>
      <c r="E1643" s="8" t="s">
        <v>152</v>
      </c>
      <c r="F1643" s="90">
        <v>2000.0</v>
      </c>
      <c r="G1643" s="97" t="s">
        <v>6729</v>
      </c>
      <c r="H1643" s="11" t="s">
        <v>6730</v>
      </c>
      <c r="I1643" s="97">
        <v>8.670535007E9</v>
      </c>
      <c r="J1643" s="11" t="s">
        <v>4008</v>
      </c>
      <c r="K1643" s="12"/>
      <c r="L1643" s="13"/>
      <c r="M1643" s="14"/>
      <c r="N1643" s="15"/>
      <c r="O1643" s="5" t="s">
        <v>564</v>
      </c>
      <c r="P1643" s="5" t="s">
        <v>6731</v>
      </c>
      <c r="Q1643" s="15"/>
      <c r="R1643" s="16" t="s">
        <v>28</v>
      </c>
      <c r="S1643" s="15"/>
      <c r="T1643" s="15"/>
      <c r="U1643" s="15"/>
      <c r="V1643" s="15"/>
      <c r="W1643" s="15"/>
      <c r="X1643" s="15"/>
      <c r="Y1643" s="15"/>
      <c r="Z1643" s="15"/>
      <c r="AA1643" s="15"/>
    </row>
    <row r="1644">
      <c r="A1644" s="5" t="s">
        <v>6726</v>
      </c>
      <c r="B1644" s="6" t="s">
        <v>6732</v>
      </c>
      <c r="C1644" s="40" t="s">
        <v>6733</v>
      </c>
      <c r="D1644" s="8"/>
      <c r="E1644" s="8" t="s">
        <v>116</v>
      </c>
      <c r="F1644" s="90">
        <v>5000.0</v>
      </c>
      <c r="G1644" s="97" t="s">
        <v>6734</v>
      </c>
      <c r="H1644" s="28" t="s">
        <v>4641</v>
      </c>
      <c r="I1644" s="97">
        <v>9.831722111E9</v>
      </c>
      <c r="J1644" s="11" t="s">
        <v>25</v>
      </c>
      <c r="K1644" s="12"/>
      <c r="L1644" s="13"/>
      <c r="M1644" s="14"/>
      <c r="N1644" s="15"/>
      <c r="O1644" s="5" t="s">
        <v>564</v>
      </c>
      <c r="P1644" s="5" t="s">
        <v>1544</v>
      </c>
      <c r="Q1644" s="15"/>
      <c r="R1644" s="16" t="s">
        <v>28</v>
      </c>
      <c r="S1644" s="15"/>
      <c r="T1644" s="15"/>
      <c r="U1644" s="15"/>
      <c r="V1644" s="15"/>
      <c r="W1644" s="15"/>
      <c r="X1644" s="15"/>
      <c r="Y1644" s="15"/>
      <c r="Z1644" s="15"/>
      <c r="AA1644" s="15"/>
    </row>
    <row r="1645">
      <c r="A1645" s="5" t="s">
        <v>6726</v>
      </c>
      <c r="B1645" s="6" t="s">
        <v>6735</v>
      </c>
      <c r="C1645" s="40" t="s">
        <v>6736</v>
      </c>
      <c r="D1645" s="8"/>
      <c r="E1645" s="8" t="s">
        <v>152</v>
      </c>
      <c r="F1645" s="90">
        <v>5000.0</v>
      </c>
      <c r="G1645" s="97" t="s">
        <v>6737</v>
      </c>
      <c r="H1645" s="36" t="s">
        <v>6738</v>
      </c>
      <c r="I1645" s="97">
        <v>9.03978336E9</v>
      </c>
      <c r="J1645" s="11" t="s">
        <v>25</v>
      </c>
      <c r="K1645" s="12" t="s">
        <v>0</v>
      </c>
      <c r="L1645" s="13"/>
      <c r="M1645" s="14"/>
      <c r="N1645" s="15"/>
      <c r="O1645" s="5" t="s">
        <v>34</v>
      </c>
      <c r="P1645" s="5" t="s">
        <v>6739</v>
      </c>
      <c r="Q1645" s="15"/>
      <c r="R1645" s="16" t="s">
        <v>28</v>
      </c>
      <c r="S1645" s="15"/>
      <c r="T1645" s="15"/>
      <c r="U1645" s="15"/>
      <c r="V1645" s="15"/>
      <c r="W1645" s="15"/>
      <c r="X1645" s="15"/>
      <c r="Y1645" s="15"/>
      <c r="Z1645" s="15"/>
      <c r="AA1645" s="15"/>
    </row>
    <row r="1646">
      <c r="A1646" s="5" t="s">
        <v>6740</v>
      </c>
      <c r="B1646" s="6" t="s">
        <v>6741</v>
      </c>
      <c r="C1646" s="40" t="s">
        <v>6742</v>
      </c>
      <c r="D1646" s="8"/>
      <c r="E1646" s="8" t="s">
        <v>3555</v>
      </c>
      <c r="F1646" s="90">
        <v>5000.0</v>
      </c>
      <c r="G1646" s="97" t="s">
        <v>6743</v>
      </c>
      <c r="H1646" s="11" t="s">
        <v>1691</v>
      </c>
      <c r="I1646" s="97">
        <v>9.547660555E9</v>
      </c>
      <c r="J1646" s="11" t="s">
        <v>25</v>
      </c>
      <c r="K1646" s="12"/>
      <c r="L1646" s="13"/>
      <c r="M1646" s="14"/>
      <c r="N1646" s="15"/>
      <c r="O1646" s="5" t="s">
        <v>34</v>
      </c>
      <c r="P1646" s="15"/>
      <c r="Q1646" s="15"/>
      <c r="R1646" s="16" t="s">
        <v>28</v>
      </c>
      <c r="S1646" s="15"/>
      <c r="T1646" s="15"/>
      <c r="U1646" s="15"/>
      <c r="V1646" s="15"/>
      <c r="W1646" s="15"/>
      <c r="X1646" s="15"/>
      <c r="Y1646" s="15"/>
      <c r="Z1646" s="15"/>
      <c r="AA1646" s="15"/>
    </row>
    <row r="1647">
      <c r="A1647" s="5" t="s">
        <v>6740</v>
      </c>
      <c r="B1647" s="6" t="s">
        <v>6744</v>
      </c>
      <c r="C1647" s="40" t="s">
        <v>6745</v>
      </c>
      <c r="D1647" s="8"/>
      <c r="E1647" s="8" t="s">
        <v>6441</v>
      </c>
      <c r="F1647" s="90">
        <v>2000.0</v>
      </c>
      <c r="G1647" s="97" t="s">
        <v>6746</v>
      </c>
      <c r="H1647" s="11" t="s">
        <v>6747</v>
      </c>
      <c r="I1647" s="97">
        <v>7.980372104E9</v>
      </c>
      <c r="J1647" s="11" t="s">
        <v>25</v>
      </c>
      <c r="K1647" s="12"/>
      <c r="L1647" s="13"/>
      <c r="M1647" s="14"/>
      <c r="N1647" s="15"/>
      <c r="O1647" s="5" t="s">
        <v>34</v>
      </c>
      <c r="P1647" s="5" t="s">
        <v>209</v>
      </c>
      <c r="Q1647" s="15"/>
      <c r="R1647" s="16" t="s">
        <v>28</v>
      </c>
      <c r="S1647" s="15"/>
      <c r="T1647" s="15"/>
      <c r="U1647" s="15"/>
      <c r="V1647" s="15"/>
      <c r="W1647" s="15"/>
      <c r="X1647" s="15"/>
      <c r="Y1647" s="15"/>
      <c r="Z1647" s="15"/>
      <c r="AA1647" s="15"/>
    </row>
    <row r="1648">
      <c r="A1648" s="5" t="s">
        <v>6740</v>
      </c>
      <c r="B1648" s="6" t="s">
        <v>6748</v>
      </c>
      <c r="C1648" s="40" t="s">
        <v>6749</v>
      </c>
      <c r="D1648" s="8"/>
      <c r="E1648" s="8" t="s">
        <v>152</v>
      </c>
      <c r="F1648" s="90">
        <v>25000.0</v>
      </c>
      <c r="G1648" s="97" t="s">
        <v>6750</v>
      </c>
      <c r="H1648" s="11" t="s">
        <v>495</v>
      </c>
      <c r="I1648" s="97">
        <v>9.334300583E9</v>
      </c>
      <c r="J1648" s="11" t="s">
        <v>25</v>
      </c>
      <c r="K1648" s="12"/>
      <c r="L1648" s="13"/>
      <c r="M1648" s="14"/>
      <c r="N1648" s="15"/>
      <c r="O1648" s="5" t="s">
        <v>564</v>
      </c>
      <c r="P1648" s="5" t="s">
        <v>1544</v>
      </c>
      <c r="Q1648" s="15"/>
      <c r="R1648" s="16" t="s">
        <v>28</v>
      </c>
      <c r="S1648" s="15"/>
      <c r="T1648" s="15"/>
      <c r="U1648" s="15"/>
      <c r="V1648" s="15"/>
      <c r="W1648" s="15"/>
      <c r="X1648" s="15"/>
      <c r="Y1648" s="15"/>
      <c r="Z1648" s="15"/>
      <c r="AA1648" s="15"/>
    </row>
    <row r="1649">
      <c r="A1649" s="5" t="s">
        <v>6740</v>
      </c>
      <c r="B1649" s="6" t="s">
        <v>6751</v>
      </c>
      <c r="C1649" s="40" t="s">
        <v>1319</v>
      </c>
      <c r="D1649" s="8"/>
      <c r="E1649" s="8" t="s">
        <v>6752</v>
      </c>
      <c r="F1649" s="90">
        <v>600.0</v>
      </c>
      <c r="G1649" s="97"/>
      <c r="H1649" s="11" t="s">
        <v>99</v>
      </c>
      <c r="I1649" s="97">
        <v>9.040227416E9</v>
      </c>
      <c r="J1649" s="11" t="s">
        <v>25</v>
      </c>
      <c r="K1649" s="12"/>
      <c r="L1649" s="13"/>
      <c r="M1649" s="14"/>
      <c r="N1649" s="15"/>
      <c r="O1649" s="5" t="s">
        <v>564</v>
      </c>
      <c r="P1649" s="5" t="s">
        <v>6753</v>
      </c>
      <c r="Q1649" s="15"/>
      <c r="R1649" s="16" t="s">
        <v>28</v>
      </c>
      <c r="S1649" s="15"/>
      <c r="T1649" s="15"/>
      <c r="U1649" s="15"/>
      <c r="V1649" s="15"/>
      <c r="W1649" s="15"/>
      <c r="X1649" s="15"/>
      <c r="Y1649" s="15"/>
      <c r="Z1649" s="15"/>
      <c r="AA1649" s="15"/>
    </row>
    <row r="1650">
      <c r="A1650" s="5" t="s">
        <v>6740</v>
      </c>
      <c r="B1650" s="6" t="s">
        <v>6754</v>
      </c>
      <c r="C1650" s="40" t="s">
        <v>6755</v>
      </c>
      <c r="D1650" s="8"/>
      <c r="E1650" s="8" t="s">
        <v>2220</v>
      </c>
      <c r="F1650" s="90">
        <v>4500.0</v>
      </c>
      <c r="G1650" s="97" t="s">
        <v>6756</v>
      </c>
      <c r="H1650" s="11" t="s">
        <v>6757</v>
      </c>
      <c r="I1650" s="97">
        <v>9.437567552E9</v>
      </c>
      <c r="J1650" s="11" t="s">
        <v>25</v>
      </c>
      <c r="K1650" s="12"/>
      <c r="L1650" s="13"/>
      <c r="M1650" s="14"/>
      <c r="N1650" s="15"/>
      <c r="O1650" s="5" t="s">
        <v>564</v>
      </c>
      <c r="P1650" s="15"/>
      <c r="Q1650" s="15"/>
      <c r="R1650" s="16" t="s">
        <v>28</v>
      </c>
      <c r="S1650" s="15"/>
      <c r="T1650" s="15"/>
      <c r="U1650" s="15"/>
      <c r="V1650" s="15"/>
      <c r="W1650" s="15"/>
      <c r="X1650" s="15"/>
      <c r="Y1650" s="15"/>
      <c r="Z1650" s="15"/>
      <c r="AA1650" s="15"/>
    </row>
    <row r="1651">
      <c r="A1651" s="5" t="s">
        <v>6758</v>
      </c>
      <c r="B1651" s="6" t="s">
        <v>6759</v>
      </c>
      <c r="C1651" s="40" t="s">
        <v>1831</v>
      </c>
      <c r="D1651" s="8"/>
      <c r="E1651" s="8" t="s">
        <v>6760</v>
      </c>
      <c r="F1651" s="90">
        <v>1000.0</v>
      </c>
      <c r="G1651" s="97" t="s">
        <v>6761</v>
      </c>
      <c r="H1651" s="11" t="s">
        <v>6762</v>
      </c>
      <c r="I1651" s="97">
        <v>8.369869774E9</v>
      </c>
      <c r="J1651" s="11" t="s">
        <v>4008</v>
      </c>
      <c r="K1651" s="12"/>
      <c r="L1651" s="13"/>
      <c r="M1651" s="14"/>
      <c r="N1651" s="15"/>
      <c r="O1651" s="5" t="s">
        <v>108</v>
      </c>
      <c r="P1651" s="5" t="s">
        <v>6763</v>
      </c>
      <c r="Q1651" s="15"/>
      <c r="R1651" s="16" t="s">
        <v>28</v>
      </c>
      <c r="S1651" s="15"/>
      <c r="T1651" s="15"/>
      <c r="U1651" s="15"/>
      <c r="V1651" s="15"/>
      <c r="W1651" s="15"/>
      <c r="X1651" s="15"/>
      <c r="Y1651" s="15"/>
      <c r="Z1651" s="15"/>
      <c r="AA1651" s="15"/>
    </row>
    <row r="1652">
      <c r="A1652" s="5" t="s">
        <v>6758</v>
      </c>
      <c r="B1652" s="6" t="s">
        <v>6764</v>
      </c>
      <c r="C1652" s="40" t="s">
        <v>6765</v>
      </c>
      <c r="D1652" s="8"/>
      <c r="E1652" s="8" t="s">
        <v>6766</v>
      </c>
      <c r="F1652" s="90">
        <v>15000.0</v>
      </c>
      <c r="G1652" s="97" t="s">
        <v>6767</v>
      </c>
      <c r="H1652" s="11" t="s">
        <v>44</v>
      </c>
      <c r="I1652" s="97">
        <v>8.777414566E9</v>
      </c>
      <c r="J1652" s="11" t="s">
        <v>25</v>
      </c>
      <c r="K1652" s="12"/>
      <c r="L1652" s="13"/>
      <c r="M1652" s="14"/>
      <c r="N1652" s="15"/>
      <c r="O1652" s="5" t="s">
        <v>564</v>
      </c>
      <c r="P1652" s="15"/>
      <c r="Q1652" s="15"/>
      <c r="R1652" s="16" t="s">
        <v>28</v>
      </c>
      <c r="S1652" s="15"/>
      <c r="T1652" s="15"/>
      <c r="U1652" s="15"/>
      <c r="V1652" s="15"/>
      <c r="W1652" s="15"/>
      <c r="X1652" s="15"/>
      <c r="Y1652" s="15"/>
      <c r="Z1652" s="15"/>
      <c r="AA1652" s="15"/>
    </row>
    <row r="1653">
      <c r="A1653" s="5" t="s">
        <v>6758</v>
      </c>
      <c r="B1653" s="6" t="s">
        <v>6768</v>
      </c>
      <c r="C1653" s="36" t="s">
        <v>6769</v>
      </c>
      <c r="D1653" s="75"/>
      <c r="E1653" s="8" t="s">
        <v>6770</v>
      </c>
      <c r="F1653" s="90" t="s">
        <v>4901</v>
      </c>
      <c r="G1653" s="97" t="s">
        <v>6771</v>
      </c>
      <c r="H1653" s="11" t="s">
        <v>6772</v>
      </c>
      <c r="I1653" s="97">
        <v>7.738138768E9</v>
      </c>
      <c r="J1653" s="11" t="s">
        <v>25</v>
      </c>
      <c r="K1653" s="12"/>
      <c r="L1653" s="13"/>
      <c r="M1653" s="14"/>
      <c r="N1653" s="15"/>
      <c r="O1653" s="5" t="s">
        <v>34</v>
      </c>
      <c r="P1653" s="5" t="s">
        <v>1035</v>
      </c>
      <c r="Q1653" s="15"/>
      <c r="R1653" s="16" t="s">
        <v>28</v>
      </c>
      <c r="S1653" s="15"/>
      <c r="T1653" s="15"/>
      <c r="U1653" s="15"/>
      <c r="V1653" s="15"/>
      <c r="W1653" s="15"/>
      <c r="X1653" s="15"/>
      <c r="Y1653" s="15"/>
      <c r="Z1653" s="15"/>
      <c r="AA1653" s="15"/>
    </row>
    <row r="1654">
      <c r="A1654" s="5" t="s">
        <v>6773</v>
      </c>
      <c r="B1654" s="6" t="s">
        <v>6774</v>
      </c>
      <c r="C1654" s="40" t="s">
        <v>6327</v>
      </c>
      <c r="D1654" s="8"/>
      <c r="E1654" s="8" t="s">
        <v>6775</v>
      </c>
      <c r="F1654" s="90">
        <v>5000.0</v>
      </c>
      <c r="G1654" s="97" t="s">
        <v>3022</v>
      </c>
      <c r="H1654" s="11" t="s">
        <v>6330</v>
      </c>
      <c r="I1654" s="97">
        <v>9.102273569E9</v>
      </c>
      <c r="J1654" s="11" t="s">
        <v>4008</v>
      </c>
      <c r="K1654" s="12"/>
      <c r="L1654" s="13"/>
      <c r="M1654" s="14"/>
      <c r="N1654" s="15"/>
      <c r="O1654" s="5" t="s">
        <v>564</v>
      </c>
      <c r="P1654" s="15"/>
      <c r="Q1654" s="15"/>
      <c r="R1654" s="16" t="s">
        <v>28</v>
      </c>
      <c r="S1654" s="15"/>
      <c r="T1654" s="15"/>
      <c r="U1654" s="15"/>
      <c r="V1654" s="15"/>
      <c r="W1654" s="15"/>
      <c r="X1654" s="15"/>
      <c r="Y1654" s="15"/>
      <c r="Z1654" s="15"/>
      <c r="AA1654" s="15"/>
    </row>
    <row r="1655">
      <c r="A1655" s="5" t="s">
        <v>6773</v>
      </c>
      <c r="B1655" s="6" t="s">
        <v>6776</v>
      </c>
      <c r="C1655" s="40" t="s">
        <v>6777</v>
      </c>
      <c r="D1655" s="8"/>
      <c r="E1655" s="8" t="s">
        <v>38</v>
      </c>
      <c r="F1655" s="90">
        <v>1000.0</v>
      </c>
      <c r="G1655" s="97" t="s">
        <v>6778</v>
      </c>
      <c r="H1655" s="11" t="s">
        <v>44</v>
      </c>
      <c r="I1655" s="97">
        <v>6.291800769E9</v>
      </c>
      <c r="J1655" s="11" t="s">
        <v>25</v>
      </c>
      <c r="K1655" s="12"/>
      <c r="L1655" s="13"/>
      <c r="M1655" s="14"/>
      <c r="N1655" s="15"/>
      <c r="O1655" s="5" t="s">
        <v>34</v>
      </c>
      <c r="P1655" s="5" t="s">
        <v>6779</v>
      </c>
      <c r="Q1655" s="15"/>
      <c r="R1655" s="16" t="s">
        <v>28</v>
      </c>
      <c r="S1655" s="15"/>
      <c r="T1655" s="15"/>
      <c r="U1655" s="15"/>
      <c r="V1655" s="15"/>
      <c r="W1655" s="15"/>
      <c r="X1655" s="15"/>
      <c r="Y1655" s="15"/>
      <c r="Z1655" s="15"/>
      <c r="AA1655" s="15"/>
    </row>
    <row r="1656">
      <c r="A1656" s="5" t="s">
        <v>6780</v>
      </c>
      <c r="B1656" s="6" t="s">
        <v>6781</v>
      </c>
      <c r="C1656" s="40" t="s">
        <v>6782</v>
      </c>
      <c r="D1656" s="8"/>
      <c r="E1656" s="8" t="s">
        <v>6783</v>
      </c>
      <c r="F1656" s="90">
        <v>15000.0</v>
      </c>
      <c r="G1656" s="97" t="s">
        <v>6784</v>
      </c>
      <c r="H1656" s="11" t="s">
        <v>5051</v>
      </c>
      <c r="I1656" s="97">
        <v>9.90381535E9</v>
      </c>
      <c r="J1656" s="11" t="s">
        <v>4008</v>
      </c>
      <c r="K1656" s="12"/>
      <c r="L1656" s="13"/>
      <c r="M1656" s="14"/>
      <c r="N1656" s="15"/>
      <c r="O1656" s="5" t="s">
        <v>34</v>
      </c>
      <c r="P1656" s="5" t="s">
        <v>6785</v>
      </c>
      <c r="Q1656" s="15"/>
      <c r="R1656" s="16" t="s">
        <v>723</v>
      </c>
      <c r="S1656" s="15"/>
      <c r="T1656" s="15"/>
      <c r="U1656" s="15"/>
      <c r="V1656" s="15"/>
      <c r="W1656" s="15"/>
      <c r="X1656" s="15"/>
      <c r="Y1656" s="15"/>
      <c r="Z1656" s="15"/>
      <c r="AA1656" s="15"/>
    </row>
    <row r="1657">
      <c r="A1657" s="5" t="s">
        <v>6780</v>
      </c>
      <c r="B1657" s="6" t="s">
        <v>6786</v>
      </c>
      <c r="C1657" s="40" t="s">
        <v>6787</v>
      </c>
      <c r="D1657" s="8"/>
      <c r="E1657" s="8" t="s">
        <v>2570</v>
      </c>
      <c r="F1657" s="90">
        <v>500.0</v>
      </c>
      <c r="G1657" s="97" t="s">
        <v>6788</v>
      </c>
      <c r="H1657" s="11" t="s">
        <v>3090</v>
      </c>
      <c r="I1657" s="97">
        <v>9.830093663E9</v>
      </c>
      <c r="J1657" s="11" t="s">
        <v>25</v>
      </c>
      <c r="K1657" s="12"/>
      <c r="L1657" s="13"/>
      <c r="M1657" s="14"/>
      <c r="N1657" s="15"/>
      <c r="O1657" s="5" t="s">
        <v>564</v>
      </c>
      <c r="P1657" s="15"/>
      <c r="Q1657" s="15"/>
      <c r="R1657" s="16" t="s">
        <v>28</v>
      </c>
      <c r="S1657" s="15"/>
      <c r="T1657" s="15"/>
      <c r="U1657" s="15"/>
      <c r="V1657" s="15"/>
      <c r="W1657" s="15"/>
      <c r="X1657" s="15"/>
      <c r="Y1657" s="15"/>
      <c r="Z1657" s="15"/>
      <c r="AA1657" s="15"/>
    </row>
    <row r="1658">
      <c r="A1658" s="5" t="s">
        <v>6780</v>
      </c>
      <c r="B1658" s="6" t="s">
        <v>6789</v>
      </c>
      <c r="C1658" s="40" t="s">
        <v>6790</v>
      </c>
      <c r="D1658" s="8"/>
      <c r="E1658" s="8" t="s">
        <v>6015</v>
      </c>
      <c r="F1658" s="90">
        <v>250.0</v>
      </c>
      <c r="G1658" s="97" t="s">
        <v>6791</v>
      </c>
      <c r="H1658" s="11" t="s">
        <v>977</v>
      </c>
      <c r="I1658" s="97">
        <v>8.084959665E9</v>
      </c>
      <c r="J1658" s="11" t="s">
        <v>25</v>
      </c>
      <c r="K1658" s="12"/>
      <c r="L1658" s="13"/>
      <c r="M1658" s="14"/>
      <c r="N1658" s="15"/>
      <c r="O1658" s="5" t="s">
        <v>564</v>
      </c>
      <c r="P1658" s="15"/>
      <c r="Q1658" s="15"/>
      <c r="R1658" s="16" t="s">
        <v>28</v>
      </c>
      <c r="S1658" s="15"/>
      <c r="T1658" s="15"/>
      <c r="U1658" s="15"/>
      <c r="V1658" s="15"/>
      <c r="W1658" s="15"/>
      <c r="X1658" s="15"/>
      <c r="Y1658" s="15"/>
      <c r="Z1658" s="15"/>
      <c r="AA1658" s="15"/>
    </row>
    <row r="1659">
      <c r="A1659" s="5" t="s">
        <v>6792</v>
      </c>
      <c r="B1659" s="6" t="s">
        <v>6793</v>
      </c>
      <c r="C1659" s="36" t="s">
        <v>6794</v>
      </c>
      <c r="D1659" s="75"/>
      <c r="E1659" s="8" t="s">
        <v>207</v>
      </c>
      <c r="F1659" s="90">
        <v>4000.0</v>
      </c>
      <c r="G1659" s="97" t="s">
        <v>6795</v>
      </c>
      <c r="H1659" s="11" t="s">
        <v>1414</v>
      </c>
      <c r="I1659" s="97">
        <v>7.001193998E9</v>
      </c>
      <c r="J1659" s="11" t="s">
        <v>4008</v>
      </c>
      <c r="K1659" s="12"/>
      <c r="L1659" s="13"/>
      <c r="M1659" s="14"/>
      <c r="N1659" s="15"/>
      <c r="O1659" s="5" t="s">
        <v>34</v>
      </c>
      <c r="P1659" s="5" t="s">
        <v>6796</v>
      </c>
      <c r="Q1659" s="15"/>
      <c r="R1659" s="16" t="s">
        <v>28</v>
      </c>
      <c r="S1659" s="15"/>
      <c r="T1659" s="15"/>
      <c r="U1659" s="15"/>
      <c r="V1659" s="15"/>
      <c r="W1659" s="15"/>
      <c r="X1659" s="15"/>
      <c r="Y1659" s="15"/>
      <c r="Z1659" s="15"/>
      <c r="AA1659" s="15"/>
    </row>
    <row r="1660">
      <c r="A1660" s="5" t="s">
        <v>6792</v>
      </c>
      <c r="B1660" s="6" t="s">
        <v>6797</v>
      </c>
      <c r="C1660" s="40" t="s">
        <v>6798</v>
      </c>
      <c r="D1660" s="8"/>
      <c r="E1660" s="8" t="s">
        <v>87</v>
      </c>
      <c r="F1660" s="90">
        <v>15000.0</v>
      </c>
      <c r="G1660" s="97" t="s">
        <v>6799</v>
      </c>
      <c r="H1660" s="11" t="s">
        <v>44</v>
      </c>
      <c r="I1660" s="97">
        <v>9.732711287E9</v>
      </c>
      <c r="J1660" s="11" t="s">
        <v>4008</v>
      </c>
      <c r="K1660" s="12"/>
      <c r="L1660" s="13"/>
      <c r="M1660" s="14"/>
      <c r="N1660" s="15"/>
      <c r="O1660" s="5" t="s">
        <v>34</v>
      </c>
      <c r="P1660" s="5" t="s">
        <v>6800</v>
      </c>
      <c r="Q1660" s="15"/>
      <c r="R1660" s="16" t="s">
        <v>723</v>
      </c>
      <c r="S1660" s="15"/>
      <c r="T1660" s="15"/>
      <c r="U1660" s="15"/>
      <c r="V1660" s="15"/>
      <c r="W1660" s="15"/>
      <c r="X1660" s="15"/>
      <c r="Y1660" s="15"/>
      <c r="Z1660" s="15"/>
      <c r="AA1660" s="15"/>
    </row>
    <row r="1661">
      <c r="A1661" s="5" t="s">
        <v>6792</v>
      </c>
      <c r="B1661" s="6" t="s">
        <v>6801</v>
      </c>
      <c r="C1661" s="36" t="s">
        <v>6802</v>
      </c>
      <c r="D1661" s="75"/>
      <c r="E1661" s="8" t="s">
        <v>6803</v>
      </c>
      <c r="F1661" s="90" t="s">
        <v>4901</v>
      </c>
      <c r="G1661" s="97" t="s">
        <v>6804</v>
      </c>
      <c r="H1661" s="11" t="s">
        <v>6805</v>
      </c>
      <c r="I1661" s="97">
        <v>7.033224653E9</v>
      </c>
      <c r="J1661" s="11" t="s">
        <v>4008</v>
      </c>
      <c r="K1661" s="12"/>
      <c r="L1661" s="13"/>
      <c r="M1661" s="14"/>
      <c r="N1661" s="15"/>
      <c r="O1661" s="5" t="s">
        <v>34</v>
      </c>
      <c r="P1661" s="15"/>
      <c r="Q1661" s="15"/>
      <c r="R1661" s="16" t="s">
        <v>28</v>
      </c>
      <c r="S1661" s="15"/>
      <c r="T1661" s="15"/>
      <c r="U1661" s="15"/>
      <c r="V1661" s="15"/>
      <c r="W1661" s="15"/>
      <c r="X1661" s="15"/>
      <c r="Y1661" s="15"/>
      <c r="Z1661" s="15"/>
      <c r="AA1661" s="15"/>
    </row>
    <row r="1662">
      <c r="A1662" s="5" t="s">
        <v>6792</v>
      </c>
      <c r="B1662" s="6" t="s">
        <v>6806</v>
      </c>
      <c r="C1662" s="40" t="s">
        <v>6807</v>
      </c>
      <c r="D1662" s="8"/>
      <c r="E1662" s="8" t="s">
        <v>6808</v>
      </c>
      <c r="F1662" s="90">
        <v>1000.0</v>
      </c>
      <c r="G1662" s="97" t="s">
        <v>6809</v>
      </c>
      <c r="H1662" s="11" t="s">
        <v>6810</v>
      </c>
      <c r="I1662" s="97">
        <v>8.343969812E9</v>
      </c>
      <c r="J1662" s="11" t="s">
        <v>25</v>
      </c>
      <c r="K1662" s="12" t="s">
        <v>2164</v>
      </c>
      <c r="L1662" s="13"/>
      <c r="M1662" s="14"/>
      <c r="N1662" s="15"/>
      <c r="O1662" s="5" t="s">
        <v>564</v>
      </c>
      <c r="P1662" s="15"/>
      <c r="Q1662" s="15"/>
      <c r="R1662" s="16" t="s">
        <v>28</v>
      </c>
      <c r="S1662" s="15"/>
      <c r="T1662" s="15"/>
      <c r="U1662" s="15"/>
      <c r="V1662" s="15"/>
      <c r="W1662" s="15"/>
      <c r="X1662" s="15"/>
      <c r="Y1662" s="15"/>
      <c r="Z1662" s="15"/>
      <c r="AA1662" s="15"/>
    </row>
    <row r="1663">
      <c r="A1663" s="5" t="s">
        <v>6792</v>
      </c>
      <c r="B1663" s="6" t="s">
        <v>6811</v>
      </c>
      <c r="C1663" s="40" t="s">
        <v>6812</v>
      </c>
      <c r="D1663" s="8"/>
      <c r="E1663" s="8" t="s">
        <v>286</v>
      </c>
      <c r="F1663" s="90">
        <v>25000.0</v>
      </c>
      <c r="G1663" s="97" t="s">
        <v>6813</v>
      </c>
      <c r="H1663" s="11" t="s">
        <v>44</v>
      </c>
      <c r="I1663" s="97">
        <v>8.013256066E9</v>
      </c>
      <c r="J1663" s="11" t="s">
        <v>25</v>
      </c>
      <c r="K1663" s="12"/>
      <c r="L1663" s="13"/>
      <c r="M1663" s="14"/>
      <c r="N1663" s="15"/>
      <c r="O1663" s="5" t="s">
        <v>34</v>
      </c>
      <c r="P1663" s="5" t="s">
        <v>3139</v>
      </c>
      <c r="Q1663" s="11" t="s">
        <v>6814</v>
      </c>
      <c r="R1663" s="16" t="s">
        <v>723</v>
      </c>
      <c r="S1663" s="15"/>
      <c r="T1663" s="15"/>
      <c r="U1663" s="15"/>
      <c r="V1663" s="15"/>
      <c r="W1663" s="15"/>
      <c r="X1663" s="15"/>
      <c r="Y1663" s="15"/>
      <c r="Z1663" s="15"/>
      <c r="AA1663" s="15"/>
    </row>
    <row r="1664">
      <c r="A1664" s="5" t="s">
        <v>6815</v>
      </c>
      <c r="B1664" s="6" t="s">
        <v>6816</v>
      </c>
      <c r="C1664" s="40" t="s">
        <v>6817</v>
      </c>
      <c r="D1664" s="8"/>
      <c r="E1664" s="8" t="s">
        <v>6818</v>
      </c>
      <c r="F1664" s="90" t="s">
        <v>6819</v>
      </c>
      <c r="G1664" s="97" t="s">
        <v>6820</v>
      </c>
      <c r="H1664" s="11" t="s">
        <v>44</v>
      </c>
      <c r="I1664" s="97">
        <v>7.685988307E9</v>
      </c>
      <c r="J1664" s="11" t="s">
        <v>25</v>
      </c>
      <c r="K1664" s="12"/>
      <c r="L1664" s="13"/>
      <c r="M1664" s="14"/>
      <c r="N1664" s="15"/>
      <c r="O1664" s="5" t="s">
        <v>34</v>
      </c>
      <c r="P1664" s="5" t="s">
        <v>6821</v>
      </c>
      <c r="Q1664" s="5" t="s">
        <v>6822</v>
      </c>
      <c r="R1664" s="16" t="s">
        <v>723</v>
      </c>
      <c r="S1664" s="15"/>
      <c r="T1664" s="15"/>
      <c r="U1664" s="15"/>
      <c r="V1664" s="15"/>
      <c r="W1664" s="15"/>
      <c r="X1664" s="15"/>
      <c r="Y1664" s="15"/>
      <c r="Z1664" s="15"/>
      <c r="AA1664" s="15"/>
    </row>
    <row r="1665">
      <c r="A1665" s="5" t="s">
        <v>6815</v>
      </c>
      <c r="B1665" s="6" t="s">
        <v>6823</v>
      </c>
      <c r="C1665" s="40" t="s">
        <v>6824</v>
      </c>
      <c r="D1665" s="8"/>
      <c r="E1665" s="8" t="s">
        <v>4684</v>
      </c>
      <c r="F1665" s="90">
        <v>25000.0</v>
      </c>
      <c r="G1665" s="97" t="s">
        <v>6825</v>
      </c>
      <c r="H1665" s="28" t="s">
        <v>6826</v>
      </c>
      <c r="I1665" s="97">
        <v>9.830217364E9</v>
      </c>
      <c r="J1665" s="11" t="s">
        <v>25</v>
      </c>
      <c r="K1665" s="12"/>
      <c r="L1665" s="13"/>
      <c r="M1665" s="14"/>
      <c r="N1665" s="15"/>
      <c r="O1665" s="5" t="s">
        <v>564</v>
      </c>
      <c r="P1665" s="15"/>
      <c r="Q1665" s="15"/>
      <c r="R1665" s="16" t="s">
        <v>28</v>
      </c>
      <c r="S1665" s="15"/>
      <c r="T1665" s="15"/>
      <c r="U1665" s="15"/>
      <c r="V1665" s="15"/>
      <c r="W1665" s="15"/>
      <c r="X1665" s="15"/>
      <c r="Y1665" s="15"/>
      <c r="Z1665" s="15"/>
      <c r="AA1665" s="15"/>
    </row>
    <row r="1666">
      <c r="A1666" s="5" t="s">
        <v>6815</v>
      </c>
      <c r="B1666" s="6" t="s">
        <v>6827</v>
      </c>
      <c r="C1666" s="40" t="s">
        <v>2610</v>
      </c>
      <c r="D1666" s="8"/>
      <c r="E1666" s="8" t="s">
        <v>4507</v>
      </c>
      <c r="F1666" s="90">
        <v>50000.0</v>
      </c>
      <c r="G1666" s="97" t="s">
        <v>6828</v>
      </c>
      <c r="H1666" s="11" t="s">
        <v>44</v>
      </c>
      <c r="I1666" s="97">
        <v>7.685035108E9</v>
      </c>
      <c r="J1666" s="11" t="s">
        <v>25</v>
      </c>
      <c r="K1666" s="12"/>
      <c r="L1666" s="13"/>
      <c r="M1666" s="14"/>
      <c r="N1666" s="15"/>
      <c r="O1666" s="5" t="s">
        <v>34</v>
      </c>
      <c r="P1666" s="15"/>
      <c r="Q1666" s="15"/>
      <c r="R1666" s="16" t="s">
        <v>28</v>
      </c>
      <c r="S1666" s="15"/>
      <c r="T1666" s="15"/>
      <c r="U1666" s="15"/>
      <c r="V1666" s="15"/>
      <c r="W1666" s="15"/>
      <c r="X1666" s="15"/>
      <c r="Y1666" s="15"/>
      <c r="Z1666" s="15"/>
      <c r="AA1666" s="15"/>
    </row>
    <row r="1667">
      <c r="A1667" s="5" t="s">
        <v>6815</v>
      </c>
      <c r="B1667" s="6" t="s">
        <v>6829</v>
      </c>
      <c r="C1667" s="40" t="s">
        <v>6830</v>
      </c>
      <c r="D1667" s="8"/>
      <c r="E1667" s="8" t="s">
        <v>2546</v>
      </c>
      <c r="F1667" s="90">
        <v>1000.0</v>
      </c>
      <c r="G1667" s="97" t="s">
        <v>6831</v>
      </c>
      <c r="H1667" s="11" t="s">
        <v>6832</v>
      </c>
      <c r="I1667" s="97">
        <v>8.250081763E9</v>
      </c>
      <c r="J1667" s="11" t="s">
        <v>25</v>
      </c>
      <c r="K1667" s="12"/>
      <c r="L1667" s="13"/>
      <c r="M1667" s="14"/>
      <c r="N1667" s="15"/>
      <c r="O1667" s="5" t="s">
        <v>108</v>
      </c>
      <c r="P1667" s="15"/>
      <c r="Q1667" s="15"/>
      <c r="R1667" s="16" t="s">
        <v>28</v>
      </c>
      <c r="S1667" s="15"/>
      <c r="T1667" s="15"/>
      <c r="U1667" s="15"/>
      <c r="V1667" s="15"/>
      <c r="W1667" s="15"/>
      <c r="X1667" s="15"/>
      <c r="Y1667" s="15"/>
      <c r="Z1667" s="15"/>
      <c r="AA1667" s="15"/>
    </row>
    <row r="1668">
      <c r="A1668" s="5" t="s">
        <v>6833</v>
      </c>
      <c r="B1668" s="6" t="s">
        <v>6834</v>
      </c>
      <c r="C1668" s="40" t="s">
        <v>6835</v>
      </c>
      <c r="D1668" s="8"/>
      <c r="E1668" s="8" t="s">
        <v>6836</v>
      </c>
      <c r="F1668" s="90">
        <v>500.0</v>
      </c>
      <c r="G1668" s="97" t="s">
        <v>6837</v>
      </c>
      <c r="H1668" s="11" t="s">
        <v>6838</v>
      </c>
      <c r="I1668" s="97">
        <v>9.474500711E9</v>
      </c>
      <c r="J1668" s="11" t="s">
        <v>25</v>
      </c>
      <c r="K1668" s="12"/>
      <c r="L1668" s="13"/>
      <c r="M1668" s="14"/>
      <c r="N1668" s="15"/>
      <c r="O1668" s="5" t="s">
        <v>564</v>
      </c>
      <c r="P1668" s="5" t="s">
        <v>2631</v>
      </c>
      <c r="Q1668" s="15"/>
      <c r="R1668" s="16" t="s">
        <v>28</v>
      </c>
      <c r="S1668" s="15"/>
      <c r="T1668" s="15"/>
      <c r="U1668" s="15"/>
      <c r="V1668" s="15"/>
      <c r="W1668" s="15"/>
      <c r="X1668" s="15"/>
      <c r="Y1668" s="15"/>
      <c r="Z1668" s="15"/>
      <c r="AA1668" s="15"/>
    </row>
    <row r="1669">
      <c r="A1669" s="5" t="s">
        <v>6833</v>
      </c>
      <c r="B1669" s="6" t="s">
        <v>6839</v>
      </c>
      <c r="C1669" s="40" t="s">
        <v>6840</v>
      </c>
      <c r="D1669" s="8"/>
      <c r="E1669" s="8" t="s">
        <v>286</v>
      </c>
      <c r="F1669" s="90">
        <v>20000.0</v>
      </c>
      <c r="G1669" s="97" t="s">
        <v>6841</v>
      </c>
      <c r="H1669" s="11" t="s">
        <v>6842</v>
      </c>
      <c r="I1669" s="97">
        <v>8.981770874E9</v>
      </c>
      <c r="J1669" s="11" t="s">
        <v>4008</v>
      </c>
      <c r="K1669" s="12"/>
      <c r="L1669" s="13"/>
      <c r="M1669" s="14"/>
      <c r="N1669" s="15"/>
      <c r="O1669" s="5" t="s">
        <v>34</v>
      </c>
      <c r="P1669" s="5" t="s">
        <v>1751</v>
      </c>
      <c r="Q1669" s="15"/>
      <c r="R1669" s="16" t="s">
        <v>723</v>
      </c>
      <c r="S1669" s="15"/>
      <c r="T1669" s="15"/>
      <c r="U1669" s="15"/>
      <c r="V1669" s="15"/>
      <c r="W1669" s="15"/>
      <c r="X1669" s="15"/>
      <c r="Y1669" s="15"/>
      <c r="Z1669" s="15"/>
      <c r="AA1669" s="15"/>
    </row>
    <row r="1670">
      <c r="A1670" s="5" t="s">
        <v>6833</v>
      </c>
      <c r="B1670" s="6" t="s">
        <v>6843</v>
      </c>
      <c r="C1670" s="40" t="s">
        <v>6844</v>
      </c>
      <c r="D1670" s="8"/>
      <c r="E1670" s="8" t="s">
        <v>5368</v>
      </c>
      <c r="F1670" s="90">
        <v>8000.0</v>
      </c>
      <c r="G1670" s="97" t="s">
        <v>6845</v>
      </c>
      <c r="H1670" s="11" t="s">
        <v>44</v>
      </c>
      <c r="I1670" s="97">
        <v>9.123091047E9</v>
      </c>
      <c r="J1670" s="11" t="s">
        <v>25</v>
      </c>
      <c r="K1670" s="12"/>
      <c r="L1670" s="13"/>
      <c r="M1670" s="14"/>
      <c r="N1670" s="15"/>
      <c r="O1670" s="5" t="s">
        <v>34</v>
      </c>
      <c r="P1670" s="11" t="s">
        <v>6846</v>
      </c>
      <c r="Q1670" s="15"/>
      <c r="R1670" s="16" t="s">
        <v>28</v>
      </c>
      <c r="S1670" s="15"/>
      <c r="T1670" s="15"/>
      <c r="U1670" s="15"/>
      <c r="V1670" s="15"/>
      <c r="W1670" s="15"/>
      <c r="X1670" s="15"/>
      <c r="Y1670" s="15"/>
      <c r="Z1670" s="15"/>
      <c r="AA1670" s="15"/>
    </row>
    <row r="1671">
      <c r="A1671" s="5" t="s">
        <v>6847</v>
      </c>
      <c r="B1671" s="6" t="s">
        <v>6848</v>
      </c>
      <c r="C1671" s="40" t="s">
        <v>4596</v>
      </c>
      <c r="D1671" s="8"/>
      <c r="E1671" s="8" t="s">
        <v>5977</v>
      </c>
      <c r="F1671" s="90">
        <v>15000.0</v>
      </c>
      <c r="G1671" s="97" t="s">
        <v>4597</v>
      </c>
      <c r="H1671" s="11" t="s">
        <v>3090</v>
      </c>
      <c r="I1671" s="97">
        <v>9.339706471E9</v>
      </c>
      <c r="J1671" s="11" t="s">
        <v>25</v>
      </c>
      <c r="K1671" s="12"/>
      <c r="L1671" s="13"/>
      <c r="M1671" s="14"/>
      <c r="N1671" s="15"/>
      <c r="O1671" s="5" t="s">
        <v>34</v>
      </c>
      <c r="P1671" s="15"/>
      <c r="Q1671" s="15"/>
      <c r="R1671" s="16" t="s">
        <v>28</v>
      </c>
      <c r="S1671" s="15"/>
      <c r="T1671" s="15"/>
      <c r="U1671" s="15"/>
      <c r="V1671" s="15"/>
      <c r="W1671" s="15"/>
      <c r="X1671" s="15"/>
      <c r="Y1671" s="15"/>
      <c r="Z1671" s="15"/>
      <c r="AA1671" s="15"/>
    </row>
    <row r="1672">
      <c r="A1672" s="5" t="s">
        <v>6847</v>
      </c>
      <c r="B1672" s="6" t="s">
        <v>6849</v>
      </c>
      <c r="C1672" s="40" t="s">
        <v>6850</v>
      </c>
      <c r="D1672" s="8"/>
      <c r="E1672" s="8" t="s">
        <v>6851</v>
      </c>
      <c r="F1672" s="90">
        <v>500.0</v>
      </c>
      <c r="G1672" s="97" t="s">
        <v>6852</v>
      </c>
      <c r="H1672" s="11" t="s">
        <v>1640</v>
      </c>
      <c r="I1672" s="97">
        <v>6.26879847E9</v>
      </c>
      <c r="J1672" s="11" t="s">
        <v>25</v>
      </c>
      <c r="K1672" s="12" t="s">
        <v>4003</v>
      </c>
      <c r="L1672" s="13"/>
      <c r="M1672" s="14"/>
      <c r="N1672" s="15"/>
      <c r="O1672" s="5" t="s">
        <v>564</v>
      </c>
      <c r="P1672" s="5" t="s">
        <v>6853</v>
      </c>
      <c r="Q1672" s="15"/>
      <c r="R1672" s="16" t="s">
        <v>28</v>
      </c>
      <c r="S1672" s="15"/>
      <c r="T1672" s="15"/>
      <c r="U1672" s="15"/>
      <c r="V1672" s="15"/>
      <c r="W1672" s="15"/>
      <c r="X1672" s="15"/>
      <c r="Y1672" s="15"/>
      <c r="Z1672" s="15"/>
      <c r="AA1672" s="15"/>
    </row>
    <row r="1673">
      <c r="A1673" s="5" t="s">
        <v>6847</v>
      </c>
      <c r="B1673" s="6" t="s">
        <v>6854</v>
      </c>
      <c r="C1673" s="40" t="s">
        <v>6855</v>
      </c>
      <c r="D1673" s="8"/>
      <c r="E1673" s="8" t="s">
        <v>178</v>
      </c>
      <c r="F1673" s="90">
        <v>7000.0</v>
      </c>
      <c r="G1673" s="97" t="s">
        <v>6856</v>
      </c>
      <c r="H1673" s="11" t="s">
        <v>44</v>
      </c>
      <c r="I1673" s="97">
        <v>9.16336312E9</v>
      </c>
      <c r="J1673" s="11" t="s">
        <v>25</v>
      </c>
      <c r="K1673" s="12"/>
      <c r="L1673" s="13"/>
      <c r="M1673" s="14"/>
      <c r="N1673" s="15"/>
      <c r="O1673" s="5" t="s">
        <v>34</v>
      </c>
      <c r="P1673" s="5" t="s">
        <v>6857</v>
      </c>
      <c r="Q1673" s="11" t="s">
        <v>6858</v>
      </c>
      <c r="R1673" s="16" t="s">
        <v>248</v>
      </c>
      <c r="S1673" s="15"/>
      <c r="T1673" s="15"/>
      <c r="U1673" s="15"/>
      <c r="V1673" s="15"/>
      <c r="W1673" s="15"/>
      <c r="X1673" s="15"/>
      <c r="Y1673" s="15"/>
      <c r="Z1673" s="15"/>
      <c r="AA1673" s="15"/>
    </row>
    <row r="1674">
      <c r="A1674" s="5" t="s">
        <v>6859</v>
      </c>
      <c r="B1674" s="6" t="s">
        <v>6860</v>
      </c>
      <c r="C1674" s="40" t="s">
        <v>6861</v>
      </c>
      <c r="D1674" s="8"/>
      <c r="E1674" s="8" t="s">
        <v>5642</v>
      </c>
      <c r="F1674" s="90">
        <v>25000.0</v>
      </c>
      <c r="G1674" s="97" t="s">
        <v>6862</v>
      </c>
      <c r="H1674" s="11" t="s">
        <v>6863</v>
      </c>
      <c r="I1674" s="97">
        <v>9.641593044E9</v>
      </c>
      <c r="J1674" s="11" t="s">
        <v>25</v>
      </c>
      <c r="K1674" s="12"/>
      <c r="L1674" s="13"/>
      <c r="M1674" s="14"/>
      <c r="N1674" s="15"/>
      <c r="O1674" s="5" t="s">
        <v>34</v>
      </c>
      <c r="P1674" s="5" t="s">
        <v>727</v>
      </c>
      <c r="Q1674" s="15"/>
      <c r="R1674" s="16" t="s">
        <v>28</v>
      </c>
      <c r="S1674" s="15"/>
      <c r="T1674" s="15"/>
      <c r="U1674" s="15"/>
      <c r="V1674" s="15"/>
      <c r="W1674" s="15"/>
      <c r="X1674" s="15"/>
      <c r="Y1674" s="15"/>
      <c r="Z1674" s="15"/>
      <c r="AA1674" s="15"/>
    </row>
    <row r="1675">
      <c r="A1675" s="5" t="s">
        <v>6859</v>
      </c>
      <c r="B1675" s="6" t="s">
        <v>6864</v>
      </c>
      <c r="C1675" s="40" t="s">
        <v>6865</v>
      </c>
      <c r="D1675" s="8"/>
      <c r="E1675" s="8" t="s">
        <v>6323</v>
      </c>
      <c r="F1675" s="90">
        <v>25000.0</v>
      </c>
      <c r="G1675" s="97" t="s">
        <v>6866</v>
      </c>
      <c r="H1675" s="11" t="s">
        <v>6867</v>
      </c>
      <c r="I1675" s="97">
        <v>8.444890369E9</v>
      </c>
      <c r="J1675" s="11" t="s">
        <v>25</v>
      </c>
      <c r="K1675" s="12"/>
      <c r="L1675" s="13"/>
      <c r="M1675" s="14"/>
      <c r="N1675" s="15"/>
      <c r="O1675" s="5" t="s">
        <v>34</v>
      </c>
      <c r="P1675" s="11" t="s">
        <v>3894</v>
      </c>
      <c r="Q1675" s="15"/>
      <c r="R1675" s="16" t="s">
        <v>28</v>
      </c>
      <c r="S1675" s="15"/>
      <c r="T1675" s="15"/>
      <c r="U1675" s="15"/>
      <c r="V1675" s="15"/>
      <c r="W1675" s="15"/>
      <c r="X1675" s="15"/>
      <c r="Y1675" s="15"/>
      <c r="Z1675" s="15"/>
      <c r="AA1675" s="15"/>
    </row>
    <row r="1676">
      <c r="A1676" s="5" t="s">
        <v>6859</v>
      </c>
      <c r="B1676" s="6" t="s">
        <v>6868</v>
      </c>
      <c r="C1676" s="40" t="s">
        <v>6869</v>
      </c>
      <c r="D1676" s="8"/>
      <c r="E1676" s="8" t="s">
        <v>1217</v>
      </c>
      <c r="F1676" s="90">
        <v>1000.0</v>
      </c>
      <c r="G1676" s="97" t="s">
        <v>6870</v>
      </c>
      <c r="H1676" s="11" t="s">
        <v>99</v>
      </c>
      <c r="I1676" s="97">
        <v>9.556469105E9</v>
      </c>
      <c r="J1676" s="11" t="s">
        <v>25</v>
      </c>
      <c r="K1676" s="12"/>
      <c r="L1676" s="13"/>
      <c r="M1676" s="14"/>
      <c r="N1676" s="15"/>
      <c r="O1676" s="5" t="s">
        <v>564</v>
      </c>
      <c r="P1676" s="5" t="s">
        <v>453</v>
      </c>
      <c r="Q1676" s="15"/>
      <c r="R1676" s="16" t="s">
        <v>28</v>
      </c>
      <c r="S1676" s="15"/>
      <c r="T1676" s="15"/>
      <c r="U1676" s="15"/>
      <c r="V1676" s="15"/>
      <c r="W1676" s="15"/>
      <c r="X1676" s="15"/>
      <c r="Y1676" s="15"/>
      <c r="Z1676" s="15"/>
      <c r="AA1676" s="15"/>
    </row>
    <row r="1677">
      <c r="A1677" s="5" t="s">
        <v>6859</v>
      </c>
      <c r="B1677" s="6" t="s">
        <v>6871</v>
      </c>
      <c r="C1677" s="40" t="s">
        <v>6872</v>
      </c>
      <c r="D1677" s="8"/>
      <c r="E1677" s="8" t="s">
        <v>1217</v>
      </c>
      <c r="F1677" s="90">
        <v>15000.0</v>
      </c>
      <c r="G1677" s="97" t="s">
        <v>6873</v>
      </c>
      <c r="H1677" s="11" t="s">
        <v>3090</v>
      </c>
      <c r="I1677" s="97">
        <v>9.038926051E9</v>
      </c>
      <c r="J1677" s="11" t="s">
        <v>25</v>
      </c>
      <c r="K1677" s="12"/>
      <c r="L1677" s="13"/>
      <c r="M1677" s="14"/>
      <c r="N1677" s="15"/>
      <c r="O1677" s="5" t="s">
        <v>564</v>
      </c>
      <c r="P1677" s="15"/>
      <c r="Q1677" s="15"/>
      <c r="R1677" s="16" t="s">
        <v>28</v>
      </c>
      <c r="S1677" s="15"/>
      <c r="T1677" s="15"/>
      <c r="U1677" s="15"/>
      <c r="V1677" s="15"/>
      <c r="W1677" s="15"/>
      <c r="X1677" s="15"/>
      <c r="Y1677" s="15"/>
      <c r="Z1677" s="15"/>
      <c r="AA1677" s="15"/>
    </row>
    <row r="1678">
      <c r="A1678" s="5" t="s">
        <v>6874</v>
      </c>
      <c r="B1678" s="6" t="s">
        <v>6875</v>
      </c>
      <c r="C1678" s="36" t="s">
        <v>6876</v>
      </c>
      <c r="D1678" s="75"/>
      <c r="E1678" s="8" t="s">
        <v>6877</v>
      </c>
      <c r="F1678" s="90">
        <v>1000.0</v>
      </c>
      <c r="G1678" s="97"/>
      <c r="H1678" s="11" t="s">
        <v>44</v>
      </c>
      <c r="I1678" s="97">
        <v>8.981306877E9</v>
      </c>
      <c r="J1678" s="11" t="s">
        <v>25</v>
      </c>
      <c r="K1678" s="12"/>
      <c r="L1678" s="13"/>
      <c r="M1678" s="14"/>
      <c r="N1678" s="15"/>
      <c r="O1678" s="5" t="s">
        <v>564</v>
      </c>
      <c r="P1678" s="15"/>
      <c r="Q1678" s="15"/>
      <c r="R1678" s="16" t="s">
        <v>28</v>
      </c>
      <c r="S1678" s="15"/>
      <c r="T1678" s="15"/>
      <c r="U1678" s="15"/>
      <c r="V1678" s="15"/>
      <c r="W1678" s="15"/>
      <c r="X1678" s="15"/>
      <c r="Y1678" s="15"/>
      <c r="Z1678" s="15"/>
      <c r="AA1678" s="15"/>
    </row>
    <row r="1679">
      <c r="A1679" s="5" t="s">
        <v>6874</v>
      </c>
      <c r="B1679" s="6" t="s">
        <v>6878</v>
      </c>
      <c r="C1679" s="40" t="s">
        <v>6879</v>
      </c>
      <c r="D1679" s="8"/>
      <c r="E1679" s="8" t="s">
        <v>6275</v>
      </c>
      <c r="F1679" s="90">
        <v>16000.0</v>
      </c>
      <c r="G1679" s="97" t="s">
        <v>6880</v>
      </c>
      <c r="H1679" s="11" t="s">
        <v>6881</v>
      </c>
      <c r="I1679" s="97">
        <v>9.771522663E9</v>
      </c>
      <c r="J1679" s="11" t="s">
        <v>25</v>
      </c>
      <c r="K1679" s="12"/>
      <c r="L1679" s="13"/>
      <c r="M1679" s="14"/>
      <c r="N1679" s="15"/>
      <c r="O1679" s="5" t="s">
        <v>564</v>
      </c>
      <c r="P1679" s="15"/>
      <c r="Q1679" s="15"/>
      <c r="R1679" s="16" t="s">
        <v>28</v>
      </c>
      <c r="S1679" s="15"/>
      <c r="T1679" s="15"/>
      <c r="U1679" s="15"/>
      <c r="V1679" s="15"/>
      <c r="W1679" s="15"/>
      <c r="X1679" s="15"/>
      <c r="Y1679" s="15"/>
      <c r="Z1679" s="15"/>
      <c r="AA1679" s="15"/>
    </row>
    <row r="1680">
      <c r="A1680" s="5" t="s">
        <v>6859</v>
      </c>
      <c r="B1680" s="6" t="s">
        <v>6882</v>
      </c>
      <c r="C1680" s="40" t="s">
        <v>6883</v>
      </c>
      <c r="D1680" s="8"/>
      <c r="E1680" s="8" t="s">
        <v>523</v>
      </c>
      <c r="F1680" s="90">
        <v>16000.0</v>
      </c>
      <c r="G1680" s="97" t="s">
        <v>6884</v>
      </c>
      <c r="H1680" s="11" t="s">
        <v>6885</v>
      </c>
      <c r="I1680" s="97">
        <v>9.830500611E9</v>
      </c>
      <c r="J1680" s="11" t="s">
        <v>25</v>
      </c>
      <c r="K1680" s="12"/>
      <c r="L1680" s="13"/>
      <c r="M1680" s="14"/>
      <c r="N1680" s="15"/>
      <c r="O1680" s="5" t="s">
        <v>34</v>
      </c>
      <c r="P1680" s="5" t="s">
        <v>209</v>
      </c>
      <c r="Q1680" s="11" t="s">
        <v>6886</v>
      </c>
      <c r="R1680" s="16" t="s">
        <v>723</v>
      </c>
      <c r="S1680" s="15"/>
      <c r="T1680" s="15"/>
      <c r="U1680" s="15"/>
      <c r="V1680" s="15"/>
      <c r="W1680" s="15"/>
      <c r="X1680" s="15"/>
      <c r="Y1680" s="15"/>
      <c r="Z1680" s="15"/>
      <c r="AA1680" s="15"/>
    </row>
    <row r="1681">
      <c r="A1681" s="5" t="s">
        <v>6874</v>
      </c>
      <c r="B1681" s="6" t="s">
        <v>6887</v>
      </c>
      <c r="C1681" s="40" t="s">
        <v>6888</v>
      </c>
      <c r="D1681" s="8"/>
      <c r="E1681" s="8" t="s">
        <v>6889</v>
      </c>
      <c r="F1681" s="90">
        <v>50000.0</v>
      </c>
      <c r="G1681" s="97" t="s">
        <v>6890</v>
      </c>
      <c r="H1681" s="11" t="s">
        <v>3090</v>
      </c>
      <c r="I1681" s="97">
        <v>9.052221425E9</v>
      </c>
      <c r="J1681" s="11" t="s">
        <v>4008</v>
      </c>
      <c r="K1681" s="12"/>
      <c r="L1681" s="13"/>
      <c r="M1681" s="14"/>
      <c r="N1681" s="15"/>
      <c r="O1681" s="5" t="s">
        <v>34</v>
      </c>
      <c r="P1681" s="5" t="s">
        <v>5305</v>
      </c>
      <c r="Q1681" s="15"/>
      <c r="R1681" s="16" t="s">
        <v>723</v>
      </c>
      <c r="S1681" s="15"/>
      <c r="T1681" s="15"/>
      <c r="U1681" s="15"/>
      <c r="V1681" s="15"/>
      <c r="W1681" s="15"/>
      <c r="X1681" s="15"/>
      <c r="Y1681" s="15"/>
      <c r="Z1681" s="15"/>
      <c r="AA1681" s="15"/>
    </row>
    <row r="1682">
      <c r="A1682" s="5" t="s">
        <v>6874</v>
      </c>
      <c r="B1682" s="6" t="s">
        <v>6891</v>
      </c>
      <c r="C1682" s="40" t="s">
        <v>6892</v>
      </c>
      <c r="D1682" s="8"/>
      <c r="E1682" s="8" t="s">
        <v>167</v>
      </c>
      <c r="F1682" s="90">
        <v>500.0</v>
      </c>
      <c r="G1682" s="97" t="s">
        <v>6893</v>
      </c>
      <c r="H1682" s="11" t="s">
        <v>4471</v>
      </c>
      <c r="I1682" s="97">
        <v>9.836158576E9</v>
      </c>
      <c r="J1682" s="11" t="s">
        <v>25</v>
      </c>
      <c r="K1682" s="12"/>
      <c r="L1682" s="13"/>
      <c r="M1682" s="14"/>
      <c r="N1682" s="15"/>
      <c r="O1682" s="5" t="s">
        <v>564</v>
      </c>
      <c r="P1682" s="5" t="s">
        <v>6894</v>
      </c>
      <c r="Q1682" s="15"/>
      <c r="R1682" s="16" t="s">
        <v>28</v>
      </c>
      <c r="S1682" s="15"/>
      <c r="T1682" s="15"/>
      <c r="U1682" s="15"/>
      <c r="V1682" s="15"/>
      <c r="W1682" s="15"/>
      <c r="X1682" s="15"/>
      <c r="Y1682" s="15"/>
      <c r="Z1682" s="15"/>
      <c r="AA1682" s="15"/>
    </row>
    <row r="1683">
      <c r="A1683" s="5" t="s">
        <v>6874</v>
      </c>
      <c r="B1683" s="6" t="s">
        <v>6895</v>
      </c>
      <c r="C1683" s="40" t="s">
        <v>6896</v>
      </c>
      <c r="D1683" s="8"/>
      <c r="E1683" s="8" t="s">
        <v>2501</v>
      </c>
      <c r="F1683" s="90">
        <v>10000.0</v>
      </c>
      <c r="G1683" s="97"/>
      <c r="H1683" s="11" t="s">
        <v>158</v>
      </c>
      <c r="I1683" s="97">
        <v>8.61764492E9</v>
      </c>
      <c r="J1683" s="11" t="s">
        <v>25</v>
      </c>
      <c r="K1683" s="12"/>
      <c r="L1683" s="13"/>
      <c r="M1683" s="14"/>
      <c r="N1683" s="15"/>
      <c r="O1683" s="5" t="s">
        <v>564</v>
      </c>
      <c r="P1683" s="15"/>
      <c r="Q1683" s="15"/>
      <c r="R1683" s="16" t="s">
        <v>28</v>
      </c>
      <c r="S1683" s="15"/>
      <c r="T1683" s="15"/>
      <c r="U1683" s="15"/>
      <c r="V1683" s="15"/>
      <c r="W1683" s="15"/>
      <c r="X1683" s="15"/>
      <c r="Y1683" s="15"/>
      <c r="Z1683" s="15"/>
      <c r="AA1683" s="15"/>
    </row>
    <row r="1684">
      <c r="A1684" s="5" t="s">
        <v>6874</v>
      </c>
      <c r="B1684" s="6" t="s">
        <v>6897</v>
      </c>
      <c r="C1684" s="40" t="s">
        <v>6898</v>
      </c>
      <c r="D1684" s="8"/>
      <c r="E1684" s="8" t="s">
        <v>625</v>
      </c>
      <c r="F1684" s="90">
        <v>500.0</v>
      </c>
      <c r="G1684" s="97" t="s">
        <v>6899</v>
      </c>
      <c r="H1684" s="11" t="s">
        <v>44</v>
      </c>
      <c r="I1684" s="97">
        <v>9.804583939E9</v>
      </c>
      <c r="J1684" s="11" t="s">
        <v>25</v>
      </c>
      <c r="K1684" s="12"/>
      <c r="L1684" s="13"/>
      <c r="M1684" s="14"/>
      <c r="N1684" s="15"/>
      <c r="O1684" s="5" t="s">
        <v>564</v>
      </c>
      <c r="P1684" s="15"/>
      <c r="Q1684" s="15"/>
      <c r="R1684" s="16" t="s">
        <v>28</v>
      </c>
      <c r="S1684" s="15"/>
      <c r="T1684" s="15"/>
      <c r="U1684" s="15"/>
      <c r="V1684" s="15"/>
      <c r="W1684" s="15"/>
      <c r="X1684" s="15"/>
      <c r="Y1684" s="15"/>
      <c r="Z1684" s="15"/>
      <c r="AA1684" s="15"/>
    </row>
    <row r="1685">
      <c r="A1685" s="5" t="s">
        <v>6900</v>
      </c>
      <c r="B1685" s="6" t="s">
        <v>6901</v>
      </c>
      <c r="C1685" s="40" t="s">
        <v>6902</v>
      </c>
      <c r="D1685" s="8"/>
      <c r="E1685" s="8" t="s">
        <v>6903</v>
      </c>
      <c r="F1685" s="90">
        <v>1000.0</v>
      </c>
      <c r="G1685" s="126" t="s">
        <v>6904</v>
      </c>
      <c r="H1685" s="11" t="s">
        <v>44</v>
      </c>
      <c r="I1685" s="97">
        <v>9.90307971E9</v>
      </c>
      <c r="J1685" s="11" t="s">
        <v>25</v>
      </c>
      <c r="K1685" s="12"/>
      <c r="L1685" s="13"/>
      <c r="M1685" s="14"/>
      <c r="N1685" s="15"/>
      <c r="O1685" s="5" t="s">
        <v>34</v>
      </c>
      <c r="P1685" s="5" t="s">
        <v>6295</v>
      </c>
      <c r="Q1685" s="5" t="s">
        <v>55</v>
      </c>
      <c r="R1685" s="16" t="s">
        <v>723</v>
      </c>
      <c r="S1685" s="15"/>
      <c r="T1685" s="15"/>
      <c r="U1685" s="15"/>
      <c r="V1685" s="15"/>
      <c r="W1685" s="15"/>
      <c r="X1685" s="15"/>
      <c r="Y1685" s="15"/>
      <c r="Z1685" s="15"/>
      <c r="AA1685" s="15"/>
    </row>
    <row r="1686">
      <c r="A1686" s="5" t="s">
        <v>6905</v>
      </c>
      <c r="B1686" s="6" t="s">
        <v>6906</v>
      </c>
      <c r="C1686" s="40" t="s">
        <v>6907</v>
      </c>
      <c r="D1686" s="8"/>
      <c r="E1686" s="8" t="s">
        <v>357</v>
      </c>
      <c r="F1686" s="90">
        <v>20000.0</v>
      </c>
      <c r="G1686" s="97" t="s">
        <v>6908</v>
      </c>
      <c r="H1686" s="11" t="s">
        <v>6909</v>
      </c>
      <c r="I1686" s="97">
        <v>7.978429613E9</v>
      </c>
      <c r="J1686" s="11" t="s">
        <v>25</v>
      </c>
      <c r="K1686" s="12"/>
      <c r="L1686" s="13"/>
      <c r="M1686" s="14"/>
      <c r="N1686" s="15"/>
      <c r="O1686" s="5" t="s">
        <v>34</v>
      </c>
      <c r="P1686" s="15"/>
      <c r="Q1686" s="15"/>
      <c r="R1686" s="16" t="s">
        <v>28</v>
      </c>
      <c r="S1686" s="15"/>
      <c r="T1686" s="15"/>
      <c r="U1686" s="15"/>
      <c r="V1686" s="15"/>
      <c r="W1686" s="15"/>
      <c r="X1686" s="15"/>
      <c r="Y1686" s="15"/>
      <c r="Z1686" s="15"/>
      <c r="AA1686" s="15"/>
    </row>
    <row r="1687">
      <c r="A1687" s="5" t="s">
        <v>6905</v>
      </c>
      <c r="B1687" s="6" t="s">
        <v>6910</v>
      </c>
      <c r="C1687" s="40" t="s">
        <v>6911</v>
      </c>
      <c r="D1687" s="8"/>
      <c r="E1687" s="8" t="s">
        <v>152</v>
      </c>
      <c r="F1687" s="90">
        <v>20000.0</v>
      </c>
      <c r="G1687" s="97" t="s">
        <v>6912</v>
      </c>
      <c r="H1687" s="11" t="s">
        <v>44</v>
      </c>
      <c r="I1687" s="97">
        <v>7.980745443E9</v>
      </c>
      <c r="J1687" s="11" t="s">
        <v>25</v>
      </c>
      <c r="K1687" s="12"/>
      <c r="L1687" s="13"/>
      <c r="M1687" s="14"/>
      <c r="N1687" s="15"/>
      <c r="O1687" s="5" t="s">
        <v>564</v>
      </c>
      <c r="P1687" s="5" t="s">
        <v>6913</v>
      </c>
      <c r="Q1687" s="15"/>
      <c r="R1687" s="16" t="s">
        <v>28</v>
      </c>
      <c r="S1687" s="15"/>
      <c r="T1687" s="15"/>
      <c r="U1687" s="15"/>
      <c r="V1687" s="15"/>
      <c r="W1687" s="15"/>
      <c r="X1687" s="15"/>
      <c r="Y1687" s="15"/>
      <c r="Z1687" s="15"/>
      <c r="AA1687" s="15"/>
    </row>
    <row r="1688">
      <c r="A1688" s="5" t="s">
        <v>6905</v>
      </c>
      <c r="B1688" s="6" t="s">
        <v>6914</v>
      </c>
      <c r="C1688" s="40" t="s">
        <v>6915</v>
      </c>
      <c r="D1688" s="8"/>
      <c r="E1688" s="8" t="s">
        <v>87</v>
      </c>
      <c r="F1688" s="90">
        <v>25000.0</v>
      </c>
      <c r="G1688" s="97" t="s">
        <v>6916</v>
      </c>
      <c r="H1688" s="11" t="s">
        <v>977</v>
      </c>
      <c r="I1688" s="97">
        <v>8.434238885E9</v>
      </c>
      <c r="J1688" s="11" t="s">
        <v>25</v>
      </c>
      <c r="K1688" s="12"/>
      <c r="L1688" s="13"/>
      <c r="M1688" s="14"/>
      <c r="N1688" s="15"/>
      <c r="O1688" s="5" t="s">
        <v>34</v>
      </c>
      <c r="P1688" s="11" t="s">
        <v>6917</v>
      </c>
      <c r="Q1688" s="15"/>
      <c r="R1688" s="16" t="s">
        <v>28</v>
      </c>
      <c r="S1688" s="15"/>
      <c r="T1688" s="15"/>
      <c r="U1688" s="15"/>
      <c r="V1688" s="15"/>
      <c r="W1688" s="15"/>
      <c r="X1688" s="15"/>
      <c r="Y1688" s="15"/>
      <c r="Z1688" s="15"/>
      <c r="AA1688" s="15"/>
    </row>
    <row r="1689">
      <c r="A1689" s="5" t="s">
        <v>6905</v>
      </c>
      <c r="B1689" s="6" t="s">
        <v>6918</v>
      </c>
      <c r="C1689" s="40" t="s">
        <v>6919</v>
      </c>
      <c r="D1689" s="8"/>
      <c r="E1689" s="8" t="s">
        <v>6920</v>
      </c>
      <c r="F1689" s="90">
        <v>2000.0</v>
      </c>
      <c r="G1689" s="97" t="s">
        <v>6921</v>
      </c>
      <c r="H1689" s="11" t="s">
        <v>6922</v>
      </c>
      <c r="I1689" s="97">
        <v>9.867210999E9</v>
      </c>
      <c r="J1689" s="11" t="s">
        <v>25</v>
      </c>
      <c r="K1689" s="12"/>
      <c r="L1689" s="13"/>
      <c r="M1689" s="14"/>
      <c r="N1689" s="15"/>
      <c r="O1689" s="5" t="s">
        <v>108</v>
      </c>
      <c r="P1689" s="15"/>
      <c r="Q1689" s="15"/>
      <c r="R1689" s="16" t="s">
        <v>28</v>
      </c>
      <c r="S1689" s="15"/>
      <c r="T1689" s="15"/>
      <c r="U1689" s="15"/>
      <c r="V1689" s="15"/>
      <c r="W1689" s="15"/>
      <c r="X1689" s="15"/>
      <c r="Y1689" s="15"/>
      <c r="Z1689" s="15"/>
      <c r="AA1689" s="15"/>
    </row>
    <row r="1690">
      <c r="A1690" s="5" t="s">
        <v>6905</v>
      </c>
      <c r="B1690" s="6" t="s">
        <v>6923</v>
      </c>
      <c r="C1690" s="40" t="s">
        <v>6924</v>
      </c>
      <c r="D1690" s="8"/>
      <c r="E1690" s="8" t="s">
        <v>1629</v>
      </c>
      <c r="F1690" s="90">
        <v>2500.0</v>
      </c>
      <c r="G1690" s="97" t="s">
        <v>6925</v>
      </c>
      <c r="H1690" s="11" t="s">
        <v>638</v>
      </c>
      <c r="I1690" s="97">
        <v>9.832180184E9</v>
      </c>
      <c r="J1690" s="11" t="s">
        <v>25</v>
      </c>
      <c r="K1690" s="12"/>
      <c r="L1690" s="13"/>
      <c r="M1690" s="11" t="s">
        <v>6926</v>
      </c>
      <c r="N1690" s="15"/>
      <c r="O1690" s="5" t="s">
        <v>34</v>
      </c>
      <c r="P1690" s="5" t="s">
        <v>1384</v>
      </c>
      <c r="Q1690" s="5" t="s">
        <v>6927</v>
      </c>
      <c r="R1690" s="16" t="s">
        <v>248</v>
      </c>
      <c r="S1690" s="15"/>
      <c r="T1690" s="15"/>
      <c r="U1690" s="15"/>
      <c r="V1690" s="15"/>
      <c r="W1690" s="15"/>
      <c r="X1690" s="15"/>
      <c r="Y1690" s="15"/>
      <c r="Z1690" s="15"/>
      <c r="AA1690" s="15"/>
    </row>
    <row r="1691">
      <c r="A1691" s="5" t="s">
        <v>6928</v>
      </c>
      <c r="B1691" s="6" t="s">
        <v>6929</v>
      </c>
      <c r="C1691" s="40" t="s">
        <v>6930</v>
      </c>
      <c r="D1691" s="8"/>
      <c r="E1691" s="8" t="s">
        <v>6931</v>
      </c>
      <c r="F1691" s="90">
        <v>1000.0</v>
      </c>
      <c r="G1691" s="97" t="s">
        <v>6932</v>
      </c>
      <c r="H1691" s="11" t="s">
        <v>6933</v>
      </c>
      <c r="I1691" s="97">
        <v>7.978207856E9</v>
      </c>
      <c r="J1691" s="11" t="s">
        <v>25</v>
      </c>
      <c r="K1691" s="12"/>
      <c r="L1691" s="13"/>
      <c r="M1691" s="14"/>
      <c r="N1691" s="15"/>
      <c r="O1691" s="5" t="s">
        <v>564</v>
      </c>
      <c r="P1691" s="15"/>
      <c r="Q1691" s="15"/>
      <c r="R1691" s="16" t="s">
        <v>28</v>
      </c>
      <c r="S1691" s="15"/>
      <c r="T1691" s="15"/>
      <c r="U1691" s="15"/>
      <c r="V1691" s="15"/>
      <c r="W1691" s="15"/>
      <c r="X1691" s="15"/>
      <c r="Y1691" s="15"/>
      <c r="Z1691" s="15"/>
      <c r="AA1691" s="15"/>
    </row>
    <row r="1692">
      <c r="A1692" s="5" t="s">
        <v>6928</v>
      </c>
      <c r="B1692" s="6" t="s">
        <v>6934</v>
      </c>
      <c r="C1692" s="40" t="s">
        <v>6935</v>
      </c>
      <c r="D1692" s="8"/>
      <c r="E1692" s="8" t="s">
        <v>5014</v>
      </c>
      <c r="F1692" s="90">
        <v>4000.0</v>
      </c>
      <c r="G1692" s="97" t="s">
        <v>6936</v>
      </c>
      <c r="H1692" s="11" t="s">
        <v>5051</v>
      </c>
      <c r="I1692" s="97">
        <v>7.003023232E9</v>
      </c>
      <c r="J1692" s="11" t="s">
        <v>25</v>
      </c>
      <c r="K1692" s="12"/>
      <c r="L1692" s="13"/>
      <c r="M1692" s="14"/>
      <c r="N1692" s="15"/>
      <c r="O1692" s="5" t="s">
        <v>34</v>
      </c>
      <c r="P1692" s="5" t="s">
        <v>6937</v>
      </c>
      <c r="Q1692" s="15"/>
      <c r="R1692" s="16" t="s">
        <v>28</v>
      </c>
      <c r="S1692" s="15"/>
      <c r="T1692" s="15"/>
      <c r="U1692" s="15"/>
      <c r="V1692" s="15"/>
      <c r="W1692" s="15"/>
      <c r="X1692" s="15"/>
      <c r="Y1692" s="15"/>
      <c r="Z1692" s="15"/>
      <c r="AA1692" s="15"/>
    </row>
    <row r="1693">
      <c r="A1693" s="5" t="s">
        <v>6928</v>
      </c>
      <c r="B1693" s="6" t="s">
        <v>6938</v>
      </c>
      <c r="C1693" s="146" t="s">
        <v>6939</v>
      </c>
      <c r="D1693" s="147"/>
      <c r="E1693" s="147" t="s">
        <v>178</v>
      </c>
      <c r="F1693" s="148">
        <v>12000.0</v>
      </c>
      <c r="G1693" s="149" t="s">
        <v>6940</v>
      </c>
      <c r="H1693" s="11" t="s">
        <v>6941</v>
      </c>
      <c r="I1693" s="97">
        <v>9.987593473E9</v>
      </c>
      <c r="J1693" s="11" t="s">
        <v>25</v>
      </c>
      <c r="K1693" s="12"/>
      <c r="L1693" s="13"/>
      <c r="M1693" s="11" t="s">
        <v>6942</v>
      </c>
      <c r="N1693" s="15"/>
      <c r="O1693" s="5" t="s">
        <v>108</v>
      </c>
      <c r="P1693" s="5" t="s">
        <v>6943</v>
      </c>
      <c r="Q1693" s="15"/>
      <c r="R1693" s="16" t="s">
        <v>28</v>
      </c>
      <c r="S1693" s="15"/>
      <c r="T1693" s="15"/>
      <c r="U1693" s="15"/>
      <c r="V1693" s="15"/>
      <c r="W1693" s="15"/>
      <c r="X1693" s="15"/>
      <c r="Y1693" s="15"/>
      <c r="Z1693" s="15"/>
      <c r="AA1693" s="15"/>
    </row>
    <row r="1694">
      <c r="A1694" s="5" t="s">
        <v>6928</v>
      </c>
      <c r="B1694" s="6" t="s">
        <v>6944</v>
      </c>
      <c r="C1694" s="36" t="s">
        <v>6945</v>
      </c>
      <c r="D1694" s="75"/>
      <c r="E1694" s="8" t="s">
        <v>6946</v>
      </c>
      <c r="F1694" s="90">
        <v>50000.0</v>
      </c>
      <c r="G1694" s="97" t="s">
        <v>6947</v>
      </c>
      <c r="H1694" s="11" t="s">
        <v>6948</v>
      </c>
      <c r="I1694" s="97">
        <v>9.051550563E9</v>
      </c>
      <c r="J1694" s="11" t="s">
        <v>25</v>
      </c>
      <c r="K1694" s="12"/>
      <c r="L1694" s="13"/>
      <c r="M1694" s="14"/>
      <c r="N1694" s="15"/>
      <c r="O1694" s="5" t="s">
        <v>564</v>
      </c>
      <c r="P1694" s="15"/>
      <c r="Q1694" s="15"/>
      <c r="R1694" s="16" t="s">
        <v>28</v>
      </c>
      <c r="S1694" s="15"/>
      <c r="T1694" s="15"/>
      <c r="U1694" s="15"/>
      <c r="V1694" s="15"/>
      <c r="W1694" s="15"/>
      <c r="X1694" s="15"/>
      <c r="Y1694" s="15"/>
      <c r="Z1694" s="15"/>
      <c r="AA1694" s="15"/>
    </row>
    <row r="1695">
      <c r="A1695" s="5" t="s">
        <v>6928</v>
      </c>
      <c r="B1695" s="6" t="s">
        <v>6949</v>
      </c>
      <c r="C1695" s="62" t="s">
        <v>6950</v>
      </c>
      <c r="D1695" s="8"/>
      <c r="E1695" s="8" t="s">
        <v>2406</v>
      </c>
      <c r="F1695" s="90">
        <v>500.0</v>
      </c>
      <c r="G1695" s="97" t="s">
        <v>6951</v>
      </c>
      <c r="H1695" s="11" t="s">
        <v>44</v>
      </c>
      <c r="I1695" s="97">
        <v>9.051825548E9</v>
      </c>
      <c r="J1695" s="11" t="s">
        <v>6952</v>
      </c>
      <c r="K1695" s="12"/>
      <c r="L1695" s="13"/>
      <c r="M1695" s="11" t="s">
        <v>6953</v>
      </c>
      <c r="N1695" s="15"/>
      <c r="O1695" s="5" t="s">
        <v>34</v>
      </c>
      <c r="P1695" s="5" t="s">
        <v>1384</v>
      </c>
      <c r="Q1695" s="15"/>
      <c r="R1695" s="16" t="s">
        <v>28</v>
      </c>
      <c r="S1695" s="15"/>
      <c r="T1695" s="15"/>
      <c r="U1695" s="15"/>
      <c r="V1695" s="15"/>
      <c r="W1695" s="15"/>
      <c r="X1695" s="15"/>
      <c r="Y1695" s="15"/>
      <c r="Z1695" s="15"/>
      <c r="AA1695" s="15"/>
    </row>
    <row r="1696">
      <c r="A1696" s="5" t="s">
        <v>6954</v>
      </c>
      <c r="B1696" s="6" t="s">
        <v>6955</v>
      </c>
      <c r="C1696" s="40" t="s">
        <v>6956</v>
      </c>
      <c r="D1696" s="8"/>
      <c r="E1696" s="8" t="s">
        <v>5293</v>
      </c>
      <c r="F1696" s="90">
        <v>1000.0</v>
      </c>
      <c r="G1696" s="97" t="s">
        <v>6957</v>
      </c>
      <c r="H1696" s="11" t="s">
        <v>6958</v>
      </c>
      <c r="I1696" s="97">
        <v>9.434046455E9</v>
      </c>
      <c r="J1696" s="11" t="s">
        <v>25</v>
      </c>
      <c r="K1696" s="12"/>
      <c r="L1696" s="13"/>
      <c r="M1696" s="14"/>
      <c r="N1696" s="15"/>
      <c r="O1696" s="5" t="s">
        <v>34</v>
      </c>
      <c r="P1696" s="15"/>
      <c r="Q1696" s="15"/>
      <c r="R1696" s="16" t="s">
        <v>28</v>
      </c>
      <c r="S1696" s="15"/>
      <c r="T1696" s="15"/>
      <c r="U1696" s="15"/>
      <c r="V1696" s="15"/>
      <c r="W1696" s="15"/>
      <c r="X1696" s="15"/>
      <c r="Y1696" s="15"/>
      <c r="Z1696" s="15"/>
      <c r="AA1696" s="15"/>
    </row>
    <row r="1697">
      <c r="A1697" s="5" t="s">
        <v>6959</v>
      </c>
      <c r="B1697" s="6" t="s">
        <v>6960</v>
      </c>
      <c r="C1697" s="40" t="s">
        <v>6961</v>
      </c>
      <c r="D1697" s="8"/>
      <c r="E1697" s="8" t="s">
        <v>786</v>
      </c>
      <c r="F1697" s="90">
        <v>1000.0</v>
      </c>
      <c r="G1697" s="97" t="s">
        <v>6962</v>
      </c>
      <c r="H1697" s="11" t="s">
        <v>107</v>
      </c>
      <c r="I1697" s="97">
        <v>9.71762369E9</v>
      </c>
      <c r="J1697" s="11" t="s">
        <v>25</v>
      </c>
      <c r="K1697" s="12"/>
      <c r="L1697" s="13"/>
      <c r="M1697" s="14"/>
      <c r="N1697" s="5" t="s">
        <v>6963</v>
      </c>
      <c r="O1697" s="5" t="s">
        <v>34</v>
      </c>
      <c r="P1697" s="5" t="s">
        <v>6964</v>
      </c>
      <c r="Q1697" s="5" t="s">
        <v>5480</v>
      </c>
      <c r="R1697" s="16" t="s">
        <v>248</v>
      </c>
      <c r="S1697" s="15"/>
      <c r="T1697" s="15"/>
      <c r="U1697" s="15"/>
      <c r="V1697" s="15"/>
      <c r="W1697" s="15"/>
      <c r="X1697" s="15"/>
      <c r="Y1697" s="15"/>
      <c r="Z1697" s="15"/>
      <c r="AA1697" s="15"/>
    </row>
    <row r="1698">
      <c r="A1698" s="5" t="s">
        <v>6959</v>
      </c>
      <c r="B1698" s="6" t="s">
        <v>6965</v>
      </c>
      <c r="C1698" s="40" t="s">
        <v>6966</v>
      </c>
      <c r="D1698" s="8"/>
      <c r="E1698" s="8" t="s">
        <v>6042</v>
      </c>
      <c r="F1698" s="90">
        <v>500.0</v>
      </c>
      <c r="G1698" s="97" t="s">
        <v>6967</v>
      </c>
      <c r="H1698" s="11" t="s">
        <v>6968</v>
      </c>
      <c r="I1698" s="97">
        <v>7.903005026E9</v>
      </c>
      <c r="J1698" s="11" t="s">
        <v>25</v>
      </c>
      <c r="K1698" s="12"/>
      <c r="L1698" s="13"/>
      <c r="M1698" s="14"/>
      <c r="N1698" s="15"/>
      <c r="O1698" s="5" t="s">
        <v>34</v>
      </c>
      <c r="P1698" s="5" t="s">
        <v>6969</v>
      </c>
      <c r="Q1698" s="15"/>
      <c r="R1698" s="16" t="s">
        <v>28</v>
      </c>
      <c r="S1698" s="15"/>
      <c r="T1698" s="15"/>
      <c r="U1698" s="15"/>
      <c r="V1698" s="15"/>
      <c r="W1698" s="15"/>
      <c r="X1698" s="15"/>
      <c r="Y1698" s="15"/>
      <c r="Z1698" s="15"/>
      <c r="AA1698" s="15"/>
    </row>
    <row r="1699">
      <c r="A1699" s="5" t="s">
        <v>6959</v>
      </c>
      <c r="B1699" s="6" t="s">
        <v>6970</v>
      </c>
      <c r="C1699" s="40" t="s">
        <v>6971</v>
      </c>
      <c r="D1699" s="8"/>
      <c r="E1699" s="8" t="s">
        <v>6889</v>
      </c>
      <c r="F1699" s="90">
        <v>2000.0</v>
      </c>
      <c r="G1699" s="97" t="s">
        <v>6972</v>
      </c>
      <c r="H1699" s="11" t="s">
        <v>44</v>
      </c>
      <c r="I1699" s="97">
        <v>9.90361248E9</v>
      </c>
      <c r="J1699" s="11" t="s">
        <v>25</v>
      </c>
      <c r="K1699" s="12"/>
      <c r="L1699" s="13"/>
      <c r="M1699" s="14"/>
      <c r="N1699" s="15"/>
      <c r="O1699" s="5" t="s">
        <v>34</v>
      </c>
      <c r="P1699" s="5" t="s">
        <v>727</v>
      </c>
      <c r="Q1699" s="15"/>
      <c r="R1699" s="16" t="s">
        <v>28</v>
      </c>
      <c r="S1699" s="15"/>
      <c r="T1699" s="15"/>
      <c r="U1699" s="15"/>
      <c r="V1699" s="15"/>
      <c r="W1699" s="15"/>
      <c r="X1699" s="15"/>
      <c r="Y1699" s="15"/>
      <c r="Z1699" s="15"/>
      <c r="AA1699" s="15"/>
    </row>
    <row r="1700">
      <c r="A1700" s="5" t="s">
        <v>6959</v>
      </c>
      <c r="B1700" s="6" t="s">
        <v>6973</v>
      </c>
      <c r="C1700" s="40" t="s">
        <v>6974</v>
      </c>
      <c r="D1700" s="8"/>
      <c r="E1700" s="8" t="s">
        <v>6975</v>
      </c>
      <c r="F1700" s="90">
        <v>500.0</v>
      </c>
      <c r="G1700" s="97" t="s">
        <v>6976</v>
      </c>
      <c r="H1700" s="11" t="s">
        <v>44</v>
      </c>
      <c r="I1700" s="97">
        <v>8.585025436E9</v>
      </c>
      <c r="J1700" s="11" t="s">
        <v>25</v>
      </c>
      <c r="K1700" s="12" t="s">
        <v>4804</v>
      </c>
      <c r="L1700" s="13"/>
      <c r="M1700" s="14"/>
      <c r="N1700" s="15"/>
      <c r="O1700" s="5" t="s">
        <v>564</v>
      </c>
      <c r="P1700" s="15"/>
      <c r="Q1700" s="15"/>
      <c r="R1700" s="16" t="s">
        <v>28</v>
      </c>
      <c r="S1700" s="15"/>
      <c r="T1700" s="15"/>
      <c r="U1700" s="15"/>
      <c r="V1700" s="15"/>
      <c r="W1700" s="15"/>
      <c r="X1700" s="15"/>
      <c r="Y1700" s="15"/>
      <c r="Z1700" s="15"/>
      <c r="AA1700" s="15"/>
    </row>
    <row r="1701">
      <c r="A1701" s="5" t="s">
        <v>6959</v>
      </c>
      <c r="B1701" s="6" t="s">
        <v>6977</v>
      </c>
      <c r="C1701" s="40" t="s">
        <v>6978</v>
      </c>
      <c r="D1701" s="8"/>
      <c r="E1701" s="8" t="s">
        <v>5014</v>
      </c>
      <c r="F1701" s="90">
        <v>26000.0</v>
      </c>
      <c r="G1701" s="97" t="s">
        <v>6979</v>
      </c>
      <c r="H1701" s="11" t="s">
        <v>906</v>
      </c>
      <c r="I1701" s="97">
        <v>8.433779889E9</v>
      </c>
      <c r="J1701" s="11" t="s">
        <v>4008</v>
      </c>
      <c r="K1701" s="12"/>
      <c r="L1701" s="13"/>
      <c r="M1701" s="14"/>
      <c r="N1701" s="15"/>
      <c r="O1701" s="5" t="s">
        <v>108</v>
      </c>
      <c r="P1701" s="15"/>
      <c r="Q1701" s="15"/>
      <c r="R1701" s="16" t="s">
        <v>28</v>
      </c>
      <c r="S1701" s="15"/>
      <c r="T1701" s="15"/>
      <c r="U1701" s="15"/>
      <c r="V1701" s="15"/>
      <c r="W1701" s="15"/>
      <c r="X1701" s="15"/>
      <c r="Y1701" s="15"/>
      <c r="Z1701" s="15"/>
      <c r="AA1701" s="15"/>
    </row>
    <row r="1702">
      <c r="A1702" s="5" t="s">
        <v>6959</v>
      </c>
      <c r="B1702" s="6" t="s">
        <v>6980</v>
      </c>
      <c r="C1702" s="40" t="s">
        <v>6981</v>
      </c>
      <c r="D1702" s="8"/>
      <c r="E1702" s="8" t="s">
        <v>6982</v>
      </c>
      <c r="F1702" s="90">
        <v>2000.0</v>
      </c>
      <c r="G1702" s="97" t="s">
        <v>6983</v>
      </c>
      <c r="H1702" s="11" t="s">
        <v>6984</v>
      </c>
      <c r="I1702" s="97">
        <v>6.290923744E9</v>
      </c>
      <c r="J1702" s="11" t="s">
        <v>4008</v>
      </c>
      <c r="K1702" s="12"/>
      <c r="L1702" s="13"/>
      <c r="M1702" s="14"/>
      <c r="N1702" s="15"/>
      <c r="O1702" s="5" t="s">
        <v>34</v>
      </c>
      <c r="P1702" s="5" t="s">
        <v>6985</v>
      </c>
      <c r="Q1702" s="15"/>
      <c r="R1702" s="16" t="s">
        <v>28</v>
      </c>
      <c r="S1702" s="15"/>
      <c r="T1702" s="15"/>
      <c r="U1702" s="15"/>
      <c r="V1702" s="15"/>
      <c r="W1702" s="15"/>
      <c r="X1702" s="15"/>
      <c r="Y1702" s="15"/>
      <c r="Z1702" s="15"/>
      <c r="AA1702" s="15"/>
    </row>
    <row r="1703">
      <c r="A1703" s="5" t="s">
        <v>6959</v>
      </c>
      <c r="B1703" s="6" t="s">
        <v>6986</v>
      </c>
      <c r="C1703" s="40" t="s">
        <v>6987</v>
      </c>
      <c r="D1703" s="8"/>
      <c r="E1703" s="8" t="s">
        <v>6988</v>
      </c>
      <c r="F1703" s="90">
        <v>2000.0</v>
      </c>
      <c r="G1703" s="97" t="s">
        <v>6989</v>
      </c>
      <c r="H1703" s="11" t="s">
        <v>6990</v>
      </c>
      <c r="I1703" s="97">
        <v>9.830970571E9</v>
      </c>
      <c r="J1703" s="11" t="s">
        <v>4008</v>
      </c>
      <c r="K1703" s="12" t="s">
        <v>6991</v>
      </c>
      <c r="L1703" s="13"/>
      <c r="M1703" s="14"/>
      <c r="N1703" s="15"/>
      <c r="O1703" s="5" t="s">
        <v>564</v>
      </c>
      <c r="P1703" s="15"/>
      <c r="Q1703" s="15"/>
      <c r="R1703" s="16" t="s">
        <v>28</v>
      </c>
      <c r="S1703" s="15"/>
      <c r="T1703" s="15"/>
      <c r="U1703" s="15"/>
      <c r="V1703" s="15"/>
      <c r="W1703" s="15"/>
      <c r="X1703" s="15"/>
      <c r="Y1703" s="15"/>
      <c r="Z1703" s="15"/>
      <c r="AA1703" s="15"/>
    </row>
    <row r="1704">
      <c r="A1704" s="5" t="s">
        <v>6992</v>
      </c>
      <c r="B1704" s="6" t="s">
        <v>6993</v>
      </c>
      <c r="C1704" s="40" t="s">
        <v>6994</v>
      </c>
      <c r="D1704" s="8"/>
      <c r="E1704" s="8" t="s">
        <v>5102</v>
      </c>
      <c r="F1704" s="90">
        <v>5000.0</v>
      </c>
      <c r="G1704" s="97" t="s">
        <v>6995</v>
      </c>
      <c r="H1704" s="36" t="s">
        <v>6996</v>
      </c>
      <c r="I1704" s="97">
        <v>8.976996187E9</v>
      </c>
      <c r="J1704" s="11" t="s">
        <v>25</v>
      </c>
      <c r="K1704" s="12"/>
      <c r="L1704" s="13"/>
      <c r="M1704" s="14"/>
      <c r="N1704" s="5" t="s">
        <v>6997</v>
      </c>
      <c r="O1704" s="5" t="s">
        <v>108</v>
      </c>
      <c r="P1704" s="5" t="s">
        <v>6998</v>
      </c>
      <c r="Q1704" s="15"/>
      <c r="R1704" s="16" t="s">
        <v>6999</v>
      </c>
      <c r="S1704" s="15"/>
      <c r="T1704" s="15"/>
      <c r="U1704" s="15"/>
      <c r="V1704" s="15"/>
      <c r="W1704" s="15"/>
      <c r="X1704" s="15"/>
      <c r="Y1704" s="15"/>
      <c r="Z1704" s="15"/>
      <c r="AA1704" s="15"/>
    </row>
    <row r="1705">
      <c r="A1705" s="5" t="s">
        <v>6992</v>
      </c>
      <c r="B1705" s="6" t="s">
        <v>7000</v>
      </c>
      <c r="C1705" s="40" t="s">
        <v>7001</v>
      </c>
      <c r="D1705" s="8"/>
      <c r="E1705" s="8" t="s">
        <v>2821</v>
      </c>
      <c r="F1705" s="90">
        <v>15000.0</v>
      </c>
      <c r="G1705" s="97" t="s">
        <v>7002</v>
      </c>
      <c r="H1705" s="11" t="s">
        <v>449</v>
      </c>
      <c r="I1705" s="97">
        <v>8.759310948E9</v>
      </c>
      <c r="J1705" s="11" t="s">
        <v>4008</v>
      </c>
      <c r="K1705" s="12"/>
      <c r="L1705" s="13"/>
      <c r="M1705" s="11" t="s">
        <v>7003</v>
      </c>
      <c r="N1705" s="5" t="s">
        <v>7004</v>
      </c>
      <c r="O1705" s="5" t="s">
        <v>34</v>
      </c>
      <c r="P1705" s="5" t="s">
        <v>7005</v>
      </c>
      <c r="Q1705" s="15"/>
      <c r="R1705" s="16" t="s">
        <v>6999</v>
      </c>
      <c r="S1705" s="15"/>
      <c r="T1705" s="15"/>
      <c r="U1705" s="15"/>
      <c r="V1705" s="15"/>
      <c r="W1705" s="15"/>
      <c r="X1705" s="15"/>
      <c r="Y1705" s="15"/>
      <c r="Z1705" s="15"/>
      <c r="AA1705" s="15"/>
    </row>
    <row r="1706">
      <c r="A1706" s="5" t="s">
        <v>6992</v>
      </c>
      <c r="B1706" s="6" t="s">
        <v>7006</v>
      </c>
      <c r="C1706" s="40" t="s">
        <v>7007</v>
      </c>
      <c r="D1706" s="8"/>
      <c r="E1706" s="8" t="s">
        <v>2570</v>
      </c>
      <c r="F1706" s="90">
        <v>1000.0</v>
      </c>
      <c r="G1706" s="97" t="s">
        <v>7008</v>
      </c>
      <c r="H1706" s="11" t="s">
        <v>7009</v>
      </c>
      <c r="I1706" s="97">
        <v>9.987047326E9</v>
      </c>
      <c r="J1706" s="11" t="s">
        <v>4008</v>
      </c>
      <c r="K1706" s="12"/>
      <c r="L1706" s="13"/>
      <c r="M1706" s="14"/>
      <c r="N1706" s="15"/>
      <c r="O1706" s="5" t="s">
        <v>108</v>
      </c>
      <c r="P1706" s="15"/>
      <c r="Q1706" s="15"/>
      <c r="R1706" s="16" t="s">
        <v>28</v>
      </c>
      <c r="S1706" s="15"/>
      <c r="T1706" s="15"/>
      <c r="U1706" s="15"/>
      <c r="V1706" s="15"/>
      <c r="W1706" s="15"/>
      <c r="X1706" s="15"/>
      <c r="Y1706" s="15"/>
      <c r="Z1706" s="15"/>
      <c r="AA1706" s="15"/>
    </row>
    <row r="1707">
      <c r="A1707" s="5" t="s">
        <v>6992</v>
      </c>
      <c r="B1707" s="6" t="s">
        <v>7010</v>
      </c>
      <c r="C1707" s="40" t="s">
        <v>7011</v>
      </c>
      <c r="D1707" s="8"/>
      <c r="E1707" s="8" t="s">
        <v>5172</v>
      </c>
      <c r="F1707" s="90">
        <v>600.0</v>
      </c>
      <c r="G1707" s="97" t="s">
        <v>7012</v>
      </c>
      <c r="H1707" s="11" t="s">
        <v>7013</v>
      </c>
      <c r="I1707" s="97">
        <v>9.830086288E9</v>
      </c>
      <c r="J1707" s="11" t="s">
        <v>25</v>
      </c>
      <c r="K1707" s="12"/>
      <c r="L1707" s="13"/>
      <c r="M1707" s="14"/>
      <c r="N1707" s="15"/>
      <c r="O1707" s="5" t="s">
        <v>34</v>
      </c>
      <c r="P1707" s="15"/>
      <c r="Q1707" s="15"/>
      <c r="R1707" s="16" t="s">
        <v>28</v>
      </c>
      <c r="S1707" s="15"/>
      <c r="T1707" s="15"/>
      <c r="U1707" s="15"/>
      <c r="V1707" s="15"/>
      <c r="W1707" s="15"/>
      <c r="X1707" s="15"/>
      <c r="Y1707" s="15"/>
      <c r="Z1707" s="15"/>
      <c r="AA1707" s="15"/>
    </row>
    <row r="1708">
      <c r="A1708" s="5" t="s">
        <v>6992</v>
      </c>
      <c r="B1708" s="6" t="s">
        <v>7014</v>
      </c>
      <c r="C1708" s="40" t="s">
        <v>7015</v>
      </c>
      <c r="D1708" s="8"/>
      <c r="E1708" s="8" t="s">
        <v>189</v>
      </c>
      <c r="F1708" s="90">
        <v>1000.0</v>
      </c>
      <c r="G1708" s="97" t="s">
        <v>7016</v>
      </c>
      <c r="H1708" s="11" t="s">
        <v>7017</v>
      </c>
      <c r="I1708" s="97">
        <v>8.017313558E9</v>
      </c>
      <c r="J1708" s="11" t="s">
        <v>25</v>
      </c>
      <c r="K1708" s="12"/>
      <c r="L1708" s="13"/>
      <c r="M1708" s="14"/>
      <c r="N1708" s="15"/>
      <c r="O1708" s="5" t="s">
        <v>34</v>
      </c>
      <c r="P1708" s="15"/>
      <c r="Q1708" s="15"/>
      <c r="R1708" s="16" t="s">
        <v>28</v>
      </c>
      <c r="S1708" s="15"/>
      <c r="T1708" s="15"/>
      <c r="U1708" s="15"/>
      <c r="V1708" s="15"/>
      <c r="W1708" s="15"/>
      <c r="X1708" s="15"/>
      <c r="Y1708" s="15"/>
      <c r="Z1708" s="15"/>
      <c r="AA1708" s="15"/>
    </row>
    <row r="1709">
      <c r="A1709" s="5" t="s">
        <v>6992</v>
      </c>
      <c r="B1709" s="6" t="s">
        <v>7018</v>
      </c>
      <c r="C1709" s="40" t="s">
        <v>7019</v>
      </c>
      <c r="D1709" s="8"/>
      <c r="E1709" s="8" t="s">
        <v>7020</v>
      </c>
      <c r="F1709" s="90">
        <v>500.0</v>
      </c>
      <c r="G1709" s="97" t="s">
        <v>7021</v>
      </c>
      <c r="H1709" s="11" t="s">
        <v>7022</v>
      </c>
      <c r="I1709" s="97">
        <v>9.860993216E9</v>
      </c>
      <c r="J1709" s="11" t="s">
        <v>4008</v>
      </c>
      <c r="K1709" s="12"/>
      <c r="L1709" s="13"/>
      <c r="M1709" s="14"/>
      <c r="N1709" s="5" t="s">
        <v>7023</v>
      </c>
      <c r="O1709" s="5" t="s">
        <v>108</v>
      </c>
      <c r="P1709" s="5" t="s">
        <v>7024</v>
      </c>
      <c r="Q1709" s="15"/>
      <c r="R1709" s="16" t="s">
        <v>6999</v>
      </c>
      <c r="S1709" s="15"/>
      <c r="T1709" s="15"/>
      <c r="U1709" s="15"/>
      <c r="V1709" s="15"/>
      <c r="W1709" s="15"/>
      <c r="X1709" s="15"/>
      <c r="Y1709" s="15"/>
      <c r="Z1709" s="15"/>
      <c r="AA1709" s="15"/>
    </row>
    <row r="1710">
      <c r="A1710" s="5" t="s">
        <v>6992</v>
      </c>
      <c r="B1710" s="6" t="s">
        <v>7025</v>
      </c>
      <c r="C1710" s="40" t="s">
        <v>7026</v>
      </c>
      <c r="D1710" s="8"/>
      <c r="E1710" s="8" t="s">
        <v>130</v>
      </c>
      <c r="F1710" s="90">
        <v>20000.0</v>
      </c>
      <c r="G1710" s="97" t="s">
        <v>7027</v>
      </c>
      <c r="H1710" s="11" t="s">
        <v>906</v>
      </c>
      <c r="I1710" s="97">
        <v>7.738371118E9</v>
      </c>
      <c r="J1710" s="11" t="s">
        <v>25</v>
      </c>
      <c r="K1710" s="12"/>
      <c r="L1710" s="13"/>
      <c r="M1710" s="14"/>
      <c r="N1710" s="15"/>
      <c r="O1710" s="5" t="s">
        <v>108</v>
      </c>
      <c r="P1710" s="5" t="s">
        <v>0</v>
      </c>
      <c r="Q1710" s="15"/>
      <c r="R1710" s="16" t="s">
        <v>28</v>
      </c>
      <c r="S1710" s="15"/>
      <c r="T1710" s="15"/>
      <c r="U1710" s="15"/>
      <c r="V1710" s="15"/>
      <c r="W1710" s="15"/>
      <c r="X1710" s="15"/>
      <c r="Y1710" s="15"/>
      <c r="Z1710" s="15"/>
      <c r="AA1710" s="15"/>
    </row>
    <row r="1711">
      <c r="A1711" s="5" t="s">
        <v>6992</v>
      </c>
      <c r="B1711" s="6" t="s">
        <v>7028</v>
      </c>
      <c r="C1711" s="40" t="s">
        <v>7029</v>
      </c>
      <c r="D1711" s="8"/>
      <c r="E1711" s="8" t="s">
        <v>3555</v>
      </c>
      <c r="F1711" s="90">
        <v>500.0</v>
      </c>
      <c r="G1711" s="97" t="s">
        <v>7030</v>
      </c>
      <c r="H1711" s="11" t="s">
        <v>49</v>
      </c>
      <c r="I1711" s="97">
        <v>8.91865175E9</v>
      </c>
      <c r="J1711" s="11" t="s">
        <v>25</v>
      </c>
      <c r="K1711" s="12" t="s">
        <v>1388</v>
      </c>
      <c r="L1711" s="13"/>
      <c r="M1711" s="14"/>
      <c r="N1711" s="15"/>
      <c r="O1711" s="5" t="s">
        <v>564</v>
      </c>
      <c r="P1711" s="15"/>
      <c r="Q1711" s="15"/>
      <c r="R1711" s="16" t="s">
        <v>28</v>
      </c>
      <c r="S1711" s="15"/>
      <c r="T1711" s="15"/>
      <c r="U1711" s="15"/>
      <c r="V1711" s="15"/>
      <c r="W1711" s="15"/>
      <c r="X1711" s="15"/>
      <c r="Y1711" s="15"/>
      <c r="Z1711" s="15"/>
      <c r="AA1711" s="15"/>
    </row>
    <row r="1712">
      <c r="A1712" s="5" t="s">
        <v>7031</v>
      </c>
      <c r="B1712" s="6" t="s">
        <v>7032</v>
      </c>
      <c r="C1712" s="150" t="s">
        <v>4636</v>
      </c>
      <c r="D1712" s="8"/>
      <c r="E1712" s="8" t="s">
        <v>5054</v>
      </c>
      <c r="F1712" s="90">
        <v>50000.0</v>
      </c>
      <c r="G1712" s="97" t="s">
        <v>7033</v>
      </c>
      <c r="H1712" s="11" t="s">
        <v>4638</v>
      </c>
      <c r="I1712" s="97">
        <v>9.830045597E9</v>
      </c>
      <c r="J1712" s="11" t="s">
        <v>25</v>
      </c>
      <c r="K1712" s="12"/>
      <c r="L1712" s="13"/>
      <c r="M1712" s="14"/>
      <c r="N1712" s="15"/>
      <c r="O1712" s="5" t="s">
        <v>564</v>
      </c>
      <c r="P1712" s="15"/>
      <c r="Q1712" s="15"/>
      <c r="R1712" s="16" t="s">
        <v>28</v>
      </c>
      <c r="S1712" s="15"/>
      <c r="T1712" s="15"/>
      <c r="U1712" s="15"/>
      <c r="V1712" s="15"/>
      <c r="W1712" s="15"/>
      <c r="X1712" s="15"/>
      <c r="Y1712" s="15"/>
      <c r="Z1712" s="15"/>
      <c r="AA1712" s="15"/>
    </row>
    <row r="1713">
      <c r="A1713" s="5" t="s">
        <v>7031</v>
      </c>
      <c r="B1713" s="6" t="s">
        <v>7034</v>
      </c>
      <c r="C1713" s="40" t="s">
        <v>7035</v>
      </c>
      <c r="D1713" s="8"/>
      <c r="E1713" s="8" t="s">
        <v>5054</v>
      </c>
      <c r="F1713" s="90">
        <v>50000.0</v>
      </c>
      <c r="G1713" s="97" t="s">
        <v>7036</v>
      </c>
      <c r="H1713" s="11" t="s">
        <v>7037</v>
      </c>
      <c r="I1713" s="97">
        <v>9.831027769E9</v>
      </c>
      <c r="J1713" s="11" t="s">
        <v>25</v>
      </c>
      <c r="K1713" s="12"/>
      <c r="L1713" s="13"/>
      <c r="M1713" s="14"/>
      <c r="N1713" s="15"/>
      <c r="O1713" s="5" t="s">
        <v>34</v>
      </c>
      <c r="P1713" s="15"/>
      <c r="Q1713" s="15"/>
      <c r="R1713" s="16" t="s">
        <v>28</v>
      </c>
      <c r="S1713" s="15"/>
      <c r="T1713" s="15"/>
      <c r="U1713" s="15"/>
      <c r="V1713" s="15"/>
      <c r="W1713" s="15"/>
      <c r="X1713" s="15"/>
      <c r="Y1713" s="15"/>
      <c r="Z1713" s="15"/>
      <c r="AA1713" s="15"/>
    </row>
    <row r="1714">
      <c r="A1714" s="5" t="s">
        <v>7031</v>
      </c>
      <c r="B1714" s="6" t="s">
        <v>7038</v>
      </c>
      <c r="C1714" s="40" t="s">
        <v>7039</v>
      </c>
      <c r="D1714" s="8"/>
      <c r="E1714" s="8" t="s">
        <v>7040</v>
      </c>
      <c r="F1714" s="90">
        <v>25000.0</v>
      </c>
      <c r="G1714" s="97" t="s">
        <v>7041</v>
      </c>
      <c r="H1714" s="11" t="s">
        <v>44</v>
      </c>
      <c r="I1714" s="97">
        <v>7.439939326E9</v>
      </c>
      <c r="J1714" s="11" t="s">
        <v>25</v>
      </c>
      <c r="K1714" s="12" t="s">
        <v>7042</v>
      </c>
      <c r="L1714" s="13"/>
      <c r="M1714" s="14"/>
      <c r="N1714" s="15"/>
      <c r="O1714" s="5" t="s">
        <v>564</v>
      </c>
      <c r="P1714" s="5" t="s">
        <v>5810</v>
      </c>
      <c r="Q1714" s="5" t="s">
        <v>7043</v>
      </c>
      <c r="R1714" s="16" t="s">
        <v>28</v>
      </c>
      <c r="S1714" s="15"/>
      <c r="T1714" s="15"/>
      <c r="U1714" s="15"/>
      <c r="V1714" s="15"/>
      <c r="W1714" s="15"/>
      <c r="X1714" s="15"/>
      <c r="Y1714" s="15"/>
      <c r="Z1714" s="15"/>
      <c r="AA1714" s="15"/>
    </row>
    <row r="1715">
      <c r="A1715" s="5" t="s">
        <v>7031</v>
      </c>
      <c r="B1715" s="6" t="s">
        <v>7044</v>
      </c>
      <c r="C1715" s="40" t="s">
        <v>7045</v>
      </c>
      <c r="D1715" s="8"/>
      <c r="E1715" s="8" t="s">
        <v>7046</v>
      </c>
      <c r="F1715" s="90">
        <v>1000.0</v>
      </c>
      <c r="G1715" s="97" t="s">
        <v>7047</v>
      </c>
      <c r="H1715" s="11" t="s">
        <v>7048</v>
      </c>
      <c r="I1715" s="97">
        <v>8.777031996E9</v>
      </c>
      <c r="J1715" s="11" t="s">
        <v>25</v>
      </c>
      <c r="K1715" s="12"/>
      <c r="L1715" s="13"/>
      <c r="M1715" s="14"/>
      <c r="N1715" s="15"/>
      <c r="O1715" s="5" t="s">
        <v>564</v>
      </c>
      <c r="P1715" s="15"/>
      <c r="Q1715" s="15"/>
      <c r="R1715" s="16" t="s">
        <v>28</v>
      </c>
      <c r="S1715" s="15"/>
      <c r="T1715" s="15"/>
      <c r="U1715" s="15"/>
      <c r="V1715" s="15"/>
      <c r="W1715" s="15"/>
      <c r="X1715" s="15"/>
      <c r="Y1715" s="15"/>
      <c r="Z1715" s="15"/>
      <c r="AA1715" s="15"/>
    </row>
    <row r="1716">
      <c r="A1716" s="5" t="s">
        <v>7031</v>
      </c>
      <c r="B1716" s="6" t="s">
        <v>7049</v>
      </c>
      <c r="C1716" s="40" t="s">
        <v>7050</v>
      </c>
      <c r="D1716" s="8"/>
      <c r="E1716" s="8" t="s">
        <v>7051</v>
      </c>
      <c r="F1716" s="90">
        <v>1000.0</v>
      </c>
      <c r="G1716" s="97" t="s">
        <v>7052</v>
      </c>
      <c r="H1716" s="11" t="s">
        <v>7053</v>
      </c>
      <c r="I1716" s="97">
        <v>8.669035001E9</v>
      </c>
      <c r="J1716" s="11" t="s">
        <v>25</v>
      </c>
      <c r="K1716" s="12"/>
      <c r="L1716" s="13"/>
      <c r="M1716" s="14"/>
      <c r="N1716" s="15"/>
      <c r="O1716" s="5" t="s">
        <v>108</v>
      </c>
      <c r="P1716" s="15"/>
      <c r="Q1716" s="15"/>
      <c r="R1716" s="16" t="s">
        <v>28</v>
      </c>
      <c r="S1716" s="15"/>
      <c r="T1716" s="15"/>
      <c r="U1716" s="15"/>
      <c r="V1716" s="15"/>
      <c r="W1716" s="15"/>
      <c r="X1716" s="15"/>
      <c r="Y1716" s="15"/>
      <c r="Z1716" s="15"/>
      <c r="AA1716" s="15"/>
    </row>
    <row r="1717">
      <c r="A1717" s="5" t="s">
        <v>7054</v>
      </c>
      <c r="B1717" s="6" t="s">
        <v>7055</v>
      </c>
      <c r="C1717" s="40" t="s">
        <v>7056</v>
      </c>
      <c r="D1717" s="8"/>
      <c r="E1717" s="8" t="s">
        <v>7057</v>
      </c>
      <c r="F1717" s="90" t="s">
        <v>7058</v>
      </c>
      <c r="G1717" s="97" t="s">
        <v>7059</v>
      </c>
      <c r="H1717" s="11" t="s">
        <v>44</v>
      </c>
      <c r="I1717" s="97">
        <v>8.617688547E9</v>
      </c>
      <c r="J1717" s="11" t="s">
        <v>25</v>
      </c>
      <c r="K1717" s="12"/>
      <c r="L1717" s="13"/>
      <c r="M1717" s="14"/>
      <c r="N1717" s="15"/>
      <c r="O1717" s="5" t="s">
        <v>34</v>
      </c>
      <c r="P1717" s="11" t="s">
        <v>7060</v>
      </c>
      <c r="Q1717" s="15"/>
      <c r="R1717" s="16" t="s">
        <v>723</v>
      </c>
      <c r="S1717" s="15"/>
      <c r="T1717" s="15"/>
      <c r="U1717" s="15"/>
      <c r="V1717" s="15"/>
      <c r="W1717" s="15"/>
      <c r="X1717" s="15"/>
      <c r="Y1717" s="15"/>
      <c r="Z1717" s="15"/>
      <c r="AA1717" s="15"/>
    </row>
    <row r="1718">
      <c r="A1718" s="5" t="s">
        <v>7054</v>
      </c>
      <c r="B1718" s="6" t="s">
        <v>7061</v>
      </c>
      <c r="C1718" s="40" t="s">
        <v>7062</v>
      </c>
      <c r="D1718" s="8"/>
      <c r="E1718" s="8" t="s">
        <v>1217</v>
      </c>
      <c r="F1718" s="90">
        <v>750.0</v>
      </c>
      <c r="G1718" s="97"/>
      <c r="H1718" s="11" t="s">
        <v>44</v>
      </c>
      <c r="I1718" s="97">
        <v>8.240270408E9</v>
      </c>
      <c r="J1718" s="11" t="s">
        <v>4008</v>
      </c>
      <c r="K1718" s="12"/>
      <c r="L1718" s="13"/>
      <c r="M1718" s="14"/>
      <c r="N1718" s="15"/>
      <c r="O1718" s="5" t="s">
        <v>34</v>
      </c>
      <c r="P1718" s="5" t="s">
        <v>7063</v>
      </c>
      <c r="Q1718" s="15"/>
      <c r="R1718" s="16" t="s">
        <v>723</v>
      </c>
      <c r="S1718" s="15"/>
      <c r="T1718" s="15"/>
      <c r="U1718" s="15"/>
      <c r="V1718" s="15"/>
      <c r="W1718" s="15"/>
      <c r="X1718" s="15"/>
      <c r="Y1718" s="15"/>
      <c r="Z1718" s="15"/>
      <c r="AA1718" s="15"/>
    </row>
    <row r="1719">
      <c r="A1719" s="5" t="s">
        <v>7054</v>
      </c>
      <c r="B1719" s="6" t="s">
        <v>7064</v>
      </c>
      <c r="C1719" s="40" t="s">
        <v>7065</v>
      </c>
      <c r="D1719" s="8"/>
      <c r="E1719" s="8" t="s">
        <v>1217</v>
      </c>
      <c r="F1719" s="90">
        <v>20000.0</v>
      </c>
      <c r="G1719" s="97" t="s">
        <v>7066</v>
      </c>
      <c r="H1719" s="11" t="s">
        <v>7067</v>
      </c>
      <c r="I1719" s="97">
        <v>8.340442743E9</v>
      </c>
      <c r="J1719" s="11" t="s">
        <v>25</v>
      </c>
      <c r="K1719" s="12"/>
      <c r="L1719" s="13"/>
      <c r="M1719" s="14"/>
      <c r="N1719" s="15"/>
      <c r="O1719" s="5" t="s">
        <v>564</v>
      </c>
      <c r="P1719" s="15"/>
      <c r="Q1719" s="15"/>
      <c r="R1719" s="16" t="s">
        <v>28</v>
      </c>
      <c r="S1719" s="15"/>
      <c r="T1719" s="15"/>
      <c r="U1719" s="15"/>
      <c r="V1719" s="15"/>
      <c r="W1719" s="15"/>
      <c r="X1719" s="15"/>
      <c r="Y1719" s="15"/>
      <c r="Z1719" s="15"/>
      <c r="AA1719" s="15"/>
    </row>
    <row r="1720">
      <c r="A1720" s="5" t="s">
        <v>7054</v>
      </c>
      <c r="B1720" s="6" t="s">
        <v>7068</v>
      </c>
      <c r="C1720" s="40" t="s">
        <v>7069</v>
      </c>
      <c r="D1720" s="8"/>
      <c r="E1720" s="8" t="s">
        <v>87</v>
      </c>
      <c r="F1720" s="90">
        <v>1000.0</v>
      </c>
      <c r="G1720" s="97" t="s">
        <v>7070</v>
      </c>
      <c r="H1720" s="11" t="s">
        <v>44</v>
      </c>
      <c r="I1720" s="97">
        <v>9.33019115E9</v>
      </c>
      <c r="J1720" s="11" t="s">
        <v>25</v>
      </c>
      <c r="K1720" s="12"/>
      <c r="L1720" s="13"/>
      <c r="M1720" s="14"/>
      <c r="N1720" s="15"/>
      <c r="O1720" s="5" t="s">
        <v>34</v>
      </c>
      <c r="P1720" s="5" t="s">
        <v>7071</v>
      </c>
      <c r="Q1720" s="15"/>
      <c r="R1720" s="16" t="s">
        <v>28</v>
      </c>
      <c r="S1720" s="15"/>
      <c r="T1720" s="15"/>
      <c r="U1720" s="15"/>
      <c r="V1720" s="15"/>
      <c r="W1720" s="15"/>
      <c r="X1720" s="15"/>
      <c r="Y1720" s="15"/>
      <c r="Z1720" s="15"/>
      <c r="AA1720" s="15"/>
    </row>
    <row r="1721">
      <c r="A1721" s="5" t="s">
        <v>7054</v>
      </c>
      <c r="B1721" s="6" t="s">
        <v>7072</v>
      </c>
      <c r="C1721" s="40" t="s">
        <v>7073</v>
      </c>
      <c r="D1721" s="8"/>
      <c r="E1721" s="8" t="s">
        <v>523</v>
      </c>
      <c r="F1721" s="90">
        <v>2000.0</v>
      </c>
      <c r="G1721" s="97" t="s">
        <v>7074</v>
      </c>
      <c r="H1721" s="11" t="s">
        <v>7075</v>
      </c>
      <c r="I1721" s="97">
        <v>7.003507776E9</v>
      </c>
      <c r="J1721" s="11" t="s">
        <v>25</v>
      </c>
      <c r="K1721" s="12"/>
      <c r="L1721" s="13"/>
      <c r="M1721" s="14"/>
      <c r="N1721" s="15"/>
      <c r="O1721" s="5" t="s">
        <v>34</v>
      </c>
      <c r="P1721" s="5" t="s">
        <v>1751</v>
      </c>
      <c r="Q1721" s="15"/>
      <c r="R1721" s="16" t="s">
        <v>28</v>
      </c>
      <c r="S1721" s="15"/>
      <c r="T1721" s="15"/>
      <c r="U1721" s="15"/>
      <c r="V1721" s="15"/>
      <c r="W1721" s="15"/>
      <c r="X1721" s="15"/>
      <c r="Y1721" s="15"/>
      <c r="Z1721" s="15"/>
      <c r="AA1721" s="15"/>
    </row>
    <row r="1722">
      <c r="A1722" s="5" t="s">
        <v>7054</v>
      </c>
      <c r="B1722" s="6" t="s">
        <v>7076</v>
      </c>
      <c r="C1722" s="40" t="s">
        <v>7077</v>
      </c>
      <c r="D1722" s="8"/>
      <c r="E1722" s="8" t="s">
        <v>130</v>
      </c>
      <c r="F1722" s="90">
        <v>10000.0</v>
      </c>
      <c r="G1722" s="97" t="s">
        <v>7078</v>
      </c>
      <c r="H1722" s="11" t="s">
        <v>3090</v>
      </c>
      <c r="I1722" s="97">
        <v>9.3547608E9</v>
      </c>
      <c r="J1722" s="11" t="s">
        <v>25</v>
      </c>
      <c r="K1722" s="12"/>
      <c r="L1722" s="13"/>
      <c r="M1722" s="14"/>
      <c r="N1722" s="15"/>
      <c r="O1722" s="5" t="s">
        <v>564</v>
      </c>
      <c r="P1722" s="15"/>
      <c r="Q1722" s="15"/>
      <c r="R1722" s="16" t="s">
        <v>28</v>
      </c>
      <c r="S1722" s="15"/>
      <c r="T1722" s="15"/>
      <c r="U1722" s="15"/>
      <c r="V1722" s="15"/>
      <c r="W1722" s="15"/>
      <c r="X1722" s="15"/>
      <c r="Y1722" s="15"/>
      <c r="Z1722" s="15"/>
      <c r="AA1722" s="15"/>
    </row>
    <row r="1723">
      <c r="A1723" s="5" t="s">
        <v>7054</v>
      </c>
      <c r="B1723" s="6" t="s">
        <v>7079</v>
      </c>
      <c r="C1723" s="40" t="s">
        <v>7080</v>
      </c>
      <c r="D1723" s="8"/>
      <c r="E1723" s="8" t="s">
        <v>7081</v>
      </c>
      <c r="F1723" s="90">
        <v>2000.0</v>
      </c>
      <c r="G1723" s="97" t="s">
        <v>7082</v>
      </c>
      <c r="H1723" s="11" t="s">
        <v>7083</v>
      </c>
      <c r="I1723" s="97">
        <v>9.831987553E9</v>
      </c>
      <c r="J1723" s="11" t="s">
        <v>25</v>
      </c>
      <c r="K1723" s="12"/>
      <c r="L1723" s="13"/>
      <c r="M1723" s="14"/>
      <c r="N1723" s="15"/>
      <c r="O1723" s="5" t="s">
        <v>564</v>
      </c>
      <c r="P1723" s="15"/>
      <c r="Q1723" s="15"/>
      <c r="R1723" s="16" t="s">
        <v>28</v>
      </c>
      <c r="S1723" s="15"/>
      <c r="T1723" s="15"/>
      <c r="U1723" s="15"/>
      <c r="V1723" s="15"/>
      <c r="W1723" s="15"/>
      <c r="X1723" s="15"/>
      <c r="Y1723" s="15"/>
      <c r="Z1723" s="15"/>
      <c r="AA1723" s="15"/>
    </row>
    <row r="1724">
      <c r="A1724" s="5" t="s">
        <v>7084</v>
      </c>
      <c r="B1724" s="6" t="s">
        <v>7085</v>
      </c>
      <c r="C1724" s="40" t="s">
        <v>7086</v>
      </c>
      <c r="D1724" s="8"/>
      <c r="E1724" s="8" t="s">
        <v>130</v>
      </c>
      <c r="F1724" s="90">
        <v>15000.0</v>
      </c>
      <c r="G1724" s="97" t="s">
        <v>7087</v>
      </c>
      <c r="H1724" s="11" t="s">
        <v>7088</v>
      </c>
      <c r="I1724" s="97">
        <v>9.438084319E9</v>
      </c>
      <c r="J1724" s="11" t="s">
        <v>25</v>
      </c>
      <c r="K1724" s="12"/>
      <c r="L1724" s="13"/>
      <c r="M1724" s="14"/>
      <c r="N1724" s="15"/>
      <c r="O1724" s="5" t="s">
        <v>564</v>
      </c>
      <c r="P1724" s="15"/>
      <c r="Q1724" s="15"/>
      <c r="R1724" s="16" t="s">
        <v>28</v>
      </c>
      <c r="S1724" s="15"/>
      <c r="T1724" s="15"/>
      <c r="U1724" s="15"/>
      <c r="V1724" s="15"/>
      <c r="W1724" s="15"/>
      <c r="X1724" s="15"/>
      <c r="Y1724" s="15"/>
      <c r="Z1724" s="15"/>
      <c r="AA1724" s="15"/>
    </row>
    <row r="1725">
      <c r="A1725" s="5" t="s">
        <v>7084</v>
      </c>
      <c r="B1725" s="6" t="s">
        <v>7089</v>
      </c>
      <c r="C1725" s="40" t="s">
        <v>4245</v>
      </c>
      <c r="D1725" s="8"/>
      <c r="E1725" s="8" t="s">
        <v>6539</v>
      </c>
      <c r="F1725" s="90">
        <v>1000.0</v>
      </c>
      <c r="G1725" s="97" t="s">
        <v>7090</v>
      </c>
      <c r="H1725" s="11" t="s">
        <v>4248</v>
      </c>
      <c r="I1725" s="97">
        <v>9.051825548E9</v>
      </c>
      <c r="J1725" s="11" t="s">
        <v>25</v>
      </c>
      <c r="K1725" s="12"/>
      <c r="L1725" s="13"/>
      <c r="M1725" s="14"/>
      <c r="N1725" s="15"/>
      <c r="O1725" s="5" t="s">
        <v>34</v>
      </c>
      <c r="P1725" s="15"/>
      <c r="Q1725" s="15"/>
      <c r="R1725" s="16" t="s">
        <v>28</v>
      </c>
      <c r="S1725" s="15"/>
      <c r="T1725" s="15"/>
      <c r="U1725" s="15"/>
      <c r="V1725" s="15"/>
      <c r="W1725" s="15"/>
      <c r="X1725" s="15"/>
      <c r="Y1725" s="15"/>
      <c r="Z1725" s="15"/>
      <c r="AA1725" s="15"/>
    </row>
    <row r="1726">
      <c r="A1726" s="5" t="s">
        <v>7091</v>
      </c>
      <c r="B1726" s="6" t="s">
        <v>7092</v>
      </c>
      <c r="C1726" s="40" t="s">
        <v>7093</v>
      </c>
      <c r="D1726" s="40"/>
      <c r="E1726" s="40" t="s">
        <v>7094</v>
      </c>
      <c r="F1726" s="90" t="s">
        <v>7095</v>
      </c>
      <c r="G1726" s="97" t="s">
        <v>7096</v>
      </c>
      <c r="H1726" s="11" t="s">
        <v>44</v>
      </c>
      <c r="I1726" s="97">
        <v>9.830694584E9</v>
      </c>
      <c r="J1726" s="11" t="s">
        <v>25</v>
      </c>
      <c r="K1726" s="12"/>
      <c r="L1726" s="13"/>
      <c r="M1726" s="14"/>
      <c r="N1726" s="15"/>
      <c r="O1726" s="5" t="s">
        <v>564</v>
      </c>
      <c r="P1726" s="15"/>
      <c r="Q1726" s="15"/>
      <c r="R1726" s="16" t="s">
        <v>28</v>
      </c>
      <c r="S1726" s="15"/>
      <c r="T1726" s="15"/>
      <c r="U1726" s="15"/>
      <c r="V1726" s="15"/>
      <c r="W1726" s="15"/>
      <c r="X1726" s="15"/>
      <c r="Y1726" s="15"/>
      <c r="Z1726" s="15"/>
      <c r="AA1726" s="15"/>
    </row>
    <row r="1727">
      <c r="A1727" s="5" t="s">
        <v>7091</v>
      </c>
      <c r="B1727" s="6" t="s">
        <v>7097</v>
      </c>
      <c r="C1727" s="40" t="s">
        <v>7098</v>
      </c>
      <c r="D1727" s="8"/>
      <c r="E1727" s="8" t="s">
        <v>3634</v>
      </c>
      <c r="F1727" s="90">
        <v>2000.0</v>
      </c>
      <c r="G1727" s="97" t="s">
        <v>7099</v>
      </c>
      <c r="H1727" s="11" t="s">
        <v>7100</v>
      </c>
      <c r="I1727" s="97">
        <v>7.978634979E9</v>
      </c>
      <c r="J1727" s="11" t="s">
        <v>25</v>
      </c>
      <c r="K1727" s="12"/>
      <c r="L1727" s="13"/>
      <c r="M1727" s="14"/>
      <c r="N1727" s="15"/>
      <c r="O1727" s="5" t="s">
        <v>34</v>
      </c>
      <c r="P1727" s="5" t="s">
        <v>1213</v>
      </c>
      <c r="Q1727" s="15"/>
      <c r="R1727" s="16" t="s">
        <v>28</v>
      </c>
      <c r="S1727" s="15"/>
      <c r="T1727" s="15"/>
      <c r="U1727" s="15"/>
      <c r="V1727" s="15"/>
      <c r="W1727" s="15"/>
      <c r="X1727" s="15"/>
      <c r="Y1727" s="15"/>
      <c r="Z1727" s="15"/>
      <c r="AA1727" s="15"/>
    </row>
    <row r="1728">
      <c r="A1728" s="5" t="s">
        <v>7091</v>
      </c>
      <c r="B1728" s="6" t="s">
        <v>7101</v>
      </c>
      <c r="C1728" s="40" t="s">
        <v>7102</v>
      </c>
      <c r="D1728" s="8"/>
      <c r="E1728" s="8" t="s">
        <v>7103</v>
      </c>
      <c r="F1728" s="90">
        <v>1000.0</v>
      </c>
      <c r="G1728" s="97" t="s">
        <v>7104</v>
      </c>
      <c r="H1728" s="11" t="s">
        <v>44</v>
      </c>
      <c r="I1728" s="97">
        <v>9.339636043E9</v>
      </c>
      <c r="J1728" s="11" t="s">
        <v>4008</v>
      </c>
      <c r="K1728" s="12"/>
      <c r="L1728" s="13"/>
      <c r="M1728" s="14"/>
      <c r="N1728" s="15"/>
      <c r="O1728" s="5" t="s">
        <v>34</v>
      </c>
      <c r="P1728" s="5" t="s">
        <v>7105</v>
      </c>
      <c r="Q1728" s="15"/>
      <c r="R1728" s="16" t="s">
        <v>723</v>
      </c>
      <c r="S1728" s="15"/>
      <c r="T1728" s="15"/>
      <c r="U1728" s="15"/>
      <c r="V1728" s="15"/>
      <c r="W1728" s="15"/>
      <c r="X1728" s="15"/>
      <c r="Y1728" s="15"/>
      <c r="Z1728" s="15"/>
      <c r="AA1728" s="15"/>
    </row>
    <row r="1729">
      <c r="A1729" s="5" t="s">
        <v>7091</v>
      </c>
      <c r="B1729" s="6" t="s">
        <v>7106</v>
      </c>
      <c r="C1729" s="40" t="s">
        <v>7107</v>
      </c>
      <c r="D1729" s="8"/>
      <c r="E1729" s="8" t="s">
        <v>794</v>
      </c>
      <c r="F1729" s="90">
        <v>25000.0</v>
      </c>
      <c r="G1729" s="97" t="s">
        <v>7108</v>
      </c>
      <c r="H1729" s="11" t="s">
        <v>2643</v>
      </c>
      <c r="I1729" s="97">
        <v>9.826199918E9</v>
      </c>
      <c r="J1729" s="11" t="s">
        <v>7109</v>
      </c>
      <c r="K1729" s="12"/>
      <c r="L1729" s="13"/>
      <c r="M1729" s="14"/>
      <c r="N1729" s="15"/>
      <c r="O1729" s="5" t="s">
        <v>564</v>
      </c>
      <c r="P1729" s="5" t="s">
        <v>7110</v>
      </c>
      <c r="Q1729" s="15"/>
      <c r="R1729" s="16" t="s">
        <v>28</v>
      </c>
      <c r="S1729" s="15"/>
      <c r="T1729" s="15"/>
      <c r="U1729" s="15"/>
      <c r="V1729" s="15"/>
      <c r="W1729" s="15"/>
      <c r="X1729" s="15"/>
      <c r="Y1729" s="15"/>
      <c r="Z1729" s="15"/>
      <c r="AA1729" s="15"/>
    </row>
    <row r="1730">
      <c r="A1730" s="5" t="s">
        <v>7091</v>
      </c>
      <c r="B1730" s="6" t="s">
        <v>7111</v>
      </c>
      <c r="C1730" s="40" t="s">
        <v>7112</v>
      </c>
      <c r="D1730" s="8"/>
      <c r="E1730" s="8" t="s">
        <v>7103</v>
      </c>
      <c r="F1730" s="90">
        <v>500.0</v>
      </c>
      <c r="G1730" s="97" t="s">
        <v>7113</v>
      </c>
      <c r="H1730" s="11" t="s">
        <v>7114</v>
      </c>
      <c r="I1730" s="97">
        <v>6.36114646E9</v>
      </c>
      <c r="J1730" s="11" t="s">
        <v>25</v>
      </c>
      <c r="K1730" s="12"/>
      <c r="L1730" s="13"/>
      <c r="M1730" s="14"/>
      <c r="N1730" s="15"/>
      <c r="O1730" s="5" t="s">
        <v>564</v>
      </c>
      <c r="P1730" s="15"/>
      <c r="Q1730" s="15"/>
      <c r="R1730" s="16" t="s">
        <v>28</v>
      </c>
      <c r="S1730" s="15"/>
      <c r="T1730" s="15"/>
      <c r="U1730" s="15"/>
      <c r="V1730" s="15"/>
      <c r="W1730" s="15"/>
      <c r="X1730" s="15"/>
      <c r="Y1730" s="15"/>
      <c r="Z1730" s="15"/>
      <c r="AA1730" s="15"/>
    </row>
    <row r="1731">
      <c r="A1731" s="5" t="s">
        <v>7091</v>
      </c>
      <c r="B1731" s="6" t="s">
        <v>7115</v>
      </c>
      <c r="C1731" s="40" t="s">
        <v>7116</v>
      </c>
      <c r="D1731" s="8"/>
      <c r="E1731" s="8" t="s">
        <v>7117</v>
      </c>
      <c r="F1731" s="90">
        <v>500.0</v>
      </c>
      <c r="G1731" s="97"/>
      <c r="H1731" s="11" t="s">
        <v>449</v>
      </c>
      <c r="I1731" s="97">
        <v>9.064056648E9</v>
      </c>
      <c r="J1731" s="11" t="s">
        <v>25</v>
      </c>
      <c r="K1731" s="12" t="s">
        <v>7118</v>
      </c>
      <c r="L1731" s="13"/>
      <c r="M1731" s="14"/>
      <c r="N1731" s="15"/>
      <c r="O1731" s="5" t="s">
        <v>564</v>
      </c>
      <c r="P1731" s="15"/>
      <c r="Q1731" s="15"/>
      <c r="R1731" s="16" t="s">
        <v>28</v>
      </c>
      <c r="S1731" s="15"/>
      <c r="T1731" s="15"/>
      <c r="U1731" s="15"/>
      <c r="V1731" s="15"/>
      <c r="W1731" s="15"/>
      <c r="X1731" s="15"/>
      <c r="Y1731" s="15"/>
      <c r="Z1731" s="15"/>
      <c r="AA1731" s="15"/>
    </row>
    <row r="1732">
      <c r="A1732" s="5" t="s">
        <v>7091</v>
      </c>
      <c r="B1732" s="6" t="s">
        <v>7119</v>
      </c>
      <c r="C1732" s="40" t="s">
        <v>7120</v>
      </c>
      <c r="D1732" s="8"/>
      <c r="E1732" s="8" t="s">
        <v>152</v>
      </c>
      <c r="F1732" s="90">
        <v>25000.0</v>
      </c>
      <c r="G1732" s="97" t="s">
        <v>7121</v>
      </c>
      <c r="H1732" s="11" t="s">
        <v>107</v>
      </c>
      <c r="I1732" s="97">
        <v>9.555848387E9</v>
      </c>
      <c r="J1732" s="11" t="s">
        <v>4008</v>
      </c>
      <c r="K1732" s="12"/>
      <c r="L1732" s="13"/>
      <c r="M1732" s="14"/>
      <c r="N1732" s="15"/>
      <c r="O1732" s="5" t="s">
        <v>108</v>
      </c>
      <c r="P1732" s="15"/>
      <c r="Q1732" s="15"/>
      <c r="R1732" s="16" t="s">
        <v>28</v>
      </c>
      <c r="S1732" s="15"/>
      <c r="T1732" s="15"/>
      <c r="U1732" s="15"/>
      <c r="V1732" s="15"/>
      <c r="W1732" s="15"/>
      <c r="X1732" s="15"/>
      <c r="Y1732" s="15"/>
      <c r="Z1732" s="15"/>
      <c r="AA1732" s="15"/>
    </row>
    <row r="1733">
      <c r="A1733" s="5" t="s">
        <v>7122</v>
      </c>
      <c r="B1733" s="6" t="s">
        <v>7123</v>
      </c>
      <c r="C1733" s="40" t="s">
        <v>7124</v>
      </c>
      <c r="D1733" s="8"/>
      <c r="E1733" s="8" t="s">
        <v>6323</v>
      </c>
      <c r="F1733" s="90">
        <v>15000.0</v>
      </c>
      <c r="G1733" s="97" t="s">
        <v>7125</v>
      </c>
      <c r="H1733" s="11" t="s">
        <v>44</v>
      </c>
      <c r="I1733" s="97">
        <v>9.830115895E9</v>
      </c>
      <c r="J1733" s="11" t="s">
        <v>25</v>
      </c>
      <c r="K1733" s="12"/>
      <c r="L1733" s="13"/>
      <c r="M1733" s="14"/>
      <c r="N1733" s="15"/>
      <c r="O1733" s="5" t="s">
        <v>34</v>
      </c>
      <c r="P1733" s="15"/>
      <c r="Q1733" s="15"/>
      <c r="R1733" s="16" t="s">
        <v>28</v>
      </c>
      <c r="S1733" s="15"/>
      <c r="T1733" s="15"/>
      <c r="U1733" s="15"/>
      <c r="V1733" s="15"/>
      <c r="W1733" s="15"/>
      <c r="X1733" s="15"/>
      <c r="Y1733" s="15"/>
      <c r="Z1733" s="15"/>
      <c r="AA1733" s="15"/>
    </row>
    <row r="1734">
      <c r="A1734" s="5" t="s">
        <v>7122</v>
      </c>
      <c r="B1734" s="6" t="s">
        <v>7126</v>
      </c>
      <c r="C1734" s="40" t="s">
        <v>7127</v>
      </c>
      <c r="D1734" s="8"/>
      <c r="E1734" s="8" t="s">
        <v>5054</v>
      </c>
      <c r="F1734" s="90">
        <v>1000.0</v>
      </c>
      <c r="G1734" s="97" t="s">
        <v>7128</v>
      </c>
      <c r="H1734" s="11" t="s">
        <v>158</v>
      </c>
      <c r="I1734" s="97">
        <v>9.330261204E9</v>
      </c>
      <c r="J1734" s="11" t="s">
        <v>25</v>
      </c>
      <c r="K1734" s="12"/>
      <c r="L1734" s="13"/>
      <c r="M1734" s="14"/>
      <c r="N1734" s="15"/>
      <c r="O1734" s="5" t="s">
        <v>564</v>
      </c>
      <c r="P1734" s="15"/>
      <c r="Q1734" s="15"/>
      <c r="R1734" s="16" t="s">
        <v>28</v>
      </c>
      <c r="S1734" s="15"/>
      <c r="T1734" s="15"/>
      <c r="U1734" s="15"/>
      <c r="V1734" s="15"/>
      <c r="W1734" s="15"/>
      <c r="X1734" s="15"/>
      <c r="Y1734" s="15"/>
      <c r="Z1734" s="15"/>
      <c r="AA1734" s="15"/>
    </row>
    <row r="1735">
      <c r="A1735" s="5" t="s">
        <v>7122</v>
      </c>
      <c r="B1735" s="6" t="s">
        <v>7129</v>
      </c>
      <c r="C1735" s="40" t="s">
        <v>7130</v>
      </c>
      <c r="D1735" s="8"/>
      <c r="E1735" s="8" t="s">
        <v>7131</v>
      </c>
      <c r="F1735" s="90">
        <v>1000.0</v>
      </c>
      <c r="G1735" s="97" t="s">
        <v>7132</v>
      </c>
      <c r="H1735" s="36" t="s">
        <v>7133</v>
      </c>
      <c r="I1735" s="97">
        <v>9.33055843E9</v>
      </c>
      <c r="J1735" s="11" t="s">
        <v>25</v>
      </c>
      <c r="K1735" s="12"/>
      <c r="L1735" s="13"/>
      <c r="M1735" s="14"/>
      <c r="N1735" s="15"/>
      <c r="O1735" s="5" t="s">
        <v>34</v>
      </c>
      <c r="P1735" s="5" t="s">
        <v>1751</v>
      </c>
      <c r="Q1735" s="15"/>
      <c r="R1735" s="16" t="s">
        <v>723</v>
      </c>
      <c r="S1735" s="15"/>
      <c r="T1735" s="15"/>
      <c r="U1735" s="15"/>
      <c r="V1735" s="15"/>
      <c r="W1735" s="15"/>
      <c r="X1735" s="15"/>
      <c r="Y1735" s="15"/>
      <c r="Z1735" s="15"/>
      <c r="AA1735" s="15"/>
    </row>
    <row r="1736">
      <c r="A1736" s="5" t="s">
        <v>7122</v>
      </c>
      <c r="B1736" s="6" t="s">
        <v>7134</v>
      </c>
      <c r="C1736" s="40" t="s">
        <v>7135</v>
      </c>
      <c r="D1736" s="8"/>
      <c r="E1736" s="8" t="s">
        <v>87</v>
      </c>
      <c r="F1736" s="90">
        <v>2000.0</v>
      </c>
      <c r="G1736" s="97" t="s">
        <v>7136</v>
      </c>
      <c r="H1736" s="11" t="s">
        <v>44</v>
      </c>
      <c r="I1736" s="97">
        <v>6.291244765E9</v>
      </c>
      <c r="J1736" s="11" t="s">
        <v>25</v>
      </c>
      <c r="K1736" s="12"/>
      <c r="L1736" s="13"/>
      <c r="M1736" s="14"/>
      <c r="N1736" s="15"/>
      <c r="O1736" s="5" t="s">
        <v>34</v>
      </c>
      <c r="P1736" s="5" t="s">
        <v>209</v>
      </c>
      <c r="Q1736" s="5" t="s">
        <v>777</v>
      </c>
      <c r="R1736" s="16" t="s">
        <v>723</v>
      </c>
      <c r="S1736" s="15"/>
      <c r="T1736" s="15"/>
      <c r="U1736" s="15"/>
      <c r="V1736" s="15"/>
      <c r="W1736" s="15"/>
      <c r="X1736" s="15"/>
      <c r="Y1736" s="15"/>
      <c r="Z1736" s="15"/>
      <c r="AA1736" s="15"/>
    </row>
    <row r="1737">
      <c r="A1737" s="5" t="s">
        <v>7122</v>
      </c>
      <c r="B1737" s="6" t="s">
        <v>7137</v>
      </c>
      <c r="C1737" s="40" t="s">
        <v>7138</v>
      </c>
      <c r="D1737" s="8"/>
      <c r="E1737" s="8" t="s">
        <v>130</v>
      </c>
      <c r="F1737" s="90">
        <v>2000.0</v>
      </c>
      <c r="G1737" s="97" t="s">
        <v>7139</v>
      </c>
      <c r="H1737" s="11" t="s">
        <v>906</v>
      </c>
      <c r="I1737" s="97">
        <v>7.339732935E9</v>
      </c>
      <c r="J1737" s="11" t="s">
        <v>25</v>
      </c>
      <c r="K1737" s="12"/>
      <c r="L1737" s="13"/>
      <c r="M1737" s="14"/>
      <c r="N1737" s="15"/>
      <c r="O1737" s="5" t="s">
        <v>108</v>
      </c>
      <c r="P1737" s="15"/>
      <c r="Q1737" s="15"/>
      <c r="R1737" s="16" t="s">
        <v>28</v>
      </c>
      <c r="S1737" s="15"/>
      <c r="T1737" s="15"/>
      <c r="U1737" s="15"/>
      <c r="V1737" s="15"/>
      <c r="W1737" s="15"/>
      <c r="X1737" s="15"/>
      <c r="Y1737" s="15"/>
      <c r="Z1737" s="15"/>
      <c r="AA1737" s="15"/>
    </row>
    <row r="1738">
      <c r="A1738" s="5" t="s">
        <v>7140</v>
      </c>
      <c r="B1738" s="6" t="s">
        <v>7141</v>
      </c>
      <c r="C1738" s="40" t="s">
        <v>7142</v>
      </c>
      <c r="D1738" s="8"/>
      <c r="E1738" s="8" t="s">
        <v>4096</v>
      </c>
      <c r="F1738" s="90">
        <v>1000.0</v>
      </c>
      <c r="G1738" s="97" t="s">
        <v>7143</v>
      </c>
      <c r="H1738" s="11" t="s">
        <v>638</v>
      </c>
      <c r="I1738" s="97">
        <v>9.614634024E9</v>
      </c>
      <c r="J1738" s="11" t="s">
        <v>25</v>
      </c>
      <c r="K1738" s="12"/>
      <c r="L1738" s="13"/>
      <c r="M1738" s="14"/>
      <c r="N1738" s="15"/>
      <c r="O1738" s="5" t="s">
        <v>34</v>
      </c>
      <c r="P1738" s="5" t="s">
        <v>1213</v>
      </c>
      <c r="Q1738" s="15"/>
      <c r="R1738" s="16" t="s">
        <v>723</v>
      </c>
      <c r="S1738" s="15"/>
      <c r="T1738" s="15"/>
      <c r="U1738" s="15"/>
      <c r="V1738" s="15"/>
      <c r="W1738" s="15"/>
      <c r="X1738" s="15"/>
      <c r="Y1738" s="15"/>
      <c r="Z1738" s="15"/>
      <c r="AA1738" s="15"/>
    </row>
    <row r="1739">
      <c r="A1739" s="5" t="s">
        <v>7140</v>
      </c>
      <c r="B1739" s="6" t="s">
        <v>7144</v>
      </c>
      <c r="C1739" s="40" t="s">
        <v>7145</v>
      </c>
      <c r="D1739" s="8"/>
      <c r="E1739" s="8" t="s">
        <v>6232</v>
      </c>
      <c r="F1739" s="90">
        <v>10000.0</v>
      </c>
      <c r="G1739" s="97" t="s">
        <v>7146</v>
      </c>
      <c r="H1739" s="11" t="s">
        <v>7147</v>
      </c>
      <c r="I1739" s="97">
        <v>9.83213407E9</v>
      </c>
      <c r="J1739" s="11" t="s">
        <v>25</v>
      </c>
      <c r="K1739" s="12"/>
      <c r="L1739" s="13"/>
      <c r="M1739" s="14"/>
      <c r="N1739" s="15"/>
      <c r="O1739" s="5" t="s">
        <v>34</v>
      </c>
      <c r="P1739" s="5" t="s">
        <v>4850</v>
      </c>
      <c r="Q1739" s="15"/>
      <c r="R1739" s="16" t="s">
        <v>28</v>
      </c>
      <c r="S1739" s="15"/>
      <c r="T1739" s="15"/>
      <c r="U1739" s="15"/>
      <c r="V1739" s="15"/>
      <c r="W1739" s="15"/>
      <c r="X1739" s="15"/>
      <c r="Y1739" s="15"/>
      <c r="Z1739" s="15"/>
      <c r="AA1739" s="15"/>
    </row>
    <row r="1740">
      <c r="A1740" s="5" t="s">
        <v>7140</v>
      </c>
      <c r="B1740" s="6" t="s">
        <v>7148</v>
      </c>
      <c r="C1740" s="40" t="s">
        <v>7149</v>
      </c>
      <c r="D1740" s="8"/>
      <c r="E1740" s="8" t="s">
        <v>152</v>
      </c>
      <c r="F1740" s="90" t="s">
        <v>7150</v>
      </c>
      <c r="G1740" s="97" t="s">
        <v>7151</v>
      </c>
      <c r="H1740" s="11" t="s">
        <v>131</v>
      </c>
      <c r="I1740" s="97">
        <v>7.086050551E9</v>
      </c>
      <c r="J1740" s="11" t="s">
        <v>25</v>
      </c>
      <c r="K1740" s="12"/>
      <c r="L1740" s="13"/>
      <c r="M1740" s="14"/>
      <c r="N1740" s="15"/>
      <c r="O1740" s="5" t="s">
        <v>564</v>
      </c>
      <c r="P1740" s="15"/>
      <c r="Q1740" s="15"/>
      <c r="R1740" s="16" t="s">
        <v>28</v>
      </c>
      <c r="S1740" s="15"/>
      <c r="T1740" s="15"/>
      <c r="U1740" s="15"/>
      <c r="V1740" s="15"/>
      <c r="W1740" s="15"/>
      <c r="X1740" s="15"/>
      <c r="Y1740" s="15"/>
      <c r="Z1740" s="15"/>
      <c r="AA1740" s="15"/>
    </row>
    <row r="1741">
      <c r="A1741" s="5" t="s">
        <v>7140</v>
      </c>
      <c r="B1741" s="6" t="s">
        <v>7152</v>
      </c>
      <c r="C1741" s="40" t="s">
        <v>7153</v>
      </c>
      <c r="D1741" s="8"/>
      <c r="E1741" s="8" t="s">
        <v>7154</v>
      </c>
      <c r="F1741" s="90" t="s">
        <v>7155</v>
      </c>
      <c r="G1741" s="97" t="s">
        <v>7156</v>
      </c>
      <c r="H1741" s="11" t="s">
        <v>6648</v>
      </c>
      <c r="I1741" s="97">
        <v>7.004066806E9</v>
      </c>
      <c r="J1741" s="11" t="s">
        <v>25</v>
      </c>
      <c r="K1741" s="12"/>
      <c r="L1741" s="13"/>
      <c r="M1741" s="14"/>
      <c r="N1741" s="15"/>
      <c r="O1741" s="5" t="s">
        <v>564</v>
      </c>
      <c r="P1741" s="15"/>
      <c r="Q1741" s="15"/>
      <c r="R1741" s="16" t="s">
        <v>28</v>
      </c>
      <c r="S1741" s="15"/>
      <c r="T1741" s="15"/>
      <c r="U1741" s="15"/>
      <c r="V1741" s="15"/>
      <c r="W1741" s="15"/>
      <c r="X1741" s="15"/>
      <c r="Y1741" s="15"/>
      <c r="Z1741" s="15"/>
      <c r="AA1741" s="15"/>
    </row>
    <row r="1742">
      <c r="A1742" s="5" t="s">
        <v>7140</v>
      </c>
      <c r="B1742" s="6" t="s">
        <v>7157</v>
      </c>
      <c r="C1742" s="40" t="s">
        <v>7158</v>
      </c>
      <c r="D1742" s="8"/>
      <c r="E1742" s="8" t="s">
        <v>5014</v>
      </c>
      <c r="F1742" s="90">
        <v>2000.0</v>
      </c>
      <c r="G1742" s="97" t="s">
        <v>7159</v>
      </c>
      <c r="H1742" s="11" t="s">
        <v>1461</v>
      </c>
      <c r="I1742" s="97">
        <v>9.772891304E9</v>
      </c>
      <c r="J1742" s="11" t="s">
        <v>25</v>
      </c>
      <c r="K1742" s="12"/>
      <c r="L1742" s="13"/>
      <c r="M1742" s="14"/>
      <c r="N1742" s="15"/>
      <c r="O1742" s="5" t="s">
        <v>108</v>
      </c>
      <c r="P1742" s="15"/>
      <c r="Q1742" s="15"/>
      <c r="R1742" s="16" t="s">
        <v>28</v>
      </c>
      <c r="S1742" s="15"/>
      <c r="T1742" s="15"/>
      <c r="U1742" s="15"/>
      <c r="V1742" s="15"/>
      <c r="W1742" s="15"/>
      <c r="X1742" s="15"/>
      <c r="Y1742" s="15"/>
      <c r="Z1742" s="15"/>
      <c r="AA1742" s="15"/>
    </row>
    <row r="1743">
      <c r="A1743" s="5" t="s">
        <v>7140</v>
      </c>
      <c r="B1743" s="6" t="s">
        <v>7160</v>
      </c>
      <c r="C1743" s="40" t="s">
        <v>7161</v>
      </c>
      <c r="D1743" s="8"/>
      <c r="E1743" s="8" t="s">
        <v>2647</v>
      </c>
      <c r="F1743" s="90">
        <v>10000.0</v>
      </c>
      <c r="G1743" s="97" t="s">
        <v>7162</v>
      </c>
      <c r="H1743" s="11" t="s">
        <v>495</v>
      </c>
      <c r="I1743" s="97">
        <v>9.576338334E9</v>
      </c>
      <c r="J1743" s="11" t="s">
        <v>25</v>
      </c>
      <c r="K1743" s="12"/>
      <c r="L1743" s="13"/>
      <c r="M1743" s="14"/>
      <c r="N1743" s="15"/>
      <c r="O1743" s="5" t="s">
        <v>564</v>
      </c>
      <c r="P1743" s="15"/>
      <c r="Q1743" s="15"/>
      <c r="R1743" s="16" t="s">
        <v>28</v>
      </c>
      <c r="S1743" s="15"/>
      <c r="T1743" s="15"/>
      <c r="U1743" s="15"/>
      <c r="V1743" s="15"/>
      <c r="W1743" s="15"/>
      <c r="X1743" s="15"/>
      <c r="Y1743" s="15"/>
      <c r="Z1743" s="15"/>
      <c r="AA1743" s="15"/>
    </row>
    <row r="1744">
      <c r="A1744" s="5" t="s">
        <v>7140</v>
      </c>
      <c r="B1744" s="6" t="s">
        <v>7163</v>
      </c>
      <c r="C1744" s="40" t="s">
        <v>7164</v>
      </c>
      <c r="D1744" s="8"/>
      <c r="E1744" s="8" t="s">
        <v>4507</v>
      </c>
      <c r="F1744" s="90">
        <v>3000.0</v>
      </c>
      <c r="G1744" s="97" t="s">
        <v>7165</v>
      </c>
      <c r="H1744" s="11" t="s">
        <v>7166</v>
      </c>
      <c r="I1744" s="97">
        <v>8.918792629E9</v>
      </c>
      <c r="J1744" s="11" t="s">
        <v>25</v>
      </c>
      <c r="K1744" s="12"/>
      <c r="L1744" s="13"/>
      <c r="M1744" s="14"/>
      <c r="N1744" s="15"/>
      <c r="O1744" s="5" t="s">
        <v>34</v>
      </c>
      <c r="P1744" s="15"/>
      <c r="Q1744" s="15"/>
      <c r="R1744" s="16" t="s">
        <v>28</v>
      </c>
      <c r="S1744" s="15"/>
      <c r="T1744" s="15"/>
      <c r="U1744" s="15"/>
      <c r="V1744" s="15"/>
      <c r="W1744" s="15"/>
      <c r="X1744" s="15"/>
      <c r="Y1744" s="15"/>
      <c r="Z1744" s="15"/>
      <c r="AA1744" s="15"/>
    </row>
    <row r="1745">
      <c r="A1745" s="5" t="s">
        <v>7167</v>
      </c>
      <c r="B1745" s="6" t="s">
        <v>7168</v>
      </c>
      <c r="C1745" s="40" t="s">
        <v>2158</v>
      </c>
      <c r="D1745" s="8"/>
      <c r="E1745" s="8" t="s">
        <v>3824</v>
      </c>
      <c r="F1745" s="90">
        <v>2500.0</v>
      </c>
      <c r="G1745" s="97" t="s">
        <v>7169</v>
      </c>
      <c r="H1745" s="11" t="s">
        <v>7170</v>
      </c>
      <c r="I1745" s="97">
        <v>9.748188804E9</v>
      </c>
      <c r="J1745" s="11" t="s">
        <v>25</v>
      </c>
      <c r="K1745" s="12"/>
      <c r="L1745" s="13"/>
      <c r="M1745" s="14"/>
      <c r="N1745" s="15"/>
      <c r="O1745" s="5" t="s">
        <v>564</v>
      </c>
      <c r="P1745" s="15"/>
      <c r="Q1745" s="15"/>
      <c r="R1745" s="16" t="s">
        <v>28</v>
      </c>
      <c r="S1745" s="15"/>
      <c r="T1745" s="15"/>
      <c r="U1745" s="15"/>
      <c r="V1745" s="15"/>
      <c r="W1745" s="15"/>
      <c r="X1745" s="15"/>
      <c r="Y1745" s="15"/>
      <c r="Z1745" s="15"/>
      <c r="AA1745" s="15"/>
    </row>
    <row r="1746">
      <c r="A1746" s="5" t="s">
        <v>7167</v>
      </c>
      <c r="B1746" s="6" t="s">
        <v>7171</v>
      </c>
      <c r="C1746" s="40" t="s">
        <v>2873</v>
      </c>
      <c r="D1746" s="8"/>
      <c r="E1746" s="8" t="s">
        <v>7172</v>
      </c>
      <c r="F1746" s="90">
        <v>25000.0</v>
      </c>
      <c r="G1746" s="97" t="s">
        <v>6568</v>
      </c>
      <c r="H1746" s="11" t="s">
        <v>6569</v>
      </c>
      <c r="I1746" s="97">
        <v>8.420227834E9</v>
      </c>
      <c r="J1746" s="11" t="s">
        <v>25</v>
      </c>
      <c r="K1746" s="12"/>
      <c r="L1746" s="13"/>
      <c r="M1746" s="14"/>
      <c r="N1746" s="15"/>
      <c r="O1746" s="5" t="s">
        <v>34</v>
      </c>
      <c r="P1746" s="5" t="s">
        <v>209</v>
      </c>
      <c r="Q1746" s="15"/>
      <c r="R1746" s="16" t="s">
        <v>28</v>
      </c>
      <c r="S1746" s="15"/>
      <c r="T1746" s="15"/>
      <c r="U1746" s="15"/>
      <c r="V1746" s="15"/>
      <c r="W1746" s="15"/>
      <c r="X1746" s="15"/>
      <c r="Y1746" s="15"/>
      <c r="Z1746" s="15"/>
      <c r="AA1746" s="15"/>
    </row>
    <row r="1747">
      <c r="A1747" s="5" t="s">
        <v>7167</v>
      </c>
      <c r="B1747" s="6" t="s">
        <v>7173</v>
      </c>
      <c r="C1747" s="40" t="s">
        <v>7174</v>
      </c>
      <c r="D1747" s="8"/>
      <c r="E1747" s="8" t="s">
        <v>116</v>
      </c>
      <c r="F1747" s="90">
        <v>10000.0</v>
      </c>
      <c r="G1747" s="97" t="s">
        <v>7175</v>
      </c>
      <c r="H1747" s="11" t="s">
        <v>7176</v>
      </c>
      <c r="I1747" s="97">
        <v>9.931211761E9</v>
      </c>
      <c r="J1747" s="11" t="s">
        <v>25</v>
      </c>
      <c r="K1747" s="12"/>
      <c r="L1747" s="13"/>
      <c r="M1747" s="14"/>
      <c r="N1747" s="15"/>
      <c r="O1747" s="5" t="s">
        <v>564</v>
      </c>
      <c r="P1747" s="15"/>
      <c r="Q1747" s="15"/>
      <c r="R1747" s="16" t="s">
        <v>28</v>
      </c>
      <c r="S1747" s="15"/>
      <c r="T1747" s="15"/>
      <c r="U1747" s="15"/>
      <c r="V1747" s="15"/>
      <c r="W1747" s="15"/>
      <c r="X1747" s="15"/>
      <c r="Y1747" s="15"/>
      <c r="Z1747" s="15"/>
      <c r="AA1747" s="15"/>
    </row>
    <row r="1748">
      <c r="A1748" s="5" t="s">
        <v>7167</v>
      </c>
      <c r="B1748" s="6" t="s">
        <v>7177</v>
      </c>
      <c r="C1748" s="40" t="s">
        <v>7178</v>
      </c>
      <c r="D1748" s="8"/>
      <c r="E1748" s="8" t="s">
        <v>152</v>
      </c>
      <c r="F1748" s="90">
        <v>1000.0</v>
      </c>
      <c r="G1748" s="97" t="s">
        <v>7179</v>
      </c>
      <c r="H1748" s="11" t="s">
        <v>7180</v>
      </c>
      <c r="I1748" s="97">
        <v>9.337576603E9</v>
      </c>
      <c r="J1748" s="11" t="s">
        <v>25</v>
      </c>
      <c r="K1748" s="12"/>
      <c r="L1748" s="13"/>
      <c r="M1748" s="14"/>
      <c r="N1748" s="15"/>
      <c r="O1748" s="5" t="s">
        <v>34</v>
      </c>
      <c r="P1748" s="5" t="s">
        <v>1751</v>
      </c>
      <c r="Q1748" s="15"/>
      <c r="R1748" s="16" t="s">
        <v>28</v>
      </c>
      <c r="S1748" s="15"/>
      <c r="T1748" s="15"/>
      <c r="U1748" s="15"/>
      <c r="V1748" s="15"/>
      <c r="W1748" s="15"/>
      <c r="X1748" s="15"/>
      <c r="Y1748" s="15"/>
      <c r="Z1748" s="15"/>
      <c r="AA1748" s="15"/>
    </row>
    <row r="1749">
      <c r="A1749" s="5" t="s">
        <v>7167</v>
      </c>
      <c r="B1749" s="6" t="s">
        <v>7181</v>
      </c>
      <c r="C1749" s="40" t="s">
        <v>7182</v>
      </c>
      <c r="D1749" s="8"/>
      <c r="E1749" s="8" t="s">
        <v>1217</v>
      </c>
      <c r="F1749" s="90">
        <v>500.0</v>
      </c>
      <c r="G1749" s="97" t="s">
        <v>7183</v>
      </c>
      <c r="H1749" s="11" t="s">
        <v>7184</v>
      </c>
      <c r="I1749" s="97">
        <v>9.435768611E9</v>
      </c>
      <c r="J1749" s="11" t="s">
        <v>25</v>
      </c>
      <c r="K1749" s="12"/>
      <c r="L1749" s="13"/>
      <c r="M1749" s="14"/>
      <c r="N1749" s="15"/>
      <c r="O1749" s="5" t="s">
        <v>564</v>
      </c>
      <c r="P1749" s="5" t="s">
        <v>1544</v>
      </c>
      <c r="Q1749" s="15"/>
      <c r="R1749" s="16" t="s">
        <v>28</v>
      </c>
      <c r="S1749" s="15"/>
      <c r="T1749" s="15"/>
      <c r="U1749" s="15"/>
      <c r="V1749" s="15"/>
      <c r="W1749" s="15"/>
      <c r="X1749" s="15"/>
      <c r="Y1749" s="15"/>
      <c r="Z1749" s="15"/>
      <c r="AA1749" s="15"/>
    </row>
    <row r="1750">
      <c r="A1750" s="5" t="s">
        <v>7185</v>
      </c>
      <c r="B1750" s="6" t="s">
        <v>7186</v>
      </c>
      <c r="C1750" s="40" t="s">
        <v>7187</v>
      </c>
      <c r="D1750" s="8"/>
      <c r="E1750" s="8" t="s">
        <v>7188</v>
      </c>
      <c r="F1750" s="90">
        <v>10000.0</v>
      </c>
      <c r="G1750" s="97"/>
      <c r="H1750" s="11" t="s">
        <v>44</v>
      </c>
      <c r="I1750" s="97">
        <v>8.240345901E9</v>
      </c>
      <c r="J1750" s="11" t="s">
        <v>4008</v>
      </c>
      <c r="K1750" s="12"/>
      <c r="L1750" s="13"/>
      <c r="M1750" s="14"/>
      <c r="N1750" s="15"/>
      <c r="O1750" s="5" t="s">
        <v>34</v>
      </c>
      <c r="P1750" s="5" t="s">
        <v>55</v>
      </c>
      <c r="Q1750" s="15"/>
      <c r="R1750" s="16" t="s">
        <v>28</v>
      </c>
      <c r="S1750" s="15"/>
      <c r="T1750" s="15"/>
      <c r="U1750" s="15"/>
      <c r="V1750" s="15"/>
      <c r="W1750" s="15"/>
      <c r="X1750" s="15"/>
      <c r="Y1750" s="15"/>
      <c r="Z1750" s="15"/>
      <c r="AA1750" s="15"/>
    </row>
    <row r="1751">
      <c r="A1751" s="5" t="s">
        <v>7185</v>
      </c>
      <c r="B1751" s="6" t="s">
        <v>7189</v>
      </c>
      <c r="C1751" s="40" t="s">
        <v>7190</v>
      </c>
      <c r="D1751" s="8"/>
      <c r="E1751" s="8" t="s">
        <v>130</v>
      </c>
      <c r="F1751" s="90">
        <v>3000.0</v>
      </c>
      <c r="G1751" s="97" t="s">
        <v>7191</v>
      </c>
      <c r="H1751" s="11" t="s">
        <v>7192</v>
      </c>
      <c r="I1751" s="97">
        <v>9.692349163E9</v>
      </c>
      <c r="J1751" s="11" t="s">
        <v>25</v>
      </c>
      <c r="K1751" s="12"/>
      <c r="L1751" s="13"/>
      <c r="M1751" s="14"/>
      <c r="N1751" s="15"/>
      <c r="O1751" s="5" t="s">
        <v>34</v>
      </c>
      <c r="P1751" s="5" t="s">
        <v>7193</v>
      </c>
      <c r="Q1751" s="5" t="s">
        <v>7194</v>
      </c>
      <c r="R1751" s="16" t="s">
        <v>723</v>
      </c>
      <c r="S1751" s="15"/>
      <c r="T1751" s="15"/>
      <c r="U1751" s="15"/>
      <c r="V1751" s="15"/>
      <c r="W1751" s="15"/>
      <c r="X1751" s="15"/>
      <c r="Y1751" s="15"/>
      <c r="Z1751" s="15"/>
      <c r="AA1751" s="15"/>
    </row>
    <row r="1752">
      <c r="A1752" s="5" t="s">
        <v>7185</v>
      </c>
      <c r="B1752" s="6" t="s">
        <v>7195</v>
      </c>
      <c r="C1752" s="40" t="s">
        <v>7196</v>
      </c>
      <c r="D1752" s="8"/>
      <c r="E1752" s="8" t="s">
        <v>7197</v>
      </c>
      <c r="F1752" s="90">
        <v>25000.0</v>
      </c>
      <c r="G1752" s="97" t="s">
        <v>7198</v>
      </c>
      <c r="H1752" s="11" t="s">
        <v>44</v>
      </c>
      <c r="I1752" s="97">
        <v>6.290030803E9</v>
      </c>
      <c r="J1752" s="11" t="s">
        <v>4008</v>
      </c>
      <c r="K1752" s="12"/>
      <c r="L1752" s="13"/>
      <c r="M1752" s="14"/>
      <c r="N1752" s="15"/>
      <c r="O1752" s="5" t="s">
        <v>564</v>
      </c>
      <c r="P1752" s="5" t="s">
        <v>544</v>
      </c>
      <c r="Q1752" s="15"/>
      <c r="R1752" s="16" t="s">
        <v>28</v>
      </c>
      <c r="S1752" s="15"/>
      <c r="T1752" s="15"/>
      <c r="U1752" s="15"/>
      <c r="V1752" s="15"/>
      <c r="W1752" s="15"/>
      <c r="X1752" s="15"/>
      <c r="Y1752" s="15"/>
      <c r="Z1752" s="15"/>
      <c r="AA1752" s="15"/>
    </row>
    <row r="1753">
      <c r="A1753" s="5" t="s">
        <v>7185</v>
      </c>
      <c r="B1753" s="6" t="s">
        <v>7199</v>
      </c>
      <c r="C1753" s="40" t="s">
        <v>7200</v>
      </c>
      <c r="D1753" s="8"/>
      <c r="E1753" s="8" t="s">
        <v>7201</v>
      </c>
      <c r="F1753" s="90" t="s">
        <v>7202</v>
      </c>
      <c r="G1753" s="97" t="s">
        <v>7203</v>
      </c>
      <c r="H1753" s="11" t="s">
        <v>7204</v>
      </c>
      <c r="I1753" s="97" t="s">
        <v>7205</v>
      </c>
      <c r="J1753" s="11" t="s">
        <v>25</v>
      </c>
      <c r="K1753" s="12"/>
      <c r="L1753" s="13"/>
      <c r="M1753" s="14"/>
      <c r="N1753" s="15"/>
      <c r="O1753" s="5" t="s">
        <v>564</v>
      </c>
      <c r="P1753" s="15"/>
      <c r="Q1753" s="15"/>
      <c r="R1753" s="16" t="s">
        <v>28</v>
      </c>
      <c r="S1753" s="15"/>
      <c r="T1753" s="15"/>
      <c r="U1753" s="15"/>
      <c r="V1753" s="15"/>
      <c r="W1753" s="15"/>
      <c r="X1753" s="15"/>
      <c r="Y1753" s="15"/>
      <c r="Z1753" s="15"/>
      <c r="AA1753" s="15"/>
    </row>
    <row r="1754">
      <c r="A1754" s="5" t="s">
        <v>7185</v>
      </c>
      <c r="B1754" s="6" t="s">
        <v>7206</v>
      </c>
      <c r="C1754" s="40" t="s">
        <v>3428</v>
      </c>
      <c r="D1754" s="8"/>
      <c r="E1754" s="8" t="s">
        <v>1217</v>
      </c>
      <c r="F1754" s="90">
        <v>2500.0</v>
      </c>
      <c r="G1754" s="97" t="s">
        <v>3429</v>
      </c>
      <c r="H1754" s="11" t="s">
        <v>7207</v>
      </c>
      <c r="I1754" s="97">
        <v>9.614245845E9</v>
      </c>
      <c r="J1754" s="11" t="s">
        <v>25</v>
      </c>
      <c r="K1754" s="12"/>
      <c r="L1754" s="13"/>
      <c r="M1754" s="14"/>
      <c r="N1754" s="15"/>
      <c r="O1754" s="5" t="s">
        <v>564</v>
      </c>
      <c r="P1754" s="15"/>
      <c r="Q1754" s="15"/>
      <c r="R1754" s="16" t="s">
        <v>28</v>
      </c>
      <c r="S1754" s="15"/>
      <c r="T1754" s="15"/>
      <c r="U1754" s="15"/>
      <c r="V1754" s="15"/>
      <c r="W1754" s="15"/>
      <c r="X1754" s="15"/>
      <c r="Y1754" s="15"/>
      <c r="Z1754" s="15"/>
      <c r="AA1754" s="15"/>
    </row>
    <row r="1755">
      <c r="A1755" s="5" t="s">
        <v>7185</v>
      </c>
      <c r="B1755" s="6" t="s">
        <v>7208</v>
      </c>
      <c r="C1755" s="40" t="s">
        <v>7209</v>
      </c>
      <c r="D1755" s="8"/>
      <c r="E1755" s="8" t="s">
        <v>7210</v>
      </c>
      <c r="F1755" s="90" t="s">
        <v>7211</v>
      </c>
      <c r="G1755" s="97" t="s">
        <v>7212</v>
      </c>
      <c r="H1755" s="11" t="s">
        <v>44</v>
      </c>
      <c r="I1755" s="97">
        <v>7.439958383E9</v>
      </c>
      <c r="J1755" s="11" t="s">
        <v>25</v>
      </c>
      <c r="K1755" s="12"/>
      <c r="L1755" s="13"/>
      <c r="M1755" s="14"/>
      <c r="N1755" s="15"/>
      <c r="O1755" s="5" t="s">
        <v>564</v>
      </c>
      <c r="P1755" s="15"/>
      <c r="Q1755" s="15"/>
      <c r="R1755" s="16" t="s">
        <v>28</v>
      </c>
      <c r="S1755" s="15"/>
      <c r="T1755" s="15"/>
      <c r="U1755" s="15"/>
      <c r="V1755" s="15"/>
      <c r="W1755" s="15"/>
      <c r="X1755" s="15"/>
      <c r="Y1755" s="15"/>
      <c r="Z1755" s="15"/>
      <c r="AA1755" s="15"/>
    </row>
    <row r="1756">
      <c r="A1756" s="5" t="s">
        <v>7213</v>
      </c>
      <c r="B1756" s="6" t="s">
        <v>7214</v>
      </c>
      <c r="C1756" s="40" t="s">
        <v>7215</v>
      </c>
      <c r="D1756" s="8"/>
      <c r="E1756" s="8" t="s">
        <v>130</v>
      </c>
      <c r="F1756" s="90">
        <v>2000.0</v>
      </c>
      <c r="G1756" s="120" t="s">
        <v>7216</v>
      </c>
      <c r="H1756" s="11" t="s">
        <v>977</v>
      </c>
      <c r="I1756" s="97">
        <v>7.903876164E9</v>
      </c>
      <c r="J1756" s="11" t="s">
        <v>25</v>
      </c>
      <c r="K1756" s="12"/>
      <c r="L1756" s="13"/>
      <c r="M1756" s="14"/>
      <c r="N1756" s="15"/>
      <c r="O1756" s="5" t="s">
        <v>34</v>
      </c>
      <c r="P1756" s="5" t="s">
        <v>7217</v>
      </c>
      <c r="Q1756" s="5" t="s">
        <v>777</v>
      </c>
      <c r="R1756" s="16" t="s">
        <v>723</v>
      </c>
      <c r="S1756" s="15"/>
      <c r="T1756" s="15"/>
      <c r="U1756" s="15"/>
      <c r="V1756" s="15"/>
      <c r="W1756" s="15"/>
      <c r="X1756" s="15"/>
      <c r="Y1756" s="15"/>
      <c r="Z1756" s="15"/>
      <c r="AA1756" s="15"/>
    </row>
    <row r="1757">
      <c r="A1757" s="5" t="s">
        <v>7213</v>
      </c>
      <c r="B1757" s="6" t="s">
        <v>7218</v>
      </c>
      <c r="C1757" s="40" t="s">
        <v>2812</v>
      </c>
      <c r="D1757" s="8"/>
      <c r="E1757" s="8" t="s">
        <v>152</v>
      </c>
      <c r="F1757" s="90">
        <v>1000.0</v>
      </c>
      <c r="G1757" s="120" t="s">
        <v>7219</v>
      </c>
      <c r="H1757" s="11" t="s">
        <v>7220</v>
      </c>
      <c r="I1757" s="97">
        <v>9.325813194E9</v>
      </c>
      <c r="J1757" s="151" t="s">
        <v>7221</v>
      </c>
      <c r="K1757" s="12"/>
      <c r="L1757" s="13"/>
      <c r="M1757" s="14"/>
      <c r="N1757" s="5" t="s">
        <v>7222</v>
      </c>
      <c r="O1757" s="5" t="s">
        <v>108</v>
      </c>
      <c r="P1757" s="5" t="s">
        <v>7223</v>
      </c>
      <c r="Q1757" s="15"/>
      <c r="R1757" s="16" t="s">
        <v>28</v>
      </c>
      <c r="S1757" s="15"/>
      <c r="T1757" s="15"/>
      <c r="U1757" s="15"/>
      <c r="V1757" s="15"/>
      <c r="W1757" s="15"/>
      <c r="X1757" s="15"/>
      <c r="Y1757" s="15"/>
      <c r="Z1757" s="15"/>
      <c r="AA1757" s="15"/>
    </row>
    <row r="1758">
      <c r="A1758" s="5" t="s">
        <v>7213</v>
      </c>
      <c r="B1758" s="6" t="s">
        <v>7224</v>
      </c>
      <c r="C1758" s="40" t="s">
        <v>7225</v>
      </c>
      <c r="D1758" s="8"/>
      <c r="E1758" s="8" t="s">
        <v>7226</v>
      </c>
      <c r="F1758" s="9">
        <v>150000.0</v>
      </c>
      <c r="G1758" s="120" t="s">
        <v>7227</v>
      </c>
      <c r="H1758" s="152" t="s">
        <v>7228</v>
      </c>
      <c r="I1758" s="97">
        <v>9.574247523E9</v>
      </c>
      <c r="J1758" s="84" t="s">
        <v>7109</v>
      </c>
      <c r="K1758" s="12"/>
      <c r="L1758" s="13"/>
      <c r="M1758" s="14"/>
      <c r="N1758" s="15"/>
      <c r="O1758" s="5" t="s">
        <v>108</v>
      </c>
      <c r="P1758" s="15"/>
      <c r="Q1758" s="15"/>
      <c r="R1758" s="16" t="s">
        <v>28</v>
      </c>
      <c r="S1758" s="15"/>
      <c r="T1758" s="15"/>
      <c r="U1758" s="15"/>
      <c r="V1758" s="15"/>
      <c r="W1758" s="15"/>
      <c r="X1758" s="15"/>
      <c r="Y1758" s="15"/>
      <c r="Z1758" s="15"/>
      <c r="AA1758" s="15"/>
    </row>
    <row r="1759">
      <c r="A1759" s="5" t="s">
        <v>7213</v>
      </c>
      <c r="B1759" s="6" t="s">
        <v>7229</v>
      </c>
      <c r="C1759" s="40" t="s">
        <v>392</v>
      </c>
      <c r="D1759" s="8"/>
      <c r="E1759" s="8" t="s">
        <v>70</v>
      </c>
      <c r="F1759" s="90">
        <v>5000.0</v>
      </c>
      <c r="G1759" s="120" t="s">
        <v>7230</v>
      </c>
      <c r="H1759" s="11" t="s">
        <v>507</v>
      </c>
      <c r="I1759" s="97">
        <v>7.021809013E9</v>
      </c>
      <c r="J1759" s="11" t="s">
        <v>4008</v>
      </c>
      <c r="K1759" s="12"/>
      <c r="L1759" s="13"/>
      <c r="M1759" s="14"/>
      <c r="N1759" s="5" t="s">
        <v>7231</v>
      </c>
      <c r="O1759" s="5" t="s">
        <v>108</v>
      </c>
      <c r="P1759" s="5" t="s">
        <v>7232</v>
      </c>
      <c r="Q1759" s="15"/>
      <c r="R1759" s="16" t="s">
        <v>28</v>
      </c>
      <c r="S1759" s="15"/>
      <c r="T1759" s="15"/>
      <c r="U1759" s="15"/>
      <c r="V1759" s="15"/>
      <c r="W1759" s="15"/>
      <c r="X1759" s="15"/>
      <c r="Y1759" s="15"/>
      <c r="Z1759" s="15"/>
      <c r="AA1759" s="15"/>
    </row>
    <row r="1760">
      <c r="A1760" s="5" t="s">
        <v>7213</v>
      </c>
      <c r="B1760" s="6" t="s">
        <v>7233</v>
      </c>
      <c r="C1760" s="40" t="s">
        <v>1788</v>
      </c>
      <c r="D1760" s="8"/>
      <c r="E1760" s="8" t="s">
        <v>130</v>
      </c>
      <c r="F1760" s="9">
        <v>25000.0</v>
      </c>
      <c r="G1760" s="120" t="s">
        <v>7234</v>
      </c>
      <c r="H1760" s="11" t="s">
        <v>507</v>
      </c>
      <c r="I1760" s="97">
        <v>9.152054768E9</v>
      </c>
      <c r="J1760" s="11" t="s">
        <v>4008</v>
      </c>
      <c r="K1760" s="12"/>
      <c r="L1760" s="13"/>
      <c r="M1760" s="14"/>
      <c r="N1760" s="5" t="s">
        <v>7235</v>
      </c>
      <c r="O1760" s="5" t="s">
        <v>108</v>
      </c>
      <c r="P1760" s="5" t="s">
        <v>7236</v>
      </c>
      <c r="Q1760" s="15"/>
      <c r="R1760" s="16" t="s">
        <v>28</v>
      </c>
      <c r="S1760" s="15"/>
      <c r="T1760" s="15"/>
      <c r="U1760" s="15"/>
      <c r="V1760" s="15"/>
      <c r="W1760" s="15"/>
      <c r="X1760" s="15"/>
      <c r="Y1760" s="15"/>
      <c r="Z1760" s="15"/>
      <c r="AA1760" s="15"/>
    </row>
    <row r="1761">
      <c r="A1761" s="5" t="s">
        <v>7237</v>
      </c>
      <c r="B1761" s="6" t="s">
        <v>7238</v>
      </c>
      <c r="C1761" s="40" t="s">
        <v>7239</v>
      </c>
      <c r="D1761" s="8"/>
      <c r="E1761" s="8" t="s">
        <v>6275</v>
      </c>
      <c r="F1761" s="90">
        <v>10000.0</v>
      </c>
      <c r="G1761" s="97" t="s">
        <v>7240</v>
      </c>
      <c r="H1761" s="11" t="s">
        <v>1315</v>
      </c>
      <c r="I1761" s="97">
        <v>8.469078205E9</v>
      </c>
      <c r="J1761" s="11" t="s">
        <v>4008</v>
      </c>
      <c r="K1761" s="12"/>
      <c r="L1761" s="13"/>
      <c r="M1761" s="14"/>
      <c r="N1761" s="15"/>
      <c r="O1761" s="5" t="s">
        <v>108</v>
      </c>
      <c r="P1761" s="15"/>
      <c r="Q1761" s="15"/>
      <c r="R1761" s="16" t="s">
        <v>28</v>
      </c>
      <c r="S1761" s="15"/>
      <c r="T1761" s="15"/>
      <c r="U1761" s="15"/>
      <c r="V1761" s="15"/>
      <c r="W1761" s="15"/>
      <c r="X1761" s="15"/>
      <c r="Y1761" s="15"/>
      <c r="Z1761" s="15"/>
      <c r="AA1761" s="15"/>
    </row>
    <row r="1762">
      <c r="A1762" s="5" t="s">
        <v>7237</v>
      </c>
      <c r="B1762" s="6" t="s">
        <v>7241</v>
      </c>
      <c r="C1762" s="40" t="s">
        <v>7242</v>
      </c>
      <c r="D1762" s="8"/>
      <c r="E1762" s="8" t="s">
        <v>5293</v>
      </c>
      <c r="F1762" s="90">
        <v>5000.0</v>
      </c>
      <c r="G1762" s="97" t="s">
        <v>7243</v>
      </c>
      <c r="H1762" s="11" t="s">
        <v>44</v>
      </c>
      <c r="I1762" s="97">
        <v>7.003903764E9</v>
      </c>
      <c r="J1762" s="11" t="s">
        <v>25</v>
      </c>
      <c r="K1762" s="12"/>
      <c r="L1762" s="13"/>
      <c r="M1762" s="14"/>
      <c r="N1762" s="15"/>
      <c r="O1762" s="5" t="s">
        <v>34</v>
      </c>
      <c r="P1762" s="15"/>
      <c r="Q1762" s="15"/>
      <c r="R1762" s="16" t="s">
        <v>28</v>
      </c>
      <c r="S1762" s="15"/>
      <c r="T1762" s="15"/>
      <c r="U1762" s="15"/>
      <c r="V1762" s="15"/>
      <c r="W1762" s="15"/>
      <c r="X1762" s="15"/>
      <c r="Y1762" s="15"/>
      <c r="Z1762" s="15"/>
      <c r="AA1762" s="15"/>
    </row>
    <row r="1763">
      <c r="A1763" s="5" t="s">
        <v>7244</v>
      </c>
      <c r="B1763" s="6" t="s">
        <v>7245</v>
      </c>
      <c r="C1763" s="40" t="s">
        <v>7246</v>
      </c>
      <c r="D1763" s="8"/>
      <c r="E1763" s="8" t="s">
        <v>7247</v>
      </c>
      <c r="F1763" s="90" t="s">
        <v>7248</v>
      </c>
      <c r="G1763" s="97" t="s">
        <v>6845</v>
      </c>
      <c r="H1763" s="11" t="s">
        <v>44</v>
      </c>
      <c r="I1763" s="97">
        <v>9.123091047E9</v>
      </c>
      <c r="J1763" s="11" t="s">
        <v>4008</v>
      </c>
      <c r="K1763" s="12"/>
      <c r="L1763" s="13"/>
      <c r="M1763" s="14"/>
      <c r="N1763" s="15"/>
      <c r="O1763" s="5" t="s">
        <v>34</v>
      </c>
      <c r="P1763" s="5" t="s">
        <v>269</v>
      </c>
      <c r="Q1763" s="15"/>
      <c r="R1763" s="16" t="s">
        <v>248</v>
      </c>
      <c r="S1763" s="15"/>
      <c r="T1763" s="15"/>
      <c r="U1763" s="15"/>
      <c r="V1763" s="15"/>
      <c r="W1763" s="15"/>
      <c r="X1763" s="15"/>
      <c r="Y1763" s="15"/>
      <c r="Z1763" s="15"/>
      <c r="AA1763" s="15"/>
    </row>
    <row r="1764">
      <c r="A1764" s="5" t="s">
        <v>7244</v>
      </c>
      <c r="B1764" s="6" t="s">
        <v>7249</v>
      </c>
      <c r="C1764" s="40" t="s">
        <v>7250</v>
      </c>
      <c r="D1764" s="8"/>
      <c r="E1764" s="8" t="s">
        <v>130</v>
      </c>
      <c r="F1764" s="90">
        <v>1000.0</v>
      </c>
      <c r="G1764" s="97"/>
      <c r="H1764" s="11" t="s">
        <v>977</v>
      </c>
      <c r="I1764" s="97">
        <v>8.555961006E9</v>
      </c>
      <c r="J1764" s="11" t="s">
        <v>4008</v>
      </c>
      <c r="K1764" s="12"/>
      <c r="L1764" s="13"/>
      <c r="M1764" s="14"/>
      <c r="N1764" s="15"/>
      <c r="O1764" s="5" t="s">
        <v>564</v>
      </c>
      <c r="P1764" s="5" t="s">
        <v>7251</v>
      </c>
      <c r="Q1764" s="15"/>
      <c r="R1764" s="16" t="s">
        <v>28</v>
      </c>
      <c r="S1764" s="15"/>
      <c r="T1764" s="15"/>
      <c r="U1764" s="15"/>
      <c r="V1764" s="15"/>
      <c r="W1764" s="15"/>
      <c r="X1764" s="15"/>
      <c r="Y1764" s="15"/>
      <c r="Z1764" s="15"/>
      <c r="AA1764" s="15"/>
    </row>
    <row r="1765">
      <c r="A1765" s="5" t="s">
        <v>7252</v>
      </c>
      <c r="B1765" s="6" t="s">
        <v>7253</v>
      </c>
      <c r="C1765" s="40" t="s">
        <v>7254</v>
      </c>
      <c r="D1765" s="8"/>
      <c r="E1765" s="8" t="s">
        <v>7255</v>
      </c>
      <c r="F1765" s="90" t="s">
        <v>7256</v>
      </c>
      <c r="G1765" s="97" t="s">
        <v>7257</v>
      </c>
      <c r="H1765" s="11" t="s">
        <v>7258</v>
      </c>
      <c r="I1765" s="97" t="s">
        <v>7259</v>
      </c>
      <c r="J1765" s="11" t="s">
        <v>25</v>
      </c>
      <c r="K1765" s="12"/>
      <c r="L1765" s="13"/>
      <c r="M1765" s="14"/>
      <c r="N1765" s="15"/>
      <c r="O1765" s="5" t="s">
        <v>564</v>
      </c>
      <c r="P1765" s="5" t="s">
        <v>1341</v>
      </c>
      <c r="Q1765" s="15"/>
      <c r="R1765" s="16" t="s">
        <v>28</v>
      </c>
      <c r="S1765" s="15"/>
      <c r="T1765" s="15"/>
      <c r="U1765" s="15"/>
      <c r="V1765" s="15"/>
      <c r="W1765" s="15"/>
      <c r="X1765" s="15"/>
      <c r="Y1765" s="15"/>
      <c r="Z1765" s="15"/>
      <c r="AA1765" s="15"/>
    </row>
    <row r="1766">
      <c r="A1766" s="5" t="s">
        <v>7252</v>
      </c>
      <c r="B1766" s="6" t="s">
        <v>7260</v>
      </c>
      <c r="C1766" s="40" t="s">
        <v>7261</v>
      </c>
      <c r="D1766" s="8"/>
      <c r="E1766" s="8" t="s">
        <v>286</v>
      </c>
      <c r="F1766" s="90">
        <v>1000.0</v>
      </c>
      <c r="G1766" s="97" t="s">
        <v>7262</v>
      </c>
      <c r="H1766" s="11" t="s">
        <v>7263</v>
      </c>
      <c r="I1766" s="97">
        <v>7.679848141E9</v>
      </c>
      <c r="J1766" s="11" t="s">
        <v>25</v>
      </c>
      <c r="K1766" s="12"/>
      <c r="L1766" s="13"/>
      <c r="M1766" s="14"/>
      <c r="N1766" s="15"/>
      <c r="O1766" s="5" t="s">
        <v>34</v>
      </c>
      <c r="P1766" s="5" t="s">
        <v>7264</v>
      </c>
      <c r="Q1766" s="15"/>
      <c r="R1766" s="16" t="s">
        <v>723</v>
      </c>
      <c r="S1766" s="15"/>
      <c r="T1766" s="15"/>
      <c r="U1766" s="15"/>
      <c r="V1766" s="15"/>
      <c r="W1766" s="15"/>
      <c r="X1766" s="15"/>
      <c r="Y1766" s="15"/>
      <c r="Z1766" s="15"/>
      <c r="AA1766" s="15"/>
    </row>
    <row r="1767">
      <c r="A1767" s="5" t="s">
        <v>7252</v>
      </c>
      <c r="B1767" s="131" t="s">
        <v>7265</v>
      </c>
      <c r="C1767" s="40" t="s">
        <v>7266</v>
      </c>
      <c r="D1767" s="8"/>
      <c r="E1767" s="8" t="s">
        <v>189</v>
      </c>
      <c r="F1767" s="90">
        <v>10000.0</v>
      </c>
      <c r="G1767" s="97" t="s">
        <v>7267</v>
      </c>
      <c r="H1767" s="11" t="s">
        <v>99</v>
      </c>
      <c r="I1767" s="97">
        <v>7.008152625E9</v>
      </c>
      <c r="J1767" s="11" t="s">
        <v>25</v>
      </c>
      <c r="K1767" s="12"/>
      <c r="L1767" s="13"/>
      <c r="M1767" s="14"/>
      <c r="N1767" s="15"/>
      <c r="O1767" s="5" t="s">
        <v>34</v>
      </c>
      <c r="P1767" s="15"/>
      <c r="Q1767" s="15"/>
      <c r="R1767" s="16" t="s">
        <v>28</v>
      </c>
      <c r="S1767" s="15"/>
      <c r="T1767" s="15"/>
      <c r="U1767" s="15"/>
      <c r="V1767" s="15"/>
      <c r="W1767" s="15"/>
      <c r="X1767" s="15"/>
      <c r="Y1767" s="15"/>
      <c r="Z1767" s="15"/>
      <c r="AA1767" s="15"/>
    </row>
    <row r="1768">
      <c r="A1768" s="5" t="s">
        <v>7252</v>
      </c>
      <c r="B1768" s="6" t="s">
        <v>7268</v>
      </c>
      <c r="C1768" s="40" t="s">
        <v>7269</v>
      </c>
      <c r="D1768" s="8"/>
      <c r="E1768" s="8" t="s">
        <v>22</v>
      </c>
      <c r="F1768" s="90">
        <v>25000.0</v>
      </c>
      <c r="G1768" s="97" t="s">
        <v>7270</v>
      </c>
      <c r="H1768" s="11" t="s">
        <v>44</v>
      </c>
      <c r="I1768" s="97">
        <v>9.073143951E9</v>
      </c>
      <c r="J1768" s="11" t="s">
        <v>4008</v>
      </c>
      <c r="K1768" s="12" t="s">
        <v>7271</v>
      </c>
      <c r="L1768" s="13"/>
      <c r="M1768" s="14"/>
      <c r="N1768" s="15"/>
      <c r="O1768" s="5" t="s">
        <v>564</v>
      </c>
      <c r="P1768" s="15"/>
      <c r="Q1768" s="15"/>
      <c r="R1768" s="16" t="s">
        <v>28</v>
      </c>
      <c r="S1768" s="15"/>
      <c r="T1768" s="15"/>
      <c r="U1768" s="15"/>
      <c r="V1768" s="15"/>
      <c r="W1768" s="15"/>
      <c r="X1768" s="15"/>
      <c r="Y1768" s="15"/>
      <c r="Z1768" s="15"/>
      <c r="AA1768" s="15"/>
    </row>
    <row r="1769">
      <c r="A1769" s="5" t="s">
        <v>7272</v>
      </c>
      <c r="B1769" s="6" t="s">
        <v>7273</v>
      </c>
      <c r="C1769" s="40" t="s">
        <v>7274</v>
      </c>
      <c r="D1769" s="8"/>
      <c r="E1769" s="8" t="s">
        <v>798</v>
      </c>
      <c r="F1769" s="90">
        <v>1000.0</v>
      </c>
      <c r="G1769" s="97" t="s">
        <v>7275</v>
      </c>
      <c r="H1769" s="11" t="s">
        <v>44</v>
      </c>
      <c r="I1769" s="97">
        <v>9.748813443E9</v>
      </c>
      <c r="J1769" s="11" t="s">
        <v>4008</v>
      </c>
      <c r="K1769" s="12" t="s">
        <v>7276</v>
      </c>
      <c r="L1769" s="13"/>
      <c r="M1769" s="14"/>
      <c r="N1769" s="15"/>
      <c r="O1769" s="5" t="s">
        <v>564</v>
      </c>
      <c r="P1769" s="15"/>
      <c r="Q1769" s="15"/>
      <c r="R1769" s="16" t="s">
        <v>28</v>
      </c>
      <c r="S1769" s="15"/>
      <c r="T1769" s="15"/>
      <c r="U1769" s="15"/>
      <c r="V1769" s="15"/>
      <c r="W1769" s="15"/>
      <c r="X1769" s="15"/>
      <c r="Y1769" s="15"/>
      <c r="Z1769" s="15"/>
      <c r="AA1769" s="15"/>
    </row>
    <row r="1770">
      <c r="A1770" s="5" t="s">
        <v>7272</v>
      </c>
      <c r="B1770" s="6" t="s">
        <v>7277</v>
      </c>
      <c r="C1770" s="40" t="s">
        <v>7278</v>
      </c>
      <c r="D1770" s="8"/>
      <c r="E1770" s="8" t="s">
        <v>786</v>
      </c>
      <c r="F1770" s="90">
        <v>1000.0</v>
      </c>
      <c r="G1770" s="97" t="s">
        <v>7279</v>
      </c>
      <c r="H1770" s="11" t="s">
        <v>7280</v>
      </c>
      <c r="I1770" s="97">
        <v>9.327701492E9</v>
      </c>
      <c r="J1770" s="11" t="s">
        <v>4008</v>
      </c>
      <c r="K1770" s="12"/>
      <c r="L1770" s="13"/>
      <c r="M1770" s="14"/>
      <c r="N1770" s="15"/>
      <c r="O1770" s="5" t="s">
        <v>108</v>
      </c>
      <c r="P1770" s="5" t="s">
        <v>7281</v>
      </c>
      <c r="Q1770" s="15"/>
      <c r="R1770" s="16" t="s">
        <v>28</v>
      </c>
      <c r="S1770" s="15"/>
      <c r="T1770" s="15"/>
      <c r="U1770" s="15"/>
      <c r="V1770" s="15"/>
      <c r="W1770" s="15"/>
      <c r="X1770" s="15"/>
      <c r="Y1770" s="15"/>
      <c r="Z1770" s="15"/>
      <c r="AA1770" s="15"/>
    </row>
    <row r="1771">
      <c r="A1771" s="5" t="s">
        <v>7272</v>
      </c>
      <c r="B1771" s="6" t="s">
        <v>7282</v>
      </c>
      <c r="C1771" s="40" t="s">
        <v>7283</v>
      </c>
      <c r="D1771" s="8"/>
      <c r="E1771" s="8" t="s">
        <v>152</v>
      </c>
      <c r="F1771" s="90">
        <v>5000.0</v>
      </c>
      <c r="G1771" s="97" t="s">
        <v>7284</v>
      </c>
      <c r="H1771" s="11" t="s">
        <v>985</v>
      </c>
      <c r="I1771" s="97">
        <v>9.43284024E9</v>
      </c>
      <c r="J1771" s="11" t="s">
        <v>25</v>
      </c>
      <c r="K1771" s="12"/>
      <c r="L1771" s="13"/>
      <c r="M1771" s="14"/>
      <c r="N1771" s="15"/>
      <c r="O1771" s="5" t="s">
        <v>34</v>
      </c>
      <c r="P1771" s="5" t="s">
        <v>7285</v>
      </c>
      <c r="Q1771" s="15"/>
      <c r="R1771" s="16" t="s">
        <v>28</v>
      </c>
      <c r="S1771" s="15"/>
      <c r="T1771" s="15"/>
      <c r="U1771" s="15"/>
      <c r="V1771" s="15"/>
      <c r="W1771" s="15"/>
      <c r="X1771" s="15"/>
      <c r="Y1771" s="15"/>
      <c r="Z1771" s="15"/>
      <c r="AA1771" s="15"/>
    </row>
    <row r="1772">
      <c r="A1772" s="5" t="s">
        <v>7286</v>
      </c>
      <c r="B1772" s="6" t="s">
        <v>7287</v>
      </c>
      <c r="C1772" s="40" t="s">
        <v>7288</v>
      </c>
      <c r="D1772" s="8"/>
      <c r="E1772" s="8" t="s">
        <v>7289</v>
      </c>
      <c r="F1772" s="90">
        <v>500.0</v>
      </c>
      <c r="G1772" s="97" t="s">
        <v>7290</v>
      </c>
      <c r="H1772" s="11" t="s">
        <v>44</v>
      </c>
      <c r="I1772" s="97">
        <v>9.123660622E9</v>
      </c>
      <c r="J1772" s="11" t="s">
        <v>25</v>
      </c>
      <c r="K1772" s="12" t="s">
        <v>7291</v>
      </c>
      <c r="L1772" s="13"/>
      <c r="M1772" s="14"/>
      <c r="N1772" s="15"/>
      <c r="O1772" s="5" t="s">
        <v>564</v>
      </c>
      <c r="P1772" s="5" t="s">
        <v>4563</v>
      </c>
      <c r="Q1772" s="15"/>
      <c r="R1772" s="16" t="s">
        <v>28</v>
      </c>
      <c r="S1772" s="15"/>
      <c r="T1772" s="15"/>
      <c r="U1772" s="15"/>
      <c r="V1772" s="15"/>
      <c r="W1772" s="15"/>
      <c r="X1772" s="15"/>
      <c r="Y1772" s="15"/>
      <c r="Z1772" s="15"/>
      <c r="AA1772" s="15"/>
    </row>
    <row r="1773">
      <c r="A1773" s="5" t="s">
        <v>7286</v>
      </c>
      <c r="B1773" s="6" t="s">
        <v>7292</v>
      </c>
      <c r="C1773" s="40" t="s">
        <v>5519</v>
      </c>
      <c r="D1773" s="8"/>
      <c r="E1773" s="8" t="s">
        <v>7293</v>
      </c>
      <c r="F1773" s="90">
        <v>15000.0</v>
      </c>
      <c r="G1773" s="97" t="s">
        <v>7294</v>
      </c>
      <c r="H1773" s="11" t="s">
        <v>44</v>
      </c>
      <c r="I1773" s="97">
        <v>8.910850561E9</v>
      </c>
      <c r="J1773" s="11" t="s">
        <v>4008</v>
      </c>
      <c r="K1773" s="12"/>
      <c r="L1773" s="13"/>
      <c r="M1773" s="14"/>
      <c r="N1773" s="15"/>
      <c r="O1773" s="5" t="s">
        <v>34</v>
      </c>
      <c r="P1773" s="5" t="s">
        <v>727</v>
      </c>
      <c r="Q1773" s="15"/>
      <c r="R1773" s="16" t="s">
        <v>28</v>
      </c>
      <c r="S1773" s="15"/>
      <c r="T1773" s="15"/>
      <c r="U1773" s="15"/>
      <c r="V1773" s="15"/>
      <c r="W1773" s="15"/>
      <c r="X1773" s="15"/>
      <c r="Y1773" s="15"/>
      <c r="Z1773" s="15"/>
      <c r="AA1773" s="15"/>
    </row>
    <row r="1774">
      <c r="A1774" s="5" t="s">
        <v>7286</v>
      </c>
      <c r="B1774" s="6" t="s">
        <v>7295</v>
      </c>
      <c r="C1774" s="153" t="s">
        <v>7296</v>
      </c>
      <c r="D1774" s="154"/>
      <c r="E1774" s="154" t="s">
        <v>7297</v>
      </c>
      <c r="F1774" s="90">
        <v>2000.0</v>
      </c>
      <c r="G1774" s="155" t="s">
        <v>7298</v>
      </c>
      <c r="H1774" s="11" t="s">
        <v>1082</v>
      </c>
      <c r="I1774" s="97">
        <v>9.836392626E9</v>
      </c>
      <c r="J1774" s="11" t="s">
        <v>25</v>
      </c>
      <c r="K1774" s="12" t="s">
        <v>4358</v>
      </c>
      <c r="L1774" s="13"/>
      <c r="M1774" s="14"/>
      <c r="N1774" s="15"/>
      <c r="O1774" s="5" t="s">
        <v>564</v>
      </c>
      <c r="P1774" s="5" t="s">
        <v>1341</v>
      </c>
      <c r="Q1774" s="5" t="s">
        <v>7299</v>
      </c>
      <c r="R1774" s="16" t="s">
        <v>28</v>
      </c>
      <c r="S1774" s="15"/>
      <c r="T1774" s="15"/>
      <c r="U1774" s="15"/>
      <c r="V1774" s="15"/>
      <c r="W1774" s="15"/>
      <c r="X1774" s="15"/>
      <c r="Y1774" s="15"/>
      <c r="Z1774" s="15"/>
      <c r="AA1774" s="15"/>
    </row>
    <row r="1775">
      <c r="A1775" s="5" t="s">
        <v>7286</v>
      </c>
      <c r="B1775" s="6" t="s">
        <v>7300</v>
      </c>
      <c r="C1775" s="40" t="s">
        <v>4438</v>
      </c>
      <c r="D1775" s="8"/>
      <c r="E1775" s="8" t="s">
        <v>152</v>
      </c>
      <c r="F1775" s="90">
        <v>25000.0</v>
      </c>
      <c r="G1775" s="97" t="s">
        <v>7301</v>
      </c>
      <c r="H1775" s="11" t="s">
        <v>7302</v>
      </c>
      <c r="I1775" s="97">
        <v>9.714983149E9</v>
      </c>
      <c r="J1775" s="11" t="s">
        <v>4008</v>
      </c>
      <c r="K1775" s="12"/>
      <c r="L1775" s="13"/>
      <c r="M1775" s="14"/>
      <c r="N1775" s="15"/>
      <c r="O1775" s="5" t="s">
        <v>108</v>
      </c>
      <c r="P1775" s="15"/>
      <c r="Q1775" s="15"/>
      <c r="R1775" s="16" t="s">
        <v>28</v>
      </c>
      <c r="S1775" s="15"/>
      <c r="T1775" s="15"/>
      <c r="U1775" s="15"/>
      <c r="V1775" s="15"/>
      <c r="W1775" s="15"/>
      <c r="X1775" s="15"/>
      <c r="Y1775" s="15"/>
      <c r="Z1775" s="15"/>
      <c r="AA1775" s="15"/>
    </row>
    <row r="1776">
      <c r="A1776" s="5" t="s">
        <v>7286</v>
      </c>
      <c r="B1776" s="6" t="s">
        <v>7303</v>
      </c>
      <c r="C1776" s="40" t="s">
        <v>7304</v>
      </c>
      <c r="D1776" s="8"/>
      <c r="E1776" s="8" t="s">
        <v>3073</v>
      </c>
      <c r="F1776" s="90">
        <v>2500.0</v>
      </c>
      <c r="G1776" s="97" t="s">
        <v>7305</v>
      </c>
      <c r="H1776" s="11" t="s">
        <v>131</v>
      </c>
      <c r="I1776" s="97">
        <v>9.331000426E9</v>
      </c>
      <c r="J1776" s="11" t="s">
        <v>4008</v>
      </c>
      <c r="K1776" s="12"/>
      <c r="L1776" s="13"/>
      <c r="M1776" s="14"/>
      <c r="N1776" s="15"/>
      <c r="O1776" s="5" t="s">
        <v>564</v>
      </c>
      <c r="P1776" s="15"/>
      <c r="Q1776" s="15"/>
      <c r="R1776" s="16" t="s">
        <v>28</v>
      </c>
      <c r="S1776" s="15"/>
      <c r="T1776" s="15"/>
      <c r="U1776" s="15"/>
      <c r="V1776" s="15"/>
      <c r="W1776" s="15"/>
      <c r="X1776" s="15"/>
      <c r="Y1776" s="15"/>
      <c r="Z1776" s="15"/>
      <c r="AA1776" s="15"/>
    </row>
    <row r="1777">
      <c r="A1777" s="5" t="s">
        <v>7286</v>
      </c>
      <c r="B1777" s="6" t="s">
        <v>7306</v>
      </c>
      <c r="C1777" s="40" t="s">
        <v>7307</v>
      </c>
      <c r="D1777" s="8"/>
      <c r="E1777" s="8" t="s">
        <v>83</v>
      </c>
      <c r="F1777" s="90">
        <v>1000.0</v>
      </c>
      <c r="G1777" s="97" t="s">
        <v>7308</v>
      </c>
      <c r="H1777" s="11" t="s">
        <v>44</v>
      </c>
      <c r="I1777" s="97">
        <v>6.290861455E9</v>
      </c>
      <c r="J1777" s="11" t="s">
        <v>25</v>
      </c>
      <c r="K1777" s="12"/>
      <c r="L1777" s="13"/>
      <c r="M1777" s="14"/>
      <c r="N1777" s="15"/>
      <c r="O1777" s="5" t="s">
        <v>34</v>
      </c>
      <c r="P1777" s="5" t="s">
        <v>55</v>
      </c>
      <c r="Q1777" s="15"/>
      <c r="R1777" s="16" t="s">
        <v>723</v>
      </c>
      <c r="S1777" s="15"/>
      <c r="T1777" s="15"/>
      <c r="U1777" s="15"/>
      <c r="V1777" s="15"/>
      <c r="W1777" s="15"/>
      <c r="X1777" s="15"/>
      <c r="Y1777" s="15"/>
      <c r="Z1777" s="15"/>
      <c r="AA1777" s="15"/>
    </row>
    <row r="1778">
      <c r="A1778" s="5" t="s">
        <v>7286</v>
      </c>
      <c r="B1778" s="6" t="s">
        <v>7309</v>
      </c>
      <c r="C1778" s="36" t="s">
        <v>7310</v>
      </c>
      <c r="D1778" s="75"/>
      <c r="E1778" s="8" t="s">
        <v>147</v>
      </c>
      <c r="F1778" s="90">
        <v>30000.0</v>
      </c>
      <c r="G1778" s="97" t="s">
        <v>7311</v>
      </c>
      <c r="H1778" s="11" t="s">
        <v>44</v>
      </c>
      <c r="I1778" s="97">
        <v>9.33956478E9</v>
      </c>
      <c r="J1778" s="11" t="s">
        <v>4008</v>
      </c>
      <c r="K1778" s="12"/>
      <c r="L1778" s="13"/>
      <c r="M1778" s="14"/>
      <c r="N1778" s="15"/>
      <c r="O1778" s="5" t="s">
        <v>34</v>
      </c>
      <c r="P1778" s="5" t="s">
        <v>2795</v>
      </c>
      <c r="Q1778" s="5" t="s">
        <v>7312</v>
      </c>
      <c r="R1778" s="16" t="s">
        <v>723</v>
      </c>
      <c r="S1778" s="15"/>
      <c r="T1778" s="15"/>
      <c r="U1778" s="15"/>
      <c r="V1778" s="15"/>
      <c r="W1778" s="15"/>
      <c r="X1778" s="15"/>
      <c r="Y1778" s="15"/>
      <c r="Z1778" s="15"/>
      <c r="AA1778" s="15"/>
    </row>
    <row r="1779">
      <c r="A1779" s="5" t="s">
        <v>7286</v>
      </c>
      <c r="B1779" s="6" t="s">
        <v>7313</v>
      </c>
      <c r="C1779" s="40" t="s">
        <v>7314</v>
      </c>
      <c r="D1779" s="8"/>
      <c r="E1779" s="8" t="s">
        <v>7315</v>
      </c>
      <c r="F1779" s="90">
        <v>30000.0</v>
      </c>
      <c r="G1779" s="97" t="s">
        <v>7316</v>
      </c>
      <c r="H1779" s="11" t="s">
        <v>7317</v>
      </c>
      <c r="I1779" s="97">
        <v>9.86738429E9</v>
      </c>
      <c r="J1779" s="11" t="s">
        <v>4008</v>
      </c>
      <c r="K1779" s="12"/>
      <c r="L1779" s="13"/>
      <c r="M1779" s="14"/>
      <c r="N1779" s="15"/>
      <c r="O1779" s="5" t="s">
        <v>108</v>
      </c>
      <c r="P1779" s="15"/>
      <c r="Q1779" s="15"/>
      <c r="R1779" s="16" t="s">
        <v>28</v>
      </c>
      <c r="S1779" s="15"/>
      <c r="T1779" s="15"/>
      <c r="U1779" s="15"/>
      <c r="V1779" s="15"/>
      <c r="W1779" s="15"/>
      <c r="X1779" s="15"/>
      <c r="Y1779" s="15"/>
      <c r="Z1779" s="15"/>
      <c r="AA1779" s="15"/>
    </row>
    <row r="1780">
      <c r="A1780" s="5" t="s">
        <v>7318</v>
      </c>
      <c r="B1780" s="6" t="s">
        <v>7319</v>
      </c>
      <c r="C1780" s="40" t="s">
        <v>7320</v>
      </c>
      <c r="D1780" s="8"/>
      <c r="E1780" s="8" t="s">
        <v>5293</v>
      </c>
      <c r="F1780" s="90">
        <v>1000.0</v>
      </c>
      <c r="G1780" s="97" t="s">
        <v>7321</v>
      </c>
      <c r="H1780" s="11" t="s">
        <v>7322</v>
      </c>
      <c r="I1780" s="97">
        <v>8.981605834E9</v>
      </c>
      <c r="J1780" s="11" t="s">
        <v>25</v>
      </c>
      <c r="K1780" s="12"/>
      <c r="L1780" s="13"/>
      <c r="M1780" s="14"/>
      <c r="N1780" s="15"/>
      <c r="O1780" s="5" t="s">
        <v>34</v>
      </c>
      <c r="P1780" s="15"/>
      <c r="Q1780" s="15"/>
      <c r="R1780" s="16" t="s">
        <v>28</v>
      </c>
      <c r="S1780" s="15"/>
      <c r="T1780" s="15"/>
      <c r="U1780" s="15"/>
      <c r="V1780" s="15"/>
      <c r="W1780" s="15"/>
      <c r="X1780" s="15"/>
      <c r="Y1780" s="15"/>
      <c r="Z1780" s="15"/>
      <c r="AA1780" s="15"/>
    </row>
    <row r="1781">
      <c r="A1781" s="5" t="s">
        <v>7318</v>
      </c>
      <c r="B1781" s="6" t="s">
        <v>7323</v>
      </c>
      <c r="C1781" s="40" t="s">
        <v>7324</v>
      </c>
      <c r="D1781" s="8"/>
      <c r="E1781" s="8" t="s">
        <v>1217</v>
      </c>
      <c r="F1781" s="90">
        <v>1000.0</v>
      </c>
      <c r="G1781" s="97" t="s">
        <v>7325</v>
      </c>
      <c r="H1781" s="11" t="s">
        <v>7326</v>
      </c>
      <c r="I1781" s="97">
        <v>9.437533622E9</v>
      </c>
      <c r="J1781" s="11" t="s">
        <v>4008</v>
      </c>
      <c r="K1781" s="12" t="s">
        <v>7327</v>
      </c>
      <c r="L1781" s="13"/>
      <c r="M1781" s="14"/>
      <c r="N1781" s="15"/>
      <c r="O1781" s="5" t="s">
        <v>564</v>
      </c>
      <c r="P1781" s="5" t="s">
        <v>453</v>
      </c>
      <c r="Q1781" s="15"/>
      <c r="R1781" s="16" t="s">
        <v>28</v>
      </c>
      <c r="S1781" s="15"/>
      <c r="T1781" s="15"/>
      <c r="U1781" s="15"/>
      <c r="V1781" s="15"/>
      <c r="W1781" s="15"/>
      <c r="X1781" s="15"/>
      <c r="Y1781" s="15"/>
      <c r="Z1781" s="15"/>
      <c r="AA1781" s="15"/>
    </row>
    <row r="1782">
      <c r="A1782" s="5" t="s">
        <v>7318</v>
      </c>
      <c r="B1782" s="6" t="s">
        <v>7328</v>
      </c>
      <c r="C1782" s="40" t="s">
        <v>7329</v>
      </c>
      <c r="D1782" s="8"/>
      <c r="E1782" s="8" t="s">
        <v>83</v>
      </c>
      <c r="F1782" s="90">
        <v>5000.0</v>
      </c>
      <c r="G1782" s="97" t="s">
        <v>7330</v>
      </c>
      <c r="H1782" s="11" t="s">
        <v>158</v>
      </c>
      <c r="I1782" s="97">
        <v>8.77773734E9</v>
      </c>
      <c r="J1782" s="11" t="s">
        <v>25</v>
      </c>
      <c r="K1782" s="12"/>
      <c r="L1782" s="13"/>
      <c r="M1782" s="14"/>
      <c r="N1782" s="15"/>
      <c r="O1782" s="5" t="s">
        <v>34</v>
      </c>
      <c r="P1782" s="11" t="s">
        <v>7331</v>
      </c>
      <c r="Q1782" s="15"/>
      <c r="R1782" s="16" t="s">
        <v>723</v>
      </c>
      <c r="S1782" s="15"/>
      <c r="T1782" s="15"/>
      <c r="U1782" s="15"/>
      <c r="V1782" s="15"/>
      <c r="W1782" s="15"/>
      <c r="X1782" s="15"/>
      <c r="Y1782" s="15"/>
      <c r="Z1782" s="15"/>
      <c r="AA1782" s="15"/>
    </row>
    <row r="1783">
      <c r="A1783" s="5" t="s">
        <v>7318</v>
      </c>
      <c r="B1783" s="6" t="s">
        <v>7332</v>
      </c>
      <c r="C1783" s="40" t="s">
        <v>7333</v>
      </c>
      <c r="D1783" s="8"/>
      <c r="E1783" s="8" t="s">
        <v>960</v>
      </c>
      <c r="F1783" s="90">
        <v>4000.0</v>
      </c>
      <c r="G1783" s="97" t="s">
        <v>7334</v>
      </c>
      <c r="H1783" s="11" t="s">
        <v>44</v>
      </c>
      <c r="I1783" s="97">
        <v>8.240062388E9</v>
      </c>
      <c r="J1783" s="11" t="s">
        <v>4008</v>
      </c>
      <c r="K1783" s="12" t="s">
        <v>2252</v>
      </c>
      <c r="L1783" s="13"/>
      <c r="M1783" s="14"/>
      <c r="N1783" s="15"/>
      <c r="O1783" s="5" t="s">
        <v>564</v>
      </c>
      <c r="P1783" s="5" t="s">
        <v>7335</v>
      </c>
      <c r="Q1783" s="15"/>
      <c r="R1783" s="16" t="s">
        <v>28</v>
      </c>
      <c r="S1783" s="15"/>
      <c r="T1783" s="15"/>
      <c r="U1783" s="15"/>
      <c r="V1783" s="15"/>
      <c r="W1783" s="15"/>
      <c r="X1783" s="15"/>
      <c r="Y1783" s="15"/>
      <c r="Z1783" s="15"/>
      <c r="AA1783" s="15"/>
    </row>
    <row r="1784">
      <c r="A1784" s="5" t="s">
        <v>7336</v>
      </c>
      <c r="B1784" s="6" t="s">
        <v>7337</v>
      </c>
      <c r="C1784" s="40" t="s">
        <v>7338</v>
      </c>
      <c r="D1784" s="8"/>
      <c r="E1784" s="8" t="s">
        <v>189</v>
      </c>
      <c r="F1784" s="90">
        <v>1000.0</v>
      </c>
      <c r="G1784" s="97" t="s">
        <v>7339</v>
      </c>
      <c r="H1784" s="11" t="s">
        <v>7340</v>
      </c>
      <c r="I1784" s="97">
        <v>8.945987721E9</v>
      </c>
      <c r="J1784" s="11" t="s">
        <v>25</v>
      </c>
      <c r="K1784" s="12"/>
      <c r="L1784" s="13"/>
      <c r="M1784" s="14"/>
      <c r="N1784" s="15"/>
      <c r="O1784" s="5" t="s">
        <v>34</v>
      </c>
      <c r="P1784" s="5" t="s">
        <v>7341</v>
      </c>
      <c r="Q1784" s="5" t="s">
        <v>777</v>
      </c>
      <c r="R1784" s="16" t="s">
        <v>28</v>
      </c>
      <c r="S1784" s="15"/>
      <c r="T1784" s="15"/>
      <c r="U1784" s="15"/>
      <c r="V1784" s="15"/>
      <c r="W1784" s="15"/>
      <c r="X1784" s="15"/>
      <c r="Y1784" s="15"/>
      <c r="Z1784" s="15"/>
      <c r="AA1784" s="15"/>
    </row>
    <row r="1785">
      <c r="A1785" s="5" t="s">
        <v>7336</v>
      </c>
      <c r="B1785" s="6" t="s">
        <v>7342</v>
      </c>
      <c r="C1785" s="40" t="s">
        <v>7343</v>
      </c>
      <c r="D1785" s="8"/>
      <c r="E1785" s="8" t="s">
        <v>83</v>
      </c>
      <c r="F1785" s="90">
        <v>5000.0</v>
      </c>
      <c r="G1785" s="97" t="s">
        <v>7344</v>
      </c>
      <c r="H1785" s="11" t="s">
        <v>1337</v>
      </c>
      <c r="I1785" s="97">
        <v>7.002469294E9</v>
      </c>
      <c r="J1785" s="11" t="s">
        <v>25</v>
      </c>
      <c r="K1785" s="12"/>
      <c r="L1785" s="13"/>
      <c r="M1785" s="14"/>
      <c r="N1785" s="15"/>
      <c r="O1785" s="5" t="s">
        <v>34</v>
      </c>
      <c r="P1785" s="5" t="s">
        <v>4850</v>
      </c>
      <c r="Q1785" s="5" t="s">
        <v>6334</v>
      </c>
      <c r="R1785" s="16" t="s">
        <v>723</v>
      </c>
      <c r="S1785" s="15"/>
      <c r="T1785" s="15"/>
      <c r="U1785" s="15"/>
      <c r="V1785" s="15"/>
      <c r="W1785" s="15"/>
      <c r="X1785" s="15"/>
      <c r="Y1785" s="15"/>
      <c r="Z1785" s="15"/>
      <c r="AA1785" s="15"/>
    </row>
    <row r="1786">
      <c r="A1786" s="5" t="s">
        <v>7336</v>
      </c>
      <c r="B1786" s="6" t="s">
        <v>7345</v>
      </c>
      <c r="C1786" s="40" t="s">
        <v>7346</v>
      </c>
      <c r="D1786" s="8"/>
      <c r="E1786" s="8" t="s">
        <v>4240</v>
      </c>
      <c r="F1786" s="90">
        <v>3000.0</v>
      </c>
      <c r="G1786" s="97"/>
      <c r="H1786" s="11" t="s">
        <v>906</v>
      </c>
      <c r="I1786" s="97">
        <v>8.976174187E9</v>
      </c>
      <c r="J1786" s="11" t="s">
        <v>25</v>
      </c>
      <c r="K1786" s="12"/>
      <c r="L1786" s="13"/>
      <c r="M1786" s="14"/>
      <c r="N1786" s="15"/>
      <c r="O1786" s="5" t="s">
        <v>108</v>
      </c>
      <c r="P1786" s="5" t="s">
        <v>7347</v>
      </c>
      <c r="Q1786" s="15"/>
      <c r="R1786" s="16" t="s">
        <v>28</v>
      </c>
      <c r="S1786" s="15"/>
      <c r="T1786" s="15"/>
      <c r="U1786" s="15"/>
      <c r="V1786" s="15"/>
      <c r="W1786" s="15"/>
      <c r="X1786" s="15"/>
      <c r="Y1786" s="15"/>
      <c r="Z1786" s="15"/>
      <c r="AA1786" s="15"/>
    </row>
    <row r="1787">
      <c r="A1787" s="5" t="s">
        <v>7336</v>
      </c>
      <c r="B1787" s="6" t="s">
        <v>7348</v>
      </c>
      <c r="C1787" s="40" t="s">
        <v>7349</v>
      </c>
      <c r="D1787" s="8"/>
      <c r="E1787" s="8" t="s">
        <v>167</v>
      </c>
      <c r="F1787" s="90">
        <v>5000.0</v>
      </c>
      <c r="G1787" s="97" t="s">
        <v>7350</v>
      </c>
      <c r="H1787" s="11" t="s">
        <v>44</v>
      </c>
      <c r="I1787" s="97">
        <v>9.331894348E9</v>
      </c>
      <c r="J1787" s="11" t="s">
        <v>25</v>
      </c>
      <c r="K1787" s="12"/>
      <c r="L1787" s="13"/>
      <c r="M1787" s="14"/>
      <c r="N1787" s="15"/>
      <c r="O1787" s="5" t="s">
        <v>564</v>
      </c>
      <c r="P1787" s="15"/>
      <c r="Q1787" s="15"/>
      <c r="R1787" s="16" t="s">
        <v>28</v>
      </c>
      <c r="S1787" s="15"/>
      <c r="T1787" s="15"/>
      <c r="U1787" s="15"/>
      <c r="V1787" s="15"/>
      <c r="W1787" s="15"/>
      <c r="X1787" s="15"/>
      <c r="Y1787" s="15"/>
      <c r="Z1787" s="15"/>
      <c r="AA1787" s="15"/>
    </row>
    <row r="1788">
      <c r="A1788" s="5" t="s">
        <v>7336</v>
      </c>
      <c r="B1788" s="6" t="s">
        <v>7351</v>
      </c>
      <c r="C1788" s="40" t="s">
        <v>7352</v>
      </c>
      <c r="D1788" s="8"/>
      <c r="E1788" s="8" t="s">
        <v>4960</v>
      </c>
      <c r="F1788" s="90">
        <v>10000.0</v>
      </c>
      <c r="G1788" s="97" t="s">
        <v>7353</v>
      </c>
      <c r="H1788" s="11" t="s">
        <v>7354</v>
      </c>
      <c r="I1788" s="97">
        <v>7.738348931E9</v>
      </c>
      <c r="J1788" s="11" t="s">
        <v>4008</v>
      </c>
      <c r="K1788" s="12"/>
      <c r="L1788" s="13"/>
      <c r="M1788" s="14"/>
      <c r="N1788" s="15"/>
      <c r="O1788" s="5" t="s">
        <v>108</v>
      </c>
      <c r="P1788" s="15"/>
      <c r="Q1788" s="15"/>
      <c r="R1788" s="16" t="s">
        <v>28</v>
      </c>
      <c r="S1788" s="15"/>
      <c r="T1788" s="15"/>
      <c r="U1788" s="15"/>
      <c r="V1788" s="15"/>
      <c r="W1788" s="15"/>
      <c r="X1788" s="15"/>
      <c r="Y1788" s="15"/>
      <c r="Z1788" s="15"/>
      <c r="AA1788" s="15"/>
    </row>
    <row r="1789">
      <c r="A1789" s="5" t="s">
        <v>7355</v>
      </c>
      <c r="B1789" s="6" t="s">
        <v>7356</v>
      </c>
      <c r="C1789" s="40" t="s">
        <v>7357</v>
      </c>
      <c r="D1789" s="8"/>
      <c r="E1789" s="8" t="s">
        <v>130</v>
      </c>
      <c r="F1789" s="90">
        <v>1200.0</v>
      </c>
      <c r="G1789" s="97"/>
      <c r="H1789" s="11" t="s">
        <v>906</v>
      </c>
      <c r="I1789" s="97">
        <v>7.738001282E9</v>
      </c>
      <c r="J1789" s="11" t="s">
        <v>25</v>
      </c>
      <c r="K1789" s="12"/>
      <c r="L1789" s="13"/>
      <c r="M1789" s="14"/>
      <c r="N1789" s="15"/>
      <c r="O1789" s="5" t="s">
        <v>108</v>
      </c>
      <c r="P1789" s="15"/>
      <c r="Q1789" s="15"/>
      <c r="R1789" s="16" t="s">
        <v>28</v>
      </c>
      <c r="S1789" s="15"/>
      <c r="T1789" s="15"/>
      <c r="U1789" s="15"/>
      <c r="V1789" s="15"/>
      <c r="W1789" s="15"/>
      <c r="X1789" s="15"/>
      <c r="Y1789" s="15"/>
      <c r="Z1789" s="15"/>
      <c r="AA1789" s="15"/>
    </row>
    <row r="1790">
      <c r="A1790" s="5" t="s">
        <v>7355</v>
      </c>
      <c r="B1790" s="6" t="s">
        <v>7358</v>
      </c>
      <c r="C1790" s="40" t="s">
        <v>7359</v>
      </c>
      <c r="D1790" s="8"/>
      <c r="E1790" s="8" t="s">
        <v>6441</v>
      </c>
      <c r="F1790" s="90">
        <v>5000.0</v>
      </c>
      <c r="G1790" s="97"/>
      <c r="H1790" s="11" t="s">
        <v>638</v>
      </c>
      <c r="I1790" s="97">
        <v>8.967861809E9</v>
      </c>
      <c r="J1790" s="11" t="s">
        <v>25</v>
      </c>
      <c r="K1790" s="12" t="s">
        <v>4358</v>
      </c>
      <c r="L1790" s="13"/>
      <c r="M1790" s="14"/>
      <c r="N1790" s="15"/>
      <c r="O1790" s="5" t="s">
        <v>564</v>
      </c>
      <c r="P1790" s="5" t="s">
        <v>453</v>
      </c>
      <c r="Q1790" s="15"/>
      <c r="R1790" s="16" t="s">
        <v>28</v>
      </c>
      <c r="S1790" s="15"/>
      <c r="T1790" s="15"/>
      <c r="U1790" s="15"/>
      <c r="V1790" s="15"/>
      <c r="W1790" s="15"/>
      <c r="X1790" s="15"/>
      <c r="Y1790" s="15"/>
      <c r="Z1790" s="15"/>
      <c r="AA1790" s="15"/>
    </row>
    <row r="1791">
      <c r="A1791" s="5" t="s">
        <v>7355</v>
      </c>
      <c r="B1791" s="6" t="s">
        <v>7360</v>
      </c>
      <c r="C1791" s="40" t="s">
        <v>7361</v>
      </c>
      <c r="D1791" s="8"/>
      <c r="E1791" s="8" t="s">
        <v>7362</v>
      </c>
      <c r="F1791" s="90">
        <v>1000.0</v>
      </c>
      <c r="G1791" s="97" t="s">
        <v>7363</v>
      </c>
      <c r="H1791" s="11" t="s">
        <v>44</v>
      </c>
      <c r="I1791" s="97">
        <v>7.908282944E9</v>
      </c>
      <c r="J1791" s="11" t="s">
        <v>4008</v>
      </c>
      <c r="K1791" s="12"/>
      <c r="L1791" s="13"/>
      <c r="M1791" s="14"/>
      <c r="N1791" s="15"/>
      <c r="O1791" s="5" t="s">
        <v>34</v>
      </c>
      <c r="P1791" s="5" t="s">
        <v>1581</v>
      </c>
      <c r="Q1791" s="15"/>
      <c r="R1791" s="16" t="s">
        <v>28</v>
      </c>
      <c r="S1791" s="15"/>
      <c r="T1791" s="15"/>
      <c r="U1791" s="15"/>
      <c r="V1791" s="15"/>
      <c r="W1791" s="15"/>
      <c r="X1791" s="15"/>
      <c r="Y1791" s="15"/>
      <c r="Z1791" s="15"/>
      <c r="AA1791" s="15"/>
    </row>
    <row r="1792">
      <c r="A1792" s="5" t="s">
        <v>7355</v>
      </c>
      <c r="B1792" s="6" t="s">
        <v>7364</v>
      </c>
      <c r="C1792" s="40" t="s">
        <v>7365</v>
      </c>
      <c r="D1792" s="8"/>
      <c r="E1792" s="8" t="s">
        <v>7366</v>
      </c>
      <c r="F1792" s="90">
        <v>1000.0</v>
      </c>
      <c r="G1792" s="97" t="s">
        <v>7367</v>
      </c>
      <c r="H1792" s="11" t="s">
        <v>372</v>
      </c>
      <c r="I1792" s="97">
        <v>8.879967124E9</v>
      </c>
      <c r="J1792" s="11" t="s">
        <v>4008</v>
      </c>
      <c r="K1792" s="12"/>
      <c r="L1792" s="13"/>
      <c r="M1792" s="14"/>
      <c r="N1792" s="15"/>
      <c r="O1792" s="5" t="s">
        <v>108</v>
      </c>
      <c r="P1792" s="15"/>
      <c r="Q1792" s="15"/>
      <c r="R1792" s="16" t="s">
        <v>28</v>
      </c>
      <c r="S1792" s="15"/>
      <c r="T1792" s="15"/>
      <c r="U1792" s="15"/>
      <c r="V1792" s="15"/>
      <c r="W1792" s="15"/>
      <c r="X1792" s="15"/>
      <c r="Y1792" s="15"/>
      <c r="Z1792" s="15"/>
      <c r="AA1792" s="15"/>
    </row>
    <row r="1793">
      <c r="A1793" s="5" t="s">
        <v>7368</v>
      </c>
      <c r="B1793" s="6" t="s">
        <v>7369</v>
      </c>
      <c r="C1793" s="40" t="s">
        <v>7370</v>
      </c>
      <c r="D1793" s="8"/>
      <c r="E1793" s="8" t="s">
        <v>7371</v>
      </c>
      <c r="F1793" s="90">
        <v>1000.0</v>
      </c>
      <c r="G1793" s="97" t="s">
        <v>7372</v>
      </c>
      <c r="H1793" s="11" t="s">
        <v>7373</v>
      </c>
      <c r="I1793" s="97">
        <v>9.820121382E9</v>
      </c>
      <c r="J1793" s="11" t="s">
        <v>25</v>
      </c>
      <c r="K1793" s="12"/>
      <c r="L1793" s="13"/>
      <c r="M1793" s="11" t="s">
        <v>7374</v>
      </c>
      <c r="N1793" s="5" t="s">
        <v>7375</v>
      </c>
      <c r="O1793" s="5" t="s">
        <v>108</v>
      </c>
      <c r="P1793" s="15"/>
      <c r="Q1793" s="15"/>
      <c r="R1793" s="16" t="s">
        <v>28</v>
      </c>
      <c r="S1793" s="15"/>
      <c r="T1793" s="15"/>
      <c r="U1793" s="15"/>
      <c r="V1793" s="15"/>
      <c r="W1793" s="15"/>
      <c r="X1793" s="15"/>
      <c r="Y1793" s="15"/>
      <c r="Z1793" s="15"/>
      <c r="AA1793" s="15"/>
    </row>
    <row r="1794">
      <c r="A1794" s="5" t="s">
        <v>7368</v>
      </c>
      <c r="B1794" s="6" t="s">
        <v>7376</v>
      </c>
      <c r="C1794" s="40" t="s">
        <v>6961</v>
      </c>
      <c r="D1794" s="8"/>
      <c r="E1794" s="8" t="s">
        <v>786</v>
      </c>
      <c r="F1794" s="90">
        <v>30000.0</v>
      </c>
      <c r="G1794" s="97" t="s">
        <v>7377</v>
      </c>
      <c r="H1794" s="11" t="s">
        <v>107</v>
      </c>
      <c r="I1794" s="97">
        <v>9.71762369E9</v>
      </c>
      <c r="J1794" s="11" t="s">
        <v>4008</v>
      </c>
      <c r="K1794" s="12"/>
      <c r="L1794" s="13"/>
      <c r="M1794" s="14"/>
      <c r="N1794" s="15"/>
      <c r="O1794" s="5" t="s">
        <v>108</v>
      </c>
      <c r="P1794" s="15"/>
      <c r="Q1794" s="15"/>
      <c r="R1794" s="16" t="s">
        <v>28</v>
      </c>
      <c r="S1794" s="15"/>
      <c r="T1794" s="15"/>
      <c r="U1794" s="15"/>
      <c r="V1794" s="15"/>
      <c r="W1794" s="15"/>
      <c r="X1794" s="15"/>
      <c r="Y1794" s="15"/>
      <c r="Z1794" s="15"/>
      <c r="AA1794" s="15"/>
    </row>
    <row r="1795">
      <c r="A1795" s="5" t="s">
        <v>7368</v>
      </c>
      <c r="B1795" s="6" t="s">
        <v>7378</v>
      </c>
      <c r="C1795" s="40" t="s">
        <v>7379</v>
      </c>
      <c r="D1795" s="8"/>
      <c r="E1795" s="8" t="s">
        <v>794</v>
      </c>
      <c r="F1795" s="90">
        <v>2500.0</v>
      </c>
      <c r="G1795" s="97"/>
      <c r="H1795" s="11" t="s">
        <v>44</v>
      </c>
      <c r="I1795" s="97">
        <v>9.330635224E9</v>
      </c>
      <c r="J1795" s="11" t="s">
        <v>25</v>
      </c>
      <c r="K1795" s="12"/>
      <c r="L1795" s="13"/>
      <c r="M1795" s="14"/>
      <c r="N1795" s="15"/>
      <c r="O1795" s="5" t="s">
        <v>34</v>
      </c>
      <c r="P1795" s="15"/>
      <c r="Q1795" s="15"/>
      <c r="R1795" s="16" t="s">
        <v>28</v>
      </c>
      <c r="S1795" s="15"/>
      <c r="T1795" s="15"/>
      <c r="U1795" s="15"/>
      <c r="V1795" s="15"/>
      <c r="W1795" s="15"/>
      <c r="X1795" s="15"/>
      <c r="Y1795" s="15"/>
      <c r="Z1795" s="15"/>
      <c r="AA1795" s="15"/>
    </row>
    <row r="1796">
      <c r="A1796" s="5" t="s">
        <v>7368</v>
      </c>
      <c r="B1796" s="6" t="s">
        <v>7380</v>
      </c>
      <c r="C1796" s="40" t="s">
        <v>7381</v>
      </c>
      <c r="D1796" s="8"/>
      <c r="E1796" s="8" t="s">
        <v>5293</v>
      </c>
      <c r="F1796" s="90">
        <v>5000.0</v>
      </c>
      <c r="G1796" s="97" t="s">
        <v>7382</v>
      </c>
      <c r="H1796" s="11" t="s">
        <v>7383</v>
      </c>
      <c r="I1796" s="97">
        <v>9.004579086E9</v>
      </c>
      <c r="J1796" s="11" t="s">
        <v>25</v>
      </c>
      <c r="K1796" s="12"/>
      <c r="L1796" s="13"/>
      <c r="M1796" s="11" t="s">
        <v>7384</v>
      </c>
      <c r="N1796" s="5" t="s">
        <v>7385</v>
      </c>
      <c r="O1796" s="5" t="s">
        <v>108</v>
      </c>
      <c r="P1796" s="15"/>
      <c r="Q1796" s="15"/>
      <c r="R1796" s="16" t="s">
        <v>28</v>
      </c>
      <c r="S1796" s="15"/>
      <c r="T1796" s="15"/>
      <c r="U1796" s="15"/>
      <c r="V1796" s="15"/>
      <c r="W1796" s="15"/>
      <c r="X1796" s="15"/>
      <c r="Y1796" s="15"/>
      <c r="Z1796" s="15"/>
      <c r="AA1796" s="15"/>
    </row>
    <row r="1797">
      <c r="A1797" s="5" t="s">
        <v>7368</v>
      </c>
      <c r="B1797" s="6" t="s">
        <v>7386</v>
      </c>
      <c r="C1797" s="40" t="s">
        <v>7387</v>
      </c>
      <c r="D1797" s="8"/>
      <c r="E1797" s="8" t="s">
        <v>7388</v>
      </c>
      <c r="F1797" s="90">
        <v>3000.0</v>
      </c>
      <c r="G1797" s="97" t="s">
        <v>7389</v>
      </c>
      <c r="H1797" s="11" t="s">
        <v>7390</v>
      </c>
      <c r="I1797" s="97">
        <v>9.051662037E9</v>
      </c>
      <c r="J1797" s="11" t="s">
        <v>25</v>
      </c>
      <c r="K1797" s="12"/>
      <c r="L1797" s="13"/>
      <c r="M1797" s="14"/>
      <c r="N1797" s="15"/>
      <c r="O1797" s="5" t="s">
        <v>34</v>
      </c>
      <c r="P1797" s="11" t="s">
        <v>7391</v>
      </c>
      <c r="Q1797" s="15"/>
      <c r="R1797" s="16" t="s">
        <v>723</v>
      </c>
      <c r="S1797" s="15"/>
      <c r="T1797" s="15"/>
      <c r="U1797" s="15"/>
      <c r="V1797" s="15"/>
      <c r="W1797" s="15"/>
      <c r="X1797" s="15"/>
      <c r="Y1797" s="15"/>
      <c r="Z1797" s="15"/>
      <c r="AA1797" s="15"/>
    </row>
    <row r="1798">
      <c r="A1798" s="5" t="s">
        <v>7368</v>
      </c>
      <c r="B1798" s="6" t="s">
        <v>7392</v>
      </c>
      <c r="C1798" s="40" t="s">
        <v>7393</v>
      </c>
      <c r="D1798" s="8"/>
      <c r="E1798" s="8" t="s">
        <v>1520</v>
      </c>
      <c r="F1798" s="90">
        <v>5000.0</v>
      </c>
      <c r="G1798" s="97" t="s">
        <v>7394</v>
      </c>
      <c r="H1798" s="11" t="s">
        <v>44</v>
      </c>
      <c r="I1798" s="97">
        <v>9.735711216E9</v>
      </c>
      <c r="J1798" s="11" t="s">
        <v>25</v>
      </c>
      <c r="K1798" s="12" t="s">
        <v>7395</v>
      </c>
      <c r="L1798" s="13"/>
      <c r="M1798" s="14"/>
      <c r="N1798" s="15"/>
      <c r="O1798" s="5" t="s">
        <v>564</v>
      </c>
      <c r="P1798" s="15"/>
      <c r="Q1798" s="15"/>
      <c r="R1798" s="16" t="s">
        <v>6999</v>
      </c>
      <c r="S1798" s="15"/>
      <c r="T1798" s="15"/>
      <c r="U1798" s="15"/>
      <c r="V1798" s="15"/>
      <c r="W1798" s="15"/>
      <c r="X1798" s="15"/>
      <c r="Y1798" s="15"/>
      <c r="Z1798" s="15"/>
      <c r="AA1798" s="15"/>
    </row>
    <row r="1799">
      <c r="A1799" s="5" t="s">
        <v>7368</v>
      </c>
      <c r="B1799" s="6" t="s">
        <v>7396</v>
      </c>
      <c r="C1799" s="40" t="s">
        <v>7397</v>
      </c>
      <c r="D1799" s="8"/>
      <c r="E1799" s="8" t="s">
        <v>7398</v>
      </c>
      <c r="F1799" s="90" t="s">
        <v>7399</v>
      </c>
      <c r="G1799" s="97" t="s">
        <v>7400</v>
      </c>
      <c r="H1799" s="11" t="s">
        <v>6730</v>
      </c>
      <c r="I1799" s="97">
        <v>8.076718331E9</v>
      </c>
      <c r="J1799" s="11" t="s">
        <v>25</v>
      </c>
      <c r="K1799" s="12"/>
      <c r="L1799" s="13"/>
      <c r="M1799" s="14"/>
      <c r="N1799" s="5" t="s">
        <v>7401</v>
      </c>
      <c r="O1799" s="5" t="s">
        <v>34</v>
      </c>
      <c r="P1799" s="5" t="s">
        <v>7402</v>
      </c>
      <c r="Q1799" s="5" t="s">
        <v>7403</v>
      </c>
      <c r="R1799" s="16" t="s">
        <v>723</v>
      </c>
      <c r="S1799" s="15"/>
      <c r="T1799" s="15"/>
      <c r="U1799" s="15"/>
      <c r="V1799" s="15"/>
      <c r="W1799" s="15"/>
      <c r="X1799" s="15"/>
      <c r="Y1799" s="15"/>
      <c r="Z1799" s="15"/>
      <c r="AA1799" s="15"/>
    </row>
    <row r="1800">
      <c r="A1800" s="5" t="s">
        <v>7404</v>
      </c>
      <c r="B1800" s="6" t="s">
        <v>7405</v>
      </c>
      <c r="C1800" s="40" t="s">
        <v>7406</v>
      </c>
      <c r="D1800" s="8"/>
      <c r="E1800" s="8" t="s">
        <v>156</v>
      </c>
      <c r="F1800" s="90">
        <v>5000.0</v>
      </c>
      <c r="G1800" s="97" t="s">
        <v>7407</v>
      </c>
      <c r="H1800" s="11" t="s">
        <v>7408</v>
      </c>
      <c r="I1800" s="97">
        <v>8.170024337E9</v>
      </c>
      <c r="J1800" s="11" t="s">
        <v>25</v>
      </c>
      <c r="K1800" s="12" t="s">
        <v>1682</v>
      </c>
      <c r="L1800" s="13"/>
      <c r="M1800" s="14"/>
      <c r="N1800" s="15"/>
      <c r="O1800" s="5" t="s">
        <v>564</v>
      </c>
      <c r="P1800" s="15"/>
      <c r="Q1800" s="15"/>
      <c r="R1800" s="16" t="s">
        <v>28</v>
      </c>
      <c r="S1800" s="15"/>
      <c r="T1800" s="15"/>
      <c r="U1800" s="15"/>
      <c r="V1800" s="15"/>
      <c r="W1800" s="15"/>
      <c r="X1800" s="15"/>
      <c r="Y1800" s="15"/>
      <c r="Z1800" s="15"/>
      <c r="AA1800" s="15"/>
    </row>
    <row r="1801">
      <c r="A1801" s="5" t="s">
        <v>7404</v>
      </c>
      <c r="B1801" s="6" t="s">
        <v>7409</v>
      </c>
      <c r="C1801" s="40" t="s">
        <v>7410</v>
      </c>
      <c r="D1801" s="8"/>
      <c r="E1801" s="8" t="s">
        <v>189</v>
      </c>
      <c r="F1801" s="90">
        <v>10000.0</v>
      </c>
      <c r="G1801" s="97" t="s">
        <v>7411</v>
      </c>
      <c r="H1801" s="11" t="s">
        <v>985</v>
      </c>
      <c r="I1801" s="97">
        <v>9.002086647E9</v>
      </c>
      <c r="J1801" s="11" t="s">
        <v>25</v>
      </c>
      <c r="K1801" s="12"/>
      <c r="L1801" s="13"/>
      <c r="M1801" s="14"/>
      <c r="N1801" s="15"/>
      <c r="O1801" s="5" t="s">
        <v>564</v>
      </c>
      <c r="P1801" s="15"/>
      <c r="Q1801" s="15"/>
      <c r="R1801" s="16" t="s">
        <v>28</v>
      </c>
      <c r="S1801" s="15"/>
      <c r="T1801" s="15"/>
      <c r="U1801" s="15"/>
      <c r="V1801" s="15"/>
      <c r="W1801" s="15"/>
      <c r="X1801" s="15"/>
      <c r="Y1801" s="15"/>
      <c r="Z1801" s="15"/>
      <c r="AA1801" s="15"/>
    </row>
    <row r="1802">
      <c r="A1802" s="5" t="s">
        <v>7412</v>
      </c>
      <c r="B1802" s="6" t="s">
        <v>7413</v>
      </c>
      <c r="C1802" s="40" t="s">
        <v>7414</v>
      </c>
      <c r="D1802" s="8"/>
      <c r="E1802" s="8" t="s">
        <v>22</v>
      </c>
      <c r="F1802" s="90">
        <v>2000.0</v>
      </c>
      <c r="G1802" s="97" t="s">
        <v>7415</v>
      </c>
      <c r="H1802" s="11" t="s">
        <v>44</v>
      </c>
      <c r="I1802" s="97">
        <v>9.748155395E9</v>
      </c>
      <c r="J1802" s="11" t="s">
        <v>4008</v>
      </c>
      <c r="K1802" s="12"/>
      <c r="L1802" s="13"/>
      <c r="M1802" s="14"/>
      <c r="N1802" s="15"/>
      <c r="O1802" s="5" t="s">
        <v>564</v>
      </c>
      <c r="P1802" s="15"/>
      <c r="Q1802" s="15"/>
      <c r="R1802" s="16" t="s">
        <v>28</v>
      </c>
      <c r="S1802" s="15"/>
      <c r="T1802" s="15"/>
      <c r="U1802" s="15"/>
      <c r="V1802" s="15"/>
      <c r="W1802" s="15"/>
      <c r="X1802" s="15"/>
      <c r="Y1802" s="15"/>
      <c r="Z1802" s="15"/>
      <c r="AA1802" s="15"/>
    </row>
    <row r="1803">
      <c r="A1803" s="5" t="s">
        <v>7412</v>
      </c>
      <c r="B1803" s="6" t="s">
        <v>7416</v>
      </c>
      <c r="C1803" s="40" t="s">
        <v>7417</v>
      </c>
      <c r="D1803" s="8"/>
      <c r="E1803" s="8" t="s">
        <v>152</v>
      </c>
      <c r="F1803" s="90">
        <v>20000.0</v>
      </c>
      <c r="G1803" s="97" t="s">
        <v>7418</v>
      </c>
      <c r="H1803" s="11" t="s">
        <v>7419</v>
      </c>
      <c r="I1803" s="97">
        <v>8.297747307E9</v>
      </c>
      <c r="J1803" s="11" t="s">
        <v>4008</v>
      </c>
      <c r="K1803" s="12"/>
      <c r="L1803" s="13"/>
      <c r="M1803" s="14"/>
      <c r="N1803" s="15"/>
      <c r="O1803" s="5" t="s">
        <v>108</v>
      </c>
      <c r="P1803" s="15"/>
      <c r="Q1803" s="15"/>
      <c r="R1803" s="16" t="s">
        <v>28</v>
      </c>
      <c r="S1803" s="15"/>
      <c r="T1803" s="15"/>
      <c r="U1803" s="15"/>
      <c r="V1803" s="15"/>
      <c r="W1803" s="15"/>
      <c r="X1803" s="15"/>
      <c r="Y1803" s="15"/>
      <c r="Z1803" s="15"/>
      <c r="AA1803" s="15"/>
    </row>
    <row r="1804">
      <c r="A1804" s="5" t="s">
        <v>7412</v>
      </c>
      <c r="B1804" s="6" t="s">
        <v>7420</v>
      </c>
      <c r="C1804" s="40" t="s">
        <v>7421</v>
      </c>
      <c r="D1804" s="8"/>
      <c r="E1804" s="8" t="s">
        <v>2821</v>
      </c>
      <c r="F1804" s="90">
        <v>1000.0</v>
      </c>
      <c r="G1804" s="97"/>
      <c r="H1804" s="11" t="s">
        <v>44</v>
      </c>
      <c r="I1804" s="97">
        <v>9.051929768E9</v>
      </c>
      <c r="J1804" s="11" t="s">
        <v>25</v>
      </c>
      <c r="K1804" s="12"/>
      <c r="L1804" s="13"/>
      <c r="M1804" s="14"/>
      <c r="N1804" s="15"/>
      <c r="O1804" s="5" t="s">
        <v>34</v>
      </c>
      <c r="P1804" s="11" t="s">
        <v>7422</v>
      </c>
      <c r="Q1804" s="15"/>
      <c r="R1804" s="16" t="s">
        <v>723</v>
      </c>
      <c r="S1804" s="15"/>
      <c r="T1804" s="15"/>
      <c r="U1804" s="15"/>
      <c r="V1804" s="15"/>
      <c r="W1804" s="15"/>
      <c r="X1804" s="15"/>
      <c r="Y1804" s="15"/>
      <c r="Z1804" s="15"/>
      <c r="AA1804" s="15"/>
    </row>
    <row r="1805">
      <c r="A1805" s="5" t="s">
        <v>7412</v>
      </c>
      <c r="B1805" s="6" t="s">
        <v>7423</v>
      </c>
      <c r="C1805" s="40" t="s">
        <v>7424</v>
      </c>
      <c r="D1805" s="8"/>
      <c r="E1805" s="8" t="s">
        <v>7293</v>
      </c>
      <c r="F1805" s="90" t="s">
        <v>7425</v>
      </c>
      <c r="G1805" s="97" t="s">
        <v>7426</v>
      </c>
      <c r="H1805" s="11" t="s">
        <v>99</v>
      </c>
      <c r="I1805" s="97">
        <v>7.978281203E9</v>
      </c>
      <c r="J1805" s="11" t="s">
        <v>25</v>
      </c>
      <c r="K1805" s="12" t="s">
        <v>7427</v>
      </c>
      <c r="L1805" s="13"/>
      <c r="M1805" s="14"/>
      <c r="N1805" s="15"/>
      <c r="O1805" s="5" t="s">
        <v>564</v>
      </c>
      <c r="P1805" s="15"/>
      <c r="Q1805" s="15"/>
      <c r="R1805" s="16" t="s">
        <v>6999</v>
      </c>
      <c r="S1805" s="15"/>
      <c r="T1805" s="15"/>
      <c r="U1805" s="15"/>
      <c r="V1805" s="15"/>
      <c r="W1805" s="15"/>
      <c r="X1805" s="15"/>
      <c r="Y1805" s="15"/>
      <c r="Z1805" s="15"/>
      <c r="AA1805" s="15"/>
    </row>
    <row r="1806">
      <c r="A1806" s="5" t="s">
        <v>7412</v>
      </c>
      <c r="B1806" s="6" t="s">
        <v>7428</v>
      </c>
      <c r="C1806" s="40" t="s">
        <v>7429</v>
      </c>
      <c r="D1806" s="8"/>
      <c r="E1806" s="8" t="s">
        <v>7430</v>
      </c>
      <c r="F1806" s="90">
        <v>2500.0</v>
      </c>
      <c r="G1806" s="97" t="s">
        <v>7431</v>
      </c>
      <c r="H1806" s="11" t="s">
        <v>555</v>
      </c>
      <c r="I1806" s="97">
        <v>7.992452386E9</v>
      </c>
      <c r="J1806" s="11" t="s">
        <v>25</v>
      </c>
      <c r="K1806" s="12" t="s">
        <v>7432</v>
      </c>
      <c r="L1806" s="13"/>
      <c r="M1806" s="14"/>
      <c r="N1806" s="15"/>
      <c r="O1806" s="5" t="s">
        <v>564</v>
      </c>
      <c r="P1806" s="15"/>
      <c r="Q1806" s="15"/>
      <c r="R1806" s="16" t="s">
        <v>28</v>
      </c>
      <c r="S1806" s="15"/>
      <c r="T1806" s="15"/>
      <c r="U1806" s="15"/>
      <c r="V1806" s="15"/>
      <c r="W1806" s="15"/>
      <c r="X1806" s="15"/>
      <c r="Y1806" s="15"/>
      <c r="Z1806" s="15"/>
      <c r="AA1806" s="15"/>
    </row>
    <row r="1807">
      <c r="A1807" s="5" t="s">
        <v>7433</v>
      </c>
      <c r="B1807" s="6" t="s">
        <v>7434</v>
      </c>
      <c r="C1807" s="40" t="s">
        <v>5960</v>
      </c>
      <c r="D1807" s="8"/>
      <c r="E1807" s="8" t="s">
        <v>6783</v>
      </c>
      <c r="F1807" s="90">
        <v>1000.0</v>
      </c>
      <c r="G1807" s="97" t="s">
        <v>7435</v>
      </c>
      <c r="H1807" s="11" t="s">
        <v>44</v>
      </c>
      <c r="I1807" s="97">
        <v>9.830031351E9</v>
      </c>
      <c r="J1807" s="11" t="s">
        <v>4008</v>
      </c>
      <c r="K1807" s="12" t="s">
        <v>1870</v>
      </c>
      <c r="L1807" s="13"/>
      <c r="M1807" s="14"/>
      <c r="N1807" s="15"/>
      <c r="O1807" s="5" t="s">
        <v>564</v>
      </c>
      <c r="P1807" s="15"/>
      <c r="Q1807" s="15"/>
      <c r="R1807" s="16" t="s">
        <v>28</v>
      </c>
      <c r="S1807" s="15"/>
      <c r="T1807" s="15"/>
      <c r="U1807" s="15"/>
      <c r="V1807" s="15"/>
      <c r="W1807" s="15"/>
      <c r="X1807" s="15"/>
      <c r="Y1807" s="15"/>
      <c r="Z1807" s="15"/>
      <c r="AA1807" s="15"/>
    </row>
    <row r="1808">
      <c r="A1808" s="5" t="s">
        <v>7433</v>
      </c>
      <c r="B1808" s="6" t="s">
        <v>7436</v>
      </c>
      <c r="C1808" s="40" t="s">
        <v>7437</v>
      </c>
      <c r="D1808" s="8"/>
      <c r="E1808" s="8" t="s">
        <v>286</v>
      </c>
      <c r="F1808" s="90">
        <v>2000.0</v>
      </c>
      <c r="G1808" s="97" t="s">
        <v>7438</v>
      </c>
      <c r="H1808" s="11" t="s">
        <v>44</v>
      </c>
      <c r="I1808" s="97">
        <v>9.47535375E9</v>
      </c>
      <c r="J1808" s="11" t="s">
        <v>4008</v>
      </c>
      <c r="K1808" s="12"/>
      <c r="L1808" s="13"/>
      <c r="M1808" s="14"/>
      <c r="N1808" s="15"/>
      <c r="O1808" s="5" t="s">
        <v>34</v>
      </c>
      <c r="P1808" s="5" t="s">
        <v>727</v>
      </c>
      <c r="Q1808" s="15"/>
      <c r="R1808" s="16" t="s">
        <v>723</v>
      </c>
      <c r="S1808" s="15"/>
      <c r="T1808" s="15"/>
      <c r="U1808" s="15"/>
      <c r="V1808" s="15"/>
      <c r="W1808" s="15"/>
      <c r="X1808" s="15"/>
      <c r="Y1808" s="15"/>
      <c r="Z1808" s="15"/>
      <c r="AA1808" s="15"/>
    </row>
    <row r="1809">
      <c r="A1809" s="5" t="s">
        <v>7439</v>
      </c>
      <c r="B1809" s="6" t="s">
        <v>7440</v>
      </c>
      <c r="C1809" s="40" t="s">
        <v>7441</v>
      </c>
      <c r="D1809" s="8"/>
      <c r="E1809" s="8" t="s">
        <v>152</v>
      </c>
      <c r="F1809" s="90">
        <v>2000.0</v>
      </c>
      <c r="G1809" s="97"/>
      <c r="H1809" s="11" t="s">
        <v>44</v>
      </c>
      <c r="I1809" s="97">
        <v>9.474273077E9</v>
      </c>
      <c r="J1809" s="11" t="s">
        <v>4008</v>
      </c>
      <c r="K1809" s="12"/>
      <c r="L1809" s="13"/>
      <c r="M1809" s="14"/>
      <c r="N1809" s="15"/>
      <c r="O1809" s="5" t="s">
        <v>34</v>
      </c>
      <c r="P1809" s="5" t="s">
        <v>55</v>
      </c>
      <c r="Q1809" s="15"/>
      <c r="R1809" s="16" t="s">
        <v>723</v>
      </c>
      <c r="S1809" s="15"/>
      <c r="T1809" s="15"/>
      <c r="U1809" s="15"/>
      <c r="V1809" s="15"/>
      <c r="W1809" s="15"/>
      <c r="X1809" s="15"/>
      <c r="Y1809" s="15"/>
      <c r="Z1809" s="15"/>
      <c r="AA1809" s="15"/>
    </row>
    <row r="1810">
      <c r="A1810" s="5" t="s">
        <v>7439</v>
      </c>
      <c r="B1810" s="6" t="s">
        <v>7442</v>
      </c>
      <c r="C1810" s="40" t="s">
        <v>7443</v>
      </c>
      <c r="D1810" s="8"/>
      <c r="E1810" s="8" t="s">
        <v>7444</v>
      </c>
      <c r="F1810" s="90">
        <v>250.0</v>
      </c>
      <c r="G1810" s="97" t="s">
        <v>7445</v>
      </c>
      <c r="H1810" s="11" t="s">
        <v>44</v>
      </c>
      <c r="I1810" s="97">
        <v>9.433306111E9</v>
      </c>
      <c r="J1810" s="11" t="s">
        <v>4008</v>
      </c>
      <c r="K1810" s="12"/>
      <c r="L1810" s="13"/>
      <c r="M1810" s="14"/>
      <c r="N1810" s="15"/>
      <c r="O1810" s="5" t="s">
        <v>34</v>
      </c>
      <c r="P1810" s="5" t="s">
        <v>5480</v>
      </c>
      <c r="Q1810" s="15"/>
      <c r="R1810" s="16" t="s">
        <v>248</v>
      </c>
      <c r="S1810" s="15"/>
      <c r="T1810" s="15"/>
      <c r="U1810" s="15"/>
      <c r="V1810" s="15"/>
      <c r="W1810" s="15"/>
      <c r="X1810" s="15"/>
      <c r="Y1810" s="15"/>
      <c r="Z1810" s="15"/>
      <c r="AA1810" s="15"/>
    </row>
    <row r="1811">
      <c r="A1811" s="5" t="s">
        <v>7446</v>
      </c>
      <c r="B1811" s="6" t="s">
        <v>7447</v>
      </c>
      <c r="C1811" s="40" t="s">
        <v>7448</v>
      </c>
      <c r="D1811" s="8"/>
      <c r="E1811" s="8" t="s">
        <v>130</v>
      </c>
      <c r="F1811" s="90">
        <v>30000.0</v>
      </c>
      <c r="G1811" s="97" t="s">
        <v>7449</v>
      </c>
      <c r="H1811" s="11" t="s">
        <v>44</v>
      </c>
      <c r="I1811" s="97">
        <v>9.126915534E9</v>
      </c>
      <c r="J1811" s="11" t="s">
        <v>4008</v>
      </c>
      <c r="K1811" s="12"/>
      <c r="L1811" s="13"/>
      <c r="M1811" s="14"/>
      <c r="N1811" s="15"/>
      <c r="O1811" s="5" t="s">
        <v>564</v>
      </c>
      <c r="P1811" s="15"/>
      <c r="Q1811" s="15"/>
      <c r="R1811" s="16" t="s">
        <v>28</v>
      </c>
      <c r="S1811" s="15"/>
      <c r="T1811" s="15"/>
      <c r="U1811" s="15"/>
      <c r="V1811" s="15"/>
      <c r="W1811" s="15"/>
      <c r="X1811" s="15"/>
      <c r="Y1811" s="15"/>
      <c r="Z1811" s="15"/>
      <c r="AA1811" s="15"/>
    </row>
    <row r="1812">
      <c r="A1812" s="5" t="s">
        <v>7446</v>
      </c>
      <c r="B1812" s="6" t="s">
        <v>7450</v>
      </c>
      <c r="C1812" s="40" t="s">
        <v>7451</v>
      </c>
      <c r="D1812" s="8"/>
      <c r="E1812" s="8" t="s">
        <v>593</v>
      </c>
      <c r="F1812" s="90">
        <v>300.0</v>
      </c>
      <c r="G1812" s="39" t="s">
        <v>7452</v>
      </c>
      <c r="H1812" s="11" t="s">
        <v>44</v>
      </c>
      <c r="I1812" s="97">
        <v>8.61729104E9</v>
      </c>
      <c r="J1812" s="11" t="s">
        <v>25</v>
      </c>
      <c r="K1812" s="12"/>
      <c r="L1812" s="13"/>
      <c r="M1812" s="14"/>
      <c r="N1812" s="15"/>
      <c r="O1812" s="5" t="s">
        <v>34</v>
      </c>
      <c r="P1812" s="5" t="s">
        <v>79</v>
      </c>
      <c r="Q1812" s="15"/>
      <c r="R1812" s="16" t="s">
        <v>28</v>
      </c>
      <c r="S1812" s="15"/>
      <c r="T1812" s="15"/>
      <c r="U1812" s="15"/>
      <c r="V1812" s="15"/>
      <c r="W1812" s="15"/>
      <c r="X1812" s="15"/>
      <c r="Y1812" s="15"/>
      <c r="Z1812" s="15"/>
      <c r="AA1812" s="15"/>
    </row>
    <row r="1813">
      <c r="A1813" s="5" t="s">
        <v>7446</v>
      </c>
      <c r="B1813" s="6" t="s">
        <v>7453</v>
      </c>
      <c r="C1813" s="40" t="s">
        <v>7454</v>
      </c>
      <c r="D1813" s="48"/>
      <c r="E1813" s="48" t="s">
        <v>6836</v>
      </c>
      <c r="F1813" s="90">
        <v>3000.0</v>
      </c>
      <c r="G1813" s="97" t="s">
        <v>7455</v>
      </c>
      <c r="H1813" s="11" t="s">
        <v>1082</v>
      </c>
      <c r="I1813" s="97">
        <v>9.831212723E9</v>
      </c>
      <c r="J1813" s="11" t="s">
        <v>25</v>
      </c>
      <c r="K1813" s="12" t="s">
        <v>7456</v>
      </c>
      <c r="L1813" s="13"/>
      <c r="M1813" s="14"/>
      <c r="N1813" s="15"/>
      <c r="O1813" s="5" t="s">
        <v>1112</v>
      </c>
      <c r="P1813" s="5" t="s">
        <v>27</v>
      </c>
      <c r="Q1813" s="15"/>
      <c r="R1813" s="16" t="s">
        <v>28</v>
      </c>
      <c r="S1813" s="15"/>
      <c r="T1813" s="15"/>
      <c r="U1813" s="15"/>
      <c r="V1813" s="15"/>
      <c r="W1813" s="15"/>
      <c r="X1813" s="15"/>
      <c r="Y1813" s="15"/>
      <c r="Z1813" s="15"/>
      <c r="AA1813" s="15"/>
    </row>
    <row r="1814">
      <c r="A1814" s="5" t="s">
        <v>7446</v>
      </c>
      <c r="B1814" s="6" t="s">
        <v>7457</v>
      </c>
      <c r="C1814" s="40" t="s">
        <v>7458</v>
      </c>
      <c r="D1814" s="8"/>
      <c r="E1814" s="8" t="s">
        <v>189</v>
      </c>
      <c r="F1814" s="90">
        <v>25000.0</v>
      </c>
      <c r="G1814" s="97" t="s">
        <v>7459</v>
      </c>
      <c r="H1814" s="11" t="s">
        <v>49</v>
      </c>
      <c r="I1814" s="97">
        <v>9.732550259E9</v>
      </c>
      <c r="J1814" s="11" t="s">
        <v>25</v>
      </c>
      <c r="K1814" s="12"/>
      <c r="L1814" s="13"/>
      <c r="M1814" s="14"/>
      <c r="N1814" s="15"/>
      <c r="O1814" s="5" t="s">
        <v>34</v>
      </c>
      <c r="P1814" s="5" t="s">
        <v>727</v>
      </c>
      <c r="Q1814" s="15"/>
      <c r="R1814" s="16" t="s">
        <v>28</v>
      </c>
      <c r="S1814" s="15"/>
      <c r="T1814" s="15"/>
      <c r="U1814" s="15"/>
      <c r="V1814" s="15"/>
      <c r="W1814" s="15"/>
      <c r="X1814" s="15"/>
      <c r="Y1814" s="15"/>
      <c r="Z1814" s="15"/>
      <c r="AA1814" s="15"/>
    </row>
    <row r="1815">
      <c r="A1815" s="5" t="s">
        <v>7446</v>
      </c>
      <c r="B1815" s="6" t="s">
        <v>7460</v>
      </c>
      <c r="C1815" s="40" t="s">
        <v>7461</v>
      </c>
      <c r="D1815" s="8"/>
      <c r="E1815" s="8" t="s">
        <v>189</v>
      </c>
      <c r="F1815" s="90">
        <v>2000.0</v>
      </c>
      <c r="G1815" s="97" t="s">
        <v>7462</v>
      </c>
      <c r="H1815" s="11" t="s">
        <v>44</v>
      </c>
      <c r="I1815" s="97">
        <v>9.831167517E9</v>
      </c>
      <c r="J1815" s="11" t="s">
        <v>25</v>
      </c>
      <c r="K1815" s="12"/>
      <c r="L1815" s="13"/>
      <c r="M1815" s="14"/>
      <c r="N1815" s="15"/>
      <c r="O1815" s="5" t="s">
        <v>564</v>
      </c>
      <c r="P1815" s="15"/>
      <c r="Q1815" s="15"/>
      <c r="R1815" s="16" t="s">
        <v>28</v>
      </c>
      <c r="S1815" s="15"/>
      <c r="T1815" s="15"/>
      <c r="U1815" s="15"/>
      <c r="V1815" s="15"/>
      <c r="W1815" s="15"/>
      <c r="X1815" s="15"/>
      <c r="Y1815" s="15"/>
      <c r="Z1815" s="15"/>
      <c r="AA1815" s="15"/>
    </row>
    <row r="1816">
      <c r="A1816" s="5" t="s">
        <v>7446</v>
      </c>
      <c r="B1816" s="6" t="s">
        <v>7463</v>
      </c>
      <c r="C1816" s="40" t="s">
        <v>7464</v>
      </c>
      <c r="D1816" s="8"/>
      <c r="E1816" s="8" t="s">
        <v>189</v>
      </c>
      <c r="F1816" s="90">
        <v>1000.0</v>
      </c>
      <c r="G1816" s="97" t="s">
        <v>7465</v>
      </c>
      <c r="H1816" s="11" t="s">
        <v>7466</v>
      </c>
      <c r="I1816" s="97">
        <v>6.289547656E9</v>
      </c>
      <c r="J1816" s="11" t="s">
        <v>25</v>
      </c>
      <c r="K1816" s="12"/>
      <c r="L1816" s="13"/>
      <c r="M1816" s="14"/>
      <c r="N1816" s="15"/>
      <c r="O1816" s="5" t="s">
        <v>34</v>
      </c>
      <c r="P1816" s="5" t="s">
        <v>4850</v>
      </c>
      <c r="Q1816" s="5" t="s">
        <v>55</v>
      </c>
      <c r="R1816" s="16" t="s">
        <v>723</v>
      </c>
      <c r="S1816" s="15"/>
      <c r="T1816" s="15"/>
      <c r="U1816" s="15"/>
      <c r="V1816" s="15"/>
      <c r="W1816" s="15"/>
      <c r="X1816" s="15"/>
      <c r="Y1816" s="15"/>
      <c r="Z1816" s="15"/>
      <c r="AA1816" s="15"/>
    </row>
    <row r="1817">
      <c r="A1817" s="5" t="s">
        <v>7446</v>
      </c>
      <c r="B1817" s="6" t="s">
        <v>7467</v>
      </c>
      <c r="C1817" s="40" t="s">
        <v>7468</v>
      </c>
      <c r="D1817" s="8"/>
      <c r="E1817" s="8" t="s">
        <v>5014</v>
      </c>
      <c r="F1817" s="90">
        <v>25000.0</v>
      </c>
      <c r="G1817" s="97" t="s">
        <v>7469</v>
      </c>
      <c r="H1817" s="11" t="s">
        <v>7470</v>
      </c>
      <c r="I1817" s="97">
        <v>7.908328611E9</v>
      </c>
      <c r="J1817" s="11" t="s">
        <v>25</v>
      </c>
      <c r="K1817" s="12"/>
      <c r="L1817" s="13"/>
      <c r="M1817" s="14"/>
      <c r="N1817" s="15"/>
      <c r="O1817" s="5" t="s">
        <v>34</v>
      </c>
      <c r="P1817" s="5" t="s">
        <v>777</v>
      </c>
      <c r="Q1817" s="15"/>
      <c r="R1817" s="16" t="s">
        <v>723</v>
      </c>
      <c r="S1817" s="15"/>
      <c r="T1817" s="15"/>
      <c r="U1817" s="15"/>
      <c r="V1817" s="15"/>
      <c r="W1817" s="15"/>
      <c r="X1817" s="15"/>
      <c r="Y1817" s="15"/>
      <c r="Z1817" s="15"/>
      <c r="AA1817" s="15"/>
    </row>
    <row r="1818">
      <c r="A1818" s="5" t="s">
        <v>7446</v>
      </c>
      <c r="B1818" s="6" t="s">
        <v>7471</v>
      </c>
      <c r="C1818" s="40" t="s">
        <v>7472</v>
      </c>
      <c r="D1818" s="8"/>
      <c r="E1818" s="8" t="s">
        <v>152</v>
      </c>
      <c r="F1818" s="90">
        <v>1000.0</v>
      </c>
      <c r="G1818" s="97"/>
      <c r="H1818" s="11" t="s">
        <v>7220</v>
      </c>
      <c r="I1818" s="97">
        <v>8.920177463E9</v>
      </c>
      <c r="J1818" s="11" t="s">
        <v>25</v>
      </c>
      <c r="K1818" s="12"/>
      <c r="L1818" s="13"/>
      <c r="M1818" s="11" t="s">
        <v>7473</v>
      </c>
      <c r="N1818" s="5" t="s">
        <v>7474</v>
      </c>
      <c r="O1818" s="5" t="s">
        <v>108</v>
      </c>
      <c r="P1818" s="15"/>
      <c r="Q1818" s="15"/>
      <c r="R1818" s="16" t="s">
        <v>6999</v>
      </c>
      <c r="S1818" s="15"/>
      <c r="T1818" s="15"/>
      <c r="U1818" s="15"/>
      <c r="V1818" s="15"/>
      <c r="W1818" s="15"/>
      <c r="X1818" s="15"/>
      <c r="Y1818" s="15"/>
      <c r="Z1818" s="15"/>
      <c r="AA1818" s="15"/>
    </row>
    <row r="1819">
      <c r="A1819" s="5" t="s">
        <v>7475</v>
      </c>
      <c r="B1819" s="6" t="s">
        <v>7476</v>
      </c>
      <c r="C1819" s="40" t="s">
        <v>7477</v>
      </c>
      <c r="D1819" s="156"/>
      <c r="E1819" s="156" t="s">
        <v>3489</v>
      </c>
      <c r="F1819" s="90">
        <v>3000.0</v>
      </c>
      <c r="G1819" s="97" t="s">
        <v>7478</v>
      </c>
      <c r="H1819" s="11" t="s">
        <v>6933</v>
      </c>
      <c r="I1819" s="97">
        <v>7.977285407E9</v>
      </c>
      <c r="J1819" s="11" t="s">
        <v>4008</v>
      </c>
      <c r="K1819" s="12"/>
      <c r="L1819" s="13"/>
      <c r="M1819" s="14"/>
      <c r="N1819" s="15"/>
      <c r="O1819" s="5" t="s">
        <v>34</v>
      </c>
      <c r="P1819" s="5" t="s">
        <v>7402</v>
      </c>
      <c r="Q1819" s="5" t="s">
        <v>55</v>
      </c>
      <c r="R1819" s="16" t="s">
        <v>723</v>
      </c>
      <c r="S1819" s="15"/>
      <c r="T1819" s="15"/>
      <c r="U1819" s="15"/>
      <c r="V1819" s="15"/>
      <c r="W1819" s="15"/>
      <c r="X1819" s="15"/>
      <c r="Y1819" s="15"/>
      <c r="Z1819" s="15"/>
      <c r="AA1819" s="15"/>
    </row>
    <row r="1820">
      <c r="A1820" s="5" t="s">
        <v>7475</v>
      </c>
      <c r="B1820" s="6" t="s">
        <v>7479</v>
      </c>
      <c r="C1820" s="40" t="s">
        <v>7480</v>
      </c>
      <c r="D1820" s="11"/>
      <c r="E1820" s="11" t="s">
        <v>5014</v>
      </c>
      <c r="F1820" s="90">
        <v>1000.0</v>
      </c>
      <c r="G1820" s="97" t="s">
        <v>7481</v>
      </c>
      <c r="H1820" s="11" t="s">
        <v>7482</v>
      </c>
      <c r="I1820" s="97">
        <v>9.083294831E9</v>
      </c>
      <c r="J1820" s="11" t="s">
        <v>25</v>
      </c>
      <c r="K1820" s="12"/>
      <c r="L1820" s="13"/>
      <c r="M1820" s="14"/>
      <c r="N1820" s="15"/>
      <c r="O1820" s="5" t="s">
        <v>34</v>
      </c>
      <c r="P1820" s="5" t="s">
        <v>7483</v>
      </c>
      <c r="Q1820" s="5" t="s">
        <v>4583</v>
      </c>
      <c r="R1820" s="16" t="s">
        <v>28</v>
      </c>
      <c r="S1820" s="15"/>
      <c r="T1820" s="15"/>
      <c r="U1820" s="15"/>
      <c r="V1820" s="15"/>
      <c r="W1820" s="15"/>
      <c r="X1820" s="15"/>
      <c r="Y1820" s="15"/>
      <c r="Z1820" s="15"/>
      <c r="AA1820" s="15"/>
    </row>
    <row r="1821">
      <c r="A1821" s="5" t="s">
        <v>7484</v>
      </c>
      <c r="B1821" s="6" t="s">
        <v>7485</v>
      </c>
      <c r="C1821" s="40" t="s">
        <v>7486</v>
      </c>
      <c r="D1821" s="11"/>
      <c r="E1821" s="11" t="s">
        <v>130</v>
      </c>
      <c r="F1821" s="90">
        <v>10000.0</v>
      </c>
      <c r="G1821" s="97" t="s">
        <v>7487</v>
      </c>
      <c r="H1821" s="11" t="s">
        <v>7488</v>
      </c>
      <c r="I1821" s="97">
        <v>9.820173049E9</v>
      </c>
      <c r="J1821" s="11" t="s">
        <v>4008</v>
      </c>
      <c r="K1821" s="12"/>
      <c r="L1821" s="13"/>
      <c r="M1821" s="11" t="s">
        <v>7489</v>
      </c>
      <c r="N1821" s="5" t="s">
        <v>7490</v>
      </c>
      <c r="O1821" s="5" t="s">
        <v>108</v>
      </c>
      <c r="P1821" s="15"/>
      <c r="Q1821" s="15"/>
      <c r="R1821" s="16" t="s">
        <v>6999</v>
      </c>
      <c r="S1821" s="15"/>
      <c r="T1821" s="15"/>
      <c r="U1821" s="15"/>
      <c r="V1821" s="15"/>
      <c r="W1821" s="15"/>
      <c r="X1821" s="15"/>
      <c r="Y1821" s="15"/>
      <c r="Z1821" s="15"/>
      <c r="AA1821" s="15"/>
    </row>
    <row r="1822">
      <c r="A1822" s="5" t="s">
        <v>7491</v>
      </c>
      <c r="B1822" s="6" t="s">
        <v>7492</v>
      </c>
      <c r="C1822" s="40" t="s">
        <v>7493</v>
      </c>
      <c r="D1822" s="11"/>
      <c r="E1822" s="11" t="s">
        <v>7494</v>
      </c>
      <c r="F1822" s="90">
        <v>10000.0</v>
      </c>
      <c r="G1822" s="97" t="s">
        <v>7495</v>
      </c>
      <c r="H1822" s="11" t="s">
        <v>7496</v>
      </c>
      <c r="I1822" s="97">
        <v>9.820227334E9</v>
      </c>
      <c r="J1822" s="11" t="s">
        <v>25</v>
      </c>
      <c r="K1822" s="12"/>
      <c r="L1822" s="13"/>
      <c r="M1822" s="14"/>
      <c r="N1822" s="15"/>
      <c r="O1822" s="5" t="s">
        <v>108</v>
      </c>
      <c r="P1822" s="15"/>
      <c r="Q1822" s="15"/>
      <c r="R1822" s="16" t="s">
        <v>28</v>
      </c>
      <c r="S1822" s="15"/>
      <c r="T1822" s="15"/>
      <c r="U1822" s="15"/>
      <c r="V1822" s="15"/>
      <c r="W1822" s="15"/>
      <c r="X1822" s="15"/>
      <c r="Y1822" s="15"/>
      <c r="Z1822" s="15"/>
      <c r="AA1822" s="15"/>
    </row>
    <row r="1823">
      <c r="A1823" s="5" t="s">
        <v>7497</v>
      </c>
      <c r="B1823" s="6" t="s">
        <v>7498</v>
      </c>
      <c r="C1823" s="40" t="s">
        <v>7499</v>
      </c>
      <c r="D1823" s="11"/>
      <c r="E1823" s="11" t="s">
        <v>7494</v>
      </c>
      <c r="F1823" s="90">
        <v>2000.0</v>
      </c>
      <c r="G1823" s="97" t="s">
        <v>7500</v>
      </c>
      <c r="H1823" s="11" t="s">
        <v>3861</v>
      </c>
      <c r="I1823" s="97">
        <v>7.066529735E9</v>
      </c>
      <c r="J1823" s="11" t="s">
        <v>25</v>
      </c>
      <c r="K1823" s="12"/>
      <c r="L1823" s="13"/>
      <c r="M1823" s="14"/>
      <c r="N1823" s="15"/>
      <c r="O1823" s="5" t="s">
        <v>108</v>
      </c>
      <c r="P1823" s="15"/>
      <c r="Q1823" s="15"/>
      <c r="R1823" s="16" t="s">
        <v>28</v>
      </c>
      <c r="S1823" s="15"/>
      <c r="T1823" s="15"/>
      <c r="U1823" s="15"/>
      <c r="V1823" s="15"/>
      <c r="W1823" s="15"/>
      <c r="X1823" s="15"/>
      <c r="Y1823" s="15"/>
      <c r="Z1823" s="15"/>
      <c r="AA1823" s="15"/>
    </row>
    <row r="1824">
      <c r="A1824" s="5" t="s">
        <v>7497</v>
      </c>
      <c r="B1824" s="6" t="s">
        <v>7501</v>
      </c>
      <c r="C1824" s="40" t="s">
        <v>7502</v>
      </c>
      <c r="D1824" s="11"/>
      <c r="E1824" s="11" t="s">
        <v>7503</v>
      </c>
      <c r="F1824" s="90">
        <v>5000.0</v>
      </c>
      <c r="G1824" s="97" t="s">
        <v>7504</v>
      </c>
      <c r="H1824" s="11" t="s">
        <v>44</v>
      </c>
      <c r="I1824" s="97" t="s">
        <v>7505</v>
      </c>
      <c r="J1824" s="11" t="s">
        <v>25</v>
      </c>
      <c r="K1824" s="12" t="s">
        <v>7506</v>
      </c>
      <c r="L1824" s="13"/>
      <c r="M1824" s="11" t="s">
        <v>7507</v>
      </c>
      <c r="N1824" s="15"/>
      <c r="O1824" s="5" t="s">
        <v>1112</v>
      </c>
      <c r="P1824" s="15"/>
      <c r="Q1824" s="15"/>
      <c r="R1824" s="16" t="s">
        <v>28</v>
      </c>
      <c r="S1824" s="15"/>
      <c r="T1824" s="15"/>
      <c r="U1824" s="15"/>
      <c r="V1824" s="15"/>
      <c r="W1824" s="15"/>
      <c r="X1824" s="15"/>
      <c r="Y1824" s="15"/>
      <c r="Z1824" s="15"/>
      <c r="AA1824" s="15"/>
    </row>
    <row r="1825">
      <c r="A1825" s="5" t="s">
        <v>7497</v>
      </c>
      <c r="B1825" s="6" t="s">
        <v>7508</v>
      </c>
      <c r="C1825" s="40" t="s">
        <v>2283</v>
      </c>
      <c r="D1825" s="11"/>
      <c r="E1825" s="11" t="s">
        <v>593</v>
      </c>
      <c r="F1825" s="90">
        <v>500.0</v>
      </c>
      <c r="G1825" s="97" t="s">
        <v>7509</v>
      </c>
      <c r="H1825" s="11" t="s">
        <v>44</v>
      </c>
      <c r="I1825" s="97">
        <v>9.635942117E9</v>
      </c>
      <c r="J1825" s="11" t="s">
        <v>25</v>
      </c>
      <c r="K1825" s="12"/>
      <c r="L1825" s="13"/>
      <c r="M1825" s="11" t="s">
        <v>7510</v>
      </c>
      <c r="N1825" s="5" t="s">
        <v>7511</v>
      </c>
      <c r="O1825" s="5" t="s">
        <v>34</v>
      </c>
      <c r="P1825" s="5" t="s">
        <v>1035</v>
      </c>
      <c r="Q1825" s="15"/>
      <c r="R1825" s="16" t="s">
        <v>634</v>
      </c>
      <c r="S1825" s="15"/>
      <c r="T1825" s="15"/>
      <c r="U1825" s="15"/>
      <c r="V1825" s="15"/>
      <c r="W1825" s="15"/>
      <c r="X1825" s="15"/>
      <c r="Y1825" s="15"/>
      <c r="Z1825" s="15"/>
      <c r="AA1825" s="15"/>
    </row>
    <row r="1826">
      <c r="A1826" s="5" t="s">
        <v>7512</v>
      </c>
      <c r="B1826" s="6" t="s">
        <v>7513</v>
      </c>
      <c r="C1826" s="40" t="s">
        <v>7514</v>
      </c>
      <c r="D1826" s="11"/>
      <c r="E1826" s="11" t="s">
        <v>92</v>
      </c>
      <c r="F1826" s="90">
        <v>1000.0</v>
      </c>
      <c r="G1826" s="97" t="s">
        <v>7515</v>
      </c>
      <c r="H1826" s="11" t="s">
        <v>7516</v>
      </c>
      <c r="I1826" s="97">
        <v>9.861627208E9</v>
      </c>
      <c r="J1826" s="11" t="s">
        <v>25</v>
      </c>
      <c r="K1826" s="12"/>
      <c r="L1826" s="13"/>
      <c r="M1826" s="14"/>
      <c r="N1826" s="15"/>
      <c r="O1826" s="5" t="s">
        <v>34</v>
      </c>
      <c r="P1826" s="15"/>
      <c r="Q1826" s="15"/>
      <c r="R1826" s="16" t="s">
        <v>28</v>
      </c>
      <c r="S1826" s="15"/>
      <c r="T1826" s="15"/>
      <c r="U1826" s="15"/>
      <c r="V1826" s="15"/>
      <c r="W1826" s="15"/>
      <c r="X1826" s="15"/>
      <c r="Y1826" s="15"/>
      <c r="Z1826" s="15"/>
      <c r="AA1826" s="15"/>
    </row>
    <row r="1827">
      <c r="A1827" s="5" t="s">
        <v>7512</v>
      </c>
      <c r="B1827" s="6" t="s">
        <v>7517</v>
      </c>
      <c r="C1827" s="36" t="s">
        <v>7518</v>
      </c>
      <c r="D1827" s="52"/>
      <c r="E1827" s="11" t="s">
        <v>3652</v>
      </c>
      <c r="F1827" s="90">
        <v>25000.0</v>
      </c>
      <c r="G1827" s="97" t="s">
        <v>7519</v>
      </c>
      <c r="H1827" s="11" t="s">
        <v>99</v>
      </c>
      <c r="I1827" s="97">
        <v>8.421929985E9</v>
      </c>
      <c r="J1827" s="11" t="s">
        <v>25</v>
      </c>
      <c r="K1827" s="12" t="s">
        <v>7520</v>
      </c>
      <c r="L1827" s="13"/>
      <c r="M1827" s="14"/>
      <c r="N1827" s="15"/>
      <c r="O1827" s="5" t="s">
        <v>34</v>
      </c>
      <c r="P1827" s="5" t="s">
        <v>7521</v>
      </c>
      <c r="Q1827" s="5" t="s">
        <v>55</v>
      </c>
      <c r="R1827" s="16" t="s">
        <v>634</v>
      </c>
      <c r="S1827" s="15"/>
      <c r="T1827" s="15"/>
      <c r="U1827" s="15"/>
      <c r="V1827" s="15"/>
      <c r="W1827" s="15"/>
      <c r="X1827" s="15"/>
      <c r="Y1827" s="15"/>
      <c r="Z1827" s="15"/>
      <c r="AA1827" s="15"/>
    </row>
    <row r="1828">
      <c r="A1828" s="5" t="s">
        <v>7512</v>
      </c>
      <c r="B1828" s="6" t="s">
        <v>7522</v>
      </c>
      <c r="C1828" s="40" t="s">
        <v>7523</v>
      </c>
      <c r="D1828" s="11"/>
      <c r="E1828" s="11" t="s">
        <v>5368</v>
      </c>
      <c r="F1828" s="90">
        <v>1000.0</v>
      </c>
      <c r="G1828" s="97"/>
      <c r="H1828" s="11" t="s">
        <v>985</v>
      </c>
      <c r="I1828" s="97">
        <v>8.617346103E9</v>
      </c>
      <c r="J1828" s="11" t="s">
        <v>25</v>
      </c>
      <c r="K1828" s="12"/>
      <c r="L1828" s="13"/>
      <c r="M1828" s="14"/>
      <c r="N1828" s="15"/>
      <c r="O1828" s="5" t="s">
        <v>34</v>
      </c>
      <c r="P1828" s="5" t="s">
        <v>2144</v>
      </c>
      <c r="Q1828" s="15"/>
      <c r="R1828" s="16" t="s">
        <v>723</v>
      </c>
      <c r="S1828" s="15"/>
      <c r="T1828" s="15"/>
      <c r="U1828" s="15"/>
      <c r="V1828" s="15"/>
      <c r="W1828" s="15"/>
      <c r="X1828" s="15"/>
      <c r="Y1828" s="15"/>
      <c r="Z1828" s="15"/>
      <c r="AA1828" s="15"/>
    </row>
    <row r="1829">
      <c r="A1829" s="5" t="s">
        <v>7524</v>
      </c>
      <c r="B1829" s="6" t="s">
        <v>7525</v>
      </c>
      <c r="C1829" s="40" t="s">
        <v>7526</v>
      </c>
      <c r="D1829" s="11"/>
      <c r="E1829" s="11" t="s">
        <v>178</v>
      </c>
      <c r="F1829" s="90">
        <v>30000.0</v>
      </c>
      <c r="G1829" s="97" t="s">
        <v>7527</v>
      </c>
      <c r="H1829" s="11" t="s">
        <v>7528</v>
      </c>
      <c r="I1829" s="97">
        <v>9.83102864E9</v>
      </c>
      <c r="J1829" s="11" t="s">
        <v>25</v>
      </c>
      <c r="K1829" s="12"/>
      <c r="L1829" s="13"/>
      <c r="M1829" s="14"/>
      <c r="N1829" s="15"/>
      <c r="O1829" s="5" t="s">
        <v>564</v>
      </c>
      <c r="P1829" s="5" t="s">
        <v>7529</v>
      </c>
      <c r="Q1829" s="15"/>
      <c r="R1829" s="16" t="s">
        <v>28</v>
      </c>
      <c r="S1829" s="15"/>
      <c r="T1829" s="15"/>
      <c r="U1829" s="15"/>
      <c r="V1829" s="15"/>
      <c r="W1829" s="15"/>
      <c r="X1829" s="15"/>
      <c r="Y1829" s="15"/>
      <c r="Z1829" s="15"/>
      <c r="AA1829" s="15"/>
    </row>
    <row r="1830">
      <c r="A1830" s="5" t="s">
        <v>7524</v>
      </c>
      <c r="B1830" s="6" t="s">
        <v>7530</v>
      </c>
      <c r="C1830" s="40" t="s">
        <v>7531</v>
      </c>
      <c r="D1830" s="11"/>
      <c r="E1830" s="11" t="s">
        <v>152</v>
      </c>
      <c r="F1830" s="90">
        <v>5000.0</v>
      </c>
      <c r="G1830" s="97" t="s">
        <v>7532</v>
      </c>
      <c r="H1830" s="11" t="s">
        <v>1082</v>
      </c>
      <c r="I1830" s="97" t="s">
        <v>7533</v>
      </c>
      <c r="J1830" s="11" t="s">
        <v>25</v>
      </c>
      <c r="K1830" s="12"/>
      <c r="L1830" s="13"/>
      <c r="M1830" s="11" t="s">
        <v>0</v>
      </c>
      <c r="N1830" s="15"/>
      <c r="O1830" s="5" t="s">
        <v>564</v>
      </c>
      <c r="P1830" s="5" t="s">
        <v>6127</v>
      </c>
      <c r="Q1830" s="15"/>
      <c r="R1830" s="16" t="s">
        <v>28</v>
      </c>
      <c r="S1830" s="15"/>
      <c r="T1830" s="15"/>
      <c r="U1830" s="15"/>
      <c r="V1830" s="15"/>
      <c r="W1830" s="15"/>
      <c r="X1830" s="15"/>
      <c r="Y1830" s="15"/>
      <c r="Z1830" s="15"/>
      <c r="AA1830" s="15"/>
    </row>
    <row r="1831">
      <c r="A1831" s="5" t="s">
        <v>7534</v>
      </c>
      <c r="B1831" s="6" t="s">
        <v>7535</v>
      </c>
      <c r="C1831" s="40" t="s">
        <v>7536</v>
      </c>
      <c r="D1831" s="11"/>
      <c r="E1831" s="11" t="s">
        <v>2660</v>
      </c>
      <c r="F1831" s="90">
        <v>20000.0</v>
      </c>
      <c r="G1831" s="97" t="s">
        <v>7537</v>
      </c>
      <c r="H1831" s="11" t="s">
        <v>3836</v>
      </c>
      <c r="I1831" s="97">
        <v>9.869194474E9</v>
      </c>
      <c r="J1831" s="11" t="s">
        <v>4008</v>
      </c>
      <c r="K1831" s="12"/>
      <c r="L1831" s="13"/>
      <c r="M1831" s="14"/>
      <c r="N1831" s="15"/>
      <c r="O1831" s="5" t="s">
        <v>108</v>
      </c>
      <c r="P1831" s="15"/>
      <c r="Q1831" s="15"/>
      <c r="R1831" s="16" t="s">
        <v>28</v>
      </c>
      <c r="S1831" s="15"/>
      <c r="T1831" s="15"/>
      <c r="U1831" s="15"/>
      <c r="V1831" s="15"/>
      <c r="W1831" s="15"/>
      <c r="X1831" s="15"/>
      <c r="Y1831" s="15"/>
      <c r="Z1831" s="15"/>
      <c r="AA1831" s="15"/>
    </row>
    <row r="1832">
      <c r="A1832" s="5" t="s">
        <v>7534</v>
      </c>
      <c r="B1832" s="6" t="s">
        <v>7538</v>
      </c>
      <c r="C1832" s="40" t="s">
        <v>7539</v>
      </c>
      <c r="D1832" s="11"/>
      <c r="E1832" s="11" t="s">
        <v>7540</v>
      </c>
      <c r="F1832" s="90" t="s">
        <v>7541</v>
      </c>
      <c r="G1832" s="97" t="s">
        <v>7542</v>
      </c>
      <c r="H1832" s="11" t="s">
        <v>218</v>
      </c>
      <c r="I1832" s="97" t="s">
        <v>7543</v>
      </c>
      <c r="J1832" s="11" t="s">
        <v>25</v>
      </c>
      <c r="K1832" s="12"/>
      <c r="L1832" s="13"/>
      <c r="M1832" s="14"/>
      <c r="N1832" s="15"/>
      <c r="O1832" s="5" t="s">
        <v>564</v>
      </c>
      <c r="P1832" s="15"/>
      <c r="Q1832" s="15"/>
      <c r="R1832" s="16" t="s">
        <v>6999</v>
      </c>
      <c r="S1832" s="15"/>
      <c r="T1832" s="15"/>
      <c r="U1832" s="15"/>
      <c r="V1832" s="15"/>
      <c r="W1832" s="15"/>
      <c r="X1832" s="15"/>
      <c r="Y1832" s="15"/>
      <c r="Z1832" s="15"/>
      <c r="AA1832" s="15"/>
    </row>
    <row r="1833">
      <c r="A1833" s="5" t="s">
        <v>7534</v>
      </c>
      <c r="B1833" s="6" t="s">
        <v>7544</v>
      </c>
      <c r="C1833" s="40" t="s">
        <v>7545</v>
      </c>
      <c r="D1833" s="11"/>
      <c r="E1833" s="11" t="s">
        <v>7546</v>
      </c>
      <c r="F1833" s="90">
        <v>3000.0</v>
      </c>
      <c r="G1833" s="97" t="s">
        <v>7547</v>
      </c>
      <c r="H1833" s="11" t="s">
        <v>44</v>
      </c>
      <c r="I1833" s="97">
        <v>7.903963783E9</v>
      </c>
      <c r="J1833" s="11" t="s">
        <v>25</v>
      </c>
      <c r="K1833" s="12"/>
      <c r="L1833" s="13"/>
      <c r="M1833" s="14"/>
      <c r="N1833" s="15"/>
      <c r="O1833" s="5" t="s">
        <v>34</v>
      </c>
      <c r="P1833" s="5" t="s">
        <v>5480</v>
      </c>
      <c r="Q1833" s="15"/>
      <c r="R1833" s="16" t="s">
        <v>551</v>
      </c>
      <c r="S1833" s="15"/>
      <c r="T1833" s="15"/>
      <c r="U1833" s="15"/>
      <c r="V1833" s="15"/>
      <c r="W1833" s="15"/>
      <c r="X1833" s="15"/>
      <c r="Y1833" s="15"/>
      <c r="Z1833" s="15"/>
      <c r="AA1833" s="15"/>
    </row>
    <row r="1834">
      <c r="A1834" s="5" t="s">
        <v>7548</v>
      </c>
      <c r="B1834" s="6" t="s">
        <v>7549</v>
      </c>
      <c r="C1834" s="40" t="s">
        <v>7550</v>
      </c>
      <c r="D1834" s="11"/>
      <c r="E1834" s="11" t="s">
        <v>152</v>
      </c>
      <c r="F1834" s="90">
        <v>5000.0</v>
      </c>
      <c r="G1834" s="97" t="s">
        <v>7551</v>
      </c>
      <c r="H1834" s="11" t="s">
        <v>7552</v>
      </c>
      <c r="I1834" s="97">
        <v>9.423651111E9</v>
      </c>
      <c r="J1834" s="11" t="s">
        <v>25</v>
      </c>
      <c r="K1834" s="12"/>
      <c r="L1834" s="13"/>
      <c r="M1834" s="11" t="s">
        <v>7553</v>
      </c>
      <c r="N1834" s="5" t="s">
        <v>7554</v>
      </c>
      <c r="O1834" s="5" t="s">
        <v>108</v>
      </c>
      <c r="P1834" s="15"/>
      <c r="Q1834" s="15"/>
      <c r="R1834" s="16" t="s">
        <v>634</v>
      </c>
      <c r="S1834" s="15"/>
      <c r="T1834" s="15"/>
      <c r="U1834" s="15"/>
      <c r="V1834" s="15"/>
      <c r="W1834" s="15"/>
      <c r="X1834" s="15"/>
      <c r="Y1834" s="15"/>
      <c r="Z1834" s="15"/>
      <c r="AA1834" s="15"/>
    </row>
    <row r="1835">
      <c r="A1835" s="5" t="s">
        <v>7548</v>
      </c>
      <c r="B1835" s="6" t="s">
        <v>7555</v>
      </c>
      <c r="C1835" s="40" t="s">
        <v>7556</v>
      </c>
      <c r="D1835" s="11"/>
      <c r="E1835" s="11" t="s">
        <v>130</v>
      </c>
      <c r="F1835" s="90">
        <v>40000.0</v>
      </c>
      <c r="G1835" s="97" t="s">
        <v>7557</v>
      </c>
      <c r="H1835" s="11" t="s">
        <v>1337</v>
      </c>
      <c r="I1835" s="97">
        <v>9.205315004E9</v>
      </c>
      <c r="J1835" s="11" t="s">
        <v>4008</v>
      </c>
      <c r="K1835" s="12"/>
      <c r="L1835" s="13"/>
      <c r="M1835" s="14"/>
      <c r="N1835" s="15"/>
      <c r="O1835" s="5" t="s">
        <v>34</v>
      </c>
      <c r="P1835" s="5" t="s">
        <v>5305</v>
      </c>
      <c r="Q1835" s="15"/>
      <c r="R1835" s="16" t="s">
        <v>28</v>
      </c>
      <c r="S1835" s="15"/>
      <c r="T1835" s="15"/>
      <c r="U1835" s="15"/>
      <c r="V1835" s="15"/>
      <c r="W1835" s="15"/>
      <c r="X1835" s="15"/>
      <c r="Y1835" s="15"/>
      <c r="Z1835" s="15"/>
      <c r="AA1835" s="15"/>
    </row>
    <row r="1836">
      <c r="A1836" s="5" t="s">
        <v>7548</v>
      </c>
      <c r="B1836" s="6" t="s">
        <v>7558</v>
      </c>
      <c r="C1836" s="40" t="s">
        <v>7559</v>
      </c>
      <c r="D1836" s="11"/>
      <c r="E1836" s="11" t="s">
        <v>31</v>
      </c>
      <c r="F1836" s="90">
        <v>1000.0</v>
      </c>
      <c r="G1836" s="97" t="s">
        <v>7560</v>
      </c>
      <c r="H1836" s="11" t="s">
        <v>7561</v>
      </c>
      <c r="I1836" s="97">
        <v>9.775275616E9</v>
      </c>
      <c r="J1836" s="11" t="s">
        <v>4008</v>
      </c>
      <c r="K1836" s="12"/>
      <c r="L1836" s="13"/>
      <c r="M1836" s="14"/>
      <c r="N1836" s="15"/>
      <c r="O1836" s="5" t="s">
        <v>34</v>
      </c>
      <c r="P1836" s="5" t="s">
        <v>1751</v>
      </c>
      <c r="Q1836" s="15"/>
      <c r="R1836" s="16" t="s">
        <v>723</v>
      </c>
      <c r="S1836" s="15"/>
      <c r="T1836" s="15"/>
      <c r="U1836" s="15"/>
      <c r="V1836" s="15"/>
      <c r="W1836" s="15"/>
      <c r="X1836" s="15"/>
      <c r="Y1836" s="15"/>
      <c r="Z1836" s="15"/>
      <c r="AA1836" s="15"/>
    </row>
    <row r="1837">
      <c r="A1837" s="5" t="s">
        <v>7562</v>
      </c>
      <c r="B1837" s="6" t="s">
        <v>7563</v>
      </c>
      <c r="C1837" s="40" t="s">
        <v>7564</v>
      </c>
      <c r="D1837" s="11"/>
      <c r="E1837" s="11" t="s">
        <v>6323</v>
      </c>
      <c r="F1837" s="90">
        <v>5000.0</v>
      </c>
      <c r="G1837" s="97" t="s">
        <v>7565</v>
      </c>
      <c r="H1837" s="11" t="s">
        <v>44</v>
      </c>
      <c r="I1837" s="97">
        <v>7.044807072E9</v>
      </c>
      <c r="J1837" s="11" t="s">
        <v>25</v>
      </c>
      <c r="K1837" s="12"/>
      <c r="L1837" s="13"/>
      <c r="M1837" s="14"/>
      <c r="N1837" s="15"/>
      <c r="O1837" s="5" t="s">
        <v>564</v>
      </c>
      <c r="P1837" s="15"/>
      <c r="Q1837" s="15"/>
      <c r="R1837" s="16" t="s">
        <v>28</v>
      </c>
      <c r="S1837" s="15"/>
      <c r="T1837" s="15"/>
      <c r="U1837" s="15"/>
      <c r="V1837" s="15"/>
      <c r="W1837" s="15"/>
      <c r="X1837" s="15"/>
      <c r="Y1837" s="15"/>
      <c r="Z1837" s="15"/>
      <c r="AA1837" s="15"/>
    </row>
    <row r="1838">
      <c r="A1838" s="5" t="s">
        <v>7562</v>
      </c>
      <c r="B1838" s="6" t="s">
        <v>7566</v>
      </c>
      <c r="C1838" s="40" t="s">
        <v>7567</v>
      </c>
      <c r="D1838" s="11"/>
      <c r="E1838" s="11" t="s">
        <v>465</v>
      </c>
      <c r="F1838" s="90">
        <v>1000.0</v>
      </c>
      <c r="G1838" s="97" t="s">
        <v>7568</v>
      </c>
      <c r="H1838" s="11" t="s">
        <v>44</v>
      </c>
      <c r="I1838" s="97">
        <v>9.073350204E9</v>
      </c>
      <c r="J1838" s="11" t="s">
        <v>25</v>
      </c>
      <c r="K1838" s="12" t="s">
        <v>7569</v>
      </c>
      <c r="L1838" s="13"/>
      <c r="M1838" s="14"/>
      <c r="N1838" s="15"/>
      <c r="O1838" s="5" t="s">
        <v>564</v>
      </c>
      <c r="P1838" s="15"/>
      <c r="Q1838" s="15"/>
      <c r="R1838" s="16" t="s">
        <v>28</v>
      </c>
      <c r="S1838" s="15"/>
      <c r="T1838" s="15"/>
      <c r="U1838" s="15"/>
      <c r="V1838" s="15"/>
      <c r="W1838" s="15"/>
      <c r="X1838" s="15"/>
      <c r="Y1838" s="15"/>
      <c r="Z1838" s="15"/>
      <c r="AA1838" s="15"/>
    </row>
    <row r="1839">
      <c r="A1839" s="5" t="s">
        <v>7562</v>
      </c>
      <c r="B1839" s="6" t="s">
        <v>7570</v>
      </c>
      <c r="C1839" s="40" t="s">
        <v>7571</v>
      </c>
      <c r="D1839" s="11"/>
      <c r="E1839" s="11" t="s">
        <v>5172</v>
      </c>
      <c r="F1839" s="90">
        <v>10000.0</v>
      </c>
      <c r="G1839" s="97" t="s">
        <v>7572</v>
      </c>
      <c r="H1839" s="11" t="s">
        <v>7573</v>
      </c>
      <c r="I1839" s="97">
        <v>7.005235402E9</v>
      </c>
      <c r="J1839" s="11" t="s">
        <v>25</v>
      </c>
      <c r="K1839" s="12"/>
      <c r="L1839" s="13"/>
      <c r="M1839" s="14"/>
      <c r="N1839" s="15"/>
      <c r="O1839" s="5" t="s">
        <v>108</v>
      </c>
      <c r="P1839" s="15"/>
      <c r="Q1839" s="15"/>
      <c r="R1839" s="16" t="s">
        <v>28</v>
      </c>
      <c r="S1839" s="15"/>
      <c r="T1839" s="15"/>
      <c r="U1839" s="15"/>
      <c r="V1839" s="15"/>
      <c r="W1839" s="15"/>
      <c r="X1839" s="15"/>
      <c r="Y1839" s="15"/>
      <c r="Z1839" s="15"/>
      <c r="AA1839" s="15"/>
    </row>
    <row r="1840">
      <c r="A1840" s="5" t="s">
        <v>7562</v>
      </c>
      <c r="B1840" s="6" t="s">
        <v>7574</v>
      </c>
      <c r="C1840" s="40" t="s">
        <v>7575</v>
      </c>
      <c r="D1840" s="11"/>
      <c r="E1840" s="11" t="s">
        <v>7494</v>
      </c>
      <c r="F1840" s="90">
        <v>1000.0</v>
      </c>
      <c r="G1840" s="97"/>
      <c r="H1840" s="11" t="s">
        <v>3861</v>
      </c>
      <c r="I1840" s="97">
        <v>9.096926171E9</v>
      </c>
      <c r="J1840" s="11" t="s">
        <v>25</v>
      </c>
      <c r="K1840" s="12"/>
      <c r="L1840" s="13"/>
      <c r="M1840" s="14"/>
      <c r="N1840" s="15"/>
      <c r="O1840" s="5" t="s">
        <v>108</v>
      </c>
      <c r="P1840" s="15"/>
      <c r="Q1840" s="15"/>
      <c r="R1840" s="16" t="s">
        <v>28</v>
      </c>
      <c r="S1840" s="15"/>
      <c r="T1840" s="15"/>
      <c r="U1840" s="15"/>
      <c r="V1840" s="15"/>
      <c r="W1840" s="15"/>
      <c r="X1840" s="15"/>
      <c r="Y1840" s="15"/>
      <c r="Z1840" s="15"/>
      <c r="AA1840" s="15"/>
    </row>
    <row r="1841">
      <c r="A1841" s="5" t="s">
        <v>7562</v>
      </c>
      <c r="B1841" s="6" t="s">
        <v>7576</v>
      </c>
      <c r="C1841" s="40" t="s">
        <v>7577</v>
      </c>
      <c r="D1841" s="11"/>
      <c r="E1841" s="11" t="s">
        <v>147</v>
      </c>
      <c r="F1841" s="90">
        <v>1200.0</v>
      </c>
      <c r="G1841" s="97" t="s">
        <v>7578</v>
      </c>
      <c r="H1841" s="11" t="s">
        <v>7579</v>
      </c>
      <c r="I1841" s="97">
        <v>8.001794198E9</v>
      </c>
      <c r="J1841" s="11" t="s">
        <v>25</v>
      </c>
      <c r="K1841" s="12"/>
      <c r="L1841" s="13"/>
      <c r="M1841" s="14"/>
      <c r="N1841" s="15"/>
      <c r="O1841" s="5" t="s">
        <v>34</v>
      </c>
      <c r="P1841" s="11" t="s">
        <v>3586</v>
      </c>
      <c r="Q1841" s="5" t="s">
        <v>7580</v>
      </c>
      <c r="R1841" s="16" t="s">
        <v>723</v>
      </c>
      <c r="S1841" s="15"/>
      <c r="T1841" s="15"/>
      <c r="U1841" s="15"/>
      <c r="V1841" s="15"/>
      <c r="W1841" s="15"/>
      <c r="X1841" s="15"/>
      <c r="Y1841" s="15"/>
      <c r="Z1841" s="15"/>
      <c r="AA1841" s="15"/>
    </row>
    <row r="1842">
      <c r="A1842" s="5" t="s">
        <v>7562</v>
      </c>
      <c r="B1842" s="6" t="s">
        <v>7581</v>
      </c>
      <c r="C1842" s="40" t="s">
        <v>7582</v>
      </c>
      <c r="D1842" s="11"/>
      <c r="E1842" s="11" t="s">
        <v>130</v>
      </c>
      <c r="F1842" s="90">
        <v>1000.0</v>
      </c>
      <c r="G1842" s="97" t="s">
        <v>7583</v>
      </c>
      <c r="H1842" s="11" t="s">
        <v>906</v>
      </c>
      <c r="I1842" s="97">
        <v>9.321313204E9</v>
      </c>
      <c r="J1842" s="11" t="s">
        <v>25</v>
      </c>
      <c r="K1842" s="12"/>
      <c r="L1842" s="13"/>
      <c r="M1842" s="11" t="s">
        <v>7584</v>
      </c>
      <c r="N1842" s="5" t="s">
        <v>7585</v>
      </c>
      <c r="O1842" s="5" t="s">
        <v>108</v>
      </c>
      <c r="P1842" s="15"/>
      <c r="Q1842" s="15"/>
      <c r="R1842" s="16" t="s">
        <v>634</v>
      </c>
      <c r="S1842" s="15"/>
      <c r="T1842" s="15"/>
      <c r="U1842" s="15"/>
      <c r="V1842" s="15"/>
      <c r="W1842" s="15"/>
      <c r="X1842" s="15"/>
      <c r="Y1842" s="15"/>
      <c r="Z1842" s="15"/>
      <c r="AA1842" s="15"/>
    </row>
    <row r="1843">
      <c r="A1843" s="5" t="s">
        <v>7586</v>
      </c>
      <c r="B1843" s="6" t="s">
        <v>7587</v>
      </c>
      <c r="C1843" s="40" t="s">
        <v>7588</v>
      </c>
      <c r="D1843" s="11"/>
      <c r="E1843" s="11" t="s">
        <v>7589</v>
      </c>
      <c r="F1843" s="90" t="s">
        <v>4901</v>
      </c>
      <c r="G1843" s="97" t="s">
        <v>7590</v>
      </c>
      <c r="H1843" s="11" t="s">
        <v>44</v>
      </c>
      <c r="I1843" s="97">
        <v>9.830820247E9</v>
      </c>
      <c r="J1843" s="11" t="s">
        <v>25</v>
      </c>
      <c r="K1843" s="12"/>
      <c r="L1843" s="13"/>
      <c r="M1843" s="14"/>
      <c r="N1843" s="15"/>
      <c r="O1843" s="5" t="s">
        <v>34</v>
      </c>
      <c r="P1843" s="11" t="s">
        <v>7591</v>
      </c>
      <c r="Q1843" s="15"/>
      <c r="R1843" s="16" t="s">
        <v>723</v>
      </c>
      <c r="S1843" s="15"/>
      <c r="T1843" s="15"/>
      <c r="U1843" s="15"/>
      <c r="V1843" s="15"/>
      <c r="W1843" s="15"/>
      <c r="X1843" s="15"/>
      <c r="Y1843" s="15"/>
      <c r="Z1843" s="15"/>
      <c r="AA1843" s="15"/>
    </row>
    <row r="1844">
      <c r="A1844" s="5" t="s">
        <v>7586</v>
      </c>
      <c r="B1844" s="6" t="s">
        <v>7592</v>
      </c>
      <c r="C1844" s="40" t="s">
        <v>3781</v>
      </c>
      <c r="D1844" s="11"/>
      <c r="E1844" s="11" t="s">
        <v>1217</v>
      </c>
      <c r="F1844" s="90">
        <v>3000.0</v>
      </c>
      <c r="G1844" s="97" t="s">
        <v>7593</v>
      </c>
      <c r="H1844" s="11" t="s">
        <v>218</v>
      </c>
      <c r="I1844" s="97">
        <v>9.748231911E9</v>
      </c>
      <c r="J1844" s="11" t="s">
        <v>25</v>
      </c>
      <c r="K1844" s="12"/>
      <c r="L1844" s="13"/>
      <c r="M1844" s="14"/>
      <c r="N1844" s="15"/>
      <c r="O1844" s="5" t="s">
        <v>564</v>
      </c>
      <c r="P1844" s="15"/>
      <c r="Q1844" s="15"/>
      <c r="R1844" s="16" t="s">
        <v>28</v>
      </c>
      <c r="S1844" s="15"/>
      <c r="T1844" s="15"/>
      <c r="U1844" s="15"/>
      <c r="V1844" s="15"/>
      <c r="W1844" s="15"/>
      <c r="X1844" s="15"/>
      <c r="Y1844" s="15"/>
      <c r="Z1844" s="15"/>
      <c r="AA1844" s="15"/>
    </row>
    <row r="1845">
      <c r="A1845" s="5" t="s">
        <v>7594</v>
      </c>
      <c r="B1845" s="6" t="s">
        <v>7595</v>
      </c>
      <c r="C1845" s="40" t="s">
        <v>7596</v>
      </c>
      <c r="D1845" s="11"/>
      <c r="E1845" s="11" t="s">
        <v>202</v>
      </c>
      <c r="F1845" s="90">
        <v>30000.0</v>
      </c>
      <c r="G1845" s="97" t="s">
        <v>7597</v>
      </c>
      <c r="H1845" s="11" t="s">
        <v>7598</v>
      </c>
      <c r="I1845" s="97">
        <v>9.554701095E9</v>
      </c>
      <c r="J1845" s="11" t="s">
        <v>4008</v>
      </c>
      <c r="K1845" s="12"/>
      <c r="L1845" s="13"/>
      <c r="M1845" s="14"/>
      <c r="N1845" s="15"/>
      <c r="O1845" s="5" t="s">
        <v>564</v>
      </c>
      <c r="P1845" s="15"/>
      <c r="Q1845" s="15"/>
      <c r="R1845" s="16" t="s">
        <v>28</v>
      </c>
      <c r="S1845" s="15"/>
      <c r="T1845" s="15"/>
      <c r="U1845" s="15"/>
      <c r="V1845" s="15"/>
      <c r="W1845" s="15"/>
      <c r="X1845" s="15"/>
      <c r="Y1845" s="15"/>
      <c r="Z1845" s="15"/>
      <c r="AA1845" s="15"/>
    </row>
    <row r="1846">
      <c r="A1846" s="5" t="s">
        <v>7594</v>
      </c>
      <c r="B1846" s="6" t="s">
        <v>7599</v>
      </c>
      <c r="C1846" s="40" t="s">
        <v>7600</v>
      </c>
      <c r="D1846" s="11"/>
      <c r="E1846" s="11" t="s">
        <v>3555</v>
      </c>
      <c r="F1846" s="90">
        <v>1500.0</v>
      </c>
      <c r="G1846" s="97" t="s">
        <v>7601</v>
      </c>
      <c r="H1846" s="11" t="s">
        <v>44</v>
      </c>
      <c r="I1846" s="97">
        <v>9.830082661E9</v>
      </c>
      <c r="J1846" s="11" t="s">
        <v>4008</v>
      </c>
      <c r="K1846" s="12" t="s">
        <v>673</v>
      </c>
      <c r="L1846" s="13"/>
      <c r="M1846" s="14"/>
      <c r="N1846" s="15"/>
      <c r="O1846" s="5" t="s">
        <v>564</v>
      </c>
      <c r="P1846" s="15"/>
      <c r="Q1846" s="15"/>
      <c r="R1846" s="16" t="s">
        <v>28</v>
      </c>
      <c r="S1846" s="15"/>
      <c r="T1846" s="15"/>
      <c r="U1846" s="15"/>
      <c r="V1846" s="15"/>
      <c r="W1846" s="15"/>
      <c r="X1846" s="15"/>
      <c r="Y1846" s="15"/>
      <c r="Z1846" s="15"/>
      <c r="AA1846" s="15"/>
    </row>
    <row r="1847">
      <c r="A1847" s="5" t="s">
        <v>7602</v>
      </c>
      <c r="B1847" s="6" t="s">
        <v>7603</v>
      </c>
      <c r="C1847" s="40" t="s">
        <v>7604</v>
      </c>
      <c r="D1847" s="11"/>
      <c r="E1847" s="11" t="s">
        <v>6323</v>
      </c>
      <c r="F1847" s="90">
        <v>2500.0</v>
      </c>
      <c r="G1847" s="97" t="s">
        <v>7605</v>
      </c>
      <c r="H1847" s="11" t="s">
        <v>7606</v>
      </c>
      <c r="I1847" s="97">
        <v>9.869053422E9</v>
      </c>
      <c r="J1847" s="11" t="s">
        <v>4008</v>
      </c>
      <c r="K1847" s="12"/>
      <c r="L1847" s="13"/>
      <c r="M1847" s="14"/>
      <c r="N1847" s="15"/>
      <c r="O1847" s="5" t="s">
        <v>108</v>
      </c>
      <c r="P1847" s="15"/>
      <c r="Q1847" s="15"/>
      <c r="R1847" s="16" t="s">
        <v>28</v>
      </c>
      <c r="S1847" s="15"/>
      <c r="T1847" s="15"/>
      <c r="U1847" s="15"/>
      <c r="V1847" s="15"/>
      <c r="W1847" s="15"/>
      <c r="X1847" s="15"/>
      <c r="Y1847" s="15"/>
      <c r="Z1847" s="15"/>
      <c r="AA1847" s="15"/>
    </row>
    <row r="1848">
      <c r="A1848" s="5" t="s">
        <v>7602</v>
      </c>
      <c r="B1848" s="6" t="s">
        <v>7607</v>
      </c>
      <c r="C1848" s="40" t="s">
        <v>7608</v>
      </c>
      <c r="D1848" s="11"/>
      <c r="E1848" s="11" t="s">
        <v>5774</v>
      </c>
      <c r="F1848" s="90">
        <v>10000.0</v>
      </c>
      <c r="G1848" s="97" t="s">
        <v>7609</v>
      </c>
      <c r="H1848" s="11" t="s">
        <v>7610</v>
      </c>
      <c r="I1848" s="97">
        <v>9.410200304E9</v>
      </c>
      <c r="J1848" s="11" t="s">
        <v>25</v>
      </c>
      <c r="K1848" s="12"/>
      <c r="L1848" s="13"/>
      <c r="M1848" s="14"/>
      <c r="N1848" s="15"/>
      <c r="O1848" s="5" t="s">
        <v>108</v>
      </c>
      <c r="P1848" s="15"/>
      <c r="Q1848" s="15"/>
      <c r="R1848" s="16" t="s">
        <v>28</v>
      </c>
      <c r="S1848" s="15"/>
      <c r="T1848" s="15"/>
      <c r="U1848" s="15"/>
      <c r="V1848" s="15"/>
      <c r="W1848" s="15"/>
      <c r="X1848" s="15"/>
      <c r="Y1848" s="15"/>
      <c r="Z1848" s="15"/>
      <c r="AA1848" s="15"/>
    </row>
    <row r="1849">
      <c r="A1849" s="5" t="s">
        <v>7602</v>
      </c>
      <c r="B1849" s="6" t="s">
        <v>7611</v>
      </c>
      <c r="C1849" s="40" t="s">
        <v>7612</v>
      </c>
      <c r="D1849" s="11"/>
      <c r="E1849" s="11" t="s">
        <v>152</v>
      </c>
      <c r="F1849" s="90">
        <v>25000.0</v>
      </c>
      <c r="G1849" s="97" t="s">
        <v>7613</v>
      </c>
      <c r="H1849" s="11" t="s">
        <v>638</v>
      </c>
      <c r="I1849" s="97">
        <v>9.932000631E9</v>
      </c>
      <c r="J1849" s="11" t="s">
        <v>25</v>
      </c>
      <c r="K1849" s="12" t="s">
        <v>4003</v>
      </c>
      <c r="L1849" s="13"/>
      <c r="M1849" s="14"/>
      <c r="N1849" s="15"/>
      <c r="O1849" s="5" t="s">
        <v>564</v>
      </c>
      <c r="P1849" s="15"/>
      <c r="Q1849" s="15"/>
      <c r="R1849" s="16" t="s">
        <v>28</v>
      </c>
      <c r="S1849" s="15"/>
      <c r="T1849" s="15"/>
      <c r="U1849" s="15"/>
      <c r="V1849" s="15"/>
      <c r="W1849" s="15"/>
      <c r="X1849" s="15"/>
      <c r="Y1849" s="15"/>
      <c r="Z1849" s="15"/>
      <c r="AA1849" s="15"/>
    </row>
    <row r="1850">
      <c r="A1850" s="5" t="s">
        <v>7602</v>
      </c>
      <c r="B1850" s="6" t="s">
        <v>7614</v>
      </c>
      <c r="C1850" s="40" t="s">
        <v>7464</v>
      </c>
      <c r="D1850" s="11"/>
      <c r="E1850" s="11" t="s">
        <v>189</v>
      </c>
      <c r="F1850" s="90">
        <v>2000.0</v>
      </c>
      <c r="G1850" s="97" t="s">
        <v>7465</v>
      </c>
      <c r="H1850" s="11" t="s">
        <v>7615</v>
      </c>
      <c r="I1850" s="97">
        <v>6.289547656E9</v>
      </c>
      <c r="J1850" s="11" t="s">
        <v>25</v>
      </c>
      <c r="K1850" s="12"/>
      <c r="L1850" s="13"/>
      <c r="M1850" s="14"/>
      <c r="N1850" s="15"/>
      <c r="O1850" s="5" t="s">
        <v>34</v>
      </c>
      <c r="P1850" s="15"/>
      <c r="Q1850" s="15"/>
      <c r="R1850" s="16" t="s">
        <v>28</v>
      </c>
      <c r="S1850" s="15"/>
      <c r="T1850" s="15"/>
      <c r="U1850" s="15"/>
      <c r="V1850" s="15"/>
      <c r="W1850" s="15"/>
      <c r="X1850" s="15"/>
      <c r="Y1850" s="15"/>
      <c r="Z1850" s="15"/>
      <c r="AA1850" s="15"/>
    </row>
    <row r="1851">
      <c r="A1851" s="5" t="s">
        <v>7602</v>
      </c>
      <c r="B1851" s="6" t="s">
        <v>7616</v>
      </c>
      <c r="C1851" s="40" t="s">
        <v>7617</v>
      </c>
      <c r="D1851" s="11"/>
      <c r="E1851" s="11" t="s">
        <v>7618</v>
      </c>
      <c r="F1851" s="90">
        <v>3000.0</v>
      </c>
      <c r="G1851" s="97" t="s">
        <v>7619</v>
      </c>
      <c r="H1851" s="11" t="s">
        <v>44</v>
      </c>
      <c r="I1851" s="97">
        <v>7.797540037E9</v>
      </c>
      <c r="J1851" s="11" t="s">
        <v>25</v>
      </c>
      <c r="K1851" s="12"/>
      <c r="L1851" s="13"/>
      <c r="M1851" s="14"/>
      <c r="N1851" s="15"/>
      <c r="O1851" s="5" t="s">
        <v>34</v>
      </c>
      <c r="P1851" s="5" t="s">
        <v>55</v>
      </c>
      <c r="Q1851" s="15"/>
      <c r="R1851" s="16" t="s">
        <v>28</v>
      </c>
      <c r="S1851" s="15"/>
      <c r="T1851" s="15"/>
      <c r="U1851" s="15"/>
      <c r="V1851" s="15"/>
      <c r="W1851" s="15"/>
      <c r="X1851" s="15"/>
      <c r="Y1851" s="15"/>
      <c r="Z1851" s="15"/>
      <c r="AA1851" s="15"/>
    </row>
    <row r="1852">
      <c r="A1852" s="5" t="s">
        <v>7620</v>
      </c>
      <c r="B1852" s="6" t="s">
        <v>7621</v>
      </c>
      <c r="C1852" s="40" t="s">
        <v>7622</v>
      </c>
      <c r="D1852" s="11"/>
      <c r="E1852" s="11" t="s">
        <v>6311</v>
      </c>
      <c r="F1852" s="90">
        <v>2000.0</v>
      </c>
      <c r="G1852" s="97" t="s">
        <v>7623</v>
      </c>
      <c r="H1852" s="11" t="s">
        <v>44</v>
      </c>
      <c r="I1852" s="97">
        <v>7.27896891E9</v>
      </c>
      <c r="J1852" s="11" t="s">
        <v>25</v>
      </c>
      <c r="K1852" s="12"/>
      <c r="L1852" s="13"/>
      <c r="M1852" s="14"/>
      <c r="N1852" s="15"/>
      <c r="O1852" s="5" t="s">
        <v>34</v>
      </c>
      <c r="P1852" s="5" t="s">
        <v>957</v>
      </c>
      <c r="Q1852" s="15"/>
      <c r="R1852" s="16" t="s">
        <v>28</v>
      </c>
      <c r="S1852" s="15"/>
      <c r="T1852" s="15"/>
      <c r="U1852" s="15"/>
      <c r="V1852" s="15"/>
      <c r="W1852" s="15"/>
      <c r="X1852" s="15"/>
      <c r="Y1852" s="15"/>
      <c r="Z1852" s="15"/>
      <c r="AA1852" s="15"/>
    </row>
    <row r="1853">
      <c r="A1853" s="5" t="s">
        <v>7620</v>
      </c>
      <c r="B1853" s="6" t="s">
        <v>7624</v>
      </c>
      <c r="C1853" s="40" t="s">
        <v>7625</v>
      </c>
      <c r="D1853" s="11"/>
      <c r="E1853" s="11" t="s">
        <v>1412</v>
      </c>
      <c r="F1853" s="90">
        <v>3000.0</v>
      </c>
      <c r="G1853" s="97" t="s">
        <v>7626</v>
      </c>
      <c r="H1853" s="11" t="s">
        <v>3836</v>
      </c>
      <c r="I1853" s="97">
        <v>9.323077009E9</v>
      </c>
      <c r="J1853" s="11" t="s">
        <v>25</v>
      </c>
      <c r="K1853" s="12"/>
      <c r="L1853" s="13"/>
      <c r="M1853" s="14"/>
      <c r="N1853" s="15"/>
      <c r="O1853" s="5" t="s">
        <v>108</v>
      </c>
      <c r="P1853" s="15"/>
      <c r="Q1853" s="15"/>
      <c r="R1853" s="16" t="s">
        <v>28</v>
      </c>
      <c r="S1853" s="15"/>
      <c r="T1853" s="15"/>
      <c r="U1853" s="15"/>
      <c r="V1853" s="15"/>
      <c r="W1853" s="15"/>
      <c r="X1853" s="15"/>
      <c r="Y1853" s="15"/>
      <c r="Z1853" s="15"/>
      <c r="AA1853" s="15"/>
    </row>
    <row r="1854">
      <c r="A1854" s="5" t="s">
        <v>7620</v>
      </c>
      <c r="B1854" s="6" t="s">
        <v>7627</v>
      </c>
      <c r="C1854" s="40" t="s">
        <v>7628</v>
      </c>
      <c r="D1854" s="11"/>
      <c r="E1854" s="11" t="s">
        <v>1930</v>
      </c>
      <c r="F1854" s="90">
        <v>3000.0</v>
      </c>
      <c r="G1854" s="97" t="s">
        <v>7629</v>
      </c>
      <c r="H1854" s="11" t="s">
        <v>44</v>
      </c>
      <c r="I1854" s="97">
        <v>8.910625034E9</v>
      </c>
      <c r="J1854" s="11" t="s">
        <v>4008</v>
      </c>
      <c r="K1854" s="12"/>
      <c r="L1854" s="13"/>
      <c r="M1854" s="14"/>
      <c r="N1854" s="15"/>
      <c r="O1854" s="5" t="s">
        <v>34</v>
      </c>
      <c r="P1854" s="5" t="s">
        <v>727</v>
      </c>
      <c r="Q1854" s="15"/>
      <c r="R1854" s="16" t="s">
        <v>28</v>
      </c>
      <c r="S1854" s="15"/>
      <c r="T1854" s="15"/>
      <c r="U1854" s="15"/>
      <c r="V1854" s="15"/>
      <c r="W1854" s="15"/>
      <c r="X1854" s="15"/>
      <c r="Y1854" s="15"/>
      <c r="Z1854" s="15"/>
      <c r="AA1854" s="15"/>
    </row>
    <row r="1855">
      <c r="A1855" s="5" t="s">
        <v>7620</v>
      </c>
      <c r="B1855" s="6" t="s">
        <v>7630</v>
      </c>
      <c r="C1855" s="40" t="s">
        <v>6327</v>
      </c>
      <c r="D1855" s="11"/>
      <c r="E1855" s="11" t="s">
        <v>2660</v>
      </c>
      <c r="F1855" s="90">
        <v>3000.0</v>
      </c>
      <c r="G1855" s="97" t="s">
        <v>7631</v>
      </c>
      <c r="H1855" s="36" t="s">
        <v>6330</v>
      </c>
      <c r="I1855" s="97">
        <v>9.102273569E9</v>
      </c>
      <c r="J1855" s="11" t="s">
        <v>25</v>
      </c>
      <c r="K1855" s="12"/>
      <c r="L1855" s="13"/>
      <c r="M1855" s="14"/>
      <c r="N1855" s="15"/>
      <c r="O1855" s="5" t="s">
        <v>564</v>
      </c>
      <c r="P1855" s="15"/>
      <c r="Q1855" s="15"/>
      <c r="R1855" s="16" t="s">
        <v>28</v>
      </c>
      <c r="S1855" s="15"/>
      <c r="T1855" s="15"/>
      <c r="U1855" s="15"/>
      <c r="V1855" s="15"/>
      <c r="W1855" s="15"/>
      <c r="X1855" s="15"/>
      <c r="Y1855" s="15"/>
      <c r="Z1855" s="15"/>
      <c r="AA1855" s="15"/>
    </row>
    <row r="1856">
      <c r="A1856" s="5" t="s">
        <v>7620</v>
      </c>
      <c r="B1856" s="6" t="s">
        <v>7632</v>
      </c>
      <c r="C1856" s="40" t="s">
        <v>7633</v>
      </c>
      <c r="D1856" s="11"/>
      <c r="E1856" s="11" t="s">
        <v>1520</v>
      </c>
      <c r="F1856" s="90">
        <v>2000.0</v>
      </c>
      <c r="G1856" s="97" t="s">
        <v>7634</v>
      </c>
      <c r="H1856" s="11" t="s">
        <v>5089</v>
      </c>
      <c r="I1856" s="97">
        <v>9.348115906E9</v>
      </c>
      <c r="J1856" s="11" t="s">
        <v>4008</v>
      </c>
      <c r="K1856" s="12"/>
      <c r="L1856" s="13"/>
      <c r="M1856" s="14"/>
      <c r="N1856" s="15"/>
      <c r="O1856" s="5" t="s">
        <v>34</v>
      </c>
      <c r="P1856" s="5" t="s">
        <v>7635</v>
      </c>
      <c r="Q1856" s="5" t="s">
        <v>544</v>
      </c>
      <c r="R1856" s="16" t="s">
        <v>28</v>
      </c>
      <c r="S1856" s="15"/>
      <c r="T1856" s="15"/>
      <c r="U1856" s="15"/>
      <c r="V1856" s="15"/>
      <c r="W1856" s="15"/>
      <c r="X1856" s="15"/>
      <c r="Y1856" s="15"/>
      <c r="Z1856" s="15"/>
      <c r="AA1856" s="15"/>
    </row>
    <row r="1857">
      <c r="A1857" s="5" t="s">
        <v>7620</v>
      </c>
      <c r="B1857" s="6" t="s">
        <v>7636</v>
      </c>
      <c r="C1857" s="40" t="s">
        <v>7637</v>
      </c>
      <c r="D1857" s="11"/>
      <c r="E1857" s="11" t="s">
        <v>152</v>
      </c>
      <c r="F1857" s="90">
        <v>50000.0</v>
      </c>
      <c r="G1857" s="97" t="s">
        <v>7638</v>
      </c>
      <c r="H1857" s="11" t="s">
        <v>7639</v>
      </c>
      <c r="I1857" s="97">
        <v>9.957770809E9</v>
      </c>
      <c r="J1857" s="11" t="s">
        <v>4008</v>
      </c>
      <c r="K1857" s="12"/>
      <c r="L1857" s="13"/>
      <c r="M1857" s="14"/>
      <c r="N1857" s="15"/>
      <c r="O1857" s="5" t="s">
        <v>34</v>
      </c>
      <c r="P1857" s="5" t="s">
        <v>777</v>
      </c>
      <c r="Q1857" s="15"/>
      <c r="R1857" s="16" t="s">
        <v>28</v>
      </c>
      <c r="S1857" s="15"/>
      <c r="T1857" s="15"/>
      <c r="U1857" s="15"/>
      <c r="V1857" s="15"/>
      <c r="W1857" s="15"/>
      <c r="X1857" s="15"/>
      <c r="Y1857" s="15"/>
      <c r="Z1857" s="15"/>
      <c r="AA1857" s="15"/>
    </row>
    <row r="1858">
      <c r="A1858" s="5" t="s">
        <v>7640</v>
      </c>
      <c r="B1858" s="6" t="s">
        <v>7641</v>
      </c>
      <c r="C1858" s="40" t="s">
        <v>7642</v>
      </c>
      <c r="D1858" s="11"/>
      <c r="E1858" s="11" t="s">
        <v>2501</v>
      </c>
      <c r="F1858" s="90">
        <v>5000.0</v>
      </c>
      <c r="G1858" s="97" t="s">
        <v>7643</v>
      </c>
      <c r="H1858" s="11" t="s">
        <v>44</v>
      </c>
      <c r="I1858" s="97">
        <v>9.339219446E9</v>
      </c>
      <c r="J1858" s="11" t="s">
        <v>25</v>
      </c>
      <c r="K1858" s="12"/>
      <c r="L1858" s="13"/>
      <c r="M1858" s="14"/>
      <c r="N1858" s="15"/>
      <c r="O1858" s="5" t="s">
        <v>564</v>
      </c>
      <c r="P1858" s="5" t="s">
        <v>453</v>
      </c>
      <c r="Q1858" s="15"/>
      <c r="R1858" s="16" t="s">
        <v>28</v>
      </c>
      <c r="S1858" s="15"/>
      <c r="T1858" s="15"/>
      <c r="U1858" s="15"/>
      <c r="V1858" s="15"/>
      <c r="W1858" s="15"/>
      <c r="X1858" s="15"/>
      <c r="Y1858" s="15"/>
      <c r="Z1858" s="15"/>
      <c r="AA1858" s="15"/>
    </row>
    <row r="1859">
      <c r="A1859" s="5" t="s">
        <v>7640</v>
      </c>
      <c r="B1859" s="6" t="s">
        <v>7644</v>
      </c>
      <c r="C1859" s="40" t="s">
        <v>7645</v>
      </c>
      <c r="D1859" s="11"/>
      <c r="E1859" s="11" t="s">
        <v>7247</v>
      </c>
      <c r="F1859" s="90" t="s">
        <v>7646</v>
      </c>
      <c r="G1859" s="97" t="s">
        <v>7647</v>
      </c>
      <c r="H1859" s="11" t="s">
        <v>158</v>
      </c>
      <c r="I1859" s="97">
        <v>8.910915215E9</v>
      </c>
      <c r="J1859" s="11" t="s">
        <v>25</v>
      </c>
      <c r="K1859" s="12"/>
      <c r="L1859" s="13"/>
      <c r="M1859" s="11"/>
      <c r="N1859" s="15"/>
      <c r="O1859" s="5" t="s">
        <v>34</v>
      </c>
      <c r="P1859" s="5" t="s">
        <v>5480</v>
      </c>
      <c r="Q1859" s="15"/>
      <c r="R1859" s="16" t="s">
        <v>551</v>
      </c>
      <c r="S1859" s="15"/>
      <c r="T1859" s="15"/>
      <c r="U1859" s="15"/>
      <c r="V1859" s="15"/>
      <c r="W1859" s="15"/>
      <c r="X1859" s="15"/>
      <c r="Y1859" s="15"/>
      <c r="Z1859" s="15"/>
      <c r="AA1859" s="15"/>
    </row>
    <row r="1860">
      <c r="A1860" s="5" t="s">
        <v>7640</v>
      </c>
      <c r="B1860" s="6" t="s">
        <v>7648</v>
      </c>
      <c r="C1860" s="40" t="s">
        <v>7649</v>
      </c>
      <c r="D1860" s="11"/>
      <c r="E1860" s="11" t="s">
        <v>43</v>
      </c>
      <c r="F1860" s="90">
        <v>2000.0</v>
      </c>
      <c r="G1860" s="97" t="s">
        <v>7650</v>
      </c>
      <c r="H1860" s="11" t="s">
        <v>44</v>
      </c>
      <c r="I1860" s="97">
        <v>8.892971316E9</v>
      </c>
      <c r="J1860" s="11" t="s">
        <v>25</v>
      </c>
      <c r="K1860" s="12"/>
      <c r="L1860" s="13"/>
      <c r="M1860" s="11" t="s">
        <v>7651</v>
      </c>
      <c r="N1860" s="5" t="s">
        <v>7652</v>
      </c>
      <c r="O1860" s="5" t="s">
        <v>34</v>
      </c>
      <c r="P1860" s="5" t="s">
        <v>727</v>
      </c>
      <c r="Q1860" s="15"/>
      <c r="R1860" s="16" t="s">
        <v>28</v>
      </c>
      <c r="S1860" s="15"/>
      <c r="T1860" s="15"/>
      <c r="U1860" s="15"/>
      <c r="V1860" s="15"/>
      <c r="W1860" s="15"/>
      <c r="X1860" s="15"/>
      <c r="Y1860" s="15"/>
      <c r="Z1860" s="15"/>
      <c r="AA1860" s="15"/>
    </row>
    <row r="1861">
      <c r="A1861" s="5" t="s">
        <v>7640</v>
      </c>
      <c r="B1861" s="6" t="s">
        <v>7653</v>
      </c>
      <c r="C1861" s="40" t="s">
        <v>7654</v>
      </c>
      <c r="D1861" s="11"/>
      <c r="E1861" s="11" t="s">
        <v>189</v>
      </c>
      <c r="F1861" s="90">
        <v>10000.0</v>
      </c>
      <c r="G1861" s="97" t="s">
        <v>7655</v>
      </c>
      <c r="H1861" s="11" t="s">
        <v>6381</v>
      </c>
      <c r="I1861" s="97">
        <v>9.304963804E9</v>
      </c>
      <c r="J1861" s="11" t="s">
        <v>25</v>
      </c>
      <c r="K1861" s="12"/>
      <c r="L1861" s="13"/>
      <c r="M1861" s="14"/>
      <c r="N1861" s="15"/>
      <c r="O1861" s="5" t="s">
        <v>34</v>
      </c>
      <c r="P1861" s="5" t="s">
        <v>777</v>
      </c>
      <c r="Q1861" s="15"/>
      <c r="R1861" s="16" t="s">
        <v>28</v>
      </c>
      <c r="S1861" s="15"/>
      <c r="T1861" s="15"/>
      <c r="U1861" s="15"/>
      <c r="V1861" s="15"/>
      <c r="W1861" s="15"/>
      <c r="X1861" s="15"/>
      <c r="Y1861" s="15"/>
      <c r="Z1861" s="15"/>
      <c r="AA1861" s="15"/>
    </row>
    <row r="1862">
      <c r="A1862" s="5" t="s">
        <v>7640</v>
      </c>
      <c r="B1862" s="6" t="s">
        <v>7656</v>
      </c>
      <c r="C1862" s="36" t="s">
        <v>7657</v>
      </c>
      <c r="D1862" s="52"/>
      <c r="E1862" s="11" t="s">
        <v>257</v>
      </c>
      <c r="F1862" s="90">
        <v>2000.0</v>
      </c>
      <c r="G1862" s="97"/>
      <c r="H1862" s="11" t="s">
        <v>981</v>
      </c>
      <c r="I1862" s="97">
        <v>8.016514465E9</v>
      </c>
      <c r="J1862" s="11" t="s">
        <v>25</v>
      </c>
      <c r="K1862" s="12"/>
      <c r="L1862" s="13"/>
      <c r="M1862" s="14"/>
      <c r="N1862" s="15"/>
      <c r="O1862" s="5" t="s">
        <v>34</v>
      </c>
      <c r="P1862" s="5" t="s">
        <v>727</v>
      </c>
      <c r="Q1862" s="15"/>
      <c r="R1862" s="16" t="s">
        <v>28</v>
      </c>
      <c r="S1862" s="15"/>
      <c r="T1862" s="15"/>
      <c r="U1862" s="15"/>
      <c r="V1862" s="15"/>
      <c r="W1862" s="15"/>
      <c r="X1862" s="15"/>
      <c r="Y1862" s="15"/>
      <c r="Z1862" s="15"/>
      <c r="AA1862" s="15"/>
    </row>
    <row r="1863">
      <c r="A1863" s="5" t="s">
        <v>7640</v>
      </c>
      <c r="B1863" s="6" t="s">
        <v>7658</v>
      </c>
      <c r="C1863" s="40" t="s">
        <v>6179</v>
      </c>
      <c r="D1863" s="11"/>
      <c r="E1863" s="11" t="s">
        <v>7659</v>
      </c>
      <c r="F1863" s="90">
        <v>50000.0</v>
      </c>
      <c r="G1863" s="97" t="s">
        <v>6180</v>
      </c>
      <c r="H1863" s="11" t="s">
        <v>44</v>
      </c>
      <c r="I1863" s="97">
        <v>9.831083858E9</v>
      </c>
      <c r="J1863" s="11" t="s">
        <v>4008</v>
      </c>
      <c r="K1863" s="12"/>
      <c r="L1863" s="13"/>
      <c r="M1863" s="14"/>
      <c r="N1863" s="15"/>
      <c r="O1863" s="5" t="s">
        <v>564</v>
      </c>
      <c r="P1863" s="15"/>
      <c r="Q1863" s="15"/>
      <c r="R1863" s="16" t="s">
        <v>28</v>
      </c>
      <c r="S1863" s="15"/>
      <c r="T1863" s="15"/>
      <c r="U1863" s="15"/>
      <c r="V1863" s="15"/>
      <c r="W1863" s="15"/>
      <c r="X1863" s="15"/>
      <c r="Y1863" s="15"/>
      <c r="Z1863" s="15"/>
      <c r="AA1863" s="15"/>
    </row>
    <row r="1864">
      <c r="A1864" s="5" t="s">
        <v>7640</v>
      </c>
      <c r="B1864" s="6" t="s">
        <v>7660</v>
      </c>
      <c r="C1864" s="40" t="s">
        <v>7661</v>
      </c>
      <c r="D1864" s="11"/>
      <c r="E1864" s="11" t="s">
        <v>7662</v>
      </c>
      <c r="F1864" s="90">
        <v>50000.0</v>
      </c>
      <c r="G1864" s="97" t="s">
        <v>7663</v>
      </c>
      <c r="H1864" s="11" t="s">
        <v>7664</v>
      </c>
      <c r="I1864" s="97" t="s">
        <v>7665</v>
      </c>
      <c r="J1864" s="11" t="s">
        <v>25</v>
      </c>
      <c r="K1864" s="12" t="s">
        <v>4681</v>
      </c>
      <c r="L1864" s="13"/>
      <c r="M1864" s="14"/>
      <c r="N1864" s="15"/>
      <c r="O1864" s="5" t="s">
        <v>564</v>
      </c>
      <c r="P1864" s="5" t="s">
        <v>7666</v>
      </c>
      <c r="Q1864" s="15"/>
      <c r="R1864" s="16" t="s">
        <v>6999</v>
      </c>
      <c r="S1864" s="15"/>
      <c r="T1864" s="15"/>
      <c r="U1864" s="15"/>
      <c r="V1864" s="15"/>
      <c r="W1864" s="15"/>
      <c r="X1864" s="15"/>
      <c r="Y1864" s="15"/>
      <c r="Z1864" s="15"/>
      <c r="AA1864" s="15"/>
    </row>
    <row r="1865">
      <c r="A1865" s="5" t="s">
        <v>7640</v>
      </c>
      <c r="B1865" s="6" t="s">
        <v>7667</v>
      </c>
      <c r="C1865" s="40" t="s">
        <v>7668</v>
      </c>
      <c r="D1865" s="11"/>
      <c r="E1865" s="11" t="s">
        <v>130</v>
      </c>
      <c r="F1865" s="90">
        <v>6000.0</v>
      </c>
      <c r="G1865" s="97" t="s">
        <v>7669</v>
      </c>
      <c r="H1865" s="11" t="s">
        <v>44</v>
      </c>
      <c r="I1865" s="97">
        <v>7.00115745E9</v>
      </c>
      <c r="J1865" s="11" t="s">
        <v>25</v>
      </c>
      <c r="K1865" s="12"/>
      <c r="L1865" s="13"/>
      <c r="M1865" s="14"/>
      <c r="N1865" s="15"/>
      <c r="O1865" s="5" t="s">
        <v>564</v>
      </c>
      <c r="P1865" s="15"/>
      <c r="Q1865" s="15"/>
      <c r="R1865" s="16" t="s">
        <v>28</v>
      </c>
      <c r="S1865" s="15"/>
      <c r="T1865" s="15"/>
      <c r="U1865" s="15"/>
      <c r="V1865" s="15"/>
      <c r="W1865" s="15"/>
      <c r="X1865" s="15"/>
      <c r="Y1865" s="15"/>
      <c r="Z1865" s="15"/>
      <c r="AA1865" s="15"/>
    </row>
    <row r="1866">
      <c r="A1866" s="5" t="s">
        <v>7640</v>
      </c>
      <c r="B1866" s="6" t="s">
        <v>7670</v>
      </c>
      <c r="C1866" s="40" t="s">
        <v>7671</v>
      </c>
      <c r="D1866" s="11"/>
      <c r="E1866" s="11" t="s">
        <v>7672</v>
      </c>
      <c r="F1866" s="90">
        <v>500.0</v>
      </c>
      <c r="G1866" s="97" t="s">
        <v>7673</v>
      </c>
      <c r="H1866" s="36" t="s">
        <v>5435</v>
      </c>
      <c r="I1866" s="97">
        <v>9.322289737E9</v>
      </c>
      <c r="J1866" s="11" t="s">
        <v>25</v>
      </c>
      <c r="K1866" s="12"/>
      <c r="L1866" s="13"/>
      <c r="M1866" s="14"/>
      <c r="N1866" s="15"/>
      <c r="O1866" s="5" t="s">
        <v>108</v>
      </c>
      <c r="P1866" s="15"/>
      <c r="Q1866" s="15"/>
      <c r="R1866" s="16" t="s">
        <v>28</v>
      </c>
      <c r="S1866" s="15"/>
      <c r="T1866" s="15"/>
      <c r="U1866" s="15"/>
      <c r="V1866" s="15"/>
      <c r="W1866" s="15"/>
      <c r="X1866" s="15"/>
      <c r="Y1866" s="15"/>
      <c r="Z1866" s="15"/>
      <c r="AA1866" s="15"/>
    </row>
    <row r="1867">
      <c r="A1867" s="5" t="s">
        <v>7640</v>
      </c>
      <c r="B1867" s="6" t="s">
        <v>7674</v>
      </c>
      <c r="C1867" s="40" t="s">
        <v>7675</v>
      </c>
      <c r="D1867" s="11"/>
      <c r="E1867" s="11" t="s">
        <v>7676</v>
      </c>
      <c r="F1867" s="90" t="s">
        <v>7677</v>
      </c>
      <c r="G1867" s="97"/>
      <c r="H1867" s="11" t="s">
        <v>24</v>
      </c>
      <c r="I1867" s="97">
        <v>8.709583366E9</v>
      </c>
      <c r="J1867" s="11" t="s">
        <v>25</v>
      </c>
      <c r="K1867" s="12"/>
      <c r="L1867" s="13"/>
      <c r="M1867" s="14"/>
      <c r="N1867" s="15"/>
      <c r="O1867" s="5" t="s">
        <v>34</v>
      </c>
      <c r="P1867" s="5" t="s">
        <v>727</v>
      </c>
      <c r="Q1867" s="15"/>
      <c r="R1867" s="16" t="s">
        <v>28</v>
      </c>
      <c r="S1867" s="15"/>
      <c r="T1867" s="15"/>
      <c r="U1867" s="15"/>
      <c r="V1867" s="15"/>
      <c r="W1867" s="15"/>
      <c r="X1867" s="15"/>
      <c r="Y1867" s="15"/>
      <c r="Z1867" s="15"/>
      <c r="AA1867" s="15"/>
    </row>
    <row r="1868">
      <c r="A1868" s="5" t="s">
        <v>7678</v>
      </c>
      <c r="B1868" s="6" t="s">
        <v>7679</v>
      </c>
      <c r="C1868" s="40" t="s">
        <v>7680</v>
      </c>
      <c r="D1868" s="11"/>
      <c r="E1868" s="11" t="s">
        <v>625</v>
      </c>
      <c r="F1868" s="90">
        <v>300.0</v>
      </c>
      <c r="G1868" s="97" t="s">
        <v>7681</v>
      </c>
      <c r="H1868" s="11" t="s">
        <v>44</v>
      </c>
      <c r="I1868" s="97">
        <v>7.003170127E9</v>
      </c>
      <c r="J1868" s="11" t="s">
        <v>25</v>
      </c>
      <c r="K1868" s="12"/>
      <c r="L1868" s="13"/>
      <c r="M1868" s="14"/>
      <c r="N1868" s="15"/>
      <c r="O1868" s="5" t="s">
        <v>34</v>
      </c>
      <c r="P1868" s="15"/>
      <c r="Q1868" s="15"/>
      <c r="R1868" s="16" t="s">
        <v>28</v>
      </c>
      <c r="S1868" s="15"/>
      <c r="T1868" s="15"/>
      <c r="U1868" s="15"/>
      <c r="V1868" s="15"/>
      <c r="W1868" s="15"/>
      <c r="X1868" s="15"/>
      <c r="Y1868" s="15"/>
      <c r="Z1868" s="15"/>
      <c r="AA1868" s="15"/>
    </row>
    <row r="1869">
      <c r="A1869" s="5" t="s">
        <v>7678</v>
      </c>
      <c r="B1869" s="6" t="s">
        <v>7682</v>
      </c>
      <c r="C1869" s="40" t="s">
        <v>7683</v>
      </c>
      <c r="D1869" s="11"/>
      <c r="E1869" s="11" t="s">
        <v>387</v>
      </c>
      <c r="F1869" s="90">
        <v>25000.0</v>
      </c>
      <c r="G1869" s="41" t="s">
        <v>7684</v>
      </c>
      <c r="H1869" s="11" t="s">
        <v>6402</v>
      </c>
      <c r="I1869" s="97">
        <v>9.412267826E9</v>
      </c>
      <c r="J1869" s="11" t="s">
        <v>25</v>
      </c>
      <c r="K1869" s="12" t="s">
        <v>7271</v>
      </c>
      <c r="L1869" s="13"/>
      <c r="M1869" s="14"/>
      <c r="N1869" s="15"/>
      <c r="O1869" s="5" t="s">
        <v>564</v>
      </c>
      <c r="P1869" s="15"/>
      <c r="Q1869" s="15"/>
      <c r="R1869" s="16" t="s">
        <v>74</v>
      </c>
      <c r="S1869" s="15"/>
      <c r="T1869" s="15"/>
      <c r="U1869" s="15"/>
      <c r="V1869" s="15"/>
      <c r="W1869" s="15"/>
      <c r="X1869" s="15"/>
      <c r="Y1869" s="15"/>
      <c r="Z1869" s="15"/>
      <c r="AA1869" s="15"/>
    </row>
    <row r="1870">
      <c r="A1870" s="5" t="s">
        <v>7685</v>
      </c>
      <c r="B1870" s="6" t="s">
        <v>7686</v>
      </c>
      <c r="C1870" s="40" t="s">
        <v>7687</v>
      </c>
      <c r="D1870" s="11"/>
      <c r="E1870" s="11" t="s">
        <v>5054</v>
      </c>
      <c r="F1870" s="90">
        <v>20000.0</v>
      </c>
      <c r="G1870" s="97" t="s">
        <v>7688</v>
      </c>
      <c r="H1870" s="11" t="s">
        <v>44</v>
      </c>
      <c r="I1870" s="97">
        <v>9.836209017E9</v>
      </c>
      <c r="J1870" s="11" t="s">
        <v>25</v>
      </c>
      <c r="K1870" s="12"/>
      <c r="L1870" s="13"/>
      <c r="M1870" s="14"/>
      <c r="N1870" s="15"/>
      <c r="O1870" s="5" t="s">
        <v>34</v>
      </c>
      <c r="P1870" s="5" t="s">
        <v>777</v>
      </c>
      <c r="Q1870" s="15"/>
      <c r="R1870" s="16" t="s">
        <v>723</v>
      </c>
      <c r="S1870" s="15"/>
      <c r="T1870" s="15"/>
      <c r="U1870" s="15"/>
      <c r="V1870" s="15"/>
      <c r="W1870" s="15"/>
      <c r="X1870" s="15"/>
      <c r="Y1870" s="15"/>
      <c r="Z1870" s="15"/>
      <c r="AA1870" s="15"/>
    </row>
    <row r="1871">
      <c r="A1871" s="5" t="s">
        <v>7685</v>
      </c>
      <c r="B1871" s="6" t="s">
        <v>7689</v>
      </c>
      <c r="C1871" s="40" t="s">
        <v>7690</v>
      </c>
      <c r="D1871" s="11"/>
      <c r="E1871" s="11" t="s">
        <v>7388</v>
      </c>
      <c r="F1871" s="90">
        <v>50000.0</v>
      </c>
      <c r="G1871" s="97" t="s">
        <v>7691</v>
      </c>
      <c r="H1871" s="11" t="s">
        <v>6381</v>
      </c>
      <c r="I1871" s="97">
        <v>6.287990391E9</v>
      </c>
      <c r="J1871" s="11" t="s">
        <v>25</v>
      </c>
      <c r="K1871" s="12"/>
      <c r="L1871" s="13"/>
      <c r="M1871" s="14"/>
      <c r="N1871" s="15"/>
      <c r="O1871" s="5" t="s">
        <v>1112</v>
      </c>
      <c r="P1871" s="15"/>
      <c r="Q1871" s="15"/>
      <c r="R1871" s="16" t="s">
        <v>28</v>
      </c>
      <c r="S1871" s="15"/>
      <c r="T1871" s="15"/>
      <c r="U1871" s="15"/>
      <c r="V1871" s="15"/>
      <c r="W1871" s="15"/>
      <c r="X1871" s="15"/>
      <c r="Y1871" s="15"/>
      <c r="Z1871" s="15"/>
      <c r="AA1871" s="15"/>
    </row>
    <row r="1872">
      <c r="A1872" s="5" t="s">
        <v>7685</v>
      </c>
      <c r="B1872" s="6" t="s">
        <v>7692</v>
      </c>
      <c r="C1872" s="62" t="s">
        <v>7693</v>
      </c>
      <c r="D1872" s="11"/>
      <c r="E1872" s="11" t="s">
        <v>7694</v>
      </c>
      <c r="F1872" s="90">
        <v>5000.0</v>
      </c>
      <c r="G1872" s="97" t="s">
        <v>7695</v>
      </c>
      <c r="H1872" s="11" t="s">
        <v>2643</v>
      </c>
      <c r="I1872" s="97">
        <v>9.752998704E9</v>
      </c>
      <c r="J1872" s="11" t="s">
        <v>7696</v>
      </c>
      <c r="K1872" s="12"/>
      <c r="L1872" s="13"/>
      <c r="M1872" s="11" t="s">
        <v>4727</v>
      </c>
      <c r="N1872" s="5" t="s">
        <v>7697</v>
      </c>
      <c r="O1872" s="5" t="s">
        <v>34</v>
      </c>
      <c r="P1872" s="5" t="s">
        <v>1384</v>
      </c>
      <c r="Q1872" s="5" t="s">
        <v>6672</v>
      </c>
      <c r="R1872" s="16" t="s">
        <v>248</v>
      </c>
      <c r="S1872" s="15"/>
      <c r="T1872" s="15"/>
      <c r="U1872" s="15"/>
      <c r="V1872" s="15"/>
      <c r="W1872" s="15"/>
      <c r="X1872" s="15"/>
      <c r="Y1872" s="15"/>
      <c r="Z1872" s="15"/>
      <c r="AA1872" s="15"/>
    </row>
    <row r="1873">
      <c r="A1873" s="5" t="s">
        <v>7685</v>
      </c>
      <c r="B1873" s="6" t="s">
        <v>7698</v>
      </c>
      <c r="C1873" s="40" t="s">
        <v>7699</v>
      </c>
      <c r="D1873" s="11"/>
      <c r="E1873" s="11" t="s">
        <v>7700</v>
      </c>
      <c r="F1873" s="90">
        <v>1000.0</v>
      </c>
      <c r="G1873" s="97" t="s">
        <v>7701</v>
      </c>
      <c r="H1873" s="11" t="s">
        <v>7702</v>
      </c>
      <c r="I1873" s="97">
        <v>9.892000011E9</v>
      </c>
      <c r="J1873" s="11" t="s">
        <v>25</v>
      </c>
      <c r="K1873" s="12"/>
      <c r="L1873" s="13"/>
      <c r="M1873" s="14"/>
      <c r="N1873" s="15"/>
      <c r="O1873" s="5" t="s">
        <v>108</v>
      </c>
      <c r="P1873" s="15"/>
      <c r="Q1873" s="15"/>
      <c r="R1873" s="16" t="s">
        <v>28</v>
      </c>
      <c r="S1873" s="15"/>
      <c r="T1873" s="15"/>
      <c r="U1873" s="15"/>
      <c r="V1873" s="15"/>
      <c r="W1873" s="15"/>
      <c r="X1873" s="15"/>
      <c r="Y1873" s="15"/>
      <c r="Z1873" s="15"/>
      <c r="AA1873" s="15"/>
    </row>
    <row r="1874">
      <c r="A1874" s="5" t="s">
        <v>7685</v>
      </c>
      <c r="B1874" s="6" t="s">
        <v>7703</v>
      </c>
      <c r="C1874" s="40" t="s">
        <v>7704</v>
      </c>
      <c r="D1874" s="11"/>
      <c r="E1874" s="11" t="s">
        <v>189</v>
      </c>
      <c r="F1874" s="90">
        <v>1000.0</v>
      </c>
      <c r="G1874" s="97" t="s">
        <v>7705</v>
      </c>
      <c r="H1874" s="11" t="s">
        <v>99</v>
      </c>
      <c r="I1874" s="97">
        <v>8.6588332E9</v>
      </c>
      <c r="J1874" s="11" t="s">
        <v>4008</v>
      </c>
      <c r="K1874" s="12"/>
      <c r="L1874" s="13"/>
      <c r="M1874" s="14"/>
      <c r="N1874" s="15"/>
      <c r="O1874" s="5" t="s">
        <v>34</v>
      </c>
      <c r="P1874" s="5" t="s">
        <v>727</v>
      </c>
      <c r="Q1874" s="5" t="s">
        <v>2144</v>
      </c>
      <c r="R1874" s="16" t="s">
        <v>723</v>
      </c>
      <c r="S1874" s="15"/>
      <c r="T1874" s="15"/>
      <c r="U1874" s="15"/>
      <c r="V1874" s="15"/>
      <c r="W1874" s="15"/>
      <c r="X1874" s="15"/>
      <c r="Y1874" s="15"/>
      <c r="Z1874" s="15"/>
      <c r="AA1874" s="15"/>
    </row>
    <row r="1875">
      <c r="A1875" s="5" t="s">
        <v>7706</v>
      </c>
      <c r="B1875" s="6" t="s">
        <v>7707</v>
      </c>
      <c r="C1875" s="40" t="s">
        <v>7708</v>
      </c>
      <c r="D1875" s="36"/>
      <c r="E1875" s="36" t="s">
        <v>6311</v>
      </c>
      <c r="F1875" s="90">
        <v>60000.0</v>
      </c>
      <c r="G1875" s="97" t="s">
        <v>7709</v>
      </c>
      <c r="H1875" s="11" t="s">
        <v>906</v>
      </c>
      <c r="I1875" s="97">
        <v>7.499497347E9</v>
      </c>
      <c r="J1875" s="11" t="s">
        <v>4008</v>
      </c>
      <c r="K1875" s="12"/>
      <c r="L1875" s="13"/>
      <c r="M1875" s="14"/>
      <c r="N1875" s="15"/>
      <c r="O1875" s="5" t="s">
        <v>108</v>
      </c>
      <c r="P1875" s="15"/>
      <c r="Q1875" s="15"/>
      <c r="R1875" s="16" t="s">
        <v>28</v>
      </c>
      <c r="S1875" s="15"/>
      <c r="T1875" s="15"/>
      <c r="U1875" s="15"/>
      <c r="V1875" s="15"/>
      <c r="W1875" s="15"/>
      <c r="X1875" s="15"/>
      <c r="Y1875" s="15"/>
      <c r="Z1875" s="15"/>
      <c r="AA1875" s="15"/>
    </row>
    <row r="1876">
      <c r="A1876" s="5" t="s">
        <v>7706</v>
      </c>
      <c r="B1876" s="6" t="s">
        <v>7710</v>
      </c>
      <c r="C1876" s="40" t="s">
        <v>7711</v>
      </c>
      <c r="D1876" s="11"/>
      <c r="E1876" s="11" t="s">
        <v>2821</v>
      </c>
      <c r="F1876" s="90">
        <v>1000.0</v>
      </c>
      <c r="G1876" s="97" t="s">
        <v>7712</v>
      </c>
      <c r="H1876" s="11" t="s">
        <v>184</v>
      </c>
      <c r="I1876" s="97">
        <v>8.809964577E9</v>
      </c>
      <c r="J1876" s="11" t="s">
        <v>25</v>
      </c>
      <c r="K1876" s="12"/>
      <c r="L1876" s="13"/>
      <c r="M1876" s="14"/>
      <c r="N1876" s="15"/>
      <c r="O1876" s="5" t="s">
        <v>34</v>
      </c>
      <c r="P1876" s="5" t="s">
        <v>777</v>
      </c>
      <c r="Q1876" s="15"/>
      <c r="R1876" s="16" t="s">
        <v>28</v>
      </c>
      <c r="S1876" s="15"/>
      <c r="T1876" s="15"/>
      <c r="U1876" s="15"/>
      <c r="V1876" s="15"/>
      <c r="W1876" s="15"/>
      <c r="X1876" s="15"/>
      <c r="Y1876" s="15"/>
      <c r="Z1876" s="15"/>
      <c r="AA1876" s="15"/>
    </row>
    <row r="1877">
      <c r="A1877" s="5" t="s">
        <v>7706</v>
      </c>
      <c r="B1877" s="6" t="s">
        <v>7713</v>
      </c>
      <c r="C1877" s="62" t="s">
        <v>7714</v>
      </c>
      <c r="D1877" s="11"/>
      <c r="E1877" s="11" t="s">
        <v>130</v>
      </c>
      <c r="F1877" s="90">
        <v>500.0</v>
      </c>
      <c r="G1877" s="97" t="s">
        <v>7715</v>
      </c>
      <c r="H1877" s="11" t="s">
        <v>7716</v>
      </c>
      <c r="I1877" s="97">
        <v>9.806223658E9</v>
      </c>
      <c r="J1877" s="11" t="s">
        <v>7717</v>
      </c>
      <c r="K1877" s="12"/>
      <c r="L1877" s="13"/>
      <c r="M1877" s="11" t="s">
        <v>7718</v>
      </c>
      <c r="N1877" s="15"/>
      <c r="O1877" s="5" t="s">
        <v>34</v>
      </c>
      <c r="P1877" s="5" t="s">
        <v>7719</v>
      </c>
      <c r="Q1877" s="15"/>
      <c r="R1877" s="16" t="s">
        <v>551</v>
      </c>
      <c r="S1877" s="15"/>
      <c r="T1877" s="15"/>
      <c r="U1877" s="15"/>
      <c r="V1877" s="15"/>
      <c r="W1877" s="15"/>
      <c r="X1877" s="15"/>
      <c r="Y1877" s="15"/>
      <c r="Z1877" s="15"/>
      <c r="AA1877" s="15"/>
    </row>
    <row r="1878">
      <c r="A1878" s="5" t="s">
        <v>7706</v>
      </c>
      <c r="B1878" s="6" t="s">
        <v>7720</v>
      </c>
      <c r="C1878" s="40" t="s">
        <v>7721</v>
      </c>
      <c r="D1878" s="11"/>
      <c r="E1878" s="11" t="s">
        <v>7722</v>
      </c>
      <c r="F1878" s="90">
        <v>200.0</v>
      </c>
      <c r="G1878" s="97" t="s">
        <v>7723</v>
      </c>
      <c r="H1878" s="11" t="s">
        <v>7482</v>
      </c>
      <c r="I1878" s="97" t="s">
        <v>7724</v>
      </c>
      <c r="J1878" s="11" t="s">
        <v>4008</v>
      </c>
      <c r="K1878" s="12" t="s">
        <v>7725</v>
      </c>
      <c r="L1878" s="13"/>
      <c r="M1878" s="14"/>
      <c r="N1878" s="15"/>
      <c r="O1878" s="5" t="s">
        <v>1112</v>
      </c>
      <c r="P1878" s="15"/>
      <c r="Q1878" s="15"/>
      <c r="R1878" s="16" t="s">
        <v>551</v>
      </c>
      <c r="S1878" s="15"/>
      <c r="T1878" s="15"/>
      <c r="U1878" s="15"/>
      <c r="V1878" s="15"/>
      <c r="W1878" s="15"/>
      <c r="X1878" s="15"/>
      <c r="Y1878" s="15"/>
      <c r="Z1878" s="15"/>
      <c r="AA1878" s="15"/>
    </row>
    <row r="1879">
      <c r="A1879" s="5" t="s">
        <v>7706</v>
      </c>
      <c r="B1879" s="6" t="s">
        <v>7726</v>
      </c>
      <c r="C1879" s="40" t="s">
        <v>7727</v>
      </c>
      <c r="D1879" s="11"/>
      <c r="E1879" s="11" t="s">
        <v>576</v>
      </c>
      <c r="F1879" s="90">
        <v>30000.0</v>
      </c>
      <c r="G1879" s="97" t="s">
        <v>7728</v>
      </c>
      <c r="H1879" s="11" t="s">
        <v>44</v>
      </c>
      <c r="I1879" s="97">
        <v>9.564364594E9</v>
      </c>
      <c r="J1879" s="11" t="s">
        <v>4008</v>
      </c>
      <c r="K1879" s="12"/>
      <c r="L1879" s="13"/>
      <c r="M1879" s="14"/>
      <c r="N1879" s="15"/>
      <c r="O1879" s="5" t="s">
        <v>34</v>
      </c>
      <c r="P1879" s="5" t="s">
        <v>209</v>
      </c>
      <c r="Q1879" s="11" t="s">
        <v>7729</v>
      </c>
      <c r="R1879" s="16" t="s">
        <v>28</v>
      </c>
      <c r="S1879" s="15"/>
      <c r="T1879" s="15"/>
      <c r="U1879" s="15"/>
      <c r="V1879" s="15"/>
      <c r="W1879" s="15"/>
      <c r="X1879" s="15"/>
      <c r="Y1879" s="15"/>
      <c r="Z1879" s="15"/>
      <c r="AA1879" s="15"/>
    </row>
    <row r="1880">
      <c r="A1880" s="5" t="s">
        <v>7730</v>
      </c>
      <c r="B1880" s="6" t="s">
        <v>7731</v>
      </c>
      <c r="C1880" s="40" t="s">
        <v>7486</v>
      </c>
      <c r="D1880" s="11"/>
      <c r="E1880" s="11" t="s">
        <v>130</v>
      </c>
      <c r="F1880" s="90">
        <v>30000.0</v>
      </c>
      <c r="G1880" s="97" t="s">
        <v>7487</v>
      </c>
      <c r="H1880" s="11" t="s">
        <v>906</v>
      </c>
      <c r="I1880" s="97">
        <v>9.820173049E9</v>
      </c>
      <c r="J1880" s="11" t="s">
        <v>4008</v>
      </c>
      <c r="K1880" s="12"/>
      <c r="L1880" s="13"/>
      <c r="M1880" s="14"/>
      <c r="N1880" s="5" t="s">
        <v>7732</v>
      </c>
      <c r="O1880" s="5" t="s">
        <v>108</v>
      </c>
      <c r="P1880" s="5" t="s">
        <v>7733</v>
      </c>
      <c r="Q1880" s="15"/>
      <c r="R1880" s="16" t="s">
        <v>6999</v>
      </c>
      <c r="S1880" s="15"/>
      <c r="T1880" s="15"/>
      <c r="U1880" s="15"/>
      <c r="V1880" s="15"/>
      <c r="W1880" s="15"/>
      <c r="X1880" s="15"/>
      <c r="Y1880" s="15"/>
      <c r="Z1880" s="15"/>
      <c r="AA1880" s="15"/>
    </row>
    <row r="1881">
      <c r="A1881" s="5" t="s">
        <v>7734</v>
      </c>
      <c r="B1881" s="6" t="s">
        <v>7735</v>
      </c>
      <c r="C1881" s="62" t="s">
        <v>7736</v>
      </c>
      <c r="D1881" s="11"/>
      <c r="E1881" s="11" t="s">
        <v>7247</v>
      </c>
      <c r="F1881" s="9">
        <v>20000.0</v>
      </c>
      <c r="G1881" s="97" t="s">
        <v>7737</v>
      </c>
      <c r="H1881" s="11" t="s">
        <v>44</v>
      </c>
      <c r="I1881" s="157">
        <v>9.830771407E9</v>
      </c>
      <c r="J1881" s="11" t="s">
        <v>25</v>
      </c>
      <c r="K1881" s="12"/>
      <c r="L1881" s="13"/>
      <c r="M1881" s="11" t="s">
        <v>7738</v>
      </c>
      <c r="N1881" s="5" t="s">
        <v>7739</v>
      </c>
      <c r="O1881" s="5" t="s">
        <v>34</v>
      </c>
      <c r="P1881" s="5" t="s">
        <v>6672</v>
      </c>
      <c r="Q1881" s="15"/>
      <c r="R1881" s="16" t="s">
        <v>551</v>
      </c>
      <c r="S1881" s="15"/>
      <c r="T1881" s="15"/>
      <c r="U1881" s="15"/>
      <c r="V1881" s="15"/>
      <c r="W1881" s="15"/>
      <c r="X1881" s="15"/>
      <c r="Y1881" s="15"/>
      <c r="Z1881" s="15"/>
      <c r="AA1881" s="15"/>
    </row>
    <row r="1882">
      <c r="A1882" s="5" t="s">
        <v>7740</v>
      </c>
      <c r="B1882" s="6" t="s">
        <v>7741</v>
      </c>
      <c r="C1882" s="40" t="s">
        <v>7742</v>
      </c>
      <c r="D1882" s="11"/>
      <c r="E1882" s="11" t="s">
        <v>189</v>
      </c>
      <c r="F1882" s="90">
        <v>60000.0</v>
      </c>
      <c r="G1882" s="97" t="s">
        <v>7743</v>
      </c>
      <c r="H1882" s="11" t="s">
        <v>7744</v>
      </c>
      <c r="I1882" s="97">
        <v>8.928108186E9</v>
      </c>
      <c r="J1882" s="11" t="s">
        <v>4008</v>
      </c>
      <c r="K1882" s="12"/>
      <c r="L1882" s="13"/>
      <c r="M1882" s="14"/>
      <c r="N1882" s="15"/>
      <c r="O1882" s="5" t="s">
        <v>1112</v>
      </c>
      <c r="P1882" s="15"/>
      <c r="Q1882" s="15"/>
      <c r="R1882" s="16" t="s">
        <v>28</v>
      </c>
      <c r="S1882" s="15"/>
      <c r="T1882" s="15"/>
      <c r="U1882" s="15"/>
      <c r="V1882" s="15"/>
      <c r="W1882" s="15"/>
      <c r="X1882" s="15"/>
      <c r="Y1882" s="15"/>
      <c r="Z1882" s="15"/>
      <c r="AA1882" s="15"/>
    </row>
    <row r="1883">
      <c r="A1883" s="5" t="s">
        <v>7745</v>
      </c>
      <c r="B1883" s="6" t="s">
        <v>7746</v>
      </c>
      <c r="C1883" s="40" t="s">
        <v>7747</v>
      </c>
      <c r="D1883" s="11"/>
      <c r="E1883" s="11" t="s">
        <v>6889</v>
      </c>
      <c r="F1883" s="90">
        <v>2000.0</v>
      </c>
      <c r="G1883" s="41" t="s">
        <v>7748</v>
      </c>
      <c r="H1883" s="11" t="s">
        <v>1082</v>
      </c>
      <c r="I1883" s="157" t="s">
        <v>7749</v>
      </c>
      <c r="J1883" s="11" t="s">
        <v>25</v>
      </c>
      <c r="K1883" s="12" t="s">
        <v>7750</v>
      </c>
      <c r="L1883" s="13"/>
      <c r="M1883" s="14"/>
      <c r="N1883" s="15"/>
      <c r="O1883" s="5" t="s">
        <v>1112</v>
      </c>
      <c r="P1883" s="15"/>
      <c r="Q1883" s="15"/>
      <c r="R1883" s="16" t="s">
        <v>28</v>
      </c>
      <c r="S1883" s="15"/>
      <c r="T1883" s="15"/>
      <c r="U1883" s="15"/>
      <c r="V1883" s="15"/>
      <c r="W1883" s="15"/>
      <c r="X1883" s="15"/>
      <c r="Y1883" s="15"/>
      <c r="Z1883" s="15"/>
      <c r="AA1883" s="15"/>
    </row>
    <row r="1884">
      <c r="A1884" s="5" t="s">
        <v>7745</v>
      </c>
      <c r="B1884" s="6" t="s">
        <v>7751</v>
      </c>
      <c r="C1884" s="40" t="s">
        <v>7752</v>
      </c>
      <c r="D1884" s="11"/>
      <c r="E1884" s="11" t="s">
        <v>7753</v>
      </c>
      <c r="F1884" s="90">
        <v>1000.0</v>
      </c>
      <c r="G1884" s="97" t="s">
        <v>7754</v>
      </c>
      <c r="H1884" s="11" t="s">
        <v>44</v>
      </c>
      <c r="I1884" s="97">
        <v>8.777209817E9</v>
      </c>
      <c r="J1884" s="11" t="s">
        <v>25</v>
      </c>
      <c r="K1884" s="12" t="s">
        <v>3815</v>
      </c>
      <c r="L1884" s="13"/>
      <c r="M1884" s="14"/>
      <c r="N1884" s="15"/>
      <c r="O1884" s="5" t="s">
        <v>1112</v>
      </c>
      <c r="P1884" s="5" t="s">
        <v>7755</v>
      </c>
      <c r="Q1884" s="15"/>
      <c r="R1884" s="16" t="s">
        <v>28</v>
      </c>
      <c r="S1884" s="15"/>
      <c r="T1884" s="15"/>
      <c r="U1884" s="15"/>
      <c r="V1884" s="15"/>
      <c r="W1884" s="15"/>
      <c r="X1884" s="15"/>
      <c r="Y1884" s="15"/>
      <c r="Z1884" s="15"/>
      <c r="AA1884" s="15"/>
    </row>
    <row r="1885">
      <c r="A1885" s="5" t="s">
        <v>7756</v>
      </c>
      <c r="B1885" s="6" t="s">
        <v>7757</v>
      </c>
      <c r="C1885" s="40" t="s">
        <v>7758</v>
      </c>
      <c r="D1885" s="158"/>
      <c r="E1885" s="158" t="s">
        <v>7759</v>
      </c>
      <c r="F1885" s="90" t="s">
        <v>7760</v>
      </c>
      <c r="G1885" s="97" t="s">
        <v>7761</v>
      </c>
      <c r="H1885" s="11" t="s">
        <v>1082</v>
      </c>
      <c r="I1885" s="97">
        <v>9.830492893E9</v>
      </c>
      <c r="J1885" s="11" t="s">
        <v>4008</v>
      </c>
      <c r="K1885" s="12" t="s">
        <v>3044</v>
      </c>
      <c r="L1885" s="13"/>
      <c r="M1885" s="14"/>
      <c r="N1885" s="15"/>
      <c r="O1885" s="5" t="s">
        <v>1112</v>
      </c>
      <c r="P1885" s="15"/>
      <c r="Q1885" s="15"/>
      <c r="R1885" s="16" t="s">
        <v>551</v>
      </c>
      <c r="S1885" s="15"/>
      <c r="T1885" s="15"/>
      <c r="U1885" s="15"/>
      <c r="V1885" s="15"/>
      <c r="W1885" s="15"/>
      <c r="X1885" s="15"/>
      <c r="Y1885" s="15"/>
      <c r="Z1885" s="15"/>
      <c r="AA1885" s="15"/>
    </row>
    <row r="1886">
      <c r="A1886" s="5" t="s">
        <v>7762</v>
      </c>
      <c r="B1886" s="6" t="s">
        <v>7763</v>
      </c>
      <c r="C1886" s="62" t="s">
        <v>7764</v>
      </c>
      <c r="D1886" s="11"/>
      <c r="E1886" s="11" t="s">
        <v>7765</v>
      </c>
      <c r="F1886" s="90" t="s">
        <v>7766</v>
      </c>
      <c r="G1886" s="97" t="s">
        <v>7767</v>
      </c>
      <c r="H1886" s="11" t="s">
        <v>7768</v>
      </c>
      <c r="I1886" s="97">
        <v>9.163144044E9</v>
      </c>
      <c r="J1886" s="11" t="s">
        <v>4008</v>
      </c>
      <c r="K1886" s="12"/>
      <c r="L1886" s="13"/>
      <c r="M1886" s="11" t="s">
        <v>7769</v>
      </c>
      <c r="N1886" s="15"/>
      <c r="O1886" s="5" t="s">
        <v>34</v>
      </c>
      <c r="P1886" s="5" t="s">
        <v>6672</v>
      </c>
      <c r="Q1886" s="15"/>
      <c r="R1886" s="16" t="s">
        <v>551</v>
      </c>
      <c r="S1886" s="15"/>
      <c r="T1886" s="15"/>
      <c r="U1886" s="15"/>
      <c r="V1886" s="15"/>
      <c r="W1886" s="15"/>
      <c r="X1886" s="15"/>
      <c r="Y1886" s="15"/>
      <c r="Z1886" s="15"/>
      <c r="AA1886" s="15"/>
    </row>
    <row r="1887">
      <c r="A1887" s="5" t="s">
        <v>7762</v>
      </c>
      <c r="B1887" s="6" t="s">
        <v>7770</v>
      </c>
      <c r="C1887" s="40" t="s">
        <v>7771</v>
      </c>
      <c r="D1887" s="11"/>
      <c r="E1887" s="11" t="s">
        <v>7772</v>
      </c>
      <c r="F1887" s="90">
        <v>2000.0</v>
      </c>
      <c r="G1887" s="97" t="s">
        <v>7773</v>
      </c>
      <c r="H1887" s="11" t="s">
        <v>906</v>
      </c>
      <c r="I1887" s="97">
        <v>8.369074044E9</v>
      </c>
      <c r="J1887" s="11" t="s">
        <v>4008</v>
      </c>
      <c r="K1887" s="12"/>
      <c r="L1887" s="13"/>
      <c r="M1887" s="14"/>
      <c r="N1887" s="15"/>
      <c r="O1887" s="5" t="s">
        <v>108</v>
      </c>
      <c r="P1887" s="15"/>
      <c r="Q1887" s="15"/>
      <c r="R1887" s="16" t="s">
        <v>28</v>
      </c>
      <c r="S1887" s="15"/>
      <c r="T1887" s="15"/>
      <c r="U1887" s="15"/>
      <c r="V1887" s="15"/>
      <c r="W1887" s="15"/>
      <c r="X1887" s="15"/>
      <c r="Y1887" s="15"/>
      <c r="Z1887" s="15"/>
      <c r="AA1887" s="15"/>
    </row>
    <row r="1888">
      <c r="A1888" s="5" t="s">
        <v>7774</v>
      </c>
      <c r="B1888" s="6" t="s">
        <v>7775</v>
      </c>
      <c r="C1888" s="159" t="s">
        <v>7776</v>
      </c>
      <c r="D1888" s="11"/>
      <c r="E1888" s="11" t="s">
        <v>786</v>
      </c>
      <c r="F1888" s="90">
        <v>500.0</v>
      </c>
      <c r="G1888" s="160" t="s">
        <v>7777</v>
      </c>
      <c r="H1888" s="11" t="s">
        <v>7516</v>
      </c>
      <c r="I1888" s="97" t="s">
        <v>7778</v>
      </c>
      <c r="J1888" s="11" t="s">
        <v>25</v>
      </c>
      <c r="K1888" s="12" t="s">
        <v>1870</v>
      </c>
      <c r="L1888" s="13"/>
      <c r="M1888" s="14"/>
      <c r="N1888" s="15"/>
      <c r="O1888" s="5" t="s">
        <v>1112</v>
      </c>
      <c r="P1888" s="15"/>
      <c r="Q1888" s="15"/>
      <c r="R1888" s="16" t="s">
        <v>551</v>
      </c>
      <c r="S1888" s="15"/>
      <c r="T1888" s="15"/>
      <c r="U1888" s="15"/>
      <c r="V1888" s="15"/>
      <c r="W1888" s="15"/>
      <c r="X1888" s="15"/>
      <c r="Y1888" s="15"/>
      <c r="Z1888" s="15"/>
      <c r="AA1888" s="15"/>
    </row>
    <row r="1889">
      <c r="A1889" s="5" t="s">
        <v>7779</v>
      </c>
      <c r="B1889" s="6" t="s">
        <v>7780</v>
      </c>
      <c r="C1889" s="36" t="s">
        <v>7781</v>
      </c>
      <c r="D1889" s="36"/>
      <c r="E1889" s="28" t="s">
        <v>7782</v>
      </c>
      <c r="F1889" s="90">
        <v>2100.0</v>
      </c>
      <c r="G1889" s="161" t="s">
        <v>7783</v>
      </c>
      <c r="H1889" s="28" t="s">
        <v>7784</v>
      </c>
      <c r="I1889" s="97">
        <v>9.920244487E9</v>
      </c>
      <c r="J1889" s="11" t="s">
        <v>25</v>
      </c>
      <c r="K1889" s="12"/>
      <c r="L1889" s="13"/>
      <c r="M1889" s="14"/>
      <c r="N1889" s="15"/>
      <c r="O1889" s="5" t="s">
        <v>108</v>
      </c>
      <c r="P1889" s="5" t="s">
        <v>7785</v>
      </c>
      <c r="Q1889" s="15"/>
      <c r="R1889" s="16" t="s">
        <v>28</v>
      </c>
      <c r="S1889" s="15"/>
      <c r="T1889" s="15"/>
      <c r="U1889" s="15"/>
      <c r="V1889" s="15"/>
      <c r="W1889" s="15"/>
      <c r="X1889" s="15"/>
      <c r="Y1889" s="15"/>
      <c r="Z1889" s="15"/>
      <c r="AA1889" s="15"/>
    </row>
    <row r="1890">
      <c r="A1890" s="5" t="s">
        <v>7786</v>
      </c>
      <c r="B1890" s="6" t="s">
        <v>7787</v>
      </c>
      <c r="C1890" s="40" t="s">
        <v>7788</v>
      </c>
      <c r="D1890" s="11"/>
      <c r="E1890" s="11" t="s">
        <v>38</v>
      </c>
      <c r="F1890" s="9">
        <v>25000.0</v>
      </c>
      <c r="G1890" s="161" t="s">
        <v>7789</v>
      </c>
      <c r="H1890" s="11" t="s">
        <v>7790</v>
      </c>
      <c r="I1890" s="97">
        <v>9.521139082E9</v>
      </c>
      <c r="J1890" s="11" t="s">
        <v>25</v>
      </c>
      <c r="K1890" s="12"/>
      <c r="L1890" s="13"/>
      <c r="M1890" s="14"/>
      <c r="N1890" s="15"/>
      <c r="O1890" s="5" t="s">
        <v>108</v>
      </c>
      <c r="P1890" s="5" t="s">
        <v>7791</v>
      </c>
      <c r="Q1890" s="15"/>
      <c r="R1890" s="16" t="s">
        <v>28</v>
      </c>
      <c r="S1890" s="15"/>
      <c r="T1890" s="15"/>
      <c r="U1890" s="15"/>
      <c r="V1890" s="15"/>
      <c r="W1890" s="15"/>
      <c r="X1890" s="15"/>
      <c r="Y1890" s="15"/>
      <c r="Z1890" s="15"/>
      <c r="AA1890" s="15"/>
    </row>
    <row r="1891">
      <c r="A1891" s="5" t="s">
        <v>7786</v>
      </c>
      <c r="B1891" s="6" t="s">
        <v>7792</v>
      </c>
      <c r="C1891" s="40" t="s">
        <v>7793</v>
      </c>
      <c r="D1891" s="11"/>
      <c r="E1891" s="11" t="s">
        <v>7051</v>
      </c>
      <c r="F1891" s="90" t="s">
        <v>7794</v>
      </c>
      <c r="G1891" s="97" t="s">
        <v>7795</v>
      </c>
      <c r="H1891" s="11" t="s">
        <v>1082</v>
      </c>
      <c r="I1891" s="157" t="s">
        <v>7796</v>
      </c>
      <c r="J1891" s="11" t="s">
        <v>25</v>
      </c>
      <c r="K1891" s="12" t="s">
        <v>7797</v>
      </c>
      <c r="L1891" s="13"/>
      <c r="M1891" s="14"/>
      <c r="N1891" s="5" t="s">
        <v>7798</v>
      </c>
      <c r="O1891" s="5" t="s">
        <v>1112</v>
      </c>
      <c r="P1891" s="5" t="s">
        <v>1786</v>
      </c>
      <c r="Q1891" s="15"/>
      <c r="R1891" s="16" t="s">
        <v>634</v>
      </c>
      <c r="S1891" s="15"/>
      <c r="T1891" s="15"/>
      <c r="U1891" s="15"/>
      <c r="V1891" s="15"/>
      <c r="W1891" s="15"/>
      <c r="X1891" s="15"/>
      <c r="Y1891" s="15"/>
      <c r="Z1891" s="15"/>
      <c r="AA1891" s="15"/>
    </row>
    <row r="1892">
      <c r="A1892" s="5" t="s">
        <v>7799</v>
      </c>
      <c r="B1892" s="6" t="s">
        <v>7800</v>
      </c>
      <c r="C1892" s="40" t="s">
        <v>7801</v>
      </c>
      <c r="D1892" s="11"/>
      <c r="E1892" s="11" t="s">
        <v>7802</v>
      </c>
      <c r="F1892" s="90" t="s">
        <v>7803</v>
      </c>
      <c r="G1892" s="97" t="s">
        <v>7804</v>
      </c>
      <c r="H1892" s="11" t="s">
        <v>1082</v>
      </c>
      <c r="I1892" s="157" t="s">
        <v>7805</v>
      </c>
      <c r="J1892" s="11" t="s">
        <v>25</v>
      </c>
      <c r="K1892" s="12" t="s">
        <v>3291</v>
      </c>
      <c r="L1892" s="13"/>
      <c r="M1892" s="14"/>
      <c r="N1892" s="15"/>
      <c r="O1892" s="5" t="s">
        <v>1112</v>
      </c>
      <c r="P1892" s="5" t="s">
        <v>6603</v>
      </c>
      <c r="Q1892" s="15"/>
      <c r="R1892" s="16" t="s">
        <v>551</v>
      </c>
      <c r="S1892" s="15"/>
      <c r="T1892" s="15"/>
      <c r="U1892" s="15"/>
      <c r="V1892" s="15"/>
      <c r="W1892" s="15"/>
      <c r="X1892" s="15"/>
      <c r="Y1892" s="15"/>
      <c r="Z1892" s="15"/>
      <c r="AA1892" s="15"/>
    </row>
    <row r="1893">
      <c r="A1893" s="5" t="s">
        <v>7799</v>
      </c>
      <c r="B1893" s="6" t="s">
        <v>7806</v>
      </c>
      <c r="C1893" s="40" t="s">
        <v>7807</v>
      </c>
      <c r="D1893" s="11"/>
      <c r="E1893" s="11" t="s">
        <v>7057</v>
      </c>
      <c r="F1893" s="90">
        <v>20.0</v>
      </c>
      <c r="G1893" s="162" t="s">
        <v>7808</v>
      </c>
      <c r="H1893" s="11" t="s">
        <v>44</v>
      </c>
      <c r="I1893" s="157">
        <v>7.908661298E9</v>
      </c>
      <c r="J1893" s="11" t="s">
        <v>25</v>
      </c>
      <c r="K1893" s="12"/>
      <c r="L1893" s="13"/>
      <c r="M1893" s="11" t="s">
        <v>7809</v>
      </c>
      <c r="N1893" s="5" t="s">
        <v>7810</v>
      </c>
      <c r="O1893" s="5" t="s">
        <v>34</v>
      </c>
      <c r="P1893" s="5" t="s">
        <v>2144</v>
      </c>
      <c r="Q1893" s="15"/>
      <c r="R1893" s="16" t="s">
        <v>634</v>
      </c>
      <c r="S1893" s="15"/>
      <c r="T1893" s="15"/>
      <c r="U1893" s="15"/>
      <c r="V1893" s="15"/>
      <c r="W1893" s="15"/>
      <c r="X1893" s="15"/>
      <c r="Y1893" s="15"/>
      <c r="Z1893" s="15"/>
      <c r="AA1893" s="15"/>
    </row>
    <row r="1894">
      <c r="A1894" s="5" t="s">
        <v>7811</v>
      </c>
      <c r="B1894" s="6" t="s">
        <v>7812</v>
      </c>
      <c r="C1894" s="40" t="s">
        <v>7813</v>
      </c>
      <c r="D1894" s="11"/>
      <c r="E1894" s="11" t="s">
        <v>130</v>
      </c>
      <c r="F1894" s="90">
        <v>1000.0</v>
      </c>
      <c r="G1894" s="161" t="s">
        <v>7814</v>
      </c>
      <c r="H1894" s="11" t="s">
        <v>7815</v>
      </c>
      <c r="I1894" s="157">
        <v>7.003108325E9</v>
      </c>
      <c r="J1894" s="11" t="s">
        <v>25</v>
      </c>
      <c r="K1894" s="12"/>
      <c r="L1894" s="13"/>
      <c r="M1894" s="11" t="s">
        <v>7718</v>
      </c>
      <c r="N1894" s="5" t="s">
        <v>7816</v>
      </c>
      <c r="O1894" s="5" t="s">
        <v>34</v>
      </c>
      <c r="P1894" s="5" t="s">
        <v>727</v>
      </c>
      <c r="Q1894" s="15"/>
      <c r="R1894" s="16" t="s">
        <v>634</v>
      </c>
      <c r="S1894" s="15"/>
      <c r="T1894" s="15"/>
      <c r="U1894" s="15"/>
      <c r="V1894" s="15"/>
      <c r="W1894" s="15"/>
      <c r="X1894" s="15"/>
      <c r="Y1894" s="15"/>
      <c r="Z1894" s="15"/>
      <c r="AA1894" s="15"/>
    </row>
    <row r="1895">
      <c r="A1895" s="5" t="s">
        <v>7811</v>
      </c>
      <c r="B1895" s="6" t="s">
        <v>7817</v>
      </c>
      <c r="C1895" s="40" t="s">
        <v>7818</v>
      </c>
      <c r="D1895" s="11"/>
      <c r="E1895" s="11" t="s">
        <v>222</v>
      </c>
      <c r="F1895" s="9">
        <v>70000.0</v>
      </c>
      <c r="G1895" s="161" t="s">
        <v>7819</v>
      </c>
      <c r="H1895" s="11" t="s">
        <v>1337</v>
      </c>
      <c r="I1895" s="157">
        <v>8.9295434E9</v>
      </c>
      <c r="J1895" s="11" t="s">
        <v>25</v>
      </c>
      <c r="K1895" s="12"/>
      <c r="L1895" s="13"/>
      <c r="M1895" s="11" t="s">
        <v>7820</v>
      </c>
      <c r="N1895" s="5" t="s">
        <v>7821</v>
      </c>
      <c r="O1895" s="5" t="s">
        <v>34</v>
      </c>
      <c r="P1895" s="5" t="s">
        <v>727</v>
      </c>
      <c r="Q1895" s="15"/>
      <c r="R1895" s="16" t="s">
        <v>634</v>
      </c>
      <c r="S1895" s="15"/>
      <c r="T1895" s="15"/>
      <c r="U1895" s="15"/>
      <c r="V1895" s="15"/>
      <c r="W1895" s="15"/>
      <c r="X1895" s="15"/>
      <c r="Y1895" s="15"/>
      <c r="Z1895" s="15"/>
      <c r="AA1895" s="15"/>
    </row>
    <row r="1896">
      <c r="A1896" s="5" t="s">
        <v>7822</v>
      </c>
      <c r="B1896" s="6" t="s">
        <v>7823</v>
      </c>
      <c r="C1896" s="62" t="s">
        <v>7824</v>
      </c>
      <c r="D1896" s="11"/>
      <c r="E1896" s="11" t="s">
        <v>387</v>
      </c>
      <c r="F1896" s="9">
        <v>10000.0</v>
      </c>
      <c r="G1896" s="97" t="s">
        <v>7825</v>
      </c>
      <c r="H1896" s="11" t="s">
        <v>7826</v>
      </c>
      <c r="I1896" s="157">
        <v>9.776859102E9</v>
      </c>
      <c r="J1896" s="11" t="s">
        <v>25</v>
      </c>
      <c r="K1896" s="12"/>
      <c r="L1896" s="13"/>
      <c r="M1896" s="11" t="s">
        <v>6155</v>
      </c>
      <c r="N1896" s="5" t="s">
        <v>7827</v>
      </c>
      <c r="O1896" s="5" t="s">
        <v>34</v>
      </c>
      <c r="P1896" s="11" t="s">
        <v>7719</v>
      </c>
      <c r="Q1896" s="15"/>
      <c r="R1896" s="16" t="s">
        <v>74</v>
      </c>
      <c r="S1896" s="15"/>
      <c r="T1896" s="15"/>
      <c r="U1896" s="15"/>
      <c r="V1896" s="15"/>
      <c r="W1896" s="15"/>
      <c r="X1896" s="15"/>
      <c r="Y1896" s="15"/>
      <c r="Z1896" s="15"/>
      <c r="AA1896" s="15"/>
    </row>
    <row r="1897">
      <c r="A1897" s="5" t="s">
        <v>7828</v>
      </c>
      <c r="B1897" s="6" t="s">
        <v>7829</v>
      </c>
      <c r="C1897" s="40" t="s">
        <v>7830</v>
      </c>
      <c r="D1897" s="11"/>
      <c r="E1897" s="11" t="s">
        <v>7831</v>
      </c>
      <c r="F1897" s="90">
        <v>1000.0</v>
      </c>
      <c r="G1897" s="157" t="s">
        <v>7832</v>
      </c>
      <c r="H1897" s="11" t="s">
        <v>472</v>
      </c>
      <c r="I1897" s="157" t="s">
        <v>7833</v>
      </c>
      <c r="J1897" s="11" t="s">
        <v>25</v>
      </c>
      <c r="K1897" s="12" t="s">
        <v>3809</v>
      </c>
      <c r="L1897" s="13"/>
      <c r="M1897" s="14"/>
      <c r="N1897" s="15"/>
      <c r="O1897" s="5" t="s">
        <v>1112</v>
      </c>
      <c r="P1897" s="15"/>
      <c r="Q1897" s="15"/>
      <c r="R1897" s="16" t="s">
        <v>28</v>
      </c>
      <c r="S1897" s="15"/>
      <c r="T1897" s="15"/>
      <c r="U1897" s="15"/>
      <c r="V1897" s="15"/>
      <c r="W1897" s="15"/>
      <c r="X1897" s="15"/>
      <c r="Y1897" s="15"/>
      <c r="Z1897" s="15"/>
      <c r="AA1897" s="15"/>
    </row>
    <row r="1898">
      <c r="A1898" s="5" t="s">
        <v>7834</v>
      </c>
      <c r="B1898" s="6" t="s">
        <v>7835</v>
      </c>
      <c r="C1898" s="40" t="s">
        <v>7836</v>
      </c>
      <c r="D1898" s="11"/>
      <c r="E1898" s="11" t="s">
        <v>7837</v>
      </c>
      <c r="F1898" s="90" t="s">
        <v>7838</v>
      </c>
      <c r="G1898" s="157"/>
      <c r="H1898" s="11" t="s">
        <v>1082</v>
      </c>
      <c r="I1898" s="157">
        <v>9.163462771E9</v>
      </c>
      <c r="J1898" s="11" t="s">
        <v>25</v>
      </c>
      <c r="K1898" s="12" t="s">
        <v>7839</v>
      </c>
      <c r="L1898" s="13"/>
      <c r="M1898" s="14"/>
      <c r="N1898" s="15"/>
      <c r="O1898" s="5" t="s">
        <v>1112</v>
      </c>
      <c r="P1898" s="15"/>
      <c r="Q1898" s="15"/>
      <c r="R1898" s="16" t="s">
        <v>551</v>
      </c>
      <c r="S1898" s="15"/>
      <c r="T1898" s="15"/>
      <c r="U1898" s="15"/>
      <c r="V1898" s="15"/>
      <c r="W1898" s="15"/>
      <c r="X1898" s="15"/>
      <c r="Y1898" s="15"/>
      <c r="Z1898" s="15"/>
      <c r="AA1898" s="15"/>
    </row>
    <row r="1899">
      <c r="A1899" s="5" t="s">
        <v>7834</v>
      </c>
      <c r="B1899" s="6" t="s">
        <v>7840</v>
      </c>
      <c r="C1899" s="40" t="s">
        <v>7841</v>
      </c>
      <c r="D1899" s="11"/>
      <c r="E1899" s="11" t="s">
        <v>5502</v>
      </c>
      <c r="F1899" s="90" t="s">
        <v>7842</v>
      </c>
      <c r="G1899" s="31" t="s">
        <v>7843</v>
      </c>
      <c r="H1899" s="36" t="s">
        <v>7844</v>
      </c>
      <c r="I1899" s="157">
        <v>7.019410848E9</v>
      </c>
      <c r="J1899" s="11" t="s">
        <v>25</v>
      </c>
      <c r="K1899" s="12"/>
      <c r="L1899" s="13"/>
      <c r="M1899" s="14"/>
      <c r="N1899" s="15"/>
      <c r="O1899" s="5" t="s">
        <v>108</v>
      </c>
      <c r="P1899" s="15"/>
      <c r="Q1899" s="15"/>
      <c r="R1899" s="16" t="s">
        <v>28</v>
      </c>
      <c r="S1899" s="15"/>
      <c r="T1899" s="15"/>
      <c r="U1899" s="15"/>
      <c r="V1899" s="15"/>
      <c r="W1899" s="15"/>
      <c r="X1899" s="15"/>
      <c r="Y1899" s="15"/>
      <c r="Z1899" s="15"/>
      <c r="AA1899" s="15"/>
    </row>
    <row r="1900">
      <c r="A1900" s="5" t="s">
        <v>7845</v>
      </c>
      <c r="B1900" s="6" t="s">
        <v>7846</v>
      </c>
      <c r="C1900" s="62" t="s">
        <v>7847</v>
      </c>
      <c r="D1900" s="11"/>
      <c r="E1900" s="11" t="s">
        <v>7848</v>
      </c>
      <c r="F1900" s="90">
        <v>3000.0</v>
      </c>
      <c r="G1900" s="157" t="s">
        <v>7849</v>
      </c>
      <c r="H1900" s="11" t="s">
        <v>44</v>
      </c>
      <c r="I1900" s="157">
        <v>8.420556737E9</v>
      </c>
      <c r="J1900" s="11" t="s">
        <v>7850</v>
      </c>
      <c r="K1900" s="12"/>
      <c r="L1900" s="13"/>
      <c r="M1900" s="11" t="s">
        <v>7851</v>
      </c>
      <c r="N1900" s="5" t="s">
        <v>7852</v>
      </c>
      <c r="O1900" s="5" t="s">
        <v>34</v>
      </c>
      <c r="P1900" s="15"/>
      <c r="Q1900" s="15"/>
      <c r="R1900" s="16" t="s">
        <v>634</v>
      </c>
      <c r="S1900" s="15"/>
      <c r="T1900" s="15"/>
      <c r="U1900" s="15"/>
      <c r="V1900" s="15"/>
      <c r="W1900" s="15"/>
      <c r="X1900" s="15"/>
      <c r="Y1900" s="15"/>
      <c r="Z1900" s="15"/>
      <c r="AA1900" s="15"/>
    </row>
    <row r="1901">
      <c r="A1901" s="5" t="s">
        <v>7853</v>
      </c>
      <c r="B1901" s="6" t="s">
        <v>7854</v>
      </c>
      <c r="C1901" s="163" t="s">
        <v>7855</v>
      </c>
      <c r="D1901" s="164"/>
      <c r="E1901" s="164" t="s">
        <v>7856</v>
      </c>
      <c r="F1901" s="90">
        <v>5000.0</v>
      </c>
      <c r="G1901" s="100" t="s">
        <v>7857</v>
      </c>
      <c r="H1901" s="165" t="s">
        <v>7858</v>
      </c>
      <c r="I1901" s="166" t="s">
        <v>7859</v>
      </c>
      <c r="J1901" s="11" t="s">
        <v>25</v>
      </c>
      <c r="K1901" s="12" t="s">
        <v>7860</v>
      </c>
      <c r="L1901" s="13"/>
      <c r="M1901" s="14"/>
      <c r="N1901" s="15"/>
      <c r="O1901" s="5" t="s">
        <v>564</v>
      </c>
      <c r="P1901" s="5" t="s">
        <v>7861</v>
      </c>
      <c r="Q1901" s="15"/>
      <c r="R1901" s="16" t="s">
        <v>634</v>
      </c>
      <c r="S1901" s="15"/>
      <c r="T1901" s="15"/>
      <c r="U1901" s="15"/>
      <c r="V1901" s="15"/>
      <c r="W1901" s="15"/>
      <c r="X1901" s="15"/>
      <c r="Y1901" s="15"/>
      <c r="Z1901" s="15"/>
      <c r="AA1901" s="15"/>
    </row>
    <row r="1902">
      <c r="A1902" s="5" t="s">
        <v>7853</v>
      </c>
      <c r="B1902" s="6" t="s">
        <v>7862</v>
      </c>
      <c r="C1902" s="40" t="s">
        <v>7863</v>
      </c>
      <c r="D1902" s="11"/>
      <c r="E1902" s="11" t="s">
        <v>130</v>
      </c>
      <c r="F1902" s="9">
        <v>30000.0</v>
      </c>
      <c r="G1902" s="31" t="s">
        <v>7864</v>
      </c>
      <c r="H1902" s="11" t="s">
        <v>1461</v>
      </c>
      <c r="I1902" s="157">
        <v>8.38681671E9</v>
      </c>
      <c r="J1902" s="11" t="s">
        <v>25</v>
      </c>
      <c r="K1902" s="12"/>
      <c r="L1902" s="13"/>
      <c r="M1902" s="11" t="s">
        <v>7865</v>
      </c>
      <c r="N1902" s="15"/>
      <c r="O1902" s="5" t="s">
        <v>108</v>
      </c>
      <c r="P1902" s="15"/>
      <c r="Q1902" s="15"/>
      <c r="R1902" s="16" t="s">
        <v>28</v>
      </c>
      <c r="S1902" s="15"/>
      <c r="T1902" s="15"/>
      <c r="U1902" s="15"/>
      <c r="V1902" s="15"/>
      <c r="W1902" s="15"/>
      <c r="X1902" s="15"/>
      <c r="Y1902" s="15"/>
      <c r="Z1902" s="15"/>
      <c r="AA1902" s="15"/>
    </row>
    <row r="1903">
      <c r="A1903" s="5" t="s">
        <v>7853</v>
      </c>
      <c r="B1903" s="6" t="s">
        <v>7866</v>
      </c>
      <c r="C1903" s="40" t="s">
        <v>7867</v>
      </c>
      <c r="D1903" s="11"/>
      <c r="E1903" s="11" t="s">
        <v>7868</v>
      </c>
      <c r="F1903" s="90" t="s">
        <v>7869</v>
      </c>
      <c r="G1903" s="157" t="s">
        <v>7870</v>
      </c>
      <c r="H1903" s="11" t="s">
        <v>7470</v>
      </c>
      <c r="I1903" s="157">
        <v>9.800864524E9</v>
      </c>
      <c r="J1903" s="11" t="s">
        <v>25</v>
      </c>
      <c r="K1903" s="12" t="s">
        <v>7871</v>
      </c>
      <c r="L1903" s="13"/>
      <c r="M1903" s="11" t="s">
        <v>3364</v>
      </c>
      <c r="N1903" s="15"/>
      <c r="O1903" s="5" t="s">
        <v>26</v>
      </c>
      <c r="P1903" s="5" t="s">
        <v>453</v>
      </c>
      <c r="Q1903" s="15"/>
      <c r="R1903" s="16" t="s">
        <v>723</v>
      </c>
      <c r="S1903" s="15"/>
      <c r="T1903" s="15"/>
      <c r="U1903" s="15"/>
      <c r="V1903" s="15"/>
      <c r="W1903" s="15"/>
      <c r="X1903" s="15"/>
      <c r="Y1903" s="15"/>
      <c r="Z1903" s="15"/>
      <c r="AA1903" s="15"/>
    </row>
    <row r="1904">
      <c r="A1904" s="5" t="s">
        <v>7853</v>
      </c>
      <c r="B1904" s="6" t="s">
        <v>7872</v>
      </c>
      <c r="C1904" s="62" t="s">
        <v>7873</v>
      </c>
      <c r="D1904" s="11"/>
      <c r="E1904" s="11" t="s">
        <v>7874</v>
      </c>
      <c r="F1904" s="90" t="s">
        <v>7875</v>
      </c>
      <c r="G1904" s="157" t="s">
        <v>7876</v>
      </c>
      <c r="H1904" s="11" t="s">
        <v>7877</v>
      </c>
      <c r="I1904" s="157">
        <v>9.511277238E9</v>
      </c>
      <c r="J1904" s="11" t="s">
        <v>25</v>
      </c>
      <c r="K1904" s="12"/>
      <c r="L1904" s="13"/>
      <c r="M1904" s="11" t="s">
        <v>7878</v>
      </c>
      <c r="N1904" s="5" t="s">
        <v>7879</v>
      </c>
      <c r="O1904" s="5" t="s">
        <v>34</v>
      </c>
      <c r="P1904" s="5" t="s">
        <v>7880</v>
      </c>
      <c r="Q1904" s="15"/>
      <c r="R1904" s="16" t="s">
        <v>551</v>
      </c>
      <c r="S1904" s="15"/>
      <c r="T1904" s="15"/>
      <c r="U1904" s="15"/>
      <c r="V1904" s="15"/>
      <c r="W1904" s="15"/>
      <c r="X1904" s="15"/>
      <c r="Y1904" s="15"/>
      <c r="Z1904" s="15"/>
      <c r="AA1904" s="15"/>
    </row>
    <row r="1905">
      <c r="A1905" s="5" t="s">
        <v>7881</v>
      </c>
      <c r="B1905" s="6" t="s">
        <v>7882</v>
      </c>
      <c r="C1905" s="62" t="s">
        <v>7883</v>
      </c>
      <c r="D1905" s="11"/>
      <c r="E1905" s="11" t="s">
        <v>207</v>
      </c>
      <c r="F1905" s="90">
        <v>1500.0</v>
      </c>
      <c r="G1905" s="157"/>
      <c r="H1905" s="11" t="s">
        <v>44</v>
      </c>
      <c r="I1905" s="157">
        <v>9.875601283E9</v>
      </c>
      <c r="J1905" s="11" t="s">
        <v>25</v>
      </c>
      <c r="K1905" s="12"/>
      <c r="L1905" s="13"/>
      <c r="M1905" s="11" t="s">
        <v>7884</v>
      </c>
      <c r="N1905" s="15"/>
      <c r="O1905" s="5" t="s">
        <v>34</v>
      </c>
      <c r="P1905" s="5" t="s">
        <v>7880</v>
      </c>
      <c r="Q1905" s="15"/>
      <c r="R1905" s="16" t="s">
        <v>74</v>
      </c>
      <c r="S1905" s="15"/>
      <c r="T1905" s="15"/>
      <c r="U1905" s="15"/>
      <c r="V1905" s="15"/>
      <c r="W1905" s="15"/>
      <c r="X1905" s="15"/>
      <c r="Y1905" s="15"/>
      <c r="Z1905" s="15"/>
      <c r="AA1905" s="15"/>
    </row>
    <row r="1906">
      <c r="A1906" s="5" t="s">
        <v>7885</v>
      </c>
      <c r="B1906" s="6" t="s">
        <v>7886</v>
      </c>
      <c r="C1906" s="62" t="s">
        <v>7314</v>
      </c>
      <c r="D1906" s="11"/>
      <c r="E1906" s="11" t="s">
        <v>1412</v>
      </c>
      <c r="F1906" s="9">
        <v>18000.0</v>
      </c>
      <c r="G1906" s="31" t="s">
        <v>7316</v>
      </c>
      <c r="H1906" s="36" t="s">
        <v>7887</v>
      </c>
      <c r="I1906" s="157">
        <v>9.867233807E9</v>
      </c>
      <c r="J1906" s="11" t="s">
        <v>25</v>
      </c>
      <c r="K1906" s="12"/>
      <c r="L1906" s="13"/>
      <c r="M1906" s="11" t="s">
        <v>7888</v>
      </c>
      <c r="N1906" s="15"/>
      <c r="O1906" s="5" t="s">
        <v>108</v>
      </c>
      <c r="P1906" s="5" t="s">
        <v>7889</v>
      </c>
      <c r="Q1906" s="15"/>
      <c r="R1906" s="16" t="s">
        <v>28</v>
      </c>
      <c r="S1906" s="15"/>
      <c r="T1906" s="15"/>
      <c r="U1906" s="15"/>
      <c r="V1906" s="15"/>
      <c r="W1906" s="15"/>
      <c r="X1906" s="15"/>
      <c r="Y1906" s="15"/>
      <c r="Z1906" s="15"/>
      <c r="AA1906" s="15"/>
    </row>
    <row r="1907">
      <c r="A1907" s="5" t="s">
        <v>7885</v>
      </c>
      <c r="B1907" s="6" t="s">
        <v>7890</v>
      </c>
      <c r="C1907" s="40" t="s">
        <v>7891</v>
      </c>
      <c r="D1907" s="11"/>
      <c r="E1907" s="11" t="s">
        <v>7892</v>
      </c>
      <c r="F1907" s="90">
        <v>5000.0</v>
      </c>
      <c r="G1907" s="157" t="s">
        <v>7893</v>
      </c>
      <c r="H1907" s="11" t="s">
        <v>985</v>
      </c>
      <c r="I1907" s="157" t="s">
        <v>7894</v>
      </c>
      <c r="J1907" s="11" t="s">
        <v>25</v>
      </c>
      <c r="K1907" s="12" t="s">
        <v>890</v>
      </c>
      <c r="L1907" s="13"/>
      <c r="M1907" s="11" t="s">
        <v>890</v>
      </c>
      <c r="N1907" s="15"/>
      <c r="O1907" s="5" t="s">
        <v>26</v>
      </c>
      <c r="P1907" s="15"/>
      <c r="Q1907" s="15"/>
      <c r="R1907" s="16" t="s">
        <v>6999</v>
      </c>
      <c r="S1907" s="15"/>
      <c r="T1907" s="15"/>
      <c r="U1907" s="15"/>
      <c r="V1907" s="15"/>
      <c r="W1907" s="15"/>
      <c r="X1907" s="15"/>
      <c r="Y1907" s="15"/>
      <c r="Z1907" s="15"/>
      <c r="AA1907" s="15"/>
    </row>
    <row r="1908">
      <c r="A1908" s="5" t="s">
        <v>7885</v>
      </c>
      <c r="B1908" s="6" t="s">
        <v>7895</v>
      </c>
      <c r="C1908" s="40" t="s">
        <v>7896</v>
      </c>
      <c r="D1908" s="11"/>
      <c r="E1908" s="11" t="s">
        <v>7897</v>
      </c>
      <c r="F1908" s="9">
        <v>20000.0</v>
      </c>
      <c r="G1908" s="31" t="s">
        <v>7898</v>
      </c>
      <c r="H1908" s="11" t="s">
        <v>742</v>
      </c>
      <c r="I1908" s="157">
        <v>8.106975997E9</v>
      </c>
      <c r="J1908" s="11" t="s">
        <v>25</v>
      </c>
      <c r="K1908" s="12"/>
      <c r="L1908" s="13"/>
      <c r="M1908" s="14"/>
      <c r="N1908" s="15"/>
      <c r="O1908" s="5" t="s">
        <v>108</v>
      </c>
      <c r="P1908" s="5" t="s">
        <v>7899</v>
      </c>
      <c r="Q1908" s="15"/>
      <c r="R1908" s="16" t="s">
        <v>28</v>
      </c>
      <c r="S1908" s="15"/>
      <c r="T1908" s="15"/>
      <c r="U1908" s="15"/>
      <c r="V1908" s="15"/>
      <c r="W1908" s="15"/>
      <c r="X1908" s="15"/>
      <c r="Y1908" s="15"/>
      <c r="Z1908" s="15"/>
      <c r="AA1908" s="15"/>
    </row>
    <row r="1909">
      <c r="A1909" s="5" t="s">
        <v>7900</v>
      </c>
      <c r="B1909" s="6" t="s">
        <v>7901</v>
      </c>
      <c r="C1909" s="40" t="s">
        <v>7902</v>
      </c>
      <c r="D1909" s="11"/>
      <c r="E1909" s="11" t="s">
        <v>1280</v>
      </c>
      <c r="F1909" s="90">
        <v>1100.0</v>
      </c>
      <c r="G1909" s="31" t="s">
        <v>7903</v>
      </c>
      <c r="H1909" s="11" t="s">
        <v>555</v>
      </c>
      <c r="I1909" s="157">
        <v>8.709993945E9</v>
      </c>
      <c r="J1909" s="11" t="s">
        <v>25</v>
      </c>
      <c r="K1909" s="12"/>
      <c r="L1909" s="13"/>
      <c r="M1909" s="11" t="s">
        <v>7904</v>
      </c>
      <c r="N1909" s="5" t="s">
        <v>7905</v>
      </c>
      <c r="O1909" s="5" t="s">
        <v>34</v>
      </c>
      <c r="P1909" s="5" t="s">
        <v>1384</v>
      </c>
      <c r="Q1909" s="15"/>
      <c r="R1909" s="16" t="s">
        <v>634</v>
      </c>
      <c r="S1909" s="15"/>
      <c r="T1909" s="15"/>
      <c r="U1909" s="15"/>
      <c r="V1909" s="15"/>
      <c r="W1909" s="15"/>
      <c r="X1909" s="15"/>
      <c r="Y1909" s="15"/>
      <c r="Z1909" s="15"/>
      <c r="AA1909" s="15"/>
    </row>
    <row r="1910">
      <c r="A1910" s="5" t="s">
        <v>7906</v>
      </c>
      <c r="B1910" s="6" t="s">
        <v>7907</v>
      </c>
      <c r="C1910" s="62" t="s">
        <v>7908</v>
      </c>
      <c r="D1910" s="11"/>
      <c r="E1910" s="11" t="s">
        <v>1023</v>
      </c>
      <c r="F1910" s="90">
        <v>6000.0</v>
      </c>
      <c r="G1910" s="157" t="s">
        <v>7909</v>
      </c>
      <c r="H1910" s="11" t="s">
        <v>44</v>
      </c>
      <c r="I1910" s="157">
        <v>9.830066905E9</v>
      </c>
      <c r="J1910" s="11" t="s">
        <v>25</v>
      </c>
      <c r="K1910" s="12"/>
      <c r="L1910" s="13"/>
      <c r="M1910" s="11" t="s">
        <v>7718</v>
      </c>
      <c r="N1910" s="5" t="s">
        <v>7910</v>
      </c>
      <c r="O1910" s="5" t="s">
        <v>34</v>
      </c>
      <c r="P1910" s="5" t="s">
        <v>55</v>
      </c>
      <c r="Q1910" s="15"/>
      <c r="R1910" s="16" t="s">
        <v>248</v>
      </c>
      <c r="S1910" s="15"/>
      <c r="T1910" s="15"/>
      <c r="U1910" s="15"/>
      <c r="V1910" s="15"/>
      <c r="W1910" s="15"/>
      <c r="X1910" s="15"/>
      <c r="Y1910" s="15"/>
      <c r="Z1910" s="15"/>
      <c r="AA1910" s="15"/>
    </row>
    <row r="1911">
      <c r="A1911" s="5" t="s">
        <v>7911</v>
      </c>
      <c r="B1911" s="6" t="s">
        <v>7912</v>
      </c>
      <c r="C1911" s="40" t="s">
        <v>7913</v>
      </c>
      <c r="D1911" s="11"/>
      <c r="E1911" s="11" t="s">
        <v>178</v>
      </c>
      <c r="F1911" s="9">
        <v>10000.0</v>
      </c>
      <c r="G1911" s="31" t="s">
        <v>7914</v>
      </c>
      <c r="H1911" s="11" t="s">
        <v>44</v>
      </c>
      <c r="I1911" s="157">
        <v>9.903027075E9</v>
      </c>
      <c r="J1911" s="11" t="s">
        <v>25</v>
      </c>
      <c r="K1911" s="12"/>
      <c r="L1911" s="13"/>
      <c r="M1911" s="14"/>
      <c r="N1911" s="15"/>
      <c r="O1911" s="5" t="s">
        <v>34</v>
      </c>
      <c r="P1911" s="5" t="s">
        <v>2795</v>
      </c>
      <c r="Q1911" s="15"/>
      <c r="R1911" s="16" t="s">
        <v>28</v>
      </c>
      <c r="S1911" s="15"/>
      <c r="T1911" s="15"/>
      <c r="U1911" s="15"/>
      <c r="V1911" s="15"/>
      <c r="W1911" s="15"/>
      <c r="X1911" s="15"/>
      <c r="Y1911" s="15"/>
      <c r="Z1911" s="15"/>
      <c r="AA1911" s="15"/>
    </row>
    <row r="1912">
      <c r="A1912" s="5" t="s">
        <v>7911</v>
      </c>
      <c r="B1912" s="6" t="s">
        <v>7915</v>
      </c>
      <c r="C1912" s="40" t="s">
        <v>7916</v>
      </c>
      <c r="D1912" s="11"/>
      <c r="E1912" s="11" t="s">
        <v>7917</v>
      </c>
      <c r="F1912" s="9">
        <v>20000.0</v>
      </c>
      <c r="G1912" s="31" t="s">
        <v>7918</v>
      </c>
      <c r="H1912" s="11" t="s">
        <v>507</v>
      </c>
      <c r="I1912" s="157">
        <v>9.096682811E9</v>
      </c>
      <c r="J1912" s="11" t="s">
        <v>25</v>
      </c>
      <c r="K1912" s="12"/>
      <c r="L1912" s="13"/>
      <c r="M1912" s="14"/>
      <c r="N1912" s="15"/>
      <c r="O1912" s="5" t="s">
        <v>108</v>
      </c>
      <c r="P1912" s="5" t="s">
        <v>7432</v>
      </c>
      <c r="Q1912" s="15"/>
      <c r="R1912" s="16" t="s">
        <v>28</v>
      </c>
      <c r="S1912" s="15"/>
      <c r="T1912" s="15"/>
      <c r="U1912" s="15"/>
      <c r="V1912" s="15"/>
      <c r="W1912" s="15"/>
      <c r="X1912" s="15"/>
      <c r="Y1912" s="15"/>
      <c r="Z1912" s="15"/>
      <c r="AA1912" s="15"/>
    </row>
    <row r="1913">
      <c r="A1913" s="5" t="s">
        <v>7911</v>
      </c>
      <c r="B1913" s="6" t="s">
        <v>7919</v>
      </c>
      <c r="C1913" s="40" t="s">
        <v>7920</v>
      </c>
      <c r="D1913" s="11"/>
      <c r="E1913" s="11" t="s">
        <v>152</v>
      </c>
      <c r="F1913" s="9">
        <v>10000.0</v>
      </c>
      <c r="G1913" s="31" t="s">
        <v>7921</v>
      </c>
      <c r="H1913" s="11" t="s">
        <v>7922</v>
      </c>
      <c r="I1913" s="157">
        <v>9.870754049E9</v>
      </c>
      <c r="J1913" s="11" t="s">
        <v>25</v>
      </c>
      <c r="K1913" s="12"/>
      <c r="L1913" s="13"/>
      <c r="M1913" s="14"/>
      <c r="N1913" s="15"/>
      <c r="O1913" s="5" t="s">
        <v>108</v>
      </c>
      <c r="P1913" s="15"/>
      <c r="Q1913" s="15"/>
      <c r="R1913" s="16" t="s">
        <v>28</v>
      </c>
      <c r="S1913" s="15"/>
      <c r="T1913" s="15"/>
      <c r="U1913" s="15"/>
      <c r="V1913" s="15"/>
      <c r="W1913" s="15"/>
      <c r="X1913" s="15"/>
      <c r="Y1913" s="15"/>
      <c r="Z1913" s="15"/>
      <c r="AA1913" s="15"/>
    </row>
    <row r="1914">
      <c r="A1914" s="5" t="s">
        <v>7923</v>
      </c>
      <c r="B1914" s="6" t="s">
        <v>7924</v>
      </c>
      <c r="C1914" s="62" t="s">
        <v>7925</v>
      </c>
      <c r="D1914" s="11"/>
      <c r="E1914" s="11" t="s">
        <v>7926</v>
      </c>
      <c r="F1914" s="90">
        <v>500.0</v>
      </c>
      <c r="G1914" s="157" t="s">
        <v>7927</v>
      </c>
      <c r="H1914" s="11" t="s">
        <v>44</v>
      </c>
      <c r="I1914" s="157">
        <v>6.289841643E9</v>
      </c>
      <c r="J1914" s="11" t="s">
        <v>25</v>
      </c>
      <c r="K1914" s="12"/>
      <c r="L1914" s="13"/>
      <c r="M1914" s="11" t="s">
        <v>7928</v>
      </c>
      <c r="N1914" s="5" t="s">
        <v>7929</v>
      </c>
      <c r="O1914" s="5" t="s">
        <v>34</v>
      </c>
      <c r="P1914" s="5" t="s">
        <v>5480</v>
      </c>
      <c r="Q1914" s="15"/>
      <c r="R1914" s="16" t="s">
        <v>634</v>
      </c>
      <c r="S1914" s="15"/>
      <c r="T1914" s="15"/>
      <c r="U1914" s="15"/>
      <c r="V1914" s="15"/>
      <c r="W1914" s="15"/>
      <c r="X1914" s="15"/>
      <c r="Y1914" s="15"/>
      <c r="Z1914" s="15"/>
      <c r="AA1914" s="15"/>
    </row>
    <row r="1915">
      <c r="A1915" s="5" t="s">
        <v>7930</v>
      </c>
      <c r="B1915" s="6" t="s">
        <v>7931</v>
      </c>
      <c r="C1915" s="40" t="s">
        <v>7932</v>
      </c>
      <c r="D1915" s="11"/>
      <c r="E1915" s="11" t="s">
        <v>4096</v>
      </c>
      <c r="F1915" s="90">
        <v>300.0</v>
      </c>
      <c r="G1915" s="157"/>
      <c r="H1915" s="11" t="s">
        <v>99</v>
      </c>
      <c r="I1915" s="157">
        <v>8.250031749E9</v>
      </c>
      <c r="J1915" s="11" t="s">
        <v>25</v>
      </c>
      <c r="K1915" s="12"/>
      <c r="L1915" s="13"/>
      <c r="M1915" s="11" t="s">
        <v>7933</v>
      </c>
      <c r="N1915" s="15"/>
      <c r="O1915" s="5" t="s">
        <v>34</v>
      </c>
      <c r="P1915" s="5" t="s">
        <v>5480</v>
      </c>
      <c r="Q1915" s="15"/>
      <c r="R1915" s="16" t="s">
        <v>74</v>
      </c>
      <c r="S1915" s="15"/>
      <c r="T1915" s="15"/>
      <c r="U1915" s="15"/>
      <c r="V1915" s="15"/>
      <c r="W1915" s="15"/>
      <c r="X1915" s="15"/>
      <c r="Y1915" s="15"/>
      <c r="Z1915" s="15"/>
      <c r="AA1915" s="15"/>
    </row>
    <row r="1916">
      <c r="A1916" s="5" t="s">
        <v>7930</v>
      </c>
      <c r="B1916" s="6" t="s">
        <v>7934</v>
      </c>
      <c r="C1916" s="40" t="s">
        <v>7935</v>
      </c>
      <c r="D1916" s="11"/>
      <c r="E1916" s="11" t="s">
        <v>5172</v>
      </c>
      <c r="F1916" s="90">
        <v>21000.0</v>
      </c>
      <c r="G1916" s="31" t="s">
        <v>7936</v>
      </c>
      <c r="H1916" s="11" t="s">
        <v>507</v>
      </c>
      <c r="I1916" s="157">
        <v>7.066487878E9</v>
      </c>
      <c r="J1916" s="11" t="s">
        <v>25</v>
      </c>
      <c r="K1916" s="12"/>
      <c r="L1916" s="13"/>
      <c r="M1916" s="14"/>
      <c r="N1916" s="15"/>
      <c r="O1916" s="5" t="s">
        <v>108</v>
      </c>
      <c r="P1916" s="5" t="s">
        <v>7937</v>
      </c>
      <c r="Q1916" s="15"/>
      <c r="R1916" s="16" t="s">
        <v>28</v>
      </c>
      <c r="S1916" s="15"/>
      <c r="T1916" s="15"/>
      <c r="U1916" s="15"/>
      <c r="V1916" s="15"/>
      <c r="W1916" s="15"/>
      <c r="X1916" s="15"/>
      <c r="Y1916" s="15"/>
      <c r="Z1916" s="15"/>
      <c r="AA1916" s="15"/>
    </row>
    <row r="1917">
      <c r="A1917" s="5" t="s">
        <v>7938</v>
      </c>
      <c r="B1917" s="6" t="s">
        <v>7939</v>
      </c>
      <c r="C1917" s="62" t="s">
        <v>7940</v>
      </c>
      <c r="D1917" s="11"/>
      <c r="E1917" s="11" t="s">
        <v>7941</v>
      </c>
      <c r="F1917" s="90">
        <v>3000.0</v>
      </c>
      <c r="G1917" s="31" t="s">
        <v>7942</v>
      </c>
      <c r="H1917" s="11" t="s">
        <v>44</v>
      </c>
      <c r="I1917" s="157">
        <v>9.932959038E9</v>
      </c>
      <c r="J1917" s="11" t="s">
        <v>25</v>
      </c>
      <c r="K1917" s="12"/>
      <c r="L1917" s="13"/>
      <c r="M1917" s="14"/>
      <c r="N1917" s="15"/>
      <c r="O1917" s="5" t="s">
        <v>26</v>
      </c>
      <c r="P1917" s="15"/>
      <c r="Q1917" s="15"/>
      <c r="R1917" s="16" t="s">
        <v>28</v>
      </c>
      <c r="S1917" s="15"/>
      <c r="T1917" s="15"/>
      <c r="U1917" s="15"/>
      <c r="V1917" s="15"/>
      <c r="W1917" s="15"/>
      <c r="X1917" s="15"/>
      <c r="Y1917" s="15"/>
      <c r="Z1917" s="15"/>
      <c r="AA1917" s="15"/>
    </row>
    <row r="1918">
      <c r="A1918" s="5" t="s">
        <v>7938</v>
      </c>
      <c r="B1918" s="6" t="s">
        <v>7943</v>
      </c>
      <c r="C1918" s="167" t="s">
        <v>7944</v>
      </c>
      <c r="D1918" s="11"/>
      <c r="E1918" s="11" t="s">
        <v>5368</v>
      </c>
      <c r="F1918" s="90">
        <v>4000.0</v>
      </c>
      <c r="G1918" s="157" t="s">
        <v>7945</v>
      </c>
      <c r="H1918" s="11" t="s">
        <v>7946</v>
      </c>
      <c r="I1918" s="157">
        <v>7.990212076E9</v>
      </c>
      <c r="J1918" s="11" t="s">
        <v>25</v>
      </c>
      <c r="K1918" s="12"/>
      <c r="L1918" s="13"/>
      <c r="M1918" s="11" t="s">
        <v>5357</v>
      </c>
      <c r="N1918" s="15"/>
      <c r="O1918" s="5" t="s">
        <v>34</v>
      </c>
      <c r="P1918" s="5" t="s">
        <v>6261</v>
      </c>
      <c r="Q1918" s="15"/>
      <c r="R1918" s="16"/>
      <c r="S1918" s="15"/>
      <c r="T1918" s="15"/>
      <c r="U1918" s="15"/>
      <c r="V1918" s="15"/>
      <c r="W1918" s="15"/>
      <c r="X1918" s="15"/>
      <c r="Y1918" s="15"/>
      <c r="Z1918" s="15"/>
      <c r="AA1918" s="15"/>
    </row>
    <row r="1919">
      <c r="A1919" s="5" t="s">
        <v>7947</v>
      </c>
      <c r="B1919" s="6" t="s">
        <v>7948</v>
      </c>
      <c r="C1919" s="40" t="s">
        <v>7949</v>
      </c>
      <c r="D1919" s="11"/>
      <c r="E1919" s="11" t="s">
        <v>1565</v>
      </c>
      <c r="F1919" s="90" t="s">
        <v>7950</v>
      </c>
      <c r="G1919" s="157" t="s">
        <v>7951</v>
      </c>
      <c r="H1919" s="11" t="s">
        <v>44</v>
      </c>
      <c r="I1919" s="157">
        <v>7.00358664E9</v>
      </c>
      <c r="J1919" s="11" t="s">
        <v>25</v>
      </c>
      <c r="K1919" s="12"/>
      <c r="L1919" s="13"/>
      <c r="M1919" s="11" t="s">
        <v>7952</v>
      </c>
      <c r="N1919" s="5" t="s">
        <v>7953</v>
      </c>
      <c r="O1919" s="5" t="s">
        <v>34</v>
      </c>
      <c r="P1919" s="5" t="s">
        <v>5480</v>
      </c>
      <c r="Q1919" s="15"/>
      <c r="R1919" s="16"/>
      <c r="S1919" s="15"/>
      <c r="T1919" s="15"/>
      <c r="U1919" s="15"/>
      <c r="V1919" s="15"/>
      <c r="W1919" s="15"/>
      <c r="X1919" s="15"/>
      <c r="Y1919" s="15"/>
      <c r="Z1919" s="15"/>
      <c r="AA1919" s="15"/>
    </row>
    <row r="1920">
      <c r="A1920" s="5" t="s">
        <v>7954</v>
      </c>
      <c r="B1920" s="6" t="s">
        <v>7955</v>
      </c>
      <c r="C1920" s="40" t="s">
        <v>7956</v>
      </c>
      <c r="D1920" s="11"/>
      <c r="E1920" s="11" t="s">
        <v>7957</v>
      </c>
      <c r="F1920" s="90" t="s">
        <v>7958</v>
      </c>
      <c r="G1920" s="157" t="s">
        <v>7959</v>
      </c>
      <c r="H1920" s="11" t="s">
        <v>1082</v>
      </c>
      <c r="I1920" s="157" t="s">
        <v>7960</v>
      </c>
      <c r="J1920" s="11" t="s">
        <v>25</v>
      </c>
      <c r="K1920" s="12" t="s">
        <v>7961</v>
      </c>
      <c r="L1920" s="13"/>
      <c r="M1920" s="14"/>
      <c r="N1920" s="15"/>
      <c r="O1920" s="5" t="s">
        <v>26</v>
      </c>
      <c r="P1920" s="5" t="s">
        <v>1384</v>
      </c>
      <c r="Q1920" s="15"/>
      <c r="R1920" s="16"/>
      <c r="S1920" s="15"/>
      <c r="T1920" s="15"/>
      <c r="U1920" s="15"/>
      <c r="V1920" s="15"/>
      <c r="W1920" s="15"/>
      <c r="X1920" s="15"/>
      <c r="Y1920" s="15"/>
      <c r="Z1920" s="15"/>
      <c r="AA1920" s="15"/>
    </row>
    <row r="1921">
      <c r="A1921" s="5" t="s">
        <v>7954</v>
      </c>
      <c r="B1921" s="6" t="s">
        <v>7962</v>
      </c>
      <c r="C1921" s="40" t="s">
        <v>7963</v>
      </c>
      <c r="D1921" s="11"/>
      <c r="E1921" s="11" t="s">
        <v>43</v>
      </c>
      <c r="F1921" s="9">
        <v>10000.0</v>
      </c>
      <c r="G1921" s="157" t="s">
        <v>7964</v>
      </c>
      <c r="H1921" s="11" t="s">
        <v>495</v>
      </c>
      <c r="I1921" s="157">
        <v>6.201289842E9</v>
      </c>
      <c r="J1921" s="11" t="s">
        <v>25</v>
      </c>
      <c r="K1921" s="12"/>
      <c r="L1921" s="13"/>
      <c r="M1921" s="11" t="s">
        <v>7965</v>
      </c>
      <c r="N1921" s="5" t="s">
        <v>7966</v>
      </c>
      <c r="O1921" s="5" t="s">
        <v>34</v>
      </c>
      <c r="P1921" s="5" t="s">
        <v>1384</v>
      </c>
      <c r="Q1921" s="5" t="s">
        <v>7967</v>
      </c>
      <c r="R1921" s="16" t="s">
        <v>723</v>
      </c>
      <c r="S1921" s="15"/>
      <c r="T1921" s="15"/>
      <c r="U1921" s="15"/>
      <c r="V1921" s="15"/>
      <c r="W1921" s="15"/>
      <c r="X1921" s="15"/>
      <c r="Y1921" s="15"/>
      <c r="Z1921" s="15"/>
      <c r="AA1921" s="15"/>
    </row>
    <row r="1922">
      <c r="A1922" s="5" t="s">
        <v>7968</v>
      </c>
      <c r="B1922" s="6" t="s">
        <v>7969</v>
      </c>
      <c r="C1922" s="40" t="s">
        <v>7970</v>
      </c>
      <c r="D1922" s="11"/>
      <c r="E1922" s="11" t="s">
        <v>690</v>
      </c>
      <c r="F1922" s="90">
        <v>1000.0</v>
      </c>
      <c r="G1922" s="157" t="s">
        <v>7971</v>
      </c>
      <c r="H1922" s="11" t="s">
        <v>7972</v>
      </c>
      <c r="I1922" s="157">
        <v>9.874735838E9</v>
      </c>
      <c r="J1922" s="11" t="s">
        <v>25</v>
      </c>
      <c r="K1922" s="12" t="s">
        <v>7973</v>
      </c>
      <c r="L1922" s="13"/>
      <c r="M1922" s="14"/>
      <c r="N1922" s="15"/>
      <c r="O1922" s="5" t="s">
        <v>26</v>
      </c>
      <c r="P1922" s="5" t="s">
        <v>7974</v>
      </c>
      <c r="Q1922" s="15"/>
      <c r="R1922" s="16"/>
      <c r="S1922" s="15"/>
      <c r="T1922" s="15"/>
      <c r="U1922" s="15"/>
      <c r="V1922" s="15"/>
      <c r="W1922" s="15"/>
      <c r="X1922" s="15"/>
      <c r="Y1922" s="15"/>
      <c r="Z1922" s="15"/>
      <c r="AA1922" s="15"/>
    </row>
    <row r="1923">
      <c r="A1923" s="5" t="s">
        <v>7975</v>
      </c>
      <c r="B1923" s="6" t="s">
        <v>7976</v>
      </c>
      <c r="C1923" s="62" t="s">
        <v>7977</v>
      </c>
      <c r="D1923" s="11"/>
      <c r="E1923" s="11" t="s">
        <v>227</v>
      </c>
      <c r="F1923" s="90">
        <v>16000.0</v>
      </c>
      <c r="G1923" s="157" t="s">
        <v>7978</v>
      </c>
      <c r="H1923" s="11" t="s">
        <v>1919</v>
      </c>
      <c r="I1923" s="157">
        <v>9.112692612E9</v>
      </c>
      <c r="J1923" s="11" t="s">
        <v>25</v>
      </c>
      <c r="K1923" s="12"/>
      <c r="L1923" s="13"/>
      <c r="M1923" s="11" t="s">
        <v>7979</v>
      </c>
      <c r="N1923" s="5" t="s">
        <v>7980</v>
      </c>
      <c r="O1923" s="5" t="s">
        <v>34</v>
      </c>
      <c r="P1923" s="5" t="s">
        <v>7981</v>
      </c>
      <c r="Q1923" s="15"/>
      <c r="R1923" s="16" t="s">
        <v>634</v>
      </c>
      <c r="S1923" s="15"/>
      <c r="T1923" s="15"/>
      <c r="U1923" s="15"/>
      <c r="V1923" s="15"/>
      <c r="W1923" s="15"/>
      <c r="X1923" s="15"/>
      <c r="Y1923" s="15"/>
      <c r="Z1923" s="15"/>
      <c r="AA1923" s="15"/>
    </row>
    <row r="1924">
      <c r="A1924" s="5" t="s">
        <v>7975</v>
      </c>
      <c r="B1924" s="6" t="s">
        <v>7982</v>
      </c>
      <c r="C1924" s="168" t="s">
        <v>7983</v>
      </c>
      <c r="D1924" s="105"/>
      <c r="E1924" s="105" t="s">
        <v>753</v>
      </c>
      <c r="F1924" s="9">
        <v>10000.0</v>
      </c>
      <c r="G1924" s="31" t="s">
        <v>7984</v>
      </c>
      <c r="H1924" s="36" t="s">
        <v>7985</v>
      </c>
      <c r="I1924" s="157">
        <v>9.673591818E9</v>
      </c>
      <c r="J1924" s="11" t="s">
        <v>25</v>
      </c>
      <c r="K1924" s="12"/>
      <c r="L1924" s="13"/>
      <c r="M1924" s="14"/>
      <c r="N1924" s="15"/>
      <c r="O1924" s="5" t="s">
        <v>108</v>
      </c>
      <c r="P1924" s="5" t="s">
        <v>7986</v>
      </c>
      <c r="Q1924" s="15"/>
      <c r="R1924" s="16" t="s">
        <v>28</v>
      </c>
      <c r="S1924" s="15"/>
      <c r="T1924" s="15"/>
      <c r="U1924" s="15"/>
      <c r="V1924" s="15"/>
      <c r="W1924" s="15"/>
      <c r="X1924" s="15"/>
      <c r="Y1924" s="15"/>
      <c r="Z1924" s="15"/>
      <c r="AA1924" s="15"/>
    </row>
    <row r="1925">
      <c r="A1925" s="5" t="s">
        <v>7975</v>
      </c>
      <c r="B1925" s="6" t="s">
        <v>7987</v>
      </c>
      <c r="C1925" s="40" t="s">
        <v>7988</v>
      </c>
      <c r="D1925" s="11"/>
      <c r="E1925" s="11" t="s">
        <v>1280</v>
      </c>
      <c r="F1925" s="90">
        <v>300.0</v>
      </c>
      <c r="G1925" s="31" t="s">
        <v>7989</v>
      </c>
      <c r="H1925" s="11" t="s">
        <v>44</v>
      </c>
      <c r="I1925" s="157">
        <v>8.585870852E9</v>
      </c>
      <c r="J1925" s="11" t="s">
        <v>7990</v>
      </c>
      <c r="K1925" s="12"/>
      <c r="L1925" s="13"/>
      <c r="M1925" s="14"/>
      <c r="N1925" s="15"/>
      <c r="O1925" s="5" t="s">
        <v>34</v>
      </c>
      <c r="P1925" s="15"/>
      <c r="Q1925" s="15"/>
      <c r="R1925" s="16" t="s">
        <v>28</v>
      </c>
      <c r="S1925" s="15"/>
      <c r="T1925" s="15"/>
      <c r="U1925" s="15"/>
      <c r="V1925" s="15"/>
      <c r="W1925" s="15"/>
      <c r="X1925" s="15"/>
      <c r="Y1925" s="15"/>
      <c r="Z1925" s="15"/>
      <c r="AA1925" s="15"/>
    </row>
    <row r="1926">
      <c r="A1926" s="5" t="s">
        <v>7991</v>
      </c>
      <c r="B1926" s="6" t="s">
        <v>7992</v>
      </c>
      <c r="C1926" s="40" t="s">
        <v>7993</v>
      </c>
      <c r="D1926" s="11"/>
      <c r="E1926" s="11" t="s">
        <v>156</v>
      </c>
      <c r="F1926" s="90">
        <v>5500.0</v>
      </c>
      <c r="G1926" s="157" t="s">
        <v>7994</v>
      </c>
      <c r="H1926" s="11" t="s">
        <v>7995</v>
      </c>
      <c r="I1926" s="157" t="s">
        <v>7996</v>
      </c>
      <c r="J1926" s="11" t="s">
        <v>25</v>
      </c>
      <c r="K1926" s="12" t="s">
        <v>2951</v>
      </c>
      <c r="L1926" s="13"/>
      <c r="M1926" s="14"/>
      <c r="N1926" s="15"/>
      <c r="O1926" s="5" t="s">
        <v>26</v>
      </c>
      <c r="P1926" s="5" t="s">
        <v>7997</v>
      </c>
      <c r="Q1926" s="15"/>
      <c r="R1926" s="16"/>
      <c r="S1926" s="15"/>
      <c r="T1926" s="15"/>
      <c r="U1926" s="15"/>
      <c r="V1926" s="15"/>
      <c r="W1926" s="15"/>
      <c r="X1926" s="15"/>
      <c r="Y1926" s="15"/>
      <c r="Z1926" s="15"/>
      <c r="AA1926" s="15"/>
    </row>
    <row r="1927">
      <c r="A1927" s="5" t="s">
        <v>7991</v>
      </c>
      <c r="B1927" s="6" t="s">
        <v>7998</v>
      </c>
      <c r="C1927" s="40" t="s">
        <v>7999</v>
      </c>
      <c r="D1927" s="11"/>
      <c r="E1927" s="11" t="s">
        <v>213</v>
      </c>
      <c r="F1927" s="90">
        <v>15000.0</v>
      </c>
      <c r="G1927" s="31" t="s">
        <v>8000</v>
      </c>
      <c r="H1927" s="11" t="s">
        <v>507</v>
      </c>
      <c r="I1927" s="157">
        <v>9.834391756E9</v>
      </c>
      <c r="J1927" s="11" t="s">
        <v>25</v>
      </c>
      <c r="K1927" s="12"/>
      <c r="L1927" s="13"/>
      <c r="M1927" s="14"/>
      <c r="N1927" s="15"/>
      <c r="O1927" s="5" t="s">
        <v>108</v>
      </c>
      <c r="P1927" s="15"/>
      <c r="Q1927" s="15"/>
      <c r="R1927" s="16" t="s">
        <v>28</v>
      </c>
      <c r="S1927" s="15"/>
      <c r="T1927" s="15"/>
      <c r="U1927" s="15"/>
      <c r="V1927" s="15"/>
      <c r="W1927" s="15"/>
      <c r="X1927" s="15"/>
      <c r="Y1927" s="15"/>
      <c r="Z1927" s="15"/>
      <c r="AA1927" s="15"/>
    </row>
    <row r="1928">
      <c r="A1928" s="5" t="s">
        <v>7991</v>
      </c>
      <c r="B1928" s="6" t="s">
        <v>8001</v>
      </c>
      <c r="C1928" s="168" t="s">
        <v>8002</v>
      </c>
      <c r="D1928" s="52"/>
      <c r="E1928" s="11" t="s">
        <v>130</v>
      </c>
      <c r="F1928" s="90">
        <v>2500.0</v>
      </c>
      <c r="G1928" s="31" t="s">
        <v>8003</v>
      </c>
      <c r="H1928" s="11" t="s">
        <v>906</v>
      </c>
      <c r="I1928" s="157">
        <v>8.108116345E9</v>
      </c>
      <c r="J1928" s="11" t="s">
        <v>25</v>
      </c>
      <c r="K1928" s="12"/>
      <c r="L1928" s="13"/>
      <c r="M1928" s="14"/>
      <c r="N1928" s="15"/>
      <c r="O1928" s="5" t="s">
        <v>108</v>
      </c>
      <c r="P1928" s="15"/>
      <c r="Q1928" s="15"/>
      <c r="R1928" s="16" t="s">
        <v>28</v>
      </c>
      <c r="S1928" s="15"/>
      <c r="T1928" s="15"/>
      <c r="U1928" s="15"/>
      <c r="V1928" s="15"/>
      <c r="W1928" s="15"/>
      <c r="X1928" s="15"/>
      <c r="Y1928" s="15"/>
      <c r="Z1928" s="15"/>
      <c r="AA1928" s="15"/>
    </row>
    <row r="1929">
      <c r="A1929" s="5" t="s">
        <v>8004</v>
      </c>
      <c r="B1929" s="6" t="s">
        <v>8005</v>
      </c>
      <c r="C1929" s="40" t="s">
        <v>8006</v>
      </c>
      <c r="D1929" s="36"/>
      <c r="E1929" s="36" t="s">
        <v>8007</v>
      </c>
      <c r="F1929" s="90"/>
      <c r="G1929" s="31" t="s">
        <v>8008</v>
      </c>
      <c r="H1929" s="11" t="s">
        <v>906</v>
      </c>
      <c r="I1929" s="157">
        <v>7.045723149E9</v>
      </c>
      <c r="J1929" s="11" t="s">
        <v>25</v>
      </c>
      <c r="K1929" s="12"/>
      <c r="L1929" s="13"/>
      <c r="M1929" s="14"/>
      <c r="N1929" s="15"/>
      <c r="O1929" s="5" t="s">
        <v>108</v>
      </c>
      <c r="P1929" s="5" t="s">
        <v>8009</v>
      </c>
      <c r="Q1929" s="15"/>
      <c r="R1929" s="16" t="s">
        <v>28</v>
      </c>
      <c r="S1929" s="15"/>
      <c r="T1929" s="15"/>
      <c r="U1929" s="15"/>
      <c r="V1929" s="15"/>
      <c r="W1929" s="15"/>
      <c r="X1929" s="15"/>
      <c r="Y1929" s="15"/>
      <c r="Z1929" s="15"/>
      <c r="AA1929" s="15"/>
    </row>
    <row r="1930">
      <c r="A1930" s="5" t="s">
        <v>8004</v>
      </c>
      <c r="B1930" s="6" t="s">
        <v>8010</v>
      </c>
      <c r="C1930" s="62" t="s">
        <v>8011</v>
      </c>
      <c r="D1930" s="11"/>
      <c r="E1930" s="11" t="s">
        <v>8012</v>
      </c>
      <c r="F1930" s="90">
        <v>1000.0</v>
      </c>
      <c r="G1930" s="31" t="s">
        <v>8013</v>
      </c>
      <c r="H1930" s="11" t="s">
        <v>44</v>
      </c>
      <c r="I1930" s="157">
        <v>9.831153737E9</v>
      </c>
      <c r="J1930" s="11" t="s">
        <v>25</v>
      </c>
      <c r="K1930" s="12"/>
      <c r="L1930" s="13"/>
      <c r="M1930" s="14"/>
      <c r="N1930" s="15"/>
      <c r="O1930" s="5" t="s">
        <v>34</v>
      </c>
      <c r="P1930" s="5" t="s">
        <v>8014</v>
      </c>
      <c r="Q1930" s="5" t="s">
        <v>777</v>
      </c>
      <c r="R1930" s="16" t="s">
        <v>551</v>
      </c>
      <c r="S1930" s="15"/>
      <c r="T1930" s="15"/>
      <c r="U1930" s="15"/>
      <c r="V1930" s="15"/>
      <c r="W1930" s="15"/>
      <c r="X1930" s="15"/>
      <c r="Y1930" s="15"/>
      <c r="Z1930" s="15"/>
      <c r="AA1930" s="15"/>
    </row>
    <row r="1931">
      <c r="A1931" s="5" t="s">
        <v>8015</v>
      </c>
      <c r="B1931" s="6" t="s">
        <v>8016</v>
      </c>
      <c r="C1931" s="169" t="s">
        <v>8017</v>
      </c>
      <c r="D1931" s="170"/>
      <c r="E1931" s="171" t="s">
        <v>8018</v>
      </c>
      <c r="F1931" s="90">
        <v>600.0</v>
      </c>
      <c r="G1931" s="172" t="s">
        <v>8019</v>
      </c>
      <c r="H1931" s="11" t="s">
        <v>1414</v>
      </c>
      <c r="I1931" s="173">
        <v>9.609570474E9</v>
      </c>
      <c r="J1931" s="11" t="s">
        <v>25</v>
      </c>
      <c r="K1931" s="12" t="s">
        <v>8020</v>
      </c>
      <c r="L1931" s="13"/>
      <c r="M1931" s="14"/>
      <c r="N1931" s="15"/>
      <c r="O1931" s="5" t="s">
        <v>26</v>
      </c>
      <c r="P1931" s="15"/>
      <c r="Q1931" s="15"/>
      <c r="R1931" s="16"/>
      <c r="S1931" s="15"/>
      <c r="T1931" s="15"/>
      <c r="U1931" s="15"/>
      <c r="V1931" s="15"/>
      <c r="W1931" s="15"/>
      <c r="X1931" s="15"/>
      <c r="Y1931" s="15"/>
      <c r="Z1931" s="15"/>
      <c r="AA1931" s="15"/>
    </row>
    <row r="1932">
      <c r="A1932" s="5" t="s">
        <v>8015</v>
      </c>
      <c r="B1932" s="6" t="s">
        <v>8021</v>
      </c>
      <c r="C1932" s="174" t="s">
        <v>8022</v>
      </c>
      <c r="D1932" s="52"/>
      <c r="E1932" s="11" t="s">
        <v>227</v>
      </c>
      <c r="F1932" s="90">
        <v>25000.0</v>
      </c>
      <c r="G1932" s="92" t="s">
        <v>8023</v>
      </c>
      <c r="H1932" s="175" t="s">
        <v>99</v>
      </c>
      <c r="I1932" s="176">
        <v>7.978392878E9</v>
      </c>
      <c r="J1932" s="11" t="s">
        <v>25</v>
      </c>
      <c r="K1932" s="12" t="s">
        <v>8024</v>
      </c>
      <c r="L1932" s="13"/>
      <c r="M1932" s="14"/>
      <c r="N1932" s="15"/>
      <c r="O1932" s="5" t="s">
        <v>26</v>
      </c>
      <c r="P1932" s="15"/>
      <c r="Q1932" s="15"/>
      <c r="R1932" s="16"/>
      <c r="S1932" s="15"/>
      <c r="T1932" s="15"/>
      <c r="U1932" s="15"/>
      <c r="V1932" s="15"/>
      <c r="W1932" s="15"/>
      <c r="X1932" s="15"/>
      <c r="Y1932" s="15"/>
      <c r="Z1932" s="15"/>
      <c r="AA1932" s="15"/>
    </row>
    <row r="1933">
      <c r="A1933" s="5" t="s">
        <v>8025</v>
      </c>
      <c r="B1933" s="6" t="s">
        <v>8026</v>
      </c>
      <c r="C1933" s="40" t="s">
        <v>8027</v>
      </c>
      <c r="D1933" s="11"/>
      <c r="E1933" s="11" t="s">
        <v>8028</v>
      </c>
      <c r="F1933" s="90">
        <v>6000.0</v>
      </c>
      <c r="G1933" s="157" t="s">
        <v>8029</v>
      </c>
      <c r="H1933" s="11" t="s">
        <v>8030</v>
      </c>
      <c r="I1933" s="177" t="s">
        <v>8031</v>
      </c>
      <c r="J1933" s="11" t="s">
        <v>25</v>
      </c>
      <c r="K1933" s="12" t="s">
        <v>8032</v>
      </c>
      <c r="L1933" s="13"/>
      <c r="M1933" s="14"/>
      <c r="N1933" s="15"/>
      <c r="O1933" s="5" t="s">
        <v>26</v>
      </c>
      <c r="P1933" s="15"/>
      <c r="Q1933" s="15"/>
      <c r="R1933" s="16"/>
      <c r="S1933" s="15"/>
      <c r="T1933" s="15"/>
      <c r="U1933" s="15"/>
      <c r="V1933" s="15"/>
      <c r="W1933" s="15"/>
      <c r="X1933" s="15"/>
      <c r="Y1933" s="15"/>
      <c r="Z1933" s="15"/>
      <c r="AA1933" s="15"/>
    </row>
    <row r="1934">
      <c r="A1934" s="5" t="s">
        <v>8033</v>
      </c>
      <c r="B1934" s="6" t="s">
        <v>8034</v>
      </c>
      <c r="C1934" s="40" t="s">
        <v>8035</v>
      </c>
      <c r="D1934" s="11"/>
      <c r="E1934" s="11" t="s">
        <v>7057</v>
      </c>
      <c r="F1934" s="90">
        <v>200.0</v>
      </c>
      <c r="G1934" s="157" t="s">
        <v>8036</v>
      </c>
      <c r="H1934" s="11" t="s">
        <v>8037</v>
      </c>
      <c r="I1934" s="157" t="s">
        <v>8038</v>
      </c>
      <c r="J1934" s="11" t="s">
        <v>25</v>
      </c>
      <c r="K1934" s="12" t="s">
        <v>8039</v>
      </c>
      <c r="L1934" s="13"/>
      <c r="M1934" s="14"/>
      <c r="N1934" s="5" t="s">
        <v>8040</v>
      </c>
      <c r="O1934" s="5" t="s">
        <v>26</v>
      </c>
      <c r="P1934" s="5" t="s">
        <v>269</v>
      </c>
      <c r="Q1934" s="15"/>
      <c r="R1934" s="16"/>
      <c r="S1934" s="15"/>
      <c r="T1934" s="15"/>
      <c r="U1934" s="15"/>
      <c r="V1934" s="15"/>
      <c r="W1934" s="15"/>
      <c r="X1934" s="15"/>
      <c r="Y1934" s="15"/>
      <c r="Z1934" s="15"/>
      <c r="AA1934" s="15"/>
    </row>
    <row r="1935">
      <c r="A1935" s="5" t="s">
        <v>8041</v>
      </c>
      <c r="B1935" s="6" t="s">
        <v>8042</v>
      </c>
      <c r="C1935" s="40" t="s">
        <v>8043</v>
      </c>
      <c r="D1935" s="11"/>
      <c r="E1935" s="11" t="s">
        <v>4066</v>
      </c>
      <c r="F1935" s="90">
        <v>25.0</v>
      </c>
      <c r="G1935" s="157" t="s">
        <v>8044</v>
      </c>
      <c r="H1935" s="11" t="s">
        <v>44</v>
      </c>
      <c r="I1935" s="157">
        <v>7.605098062E9</v>
      </c>
      <c r="J1935" s="11" t="s">
        <v>25</v>
      </c>
      <c r="K1935" s="12"/>
      <c r="L1935" s="13"/>
      <c r="M1935" s="11" t="s">
        <v>8045</v>
      </c>
      <c r="N1935" s="5" t="s">
        <v>8046</v>
      </c>
      <c r="O1935" s="5" t="s">
        <v>34</v>
      </c>
      <c r="P1935" s="5" t="s">
        <v>269</v>
      </c>
      <c r="Q1935" s="5" t="s">
        <v>6261</v>
      </c>
      <c r="R1935" s="16" t="s">
        <v>248</v>
      </c>
      <c r="S1935" s="15"/>
      <c r="T1935" s="15"/>
      <c r="U1935" s="15"/>
      <c r="V1935" s="15"/>
      <c r="W1935" s="15"/>
      <c r="X1935" s="15"/>
      <c r="Y1935" s="15"/>
      <c r="Z1935" s="15"/>
      <c r="AA1935" s="15"/>
    </row>
    <row r="1936">
      <c r="A1936" s="5" t="s">
        <v>8041</v>
      </c>
      <c r="B1936" s="6" t="s">
        <v>8047</v>
      </c>
      <c r="C1936" s="40" t="s">
        <v>8048</v>
      </c>
      <c r="D1936" s="11"/>
      <c r="E1936" s="11" t="s">
        <v>2570</v>
      </c>
      <c r="F1936" s="90">
        <v>1000.0</v>
      </c>
      <c r="G1936" s="97" t="s">
        <v>8049</v>
      </c>
      <c r="H1936" s="11" t="s">
        <v>906</v>
      </c>
      <c r="I1936" s="97">
        <v>7.795173413E9</v>
      </c>
      <c r="J1936" s="11" t="s">
        <v>25</v>
      </c>
      <c r="K1936" s="12"/>
      <c r="L1936" s="13"/>
      <c r="M1936" s="11" t="s">
        <v>8050</v>
      </c>
      <c r="N1936" s="15"/>
      <c r="O1936" s="5" t="s">
        <v>108</v>
      </c>
      <c r="P1936" s="15"/>
      <c r="Q1936" s="15"/>
      <c r="R1936" s="16" t="s">
        <v>28</v>
      </c>
      <c r="S1936" s="15"/>
      <c r="T1936" s="15"/>
      <c r="U1936" s="15"/>
      <c r="V1936" s="15"/>
      <c r="W1936" s="15"/>
      <c r="X1936" s="15"/>
      <c r="Y1936" s="15"/>
      <c r="Z1936" s="15"/>
      <c r="AA1936" s="15"/>
    </row>
    <row r="1937">
      <c r="A1937" s="5" t="s">
        <v>8041</v>
      </c>
      <c r="B1937" s="6" t="s">
        <v>8051</v>
      </c>
      <c r="C1937" s="36" t="s">
        <v>8052</v>
      </c>
      <c r="D1937" s="52"/>
      <c r="E1937" s="11" t="s">
        <v>4066</v>
      </c>
      <c r="F1937" s="90">
        <v>500.0</v>
      </c>
      <c r="G1937" s="97" t="s">
        <v>8053</v>
      </c>
      <c r="H1937" s="178" t="s">
        <v>8054</v>
      </c>
      <c r="I1937" s="97">
        <v>9.619995696E9</v>
      </c>
      <c r="J1937" s="11" t="s">
        <v>25</v>
      </c>
      <c r="K1937" s="12"/>
      <c r="L1937" s="13"/>
      <c r="M1937" s="11" t="s">
        <v>8055</v>
      </c>
      <c r="N1937" s="15"/>
      <c r="O1937" s="5" t="s">
        <v>108</v>
      </c>
      <c r="P1937" s="5" t="s">
        <v>8056</v>
      </c>
      <c r="Q1937" s="15"/>
      <c r="R1937" s="16" t="s">
        <v>28</v>
      </c>
      <c r="S1937" s="15"/>
      <c r="T1937" s="15"/>
      <c r="U1937" s="15"/>
      <c r="V1937" s="15"/>
      <c r="W1937" s="15"/>
      <c r="X1937" s="15"/>
      <c r="Y1937" s="15"/>
      <c r="Z1937" s="15"/>
      <c r="AA1937" s="15"/>
    </row>
    <row r="1938">
      <c r="A1938" s="5" t="s">
        <v>8057</v>
      </c>
      <c r="B1938" s="6" t="s">
        <v>8058</v>
      </c>
      <c r="C1938" s="40" t="s">
        <v>8059</v>
      </c>
      <c r="D1938" s="11"/>
      <c r="E1938" s="11" t="s">
        <v>178</v>
      </c>
      <c r="F1938" s="90">
        <v>3000.0</v>
      </c>
      <c r="G1938" s="97" t="s">
        <v>8060</v>
      </c>
      <c r="H1938" s="11" t="s">
        <v>8061</v>
      </c>
      <c r="I1938" s="97">
        <v>9.903999545E9</v>
      </c>
      <c r="J1938" s="11" t="s">
        <v>25</v>
      </c>
      <c r="K1938" s="12" t="s">
        <v>8062</v>
      </c>
      <c r="L1938" s="13"/>
      <c r="M1938" s="14"/>
      <c r="N1938" s="15"/>
      <c r="O1938" s="5" t="s">
        <v>26</v>
      </c>
      <c r="P1938" s="5" t="s">
        <v>8063</v>
      </c>
      <c r="Q1938" s="5" t="s">
        <v>6261</v>
      </c>
      <c r="R1938" s="16" t="s">
        <v>74</v>
      </c>
      <c r="S1938" s="15"/>
      <c r="T1938" s="15"/>
      <c r="U1938" s="15"/>
      <c r="V1938" s="15"/>
      <c r="W1938" s="15"/>
      <c r="X1938" s="15"/>
      <c r="Y1938" s="15"/>
      <c r="Z1938" s="15"/>
      <c r="AA1938" s="15"/>
    </row>
    <row r="1939">
      <c r="A1939" s="5" t="s">
        <v>8057</v>
      </c>
      <c r="B1939" s="6" t="s">
        <v>8064</v>
      </c>
      <c r="C1939" s="40" t="s">
        <v>8065</v>
      </c>
      <c r="D1939" s="11"/>
      <c r="E1939" s="11" t="s">
        <v>8066</v>
      </c>
      <c r="F1939" s="90" t="s">
        <v>8067</v>
      </c>
      <c r="G1939" s="97" t="s">
        <v>8068</v>
      </c>
      <c r="H1939" s="11" t="s">
        <v>8069</v>
      </c>
      <c r="I1939" s="97">
        <v>8.240887256E9</v>
      </c>
      <c r="J1939" s="11" t="s">
        <v>25</v>
      </c>
      <c r="K1939" s="12" t="s">
        <v>8070</v>
      </c>
      <c r="L1939" s="13"/>
      <c r="M1939" s="14"/>
      <c r="N1939" s="15"/>
      <c r="O1939" s="5" t="s">
        <v>26</v>
      </c>
      <c r="P1939" s="15"/>
      <c r="Q1939" s="5" t="s">
        <v>6261</v>
      </c>
      <c r="R1939" s="16" t="s">
        <v>74</v>
      </c>
      <c r="S1939" s="15"/>
      <c r="T1939" s="15"/>
      <c r="U1939" s="15"/>
      <c r="V1939" s="15"/>
      <c r="W1939" s="15"/>
      <c r="X1939" s="15"/>
      <c r="Y1939" s="15"/>
      <c r="Z1939" s="15"/>
      <c r="AA1939" s="15"/>
    </row>
    <row r="1940">
      <c r="A1940" s="5" t="s">
        <v>8057</v>
      </c>
      <c r="B1940" s="6" t="s">
        <v>8071</v>
      </c>
      <c r="C1940" s="40" t="s">
        <v>8072</v>
      </c>
      <c r="D1940" s="11"/>
      <c r="E1940" s="11" t="s">
        <v>3615</v>
      </c>
      <c r="F1940" s="90">
        <v>1000.0</v>
      </c>
      <c r="G1940" s="97" t="s">
        <v>8073</v>
      </c>
      <c r="H1940" s="11" t="s">
        <v>1691</v>
      </c>
      <c r="I1940" s="97">
        <v>8.972412706E9</v>
      </c>
      <c r="J1940" s="11" t="s">
        <v>25</v>
      </c>
      <c r="K1940" s="12" t="s">
        <v>8074</v>
      </c>
      <c r="L1940" s="13"/>
      <c r="M1940" s="14"/>
      <c r="N1940" s="15"/>
      <c r="O1940" s="5" t="s">
        <v>34</v>
      </c>
      <c r="P1940" s="15"/>
      <c r="Q1940" s="15"/>
      <c r="R1940" s="16" t="s">
        <v>28</v>
      </c>
      <c r="S1940" s="15"/>
      <c r="T1940" s="15"/>
      <c r="U1940" s="15"/>
      <c r="V1940" s="15"/>
      <c r="W1940" s="15"/>
      <c r="X1940" s="15"/>
      <c r="Y1940" s="15"/>
      <c r="Z1940" s="15"/>
      <c r="AA1940" s="15"/>
    </row>
    <row r="1941">
      <c r="A1941" s="5" t="s">
        <v>8075</v>
      </c>
      <c r="B1941" s="6" t="s">
        <v>8076</v>
      </c>
      <c r="C1941" s="40" t="s">
        <v>8077</v>
      </c>
      <c r="D1941" s="11"/>
      <c r="E1941" s="11" t="s">
        <v>2747</v>
      </c>
      <c r="F1941" s="90">
        <v>1000.0</v>
      </c>
      <c r="G1941" s="97" t="s">
        <v>8078</v>
      </c>
      <c r="H1941" s="11" t="s">
        <v>44</v>
      </c>
      <c r="I1941" s="97">
        <v>9.830031697E9</v>
      </c>
      <c r="J1941" s="11" t="s">
        <v>25</v>
      </c>
      <c r="K1941" s="12" t="s">
        <v>8079</v>
      </c>
      <c r="L1941" s="13"/>
      <c r="M1941" s="14"/>
      <c r="N1941" s="15"/>
      <c r="O1941" s="5" t="s">
        <v>26</v>
      </c>
      <c r="P1941" s="15"/>
      <c r="Q1941" s="15"/>
      <c r="R1941" s="16" t="s">
        <v>28</v>
      </c>
      <c r="S1941" s="15"/>
      <c r="T1941" s="15"/>
      <c r="U1941" s="15"/>
      <c r="V1941" s="15"/>
      <c r="W1941" s="15"/>
      <c r="X1941" s="15"/>
      <c r="Y1941" s="15"/>
      <c r="Z1941" s="15"/>
      <c r="AA1941" s="15"/>
    </row>
    <row r="1942">
      <c r="A1942" s="5" t="s">
        <v>8080</v>
      </c>
      <c r="B1942" s="6" t="s">
        <v>8081</v>
      </c>
      <c r="C1942" s="40" t="s">
        <v>8082</v>
      </c>
      <c r="D1942" s="11"/>
      <c r="E1942" s="11" t="s">
        <v>5502</v>
      </c>
      <c r="F1942" s="90">
        <v>10000.0</v>
      </c>
      <c r="G1942" s="97" t="s">
        <v>8083</v>
      </c>
      <c r="H1942" s="11" t="s">
        <v>8084</v>
      </c>
      <c r="I1942" s="97">
        <v>9.819250285E9</v>
      </c>
      <c r="J1942" s="11" t="s">
        <v>4008</v>
      </c>
      <c r="K1942" s="12"/>
      <c r="L1942" s="13"/>
      <c r="M1942" s="14"/>
      <c r="N1942" s="15"/>
      <c r="O1942" s="5" t="s">
        <v>108</v>
      </c>
      <c r="P1942" s="15"/>
      <c r="Q1942" s="15"/>
      <c r="R1942" s="16" t="s">
        <v>28</v>
      </c>
      <c r="S1942" s="15"/>
      <c r="T1942" s="15"/>
      <c r="U1942" s="15"/>
      <c r="V1942" s="15"/>
      <c r="W1942" s="15"/>
      <c r="X1942" s="15"/>
      <c r="Y1942" s="15"/>
      <c r="Z1942" s="15"/>
      <c r="AA1942" s="15"/>
    </row>
    <row r="1943">
      <c r="A1943" s="5" t="s">
        <v>8085</v>
      </c>
      <c r="B1943" s="6" t="s">
        <v>8086</v>
      </c>
      <c r="C1943" s="62" t="s">
        <v>8087</v>
      </c>
      <c r="D1943" s="11"/>
      <c r="E1943" s="11" t="s">
        <v>8088</v>
      </c>
      <c r="F1943" s="90">
        <v>200.0</v>
      </c>
      <c r="G1943" s="97" t="s">
        <v>8089</v>
      </c>
      <c r="H1943" s="11" t="s">
        <v>44</v>
      </c>
      <c r="I1943" s="97">
        <v>9.088849955E9</v>
      </c>
      <c r="J1943" s="11" t="s">
        <v>25</v>
      </c>
      <c r="K1943" s="12"/>
      <c r="L1943" s="12" t="s">
        <v>8090</v>
      </c>
      <c r="M1943" s="14"/>
      <c r="N1943" s="15"/>
      <c r="O1943" s="5" t="s">
        <v>34</v>
      </c>
      <c r="P1943" s="5" t="s">
        <v>8091</v>
      </c>
      <c r="Q1943" s="11" t="s">
        <v>8092</v>
      </c>
      <c r="R1943" s="16" t="s">
        <v>723</v>
      </c>
      <c r="S1943" s="15"/>
      <c r="T1943" s="15"/>
      <c r="U1943" s="15"/>
      <c r="V1943" s="15"/>
      <c r="W1943" s="15"/>
      <c r="X1943" s="15"/>
      <c r="Y1943" s="15"/>
      <c r="Z1943" s="15"/>
      <c r="AA1943" s="15"/>
    </row>
    <row r="1944">
      <c r="A1944" s="5" t="s">
        <v>8093</v>
      </c>
      <c r="B1944" s="6" t="s">
        <v>8094</v>
      </c>
      <c r="C1944" s="40" t="s">
        <v>8095</v>
      </c>
      <c r="D1944" s="11"/>
      <c r="E1944" s="11" t="s">
        <v>8096</v>
      </c>
      <c r="F1944" s="90" t="s">
        <v>4901</v>
      </c>
      <c r="G1944" s="97" t="s">
        <v>8097</v>
      </c>
      <c r="H1944" s="11" t="s">
        <v>44</v>
      </c>
      <c r="I1944" s="97">
        <v>8.637537378E9</v>
      </c>
      <c r="J1944" s="11" t="s">
        <v>25</v>
      </c>
      <c r="K1944" s="12"/>
      <c r="L1944" s="12" t="s">
        <v>8098</v>
      </c>
      <c r="M1944" s="14"/>
      <c r="N1944" s="5" t="s">
        <v>8099</v>
      </c>
      <c r="O1944" s="5" t="s">
        <v>34</v>
      </c>
      <c r="P1944" s="5" t="s">
        <v>727</v>
      </c>
      <c r="Q1944" s="15"/>
      <c r="R1944" s="16" t="s">
        <v>28</v>
      </c>
      <c r="S1944" s="15"/>
      <c r="T1944" s="15"/>
      <c r="U1944" s="15"/>
      <c r="V1944" s="15"/>
      <c r="W1944" s="15"/>
      <c r="X1944" s="15"/>
      <c r="Y1944" s="15"/>
      <c r="Z1944" s="15"/>
      <c r="AA1944" s="15"/>
    </row>
    <row r="1945">
      <c r="A1945" s="5" t="s">
        <v>8093</v>
      </c>
      <c r="B1945" s="6" t="s">
        <v>8100</v>
      </c>
      <c r="C1945" s="40" t="s">
        <v>8101</v>
      </c>
      <c r="D1945" s="11"/>
      <c r="E1945" s="11" t="s">
        <v>8102</v>
      </c>
      <c r="F1945" s="90">
        <v>8000.0</v>
      </c>
      <c r="G1945" s="97" t="s">
        <v>8103</v>
      </c>
      <c r="H1945" s="11" t="s">
        <v>131</v>
      </c>
      <c r="I1945" s="97" t="s">
        <v>8104</v>
      </c>
      <c r="J1945" s="11" t="s">
        <v>25</v>
      </c>
      <c r="K1945" s="12" t="s">
        <v>2951</v>
      </c>
      <c r="L1945" s="13"/>
      <c r="M1945" s="14"/>
      <c r="N1945" s="15"/>
      <c r="O1945" s="5" t="s">
        <v>26</v>
      </c>
      <c r="P1945" s="15"/>
      <c r="Q1945" s="15"/>
      <c r="R1945" s="16" t="s">
        <v>28</v>
      </c>
      <c r="S1945" s="15"/>
      <c r="T1945" s="15"/>
      <c r="U1945" s="15"/>
      <c r="V1945" s="15"/>
      <c r="W1945" s="15"/>
      <c r="X1945" s="15"/>
      <c r="Y1945" s="15"/>
      <c r="Z1945" s="15"/>
      <c r="AA1945" s="15"/>
    </row>
    <row r="1946">
      <c r="A1946" s="5" t="s">
        <v>8105</v>
      </c>
      <c r="B1946" s="6" t="s">
        <v>8106</v>
      </c>
      <c r="C1946" s="40" t="s">
        <v>8107</v>
      </c>
      <c r="D1946" s="11"/>
      <c r="E1946" s="11" t="s">
        <v>8108</v>
      </c>
      <c r="F1946" s="9" t="s">
        <v>8109</v>
      </c>
      <c r="G1946" s="97" t="s">
        <v>8110</v>
      </c>
      <c r="H1946" s="11" t="s">
        <v>495</v>
      </c>
      <c r="I1946" s="97" t="s">
        <v>8111</v>
      </c>
      <c r="J1946" s="11" t="s">
        <v>25</v>
      </c>
      <c r="K1946" s="12" t="s">
        <v>8112</v>
      </c>
      <c r="L1946" s="13"/>
      <c r="M1946" s="14"/>
      <c r="N1946" s="15"/>
      <c r="O1946" s="5" t="s">
        <v>26</v>
      </c>
      <c r="P1946" s="15"/>
      <c r="Q1946" s="15"/>
      <c r="R1946" s="16" t="s">
        <v>28</v>
      </c>
      <c r="S1946" s="15"/>
      <c r="T1946" s="15"/>
      <c r="U1946" s="15"/>
      <c r="V1946" s="15"/>
      <c r="W1946" s="15"/>
      <c r="X1946" s="15"/>
      <c r="Y1946" s="15"/>
      <c r="Z1946" s="15"/>
      <c r="AA1946" s="15"/>
    </row>
    <row r="1947">
      <c r="A1947" s="5" t="s">
        <v>7954</v>
      </c>
      <c r="B1947" s="6" t="s">
        <v>8113</v>
      </c>
      <c r="C1947" s="40" t="s">
        <v>8114</v>
      </c>
      <c r="D1947" s="11"/>
      <c r="E1947" s="11" t="s">
        <v>8115</v>
      </c>
      <c r="F1947" s="90">
        <v>1000.0</v>
      </c>
      <c r="G1947" s="97" t="s">
        <v>8116</v>
      </c>
      <c r="H1947" s="11" t="s">
        <v>44</v>
      </c>
      <c r="I1947" s="97">
        <v>9.051140334E9</v>
      </c>
      <c r="J1947" s="11" t="s">
        <v>25</v>
      </c>
      <c r="K1947" s="12" t="s">
        <v>8117</v>
      </c>
      <c r="L1947" s="13"/>
      <c r="M1947" s="14"/>
      <c r="N1947" s="15"/>
      <c r="O1947" s="5" t="s">
        <v>26</v>
      </c>
      <c r="P1947" s="15"/>
      <c r="Q1947" s="15"/>
      <c r="R1947" s="16" t="s">
        <v>28</v>
      </c>
      <c r="S1947" s="15"/>
      <c r="T1947" s="15"/>
      <c r="U1947" s="15"/>
      <c r="V1947" s="15"/>
      <c r="W1947" s="15"/>
      <c r="X1947" s="15"/>
      <c r="Y1947" s="15"/>
      <c r="Z1947" s="15"/>
      <c r="AA1947" s="15"/>
    </row>
    <row r="1948">
      <c r="A1948" s="5" t="s">
        <v>7954</v>
      </c>
      <c r="B1948" s="6" t="s">
        <v>8118</v>
      </c>
      <c r="C1948" s="40" t="s">
        <v>8119</v>
      </c>
      <c r="D1948" s="11"/>
      <c r="E1948" s="11" t="s">
        <v>1579</v>
      </c>
      <c r="F1948" s="90">
        <v>20000.0</v>
      </c>
      <c r="G1948" s="97" t="s">
        <v>8120</v>
      </c>
      <c r="H1948" s="11" t="s">
        <v>906</v>
      </c>
      <c r="I1948" s="97">
        <v>9.76961101E9</v>
      </c>
      <c r="J1948" s="11" t="s">
        <v>4008</v>
      </c>
      <c r="K1948" s="12"/>
      <c r="L1948" s="13"/>
      <c r="M1948" s="11"/>
      <c r="N1948" s="5" t="s">
        <v>8121</v>
      </c>
      <c r="O1948" s="5" t="s">
        <v>108</v>
      </c>
      <c r="P1948" s="15"/>
      <c r="Q1948" s="15"/>
      <c r="R1948" s="16" t="s">
        <v>28</v>
      </c>
      <c r="S1948" s="15"/>
      <c r="T1948" s="15"/>
      <c r="U1948" s="15"/>
      <c r="V1948" s="15"/>
      <c r="W1948" s="15"/>
      <c r="X1948" s="15"/>
      <c r="Y1948" s="15"/>
      <c r="Z1948" s="15"/>
      <c r="AA1948" s="15"/>
    </row>
    <row r="1949">
      <c r="A1949" s="5" t="s">
        <v>7954</v>
      </c>
      <c r="B1949" s="6" t="s">
        <v>8122</v>
      </c>
      <c r="C1949" s="40" t="s">
        <v>8123</v>
      </c>
      <c r="D1949" s="11"/>
      <c r="E1949" s="11" t="s">
        <v>5502</v>
      </c>
      <c r="F1949" s="90">
        <v>20000.0</v>
      </c>
      <c r="G1949" s="97" t="s">
        <v>8124</v>
      </c>
      <c r="H1949" s="11" t="s">
        <v>8125</v>
      </c>
      <c r="I1949" s="97">
        <v>9.42170468E9</v>
      </c>
      <c r="J1949" s="11" t="s">
        <v>25</v>
      </c>
      <c r="K1949" s="12"/>
      <c r="L1949" s="13"/>
      <c r="M1949" s="14"/>
      <c r="N1949" s="15"/>
      <c r="O1949" s="5" t="s">
        <v>108</v>
      </c>
      <c r="P1949" s="15"/>
      <c r="Q1949" s="15"/>
      <c r="R1949" s="16" t="s">
        <v>28</v>
      </c>
      <c r="S1949" s="15"/>
      <c r="T1949" s="15"/>
      <c r="U1949" s="15"/>
      <c r="V1949" s="15"/>
      <c r="W1949" s="15"/>
      <c r="X1949" s="15"/>
      <c r="Y1949" s="15"/>
      <c r="Z1949" s="15"/>
      <c r="AA1949" s="15"/>
    </row>
    <row r="1950">
      <c r="A1950" s="5" t="s">
        <v>8126</v>
      </c>
      <c r="B1950" s="6" t="s">
        <v>8127</v>
      </c>
      <c r="C1950" s="40" t="s">
        <v>8128</v>
      </c>
      <c r="D1950" s="11"/>
      <c r="E1950" s="11" t="s">
        <v>8129</v>
      </c>
      <c r="F1950" s="90">
        <v>10000.0</v>
      </c>
      <c r="G1950" s="97" t="s">
        <v>8130</v>
      </c>
      <c r="H1950" s="11" t="s">
        <v>49</v>
      </c>
      <c r="I1950" s="97" t="s">
        <v>8131</v>
      </c>
      <c r="J1950" s="11" t="s">
        <v>4008</v>
      </c>
      <c r="K1950" s="12" t="s">
        <v>2355</v>
      </c>
      <c r="L1950" s="13"/>
      <c r="M1950" s="14"/>
      <c r="N1950" s="15"/>
      <c r="O1950" s="5" t="s">
        <v>26</v>
      </c>
      <c r="P1950" s="5" t="s">
        <v>8132</v>
      </c>
      <c r="Q1950" s="15"/>
      <c r="R1950" s="16" t="s">
        <v>634</v>
      </c>
      <c r="S1950" s="15"/>
      <c r="T1950" s="15"/>
      <c r="U1950" s="15"/>
      <c r="V1950" s="15"/>
      <c r="W1950" s="15"/>
      <c r="X1950" s="15"/>
      <c r="Y1950" s="15"/>
      <c r="Z1950" s="15"/>
      <c r="AA1950" s="15"/>
    </row>
    <row r="1951">
      <c r="A1951" s="5" t="s">
        <v>8133</v>
      </c>
      <c r="B1951" s="6" t="s">
        <v>8134</v>
      </c>
      <c r="C1951" s="40" t="s">
        <v>8135</v>
      </c>
      <c r="D1951" s="11"/>
      <c r="E1951" s="11" t="s">
        <v>5502</v>
      </c>
      <c r="F1951" s="90">
        <v>20000.0</v>
      </c>
      <c r="G1951" s="97" t="s">
        <v>8136</v>
      </c>
      <c r="H1951" s="11" t="s">
        <v>617</v>
      </c>
      <c r="I1951" s="97">
        <v>8.459273029E9</v>
      </c>
      <c r="J1951" s="11" t="s">
        <v>4008</v>
      </c>
      <c r="K1951" s="12"/>
      <c r="L1951" s="13"/>
      <c r="M1951" s="14"/>
      <c r="N1951" s="15"/>
      <c r="O1951" s="5" t="s">
        <v>108</v>
      </c>
      <c r="P1951" s="15"/>
      <c r="Q1951" s="15"/>
      <c r="R1951" s="16" t="s">
        <v>28</v>
      </c>
      <c r="S1951" s="15"/>
      <c r="T1951" s="15"/>
      <c r="U1951" s="15"/>
      <c r="V1951" s="15"/>
      <c r="W1951" s="15"/>
      <c r="X1951" s="15"/>
      <c r="Y1951" s="15"/>
      <c r="Z1951" s="15"/>
      <c r="AA1951" s="15"/>
    </row>
    <row r="1952">
      <c r="A1952" s="5" t="s">
        <v>8133</v>
      </c>
      <c r="B1952" s="6" t="s">
        <v>8137</v>
      </c>
      <c r="C1952" s="40" t="s">
        <v>8138</v>
      </c>
      <c r="D1952" s="11"/>
      <c r="E1952" s="11" t="s">
        <v>3391</v>
      </c>
      <c r="F1952" s="90">
        <v>10000.0</v>
      </c>
      <c r="G1952" s="97" t="s">
        <v>8139</v>
      </c>
      <c r="H1952" s="11" t="s">
        <v>44</v>
      </c>
      <c r="I1952" s="97" t="s">
        <v>8140</v>
      </c>
      <c r="J1952" s="11" t="s">
        <v>4008</v>
      </c>
      <c r="K1952" s="12" t="s">
        <v>8074</v>
      </c>
      <c r="L1952" s="13"/>
      <c r="M1952" s="14"/>
      <c r="N1952" s="15"/>
      <c r="O1952" s="5" t="s">
        <v>26</v>
      </c>
      <c r="P1952" s="15"/>
      <c r="Q1952" s="15"/>
      <c r="R1952" s="16" t="s">
        <v>28</v>
      </c>
      <c r="S1952" s="15"/>
      <c r="T1952" s="15"/>
      <c r="U1952" s="15"/>
      <c r="V1952" s="15"/>
      <c r="W1952" s="15"/>
      <c r="X1952" s="15"/>
      <c r="Y1952" s="15"/>
      <c r="Z1952" s="15"/>
      <c r="AA1952" s="15"/>
    </row>
    <row r="1953" ht="33.75" customHeight="1">
      <c r="A1953" s="5" t="s">
        <v>8141</v>
      </c>
      <c r="B1953" s="6" t="s">
        <v>8142</v>
      </c>
      <c r="C1953" s="36" t="s">
        <v>8143</v>
      </c>
      <c r="D1953" s="52"/>
      <c r="E1953" s="11" t="s">
        <v>4066</v>
      </c>
      <c r="F1953" s="90">
        <v>1000.0</v>
      </c>
      <c r="G1953" s="97" t="s">
        <v>8144</v>
      </c>
      <c r="H1953" s="11" t="s">
        <v>8145</v>
      </c>
      <c r="I1953" s="97">
        <v>9.997747365E9</v>
      </c>
      <c r="J1953" s="11" t="s">
        <v>25</v>
      </c>
      <c r="K1953" s="12" t="s">
        <v>8146</v>
      </c>
      <c r="L1953" s="13"/>
      <c r="M1953" s="14"/>
      <c r="N1953" s="5" t="s">
        <v>8147</v>
      </c>
      <c r="O1953" s="5" t="s">
        <v>34</v>
      </c>
      <c r="P1953" s="5" t="s">
        <v>727</v>
      </c>
      <c r="Q1953" s="5" t="s">
        <v>2144</v>
      </c>
      <c r="R1953" s="16" t="s">
        <v>723</v>
      </c>
      <c r="S1953" s="15"/>
      <c r="T1953" s="15"/>
      <c r="U1953" s="15"/>
      <c r="V1953" s="15"/>
      <c r="W1953" s="15"/>
      <c r="X1953" s="15"/>
      <c r="Y1953" s="15"/>
      <c r="Z1953" s="15"/>
      <c r="AA1953" s="15"/>
    </row>
    <row r="1954">
      <c r="A1954" s="5" t="s">
        <v>8148</v>
      </c>
      <c r="B1954" s="6" t="s">
        <v>8149</v>
      </c>
      <c r="C1954" s="62" t="s">
        <v>8150</v>
      </c>
      <c r="D1954" s="11"/>
      <c r="E1954" s="11" t="s">
        <v>8151</v>
      </c>
      <c r="F1954" s="90" t="s">
        <v>8152</v>
      </c>
      <c r="G1954" s="97" t="s">
        <v>8153</v>
      </c>
      <c r="H1954" s="11" t="s">
        <v>8154</v>
      </c>
      <c r="I1954" s="97" t="s">
        <v>8155</v>
      </c>
      <c r="J1954" s="11" t="s">
        <v>25</v>
      </c>
      <c r="K1954" s="12"/>
      <c r="L1954" s="13"/>
      <c r="M1954" s="11" t="s">
        <v>8156</v>
      </c>
      <c r="N1954" s="5" t="s">
        <v>8157</v>
      </c>
      <c r="O1954" s="5" t="s">
        <v>34</v>
      </c>
      <c r="P1954" s="5" t="s">
        <v>777</v>
      </c>
      <c r="Q1954" s="15"/>
      <c r="R1954" s="16" t="s">
        <v>551</v>
      </c>
      <c r="S1954" s="15"/>
      <c r="T1954" s="15"/>
      <c r="U1954" s="15"/>
      <c r="V1954" s="15"/>
      <c r="W1954" s="15"/>
      <c r="X1954" s="15"/>
      <c r="Y1954" s="15"/>
      <c r="Z1954" s="15"/>
      <c r="AA1954" s="15"/>
    </row>
    <row r="1955">
      <c r="A1955" s="5" t="s">
        <v>8148</v>
      </c>
      <c r="B1955" s="6" t="s">
        <v>8158</v>
      </c>
      <c r="C1955" s="62" t="s">
        <v>8159</v>
      </c>
      <c r="D1955" s="11"/>
      <c r="E1955" s="11" t="s">
        <v>38</v>
      </c>
      <c r="F1955" s="90">
        <v>2000.0</v>
      </c>
      <c r="G1955" s="97" t="s">
        <v>8160</v>
      </c>
      <c r="H1955" s="11" t="s">
        <v>1691</v>
      </c>
      <c r="I1955" s="97">
        <v>9.476232305E9</v>
      </c>
      <c r="J1955" s="11" t="s">
        <v>25</v>
      </c>
      <c r="K1955" s="12"/>
      <c r="L1955" s="12" t="s">
        <v>8161</v>
      </c>
      <c r="M1955" s="11" t="s">
        <v>8162</v>
      </c>
      <c r="N1955" s="5" t="s">
        <v>8163</v>
      </c>
      <c r="O1955" s="5" t="s">
        <v>34</v>
      </c>
      <c r="P1955" s="5" t="s">
        <v>1751</v>
      </c>
      <c r="Q1955" s="15"/>
      <c r="R1955" s="16" t="s">
        <v>28</v>
      </c>
      <c r="S1955" s="15"/>
      <c r="T1955" s="15"/>
      <c r="U1955" s="15"/>
      <c r="V1955" s="15"/>
      <c r="W1955" s="15"/>
      <c r="X1955" s="15"/>
      <c r="Y1955" s="15"/>
      <c r="Z1955" s="15"/>
      <c r="AA1955" s="15"/>
    </row>
    <row r="1956">
      <c r="A1956" s="5" t="s">
        <v>8164</v>
      </c>
      <c r="B1956" s="6" t="s">
        <v>8165</v>
      </c>
      <c r="C1956" s="40" t="s">
        <v>8166</v>
      </c>
      <c r="D1956" s="11"/>
      <c r="E1956" s="11" t="s">
        <v>6889</v>
      </c>
      <c r="F1956" s="90">
        <v>2500.0</v>
      </c>
      <c r="G1956" s="97" t="s">
        <v>8167</v>
      </c>
      <c r="H1956" s="11" t="s">
        <v>1337</v>
      </c>
      <c r="I1956" s="97">
        <v>9.707208019E9</v>
      </c>
      <c r="J1956" s="11" t="s">
        <v>25</v>
      </c>
      <c r="K1956" s="12"/>
      <c r="L1956" s="13"/>
      <c r="M1956" s="14"/>
      <c r="N1956" s="15"/>
      <c r="O1956" s="5" t="s">
        <v>34</v>
      </c>
      <c r="P1956" s="15"/>
      <c r="Q1956" s="15"/>
      <c r="R1956" s="16" t="s">
        <v>28</v>
      </c>
      <c r="S1956" s="15"/>
      <c r="T1956" s="15"/>
      <c r="U1956" s="15"/>
      <c r="V1956" s="15"/>
      <c r="W1956" s="15"/>
      <c r="X1956" s="15"/>
      <c r="Y1956" s="15"/>
      <c r="Z1956" s="15"/>
      <c r="AA1956" s="15"/>
    </row>
    <row r="1957">
      <c r="A1957" s="5" t="s">
        <v>8164</v>
      </c>
      <c r="B1957" s="6" t="s">
        <v>8168</v>
      </c>
      <c r="C1957" s="40" t="s">
        <v>8169</v>
      </c>
      <c r="D1957" s="11"/>
      <c r="E1957" s="11" t="s">
        <v>262</v>
      </c>
      <c r="F1957" s="90">
        <v>20000.0</v>
      </c>
      <c r="G1957" s="97" t="s">
        <v>8170</v>
      </c>
      <c r="H1957" s="11" t="s">
        <v>8171</v>
      </c>
      <c r="I1957" s="97">
        <v>9.434126609E9</v>
      </c>
      <c r="J1957" s="11" t="s">
        <v>4008</v>
      </c>
      <c r="K1957" s="12"/>
      <c r="L1957" s="13"/>
      <c r="M1957" s="14"/>
      <c r="N1957" s="15"/>
      <c r="O1957" s="5" t="s">
        <v>34</v>
      </c>
      <c r="P1957" s="5" t="s">
        <v>921</v>
      </c>
      <c r="Q1957" s="15"/>
      <c r="R1957" s="16" t="s">
        <v>28</v>
      </c>
      <c r="S1957" s="15"/>
      <c r="T1957" s="15"/>
      <c r="U1957" s="15"/>
      <c r="V1957" s="15"/>
      <c r="W1957" s="15"/>
      <c r="X1957" s="15"/>
      <c r="Y1957" s="15"/>
      <c r="Z1957" s="15"/>
      <c r="AA1957" s="15"/>
    </row>
    <row r="1958">
      <c r="A1958" s="5" t="s">
        <v>8164</v>
      </c>
      <c r="B1958" s="6" t="s">
        <v>8172</v>
      </c>
      <c r="C1958" s="40" t="s">
        <v>8173</v>
      </c>
      <c r="D1958" s="11"/>
      <c r="E1958" s="11" t="s">
        <v>8174</v>
      </c>
      <c r="F1958" s="90">
        <v>2000.0</v>
      </c>
      <c r="G1958" s="97" t="s">
        <v>8175</v>
      </c>
      <c r="H1958" s="11" t="s">
        <v>4079</v>
      </c>
      <c r="I1958" s="97">
        <v>9.831351775E9</v>
      </c>
      <c r="J1958" s="11" t="s">
        <v>25</v>
      </c>
      <c r="K1958" s="12" t="s">
        <v>8176</v>
      </c>
      <c r="L1958" s="13"/>
      <c r="M1958" s="14"/>
      <c r="N1958" s="15"/>
      <c r="O1958" s="5" t="s">
        <v>26</v>
      </c>
      <c r="P1958" s="5" t="s">
        <v>453</v>
      </c>
      <c r="Q1958" s="15"/>
      <c r="R1958" s="16" t="s">
        <v>28</v>
      </c>
      <c r="S1958" s="15"/>
      <c r="T1958" s="15"/>
      <c r="U1958" s="15"/>
      <c r="V1958" s="15"/>
      <c r="W1958" s="15"/>
      <c r="X1958" s="15"/>
      <c r="Y1958" s="15"/>
      <c r="Z1958" s="15"/>
      <c r="AA1958" s="15"/>
    </row>
    <row r="1959">
      <c r="A1959" s="5" t="s">
        <v>8164</v>
      </c>
      <c r="B1959" s="6" t="s">
        <v>8177</v>
      </c>
      <c r="C1959" s="36" t="s">
        <v>8178</v>
      </c>
      <c r="D1959" s="52"/>
      <c r="E1959" s="11" t="s">
        <v>5502</v>
      </c>
      <c r="F1959" s="90">
        <v>10000.0</v>
      </c>
      <c r="G1959" s="97" t="s">
        <v>8179</v>
      </c>
      <c r="H1959" s="11" t="s">
        <v>3861</v>
      </c>
      <c r="I1959" s="97">
        <v>9.881360447E9</v>
      </c>
      <c r="J1959" s="11" t="s">
        <v>25</v>
      </c>
      <c r="K1959" s="12"/>
      <c r="L1959" s="13"/>
      <c r="M1959" s="14"/>
      <c r="N1959" s="15"/>
      <c r="O1959" s="5" t="s">
        <v>108</v>
      </c>
      <c r="P1959" s="15"/>
      <c r="Q1959" s="15"/>
      <c r="R1959" s="16" t="s">
        <v>28</v>
      </c>
      <c r="S1959" s="15"/>
      <c r="T1959" s="15"/>
      <c r="U1959" s="15"/>
      <c r="V1959" s="15"/>
      <c r="W1959" s="15"/>
      <c r="X1959" s="15"/>
      <c r="Y1959" s="15"/>
      <c r="Z1959" s="15"/>
      <c r="AA1959" s="15"/>
    </row>
    <row r="1960">
      <c r="A1960" s="5" t="s">
        <v>8180</v>
      </c>
      <c r="B1960" s="6" t="s">
        <v>8181</v>
      </c>
      <c r="C1960" s="40" t="s">
        <v>8182</v>
      </c>
      <c r="D1960" s="11"/>
      <c r="E1960" s="11" t="s">
        <v>8183</v>
      </c>
      <c r="F1960" s="90" t="s">
        <v>8184</v>
      </c>
      <c r="G1960" s="123" t="s">
        <v>8185</v>
      </c>
      <c r="H1960" s="11" t="s">
        <v>218</v>
      </c>
      <c r="I1960" s="97">
        <v>8.420587384E9</v>
      </c>
      <c r="J1960" s="11" t="s">
        <v>25</v>
      </c>
      <c r="K1960" s="12" t="s">
        <v>8186</v>
      </c>
      <c r="L1960" s="13"/>
      <c r="M1960" s="14"/>
      <c r="N1960" s="15"/>
      <c r="O1960" s="5" t="s">
        <v>26</v>
      </c>
      <c r="P1960" s="15"/>
      <c r="Q1960" s="15"/>
      <c r="R1960" s="16" t="s">
        <v>28</v>
      </c>
      <c r="S1960" s="15"/>
      <c r="T1960" s="15"/>
      <c r="U1960" s="15"/>
      <c r="V1960" s="15"/>
      <c r="W1960" s="15"/>
      <c r="X1960" s="15"/>
      <c r="Y1960" s="15"/>
      <c r="Z1960" s="15"/>
      <c r="AA1960" s="15"/>
    </row>
    <row r="1961">
      <c r="A1961" s="5" t="s">
        <v>8180</v>
      </c>
      <c r="B1961" s="6" t="s">
        <v>8187</v>
      </c>
      <c r="C1961" s="62" t="s">
        <v>8188</v>
      </c>
      <c r="D1961" s="11"/>
      <c r="E1961" s="11" t="s">
        <v>8189</v>
      </c>
      <c r="F1961" s="90">
        <v>5000.0</v>
      </c>
      <c r="G1961" s="123" t="s">
        <v>8190</v>
      </c>
      <c r="H1961" s="11"/>
      <c r="I1961" s="97">
        <v>9.08810416E9</v>
      </c>
      <c r="J1961" s="11" t="s">
        <v>25</v>
      </c>
      <c r="K1961" s="12" t="s">
        <v>2164</v>
      </c>
      <c r="L1961" s="13"/>
      <c r="M1961" s="14"/>
      <c r="N1961" s="15"/>
      <c r="O1961" s="5" t="s">
        <v>26</v>
      </c>
      <c r="P1961" s="15"/>
      <c r="Q1961" s="15"/>
      <c r="R1961" s="16" t="s">
        <v>28</v>
      </c>
      <c r="S1961" s="15"/>
      <c r="T1961" s="15"/>
      <c r="U1961" s="15"/>
      <c r="V1961" s="15"/>
      <c r="W1961" s="15"/>
      <c r="X1961" s="15"/>
      <c r="Y1961" s="15"/>
      <c r="Z1961" s="15"/>
      <c r="AA1961" s="15"/>
    </row>
    <row r="1962">
      <c r="A1962" s="5" t="s">
        <v>8180</v>
      </c>
      <c r="B1962" s="6" t="s">
        <v>8191</v>
      </c>
      <c r="C1962" s="62" t="s">
        <v>8178</v>
      </c>
      <c r="D1962" s="11"/>
      <c r="E1962" s="11" t="s">
        <v>5502</v>
      </c>
      <c r="F1962" s="90" t="s">
        <v>8192</v>
      </c>
      <c r="G1962" s="120" t="s">
        <v>8193</v>
      </c>
      <c r="H1962" s="11" t="s">
        <v>507</v>
      </c>
      <c r="I1962" s="97">
        <v>9.881360447E9</v>
      </c>
      <c r="J1962" s="11" t="s">
        <v>25</v>
      </c>
      <c r="K1962" s="12"/>
      <c r="L1962" s="13"/>
      <c r="M1962" s="14"/>
      <c r="N1962" s="15"/>
      <c r="O1962" s="5" t="s">
        <v>108</v>
      </c>
      <c r="P1962" s="15"/>
      <c r="Q1962" s="15"/>
      <c r="R1962" s="16" t="s">
        <v>28</v>
      </c>
      <c r="S1962" s="15"/>
      <c r="T1962" s="15"/>
      <c r="U1962" s="15"/>
      <c r="V1962" s="15"/>
      <c r="W1962" s="15"/>
      <c r="X1962" s="15"/>
      <c r="Y1962" s="15"/>
      <c r="Z1962" s="15"/>
      <c r="AA1962" s="15"/>
    </row>
    <row r="1963">
      <c r="A1963" s="5" t="s">
        <v>8180</v>
      </c>
      <c r="B1963" s="6" t="s">
        <v>8194</v>
      </c>
      <c r="C1963" s="62" t="s">
        <v>8195</v>
      </c>
      <c r="D1963" s="11"/>
      <c r="E1963" s="11" t="s">
        <v>6836</v>
      </c>
      <c r="F1963" s="90">
        <v>5000.0</v>
      </c>
      <c r="G1963" s="126" t="s">
        <v>8196</v>
      </c>
      <c r="H1963" s="11" t="s">
        <v>44</v>
      </c>
      <c r="I1963" s="97">
        <v>9.007285867E9</v>
      </c>
      <c r="J1963" s="11" t="s">
        <v>25</v>
      </c>
      <c r="K1963" s="12"/>
      <c r="L1963" s="13"/>
      <c r="M1963" s="14"/>
      <c r="N1963" s="15"/>
      <c r="O1963" s="5" t="s">
        <v>26</v>
      </c>
      <c r="P1963" s="15"/>
      <c r="Q1963" s="15"/>
      <c r="R1963" s="16" t="s">
        <v>28</v>
      </c>
      <c r="S1963" s="15"/>
      <c r="T1963" s="15"/>
      <c r="U1963" s="15"/>
      <c r="V1963" s="15"/>
      <c r="W1963" s="15"/>
      <c r="X1963" s="15"/>
      <c r="Y1963" s="15"/>
      <c r="Z1963" s="15"/>
      <c r="AA1963" s="15"/>
    </row>
    <row r="1964">
      <c r="A1964" s="5" t="s">
        <v>8180</v>
      </c>
      <c r="B1964" s="6" t="s">
        <v>8197</v>
      </c>
      <c r="C1964" s="40" t="s">
        <v>8198</v>
      </c>
      <c r="D1964" s="11"/>
      <c r="E1964" s="11" t="s">
        <v>207</v>
      </c>
      <c r="F1964" s="90">
        <v>1000.0</v>
      </c>
      <c r="G1964" s="123" t="s">
        <v>8199</v>
      </c>
      <c r="H1964" s="11" t="s">
        <v>906</v>
      </c>
      <c r="I1964" s="97">
        <v>9.156883066E9</v>
      </c>
      <c r="J1964" s="11" t="s">
        <v>25</v>
      </c>
      <c r="K1964" s="12"/>
      <c r="L1964" s="13"/>
      <c r="M1964" s="11" t="s">
        <v>8200</v>
      </c>
      <c r="N1964" s="15"/>
      <c r="O1964" s="5" t="s">
        <v>108</v>
      </c>
      <c r="P1964" s="5" t="s">
        <v>8201</v>
      </c>
      <c r="Q1964" s="15"/>
      <c r="R1964" s="16" t="s">
        <v>28</v>
      </c>
      <c r="S1964" s="15"/>
      <c r="T1964" s="15"/>
      <c r="U1964" s="15"/>
      <c r="V1964" s="15"/>
      <c r="W1964" s="15"/>
      <c r="X1964" s="15"/>
      <c r="Y1964" s="15"/>
      <c r="Z1964" s="15"/>
      <c r="AA1964" s="15"/>
    </row>
    <row r="1965">
      <c r="A1965" s="5" t="s">
        <v>8202</v>
      </c>
      <c r="B1965" s="6" t="s">
        <v>8203</v>
      </c>
      <c r="C1965" s="102" t="s">
        <v>8204</v>
      </c>
      <c r="D1965" s="52"/>
      <c r="E1965" s="11" t="s">
        <v>387</v>
      </c>
      <c r="F1965" s="90">
        <v>6000.0</v>
      </c>
      <c r="G1965" s="132" t="s">
        <v>6180</v>
      </c>
      <c r="H1965" s="11" t="s">
        <v>1082</v>
      </c>
      <c r="I1965" s="179">
        <v>9.831083858E9</v>
      </c>
      <c r="J1965" s="11" t="s">
        <v>25</v>
      </c>
      <c r="K1965" s="12" t="s">
        <v>8205</v>
      </c>
      <c r="L1965" s="13"/>
      <c r="M1965" s="14"/>
      <c r="N1965" s="15"/>
      <c r="O1965" s="5" t="s">
        <v>26</v>
      </c>
      <c r="P1965" s="15"/>
      <c r="Q1965" s="15"/>
      <c r="R1965" s="16" t="s">
        <v>28</v>
      </c>
      <c r="S1965" s="15"/>
      <c r="T1965" s="15"/>
      <c r="U1965" s="15"/>
      <c r="V1965" s="15"/>
      <c r="W1965" s="15"/>
      <c r="X1965" s="15"/>
      <c r="Y1965" s="15"/>
      <c r="Z1965" s="15"/>
      <c r="AA1965" s="15"/>
    </row>
    <row r="1966">
      <c r="A1966" s="5" t="s">
        <v>8202</v>
      </c>
      <c r="B1966" s="6" t="s">
        <v>8206</v>
      </c>
      <c r="C1966" s="28" t="s">
        <v>8207</v>
      </c>
      <c r="D1966" s="11"/>
      <c r="E1966" s="11" t="s">
        <v>8208</v>
      </c>
      <c r="F1966" s="90">
        <v>2000.0</v>
      </c>
      <c r="G1966" s="97" t="s">
        <v>8209</v>
      </c>
      <c r="H1966" s="11" t="s">
        <v>5397</v>
      </c>
      <c r="I1966" s="97">
        <v>6.29443957E9</v>
      </c>
      <c r="J1966" s="11" t="s">
        <v>25</v>
      </c>
      <c r="K1966" s="12"/>
      <c r="L1966" s="13"/>
      <c r="M1966" s="14"/>
      <c r="N1966" s="15"/>
      <c r="O1966" s="5" t="s">
        <v>34</v>
      </c>
      <c r="P1966" s="15"/>
      <c r="Q1966" s="15"/>
      <c r="R1966" s="16" t="s">
        <v>28</v>
      </c>
      <c r="S1966" s="15"/>
      <c r="T1966" s="15"/>
      <c r="U1966" s="15"/>
      <c r="V1966" s="15"/>
      <c r="W1966" s="15"/>
      <c r="X1966" s="15"/>
      <c r="Y1966" s="15"/>
      <c r="Z1966" s="15"/>
      <c r="AA1966" s="15"/>
    </row>
    <row r="1967">
      <c r="A1967" s="5" t="s">
        <v>8210</v>
      </c>
      <c r="B1967" s="6" t="s">
        <v>8211</v>
      </c>
      <c r="C1967" s="62" t="s">
        <v>8212</v>
      </c>
      <c r="D1967" s="11"/>
      <c r="E1967" s="11" t="s">
        <v>2685</v>
      </c>
      <c r="F1967" s="90" t="s">
        <v>8213</v>
      </c>
      <c r="G1967" s="97" t="s">
        <v>8214</v>
      </c>
      <c r="H1967" s="11" t="s">
        <v>8215</v>
      </c>
      <c r="I1967" s="97">
        <v>9.16376687E9</v>
      </c>
      <c r="J1967" s="11" t="s">
        <v>25</v>
      </c>
      <c r="K1967" s="12"/>
      <c r="L1967" s="13"/>
      <c r="M1967" s="11" t="s">
        <v>8216</v>
      </c>
      <c r="N1967" s="5" t="s">
        <v>8217</v>
      </c>
      <c r="O1967" s="5" t="s">
        <v>34</v>
      </c>
      <c r="P1967" s="15"/>
      <c r="Q1967" s="15"/>
      <c r="R1967" s="16" t="s">
        <v>634</v>
      </c>
      <c r="S1967" s="15"/>
      <c r="T1967" s="15"/>
      <c r="U1967" s="15"/>
      <c r="V1967" s="15"/>
      <c r="W1967" s="15"/>
      <c r="X1967" s="15"/>
      <c r="Y1967" s="15"/>
      <c r="Z1967" s="15"/>
      <c r="AA1967" s="15"/>
    </row>
    <row r="1968">
      <c r="A1968" s="5" t="s">
        <v>8210</v>
      </c>
      <c r="B1968" s="6" t="s">
        <v>8218</v>
      </c>
      <c r="C1968" s="28" t="s">
        <v>8219</v>
      </c>
      <c r="D1968" s="11"/>
      <c r="E1968" s="11" t="s">
        <v>5172</v>
      </c>
      <c r="F1968" s="90">
        <v>2000.0</v>
      </c>
      <c r="G1968" s="97" t="s">
        <v>8220</v>
      </c>
      <c r="H1968" s="36" t="s">
        <v>4460</v>
      </c>
      <c r="I1968" s="97">
        <v>9.920013761E9</v>
      </c>
      <c r="J1968" s="11" t="s">
        <v>25</v>
      </c>
      <c r="K1968" s="12" t="s">
        <v>8221</v>
      </c>
      <c r="L1968" s="13"/>
      <c r="M1968" s="11" t="s">
        <v>8222</v>
      </c>
      <c r="N1968" s="5" t="s">
        <v>8223</v>
      </c>
      <c r="O1968" s="5" t="s">
        <v>108</v>
      </c>
      <c r="P1968" s="15"/>
      <c r="Q1968" s="15"/>
      <c r="R1968" s="16" t="s">
        <v>28</v>
      </c>
      <c r="S1968" s="15"/>
      <c r="T1968" s="15"/>
      <c r="U1968" s="15"/>
      <c r="V1968" s="15"/>
      <c r="W1968" s="15"/>
      <c r="X1968" s="15"/>
      <c r="Y1968" s="15"/>
      <c r="Z1968" s="15"/>
      <c r="AA1968" s="15"/>
    </row>
    <row r="1969">
      <c r="A1969" s="5" t="s">
        <v>8210</v>
      </c>
      <c r="B1969" s="6" t="s">
        <v>8224</v>
      </c>
      <c r="C1969" s="36" t="s">
        <v>8225</v>
      </c>
      <c r="D1969" s="52"/>
      <c r="E1969" s="11" t="s">
        <v>5502</v>
      </c>
      <c r="F1969" s="90">
        <v>10000.0</v>
      </c>
      <c r="G1969" s="97" t="s">
        <v>8226</v>
      </c>
      <c r="H1969" s="11" t="s">
        <v>8227</v>
      </c>
      <c r="I1969" s="97">
        <v>9.404848565E9</v>
      </c>
      <c r="J1969" s="11" t="s">
        <v>25</v>
      </c>
      <c r="K1969" s="12"/>
      <c r="L1969" s="13"/>
      <c r="M1969" s="14"/>
      <c r="N1969" s="15"/>
      <c r="O1969" s="5" t="s">
        <v>108</v>
      </c>
      <c r="P1969" s="15"/>
      <c r="Q1969" s="15"/>
      <c r="R1969" s="16" t="s">
        <v>28</v>
      </c>
      <c r="S1969" s="15"/>
      <c r="T1969" s="15"/>
      <c r="U1969" s="15"/>
      <c r="V1969" s="15"/>
      <c r="W1969" s="15"/>
      <c r="X1969" s="15"/>
      <c r="Y1969" s="15"/>
      <c r="Z1969" s="15"/>
      <c r="AA1969" s="15"/>
    </row>
    <row r="1970">
      <c r="A1970" s="5" t="s">
        <v>8228</v>
      </c>
      <c r="B1970" s="6" t="s">
        <v>8229</v>
      </c>
      <c r="C1970" s="62" t="s">
        <v>8230</v>
      </c>
      <c r="D1970" s="11"/>
      <c r="E1970" s="11" t="s">
        <v>8231</v>
      </c>
      <c r="F1970" s="90" t="s">
        <v>8232</v>
      </c>
      <c r="G1970" s="97" t="s">
        <v>8233</v>
      </c>
      <c r="H1970" s="11" t="s">
        <v>44</v>
      </c>
      <c r="I1970" s="97">
        <v>9.836979059E9</v>
      </c>
      <c r="J1970" s="11" t="s">
        <v>25</v>
      </c>
      <c r="K1970" s="12"/>
      <c r="L1970" s="13"/>
      <c r="M1970" s="11" t="s">
        <v>8234</v>
      </c>
      <c r="N1970" s="5" t="s">
        <v>8235</v>
      </c>
      <c r="O1970" s="5" t="s">
        <v>34</v>
      </c>
      <c r="P1970" s="5" t="s">
        <v>6382</v>
      </c>
      <c r="Q1970" s="11" t="s">
        <v>8236</v>
      </c>
      <c r="R1970" s="16" t="s">
        <v>634</v>
      </c>
      <c r="S1970" s="15"/>
      <c r="T1970" s="15"/>
      <c r="U1970" s="15"/>
      <c r="V1970" s="15"/>
      <c r="W1970" s="15"/>
      <c r="X1970" s="15"/>
      <c r="Y1970" s="15"/>
      <c r="Z1970" s="15"/>
      <c r="AA1970" s="15"/>
    </row>
    <row r="1971">
      <c r="A1971" s="5" t="s">
        <v>8228</v>
      </c>
      <c r="B1971" s="6" t="s">
        <v>8237</v>
      </c>
      <c r="C1971" s="62" t="s">
        <v>8238</v>
      </c>
      <c r="D1971" s="11"/>
      <c r="E1971" s="11" t="s">
        <v>38</v>
      </c>
      <c r="F1971" s="90">
        <v>1000.0</v>
      </c>
      <c r="G1971" s="97" t="s">
        <v>8239</v>
      </c>
      <c r="H1971" s="11" t="s">
        <v>44</v>
      </c>
      <c r="I1971" s="97">
        <v>9.734388235E9</v>
      </c>
      <c r="J1971" s="11" t="s">
        <v>25</v>
      </c>
      <c r="K1971" s="12"/>
      <c r="L1971" s="12" t="s">
        <v>8240</v>
      </c>
      <c r="M1971" s="14"/>
      <c r="N1971" s="15"/>
      <c r="O1971" s="5" t="s">
        <v>34</v>
      </c>
      <c r="P1971" s="5" t="s">
        <v>8241</v>
      </c>
      <c r="Q1971" s="5" t="s">
        <v>6625</v>
      </c>
      <c r="R1971" s="16" t="s">
        <v>74</v>
      </c>
      <c r="S1971" s="15"/>
      <c r="T1971" s="15"/>
      <c r="U1971" s="15"/>
      <c r="V1971" s="15"/>
      <c r="W1971" s="15"/>
      <c r="X1971" s="15"/>
      <c r="Y1971" s="15"/>
      <c r="Z1971" s="15"/>
      <c r="AA1971" s="15"/>
    </row>
    <row r="1972">
      <c r="A1972" s="5" t="s">
        <v>8228</v>
      </c>
      <c r="B1972" s="6" t="s">
        <v>8242</v>
      </c>
      <c r="C1972" s="40" t="s">
        <v>8243</v>
      </c>
      <c r="D1972" s="11"/>
      <c r="E1972" s="11" t="s">
        <v>6441</v>
      </c>
      <c r="F1972" s="90">
        <v>20000.0</v>
      </c>
      <c r="G1972" s="97" t="s">
        <v>8244</v>
      </c>
      <c r="H1972" s="11" t="s">
        <v>44</v>
      </c>
      <c r="I1972" s="97">
        <v>7.205456044E9</v>
      </c>
      <c r="J1972" s="11" t="s">
        <v>4008</v>
      </c>
      <c r="K1972" s="12"/>
      <c r="L1972" s="13"/>
      <c r="M1972" s="14"/>
      <c r="N1972" s="15"/>
      <c r="O1972" s="5" t="s">
        <v>34</v>
      </c>
      <c r="P1972" s="15"/>
      <c r="Q1972" s="15"/>
      <c r="R1972" s="16" t="s">
        <v>28</v>
      </c>
      <c r="S1972" s="15"/>
      <c r="T1972" s="15"/>
      <c r="U1972" s="15"/>
      <c r="V1972" s="15"/>
      <c r="W1972" s="15"/>
      <c r="X1972" s="15"/>
      <c r="Y1972" s="15"/>
      <c r="Z1972" s="15"/>
      <c r="AA1972" s="15"/>
    </row>
    <row r="1973">
      <c r="A1973" s="5" t="s">
        <v>8245</v>
      </c>
      <c r="B1973" s="6" t="s">
        <v>8246</v>
      </c>
      <c r="C1973" s="40" t="s">
        <v>2158</v>
      </c>
      <c r="D1973" s="11"/>
      <c r="E1973" s="11" t="s">
        <v>8247</v>
      </c>
      <c r="F1973" s="90">
        <v>1000.0</v>
      </c>
      <c r="G1973" s="97" t="s">
        <v>8248</v>
      </c>
      <c r="H1973" s="11" t="s">
        <v>44</v>
      </c>
      <c r="I1973" s="97">
        <v>9.748188804E9</v>
      </c>
      <c r="J1973" s="11" t="s">
        <v>25</v>
      </c>
      <c r="K1973" s="12"/>
      <c r="L1973" s="13"/>
      <c r="M1973" s="14"/>
      <c r="N1973" s="15"/>
      <c r="O1973" s="5" t="s">
        <v>34</v>
      </c>
      <c r="P1973" s="5" t="s">
        <v>55</v>
      </c>
      <c r="Q1973" s="5" t="s">
        <v>334</v>
      </c>
      <c r="R1973" s="16" t="s">
        <v>28</v>
      </c>
      <c r="S1973" s="15"/>
      <c r="T1973" s="15"/>
      <c r="U1973" s="15"/>
      <c r="V1973" s="15"/>
      <c r="W1973" s="15"/>
      <c r="X1973" s="15"/>
      <c r="Y1973" s="15"/>
      <c r="Z1973" s="15"/>
      <c r="AA1973" s="15"/>
    </row>
    <row r="1974">
      <c r="A1974" s="5" t="s">
        <v>8245</v>
      </c>
      <c r="B1974" s="6" t="s">
        <v>8249</v>
      </c>
      <c r="C1974" s="36" t="s">
        <v>8250</v>
      </c>
      <c r="D1974" s="36"/>
      <c r="E1974" s="28" t="s">
        <v>8251</v>
      </c>
      <c r="F1974" s="90">
        <v>25000.0</v>
      </c>
      <c r="G1974" s="97" t="s">
        <v>8252</v>
      </c>
      <c r="H1974" s="11" t="s">
        <v>8253</v>
      </c>
      <c r="I1974" s="97">
        <v>9.375806851E9</v>
      </c>
      <c r="J1974" s="11" t="s">
        <v>25</v>
      </c>
      <c r="K1974" s="12" t="s">
        <v>8254</v>
      </c>
      <c r="L1974" s="13"/>
      <c r="M1974" s="14"/>
      <c r="N1974" s="5" t="s">
        <v>8255</v>
      </c>
      <c r="O1974" s="5" t="s">
        <v>108</v>
      </c>
      <c r="P1974" s="15"/>
      <c r="Q1974" s="15"/>
      <c r="R1974" s="16" t="s">
        <v>6999</v>
      </c>
      <c r="S1974" s="15"/>
      <c r="T1974" s="15"/>
      <c r="U1974" s="15"/>
      <c r="V1974" s="15"/>
      <c r="W1974" s="15"/>
      <c r="X1974" s="15"/>
      <c r="Y1974" s="15"/>
      <c r="Z1974" s="15"/>
      <c r="AA1974" s="15"/>
    </row>
    <row r="1975">
      <c r="A1975" s="5" t="s">
        <v>8245</v>
      </c>
      <c r="B1975" s="6" t="s">
        <v>8256</v>
      </c>
      <c r="C1975" s="40" t="s">
        <v>8257</v>
      </c>
      <c r="D1975" s="36"/>
      <c r="E1975" s="36" t="s">
        <v>8251</v>
      </c>
      <c r="F1975" s="90">
        <v>10000.0</v>
      </c>
      <c r="G1975" s="97" t="s">
        <v>8258</v>
      </c>
      <c r="H1975" s="11" t="s">
        <v>6941</v>
      </c>
      <c r="I1975" s="97">
        <v>9.3230076E9</v>
      </c>
      <c r="J1975" s="11" t="s">
        <v>25</v>
      </c>
      <c r="K1975" s="12"/>
      <c r="L1975" s="13"/>
      <c r="M1975" s="14"/>
      <c r="N1975" s="15"/>
      <c r="O1975" s="5" t="s">
        <v>108</v>
      </c>
      <c r="P1975" s="15"/>
      <c r="Q1975" s="15"/>
      <c r="R1975" s="16" t="s">
        <v>28</v>
      </c>
      <c r="S1975" s="15"/>
      <c r="T1975" s="15"/>
      <c r="U1975" s="15"/>
      <c r="V1975" s="15"/>
      <c r="W1975" s="15"/>
      <c r="X1975" s="15"/>
      <c r="Y1975" s="15"/>
      <c r="Z1975" s="15"/>
      <c r="AA1975" s="15"/>
    </row>
    <row r="1976">
      <c r="A1976" s="5" t="s">
        <v>8259</v>
      </c>
      <c r="B1976" s="6" t="s">
        <v>8260</v>
      </c>
      <c r="C1976" s="180" t="s">
        <v>8261</v>
      </c>
      <c r="D1976" s="11"/>
      <c r="E1976" s="11" t="s">
        <v>6836</v>
      </c>
      <c r="F1976" s="90">
        <v>1000.0</v>
      </c>
      <c r="G1976" s="97" t="s">
        <v>8262</v>
      </c>
      <c r="H1976" s="11" t="s">
        <v>8263</v>
      </c>
      <c r="I1976" s="97">
        <v>9.423839497E9</v>
      </c>
      <c r="J1976" s="11" t="s">
        <v>25</v>
      </c>
      <c r="K1976" s="12" t="s">
        <v>8264</v>
      </c>
      <c r="L1976" s="13"/>
      <c r="M1976" s="14"/>
      <c r="N1976" s="5" t="s">
        <v>8265</v>
      </c>
      <c r="O1976" s="5" t="s">
        <v>108</v>
      </c>
      <c r="P1976" s="15"/>
      <c r="Q1976" s="15"/>
      <c r="R1976" s="16" t="s">
        <v>6999</v>
      </c>
      <c r="S1976" s="15"/>
      <c r="T1976" s="15"/>
      <c r="U1976" s="15"/>
      <c r="V1976" s="15"/>
      <c r="W1976" s="15"/>
      <c r="X1976" s="15"/>
      <c r="Y1976" s="15"/>
      <c r="Z1976" s="15"/>
      <c r="AA1976" s="15"/>
    </row>
    <row r="1977">
      <c r="A1977" s="5" t="s">
        <v>8259</v>
      </c>
      <c r="B1977" s="6" t="s">
        <v>8266</v>
      </c>
      <c r="C1977" s="36" t="s">
        <v>8267</v>
      </c>
      <c r="D1977" s="52"/>
      <c r="E1977" s="11" t="s">
        <v>8268</v>
      </c>
      <c r="F1977" s="90">
        <v>2000.0</v>
      </c>
      <c r="G1977" s="97" t="s">
        <v>8269</v>
      </c>
      <c r="H1977" s="36" t="s">
        <v>8270</v>
      </c>
      <c r="I1977" s="97">
        <v>9.594527999E9</v>
      </c>
      <c r="J1977" s="11" t="s">
        <v>25</v>
      </c>
      <c r="K1977" s="12"/>
      <c r="L1977" s="13"/>
      <c r="M1977" s="14"/>
      <c r="N1977" s="15"/>
      <c r="O1977" s="5" t="s">
        <v>108</v>
      </c>
      <c r="P1977" s="15"/>
      <c r="Q1977" s="15"/>
      <c r="R1977" s="16" t="s">
        <v>28</v>
      </c>
      <c r="S1977" s="15"/>
      <c r="T1977" s="15"/>
      <c r="U1977" s="15"/>
      <c r="V1977" s="15"/>
      <c r="W1977" s="15"/>
      <c r="X1977" s="15"/>
      <c r="Y1977" s="15"/>
      <c r="Z1977" s="15"/>
      <c r="AA1977" s="15"/>
    </row>
    <row r="1978">
      <c r="A1978" s="5" t="s">
        <v>8259</v>
      </c>
      <c r="B1978" s="6" t="s">
        <v>8271</v>
      </c>
      <c r="C1978" s="28" t="s">
        <v>8272</v>
      </c>
      <c r="D1978" s="11"/>
      <c r="E1978" s="11" t="s">
        <v>8273</v>
      </c>
      <c r="F1978" s="90" t="s">
        <v>8274</v>
      </c>
      <c r="G1978" s="97" t="s">
        <v>8275</v>
      </c>
      <c r="H1978" s="11" t="s">
        <v>4165</v>
      </c>
      <c r="I1978" s="97">
        <v>8.980092456E9</v>
      </c>
      <c r="J1978" s="11" t="s">
        <v>25</v>
      </c>
      <c r="K1978" s="12"/>
      <c r="L1978" s="13"/>
      <c r="M1978" s="14"/>
      <c r="N1978" s="15"/>
      <c r="O1978" s="5" t="s">
        <v>108</v>
      </c>
      <c r="P1978" s="15"/>
      <c r="Q1978" s="15"/>
      <c r="R1978" s="16" t="s">
        <v>28</v>
      </c>
      <c r="S1978" s="15"/>
      <c r="T1978" s="15"/>
      <c r="U1978" s="15"/>
      <c r="V1978" s="15"/>
      <c r="W1978" s="15"/>
      <c r="X1978" s="15"/>
      <c r="Y1978" s="15"/>
      <c r="Z1978" s="15"/>
      <c r="AA1978" s="15"/>
    </row>
    <row r="1979">
      <c r="A1979" s="5" t="s">
        <v>8259</v>
      </c>
      <c r="B1979" s="6" t="s">
        <v>8276</v>
      </c>
      <c r="C1979" s="36" t="s">
        <v>8277</v>
      </c>
      <c r="D1979" s="52"/>
      <c r="E1979" s="11" t="s">
        <v>5293</v>
      </c>
      <c r="F1979" s="90">
        <v>10000.0</v>
      </c>
      <c r="G1979" s="97" t="s">
        <v>8278</v>
      </c>
      <c r="H1979" s="11" t="s">
        <v>283</v>
      </c>
      <c r="I1979" s="97">
        <v>8.391853357E9</v>
      </c>
      <c r="J1979" s="11" t="s">
        <v>25</v>
      </c>
      <c r="K1979" s="12"/>
      <c r="L1979" s="13"/>
      <c r="M1979" s="14"/>
      <c r="N1979" s="15"/>
      <c r="O1979" s="5" t="s">
        <v>34</v>
      </c>
      <c r="P1979" s="15"/>
      <c r="Q1979" s="15"/>
      <c r="R1979" s="16" t="s">
        <v>28</v>
      </c>
      <c r="S1979" s="15"/>
      <c r="T1979" s="15"/>
      <c r="U1979" s="15"/>
      <c r="V1979" s="15"/>
      <c r="W1979" s="15"/>
      <c r="X1979" s="15"/>
      <c r="Y1979" s="15"/>
      <c r="Z1979" s="15"/>
      <c r="AA1979" s="15"/>
    </row>
    <row r="1980">
      <c r="A1980" s="5" t="s">
        <v>8279</v>
      </c>
      <c r="B1980" s="6" t="s">
        <v>8280</v>
      </c>
      <c r="C1980" s="28" t="s">
        <v>8281</v>
      </c>
      <c r="D1980" s="11"/>
      <c r="E1980" s="11" t="s">
        <v>4123</v>
      </c>
      <c r="F1980" s="90" t="s">
        <v>8282</v>
      </c>
      <c r="G1980" s="126" t="s">
        <v>8283</v>
      </c>
      <c r="H1980" s="11" t="s">
        <v>8284</v>
      </c>
      <c r="I1980" s="97">
        <v>9.422245068E9</v>
      </c>
      <c r="J1980" s="11" t="s">
        <v>25</v>
      </c>
      <c r="K1980" s="12"/>
      <c r="L1980" s="13"/>
      <c r="M1980" s="14"/>
      <c r="N1980" s="15"/>
      <c r="O1980" s="5" t="s">
        <v>108</v>
      </c>
      <c r="P1980" s="5" t="s">
        <v>8285</v>
      </c>
      <c r="Q1980" s="15"/>
      <c r="R1980" s="16" t="s">
        <v>28</v>
      </c>
      <c r="S1980" s="15"/>
      <c r="T1980" s="15"/>
      <c r="U1980" s="15"/>
      <c r="V1980" s="15"/>
      <c r="W1980" s="15"/>
      <c r="X1980" s="15"/>
      <c r="Y1980" s="15"/>
      <c r="Z1980" s="15"/>
      <c r="AA1980" s="15"/>
    </row>
    <row r="1981">
      <c r="A1981" s="5" t="s">
        <v>8286</v>
      </c>
      <c r="B1981" s="6" t="s">
        <v>8287</v>
      </c>
      <c r="C1981" s="40" t="s">
        <v>8288</v>
      </c>
      <c r="D1981" s="11"/>
      <c r="E1981" s="11" t="s">
        <v>8289</v>
      </c>
      <c r="F1981" s="90" t="s">
        <v>8290</v>
      </c>
      <c r="G1981" s="97" t="s">
        <v>8291</v>
      </c>
      <c r="H1981" s="11" t="s">
        <v>472</v>
      </c>
      <c r="I1981" s="97" t="s">
        <v>8292</v>
      </c>
      <c r="J1981" s="11" t="s">
        <v>25</v>
      </c>
      <c r="K1981" s="12" t="s">
        <v>8293</v>
      </c>
      <c r="L1981" s="13"/>
      <c r="M1981" s="14"/>
      <c r="N1981" s="15"/>
      <c r="O1981" s="5" t="s">
        <v>26</v>
      </c>
      <c r="P1981" s="15"/>
      <c r="Q1981" s="15"/>
      <c r="R1981" s="16" t="s">
        <v>28</v>
      </c>
      <c r="S1981" s="15"/>
      <c r="T1981" s="15"/>
      <c r="U1981" s="15"/>
      <c r="V1981" s="15"/>
      <c r="W1981" s="15"/>
      <c r="X1981" s="15"/>
      <c r="Y1981" s="15"/>
      <c r="Z1981" s="15"/>
      <c r="AA1981" s="15"/>
    </row>
    <row r="1982">
      <c r="A1982" s="5" t="s">
        <v>8286</v>
      </c>
      <c r="B1982" s="6" t="s">
        <v>8294</v>
      </c>
      <c r="C1982" s="62" t="s">
        <v>8295</v>
      </c>
      <c r="D1982" s="181"/>
      <c r="E1982" s="181" t="s">
        <v>8296</v>
      </c>
      <c r="F1982" s="90" t="s">
        <v>8297</v>
      </c>
      <c r="G1982" s="182" t="s">
        <v>8298</v>
      </c>
      <c r="H1982" s="11" t="s">
        <v>1414</v>
      </c>
      <c r="I1982" s="97">
        <v>9.16368463E9</v>
      </c>
      <c r="J1982" s="11" t="s">
        <v>7990</v>
      </c>
      <c r="K1982" s="12"/>
      <c r="L1982" s="13"/>
      <c r="M1982" s="11" t="s">
        <v>8299</v>
      </c>
      <c r="N1982" s="5" t="s">
        <v>8300</v>
      </c>
      <c r="O1982" s="5" t="s">
        <v>34</v>
      </c>
      <c r="P1982" s="5" t="s">
        <v>1384</v>
      </c>
      <c r="Q1982" s="5" t="s">
        <v>269</v>
      </c>
      <c r="R1982" s="16" t="s">
        <v>634</v>
      </c>
      <c r="S1982" s="15"/>
      <c r="T1982" s="15"/>
      <c r="U1982" s="15"/>
      <c r="V1982" s="15"/>
      <c r="W1982" s="15"/>
      <c r="X1982" s="15"/>
      <c r="Y1982" s="15"/>
      <c r="Z1982" s="15"/>
      <c r="AA1982" s="15"/>
    </row>
    <row r="1983">
      <c r="A1983" s="5" t="s">
        <v>8286</v>
      </c>
      <c r="B1983" s="6" t="s">
        <v>8301</v>
      </c>
      <c r="C1983" s="36" t="s">
        <v>8302</v>
      </c>
      <c r="D1983" s="52"/>
      <c r="E1983" s="11" t="s">
        <v>178</v>
      </c>
      <c r="F1983" s="90">
        <v>3000.0</v>
      </c>
      <c r="G1983" s="126" t="s">
        <v>8303</v>
      </c>
      <c r="H1983" s="11" t="s">
        <v>44</v>
      </c>
      <c r="I1983" s="36">
        <v>9.051398102E9</v>
      </c>
      <c r="J1983" s="11" t="s">
        <v>25</v>
      </c>
      <c r="K1983" s="12" t="s">
        <v>8304</v>
      </c>
      <c r="L1983" s="13"/>
      <c r="M1983" s="14"/>
      <c r="N1983" s="15"/>
      <c r="O1983" s="5" t="s">
        <v>26</v>
      </c>
      <c r="P1983" s="5" t="s">
        <v>4563</v>
      </c>
      <c r="Q1983" s="15"/>
      <c r="R1983" s="16" t="s">
        <v>634</v>
      </c>
      <c r="S1983" s="15"/>
      <c r="T1983" s="15"/>
      <c r="U1983" s="15"/>
      <c r="V1983" s="15"/>
      <c r="W1983" s="15"/>
      <c r="X1983" s="15"/>
      <c r="Y1983" s="15"/>
      <c r="Z1983" s="15"/>
      <c r="AA1983" s="15"/>
    </row>
    <row r="1984">
      <c r="A1984" s="5" t="s">
        <v>8286</v>
      </c>
      <c r="B1984" s="6" t="s">
        <v>8305</v>
      </c>
      <c r="C1984" s="28" t="s">
        <v>8306</v>
      </c>
      <c r="D1984" s="11"/>
      <c r="E1984" s="11" t="s">
        <v>7700</v>
      </c>
      <c r="F1984" s="90">
        <v>5000.0</v>
      </c>
      <c r="G1984" s="97" t="s">
        <v>8307</v>
      </c>
      <c r="H1984" s="11" t="s">
        <v>906</v>
      </c>
      <c r="I1984" s="97">
        <v>9.146292266E9</v>
      </c>
      <c r="J1984" s="11" t="s">
        <v>25</v>
      </c>
      <c r="K1984" s="12"/>
      <c r="L1984" s="13"/>
      <c r="M1984" s="14"/>
      <c r="N1984" s="15"/>
      <c r="O1984" s="5" t="s">
        <v>108</v>
      </c>
      <c r="P1984" s="15"/>
      <c r="Q1984" s="15"/>
      <c r="R1984" s="16" t="s">
        <v>28</v>
      </c>
      <c r="S1984" s="15"/>
      <c r="T1984" s="15"/>
      <c r="U1984" s="15"/>
      <c r="V1984" s="15"/>
      <c r="W1984" s="15"/>
      <c r="X1984" s="15"/>
      <c r="Y1984" s="15"/>
      <c r="Z1984" s="15"/>
      <c r="AA1984" s="15"/>
    </row>
    <row r="1985">
      <c r="A1985" s="5" t="s">
        <v>8286</v>
      </c>
      <c r="B1985" s="6" t="s">
        <v>8308</v>
      </c>
      <c r="C1985" s="28" t="s">
        <v>8309</v>
      </c>
      <c r="D1985" s="11"/>
      <c r="E1985" s="11" t="s">
        <v>8310</v>
      </c>
      <c r="F1985" s="90">
        <v>1000.0</v>
      </c>
      <c r="G1985" s="97" t="s">
        <v>8311</v>
      </c>
      <c r="H1985" s="36" t="s">
        <v>8312</v>
      </c>
      <c r="I1985" s="97">
        <v>9.3234595E9</v>
      </c>
      <c r="J1985" s="11" t="s">
        <v>25</v>
      </c>
      <c r="K1985" s="12"/>
      <c r="L1985" s="13"/>
      <c r="M1985" s="14"/>
      <c r="N1985" s="15"/>
      <c r="O1985" s="5" t="s">
        <v>108</v>
      </c>
      <c r="P1985" s="15"/>
      <c r="Q1985" s="15"/>
      <c r="R1985" s="16" t="s">
        <v>28</v>
      </c>
      <c r="S1985" s="15"/>
      <c r="T1985" s="15"/>
      <c r="U1985" s="15"/>
      <c r="V1985" s="15"/>
      <c r="W1985" s="15"/>
      <c r="X1985" s="15"/>
      <c r="Y1985" s="15"/>
      <c r="Z1985" s="15"/>
      <c r="AA1985" s="15"/>
    </row>
    <row r="1986">
      <c r="A1986" s="5" t="s">
        <v>8286</v>
      </c>
      <c r="B1986" s="6" t="s">
        <v>8313</v>
      </c>
      <c r="C1986" s="36" t="s">
        <v>8314</v>
      </c>
      <c r="D1986" s="52"/>
      <c r="E1986" s="11" t="s">
        <v>207</v>
      </c>
      <c r="F1986" s="90">
        <v>1000.0</v>
      </c>
      <c r="G1986" s="97" t="s">
        <v>8315</v>
      </c>
      <c r="H1986" s="11" t="s">
        <v>44</v>
      </c>
      <c r="I1986" s="97">
        <v>7.059765298E9</v>
      </c>
      <c r="J1986" s="11" t="s">
        <v>25</v>
      </c>
      <c r="K1986" s="12"/>
      <c r="L1986" s="13"/>
      <c r="M1986" s="14"/>
      <c r="N1986" s="15"/>
      <c r="O1986" s="5" t="s">
        <v>34</v>
      </c>
      <c r="P1986" s="15"/>
      <c r="Q1986" s="15"/>
      <c r="R1986" s="16" t="s">
        <v>28</v>
      </c>
      <c r="S1986" s="15"/>
      <c r="T1986" s="15"/>
      <c r="U1986" s="15"/>
      <c r="V1986" s="15"/>
      <c r="W1986" s="15"/>
      <c r="X1986" s="15"/>
      <c r="Y1986" s="15"/>
      <c r="Z1986" s="15"/>
      <c r="AA1986" s="15"/>
    </row>
    <row r="1987">
      <c r="A1987" s="5" t="s">
        <v>8286</v>
      </c>
      <c r="B1987" s="6" t="s">
        <v>8316</v>
      </c>
      <c r="C1987" s="28" t="s">
        <v>8317</v>
      </c>
      <c r="D1987" s="11"/>
      <c r="E1987" s="11" t="s">
        <v>130</v>
      </c>
      <c r="F1987" s="90">
        <v>10000.0</v>
      </c>
      <c r="G1987" s="97" t="s">
        <v>8318</v>
      </c>
      <c r="H1987" s="11" t="s">
        <v>906</v>
      </c>
      <c r="I1987" s="36">
        <v>9.37019601E9</v>
      </c>
      <c r="J1987" s="11" t="s">
        <v>4008</v>
      </c>
      <c r="K1987" s="12" t="s">
        <v>8319</v>
      </c>
      <c r="L1987" s="13"/>
      <c r="M1987" s="14"/>
      <c r="N1987" s="5" t="s">
        <v>8320</v>
      </c>
      <c r="O1987" s="5" t="s">
        <v>108</v>
      </c>
      <c r="P1987" s="5" t="s">
        <v>8321</v>
      </c>
      <c r="Q1987" s="15"/>
      <c r="R1987" s="16" t="s">
        <v>6999</v>
      </c>
      <c r="S1987" s="15"/>
      <c r="T1987" s="15"/>
      <c r="U1987" s="15"/>
      <c r="V1987" s="15"/>
      <c r="W1987" s="15"/>
      <c r="X1987" s="15"/>
      <c r="Y1987" s="15"/>
      <c r="Z1987" s="15"/>
      <c r="AA1987" s="15"/>
    </row>
    <row r="1988">
      <c r="A1988" s="5" t="s">
        <v>8286</v>
      </c>
      <c r="B1988" s="6" t="s">
        <v>8322</v>
      </c>
      <c r="C1988" s="36" t="s">
        <v>8323</v>
      </c>
      <c r="D1988" s="52"/>
      <c r="E1988" s="11" t="s">
        <v>1230</v>
      </c>
      <c r="F1988" s="90">
        <v>20000.0</v>
      </c>
      <c r="G1988" s="97" t="s">
        <v>8324</v>
      </c>
      <c r="H1988" s="11" t="s">
        <v>906</v>
      </c>
      <c r="I1988" s="97">
        <v>7.047690725E9</v>
      </c>
      <c r="J1988" s="11" t="s">
        <v>25</v>
      </c>
      <c r="K1988" s="12" t="s">
        <v>8325</v>
      </c>
      <c r="L1988" s="13"/>
      <c r="M1988" s="14"/>
      <c r="N1988" s="5" t="s">
        <v>8326</v>
      </c>
      <c r="O1988" s="5" t="s">
        <v>108</v>
      </c>
      <c r="P1988" s="5" t="s">
        <v>8327</v>
      </c>
      <c r="Q1988" s="15"/>
      <c r="R1988" s="16" t="s">
        <v>6999</v>
      </c>
      <c r="S1988" s="15"/>
      <c r="T1988" s="15"/>
      <c r="U1988" s="15"/>
      <c r="V1988" s="15"/>
      <c r="W1988" s="15"/>
      <c r="X1988" s="15"/>
      <c r="Y1988" s="15"/>
      <c r="Z1988" s="15"/>
      <c r="AA1988" s="15"/>
    </row>
    <row r="1989">
      <c r="A1989" s="5" t="s">
        <v>8328</v>
      </c>
      <c r="B1989" s="6" t="s">
        <v>8329</v>
      </c>
      <c r="C1989" s="28" t="s">
        <v>8330</v>
      </c>
      <c r="D1989" s="11"/>
      <c r="E1989" s="11" t="s">
        <v>8331</v>
      </c>
      <c r="F1989" s="90" t="s">
        <v>8332</v>
      </c>
      <c r="G1989" s="120" t="s">
        <v>8333</v>
      </c>
      <c r="H1989" s="11" t="s">
        <v>8334</v>
      </c>
      <c r="I1989" s="97">
        <v>9.932789501E9</v>
      </c>
      <c r="J1989" s="11" t="s">
        <v>25</v>
      </c>
      <c r="K1989" s="12"/>
      <c r="L1989" s="13"/>
      <c r="M1989" s="11" t="s">
        <v>5357</v>
      </c>
      <c r="N1989" s="5" t="s">
        <v>8335</v>
      </c>
      <c r="O1989" s="5" t="s">
        <v>34</v>
      </c>
      <c r="P1989" s="5" t="s">
        <v>1384</v>
      </c>
      <c r="Q1989" s="15"/>
      <c r="R1989" s="16" t="s">
        <v>28</v>
      </c>
      <c r="S1989" s="15"/>
      <c r="T1989" s="15"/>
      <c r="U1989" s="15"/>
      <c r="V1989" s="15"/>
      <c r="W1989" s="15"/>
      <c r="X1989" s="15"/>
      <c r="Y1989" s="15"/>
      <c r="Z1989" s="15"/>
      <c r="AA1989" s="15"/>
    </row>
    <row r="1990">
      <c r="A1990" s="5" t="s">
        <v>8328</v>
      </c>
      <c r="B1990" s="130" t="s">
        <v>8336</v>
      </c>
      <c r="C1990" s="183" t="s">
        <v>8337</v>
      </c>
      <c r="D1990" s="96"/>
      <c r="E1990" s="96" t="s">
        <v>8338</v>
      </c>
      <c r="F1990" s="90" t="s">
        <v>8339</v>
      </c>
      <c r="G1990" s="184" t="s">
        <v>8340</v>
      </c>
      <c r="H1990" s="11" t="s">
        <v>218</v>
      </c>
      <c r="I1990" s="97" t="s">
        <v>8341</v>
      </c>
      <c r="J1990" s="11" t="s">
        <v>25</v>
      </c>
      <c r="K1990" s="12" t="s">
        <v>8342</v>
      </c>
      <c r="L1990" s="13"/>
      <c r="M1990" s="11" t="s">
        <v>8342</v>
      </c>
      <c r="N1990" s="15"/>
      <c r="O1990" s="5" t="s">
        <v>26</v>
      </c>
      <c r="P1990" s="5" t="s">
        <v>8343</v>
      </c>
      <c r="Q1990" s="15"/>
      <c r="R1990" s="16" t="s">
        <v>248</v>
      </c>
      <c r="S1990" s="15"/>
      <c r="T1990" s="15"/>
      <c r="U1990" s="15"/>
      <c r="V1990" s="15"/>
      <c r="W1990" s="15"/>
      <c r="X1990" s="15"/>
      <c r="Y1990" s="15"/>
      <c r="Z1990" s="15"/>
      <c r="AA1990" s="15"/>
    </row>
    <row r="1991">
      <c r="A1991" s="5" t="s">
        <v>8328</v>
      </c>
      <c r="B1991" s="6" t="s">
        <v>8344</v>
      </c>
      <c r="C1991" s="62" t="s">
        <v>8345</v>
      </c>
      <c r="D1991" s="11"/>
      <c r="E1991" s="11" t="s">
        <v>501</v>
      </c>
      <c r="F1991" s="90">
        <v>2000.0</v>
      </c>
      <c r="G1991" s="97" t="s">
        <v>8346</v>
      </c>
      <c r="H1991" s="11" t="s">
        <v>8347</v>
      </c>
      <c r="I1991" s="97">
        <v>6.291675303E9</v>
      </c>
      <c r="J1991" s="11" t="s">
        <v>25</v>
      </c>
      <c r="K1991" s="12"/>
      <c r="L1991" s="13"/>
      <c r="M1991" s="11" t="s">
        <v>8348</v>
      </c>
      <c r="N1991" s="5" t="s">
        <v>8349</v>
      </c>
      <c r="O1991" s="5" t="s">
        <v>34</v>
      </c>
      <c r="P1991" s="5" t="s">
        <v>1384</v>
      </c>
      <c r="Q1991" s="5" t="s">
        <v>269</v>
      </c>
      <c r="R1991" s="16" t="s">
        <v>74</v>
      </c>
      <c r="S1991" s="15"/>
      <c r="T1991" s="15"/>
      <c r="U1991" s="15"/>
      <c r="V1991" s="15"/>
      <c r="W1991" s="15"/>
      <c r="X1991" s="15"/>
      <c r="Y1991" s="15"/>
      <c r="Z1991" s="15"/>
      <c r="AA1991" s="15"/>
    </row>
    <row r="1992">
      <c r="A1992" s="5" t="s">
        <v>8350</v>
      </c>
      <c r="B1992" s="6" t="s">
        <v>8351</v>
      </c>
      <c r="C1992" s="36" t="s">
        <v>8352</v>
      </c>
      <c r="D1992" s="52"/>
      <c r="E1992" s="11" t="s">
        <v>31</v>
      </c>
      <c r="F1992" s="90">
        <v>10000.0</v>
      </c>
      <c r="G1992" s="97" t="s">
        <v>8353</v>
      </c>
      <c r="H1992" s="11" t="s">
        <v>44</v>
      </c>
      <c r="I1992" s="97">
        <v>9.608935356E9</v>
      </c>
      <c r="J1992" s="11" t="s">
        <v>25</v>
      </c>
      <c r="K1992" s="12" t="s">
        <v>8354</v>
      </c>
      <c r="L1992" s="13"/>
      <c r="M1992" s="14"/>
      <c r="N1992" s="15"/>
      <c r="O1992" s="5" t="s">
        <v>26</v>
      </c>
      <c r="P1992" s="15"/>
      <c r="Q1992" s="15"/>
      <c r="R1992" s="16" t="s">
        <v>28</v>
      </c>
      <c r="S1992" s="15"/>
      <c r="T1992" s="15"/>
      <c r="U1992" s="15"/>
      <c r="V1992" s="15"/>
      <c r="W1992" s="15"/>
      <c r="X1992" s="15"/>
      <c r="Y1992" s="15"/>
      <c r="Z1992" s="15"/>
      <c r="AA1992" s="15"/>
    </row>
    <row r="1993">
      <c r="A1993" s="5" t="s">
        <v>8350</v>
      </c>
      <c r="B1993" s="6" t="s">
        <v>8355</v>
      </c>
      <c r="C1993" s="40" t="s">
        <v>8356</v>
      </c>
      <c r="D1993" s="11"/>
      <c r="E1993" s="11" t="s">
        <v>43</v>
      </c>
      <c r="F1993" s="90">
        <v>10000.0</v>
      </c>
      <c r="G1993" s="97" t="s">
        <v>8357</v>
      </c>
      <c r="H1993" s="11" t="s">
        <v>495</v>
      </c>
      <c r="I1993" s="97">
        <v>8.420002903E9</v>
      </c>
      <c r="J1993" s="11" t="s">
        <v>4008</v>
      </c>
      <c r="K1993" s="12"/>
      <c r="L1993" s="13"/>
      <c r="M1993" s="14"/>
      <c r="N1993" s="15"/>
      <c r="O1993" s="5" t="s">
        <v>34</v>
      </c>
      <c r="P1993" s="5" t="s">
        <v>727</v>
      </c>
      <c r="Q1993" s="11" t="s">
        <v>8358</v>
      </c>
      <c r="R1993" s="16" t="s">
        <v>723</v>
      </c>
      <c r="S1993" s="15"/>
      <c r="T1993" s="15"/>
      <c r="U1993" s="15"/>
      <c r="V1993" s="15"/>
      <c r="W1993" s="15"/>
      <c r="X1993" s="15"/>
      <c r="Y1993" s="15"/>
      <c r="Z1993" s="15"/>
      <c r="AA1993" s="15"/>
    </row>
    <row r="1994">
      <c r="A1994" s="5" t="s">
        <v>8359</v>
      </c>
      <c r="B1994" s="6" t="s">
        <v>8360</v>
      </c>
      <c r="C1994" s="36" t="s">
        <v>8361</v>
      </c>
      <c r="D1994" s="52"/>
      <c r="E1994" s="11" t="s">
        <v>8362</v>
      </c>
      <c r="F1994" s="90">
        <v>3000.0</v>
      </c>
      <c r="G1994" s="97" t="s">
        <v>8363</v>
      </c>
      <c r="H1994" s="11" t="s">
        <v>8364</v>
      </c>
      <c r="I1994" s="97">
        <v>8.101843524E9</v>
      </c>
      <c r="J1994" s="11" t="s">
        <v>25</v>
      </c>
      <c r="K1994" s="12" t="s">
        <v>8365</v>
      </c>
      <c r="L1994" s="13"/>
      <c r="M1994" s="14"/>
      <c r="N1994" s="15"/>
      <c r="O1994" s="5" t="s">
        <v>34</v>
      </c>
      <c r="P1994" s="5" t="s">
        <v>7264</v>
      </c>
      <c r="Q1994" s="15"/>
      <c r="R1994" s="16" t="s">
        <v>28</v>
      </c>
      <c r="S1994" s="15"/>
      <c r="T1994" s="15"/>
      <c r="U1994" s="15"/>
      <c r="V1994" s="15"/>
      <c r="W1994" s="15"/>
      <c r="X1994" s="15"/>
      <c r="Y1994" s="15"/>
      <c r="Z1994" s="15"/>
      <c r="AA1994" s="15"/>
    </row>
    <row r="1995">
      <c r="A1995" s="40" t="s">
        <v>8359</v>
      </c>
      <c r="B1995" s="185" t="s">
        <v>8366</v>
      </c>
      <c r="C1995" s="28" t="s">
        <v>8367</v>
      </c>
      <c r="D1995" s="11"/>
      <c r="E1995" s="11" t="s">
        <v>3073</v>
      </c>
      <c r="F1995" s="90">
        <v>500.0</v>
      </c>
      <c r="G1995" s="97" t="s">
        <v>8368</v>
      </c>
      <c r="H1995" s="36" t="s">
        <v>4248</v>
      </c>
      <c r="I1995" s="97">
        <v>9.051825548E9</v>
      </c>
      <c r="J1995" s="11" t="s">
        <v>25</v>
      </c>
      <c r="K1995" s="12" t="s">
        <v>2969</v>
      </c>
      <c r="L1995" s="13"/>
      <c r="M1995" s="14"/>
      <c r="N1995" s="15"/>
      <c r="O1995" s="5" t="s">
        <v>26</v>
      </c>
      <c r="P1995" s="5" t="s">
        <v>8369</v>
      </c>
      <c r="Q1995" s="15"/>
      <c r="R1995" s="16" t="s">
        <v>723</v>
      </c>
      <c r="S1995" s="15"/>
      <c r="T1995" s="15"/>
      <c r="U1995" s="15"/>
      <c r="V1995" s="15"/>
      <c r="W1995" s="15"/>
      <c r="X1995" s="15"/>
      <c r="Y1995" s="15"/>
      <c r="Z1995" s="15"/>
      <c r="AA1995" s="15"/>
    </row>
    <row r="1996" ht="27.0" customHeight="1">
      <c r="A1996" s="5" t="s">
        <v>8359</v>
      </c>
      <c r="B1996" s="6" t="s">
        <v>8370</v>
      </c>
      <c r="C1996" s="28" t="s">
        <v>8371</v>
      </c>
      <c r="D1996" s="186"/>
      <c r="E1996" s="186" t="s">
        <v>8372</v>
      </c>
      <c r="F1996" s="90">
        <v>10000.0</v>
      </c>
      <c r="G1996" s="97" t="s">
        <v>8373</v>
      </c>
      <c r="H1996" s="11" t="s">
        <v>8374</v>
      </c>
      <c r="I1996" s="97">
        <v>7.387693193E9</v>
      </c>
      <c r="J1996" s="11" t="s">
        <v>4008</v>
      </c>
      <c r="K1996" s="12" t="s">
        <v>8375</v>
      </c>
      <c r="L1996" s="12" t="s">
        <v>0</v>
      </c>
      <c r="M1996" s="14"/>
      <c r="N1996" s="5" t="s">
        <v>8376</v>
      </c>
      <c r="O1996" s="5" t="s">
        <v>108</v>
      </c>
      <c r="P1996" s="15"/>
      <c r="Q1996" s="15"/>
      <c r="R1996" s="16" t="s">
        <v>6999</v>
      </c>
      <c r="S1996" s="15"/>
      <c r="T1996" s="15"/>
      <c r="U1996" s="15"/>
      <c r="V1996" s="15"/>
      <c r="W1996" s="15"/>
      <c r="X1996" s="15"/>
      <c r="Y1996" s="15"/>
      <c r="Z1996" s="15"/>
      <c r="AA1996" s="15"/>
    </row>
    <row r="1997">
      <c r="A1997" s="5" t="s">
        <v>8377</v>
      </c>
      <c r="B1997" s="6" t="s">
        <v>8378</v>
      </c>
      <c r="C1997" s="28" t="s">
        <v>8379</v>
      </c>
      <c r="D1997" s="11"/>
      <c r="E1997" s="11" t="s">
        <v>53</v>
      </c>
      <c r="F1997" s="90">
        <v>2000.0</v>
      </c>
      <c r="G1997" s="97" t="s">
        <v>8380</v>
      </c>
      <c r="H1997" s="11" t="s">
        <v>44</v>
      </c>
      <c r="I1997" s="97">
        <v>9.883474396E9</v>
      </c>
      <c r="J1997" s="11" t="s">
        <v>4008</v>
      </c>
      <c r="K1997" s="12" t="s">
        <v>8381</v>
      </c>
      <c r="L1997" s="13"/>
      <c r="M1997" s="14"/>
      <c r="N1997" s="15"/>
      <c r="O1997" s="5" t="s">
        <v>26</v>
      </c>
      <c r="P1997" s="5" t="s">
        <v>8382</v>
      </c>
      <c r="Q1997" s="15"/>
      <c r="R1997" s="16" t="s">
        <v>28</v>
      </c>
      <c r="S1997" s="15"/>
      <c r="T1997" s="15"/>
      <c r="U1997" s="15"/>
      <c r="V1997" s="15"/>
      <c r="W1997" s="15"/>
      <c r="X1997" s="15"/>
      <c r="Y1997" s="15"/>
      <c r="Z1997" s="15"/>
      <c r="AA1997" s="15"/>
    </row>
    <row r="1998">
      <c r="A1998" s="5" t="s">
        <v>8383</v>
      </c>
      <c r="B1998" s="6" t="s">
        <v>8384</v>
      </c>
      <c r="C1998" s="28" t="s">
        <v>8385</v>
      </c>
      <c r="D1998" s="11"/>
      <c r="E1998" s="11" t="s">
        <v>4507</v>
      </c>
      <c r="F1998" s="90">
        <v>3000.0</v>
      </c>
      <c r="G1998" s="97" t="s">
        <v>8386</v>
      </c>
      <c r="H1998" s="11" t="s">
        <v>44</v>
      </c>
      <c r="I1998" s="97">
        <v>9.836789497E9</v>
      </c>
      <c r="J1998" s="11" t="s">
        <v>4008</v>
      </c>
      <c r="K1998" s="12"/>
      <c r="L1998" s="13"/>
      <c r="M1998" s="14"/>
      <c r="N1998" s="15"/>
      <c r="O1998" s="5" t="s">
        <v>26</v>
      </c>
      <c r="P1998" s="15"/>
      <c r="Q1998" s="15"/>
      <c r="R1998" s="16" t="s">
        <v>28</v>
      </c>
      <c r="S1998" s="15"/>
      <c r="T1998" s="15"/>
      <c r="U1998" s="15"/>
      <c r="V1998" s="15"/>
      <c r="W1998" s="15"/>
      <c r="X1998" s="15"/>
      <c r="Y1998" s="15"/>
      <c r="Z1998" s="15"/>
      <c r="AA1998" s="15"/>
    </row>
    <row r="1999">
      <c r="A1999" s="5" t="s">
        <v>8383</v>
      </c>
      <c r="B1999" s="6" t="s">
        <v>8387</v>
      </c>
      <c r="C1999" s="36" t="s">
        <v>8388</v>
      </c>
      <c r="D1999" s="52"/>
      <c r="E1999" s="11" t="s">
        <v>8389</v>
      </c>
      <c r="F1999" s="90">
        <v>1000.0</v>
      </c>
      <c r="G1999" s="97" t="s">
        <v>8390</v>
      </c>
      <c r="H1999" s="11" t="s">
        <v>4165</v>
      </c>
      <c r="I1999" s="97">
        <v>9.9098222E9</v>
      </c>
      <c r="J1999" s="11" t="s">
        <v>25</v>
      </c>
      <c r="K1999" s="12"/>
      <c r="L1999" s="13"/>
      <c r="M1999" s="11" t="s">
        <v>8391</v>
      </c>
      <c r="N1999" s="5" t="s">
        <v>8392</v>
      </c>
      <c r="O1999" s="5" t="s">
        <v>26</v>
      </c>
      <c r="P1999" s="5" t="s">
        <v>8393</v>
      </c>
      <c r="Q1999" s="15"/>
      <c r="R1999" s="16" t="s">
        <v>6999</v>
      </c>
      <c r="S1999" s="15"/>
      <c r="T1999" s="15"/>
      <c r="U1999" s="15"/>
      <c r="V1999" s="15"/>
      <c r="W1999" s="15"/>
      <c r="X1999" s="15"/>
      <c r="Y1999" s="15"/>
      <c r="Z1999" s="15"/>
      <c r="AA1999" s="15"/>
    </row>
    <row r="2000">
      <c r="A2000" s="5" t="s">
        <v>8394</v>
      </c>
      <c r="B2000" s="6" t="s">
        <v>8395</v>
      </c>
      <c r="C2000" s="187" t="s">
        <v>8396</v>
      </c>
      <c r="D2000" s="11"/>
      <c r="E2000" s="11" t="s">
        <v>8397</v>
      </c>
      <c r="F2000" s="90">
        <v>500.0</v>
      </c>
      <c r="G2000" s="97" t="s">
        <v>8398</v>
      </c>
      <c r="H2000" s="11" t="s">
        <v>44</v>
      </c>
      <c r="I2000" s="97">
        <v>8.910789183E9</v>
      </c>
      <c r="J2000" s="11" t="s">
        <v>25</v>
      </c>
      <c r="K2000" s="12"/>
      <c r="L2000" s="13"/>
      <c r="M2000" s="11" t="s">
        <v>8399</v>
      </c>
      <c r="N2000" s="5" t="s">
        <v>8400</v>
      </c>
      <c r="O2000" s="5" t="s">
        <v>34</v>
      </c>
      <c r="P2000" s="5" t="s">
        <v>1384</v>
      </c>
      <c r="Q2000" s="15"/>
      <c r="R2000" s="16" t="s">
        <v>6999</v>
      </c>
      <c r="S2000" s="15"/>
      <c r="T2000" s="15"/>
      <c r="U2000" s="15"/>
      <c r="V2000" s="15"/>
      <c r="W2000" s="15"/>
      <c r="X2000" s="15"/>
      <c r="Y2000" s="15"/>
      <c r="Z2000" s="15"/>
      <c r="AA2000" s="15"/>
    </row>
    <row r="2001">
      <c r="A2001" s="5" t="s">
        <v>8394</v>
      </c>
      <c r="B2001" s="6" t="s">
        <v>8401</v>
      </c>
      <c r="C2001" s="36" t="s">
        <v>8402</v>
      </c>
      <c r="D2001" s="52"/>
      <c r="E2001" s="11" t="s">
        <v>130</v>
      </c>
      <c r="F2001" s="90">
        <v>3000.0</v>
      </c>
      <c r="G2001" s="126" t="s">
        <v>8403</v>
      </c>
      <c r="H2001" s="11" t="s">
        <v>44</v>
      </c>
      <c r="I2001" s="36">
        <v>9.163983333E9</v>
      </c>
      <c r="J2001" s="11" t="s">
        <v>4008</v>
      </c>
      <c r="K2001" s="12"/>
      <c r="L2001" s="13"/>
      <c r="M2001" s="14"/>
      <c r="N2001" s="15"/>
      <c r="O2001" s="5" t="s">
        <v>34</v>
      </c>
      <c r="P2001" s="5" t="s">
        <v>777</v>
      </c>
      <c r="Q2001" s="15"/>
      <c r="R2001" s="16" t="s">
        <v>28</v>
      </c>
      <c r="S2001" s="15"/>
      <c r="T2001" s="15"/>
      <c r="U2001" s="15"/>
      <c r="V2001" s="15"/>
      <c r="W2001" s="15"/>
      <c r="X2001" s="15"/>
      <c r="Y2001" s="15"/>
      <c r="Z2001" s="15"/>
      <c r="AA2001" s="15"/>
    </row>
    <row r="2002">
      <c r="A2002" s="5" t="s">
        <v>8404</v>
      </c>
      <c r="B2002" s="6" t="s">
        <v>8405</v>
      </c>
      <c r="C2002" s="40" t="s">
        <v>8406</v>
      </c>
      <c r="D2002" s="11"/>
      <c r="E2002" s="11" t="s">
        <v>178</v>
      </c>
      <c r="F2002" s="90">
        <v>10000.0</v>
      </c>
      <c r="G2002" s="97" t="s">
        <v>8407</v>
      </c>
      <c r="H2002" s="11" t="s">
        <v>8408</v>
      </c>
      <c r="I2002" s="97" t="s">
        <v>8409</v>
      </c>
      <c r="J2002" s="11" t="s">
        <v>25</v>
      </c>
      <c r="K2002" s="12" t="s">
        <v>1682</v>
      </c>
      <c r="L2002" s="13"/>
      <c r="M2002" s="11" t="s">
        <v>8410</v>
      </c>
      <c r="N2002" s="15"/>
      <c r="O2002" s="5" t="s">
        <v>26</v>
      </c>
      <c r="P2002" s="5" t="s">
        <v>8411</v>
      </c>
      <c r="Q2002" s="15"/>
      <c r="R2002" s="16" t="s">
        <v>28</v>
      </c>
      <c r="S2002" s="15"/>
      <c r="T2002" s="15"/>
      <c r="U2002" s="15"/>
      <c r="V2002" s="15"/>
      <c r="W2002" s="15"/>
      <c r="X2002" s="15"/>
      <c r="Y2002" s="15"/>
      <c r="Z2002" s="15"/>
      <c r="AA2002" s="15"/>
    </row>
    <row r="2003">
      <c r="A2003" s="5" t="s">
        <v>8412</v>
      </c>
      <c r="B2003" s="6" t="s">
        <v>8413</v>
      </c>
      <c r="C2003" s="188" t="s">
        <v>8414</v>
      </c>
      <c r="D2003" s="189"/>
      <c r="E2003" s="190" t="s">
        <v>162</v>
      </c>
      <c r="F2003" s="90">
        <v>2100.0</v>
      </c>
      <c r="G2003" s="191" t="s">
        <v>8415</v>
      </c>
      <c r="H2003" s="11" t="s">
        <v>8416</v>
      </c>
      <c r="I2003" s="97">
        <v>7.0040426E9</v>
      </c>
      <c r="J2003" s="11" t="s">
        <v>25</v>
      </c>
      <c r="K2003" s="12" t="s">
        <v>8417</v>
      </c>
      <c r="L2003" s="13"/>
      <c r="M2003" s="14"/>
      <c r="N2003" s="15"/>
      <c r="O2003" s="5" t="s">
        <v>26</v>
      </c>
      <c r="P2003" s="15"/>
      <c r="Q2003" s="15"/>
      <c r="R2003" s="16" t="s">
        <v>28</v>
      </c>
      <c r="S2003" s="15"/>
      <c r="T2003" s="15"/>
      <c r="U2003" s="15"/>
      <c r="V2003" s="15"/>
      <c r="W2003" s="15"/>
      <c r="X2003" s="15"/>
      <c r="Y2003" s="15"/>
      <c r="Z2003" s="15"/>
      <c r="AA2003" s="15"/>
    </row>
    <row r="2004">
      <c r="A2004" s="5" t="s">
        <v>8412</v>
      </c>
      <c r="B2004" s="6" t="s">
        <v>8418</v>
      </c>
      <c r="C2004" s="62" t="s">
        <v>8419</v>
      </c>
      <c r="D2004" s="11"/>
      <c r="E2004" s="11" t="s">
        <v>8420</v>
      </c>
      <c r="F2004" s="90" t="s">
        <v>8421</v>
      </c>
      <c r="G2004" s="97" t="s">
        <v>8422</v>
      </c>
      <c r="H2004" s="11" t="s">
        <v>8423</v>
      </c>
      <c r="I2004" s="97">
        <v>6.003985044E9</v>
      </c>
      <c r="J2004" s="11" t="s">
        <v>25</v>
      </c>
      <c r="K2004" s="12"/>
      <c r="L2004" s="13"/>
      <c r="M2004" s="11" t="s">
        <v>8424</v>
      </c>
      <c r="N2004" s="5" t="s">
        <v>8425</v>
      </c>
      <c r="O2004" s="5" t="s">
        <v>34</v>
      </c>
      <c r="P2004" s="5" t="s">
        <v>6625</v>
      </c>
      <c r="Q2004" s="15"/>
      <c r="R2004" s="16" t="s">
        <v>74</v>
      </c>
      <c r="S2004" s="15"/>
      <c r="T2004" s="15"/>
      <c r="U2004" s="15"/>
      <c r="V2004" s="15"/>
      <c r="W2004" s="15"/>
      <c r="X2004" s="15"/>
      <c r="Y2004" s="15"/>
      <c r="Z2004" s="15"/>
      <c r="AA2004" s="15"/>
    </row>
    <row r="2005">
      <c r="A2005" s="5" t="s">
        <v>8426</v>
      </c>
      <c r="B2005" s="6" t="s">
        <v>8427</v>
      </c>
      <c r="C2005" s="28" t="s">
        <v>8428</v>
      </c>
      <c r="D2005" s="11"/>
      <c r="E2005" s="11" t="s">
        <v>178</v>
      </c>
      <c r="F2005" s="90">
        <v>20000.0</v>
      </c>
      <c r="G2005" s="120" t="s">
        <v>8429</v>
      </c>
      <c r="H2005" s="11" t="s">
        <v>8430</v>
      </c>
      <c r="I2005" s="28">
        <v>9.376831466E9</v>
      </c>
      <c r="J2005" s="11" t="s">
        <v>25</v>
      </c>
      <c r="K2005" s="12"/>
      <c r="L2005" s="13"/>
      <c r="M2005" s="14"/>
      <c r="N2005" s="15"/>
      <c r="O2005" s="5" t="s">
        <v>26</v>
      </c>
      <c r="P2005" s="15"/>
      <c r="Q2005" s="15"/>
      <c r="R2005" s="16" t="s">
        <v>28</v>
      </c>
      <c r="S2005" s="15"/>
      <c r="T2005" s="15"/>
      <c r="U2005" s="15"/>
      <c r="V2005" s="15"/>
      <c r="W2005" s="15"/>
      <c r="X2005" s="15"/>
      <c r="Y2005" s="15"/>
      <c r="Z2005" s="15"/>
      <c r="AA2005" s="15"/>
    </row>
    <row r="2006">
      <c r="A2006" s="5" t="s">
        <v>8426</v>
      </c>
      <c r="B2006" s="6" t="s">
        <v>8431</v>
      </c>
      <c r="C2006" s="192" t="s">
        <v>8432</v>
      </c>
      <c r="D2006" s="193"/>
      <c r="E2006" s="194" t="s">
        <v>8433</v>
      </c>
      <c r="F2006" s="90"/>
      <c r="G2006" s="195" t="s">
        <v>8434</v>
      </c>
      <c r="H2006" s="11" t="s">
        <v>44</v>
      </c>
      <c r="I2006" s="28">
        <v>8.697810968E9</v>
      </c>
      <c r="J2006" s="11" t="s">
        <v>4008</v>
      </c>
      <c r="K2006" s="12"/>
      <c r="L2006" s="13"/>
      <c r="M2006" s="14"/>
      <c r="N2006" s="15"/>
      <c r="O2006" s="5" t="s">
        <v>26</v>
      </c>
      <c r="P2006" s="15"/>
      <c r="Q2006" s="15"/>
      <c r="R2006" s="16" t="s">
        <v>28</v>
      </c>
      <c r="S2006" s="15"/>
      <c r="T2006" s="15"/>
      <c r="U2006" s="15"/>
      <c r="V2006" s="15"/>
      <c r="W2006" s="15"/>
      <c r="X2006" s="15"/>
      <c r="Y2006" s="15"/>
      <c r="Z2006" s="15"/>
      <c r="AA2006" s="15"/>
    </row>
    <row r="2007">
      <c r="A2007" s="5" t="s">
        <v>8426</v>
      </c>
      <c r="B2007" s="6" t="s">
        <v>8435</v>
      </c>
      <c r="C2007" s="28" t="s">
        <v>8436</v>
      </c>
      <c r="D2007" s="11"/>
      <c r="E2007" s="11" t="s">
        <v>8437</v>
      </c>
      <c r="F2007" s="90">
        <v>10000.0</v>
      </c>
      <c r="G2007" s="126" t="s">
        <v>8438</v>
      </c>
      <c r="H2007" s="11" t="s">
        <v>44</v>
      </c>
      <c r="I2007" s="97">
        <v>9.874654674E9</v>
      </c>
      <c r="J2007" s="11" t="s">
        <v>4008</v>
      </c>
      <c r="K2007" s="12"/>
      <c r="L2007" s="13"/>
      <c r="M2007" s="14"/>
      <c r="N2007" s="15"/>
      <c r="O2007" s="5" t="s">
        <v>34</v>
      </c>
      <c r="P2007" s="5" t="s">
        <v>727</v>
      </c>
      <c r="Q2007" s="15"/>
      <c r="R2007" s="16" t="s">
        <v>28</v>
      </c>
      <c r="S2007" s="15"/>
      <c r="T2007" s="15"/>
      <c r="U2007" s="15"/>
      <c r="V2007" s="15"/>
      <c r="W2007" s="15"/>
      <c r="X2007" s="15"/>
      <c r="Y2007" s="15"/>
      <c r="Z2007" s="15"/>
      <c r="AA2007" s="15"/>
    </row>
    <row r="2008">
      <c r="A2008" s="5" t="s">
        <v>8426</v>
      </c>
      <c r="B2008" s="6" t="s">
        <v>8439</v>
      </c>
      <c r="C2008" s="28" t="s">
        <v>8440</v>
      </c>
      <c r="D2008" s="11"/>
      <c r="E2008" s="11" t="s">
        <v>576</v>
      </c>
      <c r="F2008" s="90">
        <v>2500.0</v>
      </c>
      <c r="G2008" s="120" t="s">
        <v>8441</v>
      </c>
      <c r="H2008" s="11" t="s">
        <v>7516</v>
      </c>
      <c r="I2008" s="97">
        <v>9.43702143E9</v>
      </c>
      <c r="J2008" s="11" t="s">
        <v>25</v>
      </c>
      <c r="K2008" s="12"/>
      <c r="L2008" s="13"/>
      <c r="M2008" s="11" t="s">
        <v>8442</v>
      </c>
      <c r="N2008" s="5" t="s">
        <v>8443</v>
      </c>
      <c r="O2008" s="5" t="s">
        <v>34</v>
      </c>
      <c r="P2008" s="5" t="s">
        <v>1384</v>
      </c>
      <c r="Q2008" s="5" t="s">
        <v>8241</v>
      </c>
      <c r="R2008" s="16" t="s">
        <v>74</v>
      </c>
      <c r="S2008" s="15"/>
      <c r="T2008" s="15"/>
      <c r="U2008" s="15"/>
      <c r="V2008" s="15"/>
      <c r="W2008" s="15"/>
      <c r="X2008" s="15"/>
      <c r="Y2008" s="15"/>
      <c r="Z2008" s="15"/>
      <c r="AA2008" s="15"/>
    </row>
    <row r="2009">
      <c r="A2009" s="5" t="s">
        <v>8444</v>
      </c>
      <c r="B2009" s="6" t="s">
        <v>8445</v>
      </c>
      <c r="C2009" s="184" t="s">
        <v>8446</v>
      </c>
      <c r="D2009" s="52"/>
      <c r="E2009" s="11" t="s">
        <v>685</v>
      </c>
      <c r="F2009" s="90">
        <v>1000.0</v>
      </c>
      <c r="G2009" s="184" t="s">
        <v>8447</v>
      </c>
      <c r="H2009" s="11" t="s">
        <v>8448</v>
      </c>
      <c r="I2009" s="97" t="s">
        <v>8449</v>
      </c>
      <c r="J2009" s="11" t="s">
        <v>25</v>
      </c>
      <c r="K2009" s="12" t="s">
        <v>3443</v>
      </c>
      <c r="L2009" s="13"/>
      <c r="M2009" s="14"/>
      <c r="N2009" s="15"/>
      <c r="O2009" s="5" t="s">
        <v>26</v>
      </c>
      <c r="P2009" s="15"/>
      <c r="Q2009" s="15"/>
      <c r="R2009" s="16" t="s">
        <v>28</v>
      </c>
      <c r="S2009" s="15"/>
      <c r="T2009" s="15"/>
      <c r="U2009" s="15"/>
      <c r="V2009" s="15"/>
      <c r="W2009" s="15"/>
      <c r="X2009" s="15"/>
      <c r="Y2009" s="15"/>
      <c r="Z2009" s="15"/>
      <c r="AA2009" s="15"/>
    </row>
    <row r="2010">
      <c r="A2010" s="5" t="s">
        <v>8450</v>
      </c>
      <c r="B2010" s="6" t="s">
        <v>8451</v>
      </c>
      <c r="C2010" s="40" t="s">
        <v>8452</v>
      </c>
      <c r="D2010" s="11"/>
      <c r="E2010" s="11" t="s">
        <v>685</v>
      </c>
      <c r="F2010" s="90">
        <v>60000.0</v>
      </c>
      <c r="G2010" s="97" t="s">
        <v>8453</v>
      </c>
      <c r="H2010" s="11" t="s">
        <v>8454</v>
      </c>
      <c r="I2010" s="97" t="s">
        <v>8455</v>
      </c>
      <c r="J2010" s="11" t="s">
        <v>25</v>
      </c>
      <c r="K2010" s="12" t="s">
        <v>6071</v>
      </c>
      <c r="L2010" s="13"/>
      <c r="M2010" s="14"/>
      <c r="N2010" s="15"/>
      <c r="O2010" s="5" t="s">
        <v>26</v>
      </c>
      <c r="P2010" s="5" t="s">
        <v>8132</v>
      </c>
      <c r="Q2010" s="5" t="s">
        <v>1619</v>
      </c>
      <c r="R2010" s="16" t="s">
        <v>28</v>
      </c>
      <c r="S2010" s="15"/>
      <c r="T2010" s="15"/>
      <c r="U2010" s="15"/>
      <c r="V2010" s="15"/>
      <c r="W2010" s="15"/>
      <c r="X2010" s="15"/>
      <c r="Y2010" s="15"/>
      <c r="Z2010" s="15"/>
      <c r="AA2010" s="15"/>
    </row>
    <row r="2011">
      <c r="A2011" s="5" t="s">
        <v>8450</v>
      </c>
      <c r="B2011" s="6" t="s">
        <v>8456</v>
      </c>
      <c r="C2011" s="36" t="s">
        <v>8457</v>
      </c>
      <c r="D2011" s="52"/>
      <c r="E2011" s="11" t="s">
        <v>8458</v>
      </c>
      <c r="F2011" s="90">
        <v>10000.0</v>
      </c>
      <c r="G2011" s="97" t="s">
        <v>8459</v>
      </c>
      <c r="H2011" s="36" t="s">
        <v>6330</v>
      </c>
      <c r="I2011" s="28">
        <v>9.939343111E9</v>
      </c>
      <c r="J2011" s="11" t="s">
        <v>25</v>
      </c>
      <c r="K2011" s="12"/>
      <c r="L2011" s="13"/>
      <c r="M2011" s="14"/>
      <c r="N2011" s="15"/>
      <c r="O2011" s="5" t="s">
        <v>34</v>
      </c>
      <c r="P2011" s="15"/>
      <c r="Q2011" s="15"/>
      <c r="R2011" s="16" t="s">
        <v>28</v>
      </c>
      <c r="S2011" s="15"/>
      <c r="T2011" s="15"/>
      <c r="U2011" s="15"/>
      <c r="V2011" s="15"/>
      <c r="W2011" s="15"/>
      <c r="X2011" s="15"/>
      <c r="Y2011" s="15"/>
      <c r="Z2011" s="15"/>
      <c r="AA2011" s="15"/>
    </row>
    <row r="2012">
      <c r="A2012" s="5" t="s">
        <v>8460</v>
      </c>
      <c r="B2012" s="6" t="s">
        <v>8451</v>
      </c>
      <c r="C2012" s="62" t="s">
        <v>8461</v>
      </c>
      <c r="D2012" s="11"/>
      <c r="E2012" s="11" t="s">
        <v>8462</v>
      </c>
      <c r="F2012" s="90" t="s">
        <v>8463</v>
      </c>
      <c r="G2012" s="97" t="s">
        <v>8464</v>
      </c>
      <c r="H2012" s="11" t="s">
        <v>44</v>
      </c>
      <c r="I2012" s="97">
        <v>7.003310962E9</v>
      </c>
      <c r="J2012" s="11" t="s">
        <v>25</v>
      </c>
      <c r="K2012" s="12"/>
      <c r="L2012" s="13"/>
      <c r="M2012" s="11" t="s">
        <v>6155</v>
      </c>
      <c r="N2012" s="5" t="s">
        <v>8465</v>
      </c>
      <c r="O2012" s="5" t="s">
        <v>34</v>
      </c>
      <c r="P2012" s="5" t="s">
        <v>8466</v>
      </c>
      <c r="Q2012" s="5" t="s">
        <v>921</v>
      </c>
      <c r="R2012" s="16" t="s">
        <v>723</v>
      </c>
      <c r="S2012" s="15"/>
      <c r="T2012" s="15"/>
      <c r="U2012" s="15"/>
      <c r="V2012" s="15"/>
      <c r="W2012" s="15"/>
      <c r="X2012" s="15"/>
      <c r="Y2012" s="15"/>
      <c r="Z2012" s="15"/>
      <c r="AA2012" s="15"/>
    </row>
    <row r="2013">
      <c r="A2013" s="5" t="s">
        <v>8460</v>
      </c>
      <c r="B2013" s="6" t="s">
        <v>8467</v>
      </c>
      <c r="C2013" s="196" t="s">
        <v>8468</v>
      </c>
      <c r="D2013" s="11"/>
      <c r="E2013" s="11" t="s">
        <v>178</v>
      </c>
      <c r="F2013" s="90">
        <v>7500.0</v>
      </c>
      <c r="G2013" s="97" t="s">
        <v>8469</v>
      </c>
      <c r="H2013" s="11" t="s">
        <v>44</v>
      </c>
      <c r="I2013" s="97" t="s">
        <v>8470</v>
      </c>
      <c r="J2013" s="11" t="s">
        <v>25</v>
      </c>
      <c r="K2013" s="12" t="s">
        <v>8471</v>
      </c>
      <c r="L2013" s="13"/>
      <c r="M2013" s="14"/>
      <c r="N2013" s="15"/>
      <c r="O2013" s="5" t="s">
        <v>26</v>
      </c>
      <c r="P2013" s="5" t="s">
        <v>8472</v>
      </c>
      <c r="Q2013" s="15"/>
      <c r="R2013" s="16" t="s">
        <v>28</v>
      </c>
      <c r="S2013" s="15"/>
      <c r="T2013" s="15"/>
      <c r="U2013" s="15"/>
      <c r="V2013" s="15"/>
      <c r="W2013" s="15"/>
      <c r="X2013" s="15"/>
      <c r="Y2013" s="15"/>
      <c r="Z2013" s="15"/>
      <c r="AA2013" s="15"/>
    </row>
    <row r="2014">
      <c r="A2014" s="5" t="s">
        <v>8473</v>
      </c>
      <c r="B2014" s="6" t="s">
        <v>8474</v>
      </c>
      <c r="C2014" s="62" t="s">
        <v>8475</v>
      </c>
      <c r="D2014" s="11"/>
      <c r="E2014" s="11" t="s">
        <v>6889</v>
      </c>
      <c r="F2014" s="90">
        <v>250.0</v>
      </c>
      <c r="G2014" s="123" t="s">
        <v>8476</v>
      </c>
      <c r="H2014" s="11" t="s">
        <v>8477</v>
      </c>
      <c r="I2014" s="97">
        <v>7.980424725E9</v>
      </c>
      <c r="J2014" s="11" t="s">
        <v>25</v>
      </c>
      <c r="K2014" s="12"/>
      <c r="L2014" s="13"/>
      <c r="M2014" s="11" t="s">
        <v>8478</v>
      </c>
      <c r="N2014" s="5" t="s">
        <v>8479</v>
      </c>
      <c r="O2014" s="5" t="s">
        <v>34</v>
      </c>
      <c r="P2014" s="5" t="s">
        <v>8466</v>
      </c>
      <c r="Q2014" s="5" t="s">
        <v>727</v>
      </c>
      <c r="R2014" s="16" t="s">
        <v>634</v>
      </c>
      <c r="S2014" s="15"/>
      <c r="T2014" s="15"/>
      <c r="U2014" s="15"/>
      <c r="V2014" s="15"/>
      <c r="W2014" s="15"/>
      <c r="X2014" s="15"/>
      <c r="Y2014" s="15"/>
      <c r="Z2014" s="15"/>
      <c r="AA2014" s="15"/>
    </row>
    <row r="2015">
      <c r="A2015" s="5" t="s">
        <v>8480</v>
      </c>
      <c r="B2015" s="6" t="s">
        <v>8481</v>
      </c>
      <c r="C2015" s="28" t="s">
        <v>8482</v>
      </c>
      <c r="D2015" s="11"/>
      <c r="E2015" s="11" t="s">
        <v>4684</v>
      </c>
      <c r="F2015" s="90">
        <v>1000.0</v>
      </c>
      <c r="G2015" s="97" t="s">
        <v>8483</v>
      </c>
      <c r="H2015" s="11" t="s">
        <v>49</v>
      </c>
      <c r="I2015" s="36">
        <v>8.637017288E9</v>
      </c>
      <c r="J2015" s="11" t="s">
        <v>25</v>
      </c>
      <c r="K2015" s="12"/>
      <c r="L2015" s="13"/>
      <c r="M2015" s="14"/>
      <c r="N2015" s="15"/>
      <c r="O2015" s="5" t="s">
        <v>34</v>
      </c>
      <c r="P2015" s="5" t="s">
        <v>1751</v>
      </c>
      <c r="Q2015" s="15"/>
      <c r="R2015" s="16" t="s">
        <v>723</v>
      </c>
      <c r="S2015" s="15"/>
      <c r="T2015" s="15"/>
      <c r="U2015" s="15"/>
      <c r="V2015" s="15"/>
      <c r="W2015" s="15"/>
      <c r="X2015" s="15"/>
      <c r="Y2015" s="15"/>
      <c r="Z2015" s="15"/>
      <c r="AA2015" s="15"/>
    </row>
    <row r="2016">
      <c r="A2016" s="5" t="s">
        <v>8484</v>
      </c>
      <c r="B2016" s="6" t="s">
        <v>8485</v>
      </c>
      <c r="C2016" s="36" t="s">
        <v>8486</v>
      </c>
      <c r="D2016" s="36"/>
      <c r="E2016" s="28" t="s">
        <v>8487</v>
      </c>
      <c r="F2016" s="90">
        <v>700.0</v>
      </c>
      <c r="G2016" s="97" t="s">
        <v>8488</v>
      </c>
      <c r="H2016" s="11" t="s">
        <v>5667</v>
      </c>
      <c r="I2016" s="97">
        <v>8.160251354E9</v>
      </c>
      <c r="J2016" s="11" t="s">
        <v>25</v>
      </c>
      <c r="K2016" s="12" t="s">
        <v>8489</v>
      </c>
      <c r="L2016" s="13"/>
      <c r="M2016" s="14"/>
      <c r="N2016" s="5" t="s">
        <v>8490</v>
      </c>
      <c r="O2016" s="5" t="s">
        <v>108</v>
      </c>
      <c r="P2016" s="15"/>
      <c r="Q2016" s="15"/>
      <c r="R2016" s="16" t="s">
        <v>634</v>
      </c>
      <c r="S2016" s="15"/>
      <c r="T2016" s="15"/>
      <c r="U2016" s="15"/>
      <c r="V2016" s="15"/>
      <c r="W2016" s="15"/>
      <c r="X2016" s="15"/>
      <c r="Y2016" s="15"/>
      <c r="Z2016" s="15"/>
      <c r="AA2016" s="15"/>
    </row>
    <row r="2017">
      <c r="A2017" s="5" t="s">
        <v>8484</v>
      </c>
      <c r="B2017" s="6" t="s">
        <v>8491</v>
      </c>
      <c r="C2017" s="40" t="s">
        <v>8492</v>
      </c>
      <c r="D2017" s="105"/>
      <c r="E2017" s="105" t="s">
        <v>8493</v>
      </c>
      <c r="F2017" s="90">
        <v>3000.0</v>
      </c>
      <c r="G2017" s="120" t="s">
        <v>8494</v>
      </c>
      <c r="H2017" s="36" t="s">
        <v>8495</v>
      </c>
      <c r="I2017" s="97">
        <v>9.769990896E9</v>
      </c>
      <c r="J2017" s="11" t="s">
        <v>25</v>
      </c>
      <c r="K2017" s="12" t="s">
        <v>8496</v>
      </c>
      <c r="L2017" s="13"/>
      <c r="M2017" s="14"/>
      <c r="N2017" s="5" t="s">
        <v>8497</v>
      </c>
      <c r="O2017" s="5" t="s">
        <v>108</v>
      </c>
      <c r="P2017" s="15"/>
      <c r="Q2017" s="15"/>
      <c r="R2017" s="16" t="s">
        <v>634</v>
      </c>
      <c r="S2017" s="15"/>
      <c r="T2017" s="15"/>
      <c r="U2017" s="15"/>
      <c r="V2017" s="15"/>
      <c r="W2017" s="15"/>
      <c r="X2017" s="15"/>
      <c r="Y2017" s="15"/>
      <c r="Z2017" s="15"/>
      <c r="AA2017" s="15"/>
    </row>
    <row r="2018">
      <c r="A2018" s="5" t="s">
        <v>8498</v>
      </c>
      <c r="B2018" s="6" t="s">
        <v>8499</v>
      </c>
      <c r="C2018" s="197" t="s">
        <v>8500</v>
      </c>
      <c r="D2018" s="52"/>
      <c r="E2018" s="11" t="s">
        <v>189</v>
      </c>
      <c r="F2018" s="90">
        <v>5000.0</v>
      </c>
      <c r="G2018" s="198" t="s">
        <v>8501</v>
      </c>
      <c r="H2018" s="11" t="s">
        <v>44</v>
      </c>
      <c r="I2018" s="199" t="s">
        <v>8502</v>
      </c>
      <c r="J2018" s="11" t="s">
        <v>25</v>
      </c>
      <c r="K2018" s="12" t="s">
        <v>8503</v>
      </c>
      <c r="L2018" s="13"/>
      <c r="M2018" s="11" t="s">
        <v>8503</v>
      </c>
      <c r="N2018" s="15"/>
      <c r="O2018" s="5" t="s">
        <v>26</v>
      </c>
      <c r="P2018" s="5" t="s">
        <v>8504</v>
      </c>
      <c r="Q2018" s="15"/>
      <c r="R2018" s="16" t="s">
        <v>28</v>
      </c>
      <c r="S2018" s="15"/>
      <c r="T2018" s="15"/>
      <c r="U2018" s="15"/>
      <c r="V2018" s="15"/>
      <c r="W2018" s="15"/>
      <c r="X2018" s="15"/>
      <c r="Y2018" s="15"/>
      <c r="Z2018" s="15"/>
      <c r="AA2018" s="15"/>
    </row>
    <row r="2019">
      <c r="A2019" s="5" t="s">
        <v>8498</v>
      </c>
      <c r="B2019" s="6" t="s">
        <v>8505</v>
      </c>
      <c r="C2019" s="62" t="s">
        <v>8506</v>
      </c>
      <c r="D2019" s="105"/>
      <c r="E2019" s="105" t="s">
        <v>5502</v>
      </c>
      <c r="F2019" s="90" t="s">
        <v>8507</v>
      </c>
      <c r="G2019" s="120" t="s">
        <v>8508</v>
      </c>
      <c r="H2019" s="36" t="s">
        <v>8509</v>
      </c>
      <c r="I2019" s="41" t="s">
        <v>8510</v>
      </c>
      <c r="J2019" s="11" t="s">
        <v>4008</v>
      </c>
      <c r="K2019" s="12" t="s">
        <v>8511</v>
      </c>
      <c r="L2019" s="13"/>
      <c r="M2019" s="14"/>
      <c r="N2019" s="5" t="s">
        <v>8512</v>
      </c>
      <c r="O2019" s="5" t="s">
        <v>108</v>
      </c>
      <c r="P2019" s="15"/>
      <c r="Q2019" s="15"/>
      <c r="R2019" s="16" t="s">
        <v>28</v>
      </c>
      <c r="S2019" s="15"/>
      <c r="T2019" s="15"/>
      <c r="U2019" s="15"/>
      <c r="V2019" s="15"/>
      <c r="W2019" s="15"/>
      <c r="X2019" s="15"/>
      <c r="Y2019" s="15"/>
      <c r="Z2019" s="15"/>
      <c r="AA2019" s="15"/>
    </row>
    <row r="2020">
      <c r="A2020" s="5" t="s">
        <v>8498</v>
      </c>
      <c r="B2020" s="6" t="s">
        <v>8513</v>
      </c>
      <c r="C2020" s="62" t="s">
        <v>8514</v>
      </c>
      <c r="D2020" s="11"/>
      <c r="E2020" s="11" t="s">
        <v>178</v>
      </c>
      <c r="F2020" s="90">
        <v>10000.0</v>
      </c>
      <c r="G2020" s="120" t="s">
        <v>8515</v>
      </c>
      <c r="H2020" s="11" t="s">
        <v>7664</v>
      </c>
      <c r="I2020" s="97">
        <v>9.822984397E9</v>
      </c>
      <c r="J2020" s="11" t="s">
        <v>25</v>
      </c>
      <c r="K2020" s="12"/>
      <c r="L2020" s="13"/>
      <c r="M2020" s="14"/>
      <c r="N2020" s="15"/>
      <c r="O2020" s="5" t="s">
        <v>108</v>
      </c>
      <c r="P2020" s="15"/>
      <c r="Q2020" s="15"/>
      <c r="R2020" s="16" t="s">
        <v>28</v>
      </c>
      <c r="S2020" s="15"/>
      <c r="T2020" s="15"/>
      <c r="U2020" s="15"/>
      <c r="V2020" s="15"/>
      <c r="W2020" s="15"/>
      <c r="X2020" s="15"/>
      <c r="Y2020" s="15"/>
      <c r="Z2020" s="15"/>
      <c r="AA2020" s="15"/>
    </row>
    <row r="2021">
      <c r="A2021" s="5" t="s">
        <v>8516</v>
      </c>
      <c r="B2021" s="6" t="s">
        <v>8517</v>
      </c>
      <c r="C2021" s="28" t="s">
        <v>8518</v>
      </c>
      <c r="D2021" s="11"/>
      <c r="E2021" s="11" t="s">
        <v>3921</v>
      </c>
      <c r="F2021" s="90">
        <v>1000.0</v>
      </c>
      <c r="G2021" s="120" t="s">
        <v>8519</v>
      </c>
      <c r="H2021" s="11" t="s">
        <v>44</v>
      </c>
      <c r="I2021" s="97">
        <v>9.83101389E9</v>
      </c>
      <c r="J2021" s="11" t="s">
        <v>25</v>
      </c>
      <c r="K2021" s="12" t="s">
        <v>8520</v>
      </c>
      <c r="L2021" s="13"/>
      <c r="M2021" s="11" t="s">
        <v>6155</v>
      </c>
      <c r="N2021" s="5" t="s">
        <v>8521</v>
      </c>
      <c r="O2021" s="5" t="s">
        <v>34</v>
      </c>
      <c r="P2021" s="5" t="s">
        <v>8522</v>
      </c>
      <c r="Q2021" s="15"/>
      <c r="R2021" s="16" t="s">
        <v>723</v>
      </c>
      <c r="S2021" s="15"/>
      <c r="T2021" s="15"/>
      <c r="U2021" s="15"/>
      <c r="V2021" s="15"/>
      <c r="W2021" s="15"/>
      <c r="X2021" s="15"/>
      <c r="Y2021" s="15"/>
      <c r="Z2021" s="15"/>
      <c r="AA2021" s="15"/>
    </row>
    <row r="2022">
      <c r="A2022" s="5" t="s">
        <v>8523</v>
      </c>
      <c r="B2022" s="200" t="s">
        <v>8524</v>
      </c>
      <c r="C2022" s="201" t="s">
        <v>8525</v>
      </c>
      <c r="D2022" s="52"/>
      <c r="E2022" s="11" t="s">
        <v>130</v>
      </c>
      <c r="F2022" s="90">
        <v>4000.0</v>
      </c>
      <c r="G2022" s="202" t="s">
        <v>8526</v>
      </c>
      <c r="H2022" s="203" t="s">
        <v>8527</v>
      </c>
      <c r="I2022" s="204">
        <v>9.748545573E9</v>
      </c>
      <c r="J2022" s="11" t="s">
        <v>25</v>
      </c>
      <c r="K2022" s="12" t="s">
        <v>8528</v>
      </c>
      <c r="L2022" s="13"/>
      <c r="M2022" s="14"/>
      <c r="N2022" s="15"/>
      <c r="O2022" s="5" t="s">
        <v>26</v>
      </c>
      <c r="P2022" s="15"/>
      <c r="Q2022" s="15"/>
      <c r="R2022" s="16" t="s">
        <v>28</v>
      </c>
      <c r="S2022" s="15"/>
      <c r="T2022" s="15"/>
      <c r="U2022" s="15"/>
      <c r="V2022" s="15"/>
      <c r="W2022" s="15"/>
      <c r="X2022" s="15"/>
      <c r="Y2022" s="15"/>
      <c r="Z2022" s="15"/>
      <c r="AA2022" s="15"/>
    </row>
    <row r="2023">
      <c r="A2023" s="5" t="s">
        <v>8523</v>
      </c>
      <c r="B2023" s="6" t="s">
        <v>8529</v>
      </c>
      <c r="C2023" s="28" t="s">
        <v>8530</v>
      </c>
      <c r="D2023" s="11"/>
      <c r="E2023" s="11" t="s">
        <v>8531</v>
      </c>
      <c r="F2023" s="90">
        <v>2000.0</v>
      </c>
      <c r="G2023" s="205" t="s">
        <v>8532</v>
      </c>
      <c r="H2023" s="11" t="s">
        <v>1414</v>
      </c>
      <c r="I2023" s="97">
        <v>9.322393735E9</v>
      </c>
      <c r="J2023" s="11" t="s">
        <v>25</v>
      </c>
      <c r="K2023" s="12" t="s">
        <v>8533</v>
      </c>
      <c r="L2023" s="13"/>
      <c r="M2023" s="14"/>
      <c r="N2023" s="15"/>
      <c r="O2023" s="5" t="s">
        <v>34</v>
      </c>
      <c r="P2023" s="15"/>
      <c r="Q2023" s="15"/>
      <c r="R2023" s="16" t="s">
        <v>28</v>
      </c>
      <c r="S2023" s="15"/>
      <c r="T2023" s="15"/>
      <c r="U2023" s="15"/>
      <c r="V2023" s="15"/>
      <c r="W2023" s="15"/>
      <c r="X2023" s="15"/>
      <c r="Y2023" s="15"/>
      <c r="Z2023" s="15"/>
      <c r="AA2023" s="15"/>
    </row>
    <row r="2024">
      <c r="A2024" s="5" t="s">
        <v>8523</v>
      </c>
      <c r="B2024" s="6" t="s">
        <v>8534</v>
      </c>
      <c r="C2024" s="36" t="s">
        <v>8535</v>
      </c>
      <c r="D2024" s="52"/>
      <c r="E2024" s="11" t="s">
        <v>8536</v>
      </c>
      <c r="F2024" s="90">
        <v>2000.0</v>
      </c>
      <c r="G2024" s="97" t="s">
        <v>8537</v>
      </c>
      <c r="H2024" s="11" t="s">
        <v>906</v>
      </c>
      <c r="I2024" s="97">
        <v>9.607767214E9</v>
      </c>
      <c r="J2024" s="11" t="s">
        <v>25</v>
      </c>
      <c r="K2024" s="12"/>
      <c r="L2024" s="13"/>
      <c r="M2024" s="14"/>
      <c r="N2024" s="15"/>
      <c r="O2024" s="5" t="s">
        <v>108</v>
      </c>
      <c r="P2024" s="15"/>
      <c r="Q2024" s="15"/>
      <c r="R2024" s="16" t="s">
        <v>28</v>
      </c>
      <c r="S2024" s="15"/>
      <c r="T2024" s="15"/>
      <c r="U2024" s="15"/>
      <c r="V2024" s="15"/>
      <c r="W2024" s="15"/>
      <c r="X2024" s="15"/>
      <c r="Y2024" s="15"/>
      <c r="Z2024" s="15"/>
      <c r="AA2024" s="15"/>
    </row>
    <row r="2025">
      <c r="A2025" s="5" t="s">
        <v>8538</v>
      </c>
      <c r="B2025" s="6" t="s">
        <v>8539</v>
      </c>
      <c r="C2025" s="28" t="s">
        <v>8540</v>
      </c>
      <c r="D2025" s="11"/>
      <c r="E2025" s="11" t="s">
        <v>2747</v>
      </c>
      <c r="F2025" s="90">
        <v>7000.0</v>
      </c>
      <c r="G2025" s="97" t="s">
        <v>8541</v>
      </c>
      <c r="H2025" s="11" t="s">
        <v>638</v>
      </c>
      <c r="I2025" s="97">
        <v>9.892053921E9</v>
      </c>
      <c r="J2025" s="11" t="s">
        <v>25</v>
      </c>
      <c r="K2025" s="12" t="s">
        <v>8542</v>
      </c>
      <c r="L2025" s="13"/>
      <c r="M2025" s="14"/>
      <c r="N2025" s="15"/>
      <c r="O2025" s="5" t="s">
        <v>34</v>
      </c>
      <c r="P2025" s="5" t="s">
        <v>8543</v>
      </c>
      <c r="Q2025" s="15"/>
      <c r="R2025" s="16" t="s">
        <v>723</v>
      </c>
      <c r="S2025" s="15"/>
      <c r="T2025" s="15"/>
      <c r="U2025" s="15"/>
      <c r="V2025" s="15"/>
      <c r="W2025" s="15"/>
      <c r="X2025" s="15"/>
      <c r="Y2025" s="15"/>
      <c r="Z2025" s="15"/>
      <c r="AA2025" s="15"/>
    </row>
    <row r="2026">
      <c r="A2026" s="5" t="s">
        <v>8538</v>
      </c>
      <c r="B2026" s="6" t="s">
        <v>8544</v>
      </c>
      <c r="C2026" s="36" t="s">
        <v>6179</v>
      </c>
      <c r="D2026" s="52"/>
      <c r="E2026" s="11" t="s">
        <v>7659</v>
      </c>
      <c r="F2026" s="90">
        <v>20000.0</v>
      </c>
      <c r="G2026" s="126" t="s">
        <v>6180</v>
      </c>
      <c r="H2026" s="11" t="s">
        <v>44</v>
      </c>
      <c r="I2026" s="36">
        <v>9.831083858E9</v>
      </c>
      <c r="J2026" s="11" t="s">
        <v>4008</v>
      </c>
      <c r="K2026" s="12"/>
      <c r="L2026" s="13"/>
      <c r="M2026" s="14"/>
      <c r="N2026" s="15"/>
      <c r="O2026" s="5" t="s">
        <v>26</v>
      </c>
      <c r="P2026" s="15"/>
      <c r="Q2026" s="15"/>
      <c r="R2026" s="16" t="s">
        <v>28</v>
      </c>
      <c r="S2026" s="15"/>
      <c r="T2026" s="15"/>
      <c r="U2026" s="15"/>
      <c r="V2026" s="15"/>
      <c r="W2026" s="15"/>
      <c r="X2026" s="15"/>
      <c r="Y2026" s="15"/>
      <c r="Z2026" s="15"/>
      <c r="AA2026" s="15"/>
    </row>
    <row r="2027">
      <c r="A2027" s="5" t="s">
        <v>8545</v>
      </c>
      <c r="B2027" s="6" t="s">
        <v>8546</v>
      </c>
      <c r="C2027" s="62" t="s">
        <v>8547</v>
      </c>
      <c r="D2027" s="11"/>
      <c r="E2027" s="11" t="s">
        <v>8548</v>
      </c>
      <c r="F2027" s="90">
        <v>1000.0</v>
      </c>
      <c r="G2027" s="97" t="s">
        <v>8549</v>
      </c>
      <c r="H2027" s="11" t="s">
        <v>7516</v>
      </c>
      <c r="I2027" s="97">
        <v>7.506980427E9</v>
      </c>
      <c r="J2027" s="11" t="s">
        <v>25</v>
      </c>
      <c r="K2027" s="12"/>
      <c r="L2027" s="13"/>
      <c r="M2027" s="11" t="s">
        <v>8550</v>
      </c>
      <c r="N2027" s="5" t="s">
        <v>8551</v>
      </c>
      <c r="O2027" s="5" t="s">
        <v>34</v>
      </c>
      <c r="P2027" s="5" t="s">
        <v>727</v>
      </c>
      <c r="Q2027" s="15"/>
      <c r="R2027" s="16" t="s">
        <v>634</v>
      </c>
      <c r="S2027" s="15"/>
      <c r="T2027" s="15"/>
      <c r="U2027" s="15"/>
      <c r="V2027" s="15"/>
      <c r="W2027" s="15"/>
      <c r="X2027" s="15"/>
      <c r="Y2027" s="15"/>
      <c r="Z2027" s="15"/>
      <c r="AA2027" s="15"/>
    </row>
    <row r="2028">
      <c r="A2028" s="5" t="s">
        <v>8545</v>
      </c>
      <c r="B2028" s="6" t="s">
        <v>8552</v>
      </c>
      <c r="C2028" s="28" t="s">
        <v>8553</v>
      </c>
      <c r="D2028" s="11"/>
      <c r="E2028" s="11" t="s">
        <v>2747</v>
      </c>
      <c r="F2028" s="90">
        <v>2000.0</v>
      </c>
      <c r="G2028" s="120" t="s">
        <v>8554</v>
      </c>
      <c r="H2028" s="11" t="s">
        <v>906</v>
      </c>
      <c r="I2028" s="97">
        <v>9.987269181E9</v>
      </c>
      <c r="J2028" s="11" t="s">
        <v>25</v>
      </c>
      <c r="K2028" s="12"/>
      <c r="L2028" s="13"/>
      <c r="M2028" s="14"/>
      <c r="N2028" s="15"/>
      <c r="O2028" s="5" t="s">
        <v>108</v>
      </c>
      <c r="P2028" s="15"/>
      <c r="Q2028" s="15"/>
      <c r="R2028" s="16" t="s">
        <v>28</v>
      </c>
      <c r="S2028" s="15"/>
      <c r="T2028" s="15"/>
      <c r="U2028" s="15"/>
      <c r="V2028" s="15"/>
      <c r="W2028" s="15"/>
      <c r="X2028" s="15"/>
      <c r="Y2028" s="15"/>
      <c r="Z2028" s="15"/>
      <c r="AA2028" s="15"/>
    </row>
    <row r="2029">
      <c r="A2029" s="5" t="s">
        <v>8555</v>
      </c>
      <c r="B2029" s="6" t="s">
        <v>8556</v>
      </c>
      <c r="C2029" s="206" t="s">
        <v>8557</v>
      </c>
      <c r="D2029" s="207"/>
      <c r="E2029" s="11" t="s">
        <v>8558</v>
      </c>
      <c r="F2029" s="90" t="s">
        <v>8559</v>
      </c>
      <c r="G2029" s="97" t="s">
        <v>8560</v>
      </c>
      <c r="H2029" s="11" t="s">
        <v>1315</v>
      </c>
      <c r="I2029" s="97" t="s">
        <v>8561</v>
      </c>
      <c r="J2029" s="11" t="s">
        <v>25</v>
      </c>
      <c r="K2029" s="12" t="s">
        <v>8562</v>
      </c>
      <c r="L2029" s="13"/>
      <c r="M2029" s="14"/>
      <c r="N2029" s="5" t="s">
        <v>8563</v>
      </c>
      <c r="O2029" s="5" t="s">
        <v>26</v>
      </c>
      <c r="P2029" s="11" t="s">
        <v>8564</v>
      </c>
      <c r="Q2029" s="15"/>
      <c r="R2029" s="16" t="s">
        <v>28</v>
      </c>
      <c r="S2029" s="15"/>
      <c r="T2029" s="15"/>
      <c r="U2029" s="15"/>
      <c r="V2029" s="15"/>
      <c r="W2029" s="15"/>
      <c r="X2029" s="15"/>
      <c r="Y2029" s="15"/>
      <c r="Z2029" s="15"/>
      <c r="AA2029" s="15"/>
    </row>
    <row r="2030">
      <c r="A2030" s="5" t="s">
        <v>8555</v>
      </c>
      <c r="B2030" s="6" t="s">
        <v>8565</v>
      </c>
      <c r="C2030" s="36" t="s">
        <v>8566</v>
      </c>
      <c r="D2030" s="52"/>
      <c r="E2030" s="11" t="s">
        <v>8567</v>
      </c>
      <c r="F2030" s="90">
        <v>10000.0</v>
      </c>
      <c r="G2030" s="97" t="s">
        <v>8568</v>
      </c>
      <c r="H2030" s="11" t="s">
        <v>8569</v>
      </c>
      <c r="I2030" s="97">
        <v>9.051680791E9</v>
      </c>
      <c r="J2030" s="11" t="s">
        <v>25</v>
      </c>
      <c r="K2030" s="12" t="s">
        <v>8570</v>
      </c>
      <c r="L2030" s="13"/>
      <c r="M2030" s="11" t="s">
        <v>7904</v>
      </c>
      <c r="N2030" s="5" t="s">
        <v>8571</v>
      </c>
      <c r="O2030" s="5" t="s">
        <v>34</v>
      </c>
      <c r="P2030" s="5" t="s">
        <v>727</v>
      </c>
      <c r="Q2030" s="15"/>
      <c r="R2030" s="16" t="s">
        <v>28</v>
      </c>
      <c r="S2030" s="15"/>
      <c r="T2030" s="15"/>
      <c r="U2030" s="15"/>
      <c r="V2030" s="15"/>
      <c r="W2030" s="15"/>
      <c r="X2030" s="15"/>
      <c r="Y2030" s="15"/>
      <c r="Z2030" s="15"/>
      <c r="AA2030" s="15"/>
    </row>
    <row r="2031">
      <c r="A2031" s="5" t="s">
        <v>8555</v>
      </c>
      <c r="B2031" s="6" t="s">
        <v>8572</v>
      </c>
      <c r="C2031" s="208" t="s">
        <v>8573</v>
      </c>
      <c r="D2031" s="11"/>
      <c r="E2031" s="11" t="s">
        <v>189</v>
      </c>
      <c r="F2031" s="90">
        <v>2000.0</v>
      </c>
      <c r="G2031" s="97" t="s">
        <v>8574</v>
      </c>
      <c r="H2031" s="11" t="s">
        <v>44</v>
      </c>
      <c r="I2031" s="97">
        <v>9.110963548E9</v>
      </c>
      <c r="J2031" s="11" t="s">
        <v>25</v>
      </c>
      <c r="K2031" s="12" t="s">
        <v>8079</v>
      </c>
      <c r="L2031" s="13"/>
      <c r="M2031" s="14"/>
      <c r="N2031" s="5" t="s">
        <v>8575</v>
      </c>
      <c r="O2031" s="5" t="s">
        <v>34</v>
      </c>
      <c r="P2031" s="5" t="s">
        <v>8466</v>
      </c>
      <c r="Q2031" s="5" t="s">
        <v>8576</v>
      </c>
      <c r="R2031" s="16" t="s">
        <v>74</v>
      </c>
      <c r="S2031" s="15"/>
      <c r="T2031" s="15"/>
      <c r="U2031" s="15"/>
      <c r="V2031" s="15"/>
      <c r="W2031" s="15"/>
      <c r="X2031" s="15"/>
      <c r="Y2031" s="15"/>
      <c r="Z2031" s="15"/>
      <c r="AA2031" s="15"/>
    </row>
    <row r="2032">
      <c r="A2032" s="5" t="s">
        <v>8577</v>
      </c>
      <c r="B2032" s="6" t="s">
        <v>8578</v>
      </c>
      <c r="C2032" s="36" t="s">
        <v>8579</v>
      </c>
      <c r="D2032" s="52"/>
      <c r="E2032" s="11" t="s">
        <v>141</v>
      </c>
      <c r="F2032" s="90">
        <v>10000.0</v>
      </c>
      <c r="G2032" s="97" t="s">
        <v>8580</v>
      </c>
      <c r="H2032" s="11" t="s">
        <v>44</v>
      </c>
      <c r="I2032" s="97">
        <v>9.833868652E9</v>
      </c>
      <c r="J2032" s="11" t="s">
        <v>25</v>
      </c>
      <c r="K2032" s="12"/>
      <c r="L2032" s="13"/>
      <c r="M2032" s="14"/>
      <c r="N2032" s="15"/>
      <c r="O2032" s="5" t="s">
        <v>26</v>
      </c>
      <c r="P2032" s="15"/>
      <c r="Q2032" s="15"/>
      <c r="R2032" s="16" t="s">
        <v>28</v>
      </c>
      <c r="S2032" s="15"/>
      <c r="T2032" s="15"/>
      <c r="U2032" s="15"/>
      <c r="V2032" s="15"/>
      <c r="W2032" s="15"/>
      <c r="X2032" s="15"/>
      <c r="Y2032" s="15"/>
      <c r="Z2032" s="15"/>
      <c r="AA2032" s="15"/>
    </row>
    <row r="2033">
      <c r="A2033" s="5" t="s">
        <v>8581</v>
      </c>
      <c r="B2033" s="6" t="s">
        <v>8582</v>
      </c>
      <c r="C2033" s="72" t="s">
        <v>8583</v>
      </c>
      <c r="D2033" s="11"/>
      <c r="E2033" s="11" t="s">
        <v>8584</v>
      </c>
      <c r="F2033" s="90">
        <v>2000.0</v>
      </c>
      <c r="G2033" s="97" t="s">
        <v>8585</v>
      </c>
      <c r="H2033" s="11" t="s">
        <v>1082</v>
      </c>
      <c r="I2033" s="97">
        <v>7.003584419E9</v>
      </c>
      <c r="J2033" s="11" t="s">
        <v>25</v>
      </c>
      <c r="K2033" s="12" t="s">
        <v>8586</v>
      </c>
      <c r="L2033" s="13"/>
      <c r="M2033" s="14"/>
      <c r="N2033" s="15"/>
      <c r="O2033" s="5" t="s">
        <v>26</v>
      </c>
      <c r="P2033" s="5" t="s">
        <v>8587</v>
      </c>
      <c r="Q2033" s="15"/>
      <c r="R2033" s="16" t="s">
        <v>28</v>
      </c>
      <c r="S2033" s="15"/>
      <c r="T2033" s="15"/>
      <c r="U2033" s="15"/>
      <c r="V2033" s="15"/>
      <c r="W2033" s="15"/>
      <c r="X2033" s="15"/>
      <c r="Y2033" s="15"/>
      <c r="Z2033" s="15"/>
      <c r="AA2033" s="15"/>
    </row>
    <row r="2034">
      <c r="A2034" s="5" t="s">
        <v>8581</v>
      </c>
      <c r="B2034" s="6" t="s">
        <v>8588</v>
      </c>
      <c r="C2034" s="28" t="s">
        <v>8589</v>
      </c>
      <c r="D2034" s="11"/>
      <c r="E2034" s="11" t="s">
        <v>8590</v>
      </c>
      <c r="F2034" s="90">
        <v>2000.0</v>
      </c>
      <c r="G2034" s="97" t="s">
        <v>8591</v>
      </c>
      <c r="H2034" s="11" t="s">
        <v>8592</v>
      </c>
      <c r="I2034" s="36">
        <v>9.830105859E9</v>
      </c>
      <c r="J2034" s="11" t="s">
        <v>25</v>
      </c>
      <c r="K2034" s="12"/>
      <c r="L2034" s="13"/>
      <c r="M2034" s="14"/>
      <c r="N2034" s="15"/>
      <c r="O2034" s="5" t="s">
        <v>26</v>
      </c>
      <c r="P2034" s="15"/>
      <c r="Q2034" s="15"/>
      <c r="R2034" s="16" t="s">
        <v>28</v>
      </c>
      <c r="S2034" s="15"/>
      <c r="T2034" s="15"/>
      <c r="U2034" s="15"/>
      <c r="V2034" s="15"/>
      <c r="W2034" s="15"/>
      <c r="X2034" s="15"/>
      <c r="Y2034" s="15"/>
      <c r="Z2034" s="15"/>
      <c r="AA2034" s="15"/>
    </row>
    <row r="2035">
      <c r="A2035" s="5" t="s">
        <v>8581</v>
      </c>
      <c r="B2035" s="6" t="s">
        <v>8593</v>
      </c>
      <c r="C2035" s="40" t="s">
        <v>8594</v>
      </c>
      <c r="D2035" s="11"/>
      <c r="E2035" s="11" t="s">
        <v>8595</v>
      </c>
      <c r="F2035" s="90" t="s">
        <v>8596</v>
      </c>
      <c r="G2035" s="97" t="s">
        <v>8597</v>
      </c>
      <c r="H2035" s="11" t="s">
        <v>44</v>
      </c>
      <c r="I2035" s="97">
        <v>8.240524281E9</v>
      </c>
      <c r="J2035" s="11" t="s">
        <v>25</v>
      </c>
      <c r="K2035" s="12" t="s">
        <v>8598</v>
      </c>
      <c r="L2035" s="13"/>
      <c r="M2035" s="14"/>
      <c r="N2035" s="5" t="s">
        <v>8599</v>
      </c>
      <c r="O2035" s="5" t="s">
        <v>34</v>
      </c>
      <c r="P2035" s="5" t="s">
        <v>5305</v>
      </c>
      <c r="Q2035" s="5" t="s">
        <v>8600</v>
      </c>
      <c r="R2035" s="16" t="s">
        <v>6999</v>
      </c>
      <c r="S2035" s="15"/>
      <c r="T2035" s="15"/>
      <c r="U2035" s="15"/>
      <c r="V2035" s="15"/>
      <c r="W2035" s="15"/>
      <c r="X2035" s="15"/>
      <c r="Y2035" s="15"/>
      <c r="Z2035" s="15"/>
      <c r="AA2035" s="15"/>
    </row>
    <row r="2036">
      <c r="A2036" s="5" t="s">
        <v>8601</v>
      </c>
      <c r="B2036" s="6" t="s">
        <v>8602</v>
      </c>
      <c r="C2036" s="40" t="s">
        <v>8603</v>
      </c>
      <c r="D2036" s="11"/>
      <c r="E2036" s="11" t="s">
        <v>8389</v>
      </c>
      <c r="F2036" s="90">
        <v>20000.0</v>
      </c>
      <c r="G2036" s="123" t="s">
        <v>8604</v>
      </c>
      <c r="H2036" s="11" t="s">
        <v>3844</v>
      </c>
      <c r="I2036" s="97" t="s">
        <v>8605</v>
      </c>
      <c r="J2036" s="11" t="s">
        <v>25</v>
      </c>
      <c r="K2036" s="12" t="s">
        <v>8606</v>
      </c>
      <c r="L2036" s="13"/>
      <c r="M2036" s="11" t="s">
        <v>8607</v>
      </c>
      <c r="N2036" s="5" t="s">
        <v>8608</v>
      </c>
      <c r="O2036" s="5" t="s">
        <v>26</v>
      </c>
      <c r="P2036" s="5" t="s">
        <v>1786</v>
      </c>
      <c r="Q2036" s="15"/>
      <c r="R2036" s="16" t="s">
        <v>6999</v>
      </c>
      <c r="S2036" s="15"/>
      <c r="T2036" s="15"/>
      <c r="U2036" s="15"/>
      <c r="V2036" s="15"/>
      <c r="W2036" s="15"/>
      <c r="X2036" s="15"/>
      <c r="Y2036" s="15"/>
      <c r="Z2036" s="15"/>
      <c r="AA2036" s="15"/>
    </row>
    <row r="2037">
      <c r="A2037" s="5" t="s">
        <v>8601</v>
      </c>
      <c r="B2037" s="6" t="s">
        <v>8609</v>
      </c>
      <c r="C2037" s="62" t="s">
        <v>8610</v>
      </c>
      <c r="D2037" s="11"/>
      <c r="E2037" s="11" t="s">
        <v>5014</v>
      </c>
      <c r="F2037" s="9">
        <v>10000.0</v>
      </c>
      <c r="G2037" s="120" t="s">
        <v>8611</v>
      </c>
      <c r="H2037" s="11" t="s">
        <v>8612</v>
      </c>
      <c r="I2037" s="97">
        <v>9.321159E9</v>
      </c>
      <c r="J2037" s="11" t="s">
        <v>7109</v>
      </c>
      <c r="K2037" s="12" t="s">
        <v>8613</v>
      </c>
      <c r="L2037" s="13"/>
      <c r="M2037" s="14"/>
      <c r="N2037" s="5" t="s">
        <v>8614</v>
      </c>
      <c r="O2037" s="5" t="s">
        <v>108</v>
      </c>
      <c r="P2037" s="15"/>
      <c r="Q2037" s="15"/>
      <c r="R2037" s="16" t="s">
        <v>6999</v>
      </c>
      <c r="S2037" s="15"/>
      <c r="T2037" s="15"/>
      <c r="U2037" s="15"/>
      <c r="V2037" s="15"/>
      <c r="W2037" s="15"/>
      <c r="X2037" s="15"/>
      <c r="Y2037" s="15"/>
      <c r="Z2037" s="15"/>
      <c r="AA2037" s="15"/>
    </row>
    <row r="2038">
      <c r="A2038" s="5" t="s">
        <v>8601</v>
      </c>
      <c r="B2038" s="6" t="s">
        <v>8615</v>
      </c>
      <c r="C2038" s="62" t="s">
        <v>8616</v>
      </c>
      <c r="D2038" s="11"/>
      <c r="E2038" s="11" t="s">
        <v>8617</v>
      </c>
      <c r="F2038" s="90">
        <v>1200.0</v>
      </c>
      <c r="G2038" s="120" t="s">
        <v>8618</v>
      </c>
      <c r="H2038" s="11" t="s">
        <v>507</v>
      </c>
      <c r="I2038" s="97">
        <v>9.89252519E9</v>
      </c>
      <c r="J2038" s="11" t="s">
        <v>25</v>
      </c>
      <c r="K2038" s="12"/>
      <c r="L2038" s="13"/>
      <c r="M2038" s="14"/>
      <c r="N2038" s="15"/>
      <c r="O2038" s="5" t="s">
        <v>108</v>
      </c>
      <c r="P2038" s="15"/>
      <c r="Q2038" s="15"/>
      <c r="R2038" s="16" t="s">
        <v>28</v>
      </c>
      <c r="S2038" s="15"/>
      <c r="T2038" s="15"/>
      <c r="U2038" s="15"/>
      <c r="V2038" s="15"/>
      <c r="W2038" s="15"/>
      <c r="X2038" s="15"/>
      <c r="Y2038" s="15"/>
      <c r="Z2038" s="15"/>
      <c r="AA2038" s="15"/>
    </row>
    <row r="2039">
      <c r="A2039" s="5" t="s">
        <v>8601</v>
      </c>
      <c r="B2039" s="6" t="s">
        <v>8619</v>
      </c>
      <c r="C2039" s="72" t="s">
        <v>7970</v>
      </c>
      <c r="D2039" s="40"/>
      <c r="E2039" s="40" t="s">
        <v>8620</v>
      </c>
      <c r="F2039" s="90" t="s">
        <v>8621</v>
      </c>
      <c r="G2039" s="123" t="s">
        <v>7971</v>
      </c>
      <c r="H2039" s="11" t="s">
        <v>1082</v>
      </c>
      <c r="I2039" s="97" t="s">
        <v>8622</v>
      </c>
      <c r="J2039" s="11" t="s">
        <v>25</v>
      </c>
      <c r="K2039" s="12">
        <v>30.0</v>
      </c>
      <c r="L2039" s="13"/>
      <c r="M2039" s="14"/>
      <c r="N2039" s="15"/>
      <c r="O2039" s="5" t="s">
        <v>26</v>
      </c>
      <c r="P2039" s="15"/>
      <c r="Q2039" s="15"/>
      <c r="R2039" s="16" t="s">
        <v>28</v>
      </c>
      <c r="S2039" s="15"/>
      <c r="T2039" s="15"/>
      <c r="U2039" s="15"/>
      <c r="V2039" s="15"/>
      <c r="W2039" s="15"/>
      <c r="X2039" s="15"/>
      <c r="Y2039" s="15"/>
      <c r="Z2039" s="15"/>
      <c r="AA2039" s="15"/>
    </row>
    <row r="2040">
      <c r="A2040" s="5" t="s">
        <v>8601</v>
      </c>
      <c r="B2040" s="6" t="s">
        <v>8623</v>
      </c>
      <c r="C2040" s="62" t="s">
        <v>8624</v>
      </c>
      <c r="D2040" s="11"/>
      <c r="E2040" s="11" t="s">
        <v>1550</v>
      </c>
      <c r="F2040" s="90">
        <v>2000.0</v>
      </c>
      <c r="G2040" s="123" t="s">
        <v>8625</v>
      </c>
      <c r="H2040" s="11" t="s">
        <v>495</v>
      </c>
      <c r="I2040" s="97">
        <v>9.205840171E9</v>
      </c>
      <c r="J2040" s="11" t="s">
        <v>8626</v>
      </c>
      <c r="K2040" s="12"/>
      <c r="L2040" s="13"/>
      <c r="M2040" s="11" t="s">
        <v>8627</v>
      </c>
      <c r="N2040" s="5" t="s">
        <v>8628</v>
      </c>
      <c r="O2040" s="5" t="s">
        <v>34</v>
      </c>
      <c r="P2040" s="5" t="s">
        <v>727</v>
      </c>
      <c r="Q2040" s="5" t="s">
        <v>2144</v>
      </c>
      <c r="R2040" s="16" t="s">
        <v>723</v>
      </c>
      <c r="S2040" s="15"/>
      <c r="T2040" s="15"/>
      <c r="U2040" s="15"/>
      <c r="V2040" s="15"/>
      <c r="W2040" s="15"/>
      <c r="X2040" s="15"/>
      <c r="Y2040" s="15"/>
      <c r="Z2040" s="15"/>
      <c r="AA2040" s="15"/>
    </row>
    <row r="2041">
      <c r="A2041" s="5" t="s">
        <v>8629</v>
      </c>
      <c r="B2041" s="6" t="s">
        <v>8630</v>
      </c>
      <c r="C2041" s="62" t="s">
        <v>8631</v>
      </c>
      <c r="D2041" s="11"/>
      <c r="E2041" s="11" t="s">
        <v>6027</v>
      </c>
      <c r="F2041" s="90">
        <v>1000.0</v>
      </c>
      <c r="G2041" s="120" t="s">
        <v>8632</v>
      </c>
      <c r="H2041" s="11" t="s">
        <v>507</v>
      </c>
      <c r="I2041" s="97">
        <v>9.223432092E9</v>
      </c>
      <c r="J2041" s="11" t="s">
        <v>7850</v>
      </c>
      <c r="K2041" s="12"/>
      <c r="L2041" s="13"/>
      <c r="M2041" s="11" t="s">
        <v>8633</v>
      </c>
      <c r="N2041" s="5" t="s">
        <v>8634</v>
      </c>
      <c r="O2041" s="5" t="s">
        <v>108</v>
      </c>
      <c r="P2041" s="5" t="s">
        <v>8635</v>
      </c>
      <c r="Q2041" s="15"/>
      <c r="R2041" s="16" t="s">
        <v>634</v>
      </c>
      <c r="S2041" s="15"/>
      <c r="T2041" s="15"/>
      <c r="U2041" s="15"/>
      <c r="V2041" s="15"/>
      <c r="W2041" s="15"/>
      <c r="X2041" s="15"/>
      <c r="Y2041" s="15"/>
      <c r="Z2041" s="15"/>
      <c r="AA2041" s="15"/>
    </row>
    <row r="2042">
      <c r="A2042" s="5" t="s">
        <v>8629</v>
      </c>
      <c r="B2042" s="6" t="s">
        <v>8636</v>
      </c>
      <c r="C2042" s="62" t="s">
        <v>8637</v>
      </c>
      <c r="D2042" s="11"/>
      <c r="E2042" s="11" t="s">
        <v>894</v>
      </c>
      <c r="F2042" s="90">
        <v>500.0</v>
      </c>
      <c r="G2042" s="123" t="s">
        <v>2849</v>
      </c>
      <c r="H2042" s="11" t="s">
        <v>191</v>
      </c>
      <c r="I2042" s="97">
        <v>9.332489747E9</v>
      </c>
      <c r="J2042" s="11" t="s">
        <v>25</v>
      </c>
      <c r="K2042" s="12"/>
      <c r="L2042" s="13"/>
      <c r="M2042" s="11" t="s">
        <v>8638</v>
      </c>
      <c r="N2042" s="5" t="s">
        <v>8639</v>
      </c>
      <c r="O2042" s="5" t="s">
        <v>34</v>
      </c>
      <c r="P2042" s="5" t="s">
        <v>269</v>
      </c>
      <c r="Q2042" s="5" t="s">
        <v>6261</v>
      </c>
      <c r="R2042" s="16" t="s">
        <v>74</v>
      </c>
      <c r="S2042" s="15"/>
      <c r="T2042" s="15"/>
      <c r="U2042" s="15"/>
      <c r="V2042" s="15"/>
      <c r="W2042" s="15"/>
      <c r="X2042" s="15"/>
      <c r="Y2042" s="15"/>
      <c r="Z2042" s="15"/>
      <c r="AA2042" s="15"/>
    </row>
    <row r="2043">
      <c r="A2043" s="5" t="s">
        <v>8629</v>
      </c>
      <c r="B2043" s="6" t="s">
        <v>8640</v>
      </c>
      <c r="C2043" s="40" t="s">
        <v>8641</v>
      </c>
      <c r="D2043" s="11"/>
      <c r="E2043" s="11" t="s">
        <v>222</v>
      </c>
      <c r="F2043" s="9">
        <v>20000.0</v>
      </c>
      <c r="G2043" s="120" t="s">
        <v>8642</v>
      </c>
      <c r="H2043" s="11" t="s">
        <v>507</v>
      </c>
      <c r="I2043" s="209" t="s">
        <v>8643</v>
      </c>
      <c r="J2043" s="11" t="s">
        <v>25</v>
      </c>
      <c r="K2043" s="12"/>
      <c r="L2043" s="13"/>
      <c r="M2043" s="14"/>
      <c r="N2043" s="15"/>
      <c r="O2043" s="5" t="s">
        <v>108</v>
      </c>
      <c r="P2043" s="15"/>
      <c r="Q2043" s="15"/>
      <c r="R2043" s="16" t="s">
        <v>28</v>
      </c>
      <c r="S2043" s="15"/>
      <c r="T2043" s="15"/>
      <c r="U2043" s="15"/>
      <c r="V2043" s="15"/>
      <c r="W2043" s="15"/>
      <c r="X2043" s="15"/>
      <c r="Y2043" s="15"/>
      <c r="Z2043" s="15"/>
      <c r="AA2043" s="15"/>
    </row>
    <row r="2044">
      <c r="A2044" s="5" t="s">
        <v>8629</v>
      </c>
      <c r="B2044" s="6" t="s">
        <v>8644</v>
      </c>
      <c r="C2044" s="36" t="s">
        <v>8645</v>
      </c>
      <c r="D2044" s="52"/>
      <c r="E2044" s="11" t="s">
        <v>152</v>
      </c>
      <c r="F2044" s="9">
        <v>20000.0</v>
      </c>
      <c r="G2044" s="120" t="s">
        <v>8646</v>
      </c>
      <c r="H2044" s="11" t="s">
        <v>3861</v>
      </c>
      <c r="I2044" s="97">
        <v>9.022960098E9</v>
      </c>
      <c r="J2044" s="11" t="s">
        <v>3718</v>
      </c>
      <c r="K2044" s="12"/>
      <c r="L2044" s="13"/>
      <c r="M2044" s="11" t="s">
        <v>8647</v>
      </c>
      <c r="N2044" s="5" t="s">
        <v>8648</v>
      </c>
      <c r="O2044" s="5" t="s">
        <v>108</v>
      </c>
      <c r="P2044" s="15"/>
      <c r="Q2044" s="15"/>
      <c r="R2044" s="16" t="s">
        <v>634</v>
      </c>
      <c r="S2044" s="15"/>
      <c r="T2044" s="15"/>
      <c r="U2044" s="15"/>
      <c r="V2044" s="15"/>
      <c r="W2044" s="15"/>
      <c r="X2044" s="15"/>
      <c r="Y2044" s="15"/>
      <c r="Z2044" s="15"/>
      <c r="AA2044" s="15"/>
    </row>
    <row r="2045">
      <c r="A2045" s="5" t="s">
        <v>8649</v>
      </c>
      <c r="B2045" s="6" t="s">
        <v>8650</v>
      </c>
      <c r="C2045" s="72" t="s">
        <v>8651</v>
      </c>
      <c r="D2045" s="11"/>
      <c r="E2045" s="11" t="s">
        <v>8652</v>
      </c>
      <c r="F2045" s="90" t="s">
        <v>8653</v>
      </c>
      <c r="G2045" s="97" t="s">
        <v>8654</v>
      </c>
      <c r="H2045" s="11" t="s">
        <v>8655</v>
      </c>
      <c r="I2045" s="97" t="s">
        <v>8656</v>
      </c>
      <c r="J2045" s="11" t="s">
        <v>3718</v>
      </c>
      <c r="K2045" s="12" t="s">
        <v>8657</v>
      </c>
      <c r="L2045" s="13"/>
      <c r="M2045" s="14"/>
      <c r="N2045" s="5"/>
      <c r="O2045" s="5" t="s">
        <v>26</v>
      </c>
      <c r="P2045" s="15"/>
      <c r="Q2045" s="15"/>
      <c r="R2045" s="16" t="s">
        <v>28</v>
      </c>
      <c r="S2045" s="15"/>
      <c r="T2045" s="15"/>
      <c r="U2045" s="15"/>
      <c r="V2045" s="15"/>
      <c r="W2045" s="15"/>
      <c r="X2045" s="15"/>
      <c r="Y2045" s="15"/>
      <c r="Z2045" s="15"/>
      <c r="AA2045" s="15"/>
    </row>
    <row r="2046">
      <c r="A2046" s="5" t="s">
        <v>8649</v>
      </c>
      <c r="B2046" s="6" t="s">
        <v>8658</v>
      </c>
      <c r="C2046" s="40" t="s">
        <v>2610</v>
      </c>
      <c r="D2046" s="11"/>
      <c r="E2046" s="11" t="s">
        <v>4507</v>
      </c>
      <c r="F2046" s="90">
        <v>20000.0</v>
      </c>
      <c r="G2046" s="97" t="s">
        <v>8659</v>
      </c>
      <c r="H2046" s="11" t="s">
        <v>44</v>
      </c>
      <c r="I2046" s="36">
        <v>7.685035108E9</v>
      </c>
      <c r="J2046" s="11" t="s">
        <v>4008</v>
      </c>
      <c r="K2046" s="12"/>
      <c r="L2046" s="13"/>
      <c r="M2046" s="14"/>
      <c r="N2046" s="15"/>
      <c r="O2046" s="5" t="s">
        <v>34</v>
      </c>
      <c r="P2046" s="15"/>
      <c r="Q2046" s="15"/>
      <c r="R2046" s="16" t="s">
        <v>28</v>
      </c>
      <c r="S2046" s="15"/>
      <c r="T2046" s="15"/>
      <c r="U2046" s="15"/>
      <c r="V2046" s="15"/>
      <c r="W2046" s="15"/>
      <c r="X2046" s="15"/>
      <c r="Y2046" s="15"/>
      <c r="Z2046" s="15"/>
      <c r="AA2046" s="15"/>
    </row>
    <row r="2047">
      <c r="A2047" s="5" t="s">
        <v>8649</v>
      </c>
      <c r="B2047" s="6" t="s">
        <v>8660</v>
      </c>
      <c r="C2047" s="40" t="s">
        <v>8661</v>
      </c>
      <c r="D2047" s="11"/>
      <c r="E2047" s="11" t="s">
        <v>130</v>
      </c>
      <c r="F2047" s="90">
        <v>10000.0</v>
      </c>
      <c r="G2047" s="97" t="s">
        <v>8662</v>
      </c>
      <c r="H2047" s="11" t="s">
        <v>906</v>
      </c>
      <c r="I2047" s="97">
        <v>8.691037739E9</v>
      </c>
      <c r="J2047" s="11" t="s">
        <v>4008</v>
      </c>
      <c r="K2047" s="12"/>
      <c r="L2047" s="13"/>
      <c r="M2047" s="11" t="s">
        <v>8663</v>
      </c>
      <c r="N2047" s="5" t="s">
        <v>8664</v>
      </c>
      <c r="O2047" s="5" t="s">
        <v>108</v>
      </c>
      <c r="P2047" s="15"/>
      <c r="Q2047" s="15"/>
      <c r="R2047" s="16" t="s">
        <v>6999</v>
      </c>
      <c r="S2047" s="15"/>
      <c r="T2047" s="15"/>
      <c r="U2047" s="15"/>
      <c r="V2047" s="15"/>
      <c r="W2047" s="15"/>
      <c r="X2047" s="15"/>
      <c r="Y2047" s="15"/>
      <c r="Z2047" s="15"/>
      <c r="AA2047" s="15"/>
    </row>
    <row r="2048">
      <c r="A2048" s="5" t="s">
        <v>8665</v>
      </c>
      <c r="B2048" s="6" t="s">
        <v>8666</v>
      </c>
      <c r="C2048" s="62" t="s">
        <v>8667</v>
      </c>
      <c r="D2048" s="11"/>
      <c r="E2048" s="11" t="s">
        <v>222</v>
      </c>
      <c r="F2048" s="90">
        <v>15000.0</v>
      </c>
      <c r="G2048" s="97" t="s">
        <v>8668</v>
      </c>
      <c r="H2048" s="11" t="s">
        <v>985</v>
      </c>
      <c r="I2048" s="97">
        <v>9.874943449E9</v>
      </c>
      <c r="J2048" s="11" t="s">
        <v>8669</v>
      </c>
      <c r="K2048" s="12"/>
      <c r="L2048" s="13"/>
      <c r="M2048" s="11" t="s">
        <v>7820</v>
      </c>
      <c r="N2048" s="5" t="s">
        <v>8670</v>
      </c>
      <c r="O2048" s="5" t="s">
        <v>34</v>
      </c>
      <c r="P2048" s="5" t="s">
        <v>777</v>
      </c>
      <c r="Q2048" s="15"/>
      <c r="R2048" s="16" t="s">
        <v>28</v>
      </c>
      <c r="S2048" s="15"/>
      <c r="T2048" s="15"/>
      <c r="U2048" s="15"/>
      <c r="V2048" s="15"/>
      <c r="W2048" s="15"/>
      <c r="X2048" s="15"/>
      <c r="Y2048" s="15"/>
      <c r="Z2048" s="15"/>
      <c r="AA2048" s="15"/>
    </row>
    <row r="2049">
      <c r="A2049" s="5" t="s">
        <v>8671</v>
      </c>
      <c r="B2049" s="6" t="s">
        <v>8672</v>
      </c>
      <c r="C2049" s="28" t="s">
        <v>8673</v>
      </c>
      <c r="D2049" s="11"/>
      <c r="E2049" s="11" t="s">
        <v>8674</v>
      </c>
      <c r="F2049" s="90">
        <v>100.0</v>
      </c>
      <c r="G2049" s="126" t="s">
        <v>8675</v>
      </c>
      <c r="H2049" s="28" t="s">
        <v>8676</v>
      </c>
      <c r="I2049" s="28">
        <v>9.225247365E9</v>
      </c>
      <c r="J2049" s="11" t="s">
        <v>25</v>
      </c>
      <c r="K2049" s="12" t="s">
        <v>8677</v>
      </c>
      <c r="L2049" s="13"/>
      <c r="M2049" s="14"/>
      <c r="N2049" s="15"/>
      <c r="O2049" s="5" t="s">
        <v>26</v>
      </c>
      <c r="P2049" s="15"/>
      <c r="Q2049" s="15"/>
      <c r="R2049" s="16" t="s">
        <v>28</v>
      </c>
      <c r="S2049" s="15"/>
      <c r="T2049" s="15"/>
      <c r="U2049" s="15"/>
      <c r="V2049" s="15"/>
      <c r="W2049" s="15"/>
      <c r="X2049" s="15"/>
      <c r="Y2049" s="15"/>
      <c r="Z2049" s="15"/>
      <c r="AA2049" s="15"/>
    </row>
    <row r="2050">
      <c r="A2050" s="5" t="s">
        <v>8678</v>
      </c>
      <c r="B2050" s="6" t="s">
        <v>8679</v>
      </c>
      <c r="C2050" s="210" t="s">
        <v>8680</v>
      </c>
      <c r="D2050" s="211"/>
      <c r="E2050" s="212" t="s">
        <v>8681</v>
      </c>
      <c r="F2050" s="213" t="s">
        <v>8682</v>
      </c>
      <c r="G2050" s="97" t="s">
        <v>8683</v>
      </c>
      <c r="H2050" s="97" t="s">
        <v>1414</v>
      </c>
      <c r="I2050" s="214">
        <v>9.673334733E9</v>
      </c>
      <c r="J2050" s="215" t="s">
        <v>25</v>
      </c>
      <c r="K2050" s="12" t="s">
        <v>8684</v>
      </c>
      <c r="L2050" s="13"/>
      <c r="M2050" s="11" t="s">
        <v>8685</v>
      </c>
      <c r="N2050" s="5" t="s">
        <v>8686</v>
      </c>
      <c r="O2050" s="5" t="s">
        <v>26</v>
      </c>
      <c r="P2050" s="5" t="s">
        <v>8132</v>
      </c>
      <c r="Q2050" s="5" t="s">
        <v>8687</v>
      </c>
      <c r="R2050" s="16" t="s">
        <v>28</v>
      </c>
      <c r="S2050" s="15"/>
      <c r="T2050" s="15"/>
      <c r="U2050" s="15"/>
      <c r="V2050" s="15"/>
      <c r="W2050" s="15"/>
      <c r="X2050" s="15"/>
      <c r="Y2050" s="15"/>
      <c r="Z2050" s="15"/>
      <c r="AA2050" s="15"/>
    </row>
    <row r="2051">
      <c r="A2051" s="5" t="s">
        <v>8678</v>
      </c>
      <c r="B2051" s="6" t="s">
        <v>8688</v>
      </c>
      <c r="C2051" s="97" t="s">
        <v>8689</v>
      </c>
      <c r="D2051" s="11"/>
      <c r="E2051" s="11" t="s">
        <v>8590</v>
      </c>
      <c r="F2051" s="90">
        <v>20000.0</v>
      </c>
      <c r="G2051" s="97" t="s">
        <v>8690</v>
      </c>
      <c r="H2051" s="216" t="s">
        <v>8691</v>
      </c>
      <c r="I2051" s="97">
        <v>9.475137611E9</v>
      </c>
      <c r="J2051" s="11" t="s">
        <v>25</v>
      </c>
      <c r="K2051" s="12" t="s">
        <v>8677</v>
      </c>
      <c r="L2051" s="13"/>
      <c r="M2051" s="14"/>
      <c r="N2051" s="15"/>
      <c r="O2051" s="5" t="s">
        <v>26</v>
      </c>
      <c r="P2051" s="15"/>
      <c r="Q2051" s="15"/>
      <c r="R2051" s="16" t="s">
        <v>28</v>
      </c>
      <c r="S2051" s="15"/>
      <c r="T2051" s="15"/>
      <c r="U2051" s="15"/>
      <c r="V2051" s="15"/>
      <c r="W2051" s="15"/>
      <c r="X2051" s="15"/>
      <c r="Y2051" s="15"/>
      <c r="Z2051" s="15"/>
      <c r="AA2051" s="15"/>
    </row>
    <row r="2052">
      <c r="A2052" s="5" t="s">
        <v>8692</v>
      </c>
      <c r="B2052" s="6" t="s">
        <v>8693</v>
      </c>
      <c r="C2052" s="62" t="s">
        <v>8694</v>
      </c>
      <c r="D2052" s="11"/>
      <c r="E2052" s="11" t="s">
        <v>43</v>
      </c>
      <c r="F2052" s="9">
        <v>10000.0</v>
      </c>
      <c r="G2052" s="97" t="s">
        <v>8695</v>
      </c>
      <c r="H2052" s="11" t="s">
        <v>8696</v>
      </c>
      <c r="I2052" s="97">
        <v>7.002565188E9</v>
      </c>
      <c r="J2052" s="11" t="s">
        <v>8697</v>
      </c>
      <c r="K2052" s="12"/>
      <c r="L2052" s="13"/>
      <c r="M2052" s="11" t="s">
        <v>8698</v>
      </c>
      <c r="N2052" s="5" t="s">
        <v>8699</v>
      </c>
      <c r="O2052" s="5" t="s">
        <v>34</v>
      </c>
      <c r="P2052" s="11" t="s">
        <v>8700</v>
      </c>
      <c r="Q2052" s="15"/>
      <c r="R2052" s="16" t="s">
        <v>634</v>
      </c>
      <c r="S2052" s="15"/>
      <c r="T2052" s="15"/>
      <c r="U2052" s="15"/>
      <c r="V2052" s="15"/>
      <c r="W2052" s="15"/>
      <c r="X2052" s="15"/>
      <c r="Y2052" s="15"/>
      <c r="Z2052" s="15"/>
      <c r="AA2052" s="15"/>
    </row>
    <row r="2053">
      <c r="A2053" s="5" t="s">
        <v>8701</v>
      </c>
      <c r="B2053" s="6" t="s">
        <v>8702</v>
      </c>
      <c r="C2053" s="62" t="s">
        <v>8703</v>
      </c>
      <c r="D2053" s="11"/>
      <c r="E2053" s="11" t="s">
        <v>8704</v>
      </c>
      <c r="F2053" s="90">
        <v>300.0</v>
      </c>
      <c r="G2053" s="97" t="s">
        <v>8705</v>
      </c>
      <c r="H2053" s="11" t="s">
        <v>977</v>
      </c>
      <c r="I2053" s="217" t="s">
        <v>8706</v>
      </c>
      <c r="J2053" s="11"/>
      <c r="K2053" s="12"/>
      <c r="L2053" s="13"/>
      <c r="M2053" s="11" t="s">
        <v>8707</v>
      </c>
      <c r="N2053" s="5" t="s">
        <v>8708</v>
      </c>
      <c r="O2053" s="5" t="s">
        <v>34</v>
      </c>
      <c r="P2053" s="5" t="s">
        <v>777</v>
      </c>
      <c r="Q2053" s="15"/>
      <c r="R2053" s="16" t="s">
        <v>6999</v>
      </c>
      <c r="S2053" s="15"/>
      <c r="T2053" s="15"/>
      <c r="U2053" s="15"/>
      <c r="V2053" s="15"/>
      <c r="W2053" s="15"/>
      <c r="X2053" s="15"/>
      <c r="Y2053" s="15"/>
      <c r="Z2053" s="15"/>
      <c r="AA2053" s="15"/>
    </row>
    <row r="2054">
      <c r="A2054" s="5" t="s">
        <v>8701</v>
      </c>
      <c r="B2054" s="6" t="s">
        <v>8709</v>
      </c>
      <c r="C2054" s="97" t="s">
        <v>8710</v>
      </c>
      <c r="D2054" s="11"/>
      <c r="E2054" s="11" t="s">
        <v>5293</v>
      </c>
      <c r="F2054" s="90">
        <v>500.0</v>
      </c>
      <c r="G2054" s="123" t="s">
        <v>8711</v>
      </c>
      <c r="H2054" s="97" t="s">
        <v>6922</v>
      </c>
      <c r="I2054" s="216">
        <v>9.930610606E9</v>
      </c>
      <c r="J2054" s="11" t="s">
        <v>25</v>
      </c>
      <c r="K2054" s="12" t="s">
        <v>8677</v>
      </c>
      <c r="L2054" s="13"/>
      <c r="M2054" s="11" t="s">
        <v>8712</v>
      </c>
      <c r="N2054" s="5" t="s">
        <v>8713</v>
      </c>
      <c r="O2054" s="5" t="s">
        <v>108</v>
      </c>
      <c r="P2054" s="15"/>
      <c r="Q2054" s="15"/>
      <c r="R2054" s="16" t="s">
        <v>6999</v>
      </c>
      <c r="S2054" s="15"/>
      <c r="T2054" s="15"/>
      <c r="U2054" s="15"/>
      <c r="V2054" s="15"/>
      <c r="W2054" s="15"/>
      <c r="X2054" s="15"/>
      <c r="Y2054" s="15"/>
      <c r="Z2054" s="15"/>
      <c r="AA2054" s="15"/>
    </row>
    <row r="2055">
      <c r="A2055" s="5" t="s">
        <v>8714</v>
      </c>
      <c r="B2055" s="6" t="s">
        <v>8715</v>
      </c>
      <c r="C2055" s="216" t="s">
        <v>8716</v>
      </c>
      <c r="D2055" s="52"/>
      <c r="E2055" s="11" t="s">
        <v>8717</v>
      </c>
      <c r="F2055" s="90">
        <v>6000.0</v>
      </c>
      <c r="G2055" s="218" t="s">
        <v>8718</v>
      </c>
      <c r="H2055" s="11" t="s">
        <v>44</v>
      </c>
      <c r="I2055" s="97">
        <v>9.831812553E9</v>
      </c>
      <c r="J2055" s="11" t="s">
        <v>25</v>
      </c>
      <c r="K2055" s="12" t="s">
        <v>2367</v>
      </c>
      <c r="L2055" s="13"/>
      <c r="M2055" s="11" t="s">
        <v>2367</v>
      </c>
      <c r="N2055" s="5" t="s">
        <v>0</v>
      </c>
      <c r="O2055" s="5" t="s">
        <v>26</v>
      </c>
      <c r="P2055" s="15"/>
      <c r="Q2055" s="15"/>
      <c r="R2055" s="16" t="s">
        <v>6999</v>
      </c>
      <c r="S2055" s="15"/>
      <c r="T2055" s="15"/>
      <c r="U2055" s="15"/>
      <c r="V2055" s="15"/>
      <c r="W2055" s="15"/>
      <c r="X2055" s="15"/>
      <c r="Y2055" s="15"/>
      <c r="Z2055" s="15"/>
      <c r="AA2055" s="15"/>
    </row>
    <row r="2056">
      <c r="A2056" s="5" t="s">
        <v>8714</v>
      </c>
      <c r="B2056" s="6" t="s">
        <v>8719</v>
      </c>
      <c r="C2056" s="40" t="s">
        <v>8720</v>
      </c>
      <c r="D2056" s="11"/>
      <c r="E2056" s="11" t="s">
        <v>130</v>
      </c>
      <c r="F2056" s="90">
        <v>5000.0</v>
      </c>
      <c r="G2056" s="123" t="s">
        <v>8721</v>
      </c>
      <c r="H2056" s="11" t="s">
        <v>1414</v>
      </c>
      <c r="I2056" s="216">
        <v>6.375793917E9</v>
      </c>
      <c r="J2056" s="11" t="s">
        <v>25</v>
      </c>
      <c r="K2056" s="12"/>
      <c r="L2056" s="13"/>
      <c r="M2056" s="11" t="s">
        <v>8722</v>
      </c>
      <c r="N2056" s="5" t="s">
        <v>8723</v>
      </c>
      <c r="O2056" s="5" t="s">
        <v>34</v>
      </c>
      <c r="P2056" s="5" t="s">
        <v>55</v>
      </c>
      <c r="Q2056" s="15"/>
      <c r="R2056" s="16" t="s">
        <v>723</v>
      </c>
      <c r="S2056" s="15"/>
      <c r="T2056" s="15"/>
      <c r="U2056" s="15"/>
      <c r="V2056" s="15"/>
      <c r="W2056" s="15"/>
      <c r="X2056" s="15"/>
      <c r="Y2056" s="15"/>
      <c r="Z2056" s="15"/>
      <c r="AA2056" s="15"/>
    </row>
    <row r="2057">
      <c r="A2057" s="5" t="s">
        <v>8724</v>
      </c>
      <c r="B2057" s="6" t="s">
        <v>8725</v>
      </c>
      <c r="C2057" s="97" t="s">
        <v>8726</v>
      </c>
      <c r="D2057" s="11"/>
      <c r="E2057" s="11" t="s">
        <v>5293</v>
      </c>
      <c r="F2057" s="90">
        <v>8000.0</v>
      </c>
      <c r="G2057" s="219" t="s">
        <v>8727</v>
      </c>
      <c r="H2057" s="11" t="s">
        <v>8728</v>
      </c>
      <c r="I2057" s="97">
        <v>9.822978498E9</v>
      </c>
      <c r="J2057" s="11" t="s">
        <v>25</v>
      </c>
      <c r="K2057" s="12" t="s">
        <v>8677</v>
      </c>
      <c r="L2057" s="13"/>
      <c r="M2057" s="11" t="s">
        <v>8729</v>
      </c>
      <c r="N2057" s="5" t="s">
        <v>8730</v>
      </c>
      <c r="O2057" s="5" t="s">
        <v>108</v>
      </c>
      <c r="P2057" s="5" t="s">
        <v>8731</v>
      </c>
      <c r="Q2057" s="15"/>
      <c r="R2057" s="16" t="s">
        <v>6999</v>
      </c>
      <c r="S2057" s="15"/>
      <c r="T2057" s="15"/>
      <c r="U2057" s="15"/>
      <c r="V2057" s="15"/>
      <c r="W2057" s="15"/>
      <c r="X2057" s="15"/>
      <c r="Y2057" s="15"/>
      <c r="Z2057" s="15"/>
      <c r="AA2057" s="15"/>
    </row>
    <row r="2058">
      <c r="A2058" s="5" t="s">
        <v>8724</v>
      </c>
      <c r="B2058" s="6" t="s">
        <v>8732</v>
      </c>
      <c r="C2058" s="40" t="s">
        <v>8733</v>
      </c>
      <c r="D2058" s="11"/>
      <c r="E2058" s="11" t="s">
        <v>207</v>
      </c>
      <c r="F2058" s="90" t="s">
        <v>8734</v>
      </c>
      <c r="G2058" s="97" t="s">
        <v>8735</v>
      </c>
      <c r="H2058" s="11" t="s">
        <v>8736</v>
      </c>
      <c r="I2058" s="220">
        <v>9.835469809E9</v>
      </c>
      <c r="J2058" s="11" t="s">
        <v>8737</v>
      </c>
      <c r="K2058" s="12" t="s">
        <v>8466</v>
      </c>
      <c r="L2058" s="13"/>
      <c r="M2058" s="11" t="s">
        <v>8348</v>
      </c>
      <c r="N2058" s="5" t="s">
        <v>8738</v>
      </c>
      <c r="O2058" s="5" t="s">
        <v>34</v>
      </c>
      <c r="P2058" s="5" t="s">
        <v>8739</v>
      </c>
      <c r="Q2058" s="15"/>
      <c r="R2058" s="16" t="s">
        <v>6999</v>
      </c>
      <c r="S2058" s="15"/>
      <c r="T2058" s="15"/>
      <c r="U2058" s="15"/>
      <c r="V2058" s="15"/>
      <c r="W2058" s="15"/>
      <c r="X2058" s="15"/>
      <c r="Y2058" s="15"/>
      <c r="Z2058" s="15"/>
      <c r="AA2058" s="15"/>
    </row>
    <row r="2059">
      <c r="A2059" s="5" t="s">
        <v>8724</v>
      </c>
      <c r="B2059" s="6" t="s">
        <v>8740</v>
      </c>
      <c r="C2059" s="62" t="s">
        <v>8741</v>
      </c>
      <c r="D2059" s="11"/>
      <c r="E2059" s="11" t="s">
        <v>8742</v>
      </c>
      <c r="F2059" s="90" t="s">
        <v>8743</v>
      </c>
      <c r="G2059" s="97" t="s">
        <v>8744</v>
      </c>
      <c r="H2059" s="11" t="s">
        <v>8745</v>
      </c>
      <c r="I2059" s="97">
        <v>7.407027777E9</v>
      </c>
      <c r="J2059" s="11" t="s">
        <v>25</v>
      </c>
      <c r="K2059" s="12"/>
      <c r="L2059" s="13"/>
      <c r="M2059" s="11" t="s">
        <v>8746</v>
      </c>
      <c r="N2059" s="5" t="s">
        <v>8747</v>
      </c>
      <c r="O2059" s="5" t="s">
        <v>34</v>
      </c>
      <c r="P2059" s="5" t="s">
        <v>1384</v>
      </c>
      <c r="Q2059" s="5" t="s">
        <v>6261</v>
      </c>
      <c r="R2059" s="16" t="s">
        <v>551</v>
      </c>
      <c r="S2059" s="15"/>
      <c r="T2059" s="15"/>
      <c r="U2059" s="15"/>
      <c r="V2059" s="15"/>
      <c r="W2059" s="15"/>
      <c r="X2059" s="15"/>
      <c r="Y2059" s="15"/>
      <c r="Z2059" s="15"/>
      <c r="AA2059" s="15"/>
    </row>
    <row r="2060">
      <c r="A2060" s="5" t="s">
        <v>8748</v>
      </c>
      <c r="B2060" s="6" t="s">
        <v>8749</v>
      </c>
      <c r="C2060" s="97" t="s">
        <v>8750</v>
      </c>
      <c r="D2060" s="11"/>
      <c r="E2060" s="11" t="s">
        <v>8751</v>
      </c>
      <c r="F2060" s="90">
        <v>2000.0</v>
      </c>
      <c r="G2060" s="123" t="s">
        <v>8752</v>
      </c>
      <c r="H2060" s="97" t="s">
        <v>4456</v>
      </c>
      <c r="I2060" s="216">
        <v>9.819075969E9</v>
      </c>
      <c r="J2060" s="11" t="s">
        <v>4008</v>
      </c>
      <c r="K2060" s="12" t="s">
        <v>8753</v>
      </c>
      <c r="L2060" s="13"/>
      <c r="M2060" s="11" t="s">
        <v>8754</v>
      </c>
      <c r="N2060" s="5" t="s">
        <v>8755</v>
      </c>
      <c r="O2060" s="5" t="s">
        <v>108</v>
      </c>
      <c r="P2060" s="5" t="s">
        <v>8756</v>
      </c>
      <c r="Q2060" s="15"/>
      <c r="R2060" s="16" t="s">
        <v>6999</v>
      </c>
      <c r="S2060" s="15"/>
      <c r="T2060" s="15"/>
      <c r="U2060" s="15"/>
      <c r="V2060" s="15"/>
      <c r="W2060" s="15"/>
      <c r="X2060" s="15"/>
      <c r="Y2060" s="15"/>
      <c r="Z2060" s="15"/>
      <c r="AA2060" s="15"/>
    </row>
    <row r="2061">
      <c r="A2061" s="5" t="s">
        <v>8748</v>
      </c>
      <c r="B2061" s="6" t="s">
        <v>8757</v>
      </c>
      <c r="C2061" s="97" t="s">
        <v>8758</v>
      </c>
      <c r="D2061" s="11"/>
      <c r="E2061" s="11" t="s">
        <v>5014</v>
      </c>
      <c r="F2061" s="90">
        <v>1500.0</v>
      </c>
      <c r="G2061" s="123" t="s">
        <v>8759</v>
      </c>
      <c r="H2061" s="216" t="s">
        <v>8760</v>
      </c>
      <c r="I2061" s="97">
        <v>8.433092625E9</v>
      </c>
      <c r="J2061" s="11" t="s">
        <v>25</v>
      </c>
      <c r="K2061" s="12" t="s">
        <v>8753</v>
      </c>
      <c r="L2061" s="13"/>
      <c r="M2061" s="14"/>
      <c r="N2061" s="15"/>
      <c r="O2061" s="5" t="s">
        <v>34</v>
      </c>
      <c r="P2061" s="5" t="s">
        <v>777</v>
      </c>
      <c r="Q2061" s="15"/>
      <c r="R2061" s="16" t="s">
        <v>28</v>
      </c>
      <c r="S2061" s="15"/>
      <c r="T2061" s="15"/>
      <c r="U2061" s="15"/>
      <c r="V2061" s="15"/>
      <c r="W2061" s="15"/>
      <c r="X2061" s="15"/>
      <c r="Y2061" s="15"/>
      <c r="Z2061" s="15"/>
      <c r="AA2061" s="15"/>
    </row>
    <row r="2062">
      <c r="A2062" s="5" t="s">
        <v>8748</v>
      </c>
      <c r="B2062" s="6" t="s">
        <v>8761</v>
      </c>
      <c r="C2062" s="216" t="s">
        <v>8762</v>
      </c>
      <c r="D2062" s="52"/>
      <c r="E2062" s="11" t="s">
        <v>152</v>
      </c>
      <c r="F2062" s="90">
        <v>10000.0</v>
      </c>
      <c r="G2062" s="97" t="s">
        <v>8763</v>
      </c>
      <c r="H2062" s="11" t="s">
        <v>8374</v>
      </c>
      <c r="I2062" s="97">
        <v>7.62060468E9</v>
      </c>
      <c r="J2062" s="11" t="s">
        <v>4008</v>
      </c>
      <c r="K2062" s="12" t="s">
        <v>8753</v>
      </c>
      <c r="L2062" s="13"/>
      <c r="M2062" s="11" t="s">
        <v>8764</v>
      </c>
      <c r="N2062" s="5" t="s">
        <v>8765</v>
      </c>
      <c r="O2062" s="5" t="s">
        <v>108</v>
      </c>
      <c r="P2062" s="15"/>
      <c r="Q2062" s="15"/>
      <c r="R2062" s="16" t="s">
        <v>6999</v>
      </c>
      <c r="S2062" s="15"/>
      <c r="T2062" s="15"/>
      <c r="U2062" s="15"/>
      <c r="V2062" s="15"/>
      <c r="W2062" s="15"/>
      <c r="X2062" s="15"/>
      <c r="Y2062" s="15"/>
      <c r="Z2062" s="15"/>
      <c r="AA2062" s="15"/>
    </row>
    <row r="2063">
      <c r="A2063" s="5" t="s">
        <v>8766</v>
      </c>
      <c r="B2063" s="6" t="s">
        <v>8767</v>
      </c>
      <c r="C2063" s="62" t="s">
        <v>8768</v>
      </c>
      <c r="D2063" s="11"/>
      <c r="E2063" s="11" t="s">
        <v>8769</v>
      </c>
      <c r="F2063" s="90" t="s">
        <v>8770</v>
      </c>
      <c r="G2063" s="97" t="s">
        <v>8771</v>
      </c>
      <c r="H2063" s="11" t="s">
        <v>8772</v>
      </c>
      <c r="I2063" s="221">
        <v>8.638595815E9</v>
      </c>
      <c r="J2063" s="11" t="s">
        <v>8773</v>
      </c>
      <c r="K2063" s="12"/>
      <c r="L2063" s="13"/>
      <c r="M2063" s="11" t="s">
        <v>8774</v>
      </c>
      <c r="N2063" s="5" t="s">
        <v>8775</v>
      </c>
      <c r="O2063" s="5" t="s">
        <v>34</v>
      </c>
      <c r="P2063" s="5" t="s">
        <v>8776</v>
      </c>
      <c r="Q2063" s="5" t="s">
        <v>6261</v>
      </c>
      <c r="R2063" s="16" t="s">
        <v>551</v>
      </c>
      <c r="S2063" s="15"/>
      <c r="T2063" s="15"/>
      <c r="U2063" s="15"/>
      <c r="V2063" s="15"/>
      <c r="W2063" s="15"/>
      <c r="X2063" s="15"/>
      <c r="Y2063" s="15"/>
      <c r="Z2063" s="15"/>
      <c r="AA2063" s="15"/>
    </row>
    <row r="2064">
      <c r="A2064" s="5" t="s">
        <v>8766</v>
      </c>
      <c r="B2064" s="6" t="s">
        <v>8777</v>
      </c>
      <c r="C2064" s="62" t="s">
        <v>8778</v>
      </c>
      <c r="D2064" s="11"/>
      <c r="E2064" s="11" t="s">
        <v>8779</v>
      </c>
      <c r="F2064" s="90">
        <v>1000.0</v>
      </c>
      <c r="G2064" s="97" t="s">
        <v>8780</v>
      </c>
      <c r="H2064" s="11" t="s">
        <v>8781</v>
      </c>
      <c r="I2064" s="97">
        <v>9.830807194E9</v>
      </c>
      <c r="J2064" s="11" t="s">
        <v>25</v>
      </c>
      <c r="K2064" s="12"/>
      <c r="L2064" s="13"/>
      <c r="M2064" s="11" t="s">
        <v>8782</v>
      </c>
      <c r="N2064" s="5" t="s">
        <v>8783</v>
      </c>
      <c r="O2064" s="5" t="s">
        <v>34</v>
      </c>
      <c r="P2064" s="5" t="s">
        <v>1384</v>
      </c>
      <c r="Q2064" s="5" t="s">
        <v>334</v>
      </c>
      <c r="R2064" s="16" t="s">
        <v>28</v>
      </c>
      <c r="S2064" s="15"/>
      <c r="T2064" s="15"/>
      <c r="U2064" s="15"/>
      <c r="V2064" s="15"/>
      <c r="W2064" s="15"/>
      <c r="X2064" s="15"/>
      <c r="Y2064" s="15"/>
      <c r="Z2064" s="15"/>
      <c r="AA2064" s="15"/>
    </row>
    <row r="2065">
      <c r="A2065" s="5" t="s">
        <v>8766</v>
      </c>
      <c r="B2065" s="6" t="s">
        <v>8784</v>
      </c>
      <c r="C2065" s="62" t="s">
        <v>8785</v>
      </c>
      <c r="D2065" s="11"/>
      <c r="E2065" s="11" t="s">
        <v>5203</v>
      </c>
      <c r="F2065" s="90">
        <v>4000.0</v>
      </c>
      <c r="G2065" s="97" t="s">
        <v>8786</v>
      </c>
      <c r="H2065" s="11" t="s">
        <v>218</v>
      </c>
      <c r="I2065" s="97">
        <v>9.732652441E9</v>
      </c>
      <c r="J2065" s="11" t="s">
        <v>8787</v>
      </c>
      <c r="K2065" s="12"/>
      <c r="L2065" s="13"/>
      <c r="M2065" s="11" t="s">
        <v>4365</v>
      </c>
      <c r="N2065" s="5" t="s">
        <v>8788</v>
      </c>
      <c r="O2065" s="5" t="s">
        <v>34</v>
      </c>
      <c r="P2065" s="5" t="s">
        <v>8789</v>
      </c>
      <c r="Q2065" s="5" t="s">
        <v>6625</v>
      </c>
      <c r="R2065" s="16" t="s">
        <v>551</v>
      </c>
      <c r="S2065" s="15"/>
      <c r="T2065" s="15"/>
      <c r="U2065" s="15"/>
      <c r="V2065" s="15"/>
      <c r="W2065" s="15"/>
      <c r="X2065" s="15"/>
      <c r="Y2065" s="15"/>
      <c r="Z2065" s="15"/>
      <c r="AA2065" s="15"/>
    </row>
    <row r="2066">
      <c r="A2066" s="5" t="s">
        <v>8790</v>
      </c>
      <c r="B2066" s="6" t="s">
        <v>8791</v>
      </c>
      <c r="C2066" s="97" t="s">
        <v>8792</v>
      </c>
      <c r="D2066" s="11"/>
      <c r="E2066" s="11" t="s">
        <v>207</v>
      </c>
      <c r="F2066" s="90">
        <v>1000.0</v>
      </c>
      <c r="G2066" s="97" t="s">
        <v>8793</v>
      </c>
      <c r="H2066" s="11" t="s">
        <v>44</v>
      </c>
      <c r="I2066" s="97">
        <v>9.433433455E9</v>
      </c>
      <c r="J2066" s="11" t="s">
        <v>25</v>
      </c>
      <c r="K2066" s="12"/>
      <c r="L2066" s="13"/>
      <c r="M2066" s="11" t="s">
        <v>8348</v>
      </c>
      <c r="N2066" s="15"/>
      <c r="O2066" s="5" t="s">
        <v>34</v>
      </c>
      <c r="P2066" s="5" t="s">
        <v>1384</v>
      </c>
      <c r="Q2066" s="5" t="s">
        <v>2983</v>
      </c>
      <c r="R2066" s="16" t="s">
        <v>28</v>
      </c>
      <c r="S2066" s="15"/>
      <c r="T2066" s="15"/>
      <c r="U2066" s="15"/>
      <c r="V2066" s="15"/>
      <c r="W2066" s="15"/>
      <c r="X2066" s="15"/>
      <c r="Y2066" s="15"/>
      <c r="Z2066" s="15"/>
      <c r="AA2066" s="15"/>
    </row>
    <row r="2067">
      <c r="A2067" s="5" t="s">
        <v>8794</v>
      </c>
      <c r="B2067" s="6" t="s">
        <v>8795</v>
      </c>
      <c r="C2067" s="222" t="s">
        <v>8796</v>
      </c>
      <c r="D2067" s="223"/>
      <c r="E2067" s="223" t="s">
        <v>8797</v>
      </c>
      <c r="F2067" s="90">
        <v>1000.0</v>
      </c>
      <c r="G2067" s="97" t="s">
        <v>8798</v>
      </c>
      <c r="H2067" s="11" t="s">
        <v>1082</v>
      </c>
      <c r="I2067" s="97" t="s">
        <v>8799</v>
      </c>
      <c r="J2067" s="11" t="s">
        <v>4008</v>
      </c>
      <c r="K2067" s="12" t="s">
        <v>4804</v>
      </c>
      <c r="L2067" s="13"/>
      <c r="M2067" s="90" t="s">
        <v>8800</v>
      </c>
      <c r="N2067" s="15"/>
      <c r="O2067" s="5" t="s">
        <v>26</v>
      </c>
      <c r="P2067" s="5" t="s">
        <v>8801</v>
      </c>
      <c r="Q2067" s="15"/>
      <c r="R2067" s="16" t="s">
        <v>28</v>
      </c>
      <c r="S2067" s="15"/>
      <c r="T2067" s="15"/>
      <c r="U2067" s="15"/>
      <c r="V2067" s="15"/>
      <c r="W2067" s="15"/>
      <c r="X2067" s="15"/>
      <c r="Y2067" s="15"/>
      <c r="Z2067" s="15"/>
      <c r="AA2067" s="15"/>
    </row>
    <row r="2068">
      <c r="A2068" s="5" t="s">
        <v>8794</v>
      </c>
      <c r="B2068" s="6" t="s">
        <v>8802</v>
      </c>
      <c r="C2068" s="97" t="s">
        <v>6777</v>
      </c>
      <c r="D2068" s="11"/>
      <c r="E2068" s="11" t="s">
        <v>38</v>
      </c>
      <c r="F2068" s="90">
        <v>80000.0</v>
      </c>
      <c r="G2068" s="97" t="s">
        <v>8803</v>
      </c>
      <c r="H2068" s="11" t="s">
        <v>44</v>
      </c>
      <c r="I2068" s="97">
        <v>9.830354006E9</v>
      </c>
      <c r="J2068" s="11" t="s">
        <v>4008</v>
      </c>
      <c r="K2068" s="12" t="s">
        <v>8804</v>
      </c>
      <c r="L2068" s="13"/>
      <c r="M2068" s="14"/>
      <c r="N2068" s="15"/>
      <c r="O2068" s="5" t="s">
        <v>34</v>
      </c>
      <c r="P2068" s="5" t="s">
        <v>777</v>
      </c>
      <c r="Q2068" s="15"/>
      <c r="R2068" s="16" t="s">
        <v>28</v>
      </c>
      <c r="S2068" s="15"/>
      <c r="T2068" s="15"/>
      <c r="U2068" s="15"/>
      <c r="V2068" s="15"/>
      <c r="W2068" s="15"/>
      <c r="X2068" s="15"/>
      <c r="Y2068" s="15"/>
      <c r="Z2068" s="15"/>
      <c r="AA2068" s="15"/>
    </row>
    <row r="2069">
      <c r="A2069" s="5" t="s">
        <v>8794</v>
      </c>
      <c r="B2069" s="6" t="s">
        <v>8805</v>
      </c>
      <c r="C2069" s="97" t="s">
        <v>8806</v>
      </c>
      <c r="D2069" s="216"/>
      <c r="E2069" s="216" t="s">
        <v>8807</v>
      </c>
      <c r="F2069" s="90">
        <v>1000.0</v>
      </c>
      <c r="G2069" s="97" t="s">
        <v>8808</v>
      </c>
      <c r="H2069" s="97" t="s">
        <v>4456</v>
      </c>
      <c r="I2069" s="97">
        <v>9.699732143E9</v>
      </c>
      <c r="J2069" s="11" t="s">
        <v>4008</v>
      </c>
      <c r="K2069" s="12" t="s">
        <v>8677</v>
      </c>
      <c r="L2069" s="13"/>
      <c r="M2069" s="11" t="s">
        <v>8809</v>
      </c>
      <c r="N2069" s="5" t="s">
        <v>8810</v>
      </c>
      <c r="O2069" s="5" t="s">
        <v>108</v>
      </c>
      <c r="P2069" s="5" t="s">
        <v>8811</v>
      </c>
      <c r="Q2069" s="15"/>
      <c r="R2069" s="16" t="s">
        <v>28</v>
      </c>
      <c r="S2069" s="15"/>
      <c r="T2069" s="15"/>
      <c r="U2069" s="15"/>
      <c r="V2069" s="15"/>
      <c r="W2069" s="15"/>
      <c r="X2069" s="15"/>
      <c r="Y2069" s="15"/>
      <c r="Z2069" s="15"/>
      <c r="AA2069" s="15"/>
    </row>
    <row r="2070">
      <c r="A2070" s="5" t="s">
        <v>8812</v>
      </c>
      <c r="B2070" s="6" t="s">
        <v>8813</v>
      </c>
      <c r="C2070" s="216" t="s">
        <v>8814</v>
      </c>
      <c r="D2070" s="52"/>
      <c r="E2070" s="11" t="s">
        <v>116</v>
      </c>
      <c r="F2070" s="90">
        <v>2000.0</v>
      </c>
      <c r="G2070" s="97" t="s">
        <v>8815</v>
      </c>
      <c r="H2070" s="216" t="s">
        <v>5661</v>
      </c>
      <c r="I2070" s="97">
        <v>9.10660915E9</v>
      </c>
      <c r="J2070" s="11" t="s">
        <v>25</v>
      </c>
      <c r="K2070" s="12" t="s">
        <v>8677</v>
      </c>
      <c r="L2070" s="13"/>
      <c r="M2070" s="11">
        <v>115.0</v>
      </c>
      <c r="N2070" s="5" t="s">
        <v>8816</v>
      </c>
      <c r="O2070" s="5" t="s">
        <v>108</v>
      </c>
      <c r="P2070" s="15"/>
      <c r="Q2070" s="15"/>
      <c r="R2070" s="16" t="s">
        <v>6999</v>
      </c>
      <c r="S2070" s="15"/>
      <c r="T2070" s="15"/>
      <c r="U2070" s="15"/>
      <c r="V2070" s="15"/>
      <c r="W2070" s="15"/>
      <c r="X2070" s="15"/>
      <c r="Y2070" s="15"/>
      <c r="Z2070" s="15"/>
      <c r="AA2070" s="15"/>
    </row>
    <row r="2071">
      <c r="A2071" s="5" t="s">
        <v>8812</v>
      </c>
      <c r="B2071" s="6" t="s">
        <v>8817</v>
      </c>
      <c r="C2071" s="97" t="s">
        <v>8818</v>
      </c>
      <c r="D2071" s="11"/>
      <c r="E2071" s="11" t="s">
        <v>3634</v>
      </c>
      <c r="F2071" s="90">
        <v>10000.0</v>
      </c>
      <c r="G2071" s="219" t="s">
        <v>8819</v>
      </c>
      <c r="H2071" s="97" t="s">
        <v>8820</v>
      </c>
      <c r="I2071" s="97">
        <v>9.96777367E9</v>
      </c>
      <c r="J2071" s="11" t="s">
        <v>4008</v>
      </c>
      <c r="K2071" s="12" t="s">
        <v>8677</v>
      </c>
      <c r="L2071" s="13"/>
      <c r="M2071" s="14"/>
      <c r="N2071" s="15"/>
      <c r="O2071" s="5" t="s">
        <v>108</v>
      </c>
      <c r="P2071" s="5" t="s">
        <v>8821</v>
      </c>
      <c r="Q2071" s="15"/>
      <c r="R2071" s="16" t="s">
        <v>28</v>
      </c>
      <c r="S2071" s="15"/>
      <c r="T2071" s="15"/>
      <c r="U2071" s="15"/>
      <c r="V2071" s="15"/>
      <c r="W2071" s="15"/>
      <c r="X2071" s="15"/>
      <c r="Y2071" s="15"/>
      <c r="Z2071" s="15"/>
      <c r="AA2071" s="15"/>
    </row>
    <row r="2072">
      <c r="A2072" s="5" t="s">
        <v>8812</v>
      </c>
      <c r="B2072" s="6" t="s">
        <v>8822</v>
      </c>
      <c r="C2072" s="216" t="s">
        <v>8823</v>
      </c>
      <c r="D2072" s="216"/>
      <c r="E2072" s="97" t="s">
        <v>116</v>
      </c>
      <c r="F2072" s="90">
        <v>1000.0</v>
      </c>
      <c r="G2072" s="97" t="s">
        <v>8824</v>
      </c>
      <c r="H2072" s="11" t="s">
        <v>906</v>
      </c>
      <c r="I2072" s="97">
        <v>9.821527862E9</v>
      </c>
      <c r="J2072" s="11" t="s">
        <v>25</v>
      </c>
      <c r="K2072" s="12" t="s">
        <v>8677</v>
      </c>
      <c r="L2072" s="13"/>
      <c r="M2072" s="11">
        <v>115.0</v>
      </c>
      <c r="N2072" s="5" t="s">
        <v>8825</v>
      </c>
      <c r="O2072" s="5" t="s">
        <v>108</v>
      </c>
      <c r="P2072" s="15"/>
      <c r="Q2072" s="15"/>
      <c r="R2072" s="16" t="s">
        <v>6999</v>
      </c>
      <c r="S2072" s="15"/>
      <c r="T2072" s="15"/>
      <c r="U2072" s="15"/>
      <c r="V2072" s="15"/>
      <c r="W2072" s="15"/>
      <c r="X2072" s="15"/>
      <c r="Y2072" s="15"/>
      <c r="Z2072" s="15"/>
      <c r="AA2072" s="15"/>
    </row>
    <row r="2073">
      <c r="A2073" s="5" t="s">
        <v>8826</v>
      </c>
      <c r="B2073" s="6" t="s">
        <v>8827</v>
      </c>
      <c r="C2073" s="40" t="s">
        <v>8828</v>
      </c>
      <c r="D2073" s="11"/>
      <c r="E2073" s="11" t="s">
        <v>8829</v>
      </c>
      <c r="F2073" s="90" t="s">
        <v>8830</v>
      </c>
      <c r="G2073" s="97" t="s">
        <v>8831</v>
      </c>
      <c r="H2073" s="11" t="s">
        <v>44</v>
      </c>
      <c r="I2073" s="97">
        <v>8.98125384E9</v>
      </c>
      <c r="J2073" s="11" t="s">
        <v>25</v>
      </c>
      <c r="K2073" s="12" t="s">
        <v>8832</v>
      </c>
      <c r="L2073" s="13"/>
      <c r="M2073" s="14"/>
      <c r="N2073" s="5" t="s">
        <v>8833</v>
      </c>
      <c r="O2073" s="5" t="s">
        <v>26</v>
      </c>
      <c r="P2073" s="5" t="s">
        <v>8834</v>
      </c>
      <c r="Q2073" s="5" t="s">
        <v>8835</v>
      </c>
      <c r="R2073" s="16" t="s">
        <v>6999</v>
      </c>
      <c r="S2073" s="15"/>
      <c r="T2073" s="15"/>
      <c r="U2073" s="15"/>
      <c r="V2073" s="15"/>
      <c r="W2073" s="15"/>
      <c r="X2073" s="15"/>
      <c r="Y2073" s="15"/>
      <c r="Z2073" s="15"/>
      <c r="AA2073" s="15"/>
    </row>
    <row r="2074">
      <c r="A2074" s="5" t="s">
        <v>8836</v>
      </c>
      <c r="B2074" s="6" t="s">
        <v>8837</v>
      </c>
      <c r="C2074" s="97" t="s">
        <v>8838</v>
      </c>
      <c r="D2074" s="11"/>
      <c r="E2074" s="11" t="s">
        <v>152</v>
      </c>
      <c r="F2074" s="90">
        <v>2000.0</v>
      </c>
      <c r="G2074" s="97" t="s">
        <v>8839</v>
      </c>
      <c r="H2074" s="216" t="s">
        <v>8840</v>
      </c>
      <c r="I2074" s="97">
        <v>9.860031918E9</v>
      </c>
      <c r="J2074" s="11" t="s">
        <v>25</v>
      </c>
      <c r="K2074" s="12"/>
      <c r="L2074" s="13"/>
      <c r="M2074" s="14"/>
      <c r="N2074" s="15"/>
      <c r="O2074" s="5" t="s">
        <v>108</v>
      </c>
      <c r="P2074" s="15"/>
      <c r="Q2074" s="15"/>
      <c r="R2074" s="16" t="s">
        <v>28</v>
      </c>
      <c r="S2074" s="15"/>
      <c r="T2074" s="15"/>
      <c r="U2074" s="15"/>
      <c r="V2074" s="15"/>
      <c r="W2074" s="15"/>
      <c r="X2074" s="15"/>
      <c r="Y2074" s="15"/>
      <c r="Z2074" s="15"/>
      <c r="AA2074" s="15"/>
    </row>
    <row r="2075">
      <c r="A2075" s="5" t="s">
        <v>8836</v>
      </c>
      <c r="B2075" s="6" t="s">
        <v>8841</v>
      </c>
      <c r="C2075" s="224" t="s">
        <v>8842</v>
      </c>
      <c r="D2075" s="52"/>
      <c r="E2075" s="11" t="s">
        <v>8843</v>
      </c>
      <c r="F2075" s="90">
        <v>4000.0</v>
      </c>
      <c r="G2075" s="225" t="s">
        <v>8844</v>
      </c>
      <c r="H2075" s="11" t="s">
        <v>268</v>
      </c>
      <c r="I2075" s="226" t="s">
        <v>8845</v>
      </c>
      <c r="J2075" s="11" t="s">
        <v>25</v>
      </c>
      <c r="K2075" s="12" t="s">
        <v>890</v>
      </c>
      <c r="L2075" s="13"/>
      <c r="M2075" s="11" t="s">
        <v>890</v>
      </c>
      <c r="N2075" s="5" t="s">
        <v>8846</v>
      </c>
      <c r="O2075" s="5" t="s">
        <v>26</v>
      </c>
      <c r="P2075" s="5" t="s">
        <v>2632</v>
      </c>
      <c r="Q2075" s="15"/>
      <c r="R2075" s="16" t="s">
        <v>28</v>
      </c>
      <c r="S2075" s="15"/>
      <c r="T2075" s="15"/>
      <c r="U2075" s="15"/>
      <c r="V2075" s="15"/>
      <c r="W2075" s="15"/>
      <c r="X2075" s="15"/>
      <c r="Y2075" s="15"/>
      <c r="Z2075" s="15"/>
      <c r="AA2075" s="15"/>
    </row>
    <row r="2076">
      <c r="A2076" s="5" t="s">
        <v>8836</v>
      </c>
      <c r="B2076" s="6" t="s">
        <v>8847</v>
      </c>
      <c r="C2076" s="97" t="s">
        <v>8848</v>
      </c>
      <c r="D2076" s="11"/>
      <c r="E2076" s="11" t="s">
        <v>3971</v>
      </c>
      <c r="F2076" s="90">
        <v>1000.0</v>
      </c>
      <c r="G2076" s="123" t="s">
        <v>8849</v>
      </c>
      <c r="H2076" s="216" t="s">
        <v>3090</v>
      </c>
      <c r="I2076" s="97">
        <v>9.830263788E9</v>
      </c>
      <c r="J2076" s="11" t="s">
        <v>25</v>
      </c>
      <c r="K2076" s="12"/>
      <c r="L2076" s="13"/>
      <c r="M2076" s="14"/>
      <c r="N2076" s="15"/>
      <c r="O2076" s="5" t="s">
        <v>26</v>
      </c>
      <c r="P2076" s="15"/>
      <c r="Q2076" s="15"/>
      <c r="R2076" s="16" t="s">
        <v>28</v>
      </c>
      <c r="S2076" s="15"/>
      <c r="T2076" s="15"/>
      <c r="U2076" s="15"/>
      <c r="V2076" s="15"/>
      <c r="W2076" s="15"/>
      <c r="X2076" s="15"/>
      <c r="Y2076" s="15"/>
      <c r="Z2076" s="15"/>
      <c r="AA2076" s="15"/>
    </row>
    <row r="2077">
      <c r="A2077" s="5" t="s">
        <v>8836</v>
      </c>
      <c r="B2077" s="6" t="s">
        <v>8850</v>
      </c>
      <c r="C2077" s="226" t="s">
        <v>8851</v>
      </c>
      <c r="D2077" s="52"/>
      <c r="E2077" s="11" t="s">
        <v>7197</v>
      </c>
      <c r="F2077" s="90">
        <v>12000.0</v>
      </c>
      <c r="G2077" s="226" t="s">
        <v>8852</v>
      </c>
      <c r="H2077" s="11" t="s">
        <v>44</v>
      </c>
      <c r="I2077" s="227">
        <v>8.481971906E9</v>
      </c>
      <c r="J2077" s="11" t="s">
        <v>25</v>
      </c>
      <c r="K2077" s="12" t="s">
        <v>2947</v>
      </c>
      <c r="L2077" s="13"/>
      <c r="M2077" s="14"/>
      <c r="N2077" s="5" t="s">
        <v>8853</v>
      </c>
      <c r="O2077" s="5" t="s">
        <v>34</v>
      </c>
      <c r="P2077" s="5" t="s">
        <v>8466</v>
      </c>
      <c r="Q2077" s="5" t="s">
        <v>269</v>
      </c>
      <c r="R2077" s="16" t="s">
        <v>551</v>
      </c>
      <c r="S2077" s="15"/>
      <c r="T2077" s="15"/>
      <c r="U2077" s="15"/>
      <c r="V2077" s="15"/>
      <c r="W2077" s="15"/>
      <c r="X2077" s="15"/>
      <c r="Y2077" s="15"/>
      <c r="Z2077" s="15"/>
      <c r="AA2077" s="15"/>
    </row>
    <row r="2078">
      <c r="A2078" s="5" t="s">
        <v>8854</v>
      </c>
      <c r="B2078" s="6" t="s">
        <v>8855</v>
      </c>
      <c r="C2078" s="40" t="s">
        <v>8856</v>
      </c>
      <c r="D2078" s="11"/>
      <c r="E2078" s="11" t="s">
        <v>222</v>
      </c>
      <c r="F2078" s="90">
        <v>1500.0</v>
      </c>
      <c r="G2078" s="97" t="s">
        <v>8857</v>
      </c>
      <c r="H2078" s="11" t="s">
        <v>8858</v>
      </c>
      <c r="I2078" s="97">
        <v>9.674847474E9</v>
      </c>
      <c r="J2078" s="11" t="s">
        <v>8859</v>
      </c>
      <c r="K2078" s="12"/>
      <c r="L2078" s="13"/>
      <c r="M2078" s="11" t="s">
        <v>8860</v>
      </c>
      <c r="N2078" s="5" t="s">
        <v>8861</v>
      </c>
      <c r="O2078" s="5" t="s">
        <v>34</v>
      </c>
      <c r="P2078" s="5" t="s">
        <v>2144</v>
      </c>
      <c r="Q2078" s="15"/>
      <c r="R2078" s="16" t="s">
        <v>248</v>
      </c>
      <c r="S2078" s="15"/>
      <c r="T2078" s="15"/>
      <c r="U2078" s="15"/>
      <c r="V2078" s="15"/>
      <c r="W2078" s="15"/>
      <c r="X2078" s="15"/>
      <c r="Y2078" s="15"/>
      <c r="Z2078" s="15"/>
      <c r="AA2078" s="15"/>
    </row>
    <row r="2079">
      <c r="A2079" s="5" t="s">
        <v>8862</v>
      </c>
      <c r="B2079" s="6" t="s">
        <v>8863</v>
      </c>
      <c r="C2079" s="40" t="s">
        <v>8864</v>
      </c>
      <c r="D2079" s="11"/>
      <c r="E2079" s="11" t="s">
        <v>3634</v>
      </c>
      <c r="F2079" s="90">
        <v>1500.0</v>
      </c>
      <c r="G2079" s="157"/>
      <c r="H2079" s="11" t="s">
        <v>1227</v>
      </c>
      <c r="I2079" s="97">
        <v>8.777761655E9</v>
      </c>
      <c r="J2079" s="11" t="s">
        <v>4008</v>
      </c>
      <c r="K2079" s="12"/>
      <c r="L2079" s="13"/>
      <c r="M2079" s="11" t="s">
        <v>8865</v>
      </c>
      <c r="N2079" s="15"/>
      <c r="O2079" s="5" t="s">
        <v>34</v>
      </c>
      <c r="P2079" s="11" t="s">
        <v>8866</v>
      </c>
      <c r="Q2079" s="15"/>
      <c r="R2079" s="16" t="s">
        <v>248</v>
      </c>
      <c r="S2079" s="15"/>
      <c r="T2079" s="15"/>
      <c r="U2079" s="15"/>
      <c r="V2079" s="15"/>
      <c r="W2079" s="15"/>
      <c r="X2079" s="15"/>
      <c r="Y2079" s="15"/>
      <c r="Z2079" s="15"/>
      <c r="AA2079" s="15"/>
    </row>
    <row r="2080">
      <c r="A2080" s="5" t="s">
        <v>8862</v>
      </c>
      <c r="B2080" s="6" t="s">
        <v>8867</v>
      </c>
      <c r="C2080" s="216" t="s">
        <v>8868</v>
      </c>
      <c r="D2080" s="52"/>
      <c r="E2080" s="11" t="s">
        <v>152</v>
      </c>
      <c r="F2080" s="90">
        <v>18000.0</v>
      </c>
      <c r="G2080" s="123" t="s">
        <v>8869</v>
      </c>
      <c r="H2080" s="11" t="s">
        <v>906</v>
      </c>
      <c r="I2080" s="97">
        <v>8.99904094E9</v>
      </c>
      <c r="J2080" s="11" t="s">
        <v>4008</v>
      </c>
      <c r="K2080" s="12"/>
      <c r="L2080" s="13"/>
      <c r="M2080" s="11" t="s">
        <v>8764</v>
      </c>
      <c r="N2080" s="5" t="s">
        <v>8870</v>
      </c>
      <c r="O2080" s="5" t="s">
        <v>108</v>
      </c>
      <c r="P2080" s="15"/>
      <c r="Q2080" s="15"/>
      <c r="R2080" s="16" t="s">
        <v>6999</v>
      </c>
      <c r="S2080" s="15"/>
      <c r="T2080" s="15"/>
      <c r="U2080" s="15"/>
      <c r="V2080" s="15"/>
      <c r="W2080" s="15"/>
      <c r="X2080" s="15"/>
      <c r="Y2080" s="15"/>
      <c r="Z2080" s="15"/>
      <c r="AA2080" s="15"/>
    </row>
    <row r="2081">
      <c r="A2081" s="5" t="s">
        <v>8871</v>
      </c>
      <c r="B2081" s="6" t="s">
        <v>8872</v>
      </c>
      <c r="C2081" s="40" t="s">
        <v>8873</v>
      </c>
      <c r="D2081" s="11"/>
      <c r="E2081" s="11" t="s">
        <v>152</v>
      </c>
      <c r="F2081" s="90">
        <v>20000.0</v>
      </c>
      <c r="G2081" s="226" t="s">
        <v>8874</v>
      </c>
      <c r="H2081" s="11" t="s">
        <v>906</v>
      </c>
      <c r="I2081" s="216">
        <v>9.665896839E9</v>
      </c>
      <c r="J2081" s="11" t="s">
        <v>4008</v>
      </c>
      <c r="K2081" s="12" t="s">
        <v>8753</v>
      </c>
      <c r="L2081" s="12" t="s">
        <v>0</v>
      </c>
      <c r="M2081" s="11" t="s">
        <v>8875</v>
      </c>
      <c r="N2081" s="5" t="s">
        <v>8876</v>
      </c>
      <c r="O2081" s="5" t="s">
        <v>108</v>
      </c>
      <c r="P2081" s="5" t="s">
        <v>8877</v>
      </c>
      <c r="Q2081" s="15"/>
      <c r="R2081" s="16" t="s">
        <v>6999</v>
      </c>
      <c r="S2081" s="15"/>
      <c r="T2081" s="15"/>
      <c r="U2081" s="15"/>
      <c r="V2081" s="15"/>
      <c r="W2081" s="15"/>
      <c r="X2081" s="15"/>
      <c r="Y2081" s="15"/>
      <c r="Z2081" s="15"/>
      <c r="AA2081" s="15"/>
    </row>
    <row r="2082">
      <c r="A2082" s="5" t="s">
        <v>8871</v>
      </c>
      <c r="B2082" s="6" t="s">
        <v>8878</v>
      </c>
      <c r="C2082" s="216" t="s">
        <v>8879</v>
      </c>
      <c r="D2082" s="52"/>
      <c r="E2082" s="11" t="s">
        <v>4123</v>
      </c>
      <c r="F2082" s="90">
        <v>1000.0</v>
      </c>
      <c r="G2082" s="123" t="s">
        <v>8880</v>
      </c>
      <c r="H2082" s="216" t="s">
        <v>8374</v>
      </c>
      <c r="I2082" s="97">
        <v>9.881145069E9</v>
      </c>
      <c r="J2082" s="11" t="s">
        <v>25</v>
      </c>
      <c r="K2082" s="12" t="s">
        <v>8753</v>
      </c>
      <c r="L2082" s="13"/>
      <c r="M2082" s="11" t="s">
        <v>8881</v>
      </c>
      <c r="N2082" s="5" t="s">
        <v>8882</v>
      </c>
      <c r="O2082" s="5" t="s">
        <v>108</v>
      </c>
      <c r="P2082" s="15"/>
      <c r="Q2082" s="15"/>
      <c r="R2082" s="16" t="s">
        <v>6999</v>
      </c>
      <c r="S2082" s="15"/>
      <c r="T2082" s="15"/>
      <c r="U2082" s="15"/>
      <c r="V2082" s="15"/>
      <c r="W2082" s="15"/>
      <c r="X2082" s="15"/>
      <c r="Y2082" s="15"/>
      <c r="Z2082" s="15"/>
      <c r="AA2082" s="15"/>
    </row>
    <row r="2083">
      <c r="A2083" s="5" t="s">
        <v>8871</v>
      </c>
      <c r="B2083" s="6" t="s">
        <v>8883</v>
      </c>
      <c r="C2083" s="40" t="s">
        <v>8884</v>
      </c>
      <c r="D2083" s="11"/>
      <c r="E2083" s="11" t="s">
        <v>2482</v>
      </c>
      <c r="F2083" s="90">
        <v>1000.0</v>
      </c>
      <c r="G2083" s="226" t="s">
        <v>8885</v>
      </c>
      <c r="H2083" s="11" t="s">
        <v>44</v>
      </c>
      <c r="I2083" s="228">
        <v>6.290824009E9</v>
      </c>
      <c r="J2083" s="11" t="s">
        <v>25</v>
      </c>
      <c r="K2083" s="12" t="s">
        <v>8886</v>
      </c>
      <c r="L2083" s="13"/>
      <c r="M2083" s="14"/>
      <c r="N2083" s="15"/>
      <c r="O2083" s="5" t="s">
        <v>26</v>
      </c>
      <c r="P2083" s="5" t="s">
        <v>8887</v>
      </c>
      <c r="Q2083" s="15"/>
      <c r="R2083" s="16" t="s">
        <v>28</v>
      </c>
      <c r="S2083" s="15"/>
      <c r="T2083" s="15"/>
      <c r="U2083" s="15"/>
      <c r="V2083" s="15"/>
      <c r="W2083" s="15"/>
      <c r="X2083" s="15"/>
      <c r="Y2083" s="15"/>
      <c r="Z2083" s="15"/>
      <c r="AA2083" s="15"/>
    </row>
    <row r="2084">
      <c r="A2084" s="5" t="s">
        <v>8871</v>
      </c>
      <c r="B2084" s="6" t="s">
        <v>8888</v>
      </c>
      <c r="C2084" s="229" t="s">
        <v>8889</v>
      </c>
      <c r="D2084" s="11"/>
      <c r="E2084" s="11" t="s">
        <v>8890</v>
      </c>
      <c r="F2084" s="90">
        <v>20000.0</v>
      </c>
      <c r="G2084" s="97" t="s">
        <v>8891</v>
      </c>
      <c r="H2084" s="11" t="s">
        <v>131</v>
      </c>
      <c r="I2084" s="229">
        <v>7.001941776E9</v>
      </c>
      <c r="J2084" s="11" t="s">
        <v>4008</v>
      </c>
      <c r="K2084" s="12" t="s">
        <v>8753</v>
      </c>
      <c r="L2084" s="13"/>
      <c r="M2084" s="14"/>
      <c r="N2084" s="15"/>
      <c r="O2084" s="5" t="s">
        <v>26</v>
      </c>
      <c r="P2084" s="15"/>
      <c r="Q2084" s="15"/>
      <c r="R2084" s="16" t="s">
        <v>28</v>
      </c>
      <c r="S2084" s="15"/>
      <c r="T2084" s="15"/>
      <c r="U2084" s="15"/>
      <c r="V2084" s="15"/>
      <c r="W2084" s="15"/>
      <c r="X2084" s="15"/>
      <c r="Y2084" s="15"/>
      <c r="Z2084" s="15"/>
      <c r="AA2084" s="15"/>
    </row>
    <row r="2085">
      <c r="A2085" s="5" t="s">
        <v>8871</v>
      </c>
      <c r="B2085" s="6" t="s">
        <v>8892</v>
      </c>
      <c r="C2085" s="216" t="s">
        <v>8893</v>
      </c>
      <c r="D2085" s="52"/>
      <c r="E2085" s="11" t="s">
        <v>3049</v>
      </c>
      <c r="F2085" s="90">
        <v>1000.0</v>
      </c>
      <c r="G2085" s="123" t="s">
        <v>8894</v>
      </c>
      <c r="H2085" s="11" t="s">
        <v>8895</v>
      </c>
      <c r="I2085" s="216">
        <v>7.597248073E9</v>
      </c>
      <c r="J2085" s="11" t="s">
        <v>25</v>
      </c>
      <c r="K2085" s="12" t="s">
        <v>8753</v>
      </c>
      <c r="L2085" s="13"/>
      <c r="M2085" s="11" t="s">
        <v>8896</v>
      </c>
      <c r="N2085" s="5" t="s">
        <v>8897</v>
      </c>
      <c r="O2085" s="5" t="s">
        <v>108</v>
      </c>
      <c r="P2085" s="15"/>
      <c r="Q2085" s="15"/>
      <c r="R2085" s="16" t="s">
        <v>6999</v>
      </c>
      <c r="S2085" s="15"/>
      <c r="T2085" s="15"/>
      <c r="U2085" s="15"/>
      <c r="V2085" s="15"/>
      <c r="W2085" s="15"/>
      <c r="X2085" s="15"/>
      <c r="Y2085" s="15"/>
      <c r="Z2085" s="15"/>
      <c r="AA2085" s="15"/>
    </row>
    <row r="2086">
      <c r="A2086" s="5" t="s">
        <v>8898</v>
      </c>
      <c r="B2086" s="6" t="s">
        <v>8899</v>
      </c>
      <c r="C2086" s="97" t="s">
        <v>8900</v>
      </c>
      <c r="D2086" s="11"/>
      <c r="E2086" s="11" t="s">
        <v>1175</v>
      </c>
      <c r="F2086" s="90">
        <v>1000.0</v>
      </c>
      <c r="G2086" s="123" t="s">
        <v>8901</v>
      </c>
      <c r="H2086" s="216" t="s">
        <v>8902</v>
      </c>
      <c r="I2086" s="97">
        <v>8.789792931E9</v>
      </c>
      <c r="J2086" s="11" t="s">
        <v>25</v>
      </c>
      <c r="K2086" s="12" t="s">
        <v>2713</v>
      </c>
      <c r="L2086" s="13"/>
      <c r="M2086" s="14"/>
      <c r="N2086" s="15"/>
      <c r="O2086" s="5" t="s">
        <v>26</v>
      </c>
      <c r="P2086" s="5" t="s">
        <v>8903</v>
      </c>
      <c r="Q2086" s="15"/>
      <c r="R2086" s="16" t="s">
        <v>28</v>
      </c>
      <c r="S2086" s="15"/>
      <c r="T2086" s="15"/>
      <c r="U2086" s="15"/>
      <c r="V2086" s="15"/>
      <c r="W2086" s="15"/>
      <c r="X2086" s="15"/>
      <c r="Y2086" s="15"/>
      <c r="Z2086" s="15"/>
      <c r="AA2086" s="15"/>
    </row>
    <row r="2087">
      <c r="A2087" s="5" t="s">
        <v>8898</v>
      </c>
      <c r="B2087" s="6" t="s">
        <v>8904</v>
      </c>
      <c r="C2087" s="216" t="s">
        <v>8905</v>
      </c>
      <c r="D2087" s="52"/>
      <c r="E2087" s="11" t="s">
        <v>8906</v>
      </c>
      <c r="F2087" s="90">
        <v>10000.0</v>
      </c>
      <c r="G2087" s="123" t="s">
        <v>8907</v>
      </c>
      <c r="H2087" s="97" t="s">
        <v>8908</v>
      </c>
      <c r="I2087" s="216">
        <v>9.832059395E9</v>
      </c>
      <c r="J2087" s="11" t="s">
        <v>4008</v>
      </c>
      <c r="K2087" s="12" t="s">
        <v>3171</v>
      </c>
      <c r="L2087" s="13"/>
      <c r="M2087" s="14"/>
      <c r="N2087" s="15"/>
      <c r="O2087" s="5" t="s">
        <v>26</v>
      </c>
      <c r="P2087" s="5" t="s">
        <v>8909</v>
      </c>
      <c r="Q2087" s="15"/>
      <c r="R2087" s="16" t="s">
        <v>28</v>
      </c>
      <c r="S2087" s="15"/>
      <c r="T2087" s="15"/>
      <c r="U2087" s="15"/>
      <c r="V2087" s="15"/>
      <c r="W2087" s="15"/>
      <c r="X2087" s="15"/>
      <c r="Y2087" s="15"/>
      <c r="Z2087" s="15"/>
      <c r="AA2087" s="15"/>
    </row>
    <row r="2088">
      <c r="A2088" s="5" t="s">
        <v>8898</v>
      </c>
      <c r="B2088" s="6" t="s">
        <v>8910</v>
      </c>
      <c r="C2088" s="97" t="s">
        <v>6557</v>
      </c>
      <c r="D2088" s="11"/>
      <c r="E2088" s="11" t="s">
        <v>70</v>
      </c>
      <c r="F2088" s="90">
        <v>25000.0</v>
      </c>
      <c r="G2088" s="123" t="s">
        <v>8911</v>
      </c>
      <c r="H2088" s="11" t="s">
        <v>44</v>
      </c>
      <c r="I2088" s="97">
        <v>9.831050338E9</v>
      </c>
      <c r="J2088" s="11" t="s">
        <v>25</v>
      </c>
      <c r="K2088" s="12" t="s">
        <v>1536</v>
      </c>
      <c r="L2088" s="13"/>
      <c r="M2088" s="11" t="s">
        <v>1536</v>
      </c>
      <c r="N2088" s="15"/>
      <c r="O2088" s="5" t="s">
        <v>26</v>
      </c>
      <c r="P2088" s="5" t="s">
        <v>2632</v>
      </c>
      <c r="Q2088" s="15"/>
      <c r="R2088" s="16" t="s">
        <v>28</v>
      </c>
      <c r="S2088" s="15"/>
      <c r="T2088" s="15"/>
      <c r="U2088" s="15"/>
      <c r="V2088" s="15"/>
      <c r="W2088" s="15"/>
      <c r="X2088" s="15"/>
      <c r="Y2088" s="15"/>
      <c r="Z2088" s="15"/>
      <c r="AA2088" s="15"/>
    </row>
    <row r="2089">
      <c r="A2089" s="5" t="s">
        <v>8898</v>
      </c>
      <c r="B2089" s="6" t="s">
        <v>8912</v>
      </c>
      <c r="C2089" s="216" t="s">
        <v>8913</v>
      </c>
      <c r="D2089" s="52"/>
      <c r="E2089" s="11" t="s">
        <v>7868</v>
      </c>
      <c r="F2089" s="90">
        <v>1000.0</v>
      </c>
      <c r="G2089" s="123" t="s">
        <v>8914</v>
      </c>
      <c r="H2089" s="11" t="s">
        <v>398</v>
      </c>
      <c r="I2089" s="216">
        <v>9.222046507E9</v>
      </c>
      <c r="J2089" s="11" t="s">
        <v>25</v>
      </c>
      <c r="K2089" s="12" t="s">
        <v>8677</v>
      </c>
      <c r="L2089" s="13"/>
      <c r="M2089" s="14"/>
      <c r="N2089" s="15"/>
      <c r="O2089" s="5" t="s">
        <v>108</v>
      </c>
      <c r="P2089" s="15"/>
      <c r="Q2089" s="15"/>
      <c r="R2089" s="16" t="s">
        <v>28</v>
      </c>
      <c r="S2089" s="15"/>
      <c r="T2089" s="15"/>
      <c r="U2089" s="15"/>
      <c r="V2089" s="15"/>
      <c r="W2089" s="15"/>
      <c r="X2089" s="15"/>
      <c r="Y2089" s="15"/>
      <c r="Z2089" s="15"/>
      <c r="AA2089" s="15"/>
    </row>
    <row r="2090">
      <c r="A2090" s="5" t="s">
        <v>8915</v>
      </c>
      <c r="B2090" s="6" t="s">
        <v>8916</v>
      </c>
      <c r="C2090" s="97" t="s">
        <v>8917</v>
      </c>
      <c r="D2090" s="11"/>
      <c r="E2090" s="11" t="s">
        <v>152</v>
      </c>
      <c r="F2090" s="90">
        <v>3000.0</v>
      </c>
      <c r="G2090" s="123" t="s">
        <v>8918</v>
      </c>
      <c r="H2090" s="216" t="s">
        <v>8919</v>
      </c>
      <c r="I2090" s="97">
        <v>9.527350535E9</v>
      </c>
      <c r="J2090" s="11" t="s">
        <v>25</v>
      </c>
      <c r="K2090" s="12"/>
      <c r="L2090" s="13"/>
      <c r="M2090" s="11" t="s">
        <v>8920</v>
      </c>
      <c r="N2090" s="5" t="s">
        <v>8921</v>
      </c>
      <c r="O2090" s="5" t="s">
        <v>108</v>
      </c>
      <c r="P2090" s="5" t="s">
        <v>8922</v>
      </c>
      <c r="Q2090" s="5" t="s">
        <v>8923</v>
      </c>
      <c r="R2090" s="16" t="s">
        <v>28</v>
      </c>
      <c r="S2090" s="15"/>
      <c r="T2090" s="15"/>
      <c r="U2090" s="15"/>
      <c r="V2090" s="15"/>
      <c r="W2090" s="15"/>
      <c r="X2090" s="15"/>
      <c r="Y2090" s="15"/>
      <c r="Z2090" s="15"/>
      <c r="AA2090" s="15"/>
    </row>
    <row r="2091">
      <c r="A2091" s="5" t="s">
        <v>8915</v>
      </c>
      <c r="B2091" s="6" t="s">
        <v>8924</v>
      </c>
      <c r="C2091" s="216" t="s">
        <v>8925</v>
      </c>
      <c r="D2091" s="52"/>
      <c r="E2091" s="11" t="s">
        <v>3926</v>
      </c>
      <c r="F2091" s="90">
        <v>35000.0</v>
      </c>
      <c r="G2091" s="123" t="s">
        <v>8926</v>
      </c>
      <c r="H2091" s="11" t="s">
        <v>4165</v>
      </c>
      <c r="I2091" s="97">
        <v>9.737496477E9</v>
      </c>
      <c r="J2091" s="11" t="s">
        <v>25</v>
      </c>
      <c r="K2091" s="12" t="s">
        <v>8677</v>
      </c>
      <c r="L2091" s="13"/>
      <c r="M2091" s="11" t="s">
        <v>8927</v>
      </c>
      <c r="N2091" s="5" t="s">
        <v>8928</v>
      </c>
      <c r="O2091" s="5" t="s">
        <v>108</v>
      </c>
      <c r="P2091" s="15"/>
      <c r="Q2091" s="15"/>
      <c r="R2091" s="16" t="s">
        <v>6999</v>
      </c>
      <c r="S2091" s="15"/>
      <c r="T2091" s="15"/>
      <c r="U2091" s="15"/>
      <c r="V2091" s="15"/>
      <c r="W2091" s="15"/>
      <c r="X2091" s="15"/>
      <c r="Y2091" s="15"/>
      <c r="Z2091" s="15"/>
      <c r="AA2091" s="15"/>
    </row>
    <row r="2092">
      <c r="A2092" s="5" t="s">
        <v>8915</v>
      </c>
      <c r="B2092" s="6" t="s">
        <v>8929</v>
      </c>
      <c r="C2092" s="97" t="s">
        <v>8930</v>
      </c>
      <c r="D2092" s="11"/>
      <c r="E2092" s="11" t="s">
        <v>8931</v>
      </c>
      <c r="F2092" s="90">
        <v>6000.0</v>
      </c>
      <c r="G2092" s="123" t="s">
        <v>8932</v>
      </c>
      <c r="H2092" s="11" t="s">
        <v>44</v>
      </c>
      <c r="I2092" s="97">
        <v>9.831038745E9</v>
      </c>
      <c r="J2092" s="11" t="s">
        <v>4008</v>
      </c>
      <c r="K2092" s="12"/>
      <c r="L2092" s="13"/>
      <c r="M2092" s="14"/>
      <c r="N2092" s="15"/>
      <c r="O2092" s="5" t="s">
        <v>26</v>
      </c>
      <c r="P2092" s="11" t="s">
        <v>8933</v>
      </c>
      <c r="Q2092" s="15"/>
      <c r="R2092" s="16" t="s">
        <v>28</v>
      </c>
      <c r="S2092" s="15"/>
      <c r="T2092" s="15"/>
      <c r="U2092" s="15"/>
      <c r="V2092" s="15"/>
      <c r="W2092" s="15"/>
      <c r="X2092" s="15"/>
      <c r="Y2092" s="15"/>
      <c r="Z2092" s="15"/>
      <c r="AA2092" s="15"/>
    </row>
    <row r="2093">
      <c r="A2093" s="5" t="s">
        <v>8915</v>
      </c>
      <c r="B2093" s="6" t="s">
        <v>8934</v>
      </c>
      <c r="C2093" s="216" t="s">
        <v>8935</v>
      </c>
      <c r="D2093" s="52"/>
      <c r="E2093" s="11" t="s">
        <v>8931</v>
      </c>
      <c r="F2093" s="90">
        <v>2000.0</v>
      </c>
      <c r="G2093" s="123" t="s">
        <v>8936</v>
      </c>
      <c r="H2093" s="11" t="s">
        <v>44</v>
      </c>
      <c r="I2093" s="216">
        <v>8.697608432E9</v>
      </c>
      <c r="J2093" s="11" t="s">
        <v>25</v>
      </c>
      <c r="K2093" s="12"/>
      <c r="L2093" s="13"/>
      <c r="M2093" s="14"/>
      <c r="N2093" s="15"/>
      <c r="O2093" s="5" t="s">
        <v>26</v>
      </c>
      <c r="P2093" s="5" t="s">
        <v>66</v>
      </c>
      <c r="Q2093" s="15"/>
      <c r="R2093" s="16" t="s">
        <v>28</v>
      </c>
      <c r="S2093" s="15"/>
      <c r="T2093" s="15"/>
      <c r="U2093" s="15"/>
      <c r="V2093" s="15"/>
      <c r="W2093" s="15"/>
      <c r="X2093" s="15"/>
      <c r="Y2093" s="15"/>
      <c r="Z2093" s="15"/>
      <c r="AA2093" s="15"/>
    </row>
    <row r="2094">
      <c r="A2094" s="5" t="s">
        <v>8937</v>
      </c>
      <c r="B2094" s="6" t="s">
        <v>8938</v>
      </c>
      <c r="C2094" s="40" t="s">
        <v>8939</v>
      </c>
      <c r="D2094" s="11"/>
      <c r="E2094" s="11" t="s">
        <v>8940</v>
      </c>
      <c r="F2094" s="90">
        <v>1000.0</v>
      </c>
      <c r="G2094" s="97" t="s">
        <v>8941</v>
      </c>
      <c r="H2094" s="11" t="s">
        <v>8942</v>
      </c>
      <c r="I2094" s="97">
        <v>8.24086815E9</v>
      </c>
      <c r="J2094" s="11" t="s">
        <v>7109</v>
      </c>
      <c r="K2094" s="12"/>
      <c r="L2094" s="13"/>
      <c r="M2094" s="11" t="s">
        <v>8943</v>
      </c>
      <c r="N2094" s="5" t="s">
        <v>8944</v>
      </c>
      <c r="O2094" s="5" t="s">
        <v>34</v>
      </c>
      <c r="P2094" s="5" t="s">
        <v>8945</v>
      </c>
      <c r="Q2094" s="15"/>
      <c r="R2094" s="16" t="s">
        <v>28</v>
      </c>
      <c r="S2094" s="15"/>
      <c r="T2094" s="15"/>
      <c r="U2094" s="15"/>
      <c r="V2094" s="15"/>
      <c r="W2094" s="15"/>
      <c r="X2094" s="15"/>
      <c r="Y2094" s="15"/>
      <c r="Z2094" s="15"/>
      <c r="AA2094" s="15"/>
    </row>
    <row r="2095">
      <c r="A2095" s="5" t="s">
        <v>8937</v>
      </c>
      <c r="B2095" s="6" t="s">
        <v>8946</v>
      </c>
      <c r="C2095" s="216" t="s">
        <v>8947</v>
      </c>
      <c r="D2095" s="52"/>
      <c r="E2095" s="11" t="s">
        <v>152</v>
      </c>
      <c r="F2095" s="90">
        <v>20000.0</v>
      </c>
      <c r="G2095" s="123" t="s">
        <v>8948</v>
      </c>
      <c r="H2095" s="216" t="s">
        <v>8949</v>
      </c>
      <c r="I2095" s="97">
        <v>9.987529473E9</v>
      </c>
      <c r="J2095" s="11" t="s">
        <v>4008</v>
      </c>
      <c r="K2095" s="12" t="s">
        <v>8677</v>
      </c>
      <c r="L2095" s="13"/>
      <c r="M2095" s="11" t="s">
        <v>8950</v>
      </c>
      <c r="N2095" s="5" t="s">
        <v>8951</v>
      </c>
      <c r="O2095" s="5" t="s">
        <v>108</v>
      </c>
      <c r="P2095" s="15"/>
      <c r="Q2095" s="15"/>
      <c r="R2095" s="16" t="s">
        <v>6999</v>
      </c>
      <c r="S2095" s="15"/>
      <c r="T2095" s="15"/>
      <c r="U2095" s="15"/>
      <c r="V2095" s="15"/>
      <c r="W2095" s="15"/>
      <c r="X2095" s="15"/>
      <c r="Y2095" s="15"/>
      <c r="Z2095" s="15"/>
      <c r="AA2095" s="15"/>
    </row>
    <row r="2096">
      <c r="A2096" s="5" t="s">
        <v>8952</v>
      </c>
      <c r="B2096" s="6" t="s">
        <v>8953</v>
      </c>
      <c r="C2096" s="40" t="s">
        <v>8954</v>
      </c>
      <c r="D2096" s="11"/>
      <c r="E2096" s="11" t="s">
        <v>8955</v>
      </c>
      <c r="F2096" s="90">
        <v>10000.0</v>
      </c>
      <c r="G2096" s="97" t="s">
        <v>8956</v>
      </c>
      <c r="H2096" s="11" t="s">
        <v>467</v>
      </c>
      <c r="I2096" s="97" t="s">
        <v>8957</v>
      </c>
      <c r="J2096" s="11" t="s">
        <v>25</v>
      </c>
      <c r="K2096" s="12" t="s">
        <v>2341</v>
      </c>
      <c r="L2096" s="13"/>
      <c r="M2096" s="14"/>
      <c r="N2096" s="15"/>
      <c r="O2096" s="5" t="s">
        <v>26</v>
      </c>
      <c r="P2096" s="5" t="s">
        <v>8958</v>
      </c>
      <c r="Q2096" s="15"/>
      <c r="R2096" s="16"/>
      <c r="S2096" s="15"/>
      <c r="T2096" s="15"/>
      <c r="U2096" s="15"/>
      <c r="V2096" s="15"/>
      <c r="W2096" s="15"/>
      <c r="X2096" s="15"/>
      <c r="Y2096" s="15"/>
      <c r="Z2096" s="15"/>
      <c r="AA2096" s="15"/>
    </row>
    <row r="2097">
      <c r="A2097" s="5" t="s">
        <v>8959</v>
      </c>
      <c r="B2097" s="6" t="s">
        <v>8960</v>
      </c>
      <c r="C2097" s="97" t="s">
        <v>8961</v>
      </c>
      <c r="D2097" s="11"/>
      <c r="E2097" s="11" t="s">
        <v>8962</v>
      </c>
      <c r="F2097" s="90">
        <v>300.0</v>
      </c>
      <c r="G2097" s="123" t="s">
        <v>8963</v>
      </c>
      <c r="H2097" s="216" t="s">
        <v>8964</v>
      </c>
      <c r="I2097" s="97">
        <v>7.275502799E9</v>
      </c>
      <c r="J2097" s="11" t="s">
        <v>25</v>
      </c>
      <c r="K2097" s="12"/>
      <c r="L2097" s="13"/>
      <c r="M2097" s="14"/>
      <c r="N2097" s="15"/>
      <c r="O2097" s="5" t="s">
        <v>108</v>
      </c>
      <c r="P2097" s="15"/>
      <c r="Q2097" s="15"/>
      <c r="R2097" s="16" t="s">
        <v>28</v>
      </c>
      <c r="S2097" s="15"/>
      <c r="T2097" s="15"/>
      <c r="U2097" s="15"/>
      <c r="V2097" s="15"/>
      <c r="W2097" s="15"/>
      <c r="X2097" s="15"/>
      <c r="Y2097" s="15"/>
      <c r="Z2097" s="15"/>
      <c r="AA2097" s="15"/>
    </row>
    <row r="2098">
      <c r="A2098" s="5" t="s">
        <v>8965</v>
      </c>
      <c r="B2098" s="6" t="s">
        <v>8966</v>
      </c>
      <c r="C2098" s="224" t="s">
        <v>8967</v>
      </c>
      <c r="D2098" s="52"/>
      <c r="E2098" s="11" t="s">
        <v>43</v>
      </c>
      <c r="F2098" s="90">
        <v>25000.0</v>
      </c>
      <c r="G2098" s="97" t="s">
        <v>8968</v>
      </c>
      <c r="H2098" s="11" t="s">
        <v>99</v>
      </c>
      <c r="I2098" s="230" t="s">
        <v>8969</v>
      </c>
      <c r="J2098" s="11" t="s">
        <v>25</v>
      </c>
      <c r="K2098" s="12" t="s">
        <v>3647</v>
      </c>
      <c r="L2098" s="13"/>
      <c r="M2098" s="11"/>
      <c r="N2098" s="5" t="s">
        <v>8970</v>
      </c>
      <c r="O2098" s="5" t="s">
        <v>26</v>
      </c>
      <c r="P2098" s="5" t="s">
        <v>8132</v>
      </c>
      <c r="Q2098" s="5" t="s">
        <v>8971</v>
      </c>
      <c r="R2098" s="16" t="s">
        <v>634</v>
      </c>
      <c r="S2098" s="15"/>
      <c r="T2098" s="15"/>
      <c r="U2098" s="15"/>
      <c r="V2098" s="15"/>
      <c r="W2098" s="15"/>
      <c r="X2098" s="15"/>
      <c r="Y2098" s="15"/>
      <c r="Z2098" s="15"/>
      <c r="AA2098" s="15"/>
    </row>
    <row r="2099">
      <c r="A2099" s="5" t="s">
        <v>8965</v>
      </c>
      <c r="B2099" s="6" t="s">
        <v>8972</v>
      </c>
      <c r="C2099" s="97" t="s">
        <v>8973</v>
      </c>
      <c r="D2099" s="11"/>
      <c r="E2099" s="11" t="s">
        <v>53</v>
      </c>
      <c r="F2099" s="90">
        <v>20000.0</v>
      </c>
      <c r="G2099" s="123" t="s">
        <v>8974</v>
      </c>
      <c r="H2099" s="216" t="s">
        <v>8975</v>
      </c>
      <c r="I2099" s="97">
        <v>9.819875717E9</v>
      </c>
      <c r="J2099" s="11" t="s">
        <v>4008</v>
      </c>
      <c r="K2099" s="12" t="s">
        <v>3647</v>
      </c>
      <c r="L2099" s="13"/>
      <c r="M2099" s="14"/>
      <c r="N2099" s="5" t="s">
        <v>8976</v>
      </c>
      <c r="O2099" s="5" t="s">
        <v>108</v>
      </c>
      <c r="P2099" s="15"/>
      <c r="Q2099" s="15"/>
      <c r="R2099" s="16" t="s">
        <v>634</v>
      </c>
      <c r="S2099" s="15"/>
      <c r="T2099" s="15"/>
      <c r="U2099" s="15"/>
      <c r="V2099" s="15"/>
      <c r="W2099" s="15"/>
      <c r="X2099" s="15"/>
      <c r="Y2099" s="15"/>
      <c r="Z2099" s="15"/>
      <c r="AA2099" s="15"/>
    </row>
    <row r="2100">
      <c r="A2100" s="5" t="s">
        <v>8977</v>
      </c>
      <c r="B2100" s="6" t="s">
        <v>8978</v>
      </c>
      <c r="C2100" s="216" t="s">
        <v>8979</v>
      </c>
      <c r="D2100" s="52"/>
      <c r="E2100" s="11" t="s">
        <v>3555</v>
      </c>
      <c r="F2100" s="90">
        <v>1000.0</v>
      </c>
      <c r="G2100" s="219" t="s">
        <v>8980</v>
      </c>
      <c r="H2100" s="11" t="s">
        <v>822</v>
      </c>
      <c r="I2100" s="97">
        <v>9.734834535E9</v>
      </c>
      <c r="J2100" s="11" t="s">
        <v>25</v>
      </c>
      <c r="K2100" s="12" t="s">
        <v>2631</v>
      </c>
      <c r="L2100" s="13"/>
      <c r="M2100" s="14"/>
      <c r="N2100" s="5" t="s">
        <v>8981</v>
      </c>
      <c r="O2100" s="5" t="s">
        <v>26</v>
      </c>
      <c r="P2100" s="5" t="s">
        <v>8982</v>
      </c>
      <c r="Q2100" s="15"/>
      <c r="R2100" s="16" t="s">
        <v>634</v>
      </c>
      <c r="S2100" s="15"/>
      <c r="T2100" s="15"/>
      <c r="U2100" s="15"/>
      <c r="V2100" s="15"/>
      <c r="W2100" s="15"/>
      <c r="X2100" s="15"/>
      <c r="Y2100" s="15"/>
      <c r="Z2100" s="15"/>
      <c r="AA2100" s="15"/>
    </row>
    <row r="2101">
      <c r="A2101" s="5" t="s">
        <v>8977</v>
      </c>
      <c r="B2101" s="6" t="s">
        <v>8983</v>
      </c>
      <c r="C2101" s="40" t="s">
        <v>8984</v>
      </c>
      <c r="D2101" s="11"/>
      <c r="E2101" s="11" t="s">
        <v>8208</v>
      </c>
      <c r="F2101" s="90">
        <v>1000.0</v>
      </c>
      <c r="G2101" s="123" t="s">
        <v>8346</v>
      </c>
      <c r="H2101" s="11" t="s">
        <v>44</v>
      </c>
      <c r="I2101" s="216">
        <v>6.291675303E9</v>
      </c>
      <c r="J2101" s="11" t="s">
        <v>25</v>
      </c>
      <c r="K2101" s="12" t="s">
        <v>8985</v>
      </c>
      <c r="L2101" s="13"/>
      <c r="M2101" s="14"/>
      <c r="N2101" s="15"/>
      <c r="O2101" s="5" t="s">
        <v>26</v>
      </c>
      <c r="P2101" s="5" t="s">
        <v>8986</v>
      </c>
      <c r="Q2101" s="15"/>
      <c r="R2101" s="16" t="s">
        <v>634</v>
      </c>
      <c r="S2101" s="15"/>
      <c r="T2101" s="15"/>
      <c r="U2101" s="15"/>
      <c r="V2101" s="15"/>
      <c r="W2101" s="15"/>
      <c r="X2101" s="15"/>
      <c r="Y2101" s="15"/>
      <c r="Z2101" s="15"/>
      <c r="AA2101" s="15"/>
    </row>
    <row r="2102">
      <c r="A2102" s="5" t="s">
        <v>8987</v>
      </c>
      <c r="B2102" s="6" t="s">
        <v>8988</v>
      </c>
      <c r="C2102" s="180" t="s">
        <v>8989</v>
      </c>
      <c r="D2102" s="231"/>
      <c r="E2102" s="231" t="s">
        <v>8990</v>
      </c>
      <c r="F2102" s="90">
        <v>600.0</v>
      </c>
      <c r="G2102" s="97" t="s">
        <v>8991</v>
      </c>
      <c r="H2102" s="11" t="s">
        <v>44</v>
      </c>
      <c r="I2102" s="97" t="s">
        <v>8992</v>
      </c>
      <c r="J2102" s="11" t="s">
        <v>4008</v>
      </c>
      <c r="K2102" s="12" t="s">
        <v>8993</v>
      </c>
      <c r="L2102" s="13"/>
      <c r="M2102" s="14"/>
      <c r="N2102" s="5" t="s">
        <v>8994</v>
      </c>
      <c r="O2102" s="5" t="s">
        <v>26</v>
      </c>
      <c r="P2102" s="5" t="s">
        <v>453</v>
      </c>
      <c r="Q2102" s="15"/>
      <c r="R2102" s="16" t="s">
        <v>6999</v>
      </c>
      <c r="S2102" s="15"/>
      <c r="T2102" s="15"/>
      <c r="U2102" s="15"/>
      <c r="V2102" s="15"/>
      <c r="W2102" s="15"/>
      <c r="X2102" s="15"/>
      <c r="Y2102" s="15"/>
      <c r="Z2102" s="15"/>
      <c r="AA2102" s="15"/>
    </row>
    <row r="2103">
      <c r="A2103" s="5" t="s">
        <v>8987</v>
      </c>
      <c r="B2103" s="6" t="s">
        <v>8995</v>
      </c>
      <c r="C2103" s="216" t="s">
        <v>8996</v>
      </c>
      <c r="D2103" s="52"/>
      <c r="E2103" s="11" t="s">
        <v>8997</v>
      </c>
      <c r="F2103" s="90">
        <v>10000.0</v>
      </c>
      <c r="G2103" s="123" t="s">
        <v>8998</v>
      </c>
      <c r="H2103" s="11" t="s">
        <v>4165</v>
      </c>
      <c r="I2103" s="216">
        <v>8.200386961E9</v>
      </c>
      <c r="J2103" s="11" t="s">
        <v>4008</v>
      </c>
      <c r="K2103" s="12"/>
      <c r="L2103" s="13"/>
      <c r="M2103" s="14"/>
      <c r="N2103" s="15"/>
      <c r="O2103" s="5" t="s">
        <v>108</v>
      </c>
      <c r="P2103" s="15"/>
      <c r="Q2103" s="15"/>
      <c r="R2103" s="16" t="s">
        <v>28</v>
      </c>
      <c r="S2103" s="15"/>
      <c r="T2103" s="15"/>
      <c r="U2103" s="15"/>
      <c r="V2103" s="15"/>
      <c r="W2103" s="15"/>
      <c r="X2103" s="15"/>
      <c r="Y2103" s="15"/>
      <c r="Z2103" s="15"/>
      <c r="AA2103" s="15"/>
    </row>
    <row r="2104">
      <c r="A2104" s="5" t="s">
        <v>5108</v>
      </c>
      <c r="B2104" s="6" t="s">
        <v>8999</v>
      </c>
      <c r="C2104" s="232" t="s">
        <v>9000</v>
      </c>
      <c r="D2104" s="11"/>
      <c r="E2104" s="11" t="s">
        <v>9001</v>
      </c>
      <c r="F2104" s="90" t="s">
        <v>9002</v>
      </c>
      <c r="G2104" s="232" t="s">
        <v>9003</v>
      </c>
      <c r="H2104" s="232" t="s">
        <v>24</v>
      </c>
      <c r="I2104" s="97" t="s">
        <v>9004</v>
      </c>
      <c r="J2104" s="11" t="s">
        <v>25</v>
      </c>
      <c r="K2104" s="12" t="s">
        <v>9005</v>
      </c>
      <c r="L2104" s="13"/>
      <c r="M2104" s="14"/>
      <c r="N2104" s="15"/>
      <c r="O2104" s="5" t="s">
        <v>26</v>
      </c>
      <c r="P2104" s="5" t="s">
        <v>9006</v>
      </c>
      <c r="Q2104" s="5" t="s">
        <v>9007</v>
      </c>
      <c r="R2104" s="16" t="s">
        <v>634</v>
      </c>
      <c r="S2104" s="15"/>
      <c r="T2104" s="15"/>
      <c r="U2104" s="15"/>
      <c r="V2104" s="15"/>
      <c r="W2104" s="15"/>
      <c r="X2104" s="15"/>
      <c r="Y2104" s="15"/>
      <c r="Z2104" s="15"/>
      <c r="AA2104" s="15"/>
    </row>
    <row r="2105">
      <c r="A2105" s="5" t="s">
        <v>5108</v>
      </c>
      <c r="B2105" s="6" t="s">
        <v>9008</v>
      </c>
      <c r="C2105" s="97" t="s">
        <v>9009</v>
      </c>
      <c r="D2105" s="11"/>
      <c r="E2105" s="11" t="s">
        <v>5293</v>
      </c>
      <c r="F2105" s="90">
        <v>1500.0</v>
      </c>
      <c r="G2105" s="123" t="s">
        <v>9010</v>
      </c>
      <c r="H2105" s="11" t="s">
        <v>44</v>
      </c>
      <c r="I2105" s="216">
        <v>6.289071064E9</v>
      </c>
      <c r="J2105" s="11" t="s">
        <v>25</v>
      </c>
      <c r="K2105" s="12" t="s">
        <v>8753</v>
      </c>
      <c r="L2105" s="13"/>
      <c r="M2105" s="14"/>
      <c r="N2105" s="15"/>
      <c r="O2105" s="5" t="s">
        <v>34</v>
      </c>
      <c r="P2105" s="15"/>
      <c r="Q2105" s="15"/>
      <c r="R2105" s="16" t="s">
        <v>28</v>
      </c>
      <c r="S2105" s="15"/>
      <c r="T2105" s="15"/>
      <c r="U2105" s="15"/>
      <c r="V2105" s="15"/>
      <c r="W2105" s="15"/>
      <c r="X2105" s="15"/>
      <c r="Y2105" s="15"/>
      <c r="Z2105" s="15"/>
      <c r="AA2105" s="15"/>
    </row>
    <row r="2106">
      <c r="A2106" s="5" t="s">
        <v>5108</v>
      </c>
      <c r="B2106" s="6" t="s">
        <v>9011</v>
      </c>
      <c r="C2106" s="216" t="s">
        <v>9012</v>
      </c>
      <c r="D2106" s="52"/>
      <c r="E2106" s="11" t="s">
        <v>9013</v>
      </c>
      <c r="F2106" s="90">
        <v>5000.0</v>
      </c>
      <c r="G2106" s="123" t="s">
        <v>9014</v>
      </c>
      <c r="H2106" s="11" t="s">
        <v>906</v>
      </c>
      <c r="I2106" s="97">
        <v>8.308100594E9</v>
      </c>
      <c r="J2106" s="11" t="s">
        <v>4008</v>
      </c>
      <c r="K2106" s="13"/>
      <c r="L2106" s="11" t="s">
        <v>9015</v>
      </c>
      <c r="M2106" s="15"/>
      <c r="N2106" s="233" t="s">
        <v>9016</v>
      </c>
      <c r="O2106" s="5" t="s">
        <v>108</v>
      </c>
      <c r="P2106" s="15"/>
      <c r="Q2106" s="16"/>
      <c r="R2106" s="16" t="s">
        <v>28</v>
      </c>
      <c r="S2106" s="15"/>
      <c r="T2106" s="15"/>
      <c r="U2106" s="15"/>
      <c r="V2106" s="15"/>
      <c r="W2106" s="15"/>
      <c r="X2106" s="15"/>
      <c r="Y2106" s="15"/>
      <c r="Z2106" s="15"/>
      <c r="AA2106" s="234"/>
    </row>
    <row r="2107">
      <c r="A2107" s="5" t="s">
        <v>5108</v>
      </c>
      <c r="B2107" s="6" t="s">
        <v>9017</v>
      </c>
      <c r="C2107" s="97" t="s">
        <v>9018</v>
      </c>
      <c r="D2107" s="11"/>
      <c r="E2107" s="11" t="s">
        <v>3073</v>
      </c>
      <c r="F2107" s="90">
        <v>600.0</v>
      </c>
      <c r="G2107" s="97" t="s">
        <v>8991</v>
      </c>
      <c r="H2107" s="11" t="s">
        <v>2662</v>
      </c>
      <c r="I2107" s="216">
        <v>9.150002719E9</v>
      </c>
      <c r="J2107" s="11" t="s">
        <v>25</v>
      </c>
      <c r="K2107" s="12"/>
      <c r="L2107" s="13"/>
      <c r="M2107" s="11" t="s">
        <v>9019</v>
      </c>
      <c r="N2107" s="5" t="s">
        <v>9020</v>
      </c>
      <c r="O2107" s="5" t="s">
        <v>108</v>
      </c>
      <c r="P2107" s="15"/>
      <c r="Q2107" s="15"/>
      <c r="R2107" s="16" t="s">
        <v>634</v>
      </c>
      <c r="S2107" s="15"/>
      <c r="T2107" s="15"/>
      <c r="U2107" s="15"/>
      <c r="V2107" s="15"/>
      <c r="W2107" s="15"/>
      <c r="X2107" s="15"/>
      <c r="Y2107" s="15"/>
      <c r="Z2107" s="15"/>
      <c r="AA2107" s="15"/>
    </row>
    <row r="2108">
      <c r="A2108" s="5" t="s">
        <v>5108</v>
      </c>
      <c r="B2108" s="6" t="s">
        <v>9021</v>
      </c>
      <c r="C2108" s="225" t="s">
        <v>9022</v>
      </c>
      <c r="D2108" s="52"/>
      <c r="E2108" s="11" t="s">
        <v>685</v>
      </c>
      <c r="F2108" s="90">
        <v>2500.0</v>
      </c>
      <c r="G2108" s="235" t="s">
        <v>9023</v>
      </c>
      <c r="H2108" s="11" t="s">
        <v>9024</v>
      </c>
      <c r="I2108" s="97" t="s">
        <v>9025</v>
      </c>
      <c r="J2108" s="11" t="s">
        <v>25</v>
      </c>
      <c r="K2108" s="12" t="s">
        <v>8062</v>
      </c>
      <c r="L2108" s="13"/>
      <c r="M2108" s="14"/>
      <c r="N2108" s="5" t="s">
        <v>9026</v>
      </c>
      <c r="O2108" s="5" t="s">
        <v>26</v>
      </c>
      <c r="P2108" s="5" t="s">
        <v>9027</v>
      </c>
      <c r="Q2108" s="5" t="s">
        <v>9028</v>
      </c>
      <c r="R2108" s="16" t="s">
        <v>6999</v>
      </c>
      <c r="S2108" s="15"/>
      <c r="T2108" s="15"/>
      <c r="U2108" s="15"/>
      <c r="V2108" s="15"/>
      <c r="W2108" s="15"/>
      <c r="X2108" s="15"/>
      <c r="Y2108" s="15"/>
      <c r="Z2108" s="15"/>
      <c r="AA2108" s="15"/>
    </row>
    <row r="2109">
      <c r="A2109" s="5" t="s">
        <v>9029</v>
      </c>
      <c r="B2109" s="6" t="s">
        <v>9030</v>
      </c>
      <c r="C2109" s="40" t="s">
        <v>9031</v>
      </c>
      <c r="D2109" s="11"/>
      <c r="E2109" s="11" t="s">
        <v>178</v>
      </c>
      <c r="F2109" s="90">
        <v>1000.0</v>
      </c>
      <c r="G2109" s="97" t="s">
        <v>9032</v>
      </c>
      <c r="H2109" s="11" t="s">
        <v>9033</v>
      </c>
      <c r="I2109" s="97">
        <v>7.290036612E9</v>
      </c>
      <c r="J2109" s="11" t="s">
        <v>25</v>
      </c>
      <c r="K2109" s="12"/>
      <c r="L2109" s="13"/>
      <c r="M2109" s="11" t="s">
        <v>9034</v>
      </c>
      <c r="N2109" s="15"/>
      <c r="O2109" s="5" t="s">
        <v>34</v>
      </c>
      <c r="P2109" s="5" t="s">
        <v>8776</v>
      </c>
      <c r="Q2109" s="5" t="s">
        <v>6625</v>
      </c>
      <c r="R2109" s="16" t="s">
        <v>248</v>
      </c>
      <c r="S2109" s="15"/>
      <c r="T2109" s="15"/>
      <c r="U2109" s="15"/>
      <c r="V2109" s="15"/>
      <c r="W2109" s="15"/>
      <c r="X2109" s="15"/>
      <c r="Y2109" s="15"/>
      <c r="Z2109" s="15"/>
      <c r="AA2109" s="15"/>
    </row>
    <row r="2110">
      <c r="A2110" s="5" t="s">
        <v>9035</v>
      </c>
      <c r="B2110" s="6" t="s">
        <v>9036</v>
      </c>
      <c r="C2110" s="40" t="s">
        <v>9037</v>
      </c>
      <c r="D2110" s="11"/>
      <c r="E2110" s="11" t="s">
        <v>8458</v>
      </c>
      <c r="F2110" s="90">
        <v>5000.0</v>
      </c>
      <c r="G2110" s="97" t="s">
        <v>9038</v>
      </c>
      <c r="H2110" s="11" t="s">
        <v>1082</v>
      </c>
      <c r="I2110" s="97">
        <v>8.100325633E9</v>
      </c>
      <c r="J2110" s="11" t="s">
        <v>25</v>
      </c>
      <c r="K2110" s="12" t="s">
        <v>9039</v>
      </c>
      <c r="L2110" s="13"/>
      <c r="M2110" s="14"/>
      <c r="N2110" s="15"/>
      <c r="O2110" s="5" t="s">
        <v>26</v>
      </c>
      <c r="P2110" s="5" t="s">
        <v>9027</v>
      </c>
      <c r="Q2110" s="5" t="s">
        <v>1619</v>
      </c>
      <c r="R2110" s="16" t="s">
        <v>6999</v>
      </c>
      <c r="S2110" s="15"/>
      <c r="T2110" s="15"/>
      <c r="U2110" s="15"/>
      <c r="V2110" s="15"/>
      <c r="W2110" s="15"/>
      <c r="X2110" s="15"/>
      <c r="Y2110" s="15"/>
      <c r="Z2110" s="15"/>
      <c r="AA2110" s="15"/>
    </row>
    <row r="2111">
      <c r="A2111" s="5" t="s">
        <v>9035</v>
      </c>
      <c r="B2111" s="6" t="s">
        <v>9036</v>
      </c>
      <c r="C2111" s="40" t="s">
        <v>9040</v>
      </c>
      <c r="D2111" s="11"/>
      <c r="E2111" s="11" t="s">
        <v>5293</v>
      </c>
      <c r="F2111" s="90">
        <v>1000.0</v>
      </c>
      <c r="G2111" s="236" t="s">
        <v>9041</v>
      </c>
      <c r="H2111" s="11" t="s">
        <v>44</v>
      </c>
      <c r="I2111" s="97">
        <v>8.77783857E9</v>
      </c>
      <c r="J2111" s="11" t="s">
        <v>25</v>
      </c>
      <c r="K2111" s="12" t="s">
        <v>8753</v>
      </c>
      <c r="L2111" s="13"/>
      <c r="M2111" s="14"/>
      <c r="N2111" s="15"/>
      <c r="O2111" s="5" t="s">
        <v>34</v>
      </c>
      <c r="P2111" s="15"/>
      <c r="Q2111" s="15"/>
      <c r="R2111" s="16" t="s">
        <v>28</v>
      </c>
      <c r="S2111" s="15"/>
      <c r="T2111" s="15"/>
      <c r="U2111" s="15"/>
      <c r="V2111" s="15"/>
      <c r="W2111" s="15"/>
      <c r="X2111" s="15"/>
      <c r="Y2111" s="15"/>
      <c r="Z2111" s="15"/>
      <c r="AA2111" s="15"/>
    </row>
    <row r="2112">
      <c r="A2112" s="5" t="s">
        <v>9035</v>
      </c>
      <c r="B2112" s="6" t="s">
        <v>9042</v>
      </c>
      <c r="C2112" s="40" t="s">
        <v>9043</v>
      </c>
      <c r="D2112" s="11"/>
      <c r="E2112" s="11" t="s">
        <v>9044</v>
      </c>
      <c r="F2112" s="90" t="s">
        <v>4901</v>
      </c>
      <c r="G2112" s="237" t="s">
        <v>9045</v>
      </c>
      <c r="H2112" s="11" t="s">
        <v>9046</v>
      </c>
      <c r="I2112" s="97">
        <v>7.488922706E9</v>
      </c>
      <c r="J2112" s="11" t="s">
        <v>25</v>
      </c>
      <c r="K2112" s="12" t="s">
        <v>8753</v>
      </c>
      <c r="L2112" s="13"/>
      <c r="M2112" s="14"/>
      <c r="N2112" s="15"/>
      <c r="O2112" s="5" t="s">
        <v>26</v>
      </c>
      <c r="P2112" s="5" t="s">
        <v>9047</v>
      </c>
      <c r="Q2112" s="15"/>
      <c r="R2112" s="16" t="s">
        <v>28</v>
      </c>
      <c r="S2112" s="15"/>
      <c r="T2112" s="15"/>
      <c r="U2112" s="15"/>
      <c r="V2112" s="15"/>
      <c r="W2112" s="15"/>
      <c r="X2112" s="15"/>
      <c r="Y2112" s="15"/>
      <c r="Z2112" s="15"/>
      <c r="AA2112" s="15"/>
    </row>
    <row r="2113">
      <c r="A2113" s="5" t="s">
        <v>9035</v>
      </c>
      <c r="B2113" s="6" t="s">
        <v>9048</v>
      </c>
      <c r="C2113" s="40" t="s">
        <v>9049</v>
      </c>
      <c r="D2113" s="11"/>
      <c r="E2113" s="11" t="s">
        <v>9050</v>
      </c>
      <c r="F2113" s="90">
        <v>150.0</v>
      </c>
      <c r="G2113" s="237" t="s">
        <v>9051</v>
      </c>
      <c r="H2113" s="11" t="s">
        <v>9052</v>
      </c>
      <c r="I2113" s="216">
        <v>8.340409438E9</v>
      </c>
      <c r="J2113" s="11" t="s">
        <v>4008</v>
      </c>
      <c r="K2113" s="12" t="s">
        <v>8753</v>
      </c>
      <c r="L2113" s="13"/>
      <c r="M2113" s="14"/>
      <c r="N2113" s="15"/>
      <c r="O2113" s="5" t="s">
        <v>34</v>
      </c>
      <c r="P2113" s="5" t="s">
        <v>727</v>
      </c>
      <c r="Q2113" s="15"/>
      <c r="R2113" s="16" t="s">
        <v>28</v>
      </c>
      <c r="S2113" s="15"/>
      <c r="T2113" s="15"/>
      <c r="U2113" s="15"/>
      <c r="V2113" s="15"/>
      <c r="W2113" s="15"/>
      <c r="X2113" s="15"/>
      <c r="Y2113" s="15"/>
      <c r="Z2113" s="15"/>
      <c r="AA2113" s="15"/>
    </row>
    <row r="2114">
      <c r="A2114" s="5" t="s">
        <v>9035</v>
      </c>
      <c r="B2114" s="6" t="s">
        <v>9053</v>
      </c>
      <c r="C2114" s="238" t="s">
        <v>3066</v>
      </c>
      <c r="D2114" s="11"/>
      <c r="E2114" s="11" t="s">
        <v>9054</v>
      </c>
      <c r="F2114" s="90">
        <v>15000.0</v>
      </c>
      <c r="G2114" s="157"/>
      <c r="H2114" s="11" t="s">
        <v>44</v>
      </c>
      <c r="I2114" s="239">
        <v>8.420993682E9</v>
      </c>
      <c r="J2114" s="11" t="s">
        <v>4008</v>
      </c>
      <c r="K2114" s="12" t="s">
        <v>9055</v>
      </c>
      <c r="L2114" s="13"/>
      <c r="M2114" s="14"/>
      <c r="N2114" s="15"/>
      <c r="O2114" s="5" t="s">
        <v>26</v>
      </c>
      <c r="P2114" s="5" t="s">
        <v>9056</v>
      </c>
      <c r="Q2114" s="15"/>
      <c r="R2114" s="16" t="s">
        <v>28</v>
      </c>
      <c r="S2114" s="15"/>
      <c r="T2114" s="15"/>
      <c r="U2114" s="15"/>
      <c r="V2114" s="15"/>
      <c r="W2114" s="15"/>
      <c r="X2114" s="15"/>
      <c r="Y2114" s="15"/>
      <c r="Z2114" s="15"/>
      <c r="AA2114" s="15"/>
    </row>
    <row r="2115">
      <c r="A2115" s="5" t="s">
        <v>9057</v>
      </c>
      <c r="B2115" s="6" t="s">
        <v>9058</v>
      </c>
      <c r="C2115" s="216" t="s">
        <v>9059</v>
      </c>
      <c r="D2115" s="52"/>
      <c r="E2115" s="11" t="s">
        <v>1412</v>
      </c>
      <c r="F2115" s="90">
        <v>1000.0</v>
      </c>
      <c r="G2115" s="237" t="s">
        <v>9060</v>
      </c>
      <c r="H2115" s="11" t="s">
        <v>44</v>
      </c>
      <c r="I2115" s="216">
        <v>9.830169397E9</v>
      </c>
      <c r="J2115" s="11" t="s">
        <v>25</v>
      </c>
      <c r="K2115" s="12"/>
      <c r="L2115" s="13"/>
      <c r="M2115" s="14"/>
      <c r="N2115" s="15"/>
      <c r="O2115" s="5" t="s">
        <v>34</v>
      </c>
      <c r="P2115" s="11" t="s">
        <v>9061</v>
      </c>
      <c r="Q2115" s="15"/>
      <c r="R2115" s="16" t="s">
        <v>723</v>
      </c>
      <c r="S2115" s="15"/>
      <c r="T2115" s="15"/>
      <c r="U2115" s="15"/>
      <c r="V2115" s="15"/>
      <c r="W2115" s="15"/>
      <c r="X2115" s="15"/>
      <c r="Y2115" s="15"/>
      <c r="Z2115" s="15"/>
      <c r="AA2115" s="15"/>
    </row>
    <row r="2116">
      <c r="A2116" s="5" t="s">
        <v>9057</v>
      </c>
      <c r="B2116" s="6" t="s">
        <v>9062</v>
      </c>
      <c r="C2116" s="240" t="s">
        <v>9063</v>
      </c>
      <c r="D2116" s="240"/>
      <c r="E2116" s="240" t="s">
        <v>1175</v>
      </c>
      <c r="F2116" s="90">
        <v>250.0</v>
      </c>
      <c r="G2116" s="241" t="s">
        <v>9064</v>
      </c>
      <c r="H2116" s="242" t="s">
        <v>9065</v>
      </c>
      <c r="I2116" s="97" t="s">
        <v>9066</v>
      </c>
      <c r="J2116" s="11" t="s">
        <v>4008</v>
      </c>
      <c r="K2116" s="12" t="s">
        <v>3086</v>
      </c>
      <c r="L2116" s="13"/>
      <c r="M2116" s="14"/>
      <c r="N2116" s="15"/>
      <c r="O2116" s="5" t="s">
        <v>26</v>
      </c>
      <c r="P2116" s="5" t="s">
        <v>5547</v>
      </c>
      <c r="Q2116" s="5" t="s">
        <v>9067</v>
      </c>
      <c r="R2116" s="16" t="s">
        <v>634</v>
      </c>
      <c r="S2116" s="15"/>
      <c r="T2116" s="15"/>
      <c r="U2116" s="15"/>
      <c r="V2116" s="15"/>
      <c r="W2116" s="15"/>
      <c r="X2116" s="15"/>
      <c r="Y2116" s="15"/>
      <c r="Z2116" s="15"/>
      <c r="AA2116" s="15"/>
    </row>
    <row r="2117">
      <c r="A2117" s="5" t="s">
        <v>9057</v>
      </c>
      <c r="B2117" s="6" t="s">
        <v>9068</v>
      </c>
      <c r="C2117" s="40" t="s">
        <v>9069</v>
      </c>
      <c r="D2117" s="11"/>
      <c r="E2117" s="11" t="s">
        <v>9070</v>
      </c>
      <c r="F2117" s="90">
        <v>1500.0</v>
      </c>
      <c r="G2117" s="97" t="s">
        <v>9071</v>
      </c>
      <c r="H2117" s="11" t="s">
        <v>9072</v>
      </c>
      <c r="I2117" s="97" t="s">
        <v>9073</v>
      </c>
      <c r="J2117" s="11" t="s">
        <v>4008</v>
      </c>
      <c r="K2117" s="12" t="s">
        <v>9074</v>
      </c>
      <c r="L2117" s="13"/>
      <c r="M2117" s="14"/>
      <c r="N2117" s="15"/>
      <c r="O2117" s="5" t="s">
        <v>26</v>
      </c>
      <c r="P2117" s="5" t="s">
        <v>5547</v>
      </c>
      <c r="Q2117" s="5" t="s">
        <v>9075</v>
      </c>
      <c r="R2117" s="16" t="s">
        <v>634</v>
      </c>
      <c r="S2117" s="15"/>
      <c r="T2117" s="15"/>
      <c r="U2117" s="15"/>
      <c r="V2117" s="15"/>
      <c r="W2117" s="15"/>
      <c r="X2117" s="15"/>
      <c r="Y2117" s="15"/>
      <c r="Z2117" s="15"/>
      <c r="AA2117" s="15"/>
    </row>
    <row r="2118">
      <c r="A2118" s="243" t="s">
        <v>9076</v>
      </c>
      <c r="B2118" s="244" t="s">
        <v>9077</v>
      </c>
      <c r="C2118" s="245" t="s">
        <v>9078</v>
      </c>
      <c r="D2118" s="245"/>
      <c r="E2118" s="245" t="s">
        <v>2660</v>
      </c>
      <c r="F2118" s="246">
        <v>1000.0</v>
      </c>
      <c r="G2118" s="247" t="s">
        <v>9079</v>
      </c>
      <c r="H2118" s="245" t="s">
        <v>44</v>
      </c>
      <c r="I2118" s="247">
        <v>9.748767136E9</v>
      </c>
      <c r="J2118" s="245" t="s">
        <v>4008</v>
      </c>
      <c r="K2118" s="248"/>
      <c r="L2118" s="249"/>
      <c r="M2118" s="245" t="s">
        <v>9080</v>
      </c>
      <c r="N2118" s="243" t="s">
        <v>9081</v>
      </c>
      <c r="O2118" s="5" t="s">
        <v>34</v>
      </c>
      <c r="P2118" s="5" t="s">
        <v>9082</v>
      </c>
      <c r="Q2118" s="5" t="s">
        <v>9083</v>
      </c>
      <c r="R2118" s="16" t="s">
        <v>74</v>
      </c>
      <c r="S2118" s="15"/>
      <c r="T2118" s="15"/>
      <c r="U2118" s="15"/>
      <c r="V2118" s="15"/>
      <c r="W2118" s="15"/>
      <c r="X2118" s="15"/>
      <c r="Y2118" s="15"/>
      <c r="Z2118" s="15"/>
      <c r="AA2118" s="15"/>
    </row>
    <row r="2119" ht="42.0" customHeight="1">
      <c r="A2119" s="5" t="s">
        <v>9076</v>
      </c>
      <c r="B2119" s="6" t="s">
        <v>9084</v>
      </c>
      <c r="C2119" s="216" t="s">
        <v>9085</v>
      </c>
      <c r="D2119" s="52"/>
      <c r="E2119" s="11" t="s">
        <v>1280</v>
      </c>
      <c r="F2119" s="90">
        <v>10000.0</v>
      </c>
      <c r="G2119" s="236" t="s">
        <v>9086</v>
      </c>
      <c r="H2119" s="11" t="s">
        <v>906</v>
      </c>
      <c r="I2119" s="216">
        <v>8.05235359E9</v>
      </c>
      <c r="J2119" s="11" t="s">
        <v>4008</v>
      </c>
      <c r="K2119" s="12"/>
      <c r="L2119" s="13"/>
      <c r="M2119" s="11" t="s">
        <v>9087</v>
      </c>
      <c r="N2119" s="5" t="s">
        <v>9088</v>
      </c>
      <c r="O2119" s="233" t="s">
        <v>108</v>
      </c>
      <c r="P2119" s="5" t="s">
        <v>9089</v>
      </c>
      <c r="Q2119" s="15"/>
      <c r="R2119" s="16" t="s">
        <v>634</v>
      </c>
      <c r="S2119" s="15"/>
      <c r="T2119" s="15"/>
      <c r="U2119" s="15"/>
      <c r="V2119" s="15"/>
      <c r="W2119" s="15"/>
      <c r="X2119" s="15"/>
      <c r="Y2119" s="15"/>
      <c r="Z2119" s="15"/>
      <c r="AA2119" s="15"/>
    </row>
    <row r="2120">
      <c r="A2120" s="5" t="s">
        <v>9090</v>
      </c>
      <c r="B2120" s="6" t="s">
        <v>9091</v>
      </c>
      <c r="C2120" s="40" t="s">
        <v>9092</v>
      </c>
      <c r="D2120" s="11"/>
      <c r="E2120" s="11" t="s">
        <v>517</v>
      </c>
      <c r="F2120" s="90">
        <v>500.0</v>
      </c>
      <c r="G2120" s="237" t="s">
        <v>9093</v>
      </c>
      <c r="H2120" s="11" t="s">
        <v>9094</v>
      </c>
      <c r="I2120" s="97">
        <v>9.80300007E9</v>
      </c>
      <c r="J2120" s="11" t="s">
        <v>25</v>
      </c>
      <c r="K2120" s="12" t="s">
        <v>8753</v>
      </c>
      <c r="L2120" s="13"/>
      <c r="M2120" s="11" t="s">
        <v>9095</v>
      </c>
      <c r="N2120" s="5" t="s">
        <v>9081</v>
      </c>
      <c r="O2120" s="5" t="s">
        <v>108</v>
      </c>
      <c r="P2120" s="15"/>
      <c r="Q2120" s="15"/>
      <c r="R2120" s="16" t="s">
        <v>634</v>
      </c>
      <c r="S2120" s="15"/>
      <c r="T2120" s="15"/>
      <c r="U2120" s="15"/>
      <c r="V2120" s="15"/>
      <c r="W2120" s="15"/>
      <c r="X2120" s="15"/>
      <c r="Y2120" s="15"/>
      <c r="Z2120" s="15"/>
      <c r="AA2120" s="15"/>
    </row>
    <row r="2121">
      <c r="A2121" s="5" t="s">
        <v>9090</v>
      </c>
      <c r="B2121" s="6" t="s">
        <v>9096</v>
      </c>
      <c r="C2121" s="216" t="s">
        <v>9097</v>
      </c>
      <c r="D2121" s="52"/>
      <c r="E2121" s="11" t="s">
        <v>3926</v>
      </c>
      <c r="F2121" s="90">
        <v>1000.0</v>
      </c>
      <c r="G2121" s="237" t="s">
        <v>9098</v>
      </c>
      <c r="H2121" s="216" t="s">
        <v>9099</v>
      </c>
      <c r="I2121" s="97">
        <v>9.879971929E9</v>
      </c>
      <c r="J2121" s="11" t="s">
        <v>25</v>
      </c>
      <c r="K2121" s="12" t="s">
        <v>8677</v>
      </c>
      <c r="L2121" s="13"/>
      <c r="M2121" s="14"/>
      <c r="N2121" s="15"/>
      <c r="O2121" s="5" t="s">
        <v>108</v>
      </c>
      <c r="P2121" s="5" t="s">
        <v>9100</v>
      </c>
      <c r="Q2121" s="15"/>
      <c r="R2121" s="16" t="s">
        <v>28</v>
      </c>
      <c r="S2121" s="15"/>
      <c r="T2121" s="15"/>
      <c r="U2121" s="15"/>
      <c r="V2121" s="15"/>
      <c r="W2121" s="15"/>
      <c r="X2121" s="15"/>
      <c r="Y2121" s="15"/>
      <c r="Z2121" s="15"/>
      <c r="AA2121" s="15"/>
    </row>
    <row r="2122">
      <c r="A2122" s="5" t="s">
        <v>9090</v>
      </c>
      <c r="B2122" s="6" t="s">
        <v>9101</v>
      </c>
      <c r="C2122" s="97" t="s">
        <v>9102</v>
      </c>
      <c r="D2122" s="11"/>
      <c r="E2122" s="11" t="s">
        <v>130</v>
      </c>
      <c r="F2122" s="90">
        <v>3000.0</v>
      </c>
      <c r="G2122" s="237" t="s">
        <v>9103</v>
      </c>
      <c r="H2122" s="11" t="s">
        <v>44</v>
      </c>
      <c r="I2122" s="97">
        <v>9.474452549E9</v>
      </c>
      <c r="J2122" s="11" t="s">
        <v>25</v>
      </c>
      <c r="K2122" s="12"/>
      <c r="L2122" s="13"/>
      <c r="M2122" s="11" t="s">
        <v>9104</v>
      </c>
      <c r="N2122" s="5" t="s">
        <v>9105</v>
      </c>
      <c r="O2122" s="5" t="s">
        <v>34</v>
      </c>
      <c r="P2122" s="5" t="s">
        <v>55</v>
      </c>
      <c r="Q2122" s="5" t="s">
        <v>9106</v>
      </c>
      <c r="R2122" s="16" t="s">
        <v>723</v>
      </c>
      <c r="S2122" s="15"/>
      <c r="T2122" s="15"/>
      <c r="U2122" s="15"/>
      <c r="V2122" s="15"/>
      <c r="W2122" s="15"/>
      <c r="X2122" s="15"/>
      <c r="Y2122" s="15"/>
      <c r="Z2122" s="15"/>
      <c r="AA2122" s="15"/>
    </row>
    <row r="2123">
      <c r="A2123" s="5" t="s">
        <v>9090</v>
      </c>
      <c r="B2123" s="6" t="s">
        <v>9107</v>
      </c>
      <c r="C2123" s="216" t="s">
        <v>9108</v>
      </c>
      <c r="D2123" s="52"/>
      <c r="E2123" s="11" t="s">
        <v>9109</v>
      </c>
      <c r="F2123" s="90">
        <v>10000.0</v>
      </c>
      <c r="G2123" s="226" t="s">
        <v>2426</v>
      </c>
      <c r="H2123" s="11" t="s">
        <v>44</v>
      </c>
      <c r="I2123" s="216">
        <v>9.038345846E9</v>
      </c>
      <c r="J2123" s="11" t="s">
        <v>25</v>
      </c>
      <c r="K2123" s="12"/>
      <c r="L2123" s="13"/>
      <c r="M2123" s="11" t="s">
        <v>9110</v>
      </c>
      <c r="N2123" s="5" t="s">
        <v>9111</v>
      </c>
      <c r="O2123" s="5" t="s">
        <v>34</v>
      </c>
      <c r="P2123" s="5" t="s">
        <v>727</v>
      </c>
      <c r="Q2123" s="15"/>
      <c r="R2123" s="16" t="s">
        <v>634</v>
      </c>
      <c r="S2123" s="15"/>
      <c r="T2123" s="15"/>
      <c r="U2123" s="15"/>
      <c r="V2123" s="15"/>
      <c r="W2123" s="15"/>
      <c r="X2123" s="15"/>
      <c r="Y2123" s="15"/>
      <c r="Z2123" s="15"/>
      <c r="AA2123" s="15"/>
    </row>
    <row r="2124">
      <c r="A2124" s="5" t="s">
        <v>9112</v>
      </c>
      <c r="B2124" s="6" t="s">
        <v>9113</v>
      </c>
      <c r="C2124" s="40" t="s">
        <v>9114</v>
      </c>
      <c r="D2124" s="11"/>
      <c r="E2124" s="11" t="s">
        <v>9115</v>
      </c>
      <c r="F2124" s="90" t="s">
        <v>9116</v>
      </c>
      <c r="G2124" s="97" t="s">
        <v>9117</v>
      </c>
      <c r="H2124" s="11" t="s">
        <v>9118</v>
      </c>
      <c r="I2124" s="97" t="s">
        <v>9119</v>
      </c>
      <c r="J2124" s="11" t="s">
        <v>4008</v>
      </c>
      <c r="K2124" s="250" t="s">
        <v>9120</v>
      </c>
      <c r="L2124" s="13"/>
      <c r="M2124" s="11" t="s">
        <v>9120</v>
      </c>
      <c r="N2124" s="5" t="s">
        <v>9121</v>
      </c>
      <c r="O2124" s="5" t="s">
        <v>26</v>
      </c>
      <c r="P2124" s="5" t="s">
        <v>9122</v>
      </c>
      <c r="Q2124" s="5" t="s">
        <v>9123</v>
      </c>
      <c r="R2124" s="16" t="s">
        <v>28</v>
      </c>
      <c r="S2124" s="15"/>
      <c r="T2124" s="15"/>
      <c r="U2124" s="15"/>
      <c r="V2124" s="15"/>
      <c r="W2124" s="15"/>
      <c r="X2124" s="15"/>
      <c r="Y2124" s="15"/>
      <c r="Z2124" s="15"/>
      <c r="AA2124" s="15"/>
    </row>
    <row r="2125">
      <c r="A2125" s="5" t="s">
        <v>7491</v>
      </c>
      <c r="B2125" s="6" t="s">
        <v>9124</v>
      </c>
      <c r="C2125" s="216" t="s">
        <v>3925</v>
      </c>
      <c r="D2125" s="52"/>
      <c r="E2125" s="11" t="s">
        <v>9125</v>
      </c>
      <c r="F2125" s="90">
        <v>5000.0</v>
      </c>
      <c r="G2125" s="251" t="s">
        <v>3927</v>
      </c>
      <c r="H2125" s="231" t="s">
        <v>44</v>
      </c>
      <c r="I2125" s="97">
        <v>9.331062119E9</v>
      </c>
      <c r="J2125" s="11" t="s">
        <v>4008</v>
      </c>
      <c r="K2125" s="12" t="s">
        <v>8570</v>
      </c>
      <c r="L2125" s="13"/>
      <c r="M2125" s="14"/>
      <c r="N2125" s="5" t="s">
        <v>9126</v>
      </c>
      <c r="O2125" s="5" t="s">
        <v>34</v>
      </c>
      <c r="P2125" s="5" t="s">
        <v>9127</v>
      </c>
      <c r="Q2125" s="15"/>
      <c r="R2125" s="16" t="s">
        <v>28</v>
      </c>
      <c r="S2125" s="15"/>
      <c r="T2125" s="15"/>
      <c r="U2125" s="15"/>
      <c r="V2125" s="15"/>
      <c r="W2125" s="15"/>
      <c r="X2125" s="15"/>
      <c r="Y2125" s="15"/>
      <c r="Z2125" s="15"/>
      <c r="AA2125" s="15"/>
    </row>
    <row r="2126">
      <c r="A2126" s="5" t="s">
        <v>7491</v>
      </c>
      <c r="B2126" s="6" t="s">
        <v>9128</v>
      </c>
      <c r="C2126" s="40" t="s">
        <v>5847</v>
      </c>
      <c r="D2126" s="11"/>
      <c r="E2126" s="11" t="s">
        <v>202</v>
      </c>
      <c r="F2126" s="90" t="s">
        <v>9129</v>
      </c>
      <c r="G2126" s="97" t="s">
        <v>9130</v>
      </c>
      <c r="H2126" s="231" t="s">
        <v>936</v>
      </c>
      <c r="I2126" s="226" t="s">
        <v>9131</v>
      </c>
      <c r="J2126" s="11" t="s">
        <v>25</v>
      </c>
      <c r="K2126" s="12" t="s">
        <v>4681</v>
      </c>
      <c r="L2126" s="13"/>
      <c r="M2126" s="14"/>
      <c r="N2126" s="5" t="s">
        <v>9132</v>
      </c>
      <c r="O2126" s="5" t="s">
        <v>26</v>
      </c>
      <c r="P2126" s="15"/>
      <c r="Q2126" s="15"/>
      <c r="R2126" s="16" t="s">
        <v>28</v>
      </c>
      <c r="S2126" s="15"/>
      <c r="T2126" s="15"/>
      <c r="U2126" s="15"/>
      <c r="V2126" s="15"/>
      <c r="W2126" s="15"/>
      <c r="X2126" s="15"/>
      <c r="Y2126" s="15"/>
      <c r="Z2126" s="15"/>
      <c r="AA2126" s="15"/>
    </row>
    <row r="2127">
      <c r="A2127" s="5" t="s">
        <v>9133</v>
      </c>
      <c r="B2127" s="6" t="s">
        <v>9134</v>
      </c>
      <c r="C2127" s="180" t="s">
        <v>9135</v>
      </c>
      <c r="D2127" s="231"/>
      <c r="E2127" s="231" t="s">
        <v>5293</v>
      </c>
      <c r="F2127" s="252">
        <v>2000.0</v>
      </c>
      <c r="G2127" s="218" t="s">
        <v>9136</v>
      </c>
      <c r="H2127" s="11" t="s">
        <v>906</v>
      </c>
      <c r="I2127" s="97">
        <v>7.666866895E9</v>
      </c>
      <c r="J2127" s="11" t="s">
        <v>25</v>
      </c>
      <c r="K2127" s="12" t="s">
        <v>8753</v>
      </c>
      <c r="L2127" s="13"/>
      <c r="M2127" s="11" t="s">
        <v>9137</v>
      </c>
      <c r="N2127" s="5" t="s">
        <v>9138</v>
      </c>
      <c r="O2127" s="5" t="s">
        <v>108</v>
      </c>
      <c r="P2127" s="5" t="s">
        <v>9139</v>
      </c>
      <c r="Q2127" s="15"/>
      <c r="R2127" s="16" t="s">
        <v>634</v>
      </c>
      <c r="S2127" s="15"/>
      <c r="T2127" s="15"/>
      <c r="U2127" s="15"/>
      <c r="V2127" s="15"/>
      <c r="W2127" s="15"/>
      <c r="X2127" s="15"/>
      <c r="Y2127" s="15"/>
      <c r="Z2127" s="15"/>
      <c r="AA2127" s="15"/>
    </row>
    <row r="2128">
      <c r="A2128" s="5" t="s">
        <v>9133</v>
      </c>
      <c r="B2128" s="6" t="s">
        <v>9140</v>
      </c>
      <c r="C2128" s="253" t="s">
        <v>9141</v>
      </c>
      <c r="D2128" s="254"/>
      <c r="E2128" s="255" t="s">
        <v>1080</v>
      </c>
      <c r="F2128" s="252">
        <v>500.0</v>
      </c>
      <c r="G2128" s="97" t="s">
        <v>9142</v>
      </c>
      <c r="H2128" s="11" t="s">
        <v>44</v>
      </c>
      <c r="I2128" s="97">
        <v>7.980257062E9</v>
      </c>
      <c r="J2128" s="11" t="s">
        <v>25</v>
      </c>
      <c r="K2128" s="12" t="s">
        <v>9143</v>
      </c>
      <c r="L2128" s="13"/>
      <c r="M2128" s="11" t="s">
        <v>0</v>
      </c>
      <c r="N2128" s="15"/>
      <c r="O2128" s="5" t="s">
        <v>26</v>
      </c>
      <c r="P2128" s="15"/>
      <c r="Q2128" s="15"/>
      <c r="R2128" s="16" t="s">
        <v>28</v>
      </c>
      <c r="S2128" s="15"/>
      <c r="T2128" s="15"/>
      <c r="U2128" s="15"/>
      <c r="V2128" s="15"/>
      <c r="W2128" s="15"/>
      <c r="X2128" s="15"/>
      <c r="Y2128" s="15"/>
      <c r="Z2128" s="15"/>
      <c r="AA2128" s="15"/>
    </row>
    <row r="2129">
      <c r="A2129" s="5" t="s">
        <v>9133</v>
      </c>
      <c r="B2129" s="6" t="s">
        <v>9144</v>
      </c>
      <c r="C2129" s="180" t="s">
        <v>9145</v>
      </c>
      <c r="D2129" s="231"/>
      <c r="E2129" s="231" t="s">
        <v>38</v>
      </c>
      <c r="F2129" s="252">
        <v>10000.0</v>
      </c>
      <c r="G2129" s="218" t="s">
        <v>9146</v>
      </c>
      <c r="H2129" s="11" t="s">
        <v>44</v>
      </c>
      <c r="I2129" s="218">
        <v>7.43189454E9</v>
      </c>
      <c r="J2129" s="11" t="s">
        <v>4008</v>
      </c>
      <c r="K2129" s="12"/>
      <c r="L2129" s="13"/>
      <c r="M2129" s="11" t="s">
        <v>9147</v>
      </c>
      <c r="N2129" s="5" t="s">
        <v>9148</v>
      </c>
      <c r="O2129" s="5" t="s">
        <v>34</v>
      </c>
      <c r="P2129" s="5" t="s">
        <v>1384</v>
      </c>
      <c r="Q2129" s="5" t="s">
        <v>9149</v>
      </c>
      <c r="R2129" s="16" t="s">
        <v>28</v>
      </c>
      <c r="S2129" s="15"/>
      <c r="T2129" s="15"/>
      <c r="U2129" s="15"/>
      <c r="V2129" s="15"/>
      <c r="W2129" s="15"/>
      <c r="X2129" s="15"/>
      <c r="Y2129" s="15"/>
      <c r="Z2129" s="15"/>
      <c r="AA2129" s="15"/>
    </row>
    <row r="2130">
      <c r="A2130" s="5" t="s">
        <v>9150</v>
      </c>
      <c r="B2130" s="6" t="s">
        <v>9151</v>
      </c>
      <c r="C2130" s="255" t="s">
        <v>9114</v>
      </c>
      <c r="D2130" s="256"/>
      <c r="E2130" s="256" t="s">
        <v>9152</v>
      </c>
      <c r="F2130" s="252" t="s">
        <v>9153</v>
      </c>
      <c r="G2130" s="97" t="s">
        <v>9117</v>
      </c>
      <c r="H2130" s="11" t="s">
        <v>9118</v>
      </c>
      <c r="I2130" s="97" t="s">
        <v>9154</v>
      </c>
      <c r="J2130" s="11" t="s">
        <v>25</v>
      </c>
      <c r="K2130" s="12" t="s">
        <v>9155</v>
      </c>
      <c r="L2130" s="13"/>
      <c r="M2130" s="12" t="s">
        <v>9155</v>
      </c>
      <c r="N2130" s="15"/>
      <c r="O2130" s="5" t="s">
        <v>26</v>
      </c>
      <c r="P2130" s="5" t="s">
        <v>4563</v>
      </c>
      <c r="Q2130" s="5" t="s">
        <v>9156</v>
      </c>
      <c r="R2130" s="16" t="s">
        <v>634</v>
      </c>
      <c r="S2130" s="15"/>
      <c r="T2130" s="15"/>
      <c r="U2130" s="15"/>
      <c r="V2130" s="15"/>
      <c r="W2130" s="15"/>
      <c r="X2130" s="15"/>
      <c r="Y2130" s="15"/>
      <c r="Z2130" s="15"/>
      <c r="AA2130" s="15"/>
    </row>
    <row r="2131">
      <c r="A2131" s="5" t="s">
        <v>9157</v>
      </c>
      <c r="B2131" s="6" t="s">
        <v>9158</v>
      </c>
      <c r="C2131" s="235" t="s">
        <v>9159</v>
      </c>
      <c r="D2131" s="257"/>
      <c r="E2131" s="257" t="s">
        <v>8997</v>
      </c>
      <c r="F2131" s="90">
        <v>4000.0</v>
      </c>
      <c r="G2131" s="97" t="s">
        <v>3131</v>
      </c>
      <c r="H2131" s="11"/>
      <c r="I2131" s="226">
        <v>9.33903398E9</v>
      </c>
      <c r="J2131" s="11" t="s">
        <v>25</v>
      </c>
      <c r="K2131" s="12" t="s">
        <v>2827</v>
      </c>
      <c r="L2131" s="13"/>
      <c r="M2131" s="11" t="s">
        <v>2827</v>
      </c>
      <c r="N2131" s="5" t="s">
        <v>9160</v>
      </c>
      <c r="O2131" s="5" t="s">
        <v>26</v>
      </c>
      <c r="P2131" s="5" t="s">
        <v>453</v>
      </c>
      <c r="Q2131" s="15"/>
      <c r="R2131" s="16" t="s">
        <v>634</v>
      </c>
      <c r="S2131" s="15"/>
      <c r="T2131" s="15"/>
      <c r="U2131" s="15"/>
      <c r="V2131" s="15"/>
      <c r="W2131" s="15"/>
      <c r="X2131" s="15"/>
      <c r="Y2131" s="15"/>
      <c r="Z2131" s="15"/>
      <c r="AA2131" s="15"/>
    </row>
    <row r="2132">
      <c r="A2132" s="5" t="s">
        <v>9157</v>
      </c>
      <c r="B2132" s="6" t="s">
        <v>9161</v>
      </c>
      <c r="C2132" s="180" t="s">
        <v>9162</v>
      </c>
      <c r="D2132" s="231"/>
      <c r="E2132" s="231" t="s">
        <v>147</v>
      </c>
      <c r="F2132" s="90">
        <v>15000.0</v>
      </c>
      <c r="G2132" s="226" t="s">
        <v>9163</v>
      </c>
      <c r="H2132" s="11" t="s">
        <v>472</v>
      </c>
      <c r="I2132" s="97">
        <v>8.436462302E9</v>
      </c>
      <c r="J2132" s="11" t="s">
        <v>25</v>
      </c>
      <c r="K2132" s="12"/>
      <c r="L2132" s="13"/>
      <c r="M2132" s="11" t="s">
        <v>9164</v>
      </c>
      <c r="N2132" s="5" t="s">
        <v>9165</v>
      </c>
      <c r="O2132" s="5" t="s">
        <v>34</v>
      </c>
      <c r="P2132" s="5" t="s">
        <v>1384</v>
      </c>
      <c r="Q2132" s="5" t="s">
        <v>777</v>
      </c>
      <c r="R2132" s="16" t="s">
        <v>723</v>
      </c>
      <c r="S2132" s="15"/>
      <c r="T2132" s="15"/>
      <c r="U2132" s="15"/>
      <c r="V2132" s="15"/>
      <c r="W2132" s="15"/>
      <c r="X2132" s="15"/>
      <c r="Y2132" s="15"/>
      <c r="Z2132" s="15"/>
      <c r="AA2132" s="15"/>
    </row>
    <row r="2133">
      <c r="A2133" s="5" t="s">
        <v>9157</v>
      </c>
      <c r="B2133" s="6" t="s">
        <v>9166</v>
      </c>
      <c r="C2133" s="40" t="s">
        <v>9167</v>
      </c>
      <c r="D2133" s="257"/>
      <c r="E2133" s="257" t="s">
        <v>116</v>
      </c>
      <c r="F2133" s="90">
        <v>500.0</v>
      </c>
      <c r="G2133" s="97" t="s">
        <v>9168</v>
      </c>
      <c r="H2133" s="11" t="s">
        <v>9169</v>
      </c>
      <c r="I2133" s="97">
        <v>9.401619603E9</v>
      </c>
      <c r="J2133" s="11" t="s">
        <v>25</v>
      </c>
      <c r="K2133" s="12" t="s">
        <v>9170</v>
      </c>
      <c r="L2133" s="13"/>
      <c r="M2133" s="11" t="s">
        <v>9171</v>
      </c>
      <c r="N2133" s="15"/>
      <c r="O2133" s="5" t="s">
        <v>26</v>
      </c>
      <c r="P2133" s="5" t="s">
        <v>9172</v>
      </c>
      <c r="Q2133" s="5" t="s">
        <v>27</v>
      </c>
      <c r="R2133" s="16" t="s">
        <v>28</v>
      </c>
      <c r="S2133" s="15"/>
      <c r="T2133" s="15"/>
      <c r="U2133" s="15"/>
      <c r="V2133" s="15"/>
      <c r="W2133" s="15"/>
      <c r="X2133" s="15"/>
      <c r="Y2133" s="15"/>
      <c r="Z2133" s="15"/>
      <c r="AA2133" s="15"/>
    </row>
    <row r="2134">
      <c r="A2134" s="5" t="s">
        <v>9173</v>
      </c>
      <c r="B2134" s="6" t="s">
        <v>9174</v>
      </c>
      <c r="C2134" s="180" t="s">
        <v>9175</v>
      </c>
      <c r="D2134" s="231"/>
      <c r="E2134" s="231" t="s">
        <v>4481</v>
      </c>
      <c r="F2134" s="90">
        <v>750.0</v>
      </c>
      <c r="G2134" s="97" t="s">
        <v>9176</v>
      </c>
      <c r="H2134" s="11" t="s">
        <v>8781</v>
      </c>
      <c r="I2134" s="97">
        <v>7.003849478E9</v>
      </c>
      <c r="J2134" s="11" t="s">
        <v>25</v>
      </c>
      <c r="K2134" s="12"/>
      <c r="L2134" s="13"/>
      <c r="M2134" s="11" t="s">
        <v>9177</v>
      </c>
      <c r="N2134" s="5" t="s">
        <v>9178</v>
      </c>
      <c r="O2134" s="5" t="s">
        <v>34</v>
      </c>
      <c r="P2134" s="5" t="s">
        <v>9179</v>
      </c>
      <c r="Q2134" s="5" t="s">
        <v>6625</v>
      </c>
      <c r="R2134" s="16" t="s">
        <v>634</v>
      </c>
      <c r="S2134" s="15"/>
      <c r="T2134" s="15"/>
      <c r="U2134" s="15"/>
      <c r="V2134" s="15"/>
      <c r="W2134" s="15"/>
      <c r="X2134" s="15"/>
      <c r="Y2134" s="15"/>
      <c r="Z2134" s="15"/>
      <c r="AA2134" s="15"/>
    </row>
    <row r="2135">
      <c r="A2135" s="5" t="s">
        <v>9173</v>
      </c>
      <c r="B2135" s="6" t="s">
        <v>9180</v>
      </c>
      <c r="C2135" s="216" t="s">
        <v>9181</v>
      </c>
      <c r="D2135" s="52"/>
      <c r="E2135" s="11" t="s">
        <v>718</v>
      </c>
      <c r="F2135" s="90">
        <v>50000.0</v>
      </c>
      <c r="G2135" s="218" t="s">
        <v>9182</v>
      </c>
      <c r="H2135" s="11" t="s">
        <v>906</v>
      </c>
      <c r="I2135" s="97">
        <v>8.169064821E9</v>
      </c>
      <c r="J2135" s="11" t="s">
        <v>25</v>
      </c>
      <c r="K2135" s="12" t="s">
        <v>8677</v>
      </c>
      <c r="L2135" s="13"/>
      <c r="M2135" s="14"/>
      <c r="N2135" s="15"/>
      <c r="O2135" s="5" t="s">
        <v>108</v>
      </c>
      <c r="P2135" s="5" t="s">
        <v>9183</v>
      </c>
      <c r="Q2135" s="15"/>
      <c r="R2135" s="16" t="s">
        <v>28</v>
      </c>
      <c r="S2135" s="15"/>
      <c r="T2135" s="15"/>
      <c r="U2135" s="15"/>
      <c r="V2135" s="15"/>
      <c r="W2135" s="15"/>
      <c r="X2135" s="15"/>
      <c r="Y2135" s="15"/>
      <c r="Z2135" s="15"/>
      <c r="AA2135" s="15"/>
    </row>
    <row r="2136">
      <c r="A2136" s="5" t="s">
        <v>9184</v>
      </c>
      <c r="B2136" s="6" t="s">
        <v>9185</v>
      </c>
      <c r="C2136" s="97" t="s">
        <v>9186</v>
      </c>
      <c r="D2136" s="11"/>
      <c r="E2136" s="11" t="s">
        <v>9187</v>
      </c>
      <c r="F2136" s="90">
        <v>5000.0</v>
      </c>
      <c r="G2136" s="236" t="s">
        <v>9188</v>
      </c>
      <c r="H2136" s="11" t="s">
        <v>9189</v>
      </c>
      <c r="I2136" s="97">
        <v>9.831261322E9</v>
      </c>
      <c r="J2136" s="11" t="s">
        <v>4008</v>
      </c>
      <c r="K2136" s="12"/>
      <c r="L2136" s="13"/>
      <c r="M2136" s="11" t="s">
        <v>9190</v>
      </c>
      <c r="N2136" s="5" t="s">
        <v>9191</v>
      </c>
      <c r="O2136" s="5" t="s">
        <v>34</v>
      </c>
      <c r="P2136" s="5" t="s">
        <v>9192</v>
      </c>
      <c r="Q2136" s="5" t="s">
        <v>727</v>
      </c>
      <c r="R2136" s="16" t="s">
        <v>634</v>
      </c>
      <c r="S2136" s="15"/>
      <c r="T2136" s="15"/>
      <c r="U2136" s="15"/>
      <c r="V2136" s="15"/>
      <c r="W2136" s="15"/>
      <c r="X2136" s="15"/>
      <c r="Y2136" s="15"/>
      <c r="Z2136" s="15"/>
      <c r="AA2136" s="15"/>
    </row>
    <row r="2137">
      <c r="A2137" s="5" t="s">
        <v>9184</v>
      </c>
      <c r="B2137" s="6" t="s">
        <v>9193</v>
      </c>
      <c r="C2137" s="216" t="s">
        <v>9194</v>
      </c>
      <c r="D2137" s="52"/>
      <c r="E2137" s="11" t="s">
        <v>43</v>
      </c>
      <c r="F2137" s="90">
        <v>25000.0</v>
      </c>
      <c r="G2137" s="236" t="s">
        <v>9195</v>
      </c>
      <c r="H2137" s="11" t="s">
        <v>9196</v>
      </c>
      <c r="I2137" s="226">
        <v>9.339392845E9</v>
      </c>
      <c r="J2137" s="11" t="s">
        <v>4008</v>
      </c>
      <c r="K2137" s="12" t="s">
        <v>8753</v>
      </c>
      <c r="L2137" s="13"/>
      <c r="M2137" s="11" t="s">
        <v>7820</v>
      </c>
      <c r="N2137" s="5" t="s">
        <v>9197</v>
      </c>
      <c r="O2137" s="5" t="s">
        <v>34</v>
      </c>
      <c r="P2137" s="5" t="s">
        <v>9198</v>
      </c>
      <c r="Q2137" s="5" t="s">
        <v>55</v>
      </c>
      <c r="R2137" s="16" t="s">
        <v>634</v>
      </c>
      <c r="S2137" s="15"/>
      <c r="T2137" s="15"/>
      <c r="U2137" s="15"/>
      <c r="V2137" s="15"/>
      <c r="W2137" s="15"/>
      <c r="X2137" s="15"/>
      <c r="Y2137" s="15"/>
      <c r="Z2137" s="15"/>
      <c r="AA2137" s="15"/>
    </row>
    <row r="2138">
      <c r="A2138" s="5" t="s">
        <v>9184</v>
      </c>
      <c r="B2138" s="6" t="s">
        <v>9199</v>
      </c>
      <c r="C2138" s="258" t="s">
        <v>9200</v>
      </c>
      <c r="D2138" s="259"/>
      <c r="E2138" s="259" t="s">
        <v>9201</v>
      </c>
      <c r="F2138" s="260">
        <v>10000.0</v>
      </c>
      <c r="G2138" s="97" t="s">
        <v>2830</v>
      </c>
      <c r="H2138" s="11" t="s">
        <v>158</v>
      </c>
      <c r="I2138" s="97" t="s">
        <v>9202</v>
      </c>
      <c r="J2138" s="11"/>
      <c r="K2138" s="12" t="s">
        <v>9203</v>
      </c>
      <c r="L2138" s="13"/>
      <c r="M2138" s="11" t="s">
        <v>9204</v>
      </c>
      <c r="N2138" s="5" t="s">
        <v>9205</v>
      </c>
      <c r="O2138" s="5" t="s">
        <v>26</v>
      </c>
      <c r="P2138" s="5" t="s">
        <v>9206</v>
      </c>
      <c r="Q2138" s="15"/>
      <c r="R2138" s="16" t="s">
        <v>248</v>
      </c>
      <c r="S2138" s="15"/>
      <c r="T2138" s="15"/>
      <c r="U2138" s="15"/>
      <c r="V2138" s="15"/>
      <c r="W2138" s="15"/>
      <c r="X2138" s="15"/>
      <c r="Y2138" s="15"/>
      <c r="Z2138" s="15"/>
      <c r="AA2138" s="15"/>
    </row>
    <row r="2139" ht="18.0" customHeight="1">
      <c r="A2139" s="5" t="s">
        <v>9184</v>
      </c>
      <c r="B2139" s="6" t="s">
        <v>9207</v>
      </c>
      <c r="C2139" s="97" t="s">
        <v>9208</v>
      </c>
      <c r="D2139" s="11"/>
      <c r="E2139" s="11" t="s">
        <v>47</v>
      </c>
      <c r="F2139" s="90">
        <v>10000.0</v>
      </c>
      <c r="G2139" s="236" t="s">
        <v>9209</v>
      </c>
      <c r="H2139" s="216" t="s">
        <v>5435</v>
      </c>
      <c r="I2139" s="239">
        <v>9.323366646E9</v>
      </c>
      <c r="J2139" s="11" t="s">
        <v>25</v>
      </c>
      <c r="K2139" s="12" t="s">
        <v>8753</v>
      </c>
      <c r="L2139" s="13"/>
      <c r="M2139" s="14"/>
      <c r="N2139" s="15"/>
      <c r="O2139" s="5" t="s">
        <v>108</v>
      </c>
      <c r="P2139" s="5" t="s">
        <v>9210</v>
      </c>
      <c r="Q2139" s="15"/>
      <c r="R2139" s="16" t="s">
        <v>28</v>
      </c>
      <c r="S2139" s="15"/>
      <c r="T2139" s="15"/>
      <c r="U2139" s="15"/>
      <c r="V2139" s="15"/>
      <c r="W2139" s="15"/>
      <c r="X2139" s="15"/>
      <c r="Y2139" s="15"/>
      <c r="Z2139" s="15"/>
      <c r="AA2139" s="15"/>
    </row>
    <row r="2140">
      <c r="A2140" s="5" t="s">
        <v>9211</v>
      </c>
      <c r="B2140" s="6" t="s">
        <v>9212</v>
      </c>
      <c r="C2140" s="216" t="s">
        <v>9213</v>
      </c>
      <c r="D2140" s="52"/>
      <c r="E2140" s="11" t="s">
        <v>9214</v>
      </c>
      <c r="F2140" s="90">
        <v>10000.0</v>
      </c>
      <c r="G2140" s="261" t="s">
        <v>9215</v>
      </c>
      <c r="H2140" s="11" t="s">
        <v>9196</v>
      </c>
      <c r="I2140" s="216">
        <v>9.033704591E9</v>
      </c>
      <c r="J2140" s="11" t="s">
        <v>25</v>
      </c>
      <c r="K2140" s="12" t="s">
        <v>8753</v>
      </c>
      <c r="L2140" s="13"/>
      <c r="M2140" s="11" t="s">
        <v>9216</v>
      </c>
      <c r="N2140" s="5" t="s">
        <v>9217</v>
      </c>
      <c r="O2140" s="5" t="s">
        <v>108</v>
      </c>
      <c r="P2140" s="15"/>
      <c r="Q2140" s="15"/>
      <c r="R2140" s="16" t="s">
        <v>634</v>
      </c>
      <c r="S2140" s="15"/>
      <c r="T2140" s="15"/>
      <c r="U2140" s="15"/>
      <c r="V2140" s="15"/>
      <c r="W2140" s="15"/>
      <c r="X2140" s="15"/>
      <c r="Y2140" s="15"/>
      <c r="Z2140" s="15"/>
      <c r="AA2140" s="15"/>
    </row>
    <row r="2141">
      <c r="A2141" s="5" t="s">
        <v>9218</v>
      </c>
      <c r="B2141" s="6" t="s">
        <v>9219</v>
      </c>
      <c r="C2141" s="97" t="s">
        <v>9220</v>
      </c>
      <c r="D2141" s="262"/>
      <c r="E2141" s="262" t="s">
        <v>625</v>
      </c>
      <c r="F2141" s="90"/>
      <c r="G2141" s="236" t="s">
        <v>9221</v>
      </c>
      <c r="H2141" s="11" t="s">
        <v>44</v>
      </c>
      <c r="I2141" s="97">
        <v>9.90360249E9</v>
      </c>
      <c r="J2141" s="11" t="s">
        <v>25</v>
      </c>
      <c r="K2141" s="12" t="s">
        <v>9222</v>
      </c>
      <c r="L2141" s="13"/>
      <c r="M2141" s="14"/>
      <c r="N2141" s="15"/>
      <c r="O2141" s="5" t="s">
        <v>26</v>
      </c>
      <c r="P2141" s="5" t="s">
        <v>9223</v>
      </c>
      <c r="Q2141" s="15"/>
      <c r="R2141" s="16" t="s">
        <v>634</v>
      </c>
      <c r="S2141" s="15"/>
      <c r="T2141" s="15"/>
      <c r="U2141" s="15"/>
      <c r="V2141" s="15"/>
      <c r="W2141" s="15"/>
      <c r="X2141" s="15"/>
      <c r="Y2141" s="15"/>
      <c r="Z2141" s="15"/>
      <c r="AA2141" s="15"/>
    </row>
    <row r="2142">
      <c r="A2142" s="5" t="s">
        <v>9218</v>
      </c>
      <c r="B2142" s="6" t="s">
        <v>9224</v>
      </c>
      <c r="C2142" s="40" t="s">
        <v>9225</v>
      </c>
      <c r="D2142" s="262"/>
      <c r="E2142" s="262" t="s">
        <v>9226</v>
      </c>
      <c r="F2142" s="9">
        <v>500000.0</v>
      </c>
      <c r="G2142" s="236" t="s">
        <v>9227</v>
      </c>
      <c r="H2142" s="11" t="s">
        <v>99</v>
      </c>
      <c r="I2142" s="97">
        <v>7.50499016E9</v>
      </c>
      <c r="J2142" s="11" t="s">
        <v>25</v>
      </c>
      <c r="K2142" s="12" t="s">
        <v>8753</v>
      </c>
      <c r="L2142" s="13"/>
      <c r="M2142" s="14"/>
      <c r="N2142" s="15"/>
      <c r="O2142" s="5" t="s">
        <v>26</v>
      </c>
      <c r="P2142" s="15"/>
      <c r="Q2142" s="15"/>
      <c r="R2142" s="16" t="s">
        <v>28</v>
      </c>
      <c r="S2142" s="5" t="s">
        <v>9228</v>
      </c>
      <c r="T2142" s="15"/>
      <c r="U2142" s="15"/>
      <c r="V2142" s="15"/>
      <c r="W2142" s="15"/>
      <c r="X2142" s="15"/>
      <c r="Y2142" s="15"/>
      <c r="Z2142" s="15"/>
      <c r="AA2142" s="15"/>
    </row>
    <row r="2143">
      <c r="A2143" s="40" t="s">
        <v>9218</v>
      </c>
      <c r="B2143" s="6" t="s">
        <v>9229</v>
      </c>
      <c r="C2143" s="97" t="s">
        <v>9230</v>
      </c>
      <c r="D2143" s="11"/>
      <c r="E2143" s="11" t="s">
        <v>189</v>
      </c>
      <c r="F2143" s="9">
        <v>1000000.0</v>
      </c>
      <c r="G2143" s="236" t="s">
        <v>9231</v>
      </c>
      <c r="H2143" s="97" t="s">
        <v>9232</v>
      </c>
      <c r="I2143" s="97">
        <v>8.169550697E9</v>
      </c>
      <c r="J2143" s="11" t="s">
        <v>25</v>
      </c>
      <c r="K2143" s="12" t="s">
        <v>8753</v>
      </c>
      <c r="L2143" s="13"/>
      <c r="M2143" s="11" t="s">
        <v>9233</v>
      </c>
      <c r="N2143" s="5" t="s">
        <v>9234</v>
      </c>
      <c r="O2143" s="5" t="s">
        <v>108</v>
      </c>
      <c r="P2143" s="15"/>
      <c r="Q2143" s="15"/>
      <c r="R2143" s="16" t="s">
        <v>634</v>
      </c>
      <c r="S2143" s="15"/>
      <c r="T2143" s="15"/>
      <c r="U2143" s="15"/>
      <c r="V2143" s="15"/>
      <c r="W2143" s="15"/>
      <c r="X2143" s="15"/>
      <c r="Y2143" s="15"/>
      <c r="Z2143" s="15"/>
      <c r="AA2143" s="15"/>
    </row>
    <row r="2144">
      <c r="A2144" s="5" t="s">
        <v>9218</v>
      </c>
      <c r="B2144" s="6" t="s">
        <v>9235</v>
      </c>
      <c r="C2144" s="40" t="s">
        <v>9236</v>
      </c>
      <c r="D2144" s="262"/>
      <c r="E2144" s="262" t="s">
        <v>9237</v>
      </c>
      <c r="F2144" s="90">
        <v>15000.0</v>
      </c>
      <c r="G2144" s="236" t="s">
        <v>9238</v>
      </c>
      <c r="H2144" s="97" t="s">
        <v>9239</v>
      </c>
      <c r="I2144" s="41" t="s">
        <v>9240</v>
      </c>
      <c r="J2144" s="11" t="s">
        <v>25</v>
      </c>
      <c r="K2144" s="12" t="s">
        <v>8753</v>
      </c>
      <c r="L2144" s="13"/>
      <c r="M2144" s="11" t="s">
        <v>9241</v>
      </c>
      <c r="N2144" s="5" t="s">
        <v>9242</v>
      </c>
      <c r="O2144" s="5" t="s">
        <v>108</v>
      </c>
      <c r="P2144" s="15"/>
      <c r="Q2144" s="15"/>
      <c r="R2144" s="16" t="s">
        <v>634</v>
      </c>
      <c r="S2144" s="15"/>
      <c r="T2144" s="15"/>
      <c r="U2144" s="15"/>
      <c r="V2144" s="15"/>
      <c r="W2144" s="15"/>
      <c r="X2144" s="15"/>
      <c r="Y2144" s="15"/>
      <c r="Z2144" s="15"/>
      <c r="AA2144" s="15"/>
    </row>
    <row r="2145">
      <c r="A2145" s="5" t="s">
        <v>9243</v>
      </c>
      <c r="B2145" s="6" t="s">
        <v>9244</v>
      </c>
      <c r="C2145" s="97" t="s">
        <v>9245</v>
      </c>
      <c r="D2145" s="262"/>
      <c r="E2145" s="262" t="s">
        <v>7700</v>
      </c>
      <c r="F2145" s="90"/>
      <c r="G2145" s="236" t="s">
        <v>9246</v>
      </c>
      <c r="H2145" s="216" t="s">
        <v>2682</v>
      </c>
      <c r="I2145" s="97">
        <v>9.59090009E9</v>
      </c>
      <c r="J2145" s="11" t="s">
        <v>3718</v>
      </c>
      <c r="K2145" s="12" t="s">
        <v>8677</v>
      </c>
      <c r="L2145" s="13"/>
      <c r="M2145" s="14"/>
      <c r="N2145" s="15"/>
      <c r="O2145" s="5" t="s">
        <v>108</v>
      </c>
      <c r="P2145" s="15"/>
      <c r="Q2145" s="15"/>
      <c r="R2145" s="16" t="s">
        <v>28</v>
      </c>
      <c r="S2145" s="15"/>
      <c r="T2145" s="15"/>
      <c r="U2145" s="15"/>
      <c r="V2145" s="15"/>
      <c r="W2145" s="15"/>
      <c r="X2145" s="15"/>
      <c r="Y2145" s="15"/>
      <c r="Z2145" s="15"/>
      <c r="AA2145" s="15"/>
    </row>
    <row r="2146">
      <c r="A2146" s="5" t="s">
        <v>9243</v>
      </c>
      <c r="B2146" s="6" t="s">
        <v>9247</v>
      </c>
      <c r="C2146" s="97" t="s">
        <v>9248</v>
      </c>
      <c r="D2146" s="262"/>
      <c r="E2146" s="262" t="s">
        <v>9249</v>
      </c>
      <c r="F2146" s="90"/>
      <c r="G2146" s="236"/>
      <c r="H2146" s="11" t="s">
        <v>4841</v>
      </c>
      <c r="I2146" s="97">
        <v>7.431071583E9</v>
      </c>
      <c r="J2146" s="11" t="s">
        <v>25</v>
      </c>
      <c r="K2146" s="12" t="s">
        <v>9250</v>
      </c>
      <c r="L2146" s="13"/>
      <c r="M2146" s="14"/>
      <c r="N2146" s="15"/>
      <c r="O2146" s="5" t="s">
        <v>26</v>
      </c>
      <c r="P2146" s="5" t="s">
        <v>9251</v>
      </c>
      <c r="Q2146" s="15"/>
      <c r="R2146" s="16" t="s">
        <v>28</v>
      </c>
      <c r="S2146" s="15"/>
      <c r="T2146" s="15"/>
      <c r="U2146" s="15"/>
      <c r="V2146" s="15"/>
      <c r="W2146" s="15"/>
      <c r="X2146" s="15"/>
      <c r="Y2146" s="15"/>
      <c r="Z2146" s="15"/>
      <c r="AA2146" s="15"/>
    </row>
    <row r="2147">
      <c r="A2147" s="5" t="s">
        <v>9243</v>
      </c>
      <c r="B2147" s="6" t="s">
        <v>9252</v>
      </c>
      <c r="C2147" s="97" t="s">
        <v>9253</v>
      </c>
      <c r="D2147" s="262"/>
      <c r="E2147" s="262" t="s">
        <v>9254</v>
      </c>
      <c r="F2147" s="90"/>
      <c r="G2147" s="236" t="s">
        <v>9255</v>
      </c>
      <c r="H2147" s="11" t="s">
        <v>9256</v>
      </c>
      <c r="I2147" s="97">
        <v>8.443931349E9</v>
      </c>
      <c r="J2147" s="11" t="s">
        <v>25</v>
      </c>
      <c r="K2147" s="12" t="s">
        <v>8753</v>
      </c>
      <c r="L2147" s="13"/>
      <c r="M2147" s="14"/>
      <c r="N2147" s="15"/>
      <c r="O2147" s="5" t="s">
        <v>26</v>
      </c>
      <c r="P2147" s="5" t="s">
        <v>9257</v>
      </c>
      <c r="Q2147" s="15"/>
      <c r="R2147" s="16" t="s">
        <v>28</v>
      </c>
      <c r="S2147" s="15"/>
      <c r="T2147" s="15"/>
      <c r="U2147" s="15"/>
      <c r="V2147" s="15"/>
      <c r="W2147" s="15"/>
      <c r="X2147" s="15"/>
      <c r="Y2147" s="15"/>
      <c r="Z2147" s="15"/>
      <c r="AA2147" s="15"/>
    </row>
    <row r="2148">
      <c r="A2148" s="5" t="s">
        <v>9243</v>
      </c>
      <c r="B2148" s="6" t="s">
        <v>9258</v>
      </c>
      <c r="C2148" s="97" t="s">
        <v>9259</v>
      </c>
      <c r="D2148" s="262"/>
      <c r="E2148" s="262" t="s">
        <v>2647</v>
      </c>
      <c r="F2148" s="9">
        <v>200000.0</v>
      </c>
      <c r="G2148" s="236" t="s">
        <v>9260</v>
      </c>
      <c r="H2148" s="216" t="s">
        <v>9261</v>
      </c>
      <c r="I2148" s="97">
        <v>9.7277769E9</v>
      </c>
      <c r="J2148" s="11" t="s">
        <v>25</v>
      </c>
      <c r="K2148" s="12" t="s">
        <v>8677</v>
      </c>
      <c r="L2148" s="12" t="s">
        <v>9262</v>
      </c>
      <c r="M2148" s="14"/>
      <c r="N2148" s="15"/>
      <c r="O2148" s="5" t="s">
        <v>108</v>
      </c>
      <c r="P2148" s="15"/>
      <c r="Q2148" s="15"/>
      <c r="R2148" s="16" t="s">
        <v>28</v>
      </c>
      <c r="S2148" s="15"/>
      <c r="T2148" s="15"/>
      <c r="U2148" s="15"/>
      <c r="V2148" s="15"/>
      <c r="W2148" s="15"/>
      <c r="X2148" s="15"/>
      <c r="Y2148" s="15"/>
      <c r="Z2148" s="15"/>
      <c r="AA2148" s="15"/>
    </row>
    <row r="2149">
      <c r="A2149" s="5" t="s">
        <v>9243</v>
      </c>
      <c r="B2149" s="6" t="s">
        <v>9263</v>
      </c>
      <c r="C2149" s="97" t="s">
        <v>9264</v>
      </c>
      <c r="D2149" s="11"/>
      <c r="E2149" s="11" t="s">
        <v>4123</v>
      </c>
      <c r="F2149" s="90"/>
      <c r="G2149" s="236" t="s">
        <v>9265</v>
      </c>
      <c r="H2149" s="11" t="s">
        <v>9266</v>
      </c>
      <c r="I2149" s="97">
        <v>9.447775133E9</v>
      </c>
      <c r="J2149" s="11"/>
      <c r="K2149" s="12" t="s">
        <v>8677</v>
      </c>
      <c r="L2149" s="13"/>
      <c r="M2149" s="14"/>
      <c r="N2149" s="15"/>
      <c r="O2149" s="5" t="s">
        <v>108</v>
      </c>
      <c r="P2149" s="15"/>
      <c r="Q2149" s="15"/>
      <c r="R2149" s="16" t="s">
        <v>28</v>
      </c>
      <c r="S2149" s="15"/>
      <c r="T2149" s="15"/>
      <c r="U2149" s="15"/>
      <c r="V2149" s="15"/>
      <c r="W2149" s="15"/>
      <c r="X2149" s="15"/>
      <c r="Y2149" s="15"/>
      <c r="Z2149" s="15"/>
      <c r="AA2149" s="15"/>
    </row>
    <row r="2150">
      <c r="A2150" s="5" t="s">
        <v>9267</v>
      </c>
      <c r="B2150" s="6" t="s">
        <v>9268</v>
      </c>
      <c r="C2150" s="40" t="s">
        <v>9269</v>
      </c>
      <c r="D2150" s="11"/>
      <c r="E2150" s="11" t="s">
        <v>9270</v>
      </c>
      <c r="F2150" s="90">
        <v>1000.0</v>
      </c>
      <c r="G2150" s="236" t="s">
        <v>9271</v>
      </c>
      <c r="H2150" s="11" t="s">
        <v>44</v>
      </c>
      <c r="I2150" s="216">
        <v>8.697564776E9</v>
      </c>
      <c r="J2150" s="11" t="s">
        <v>4008</v>
      </c>
      <c r="K2150" s="12"/>
      <c r="L2150" s="13"/>
      <c r="M2150" s="11" t="s">
        <v>7718</v>
      </c>
      <c r="N2150" s="5" t="s">
        <v>9272</v>
      </c>
      <c r="O2150" s="5" t="s">
        <v>34</v>
      </c>
      <c r="P2150" s="5" t="s">
        <v>6334</v>
      </c>
      <c r="Q2150" s="15"/>
      <c r="R2150" s="16" t="s">
        <v>634</v>
      </c>
      <c r="S2150" s="15"/>
      <c r="T2150" s="15"/>
      <c r="U2150" s="15"/>
      <c r="V2150" s="15"/>
      <c r="W2150" s="15"/>
      <c r="X2150" s="15"/>
      <c r="Y2150" s="15"/>
      <c r="Z2150" s="15"/>
      <c r="AA2150" s="15"/>
    </row>
    <row r="2151">
      <c r="A2151" s="5" t="s">
        <v>9273</v>
      </c>
      <c r="B2151" s="6" t="s">
        <v>9274</v>
      </c>
      <c r="C2151" s="40" t="s">
        <v>9275</v>
      </c>
      <c r="D2151" s="11"/>
      <c r="E2151" s="11" t="s">
        <v>9276</v>
      </c>
      <c r="F2151" s="90" t="s">
        <v>9277</v>
      </c>
      <c r="G2151" s="236" t="s">
        <v>9278</v>
      </c>
      <c r="H2151" s="11" t="s">
        <v>44</v>
      </c>
      <c r="I2151" s="97">
        <v>8.42033993E9</v>
      </c>
      <c r="J2151" s="11" t="s">
        <v>25</v>
      </c>
      <c r="K2151" s="12"/>
      <c r="L2151" s="13"/>
      <c r="M2151" s="11" t="s">
        <v>9279</v>
      </c>
      <c r="N2151" s="5" t="s">
        <v>9280</v>
      </c>
      <c r="O2151" s="5" t="s">
        <v>34</v>
      </c>
      <c r="P2151" s="5" t="s">
        <v>9082</v>
      </c>
      <c r="Q2151" s="5" t="s">
        <v>9083</v>
      </c>
      <c r="R2151" s="16" t="s">
        <v>634</v>
      </c>
      <c r="S2151" s="15"/>
      <c r="T2151" s="15"/>
      <c r="U2151" s="15"/>
      <c r="V2151" s="15"/>
      <c r="W2151" s="15"/>
      <c r="X2151" s="15"/>
      <c r="Y2151" s="15"/>
      <c r="Z2151" s="15"/>
      <c r="AA2151" s="15"/>
    </row>
    <row r="2152">
      <c r="A2152" s="5" t="s">
        <v>9273</v>
      </c>
      <c r="B2152" s="6" t="s">
        <v>9281</v>
      </c>
      <c r="C2152" s="263" t="s">
        <v>9282</v>
      </c>
      <c r="D2152" s="11"/>
      <c r="E2152" s="11" t="s">
        <v>9283</v>
      </c>
      <c r="F2152" s="90">
        <v>2000.0</v>
      </c>
      <c r="G2152" s="236" t="s">
        <v>9284</v>
      </c>
      <c r="H2152" s="11" t="s">
        <v>44</v>
      </c>
      <c r="I2152" s="226">
        <v>9.804125239E9</v>
      </c>
      <c r="J2152" s="11" t="s">
        <v>25</v>
      </c>
      <c r="K2152" s="12" t="s">
        <v>8753</v>
      </c>
      <c r="L2152" s="13"/>
      <c r="M2152" s="14"/>
      <c r="N2152" s="15"/>
      <c r="O2152" s="5" t="s">
        <v>34</v>
      </c>
      <c r="P2152" s="15"/>
      <c r="Q2152" s="15"/>
      <c r="R2152" s="16" t="s">
        <v>28</v>
      </c>
      <c r="S2152" s="15"/>
      <c r="T2152" s="15"/>
      <c r="U2152" s="15"/>
      <c r="V2152" s="15"/>
      <c r="W2152" s="15"/>
      <c r="X2152" s="15"/>
      <c r="Y2152" s="15"/>
      <c r="Z2152" s="15"/>
      <c r="AA2152" s="15"/>
    </row>
    <row r="2153">
      <c r="A2153" s="5" t="s">
        <v>9273</v>
      </c>
      <c r="B2153" s="6" t="s">
        <v>9285</v>
      </c>
      <c r="C2153" s="97" t="s">
        <v>9286</v>
      </c>
      <c r="D2153" s="11"/>
      <c r="E2153" s="11" t="s">
        <v>130</v>
      </c>
      <c r="F2153" s="90">
        <v>3000.0</v>
      </c>
      <c r="G2153" s="236" t="s">
        <v>9287</v>
      </c>
      <c r="H2153" s="231" t="s">
        <v>44</v>
      </c>
      <c r="I2153" s="239">
        <v>9.831681221E9</v>
      </c>
      <c r="J2153" s="11" t="s">
        <v>4008</v>
      </c>
      <c r="K2153" s="12" t="s">
        <v>9288</v>
      </c>
      <c r="L2153" s="13"/>
      <c r="M2153" s="14"/>
      <c r="N2153" s="15"/>
      <c r="O2153" s="5" t="s">
        <v>34</v>
      </c>
      <c r="P2153" s="11" t="s">
        <v>9289</v>
      </c>
      <c r="Q2153" s="5" t="s">
        <v>727</v>
      </c>
      <c r="R2153" s="16" t="s">
        <v>634</v>
      </c>
      <c r="S2153" s="15"/>
      <c r="T2153" s="15"/>
      <c r="U2153" s="15"/>
      <c r="V2153" s="15"/>
      <c r="W2153" s="15"/>
      <c r="X2153" s="15"/>
      <c r="Y2153" s="15"/>
      <c r="Z2153" s="15"/>
      <c r="AA2153" s="15"/>
    </row>
    <row r="2154">
      <c r="A2154" s="5" t="s">
        <v>9290</v>
      </c>
      <c r="B2154" s="6" t="s">
        <v>9291</v>
      </c>
      <c r="C2154" s="216" t="s">
        <v>9292</v>
      </c>
      <c r="D2154" s="52"/>
      <c r="E2154" s="11" t="s">
        <v>8208</v>
      </c>
      <c r="F2154" s="90">
        <v>500.0</v>
      </c>
      <c r="G2154" s="218" t="s">
        <v>9293</v>
      </c>
      <c r="H2154" s="232" t="s">
        <v>3257</v>
      </c>
      <c r="I2154" s="226">
        <v>7.319147564E9</v>
      </c>
      <c r="J2154" s="11" t="s">
        <v>25</v>
      </c>
      <c r="K2154" s="12"/>
      <c r="L2154" s="13"/>
      <c r="M2154" s="14"/>
      <c r="N2154" s="15"/>
      <c r="O2154" s="5" t="s">
        <v>34</v>
      </c>
      <c r="P2154" s="5" t="s">
        <v>132</v>
      </c>
      <c r="Q2154" s="5" t="s">
        <v>727</v>
      </c>
      <c r="R2154" s="16" t="s">
        <v>634</v>
      </c>
      <c r="S2154" s="15"/>
      <c r="T2154" s="15"/>
      <c r="U2154" s="15"/>
      <c r="V2154" s="15"/>
      <c r="W2154" s="15"/>
      <c r="X2154" s="15"/>
      <c r="Y2154" s="15"/>
      <c r="Z2154" s="15"/>
      <c r="AA2154" s="15"/>
    </row>
    <row r="2155">
      <c r="A2155" s="5" t="s">
        <v>9290</v>
      </c>
      <c r="B2155" s="6" t="s">
        <v>9294</v>
      </c>
      <c r="C2155" s="40" t="s">
        <v>9295</v>
      </c>
      <c r="D2155" s="11"/>
      <c r="E2155" s="11" t="s">
        <v>286</v>
      </c>
      <c r="F2155" s="90">
        <v>1250.0</v>
      </c>
      <c r="G2155" s="97" t="s">
        <v>9296</v>
      </c>
      <c r="H2155" s="11" t="s">
        <v>9297</v>
      </c>
      <c r="I2155" s="97">
        <v>8.910016595E9</v>
      </c>
      <c r="J2155" s="11" t="s">
        <v>25</v>
      </c>
      <c r="K2155" s="12"/>
      <c r="L2155" s="13"/>
      <c r="M2155" s="11" t="s">
        <v>9298</v>
      </c>
      <c r="N2155" s="5" t="s">
        <v>9299</v>
      </c>
      <c r="O2155" s="5" t="s">
        <v>34</v>
      </c>
      <c r="P2155" s="5" t="s">
        <v>8466</v>
      </c>
      <c r="Q2155" s="5" t="s">
        <v>9300</v>
      </c>
      <c r="R2155" s="16" t="s">
        <v>634</v>
      </c>
      <c r="S2155" s="15"/>
      <c r="T2155" s="15"/>
      <c r="U2155" s="15"/>
      <c r="V2155" s="15"/>
      <c r="W2155" s="15"/>
      <c r="X2155" s="15"/>
      <c r="Y2155" s="15"/>
      <c r="Z2155" s="15"/>
      <c r="AA2155" s="15"/>
    </row>
    <row r="2156">
      <c r="A2156" s="5" t="s">
        <v>9301</v>
      </c>
      <c r="B2156" s="6" t="s">
        <v>9302</v>
      </c>
      <c r="C2156" s="216" t="s">
        <v>9303</v>
      </c>
      <c r="D2156" s="52"/>
      <c r="E2156" s="11" t="s">
        <v>9304</v>
      </c>
      <c r="F2156" s="90">
        <v>10000.0</v>
      </c>
      <c r="G2156" s="236" t="s">
        <v>9305</v>
      </c>
      <c r="H2156" s="97" t="s">
        <v>9306</v>
      </c>
      <c r="I2156" s="257">
        <v>9.22181512E9</v>
      </c>
      <c r="J2156" s="11" t="s">
        <v>25</v>
      </c>
      <c r="K2156" s="12" t="s">
        <v>8753</v>
      </c>
      <c r="L2156" s="13"/>
      <c r="M2156" s="14"/>
      <c r="N2156" s="15"/>
      <c r="O2156" s="5" t="s">
        <v>108</v>
      </c>
      <c r="P2156" s="15"/>
      <c r="Q2156" s="15"/>
      <c r="R2156" s="16" t="s">
        <v>28</v>
      </c>
      <c r="S2156" s="15"/>
      <c r="T2156" s="15"/>
      <c r="U2156" s="15"/>
      <c r="V2156" s="15"/>
      <c r="W2156" s="15"/>
      <c r="X2156" s="15"/>
      <c r="Y2156" s="15"/>
      <c r="Z2156" s="15"/>
      <c r="AA2156" s="15"/>
    </row>
    <row r="2157">
      <c r="A2157" s="5" t="s">
        <v>9301</v>
      </c>
      <c r="B2157" s="6" t="s">
        <v>9307</v>
      </c>
      <c r="C2157" s="263" t="s">
        <v>9308</v>
      </c>
      <c r="D2157" s="11"/>
      <c r="E2157" s="11" t="s">
        <v>1230</v>
      </c>
      <c r="F2157" s="90">
        <v>2000.0</v>
      </c>
      <c r="G2157" s="236" t="s">
        <v>9309</v>
      </c>
      <c r="H2157" s="231" t="s">
        <v>9310</v>
      </c>
      <c r="I2157" s="264">
        <v>7.979839013E9</v>
      </c>
      <c r="J2157" s="11" t="s">
        <v>4008</v>
      </c>
      <c r="K2157" s="12" t="s">
        <v>8542</v>
      </c>
      <c r="L2157" s="13"/>
      <c r="M2157" s="11" t="s">
        <v>8354</v>
      </c>
      <c r="N2157" s="5" t="s">
        <v>9311</v>
      </c>
      <c r="O2157" s="5" t="s">
        <v>26</v>
      </c>
      <c r="P2157" s="265" t="s">
        <v>9312</v>
      </c>
      <c r="Q2157" s="5" t="s">
        <v>453</v>
      </c>
      <c r="R2157" s="16" t="s">
        <v>28</v>
      </c>
      <c r="S2157" s="15"/>
      <c r="T2157" s="15"/>
      <c r="U2157" s="15"/>
      <c r="V2157" s="15"/>
      <c r="W2157" s="15"/>
      <c r="X2157" s="15"/>
      <c r="Y2157" s="15"/>
      <c r="Z2157" s="15"/>
      <c r="AA2157" s="15"/>
    </row>
    <row r="2158">
      <c r="A2158" s="5" t="s">
        <v>9301</v>
      </c>
      <c r="B2158" s="6" t="s">
        <v>9313</v>
      </c>
      <c r="C2158" s="216" t="s">
        <v>2506</v>
      </c>
      <c r="D2158" s="52"/>
      <c r="E2158" s="11" t="s">
        <v>7172</v>
      </c>
      <c r="F2158" s="90">
        <v>5000.0</v>
      </c>
      <c r="G2158" s="218" t="s">
        <v>9314</v>
      </c>
      <c r="H2158" s="11" t="s">
        <v>906</v>
      </c>
      <c r="I2158" s="266">
        <f>+(91)-8454930247</f>
        <v>-8454930156</v>
      </c>
      <c r="J2158" s="11" t="s">
        <v>25</v>
      </c>
      <c r="K2158" s="12" t="s">
        <v>8754</v>
      </c>
      <c r="L2158" s="13"/>
      <c r="M2158" s="14"/>
      <c r="N2158" s="15"/>
      <c r="O2158" s="5" t="s">
        <v>108</v>
      </c>
      <c r="P2158" s="5" t="s">
        <v>9315</v>
      </c>
      <c r="Q2158" s="15"/>
      <c r="R2158" s="16" t="s">
        <v>28</v>
      </c>
      <c r="S2158" s="15"/>
      <c r="T2158" s="15"/>
      <c r="U2158" s="15"/>
      <c r="V2158" s="15"/>
      <c r="W2158" s="15"/>
      <c r="X2158" s="15"/>
      <c r="Y2158" s="15"/>
      <c r="Z2158" s="15"/>
      <c r="AA2158" s="15"/>
    </row>
    <row r="2159">
      <c r="A2159" s="5" t="s">
        <v>9316</v>
      </c>
      <c r="B2159" s="6" t="s">
        <v>9317</v>
      </c>
      <c r="C2159" s="40" t="s">
        <v>9318</v>
      </c>
      <c r="D2159" s="11"/>
      <c r="E2159" s="11" t="s">
        <v>9319</v>
      </c>
      <c r="F2159" s="90">
        <v>5000.0</v>
      </c>
      <c r="G2159" s="97" t="s">
        <v>9320</v>
      </c>
      <c r="H2159" s="11" t="s">
        <v>44</v>
      </c>
      <c r="I2159" s="264">
        <v>9.830042616E9</v>
      </c>
      <c r="J2159" s="11" t="s">
        <v>25</v>
      </c>
      <c r="K2159" s="12" t="s">
        <v>9321</v>
      </c>
      <c r="L2159" s="13"/>
      <c r="M2159" s="11" t="s">
        <v>9322</v>
      </c>
      <c r="N2159" s="5" t="s">
        <v>9323</v>
      </c>
      <c r="O2159" s="5" t="s">
        <v>34</v>
      </c>
      <c r="P2159" s="5" t="s">
        <v>727</v>
      </c>
      <c r="Q2159" s="15"/>
      <c r="R2159" s="16" t="s">
        <v>634</v>
      </c>
      <c r="S2159" s="15"/>
      <c r="T2159" s="15"/>
      <c r="U2159" s="15"/>
      <c r="V2159" s="15"/>
      <c r="W2159" s="15"/>
      <c r="X2159" s="15"/>
      <c r="Y2159" s="15"/>
      <c r="Z2159" s="15"/>
      <c r="AA2159" s="15"/>
    </row>
    <row r="2160">
      <c r="A2160" s="5" t="s">
        <v>9316</v>
      </c>
      <c r="B2160" s="6" t="s">
        <v>9324</v>
      </c>
      <c r="C2160" s="40" t="s">
        <v>9325</v>
      </c>
      <c r="D2160" s="11"/>
      <c r="E2160" s="11" t="s">
        <v>5203</v>
      </c>
      <c r="F2160" s="90">
        <v>20000.0</v>
      </c>
      <c r="G2160" s="236" t="s">
        <v>9326</v>
      </c>
      <c r="H2160" s="11" t="s">
        <v>9327</v>
      </c>
      <c r="I2160" s="266">
        <f>+(91)-9830020216</f>
        <v>-9830020125</v>
      </c>
      <c r="J2160" s="11" t="s">
        <v>4008</v>
      </c>
      <c r="K2160" s="12" t="s">
        <v>9328</v>
      </c>
      <c r="L2160" s="13"/>
      <c r="M2160" s="11" t="s">
        <v>2951</v>
      </c>
      <c r="N2160" s="5" t="s">
        <v>9329</v>
      </c>
      <c r="O2160" s="5" t="s">
        <v>26</v>
      </c>
      <c r="P2160" s="5" t="s">
        <v>3287</v>
      </c>
      <c r="Q2160" s="15"/>
      <c r="R2160" s="16" t="s">
        <v>634</v>
      </c>
      <c r="S2160" s="15"/>
      <c r="T2160" s="15"/>
      <c r="U2160" s="15"/>
      <c r="V2160" s="15"/>
      <c r="W2160" s="15"/>
      <c r="X2160" s="15"/>
      <c r="Y2160" s="15"/>
      <c r="Z2160" s="15"/>
      <c r="AA2160" s="15"/>
    </row>
    <row r="2161">
      <c r="A2161" s="5" t="s">
        <v>9316</v>
      </c>
      <c r="B2161" s="6" t="s">
        <v>9330</v>
      </c>
      <c r="C2161" s="97" t="s">
        <v>9331</v>
      </c>
      <c r="D2161" s="11"/>
      <c r="E2161" s="11" t="s">
        <v>9332</v>
      </c>
      <c r="F2161" s="90">
        <v>1000.0</v>
      </c>
      <c r="G2161" s="218" t="s">
        <v>9333</v>
      </c>
      <c r="H2161" s="11" t="s">
        <v>906</v>
      </c>
      <c r="I2161" s="264">
        <v>7.35060306E9</v>
      </c>
      <c r="J2161" s="11" t="s">
        <v>25</v>
      </c>
      <c r="K2161" s="12" t="s">
        <v>8753</v>
      </c>
      <c r="L2161" s="13"/>
      <c r="M2161" s="14"/>
      <c r="N2161" s="15"/>
      <c r="O2161" s="5" t="s">
        <v>108</v>
      </c>
      <c r="P2161" s="15"/>
      <c r="Q2161" s="15"/>
      <c r="R2161" s="16" t="s">
        <v>28</v>
      </c>
      <c r="S2161" s="15"/>
      <c r="T2161" s="15"/>
      <c r="U2161" s="15"/>
      <c r="V2161" s="15"/>
      <c r="W2161" s="15"/>
      <c r="X2161" s="15"/>
      <c r="Y2161" s="15"/>
      <c r="Z2161" s="15"/>
      <c r="AA2161" s="15"/>
    </row>
    <row r="2162">
      <c r="A2162" s="5" t="s">
        <v>9334</v>
      </c>
      <c r="B2162" s="6" t="s">
        <v>9335</v>
      </c>
      <c r="C2162" s="216" t="s">
        <v>9336</v>
      </c>
      <c r="D2162" s="52"/>
      <c r="E2162" s="11" t="s">
        <v>9013</v>
      </c>
      <c r="F2162" s="90">
        <v>1000.0</v>
      </c>
      <c r="G2162" s="236" t="s">
        <v>9337</v>
      </c>
      <c r="H2162" s="11" t="s">
        <v>906</v>
      </c>
      <c r="I2162" s="266">
        <f>+91-7550046721</f>
        <v>-7550046630</v>
      </c>
      <c r="J2162" s="11" t="s">
        <v>25</v>
      </c>
      <c r="K2162" s="12" t="s">
        <v>8753</v>
      </c>
      <c r="L2162" s="13"/>
      <c r="M2162" s="14"/>
      <c r="N2162" s="15"/>
      <c r="O2162" s="5" t="s">
        <v>108</v>
      </c>
      <c r="P2162" s="15"/>
      <c r="Q2162" s="15"/>
      <c r="R2162" s="16" t="s">
        <v>28</v>
      </c>
      <c r="S2162" s="15"/>
      <c r="T2162" s="15"/>
      <c r="U2162" s="15"/>
      <c r="V2162" s="15"/>
      <c r="W2162" s="15"/>
      <c r="X2162" s="15"/>
      <c r="Y2162" s="15"/>
      <c r="Z2162" s="15"/>
      <c r="AA2162" s="15"/>
    </row>
    <row r="2163">
      <c r="A2163" s="5" t="s">
        <v>9338</v>
      </c>
      <c r="B2163" s="6" t="s">
        <v>9339</v>
      </c>
      <c r="C2163" s="40" t="s">
        <v>9340</v>
      </c>
      <c r="D2163" s="11"/>
      <c r="E2163" s="11" t="s">
        <v>189</v>
      </c>
      <c r="F2163" s="90">
        <v>1000.0</v>
      </c>
      <c r="G2163" s="236" t="s">
        <v>9341</v>
      </c>
      <c r="H2163" s="11" t="s">
        <v>9342</v>
      </c>
      <c r="I2163" s="267">
        <f>+(91)-9883381482</f>
        <v>-9883381391</v>
      </c>
      <c r="J2163" s="11" t="s">
        <v>25</v>
      </c>
      <c r="K2163" s="12" t="s">
        <v>9343</v>
      </c>
      <c r="L2163" s="13"/>
      <c r="M2163" s="11" t="s">
        <v>3443</v>
      </c>
      <c r="N2163" s="5" t="s">
        <v>9344</v>
      </c>
      <c r="O2163" s="5" t="s">
        <v>34</v>
      </c>
      <c r="P2163" s="5" t="s">
        <v>727</v>
      </c>
      <c r="Q2163" s="15"/>
      <c r="R2163" s="16" t="s">
        <v>634</v>
      </c>
      <c r="S2163" s="15"/>
      <c r="T2163" s="15"/>
      <c r="U2163" s="15"/>
      <c r="V2163" s="15"/>
      <c r="W2163" s="15"/>
      <c r="X2163" s="15"/>
      <c r="Y2163" s="15"/>
      <c r="Z2163" s="15"/>
      <c r="AA2163" s="15"/>
    </row>
    <row r="2164">
      <c r="A2164" s="5" t="s">
        <v>9338</v>
      </c>
      <c r="B2164" s="6" t="s">
        <v>9345</v>
      </c>
      <c r="C2164" s="216" t="s">
        <v>9346</v>
      </c>
      <c r="D2164" s="52"/>
      <c r="E2164" s="11" t="s">
        <v>9347</v>
      </c>
      <c r="F2164" s="90">
        <v>32000.0</v>
      </c>
      <c r="G2164" s="157"/>
      <c r="H2164" s="11" t="s">
        <v>158</v>
      </c>
      <c r="I2164" s="267">
        <f>+(91)-7499603166</f>
        <v>-7499603075</v>
      </c>
      <c r="J2164" s="11" t="s">
        <v>25</v>
      </c>
      <c r="K2164" s="12" t="s">
        <v>8542</v>
      </c>
      <c r="L2164" s="13"/>
      <c r="M2164" s="14"/>
      <c r="N2164" s="15"/>
      <c r="O2164" s="5" t="s">
        <v>34</v>
      </c>
      <c r="P2164" s="5" t="s">
        <v>9348</v>
      </c>
      <c r="Q2164" s="5" t="s">
        <v>727</v>
      </c>
      <c r="R2164" s="16" t="s">
        <v>634</v>
      </c>
      <c r="S2164" s="15"/>
      <c r="T2164" s="15"/>
      <c r="U2164" s="15"/>
      <c r="V2164" s="15"/>
      <c r="W2164" s="15"/>
      <c r="X2164" s="15"/>
      <c r="Y2164" s="15"/>
      <c r="Z2164" s="15"/>
      <c r="AA2164" s="15"/>
    </row>
    <row r="2165">
      <c r="A2165" s="5" t="s">
        <v>9338</v>
      </c>
      <c r="B2165" s="6" t="s">
        <v>9349</v>
      </c>
      <c r="C2165" s="40" t="s">
        <v>9350</v>
      </c>
      <c r="D2165" s="11"/>
      <c r="E2165" s="11" t="s">
        <v>130</v>
      </c>
      <c r="F2165" s="90">
        <v>1000.0</v>
      </c>
      <c r="G2165" s="218" t="s">
        <v>9351</v>
      </c>
      <c r="H2165" s="11" t="s">
        <v>9352</v>
      </c>
      <c r="I2165" s="266">
        <f>+(91)-7304681868</f>
        <v>-7304681777</v>
      </c>
      <c r="J2165" s="11" t="s">
        <v>25</v>
      </c>
      <c r="K2165" s="12" t="s">
        <v>8753</v>
      </c>
      <c r="L2165" s="13"/>
      <c r="M2165" s="11" t="s">
        <v>9353</v>
      </c>
      <c r="N2165" s="5" t="s">
        <v>9354</v>
      </c>
      <c r="O2165" s="5" t="s">
        <v>108</v>
      </c>
      <c r="P2165" s="15"/>
      <c r="Q2165" s="15"/>
      <c r="R2165" s="16" t="s">
        <v>634</v>
      </c>
      <c r="S2165" s="15"/>
      <c r="T2165" s="15"/>
      <c r="U2165" s="15"/>
      <c r="V2165" s="15"/>
      <c r="W2165" s="15"/>
      <c r="X2165" s="15"/>
      <c r="Y2165" s="15"/>
      <c r="Z2165" s="15"/>
      <c r="AA2165" s="15"/>
    </row>
    <row r="2166">
      <c r="A2166" s="5" t="s">
        <v>9338</v>
      </c>
      <c r="B2166" s="6" t="s">
        <v>9355</v>
      </c>
      <c r="C2166" s="40" t="s">
        <v>9356</v>
      </c>
      <c r="D2166" s="11"/>
      <c r="E2166" s="11" t="s">
        <v>9357</v>
      </c>
      <c r="F2166" s="90">
        <v>2000.0</v>
      </c>
      <c r="G2166" s="236" t="s">
        <v>9358</v>
      </c>
      <c r="H2166" s="11" t="s">
        <v>9359</v>
      </c>
      <c r="I2166" s="267">
        <f>+91-8498995526</f>
        <v>-8498995435</v>
      </c>
      <c r="J2166" s="11" t="s">
        <v>25</v>
      </c>
      <c r="K2166" s="12" t="s">
        <v>8753</v>
      </c>
      <c r="L2166" s="13"/>
      <c r="M2166" s="14"/>
      <c r="N2166" s="15"/>
      <c r="O2166" s="5" t="s">
        <v>108</v>
      </c>
      <c r="P2166" s="15"/>
      <c r="Q2166" s="15"/>
      <c r="R2166" s="16" t="s">
        <v>28</v>
      </c>
      <c r="S2166" s="15"/>
      <c r="T2166" s="15"/>
      <c r="U2166" s="15"/>
      <c r="V2166" s="15"/>
      <c r="W2166" s="15"/>
      <c r="X2166" s="15"/>
      <c r="Y2166" s="15"/>
      <c r="Z2166" s="15"/>
      <c r="AA2166" s="15"/>
    </row>
    <row r="2167">
      <c r="A2167" s="5" t="s">
        <v>9338</v>
      </c>
      <c r="B2167" s="6" t="s">
        <v>9360</v>
      </c>
      <c r="C2167" s="40" t="s">
        <v>9361</v>
      </c>
      <c r="D2167" s="11"/>
      <c r="E2167" s="11" t="s">
        <v>6311</v>
      </c>
      <c r="F2167" s="90">
        <v>3000.0</v>
      </c>
      <c r="G2167" s="218" t="s">
        <v>9362</v>
      </c>
      <c r="H2167" s="11" t="s">
        <v>44</v>
      </c>
      <c r="I2167" s="266">
        <f>+91-9434514242</f>
        <v>-9434514151</v>
      </c>
      <c r="J2167" s="11" t="s">
        <v>25</v>
      </c>
      <c r="K2167" s="12" t="s">
        <v>9363</v>
      </c>
      <c r="L2167" s="13"/>
      <c r="M2167" s="14"/>
      <c r="N2167" s="15"/>
      <c r="O2167" s="5" t="s">
        <v>34</v>
      </c>
      <c r="P2167" s="5" t="s">
        <v>9364</v>
      </c>
      <c r="Q2167" s="15"/>
      <c r="R2167" s="16" t="s">
        <v>28</v>
      </c>
      <c r="S2167" s="15"/>
      <c r="T2167" s="15"/>
      <c r="U2167" s="15"/>
      <c r="V2167" s="15"/>
      <c r="W2167" s="15"/>
      <c r="X2167" s="15"/>
      <c r="Y2167" s="15"/>
      <c r="Z2167" s="15"/>
      <c r="AA2167" s="15"/>
    </row>
    <row r="2168">
      <c r="A2168" s="5" t="s">
        <v>9365</v>
      </c>
      <c r="B2168" s="6" t="s">
        <v>9366</v>
      </c>
      <c r="C2168" s="40" t="s">
        <v>9367</v>
      </c>
      <c r="D2168" s="11"/>
      <c r="E2168" s="11" t="s">
        <v>9368</v>
      </c>
      <c r="F2168" s="90">
        <v>4000.0</v>
      </c>
      <c r="G2168" s="97" t="s">
        <v>9369</v>
      </c>
      <c r="H2168" s="11" t="s">
        <v>44</v>
      </c>
      <c r="I2168" s="97">
        <v>9.239241683E9</v>
      </c>
      <c r="J2168" s="11" t="s">
        <v>25</v>
      </c>
      <c r="K2168" s="12" t="s">
        <v>9370</v>
      </c>
      <c r="L2168" s="12"/>
      <c r="M2168" s="11" t="s">
        <v>9371</v>
      </c>
      <c r="N2168" s="5" t="s">
        <v>9372</v>
      </c>
      <c r="O2168" s="5" t="s">
        <v>26</v>
      </c>
      <c r="P2168" s="5" t="s">
        <v>9373</v>
      </c>
      <c r="Q2168" s="15"/>
      <c r="R2168" s="16" t="s">
        <v>28</v>
      </c>
      <c r="S2168" s="15"/>
      <c r="T2168" s="15"/>
      <c r="U2168" s="15"/>
      <c r="V2168" s="15"/>
      <c r="W2168" s="15"/>
      <c r="X2168" s="15"/>
      <c r="Y2168" s="15"/>
      <c r="Z2168" s="15"/>
      <c r="AA2168" s="15"/>
    </row>
    <row r="2169">
      <c r="A2169" s="5" t="s">
        <v>9365</v>
      </c>
      <c r="B2169" s="6" t="s">
        <v>9374</v>
      </c>
      <c r="C2169" s="268" t="s">
        <v>9375</v>
      </c>
      <c r="D2169" s="52"/>
      <c r="E2169" s="11" t="s">
        <v>9376</v>
      </c>
      <c r="F2169" s="90" t="s">
        <v>9377</v>
      </c>
      <c r="G2169" s="269" t="s">
        <v>9378</v>
      </c>
      <c r="H2169" s="270" t="s">
        <v>977</v>
      </c>
      <c r="I2169" s="271">
        <v>8.340626795E9</v>
      </c>
      <c r="J2169" s="11" t="s">
        <v>25</v>
      </c>
      <c r="K2169" s="11" t="s">
        <v>9379</v>
      </c>
      <c r="L2169" s="13"/>
      <c r="M2169" s="11" t="s">
        <v>9380</v>
      </c>
      <c r="N2169" s="5" t="s">
        <v>9381</v>
      </c>
      <c r="O2169" s="5" t="s">
        <v>26</v>
      </c>
      <c r="P2169" s="5" t="s">
        <v>9312</v>
      </c>
      <c r="Q2169" s="5" t="s">
        <v>9382</v>
      </c>
      <c r="R2169" s="16" t="s">
        <v>634</v>
      </c>
      <c r="S2169" s="15"/>
      <c r="T2169" s="15"/>
      <c r="U2169" s="15"/>
      <c r="V2169" s="15"/>
      <c r="W2169" s="15"/>
      <c r="X2169" s="15"/>
      <c r="Y2169" s="15"/>
      <c r="Z2169" s="15"/>
      <c r="AA2169" s="15"/>
    </row>
    <row r="2170">
      <c r="A2170" s="5" t="s">
        <v>9365</v>
      </c>
      <c r="B2170" s="6" t="s">
        <v>9383</v>
      </c>
      <c r="C2170" s="40" t="s">
        <v>9384</v>
      </c>
      <c r="D2170" s="11"/>
      <c r="E2170" s="11" t="s">
        <v>9385</v>
      </c>
      <c r="F2170" s="90">
        <v>2000.0</v>
      </c>
      <c r="G2170" s="218" t="s">
        <v>9386</v>
      </c>
      <c r="H2170" s="11" t="s">
        <v>44</v>
      </c>
      <c r="I2170" s="266">
        <f>+(91)-7980194438</f>
        <v>-7980194347</v>
      </c>
      <c r="J2170" s="11" t="s">
        <v>25</v>
      </c>
      <c r="K2170" s="12"/>
      <c r="L2170" s="13"/>
      <c r="M2170" s="14"/>
      <c r="N2170" s="15"/>
      <c r="O2170" s="5" t="s">
        <v>34</v>
      </c>
      <c r="P2170" s="5" t="s">
        <v>6625</v>
      </c>
      <c r="Q2170" s="5" t="s">
        <v>9387</v>
      </c>
      <c r="R2170" s="16" t="s">
        <v>28</v>
      </c>
      <c r="S2170" s="15"/>
      <c r="T2170" s="15"/>
      <c r="U2170" s="15"/>
      <c r="V2170" s="15"/>
      <c r="W2170" s="15"/>
      <c r="X2170" s="15"/>
      <c r="Y2170" s="15"/>
      <c r="Z2170" s="15"/>
      <c r="AA2170" s="15"/>
    </row>
    <row r="2171">
      <c r="A2171" s="5" t="s">
        <v>9365</v>
      </c>
      <c r="B2171" s="6" t="s">
        <v>9388</v>
      </c>
      <c r="C2171" s="40" t="s">
        <v>7807</v>
      </c>
      <c r="D2171" s="11"/>
      <c r="E2171" s="11" t="s">
        <v>753</v>
      </c>
      <c r="F2171" s="90">
        <v>12000.0</v>
      </c>
      <c r="G2171" s="97" t="s">
        <v>9389</v>
      </c>
      <c r="H2171" s="11" t="s">
        <v>9390</v>
      </c>
      <c r="I2171" s="97">
        <v>7.003018099E9</v>
      </c>
      <c r="J2171" s="11" t="s">
        <v>25</v>
      </c>
      <c r="K2171" s="12"/>
      <c r="L2171" s="13"/>
      <c r="M2171" s="11" t="s">
        <v>8860</v>
      </c>
      <c r="N2171" s="5" t="s">
        <v>9391</v>
      </c>
      <c r="O2171" s="5" t="s">
        <v>34</v>
      </c>
      <c r="P2171" s="5" t="s">
        <v>9392</v>
      </c>
      <c r="Q2171" s="5" t="s">
        <v>9393</v>
      </c>
      <c r="R2171" s="16" t="s">
        <v>74</v>
      </c>
      <c r="S2171" s="15"/>
      <c r="T2171" s="15"/>
      <c r="U2171" s="15"/>
      <c r="V2171" s="15"/>
      <c r="W2171" s="15"/>
      <c r="X2171" s="15"/>
      <c r="Y2171" s="15"/>
      <c r="Z2171" s="15"/>
      <c r="AA2171" s="15"/>
    </row>
    <row r="2172">
      <c r="A2172" s="5" t="s">
        <v>9365</v>
      </c>
      <c r="B2172" s="6" t="s">
        <v>9394</v>
      </c>
      <c r="C2172" s="40" t="s">
        <v>9395</v>
      </c>
      <c r="D2172" s="11"/>
      <c r="E2172" s="11" t="s">
        <v>8362</v>
      </c>
      <c r="F2172" s="90">
        <v>500.0</v>
      </c>
      <c r="G2172" s="97" t="s">
        <v>9396</v>
      </c>
      <c r="H2172" s="11" t="s">
        <v>44</v>
      </c>
      <c r="I2172" s="97">
        <v>9.635426825E9</v>
      </c>
      <c r="J2172" s="11" t="s">
        <v>25</v>
      </c>
      <c r="K2172" s="12" t="s">
        <v>9397</v>
      </c>
      <c r="L2172" s="13"/>
      <c r="M2172" s="11" t="s">
        <v>9398</v>
      </c>
      <c r="N2172" s="5" t="s">
        <v>9399</v>
      </c>
      <c r="O2172" s="5" t="s">
        <v>26</v>
      </c>
      <c r="P2172" s="5" t="s">
        <v>1619</v>
      </c>
      <c r="Q2172" s="15"/>
      <c r="R2172" s="16" t="s">
        <v>634</v>
      </c>
      <c r="S2172" s="15"/>
      <c r="T2172" s="15"/>
      <c r="U2172" s="15"/>
      <c r="V2172" s="15"/>
      <c r="W2172" s="15"/>
      <c r="X2172" s="15"/>
      <c r="Y2172" s="15"/>
      <c r="Z2172" s="15"/>
      <c r="AA2172" s="15"/>
    </row>
    <row r="2173">
      <c r="A2173" s="5" t="s">
        <v>9365</v>
      </c>
      <c r="B2173" s="6" t="s">
        <v>9400</v>
      </c>
      <c r="C2173" s="40" t="s">
        <v>9401</v>
      </c>
      <c r="D2173" s="11"/>
      <c r="E2173" s="11" t="s">
        <v>9402</v>
      </c>
      <c r="F2173" s="90" t="s">
        <v>9403</v>
      </c>
      <c r="G2173" s="272" t="s">
        <v>9404</v>
      </c>
      <c r="H2173" s="11" t="s">
        <v>44</v>
      </c>
      <c r="I2173" s="216">
        <v>9.051498557E9</v>
      </c>
      <c r="J2173" s="11" t="s">
        <v>25</v>
      </c>
      <c r="K2173" s="12" t="s">
        <v>9405</v>
      </c>
      <c r="L2173" s="13"/>
      <c r="M2173" s="11" t="s">
        <v>9406</v>
      </c>
      <c r="N2173" s="5" t="s">
        <v>9407</v>
      </c>
      <c r="O2173" s="5" t="s">
        <v>26</v>
      </c>
      <c r="P2173" s="5" t="s">
        <v>9408</v>
      </c>
      <c r="Q2173" s="5" t="s">
        <v>9382</v>
      </c>
      <c r="R2173" s="16" t="s">
        <v>634</v>
      </c>
      <c r="S2173" s="15"/>
      <c r="T2173" s="15"/>
      <c r="U2173" s="15"/>
      <c r="V2173" s="15"/>
      <c r="W2173" s="15"/>
      <c r="X2173" s="15"/>
      <c r="Y2173" s="15"/>
      <c r="Z2173" s="15"/>
      <c r="AA2173" s="15"/>
    </row>
    <row r="2174">
      <c r="A2174" s="5" t="s">
        <v>9409</v>
      </c>
      <c r="B2174" s="6" t="s">
        <v>9410</v>
      </c>
      <c r="C2174" s="40" t="s">
        <v>9411</v>
      </c>
      <c r="D2174" s="11"/>
      <c r="E2174" s="11" t="s">
        <v>7188</v>
      </c>
      <c r="F2174" s="90">
        <v>2000.0</v>
      </c>
      <c r="G2174" s="97" t="s">
        <v>9412</v>
      </c>
      <c r="H2174" s="11" t="s">
        <v>9413</v>
      </c>
      <c r="I2174" s="97">
        <v>7.90801829E9</v>
      </c>
      <c r="J2174" s="11" t="s">
        <v>25</v>
      </c>
      <c r="K2174" s="12"/>
      <c r="L2174" s="13"/>
      <c r="M2174" s="11" t="s">
        <v>9414</v>
      </c>
      <c r="N2174" s="5" t="s">
        <v>9415</v>
      </c>
      <c r="O2174" s="5" t="s">
        <v>34</v>
      </c>
      <c r="P2174" s="5" t="s">
        <v>8466</v>
      </c>
      <c r="Q2174" s="5" t="s">
        <v>727</v>
      </c>
      <c r="R2174" s="16" t="s">
        <v>634</v>
      </c>
      <c r="S2174" s="15"/>
      <c r="T2174" s="15"/>
      <c r="U2174" s="15"/>
      <c r="V2174" s="15"/>
      <c r="W2174" s="15"/>
      <c r="X2174" s="15"/>
      <c r="Y2174" s="15"/>
      <c r="Z2174" s="15"/>
      <c r="AA2174" s="15"/>
    </row>
    <row r="2175">
      <c r="A2175" s="5" t="s">
        <v>9416</v>
      </c>
      <c r="B2175" s="6" t="s">
        <v>9417</v>
      </c>
      <c r="C2175" s="40" t="s">
        <v>9418</v>
      </c>
      <c r="D2175" s="11"/>
      <c r="E2175" s="11" t="s">
        <v>3634</v>
      </c>
      <c r="F2175" s="90">
        <v>5000.0</v>
      </c>
      <c r="G2175" s="218" t="s">
        <v>9419</v>
      </c>
      <c r="H2175" s="11" t="s">
        <v>9420</v>
      </c>
      <c r="I2175" s="267">
        <f>+91-9881729731</f>
        <v>-9881729640</v>
      </c>
      <c r="J2175" s="11" t="s">
        <v>25</v>
      </c>
      <c r="K2175" s="12" t="s">
        <v>8677</v>
      </c>
      <c r="L2175" s="13"/>
      <c r="M2175" s="11" t="s">
        <v>2268</v>
      </c>
      <c r="N2175" s="15"/>
      <c r="O2175" s="5" t="s">
        <v>108</v>
      </c>
      <c r="P2175" s="5" t="s">
        <v>9421</v>
      </c>
      <c r="Q2175" s="15"/>
      <c r="R2175" s="16" t="s">
        <v>634</v>
      </c>
      <c r="S2175" s="15"/>
      <c r="T2175" s="15"/>
      <c r="U2175" s="15"/>
      <c r="V2175" s="15"/>
      <c r="W2175" s="15"/>
      <c r="X2175" s="15"/>
      <c r="Y2175" s="15"/>
      <c r="Z2175" s="15"/>
      <c r="AA2175" s="15"/>
    </row>
    <row r="2176">
      <c r="A2176" s="5" t="s">
        <v>9416</v>
      </c>
      <c r="B2176" s="6" t="s">
        <v>9422</v>
      </c>
      <c r="C2176" s="40" t="s">
        <v>9423</v>
      </c>
      <c r="D2176" s="178"/>
      <c r="E2176" s="178" t="s">
        <v>207</v>
      </c>
      <c r="F2176" s="90">
        <v>5000.0</v>
      </c>
      <c r="G2176" s="273"/>
      <c r="H2176" s="11" t="s">
        <v>9424</v>
      </c>
      <c r="I2176" s="267">
        <f>+(91)-8910087856</f>
        <v>-8910087765</v>
      </c>
      <c r="J2176" s="11" t="s">
        <v>25</v>
      </c>
      <c r="K2176" s="12">
        <v>11.0</v>
      </c>
      <c r="L2176" s="13"/>
      <c r="M2176" s="11" t="s">
        <v>8348</v>
      </c>
      <c r="N2176" s="5" t="s">
        <v>9425</v>
      </c>
      <c r="O2176" s="5" t="s">
        <v>34</v>
      </c>
      <c r="P2176" s="5" t="s">
        <v>2289</v>
      </c>
      <c r="Q2176" s="5" t="s">
        <v>6625</v>
      </c>
      <c r="R2176" s="16" t="s">
        <v>248</v>
      </c>
      <c r="S2176" s="15"/>
      <c r="T2176" s="15"/>
      <c r="U2176" s="15"/>
      <c r="V2176" s="15"/>
      <c r="W2176" s="15"/>
      <c r="X2176" s="15"/>
      <c r="Y2176" s="15"/>
      <c r="Z2176" s="15"/>
      <c r="AA2176" s="15"/>
    </row>
    <row r="2177">
      <c r="A2177" s="5" t="s">
        <v>9416</v>
      </c>
      <c r="B2177" s="6" t="s">
        <v>9426</v>
      </c>
      <c r="C2177" s="40" t="s">
        <v>9427</v>
      </c>
      <c r="D2177" s="11"/>
      <c r="E2177" s="11" t="s">
        <v>43</v>
      </c>
      <c r="F2177" s="90">
        <v>3000.0</v>
      </c>
      <c r="G2177" s="97" t="s">
        <v>9428</v>
      </c>
      <c r="H2177" s="11" t="s">
        <v>9429</v>
      </c>
      <c r="I2177" s="97">
        <v>9.088024246E9</v>
      </c>
      <c r="J2177" s="11" t="s">
        <v>25</v>
      </c>
      <c r="K2177" s="12"/>
      <c r="L2177" s="13"/>
      <c r="M2177" s="11" t="s">
        <v>8860</v>
      </c>
      <c r="N2177" s="5" t="s">
        <v>9430</v>
      </c>
      <c r="O2177" s="5" t="s">
        <v>34</v>
      </c>
      <c r="P2177" s="11" t="s">
        <v>9431</v>
      </c>
      <c r="Q2177" s="5" t="s">
        <v>9083</v>
      </c>
      <c r="R2177" s="16" t="s">
        <v>74</v>
      </c>
      <c r="S2177" s="15"/>
      <c r="T2177" s="15"/>
      <c r="U2177" s="15"/>
      <c r="V2177" s="15"/>
      <c r="W2177" s="15"/>
      <c r="X2177" s="15"/>
      <c r="Y2177" s="15"/>
      <c r="Z2177" s="15"/>
      <c r="AA2177" s="15"/>
    </row>
    <row r="2178">
      <c r="A2178" s="5" t="s">
        <v>9416</v>
      </c>
      <c r="B2178" s="6" t="s">
        <v>9432</v>
      </c>
      <c r="C2178" s="40" t="s">
        <v>9433</v>
      </c>
      <c r="D2178" s="11"/>
      <c r="E2178" s="11" t="s">
        <v>9434</v>
      </c>
      <c r="F2178" s="90">
        <v>20000.0</v>
      </c>
      <c r="G2178" s="236" t="s">
        <v>9435</v>
      </c>
      <c r="H2178" s="11" t="s">
        <v>906</v>
      </c>
      <c r="I2178" s="267">
        <f>+(91)-9702173376</f>
        <v>-9702173285</v>
      </c>
      <c r="J2178" s="11" t="s">
        <v>4008</v>
      </c>
      <c r="K2178" s="12" t="s">
        <v>8753</v>
      </c>
      <c r="L2178" s="13"/>
      <c r="M2178" s="11" t="s">
        <v>9436</v>
      </c>
      <c r="N2178" s="15"/>
      <c r="O2178" s="5" t="s">
        <v>108</v>
      </c>
      <c r="P2178" s="5" t="s">
        <v>9437</v>
      </c>
      <c r="Q2178" s="15"/>
      <c r="R2178" s="16" t="s">
        <v>634</v>
      </c>
      <c r="S2178" s="15"/>
      <c r="T2178" s="15"/>
      <c r="U2178" s="15"/>
      <c r="V2178" s="15"/>
      <c r="W2178" s="15"/>
      <c r="X2178" s="15"/>
      <c r="Y2178" s="15"/>
      <c r="Z2178" s="15"/>
      <c r="AA2178" s="15"/>
    </row>
    <row r="2179">
      <c r="A2179" s="5" t="s">
        <v>9416</v>
      </c>
      <c r="B2179" s="6" t="s">
        <v>9438</v>
      </c>
      <c r="C2179" s="40" t="s">
        <v>9439</v>
      </c>
      <c r="D2179" s="11"/>
      <c r="E2179" s="11" t="s">
        <v>222</v>
      </c>
      <c r="F2179" s="90">
        <v>5000.0</v>
      </c>
      <c r="G2179" s="97" t="s">
        <v>9440</v>
      </c>
      <c r="H2179" s="11" t="s">
        <v>44</v>
      </c>
      <c r="I2179" s="274">
        <v>9.836686511E9</v>
      </c>
      <c r="J2179" s="11" t="s">
        <v>25</v>
      </c>
      <c r="K2179" s="12"/>
      <c r="L2179" s="13"/>
      <c r="M2179" s="11" t="s">
        <v>7820</v>
      </c>
      <c r="N2179" s="5" t="s">
        <v>9441</v>
      </c>
      <c r="O2179" s="5" t="s">
        <v>34</v>
      </c>
      <c r="P2179" s="5" t="s">
        <v>8466</v>
      </c>
      <c r="Q2179" s="5" t="s">
        <v>6625</v>
      </c>
      <c r="R2179" s="16" t="s">
        <v>248</v>
      </c>
      <c r="S2179" s="15"/>
      <c r="T2179" s="15"/>
      <c r="U2179" s="15"/>
      <c r="V2179" s="15"/>
      <c r="W2179" s="15"/>
      <c r="X2179" s="15"/>
      <c r="Y2179" s="15"/>
      <c r="Z2179" s="15"/>
      <c r="AA2179" s="15"/>
    </row>
    <row r="2180">
      <c r="A2180" s="5" t="s">
        <v>9416</v>
      </c>
      <c r="B2180" s="6" t="s">
        <v>9442</v>
      </c>
      <c r="C2180" s="40" t="s">
        <v>9443</v>
      </c>
      <c r="D2180" s="11"/>
      <c r="E2180" s="11" t="s">
        <v>9109</v>
      </c>
      <c r="F2180" s="90">
        <v>20000.0</v>
      </c>
      <c r="G2180" s="97" t="s">
        <v>1714</v>
      </c>
      <c r="H2180" s="11" t="s">
        <v>44</v>
      </c>
      <c r="I2180" s="226">
        <v>9.831323824E9</v>
      </c>
      <c r="J2180" s="11" t="s">
        <v>25</v>
      </c>
      <c r="K2180" s="12" t="s">
        <v>9444</v>
      </c>
      <c r="L2180" s="13"/>
      <c r="M2180" s="11" t="s">
        <v>9445</v>
      </c>
      <c r="N2180" s="5" t="s">
        <v>9446</v>
      </c>
      <c r="O2180" s="5" t="s">
        <v>34</v>
      </c>
      <c r="P2180" s="5" t="s">
        <v>9447</v>
      </c>
      <c r="Q2180" s="15"/>
      <c r="R2180" s="16" t="s">
        <v>723</v>
      </c>
      <c r="S2180" s="15"/>
      <c r="T2180" s="15"/>
      <c r="U2180" s="15"/>
      <c r="V2180" s="15"/>
      <c r="W2180" s="15"/>
      <c r="X2180" s="15"/>
      <c r="Y2180" s="15"/>
      <c r="Z2180" s="15"/>
      <c r="AA2180" s="15"/>
    </row>
    <row r="2181">
      <c r="A2181" s="5" t="s">
        <v>9448</v>
      </c>
      <c r="B2181" s="6" t="s">
        <v>9449</v>
      </c>
      <c r="C2181" s="40" t="s">
        <v>9450</v>
      </c>
      <c r="D2181" s="11"/>
      <c r="E2181" s="11" t="s">
        <v>9050</v>
      </c>
      <c r="F2181" s="90">
        <v>3000.0</v>
      </c>
      <c r="G2181" s="236" t="s">
        <v>9451</v>
      </c>
      <c r="H2181" s="11" t="s">
        <v>9452</v>
      </c>
      <c r="I2181" s="97">
        <v>7.004384092E9</v>
      </c>
      <c r="J2181" s="11" t="s">
        <v>4008</v>
      </c>
      <c r="K2181" s="12"/>
      <c r="L2181" s="13"/>
      <c r="M2181" s="14"/>
      <c r="N2181" s="15"/>
      <c r="O2181" s="5" t="s">
        <v>26</v>
      </c>
      <c r="P2181" s="15"/>
      <c r="Q2181" s="15"/>
      <c r="R2181" s="16" t="s">
        <v>28</v>
      </c>
      <c r="S2181" s="15"/>
      <c r="T2181" s="15"/>
      <c r="U2181" s="15"/>
      <c r="V2181" s="15"/>
      <c r="W2181" s="15"/>
      <c r="X2181" s="15"/>
      <c r="Y2181" s="15"/>
      <c r="Z2181" s="15"/>
      <c r="AA2181" s="15"/>
    </row>
    <row r="2182">
      <c r="A2182" s="5" t="s">
        <v>9448</v>
      </c>
      <c r="B2182" s="6" t="s">
        <v>9453</v>
      </c>
      <c r="C2182" s="275" t="s">
        <v>9454</v>
      </c>
      <c r="D2182" s="11"/>
      <c r="E2182" s="11" t="s">
        <v>83</v>
      </c>
      <c r="F2182" s="90">
        <v>1000.0</v>
      </c>
      <c r="G2182" s="236" t="s">
        <v>9455</v>
      </c>
      <c r="H2182" s="11" t="s">
        <v>8781</v>
      </c>
      <c r="I2182" s="134">
        <v>9.875497774E9</v>
      </c>
      <c r="J2182" s="11" t="s">
        <v>4008</v>
      </c>
      <c r="K2182" s="12" t="s">
        <v>9456</v>
      </c>
      <c r="L2182" s="13"/>
      <c r="M2182" s="11" t="s">
        <v>6155</v>
      </c>
      <c r="N2182" s="5" t="s">
        <v>9457</v>
      </c>
      <c r="O2182" s="5" t="s">
        <v>34</v>
      </c>
      <c r="P2182" s="5" t="s">
        <v>9458</v>
      </c>
      <c r="Q2182" s="15"/>
      <c r="R2182" s="16" t="s">
        <v>723</v>
      </c>
      <c r="S2182" s="15"/>
      <c r="T2182" s="15"/>
      <c r="U2182" s="15"/>
      <c r="V2182" s="15"/>
      <c r="W2182" s="15"/>
      <c r="X2182" s="15"/>
      <c r="Y2182" s="15"/>
      <c r="Z2182" s="15"/>
      <c r="AA2182" s="15"/>
    </row>
    <row r="2183">
      <c r="A2183" s="5" t="s">
        <v>9459</v>
      </c>
      <c r="B2183" s="6" t="s">
        <v>9460</v>
      </c>
      <c r="C2183" s="216" t="s">
        <v>9461</v>
      </c>
      <c r="D2183" s="52"/>
      <c r="E2183" s="11" t="s">
        <v>9462</v>
      </c>
      <c r="F2183" s="90">
        <v>5000.0</v>
      </c>
      <c r="G2183" s="236" t="s">
        <v>9463</v>
      </c>
      <c r="H2183" s="11" t="s">
        <v>8781</v>
      </c>
      <c r="I2183" s="134">
        <v>9.831439699E9</v>
      </c>
      <c r="J2183" s="11" t="s">
        <v>4008</v>
      </c>
      <c r="K2183" s="12" t="s">
        <v>9464</v>
      </c>
      <c r="L2183" s="13"/>
      <c r="M2183" s="14"/>
      <c r="N2183" s="15"/>
      <c r="O2183" s="5" t="s">
        <v>26</v>
      </c>
      <c r="P2183" s="5" t="s">
        <v>9465</v>
      </c>
      <c r="Q2183" s="15"/>
      <c r="R2183" s="16" t="s">
        <v>634</v>
      </c>
      <c r="S2183" s="15"/>
      <c r="T2183" s="15"/>
      <c r="U2183" s="15"/>
      <c r="V2183" s="15"/>
      <c r="W2183" s="15"/>
      <c r="X2183" s="15"/>
      <c r="Y2183" s="15"/>
      <c r="Z2183" s="15"/>
      <c r="AA2183" s="15"/>
    </row>
    <row r="2184">
      <c r="A2184" s="5" t="s">
        <v>9459</v>
      </c>
      <c r="B2184" s="6" t="s">
        <v>9466</v>
      </c>
      <c r="C2184" s="180" t="s">
        <v>9467</v>
      </c>
      <c r="D2184" s="11"/>
      <c r="E2184" s="11" t="s">
        <v>70</v>
      </c>
      <c r="F2184" s="9">
        <v>20000.0</v>
      </c>
      <c r="G2184" s="97" t="s">
        <v>9468</v>
      </c>
      <c r="H2184" s="11" t="s">
        <v>9469</v>
      </c>
      <c r="I2184" s="276">
        <v>9.903122425E9</v>
      </c>
      <c r="J2184" s="11" t="s">
        <v>25</v>
      </c>
      <c r="K2184" s="12"/>
      <c r="L2184" s="13"/>
      <c r="M2184" s="11" t="s">
        <v>9470</v>
      </c>
      <c r="N2184" s="5" t="s">
        <v>9471</v>
      </c>
      <c r="O2184" s="5" t="s">
        <v>34</v>
      </c>
      <c r="P2184" s="5" t="s">
        <v>9472</v>
      </c>
      <c r="Q2184" s="5" t="s">
        <v>2983</v>
      </c>
      <c r="R2184" s="16" t="s">
        <v>634</v>
      </c>
      <c r="S2184" s="15"/>
      <c r="T2184" s="15"/>
      <c r="U2184" s="15"/>
      <c r="V2184" s="15"/>
      <c r="W2184" s="15"/>
      <c r="X2184" s="15"/>
      <c r="Y2184" s="15"/>
      <c r="Z2184" s="15"/>
      <c r="AA2184" s="15"/>
    </row>
    <row r="2185">
      <c r="A2185" s="5" t="s">
        <v>9473</v>
      </c>
      <c r="B2185" s="6" t="s">
        <v>9474</v>
      </c>
      <c r="C2185" s="180" t="s">
        <v>9475</v>
      </c>
      <c r="D2185" s="11"/>
      <c r="E2185" s="11" t="s">
        <v>152</v>
      </c>
      <c r="F2185" s="90">
        <v>25000.0</v>
      </c>
      <c r="G2185" s="97" t="s">
        <v>9476</v>
      </c>
      <c r="H2185" s="11" t="s">
        <v>107</v>
      </c>
      <c r="I2185" s="276">
        <v>9.810179868E9</v>
      </c>
      <c r="J2185" s="11" t="s">
        <v>25</v>
      </c>
      <c r="K2185" s="12"/>
      <c r="L2185" s="277"/>
      <c r="M2185" s="11" t="s">
        <v>8638</v>
      </c>
      <c r="N2185" s="5" t="s">
        <v>9477</v>
      </c>
      <c r="O2185" s="5" t="s">
        <v>34</v>
      </c>
      <c r="P2185" s="5" t="s">
        <v>9478</v>
      </c>
      <c r="Q2185" s="15"/>
      <c r="R2185" s="16" t="s">
        <v>723</v>
      </c>
      <c r="S2185" s="15"/>
      <c r="T2185" s="15"/>
      <c r="U2185" s="15"/>
      <c r="V2185" s="15"/>
      <c r="W2185" s="15"/>
      <c r="X2185" s="15"/>
      <c r="Y2185" s="15"/>
      <c r="Z2185" s="15"/>
      <c r="AA2185" s="15"/>
    </row>
    <row r="2186">
      <c r="A2186" s="5" t="s">
        <v>9479</v>
      </c>
      <c r="B2186" s="6" t="s">
        <v>9480</v>
      </c>
      <c r="C2186" s="278" t="s">
        <v>9481</v>
      </c>
      <c r="D2186" s="52"/>
      <c r="E2186" s="11" t="s">
        <v>152</v>
      </c>
      <c r="F2186" s="90">
        <v>1000.0</v>
      </c>
      <c r="G2186" s="236" t="s">
        <v>9482</v>
      </c>
      <c r="H2186" s="97" t="s">
        <v>467</v>
      </c>
      <c r="I2186" s="276">
        <v>9.140468817E9</v>
      </c>
      <c r="J2186" s="11" t="s">
        <v>4008</v>
      </c>
      <c r="K2186" s="12" t="s">
        <v>8753</v>
      </c>
      <c r="L2186" s="13"/>
      <c r="M2186" s="14"/>
      <c r="N2186" s="15"/>
      <c r="O2186" s="5" t="s">
        <v>108</v>
      </c>
      <c r="P2186" s="15"/>
      <c r="Q2186" s="15"/>
      <c r="R2186" s="16" t="s">
        <v>28</v>
      </c>
      <c r="S2186" s="15"/>
      <c r="T2186" s="15"/>
      <c r="U2186" s="15"/>
      <c r="V2186" s="15"/>
      <c r="W2186" s="15"/>
      <c r="X2186" s="15"/>
      <c r="Y2186" s="15"/>
      <c r="Z2186" s="15"/>
      <c r="AA2186" s="15"/>
    </row>
    <row r="2187">
      <c r="A2187" s="5" t="s">
        <v>9483</v>
      </c>
      <c r="B2187" s="6" t="s">
        <v>9484</v>
      </c>
      <c r="C2187" s="180" t="s">
        <v>9485</v>
      </c>
      <c r="D2187" s="279"/>
      <c r="E2187" s="279" t="s">
        <v>9486</v>
      </c>
      <c r="F2187" s="90">
        <v>5000.0</v>
      </c>
      <c r="G2187" s="236" t="s">
        <v>9487</v>
      </c>
      <c r="H2187" s="278" t="s">
        <v>9488</v>
      </c>
      <c r="I2187" s="276">
        <v>9.624420015E9</v>
      </c>
      <c r="J2187" s="11" t="s">
        <v>4008</v>
      </c>
      <c r="K2187" s="12" t="s">
        <v>8753</v>
      </c>
      <c r="L2187" s="13"/>
      <c r="M2187" s="14"/>
      <c r="N2187" s="15"/>
      <c r="O2187" s="5" t="s">
        <v>1030</v>
      </c>
      <c r="P2187" s="5" t="s">
        <v>9489</v>
      </c>
      <c r="Q2187" s="15"/>
      <c r="R2187" s="16" t="s">
        <v>634</v>
      </c>
      <c r="S2187" s="15"/>
      <c r="T2187" s="15"/>
      <c r="U2187" s="15"/>
      <c r="V2187" s="15"/>
      <c r="W2187" s="15"/>
      <c r="X2187" s="15"/>
      <c r="Y2187" s="15"/>
      <c r="Z2187" s="15"/>
      <c r="AA2187" s="15"/>
    </row>
    <row r="2188">
      <c r="A2188" s="5" t="s">
        <v>9483</v>
      </c>
      <c r="B2188" s="6" t="s">
        <v>9490</v>
      </c>
      <c r="C2188" s="97" t="s">
        <v>9491</v>
      </c>
      <c r="D2188" s="280"/>
      <c r="E2188" s="280" t="s">
        <v>9492</v>
      </c>
      <c r="F2188" s="90"/>
      <c r="G2188" s="236" t="s">
        <v>9493</v>
      </c>
      <c r="H2188" s="11" t="s">
        <v>906</v>
      </c>
      <c r="I2188" s="276">
        <v>8.929632125E9</v>
      </c>
      <c r="J2188" s="11" t="s">
        <v>25</v>
      </c>
      <c r="K2188" s="12" t="s">
        <v>8753</v>
      </c>
      <c r="L2188" s="13"/>
      <c r="M2188" s="14"/>
      <c r="N2188" s="15"/>
      <c r="O2188" s="5" t="s">
        <v>108</v>
      </c>
      <c r="P2188" s="5" t="s">
        <v>9494</v>
      </c>
      <c r="Q2188" s="15"/>
      <c r="R2188" s="16" t="s">
        <v>634</v>
      </c>
      <c r="S2188" s="15"/>
      <c r="T2188" s="15"/>
      <c r="U2188" s="15"/>
      <c r="V2188" s="15"/>
      <c r="W2188" s="15"/>
      <c r="X2188" s="15"/>
      <c r="Y2188" s="15"/>
      <c r="Z2188" s="15"/>
      <c r="AA2188" s="15"/>
    </row>
    <row r="2189">
      <c r="A2189" s="5" t="s">
        <v>9483</v>
      </c>
      <c r="B2189" s="6" t="s">
        <v>9495</v>
      </c>
      <c r="C2189" s="97" t="s">
        <v>2374</v>
      </c>
      <c r="D2189" s="280"/>
      <c r="E2189" s="280" t="s">
        <v>6920</v>
      </c>
      <c r="F2189" s="90">
        <v>500.0</v>
      </c>
      <c r="G2189" s="236" t="s">
        <v>2375</v>
      </c>
      <c r="H2189" s="11" t="s">
        <v>99</v>
      </c>
      <c r="I2189" s="276">
        <v>7.655899504E9</v>
      </c>
      <c r="J2189" s="11" t="s">
        <v>25</v>
      </c>
      <c r="K2189" s="12" t="s">
        <v>9496</v>
      </c>
      <c r="L2189" s="13"/>
      <c r="M2189" s="11" t="s">
        <v>9497</v>
      </c>
      <c r="N2189" s="5" t="s">
        <v>9498</v>
      </c>
      <c r="O2189" s="5" t="s">
        <v>26</v>
      </c>
      <c r="P2189" s="5" t="s">
        <v>9499</v>
      </c>
      <c r="Q2189" s="15"/>
      <c r="R2189" s="16" t="s">
        <v>634</v>
      </c>
      <c r="S2189" s="15"/>
      <c r="T2189" s="15"/>
      <c r="U2189" s="15"/>
      <c r="V2189" s="15"/>
      <c r="W2189" s="15"/>
      <c r="X2189" s="15"/>
      <c r="Y2189" s="15"/>
      <c r="Z2189" s="15"/>
      <c r="AA2189" s="15"/>
    </row>
    <row r="2190">
      <c r="A2190" s="5" t="s">
        <v>9483</v>
      </c>
      <c r="B2190" s="6" t="s">
        <v>9500</v>
      </c>
      <c r="C2190" s="281" t="s">
        <v>9501</v>
      </c>
      <c r="D2190" s="8"/>
      <c r="E2190" s="8" t="s">
        <v>9502</v>
      </c>
      <c r="F2190" s="90">
        <v>1000.0</v>
      </c>
      <c r="G2190" s="218" t="s">
        <v>9503</v>
      </c>
      <c r="H2190" s="11" t="s">
        <v>44</v>
      </c>
      <c r="I2190" s="276">
        <v>9.830163138E9</v>
      </c>
      <c r="J2190" s="11" t="s">
        <v>25</v>
      </c>
      <c r="K2190" s="12" t="s">
        <v>9397</v>
      </c>
      <c r="L2190" s="13"/>
      <c r="M2190" s="11" t="s">
        <v>9504</v>
      </c>
      <c r="N2190" s="5" t="s">
        <v>9505</v>
      </c>
      <c r="O2190" s="5" t="s">
        <v>26</v>
      </c>
      <c r="P2190" s="5" t="s">
        <v>9506</v>
      </c>
      <c r="Q2190" s="15"/>
      <c r="R2190" s="16" t="s">
        <v>634</v>
      </c>
      <c r="S2190" s="15"/>
      <c r="T2190" s="15"/>
      <c r="U2190" s="15"/>
      <c r="V2190" s="15"/>
      <c r="W2190" s="15"/>
      <c r="X2190" s="15"/>
      <c r="Y2190" s="15"/>
      <c r="Z2190" s="15"/>
      <c r="AA2190" s="15"/>
    </row>
    <row r="2191">
      <c r="A2191" s="5" t="s">
        <v>9507</v>
      </c>
      <c r="B2191" s="6" t="s">
        <v>9508</v>
      </c>
      <c r="C2191" s="40" t="s">
        <v>9509</v>
      </c>
      <c r="D2191" s="8"/>
      <c r="E2191" s="8" t="s">
        <v>523</v>
      </c>
      <c r="F2191" s="90">
        <v>1000.0</v>
      </c>
      <c r="G2191" s="97" t="s">
        <v>9510</v>
      </c>
      <c r="H2191" s="11" t="s">
        <v>44</v>
      </c>
      <c r="I2191" s="276">
        <v>9.836593667E9</v>
      </c>
      <c r="J2191" s="11" t="s">
        <v>25</v>
      </c>
      <c r="K2191" s="12" t="s">
        <v>9511</v>
      </c>
      <c r="L2191" s="13"/>
      <c r="M2191" s="11" t="s">
        <v>7651</v>
      </c>
      <c r="N2191" s="5" t="s">
        <v>9512</v>
      </c>
      <c r="O2191" s="5" t="s">
        <v>26</v>
      </c>
      <c r="P2191" s="265" t="s">
        <v>8466</v>
      </c>
      <c r="Q2191" s="5" t="s">
        <v>6894</v>
      </c>
      <c r="R2191" s="16" t="s">
        <v>634</v>
      </c>
      <c r="S2191" s="15"/>
      <c r="T2191" s="15"/>
      <c r="U2191" s="15"/>
      <c r="V2191" s="15"/>
      <c r="W2191" s="15"/>
      <c r="X2191" s="15"/>
      <c r="Y2191" s="15"/>
      <c r="Z2191" s="15"/>
      <c r="AA2191" s="15"/>
    </row>
    <row r="2192">
      <c r="A2192" s="5" t="s">
        <v>9507</v>
      </c>
      <c r="B2192" s="6" t="s">
        <v>9513</v>
      </c>
      <c r="C2192" s="40" t="s">
        <v>9514</v>
      </c>
      <c r="D2192" s="8"/>
      <c r="E2192" s="8" t="s">
        <v>130</v>
      </c>
      <c r="F2192" s="90">
        <v>1000.0</v>
      </c>
      <c r="G2192" s="97" t="s">
        <v>9515</v>
      </c>
      <c r="H2192" s="11" t="s">
        <v>906</v>
      </c>
      <c r="I2192" s="276">
        <v>9.773626362E9</v>
      </c>
      <c r="J2192" s="11" t="s">
        <v>25</v>
      </c>
      <c r="K2192" s="12" t="s">
        <v>8753</v>
      </c>
      <c r="L2192" s="13"/>
      <c r="M2192" s="14"/>
      <c r="N2192" s="15"/>
      <c r="O2192" s="5" t="s">
        <v>108</v>
      </c>
      <c r="P2192" s="15"/>
      <c r="Q2192" s="15"/>
      <c r="R2192" s="16" t="s">
        <v>28</v>
      </c>
      <c r="S2192" s="15"/>
      <c r="T2192" s="15"/>
      <c r="U2192" s="15"/>
      <c r="V2192" s="15"/>
      <c r="W2192" s="15"/>
      <c r="X2192" s="15"/>
      <c r="Y2192" s="15"/>
      <c r="Z2192" s="15"/>
      <c r="AA2192" s="15"/>
    </row>
    <row r="2193">
      <c r="A2193" s="5" t="s">
        <v>9507</v>
      </c>
      <c r="B2193" s="6" t="s">
        <v>9516</v>
      </c>
      <c r="C2193" s="40" t="s">
        <v>9517</v>
      </c>
      <c r="D2193" s="8"/>
      <c r="E2193" s="8" t="s">
        <v>9518</v>
      </c>
      <c r="F2193" s="90">
        <v>4000.0</v>
      </c>
      <c r="G2193" s="97" t="s">
        <v>9519</v>
      </c>
      <c r="H2193" s="11" t="s">
        <v>44</v>
      </c>
      <c r="I2193" s="276">
        <v>8.910206845E9</v>
      </c>
      <c r="J2193" s="11" t="s">
        <v>25</v>
      </c>
      <c r="K2193" s="12" t="s">
        <v>9520</v>
      </c>
      <c r="L2193" s="13"/>
      <c r="M2193" s="11" t="s">
        <v>9521</v>
      </c>
      <c r="N2193" s="5" t="s">
        <v>9522</v>
      </c>
      <c r="O2193" s="5" t="s">
        <v>26</v>
      </c>
      <c r="P2193" s="282" t="s">
        <v>8466</v>
      </c>
      <c r="Q2193" s="5" t="s">
        <v>27</v>
      </c>
      <c r="R2193" s="16" t="s">
        <v>634</v>
      </c>
      <c r="S2193" s="15"/>
      <c r="T2193" s="15"/>
      <c r="U2193" s="15"/>
      <c r="V2193" s="15"/>
      <c r="W2193" s="15"/>
      <c r="X2193" s="15"/>
      <c r="Y2193" s="15"/>
      <c r="Z2193" s="15"/>
      <c r="AA2193" s="15"/>
    </row>
    <row r="2194">
      <c r="A2194" s="5" t="s">
        <v>9507</v>
      </c>
      <c r="B2194" s="6" t="s">
        <v>9523</v>
      </c>
      <c r="C2194" s="40" t="s">
        <v>9524</v>
      </c>
      <c r="D2194" s="11"/>
      <c r="E2194" s="11" t="s">
        <v>6168</v>
      </c>
      <c r="F2194" s="90">
        <v>500.0</v>
      </c>
      <c r="G2194" s="97" t="s">
        <v>9525</v>
      </c>
      <c r="H2194" s="11" t="s">
        <v>9526</v>
      </c>
      <c r="I2194" s="276">
        <v>9.474565571E9</v>
      </c>
      <c r="J2194" s="11" t="s">
        <v>25</v>
      </c>
      <c r="K2194" s="12"/>
      <c r="L2194" s="13"/>
      <c r="M2194" s="14"/>
      <c r="N2194" s="15"/>
      <c r="O2194" s="5" t="s">
        <v>26</v>
      </c>
      <c r="P2194" s="15"/>
      <c r="Q2194" s="15"/>
      <c r="R2194" s="16" t="s">
        <v>28</v>
      </c>
      <c r="S2194" s="15"/>
      <c r="T2194" s="15"/>
      <c r="U2194" s="15"/>
      <c r="V2194" s="15"/>
      <c r="W2194" s="15"/>
      <c r="X2194" s="15"/>
      <c r="Y2194" s="15"/>
      <c r="Z2194" s="15"/>
      <c r="AA2194" s="15"/>
    </row>
    <row r="2195">
      <c r="A2195" s="5" t="s">
        <v>9507</v>
      </c>
      <c r="B2195" s="6" t="s">
        <v>9527</v>
      </c>
      <c r="C2195" s="40" t="s">
        <v>9528</v>
      </c>
      <c r="D2195" s="11"/>
      <c r="E2195" s="11" t="s">
        <v>1749</v>
      </c>
      <c r="F2195" s="90">
        <v>500.0</v>
      </c>
      <c r="G2195" s="97" t="s">
        <v>9529</v>
      </c>
      <c r="H2195" s="11" t="s">
        <v>3216</v>
      </c>
      <c r="I2195" s="276">
        <v>9.733970441E9</v>
      </c>
      <c r="J2195" s="11" t="s">
        <v>25</v>
      </c>
      <c r="K2195" s="12" t="s">
        <v>9530</v>
      </c>
      <c r="L2195" s="13"/>
      <c r="M2195" s="11" t="s">
        <v>9531</v>
      </c>
      <c r="N2195" s="5" t="s">
        <v>9532</v>
      </c>
      <c r="O2195" s="5" t="s">
        <v>34</v>
      </c>
      <c r="P2195" s="5" t="s">
        <v>727</v>
      </c>
      <c r="Q2195" s="15"/>
      <c r="R2195" s="16" t="s">
        <v>634</v>
      </c>
      <c r="S2195" s="15"/>
      <c r="T2195" s="15"/>
      <c r="U2195" s="15"/>
      <c r="V2195" s="15"/>
      <c r="W2195" s="15"/>
      <c r="X2195" s="15"/>
      <c r="Y2195" s="15"/>
      <c r="Z2195" s="15"/>
      <c r="AA2195" s="15"/>
    </row>
    <row r="2196">
      <c r="A2196" s="5" t="s">
        <v>9507</v>
      </c>
      <c r="B2196" s="6" t="s">
        <v>9533</v>
      </c>
      <c r="C2196" s="40" t="s">
        <v>9534</v>
      </c>
      <c r="D2196" s="11"/>
      <c r="E2196" s="11" t="s">
        <v>152</v>
      </c>
      <c r="F2196" s="90">
        <v>2000.0</v>
      </c>
      <c r="G2196" s="97" t="s">
        <v>9535</v>
      </c>
      <c r="H2196" s="11" t="s">
        <v>507</v>
      </c>
      <c r="I2196" s="276">
        <v>9.766132872E9</v>
      </c>
      <c r="J2196" s="11" t="s">
        <v>9536</v>
      </c>
      <c r="K2196" s="12"/>
      <c r="L2196" s="13"/>
      <c r="M2196" s="11" t="s">
        <v>9537</v>
      </c>
      <c r="N2196" s="5" t="s">
        <v>9538</v>
      </c>
      <c r="O2196" s="5" t="s">
        <v>108</v>
      </c>
      <c r="P2196" s="15"/>
      <c r="Q2196" s="15"/>
      <c r="R2196" s="16" t="s">
        <v>634</v>
      </c>
      <c r="S2196" s="15"/>
      <c r="T2196" s="15"/>
      <c r="U2196" s="15"/>
      <c r="V2196" s="15"/>
      <c r="W2196" s="15"/>
      <c r="X2196" s="15"/>
      <c r="Y2196" s="15"/>
      <c r="Z2196" s="15"/>
      <c r="AA2196" s="15"/>
    </row>
    <row r="2197">
      <c r="A2197" s="5" t="s">
        <v>9539</v>
      </c>
      <c r="B2197" s="6" t="s">
        <v>9540</v>
      </c>
      <c r="C2197" s="40" t="s">
        <v>9541</v>
      </c>
      <c r="D2197" s="11"/>
      <c r="E2197" s="11" t="s">
        <v>9542</v>
      </c>
      <c r="F2197" s="90">
        <v>1000.0</v>
      </c>
      <c r="G2197" s="97" t="s">
        <v>9543</v>
      </c>
      <c r="H2197" s="11" t="s">
        <v>9544</v>
      </c>
      <c r="I2197" s="276">
        <v>7.810064411E9</v>
      </c>
      <c r="J2197" s="11" t="s">
        <v>25</v>
      </c>
      <c r="K2197" s="12" t="s">
        <v>8753</v>
      </c>
      <c r="L2197" s="13"/>
      <c r="M2197" s="14"/>
      <c r="N2197" s="15"/>
      <c r="O2197" s="5" t="s">
        <v>108</v>
      </c>
      <c r="P2197" s="15"/>
      <c r="Q2197" s="15"/>
      <c r="R2197" s="16" t="s">
        <v>28</v>
      </c>
      <c r="S2197" s="15"/>
      <c r="T2197" s="15"/>
      <c r="U2197" s="15"/>
      <c r="V2197" s="15"/>
      <c r="W2197" s="15"/>
      <c r="X2197" s="15"/>
      <c r="Y2197" s="15"/>
      <c r="Z2197" s="15"/>
      <c r="AA2197" s="15"/>
    </row>
    <row r="2198">
      <c r="A2198" s="5" t="s">
        <v>9539</v>
      </c>
      <c r="B2198" s="6" t="s">
        <v>9545</v>
      </c>
      <c r="C2198" s="40" t="s">
        <v>9546</v>
      </c>
      <c r="D2198" s="11"/>
      <c r="E2198" s="11" t="s">
        <v>147</v>
      </c>
      <c r="F2198" s="90">
        <v>5000.0</v>
      </c>
      <c r="G2198" s="97" t="s">
        <v>9547</v>
      </c>
      <c r="H2198" s="11" t="s">
        <v>1663</v>
      </c>
      <c r="I2198" s="276">
        <v>9.449814864E9</v>
      </c>
      <c r="J2198" s="11" t="s">
        <v>25</v>
      </c>
      <c r="K2198" s="12" t="s">
        <v>8753</v>
      </c>
      <c r="L2198" s="13"/>
      <c r="M2198" s="11" t="s">
        <v>9548</v>
      </c>
      <c r="N2198" s="5" t="s">
        <v>9549</v>
      </c>
      <c r="O2198" s="5" t="s">
        <v>108</v>
      </c>
      <c r="P2198" s="15"/>
      <c r="Q2198" s="15"/>
      <c r="R2198" s="16" t="s">
        <v>634</v>
      </c>
      <c r="S2198" s="15"/>
      <c r="T2198" s="15"/>
      <c r="U2198" s="15"/>
      <c r="V2198" s="15"/>
      <c r="W2198" s="15"/>
      <c r="X2198" s="15"/>
      <c r="Y2198" s="15"/>
      <c r="Z2198" s="15"/>
      <c r="AA2198" s="15"/>
    </row>
    <row r="2199">
      <c r="A2199" s="5" t="s">
        <v>9539</v>
      </c>
      <c r="B2199" s="6" t="s">
        <v>9550</v>
      </c>
      <c r="C2199" s="40" t="s">
        <v>9551</v>
      </c>
      <c r="D2199" s="11"/>
      <c r="E2199" s="11" t="s">
        <v>9552</v>
      </c>
      <c r="F2199" s="90" t="s">
        <v>9553</v>
      </c>
      <c r="G2199" s="97" t="s">
        <v>9554</v>
      </c>
      <c r="H2199" s="11" t="s">
        <v>44</v>
      </c>
      <c r="I2199" s="276">
        <v>7.980606834E9</v>
      </c>
      <c r="J2199" s="11" t="s">
        <v>25</v>
      </c>
      <c r="K2199" s="12" t="s">
        <v>9555</v>
      </c>
      <c r="L2199" s="13"/>
      <c r="M2199" s="11" t="s">
        <v>9556</v>
      </c>
      <c r="N2199" s="5" t="s">
        <v>9557</v>
      </c>
      <c r="O2199" s="5" t="s">
        <v>34</v>
      </c>
      <c r="P2199" s="5" t="s">
        <v>1853</v>
      </c>
      <c r="Q2199" s="5" t="s">
        <v>727</v>
      </c>
      <c r="R2199" s="16" t="s">
        <v>634</v>
      </c>
      <c r="S2199" s="15"/>
      <c r="T2199" s="15"/>
      <c r="U2199" s="15"/>
      <c r="V2199" s="15"/>
      <c r="W2199" s="15"/>
      <c r="X2199" s="15"/>
      <c r="Y2199" s="15"/>
      <c r="Z2199" s="15"/>
      <c r="AA2199" s="15"/>
    </row>
    <row r="2200">
      <c r="A2200" s="5" t="s">
        <v>9539</v>
      </c>
      <c r="B2200" s="6" t="s">
        <v>9558</v>
      </c>
      <c r="C2200" s="40" t="s">
        <v>9559</v>
      </c>
      <c r="D2200" s="11"/>
      <c r="E2200" s="11" t="s">
        <v>130</v>
      </c>
      <c r="F2200" s="90">
        <v>500.0</v>
      </c>
      <c r="G2200" s="97" t="s">
        <v>9560</v>
      </c>
      <c r="H2200" s="11" t="s">
        <v>906</v>
      </c>
      <c r="I2200" s="276">
        <v>9.082863807E9</v>
      </c>
      <c r="J2200" s="11" t="s">
        <v>25</v>
      </c>
      <c r="K2200" s="12" t="s">
        <v>8753</v>
      </c>
      <c r="L2200" s="13"/>
      <c r="M2200" s="11" t="s">
        <v>9561</v>
      </c>
      <c r="N2200" s="5" t="s">
        <v>9562</v>
      </c>
      <c r="O2200" s="5" t="s">
        <v>108</v>
      </c>
      <c r="P2200" s="15"/>
      <c r="Q2200" s="15"/>
      <c r="R2200" s="16" t="s">
        <v>634</v>
      </c>
      <c r="S2200" s="15"/>
      <c r="T2200" s="15"/>
      <c r="U2200" s="15"/>
      <c r="V2200" s="15"/>
      <c r="W2200" s="15"/>
      <c r="X2200" s="15"/>
      <c r="Y2200" s="15"/>
      <c r="Z2200" s="15"/>
      <c r="AA2200" s="15"/>
    </row>
    <row r="2201">
      <c r="A2201" s="5" t="s">
        <v>9539</v>
      </c>
      <c r="B2201" s="6" t="s">
        <v>9563</v>
      </c>
      <c r="C2201" s="40" t="s">
        <v>9564</v>
      </c>
      <c r="D2201" s="11"/>
      <c r="E2201" s="11" t="s">
        <v>9050</v>
      </c>
      <c r="F2201" s="90">
        <v>100.0</v>
      </c>
      <c r="G2201" s="97" t="s">
        <v>9565</v>
      </c>
      <c r="H2201" s="11" t="s">
        <v>99</v>
      </c>
      <c r="I2201" s="276">
        <v>8.249881132E9</v>
      </c>
      <c r="J2201" s="11" t="s">
        <v>25</v>
      </c>
      <c r="K2201" s="12" t="s">
        <v>8753</v>
      </c>
      <c r="L2201" s="13"/>
      <c r="M2201" s="14"/>
      <c r="N2201" s="15"/>
      <c r="O2201" s="5" t="s">
        <v>26</v>
      </c>
      <c r="P2201" s="15"/>
      <c r="Q2201" s="15"/>
      <c r="R2201" s="16" t="s">
        <v>28</v>
      </c>
      <c r="S2201" s="15"/>
      <c r="T2201" s="15"/>
      <c r="U2201" s="15"/>
      <c r="V2201" s="15"/>
      <c r="W2201" s="15"/>
      <c r="X2201" s="15"/>
      <c r="Y2201" s="15"/>
      <c r="Z2201" s="15"/>
      <c r="AA2201" s="15"/>
    </row>
    <row r="2202">
      <c r="A2202" s="5" t="s">
        <v>9539</v>
      </c>
      <c r="B2202" s="6" t="s">
        <v>9566</v>
      </c>
      <c r="C2202" s="40" t="s">
        <v>9567</v>
      </c>
      <c r="D2202" s="11"/>
      <c r="E2202" s="11" t="s">
        <v>152</v>
      </c>
      <c r="F2202" s="90">
        <v>25000.0</v>
      </c>
      <c r="G2202" s="97" t="s">
        <v>9568</v>
      </c>
      <c r="H2202" s="11" t="s">
        <v>742</v>
      </c>
      <c r="I2202" s="276">
        <v>7.036133754E9</v>
      </c>
      <c r="J2202" s="11" t="s">
        <v>25</v>
      </c>
      <c r="K2202" s="12" t="s">
        <v>8753</v>
      </c>
      <c r="L2202" s="12"/>
      <c r="M2202" s="14"/>
      <c r="N2202" s="15"/>
      <c r="O2202" s="5" t="s">
        <v>108</v>
      </c>
      <c r="P2202" s="15"/>
      <c r="Q2202" s="15"/>
      <c r="R2202" s="16" t="s">
        <v>28</v>
      </c>
      <c r="S2202" s="15"/>
      <c r="T2202" s="15"/>
      <c r="U2202" s="15"/>
      <c r="V2202" s="15"/>
      <c r="W2202" s="15"/>
      <c r="X2202" s="15"/>
      <c r="Y2202" s="15"/>
      <c r="Z2202" s="15"/>
      <c r="AA2202" s="15"/>
    </row>
    <row r="2203">
      <c r="A2203" s="5" t="s">
        <v>9539</v>
      </c>
      <c r="B2203" s="131" t="s">
        <v>9569</v>
      </c>
      <c r="C2203" s="5" t="s">
        <v>9570</v>
      </c>
      <c r="D2203" s="11"/>
      <c r="E2203" s="11" t="s">
        <v>9571</v>
      </c>
      <c r="F2203" s="90">
        <v>2000.0</v>
      </c>
      <c r="G2203" s="97" t="s">
        <v>9572</v>
      </c>
      <c r="H2203" s="11" t="s">
        <v>822</v>
      </c>
      <c r="I2203" s="276">
        <v>9.641902241E9</v>
      </c>
      <c r="J2203" s="11" t="s">
        <v>25</v>
      </c>
      <c r="K2203" s="12" t="s">
        <v>8753</v>
      </c>
      <c r="L2203" s="13"/>
      <c r="M2203" s="14"/>
      <c r="N2203" s="14"/>
      <c r="O2203" s="5" t="s">
        <v>34</v>
      </c>
      <c r="P2203" s="5" t="s">
        <v>1042</v>
      </c>
      <c r="Q2203" s="5" t="s">
        <v>727</v>
      </c>
      <c r="R2203" s="16" t="s">
        <v>28</v>
      </c>
      <c r="S2203" s="15"/>
      <c r="T2203" s="15"/>
      <c r="U2203" s="15"/>
      <c r="V2203" s="15"/>
      <c r="W2203" s="15"/>
      <c r="X2203" s="15"/>
      <c r="Y2203" s="15"/>
      <c r="Z2203" s="15"/>
      <c r="AA2203" s="15"/>
    </row>
    <row r="2204">
      <c r="A2204" s="5" t="s">
        <v>9573</v>
      </c>
      <c r="B2204" s="6" t="s">
        <v>9574</v>
      </c>
      <c r="C2204" s="40" t="s">
        <v>9575</v>
      </c>
      <c r="D2204" s="11"/>
      <c r="E2204" s="11" t="s">
        <v>116</v>
      </c>
      <c r="F2204" s="90">
        <v>2000.0</v>
      </c>
      <c r="G2204" s="97" t="s">
        <v>9576</v>
      </c>
      <c r="H2204" s="11" t="s">
        <v>9577</v>
      </c>
      <c r="I2204" s="276">
        <v>7.038771177E9</v>
      </c>
      <c r="J2204" s="11" t="s">
        <v>25</v>
      </c>
      <c r="K2204" s="12"/>
      <c r="L2204" s="13"/>
      <c r="M2204" s="11" t="s">
        <v>9578</v>
      </c>
      <c r="N2204" s="5" t="s">
        <v>9579</v>
      </c>
      <c r="O2204" s="5" t="s">
        <v>108</v>
      </c>
      <c r="P2204" s="15"/>
      <c r="Q2204" s="15"/>
      <c r="R2204" s="16" t="s">
        <v>634</v>
      </c>
      <c r="S2204" s="15"/>
      <c r="T2204" s="15"/>
      <c r="U2204" s="15"/>
      <c r="V2204" s="15"/>
      <c r="W2204" s="15"/>
      <c r="X2204" s="15"/>
      <c r="Y2204" s="15"/>
      <c r="Z2204" s="15"/>
      <c r="AA2204" s="15"/>
    </row>
    <row r="2205">
      <c r="A2205" s="5" t="s">
        <v>9573</v>
      </c>
      <c r="B2205" s="6" t="s">
        <v>9580</v>
      </c>
      <c r="C2205" s="40" t="s">
        <v>9581</v>
      </c>
      <c r="D2205" s="66"/>
      <c r="E2205" s="66" t="s">
        <v>9582</v>
      </c>
      <c r="F2205" s="90">
        <v>5000.0</v>
      </c>
      <c r="G2205" s="97" t="s">
        <v>9583</v>
      </c>
      <c r="H2205" s="11" t="s">
        <v>44</v>
      </c>
      <c r="I2205" s="276">
        <v>8.777726499E9</v>
      </c>
      <c r="J2205" s="11" t="s">
        <v>25</v>
      </c>
      <c r="K2205" s="12"/>
      <c r="L2205" s="13"/>
      <c r="M2205" s="14"/>
      <c r="N2205" s="15"/>
      <c r="O2205" s="5" t="s">
        <v>26</v>
      </c>
      <c r="P2205" s="15"/>
      <c r="Q2205" s="15"/>
      <c r="R2205" s="16" t="s">
        <v>28</v>
      </c>
      <c r="S2205" s="15"/>
      <c r="T2205" s="15"/>
      <c r="U2205" s="15"/>
      <c r="V2205" s="15"/>
      <c r="W2205" s="15"/>
      <c r="X2205" s="15"/>
      <c r="Y2205" s="15"/>
      <c r="Z2205" s="15"/>
      <c r="AA2205" s="15"/>
    </row>
    <row r="2206">
      <c r="A2206" s="5" t="s">
        <v>9573</v>
      </c>
      <c r="B2206" s="6" t="s">
        <v>9584</v>
      </c>
      <c r="C2206" s="40" t="s">
        <v>3768</v>
      </c>
      <c r="D2206" s="11"/>
      <c r="E2206" s="11" t="s">
        <v>130</v>
      </c>
      <c r="F2206" s="90">
        <v>1000.0</v>
      </c>
      <c r="G2206" s="97" t="s">
        <v>9585</v>
      </c>
      <c r="H2206" s="11" t="s">
        <v>44</v>
      </c>
      <c r="I2206" s="276">
        <v>8.910883048E9</v>
      </c>
      <c r="J2206" s="11" t="s">
        <v>25</v>
      </c>
      <c r="K2206" s="12" t="s">
        <v>9586</v>
      </c>
      <c r="L2206" s="13"/>
      <c r="M2206" s="11" t="s">
        <v>9587</v>
      </c>
      <c r="N2206" s="5" t="s">
        <v>9588</v>
      </c>
      <c r="O2206" s="5" t="s">
        <v>26</v>
      </c>
      <c r="P2206" s="5" t="s">
        <v>9589</v>
      </c>
      <c r="Q2206" s="5" t="s">
        <v>9590</v>
      </c>
      <c r="R2206" s="16" t="s">
        <v>634</v>
      </c>
      <c r="S2206" s="15"/>
      <c r="T2206" s="15"/>
      <c r="U2206" s="15"/>
      <c r="V2206" s="15"/>
      <c r="W2206" s="15"/>
      <c r="X2206" s="15"/>
      <c r="Y2206" s="15"/>
      <c r="Z2206" s="15"/>
      <c r="AA2206" s="15"/>
    </row>
    <row r="2207">
      <c r="A2207" s="5" t="s">
        <v>9573</v>
      </c>
      <c r="B2207" s="6" t="s">
        <v>9591</v>
      </c>
      <c r="C2207" s="40" t="s">
        <v>9592</v>
      </c>
      <c r="D2207" s="11"/>
      <c r="E2207" s="11" t="s">
        <v>189</v>
      </c>
      <c r="F2207" s="90">
        <v>30000.0</v>
      </c>
      <c r="G2207" s="97" t="s">
        <v>9593</v>
      </c>
      <c r="H2207" s="11" t="s">
        <v>44</v>
      </c>
      <c r="I2207" s="276">
        <v>7.427941092E9</v>
      </c>
      <c r="J2207" s="11" t="s">
        <v>25</v>
      </c>
      <c r="K2207" s="12" t="s">
        <v>9511</v>
      </c>
      <c r="L2207" s="13"/>
      <c r="M2207" s="11" t="s">
        <v>7651</v>
      </c>
      <c r="N2207" s="5" t="s">
        <v>9594</v>
      </c>
      <c r="O2207" s="5" t="s">
        <v>26</v>
      </c>
      <c r="P2207" s="11" t="s">
        <v>9595</v>
      </c>
      <c r="Q2207" s="15"/>
      <c r="R2207" s="16" t="s">
        <v>634</v>
      </c>
      <c r="S2207" s="15"/>
      <c r="T2207" s="15"/>
      <c r="U2207" s="15"/>
      <c r="V2207" s="15"/>
      <c r="W2207" s="15"/>
      <c r="X2207" s="15"/>
      <c r="Y2207" s="15"/>
      <c r="Z2207" s="15"/>
      <c r="AA2207" s="15"/>
    </row>
    <row r="2208">
      <c r="A2208" s="5" t="s">
        <v>9573</v>
      </c>
      <c r="B2208" s="6" t="s">
        <v>9596</v>
      </c>
      <c r="C2208" s="40" t="s">
        <v>9597</v>
      </c>
      <c r="D2208" s="11"/>
      <c r="E2208" s="11" t="s">
        <v>3729</v>
      </c>
      <c r="F2208" s="90">
        <v>1000.0</v>
      </c>
      <c r="G2208" s="97" t="s">
        <v>9598</v>
      </c>
      <c r="H2208" s="11" t="s">
        <v>6826</v>
      </c>
      <c r="I2208" s="276">
        <v>9.903333033E9</v>
      </c>
      <c r="J2208" s="11" t="s">
        <v>25</v>
      </c>
      <c r="K2208" s="12" t="s">
        <v>9599</v>
      </c>
      <c r="L2208" s="13"/>
      <c r="M2208" s="11" t="s">
        <v>8860</v>
      </c>
      <c r="N2208" s="5" t="s">
        <v>9600</v>
      </c>
      <c r="O2208" s="5" t="s">
        <v>26</v>
      </c>
      <c r="P2208" s="5" t="s">
        <v>9601</v>
      </c>
      <c r="Q2208" s="5" t="s">
        <v>9506</v>
      </c>
      <c r="R2208" s="16" t="s">
        <v>634</v>
      </c>
      <c r="S2208" s="15"/>
      <c r="T2208" s="15"/>
      <c r="U2208" s="15"/>
      <c r="V2208" s="15"/>
      <c r="W2208" s="15"/>
      <c r="X2208" s="15"/>
      <c r="Y2208" s="15"/>
      <c r="Z2208" s="15"/>
      <c r="AA2208" s="15"/>
    </row>
    <row r="2209">
      <c r="A2209" s="5" t="s">
        <v>9573</v>
      </c>
      <c r="B2209" s="6" t="s">
        <v>9602</v>
      </c>
      <c r="C2209" s="40" t="s">
        <v>9603</v>
      </c>
      <c r="D2209" s="11"/>
      <c r="E2209" s="11" t="s">
        <v>7868</v>
      </c>
      <c r="F2209" s="90">
        <v>100.0</v>
      </c>
      <c r="G2209" s="97" t="s">
        <v>9604</v>
      </c>
      <c r="H2209" s="11" t="s">
        <v>44</v>
      </c>
      <c r="I2209" s="276">
        <v>9.903462885E9</v>
      </c>
      <c r="J2209" s="11" t="s">
        <v>4008</v>
      </c>
      <c r="K2209" s="12" t="s">
        <v>9605</v>
      </c>
      <c r="L2209" s="13"/>
      <c r="M2209" s="11" t="s">
        <v>9606</v>
      </c>
      <c r="N2209" s="5" t="s">
        <v>9607</v>
      </c>
      <c r="O2209" s="5" t="s">
        <v>26</v>
      </c>
      <c r="P2209" s="5" t="s">
        <v>9608</v>
      </c>
      <c r="Q2209" s="15"/>
      <c r="R2209" s="16" t="s">
        <v>634</v>
      </c>
      <c r="S2209" s="15"/>
      <c r="T2209" s="15"/>
      <c r="U2209" s="15"/>
      <c r="V2209" s="15"/>
      <c r="W2209" s="15"/>
      <c r="X2209" s="15"/>
      <c r="Y2209" s="15"/>
      <c r="Z2209" s="15"/>
      <c r="AA2209" s="15"/>
    </row>
    <row r="2210">
      <c r="A2210" s="5" t="s">
        <v>9573</v>
      </c>
      <c r="B2210" s="6" t="s">
        <v>9609</v>
      </c>
      <c r="C2210" s="40" t="s">
        <v>9610</v>
      </c>
      <c r="D2210" s="11"/>
      <c r="E2210" s="11" t="s">
        <v>9611</v>
      </c>
      <c r="F2210" s="90">
        <v>100.0</v>
      </c>
      <c r="G2210" s="97" t="s">
        <v>9612</v>
      </c>
      <c r="H2210" s="11" t="s">
        <v>906</v>
      </c>
      <c r="I2210" s="276">
        <v>9.773016052E9</v>
      </c>
      <c r="J2210" s="11" t="s">
        <v>25</v>
      </c>
      <c r="K2210" s="12" t="s">
        <v>8753</v>
      </c>
      <c r="L2210" s="13"/>
      <c r="M2210" s="14"/>
      <c r="N2210" s="15"/>
      <c r="O2210" s="5" t="s">
        <v>108</v>
      </c>
      <c r="P2210" s="15"/>
      <c r="Q2210" s="15"/>
      <c r="R2210" s="16" t="s">
        <v>28</v>
      </c>
      <c r="S2210" s="15"/>
      <c r="T2210" s="15"/>
      <c r="U2210" s="15"/>
      <c r="V2210" s="15"/>
      <c r="W2210" s="15"/>
      <c r="X2210" s="15"/>
      <c r="Y2210" s="15"/>
      <c r="Z2210" s="15"/>
      <c r="AA2210" s="15"/>
    </row>
    <row r="2211">
      <c r="A2211" s="5" t="s">
        <v>9613</v>
      </c>
      <c r="B2211" s="6" t="s">
        <v>9614</v>
      </c>
      <c r="C2211" s="40" t="s">
        <v>9615</v>
      </c>
      <c r="D2211" s="11"/>
      <c r="E2211" s="11" t="s">
        <v>1675</v>
      </c>
      <c r="F2211" s="90">
        <v>500.0</v>
      </c>
      <c r="G2211" s="97" t="s">
        <v>9616</v>
      </c>
      <c r="H2211" s="11" t="s">
        <v>2403</v>
      </c>
      <c r="I2211" s="276">
        <v>7.602498867E9</v>
      </c>
      <c r="J2211" s="11" t="s">
        <v>25</v>
      </c>
      <c r="K2211" s="12" t="s">
        <v>9617</v>
      </c>
      <c r="L2211" s="13"/>
      <c r="M2211" s="11" t="s">
        <v>9618</v>
      </c>
      <c r="N2211" s="5" t="s">
        <v>9619</v>
      </c>
      <c r="O2211" s="5" t="s">
        <v>34</v>
      </c>
      <c r="P2211" s="5" t="s">
        <v>9620</v>
      </c>
      <c r="Q2211" s="15"/>
      <c r="R2211" s="16" t="s">
        <v>723</v>
      </c>
      <c r="S2211" s="15"/>
      <c r="T2211" s="15"/>
      <c r="U2211" s="15"/>
      <c r="V2211" s="15"/>
      <c r="W2211" s="15"/>
      <c r="X2211" s="15"/>
      <c r="Y2211" s="15"/>
      <c r="Z2211" s="15"/>
      <c r="AA2211" s="15"/>
    </row>
    <row r="2212">
      <c r="A2212" s="5" t="s">
        <v>9613</v>
      </c>
      <c r="B2212" s="6" t="s">
        <v>9621</v>
      </c>
      <c r="C2212" s="40" t="s">
        <v>9622</v>
      </c>
      <c r="D2212" s="11"/>
      <c r="E2212" s="11" t="s">
        <v>167</v>
      </c>
      <c r="F2212" s="90">
        <v>500.0</v>
      </c>
      <c r="G2212" s="97" t="s">
        <v>9623</v>
      </c>
      <c r="H2212" s="11" t="s">
        <v>9624</v>
      </c>
      <c r="I2212" s="276">
        <v>9.702202217E9</v>
      </c>
      <c r="J2212" s="11" t="s">
        <v>25</v>
      </c>
      <c r="K2212" s="12" t="s">
        <v>8677</v>
      </c>
      <c r="L2212" s="13"/>
      <c r="M2212" s="11" t="s">
        <v>8200</v>
      </c>
      <c r="N2212" s="5" t="s">
        <v>9625</v>
      </c>
      <c r="O2212" s="5" t="s">
        <v>108</v>
      </c>
      <c r="P2212" s="15"/>
      <c r="Q2212" s="15"/>
      <c r="R2212" s="16" t="s">
        <v>634</v>
      </c>
      <c r="S2212" s="15"/>
      <c r="T2212" s="15"/>
      <c r="U2212" s="15"/>
      <c r="V2212" s="15"/>
      <c r="W2212" s="15"/>
      <c r="X2212" s="15"/>
      <c r="Y2212" s="15"/>
      <c r="Z2212" s="15"/>
      <c r="AA2212" s="15"/>
    </row>
    <row r="2213">
      <c r="A2213" s="5" t="s">
        <v>9613</v>
      </c>
      <c r="B2213" s="6" t="s">
        <v>9626</v>
      </c>
      <c r="C2213" s="40" t="s">
        <v>9627</v>
      </c>
      <c r="D2213" s="11"/>
      <c r="E2213" s="11" t="s">
        <v>9502</v>
      </c>
      <c r="F2213" s="90">
        <v>1000.0</v>
      </c>
      <c r="G2213" s="97" t="s">
        <v>9628</v>
      </c>
      <c r="H2213" s="11" t="s">
        <v>3090</v>
      </c>
      <c r="I2213" s="283" t="s">
        <v>9629</v>
      </c>
      <c r="J2213" s="11" t="s">
        <v>7109</v>
      </c>
      <c r="K2213" s="12" t="s">
        <v>9397</v>
      </c>
      <c r="L2213" s="13"/>
      <c r="M2213" s="11" t="s">
        <v>9504</v>
      </c>
      <c r="N2213" s="5" t="s">
        <v>9630</v>
      </c>
      <c r="O2213" s="5" t="s">
        <v>26</v>
      </c>
      <c r="P2213" s="284" t="s">
        <v>9631</v>
      </c>
      <c r="Q2213" s="15"/>
      <c r="R2213" s="16" t="s">
        <v>634</v>
      </c>
      <c r="S2213" s="15"/>
      <c r="T2213" s="15"/>
      <c r="U2213" s="15"/>
      <c r="V2213" s="15"/>
      <c r="W2213" s="15"/>
      <c r="X2213" s="15"/>
      <c r="Y2213" s="15"/>
      <c r="Z2213" s="15"/>
      <c r="AA2213" s="15"/>
    </row>
    <row r="2214">
      <c r="A2214" s="5" t="s">
        <v>9613</v>
      </c>
      <c r="B2214" s="6" t="s">
        <v>9632</v>
      </c>
      <c r="C2214" s="40" t="s">
        <v>9633</v>
      </c>
      <c r="D2214" s="11"/>
      <c r="E2214" s="11" t="s">
        <v>9634</v>
      </c>
      <c r="F2214" s="90">
        <v>20000.0</v>
      </c>
      <c r="G2214" s="285" t="s">
        <v>9635</v>
      </c>
      <c r="H2214" s="11" t="s">
        <v>44</v>
      </c>
      <c r="I2214" s="276">
        <v>9.831325198E9</v>
      </c>
      <c r="J2214" s="11" t="s">
        <v>7109</v>
      </c>
      <c r="K2214" s="12" t="s">
        <v>9636</v>
      </c>
      <c r="L2214" s="13"/>
      <c r="M2214" s="11" t="s">
        <v>8638</v>
      </c>
      <c r="N2214" s="5" t="s">
        <v>9637</v>
      </c>
      <c r="O2214" s="5" t="s">
        <v>26</v>
      </c>
      <c r="P2214" s="5" t="s">
        <v>9638</v>
      </c>
      <c r="Q2214" s="15"/>
      <c r="R2214" s="16" t="s">
        <v>634</v>
      </c>
      <c r="S2214" s="15"/>
      <c r="T2214" s="15"/>
      <c r="U2214" s="15"/>
      <c r="V2214" s="15"/>
      <c r="W2214" s="15"/>
      <c r="X2214" s="15"/>
      <c r="Y2214" s="15"/>
      <c r="Z2214" s="15"/>
      <c r="AA2214" s="15"/>
    </row>
    <row r="2215">
      <c r="A2215" s="5" t="s">
        <v>9613</v>
      </c>
      <c r="B2215" s="6" t="s">
        <v>9639</v>
      </c>
      <c r="C2215" s="40" t="s">
        <v>9640</v>
      </c>
      <c r="D2215" s="11"/>
      <c r="E2215" s="11" t="s">
        <v>152</v>
      </c>
      <c r="F2215" s="90">
        <v>200.0</v>
      </c>
      <c r="G2215" s="285" t="s">
        <v>9641</v>
      </c>
      <c r="H2215" s="11" t="s">
        <v>1663</v>
      </c>
      <c r="I2215" s="276">
        <v>8.883663762E9</v>
      </c>
      <c r="J2215" s="11" t="s">
        <v>25</v>
      </c>
      <c r="K2215" s="12" t="s">
        <v>8677</v>
      </c>
      <c r="L2215" s="12" t="s">
        <v>9642</v>
      </c>
      <c r="M2215" s="11" t="s">
        <v>6155</v>
      </c>
      <c r="N2215" s="5" t="s">
        <v>9643</v>
      </c>
      <c r="O2215" s="5" t="s">
        <v>108</v>
      </c>
      <c r="P2215" s="15"/>
      <c r="Q2215" s="15"/>
      <c r="R2215" s="16" t="s">
        <v>634</v>
      </c>
      <c r="S2215" s="15"/>
      <c r="T2215" s="15"/>
      <c r="U2215" s="15"/>
      <c r="V2215" s="15"/>
      <c r="W2215" s="15"/>
      <c r="X2215" s="15"/>
      <c r="Y2215" s="15"/>
      <c r="Z2215" s="15"/>
      <c r="AA2215" s="15"/>
    </row>
    <row r="2216">
      <c r="A2216" s="5" t="s">
        <v>9644</v>
      </c>
      <c r="B2216" s="6" t="s">
        <v>9645</v>
      </c>
      <c r="C2216" s="62" t="s">
        <v>9646</v>
      </c>
      <c r="D2216" s="11"/>
      <c r="E2216" s="11" t="s">
        <v>207</v>
      </c>
      <c r="F2216" s="90">
        <v>1000.0</v>
      </c>
      <c r="G2216" s="285" t="s">
        <v>9647</v>
      </c>
      <c r="H2216" s="11" t="s">
        <v>44</v>
      </c>
      <c r="I2216" s="276">
        <v>7.059765298E9</v>
      </c>
      <c r="J2216" s="11" t="s">
        <v>9648</v>
      </c>
      <c r="K2216" s="12"/>
      <c r="L2216" s="13"/>
      <c r="M2216" s="11" t="s">
        <v>9649</v>
      </c>
      <c r="N2216" s="5" t="s">
        <v>9650</v>
      </c>
      <c r="O2216" s="5" t="s">
        <v>34</v>
      </c>
      <c r="P2216" s="5" t="s">
        <v>8466</v>
      </c>
      <c r="Q2216" s="5" t="s">
        <v>2144</v>
      </c>
      <c r="R2216" s="16" t="s">
        <v>634</v>
      </c>
      <c r="S2216" s="15"/>
      <c r="T2216" s="15"/>
      <c r="U2216" s="15"/>
      <c r="V2216" s="15"/>
      <c r="W2216" s="15"/>
      <c r="X2216" s="15"/>
      <c r="Y2216" s="15"/>
      <c r="Z2216" s="15"/>
      <c r="AA2216" s="15"/>
    </row>
    <row r="2217">
      <c r="A2217" s="5" t="s">
        <v>9651</v>
      </c>
      <c r="B2217" s="6" t="s">
        <v>9652</v>
      </c>
      <c r="C2217" s="40" t="s">
        <v>9653</v>
      </c>
      <c r="D2217" s="11"/>
      <c r="E2217" s="11" t="s">
        <v>1749</v>
      </c>
      <c r="F2217" s="90">
        <v>500.0</v>
      </c>
      <c r="G2217" s="285" t="s">
        <v>9654</v>
      </c>
      <c r="H2217" s="11" t="s">
        <v>44</v>
      </c>
      <c r="I2217" s="283" t="s">
        <v>9655</v>
      </c>
      <c r="J2217" s="11" t="s">
        <v>25</v>
      </c>
      <c r="K2217" s="12" t="s">
        <v>9530</v>
      </c>
      <c r="L2217" s="13"/>
      <c r="M2217" s="11" t="s">
        <v>9531</v>
      </c>
      <c r="N2217" s="5" t="s">
        <v>9656</v>
      </c>
      <c r="O2217" s="5" t="s">
        <v>34</v>
      </c>
      <c r="P2217" s="5" t="s">
        <v>55</v>
      </c>
      <c r="Q2217" s="15"/>
      <c r="R2217" s="16" t="s">
        <v>723</v>
      </c>
      <c r="S2217" s="15"/>
      <c r="T2217" s="15"/>
      <c r="U2217" s="15"/>
      <c r="V2217" s="15"/>
      <c r="W2217" s="15"/>
      <c r="X2217" s="15"/>
      <c r="Y2217" s="15"/>
      <c r="Z2217" s="15"/>
      <c r="AA2217" s="15"/>
    </row>
    <row r="2218">
      <c r="A2218" s="5" t="s">
        <v>9651</v>
      </c>
      <c r="B2218" s="6" t="s">
        <v>9657</v>
      </c>
      <c r="C2218" s="40" t="s">
        <v>9658</v>
      </c>
      <c r="D2218" s="11"/>
      <c r="E2218" s="11" t="s">
        <v>189</v>
      </c>
      <c r="F2218" s="90">
        <v>20000.0</v>
      </c>
      <c r="G2218" s="285" t="s">
        <v>9659</v>
      </c>
      <c r="H2218" s="11" t="s">
        <v>906</v>
      </c>
      <c r="I2218" s="276">
        <v>8.318084097E9</v>
      </c>
      <c r="J2218" s="11" t="s">
        <v>25</v>
      </c>
      <c r="K2218" s="12" t="s">
        <v>8677</v>
      </c>
      <c r="L2218" s="13"/>
      <c r="M2218" s="11" t="s">
        <v>9660</v>
      </c>
      <c r="N2218" s="5" t="s">
        <v>9661</v>
      </c>
      <c r="O2218" s="5" t="s">
        <v>108</v>
      </c>
      <c r="P2218" s="15"/>
      <c r="Q2218" s="15"/>
      <c r="R2218" s="16" t="s">
        <v>634</v>
      </c>
      <c r="S2218" s="15"/>
      <c r="T2218" s="15"/>
      <c r="U2218" s="15"/>
      <c r="V2218" s="15"/>
      <c r="W2218" s="15"/>
      <c r="X2218" s="15"/>
      <c r="Y2218" s="15"/>
      <c r="Z2218" s="15"/>
      <c r="AA2218" s="15"/>
    </row>
    <row r="2219">
      <c r="A2219" s="5" t="s">
        <v>9651</v>
      </c>
      <c r="B2219" s="6" t="s">
        <v>9662</v>
      </c>
      <c r="C2219" s="62" t="s">
        <v>9663</v>
      </c>
      <c r="D2219" s="11"/>
      <c r="E2219" s="11" t="s">
        <v>9664</v>
      </c>
      <c r="F2219" s="90" t="s">
        <v>9665</v>
      </c>
      <c r="G2219" s="285" t="s">
        <v>9386</v>
      </c>
      <c r="H2219" s="11" t="s">
        <v>158</v>
      </c>
      <c r="I2219" s="276">
        <v>9.07332632E9</v>
      </c>
      <c r="J2219" s="11" t="s">
        <v>25</v>
      </c>
      <c r="K2219" s="12"/>
      <c r="L2219" s="13"/>
      <c r="M2219" s="11" t="s">
        <v>9666</v>
      </c>
      <c r="N2219" s="5" t="s">
        <v>9667</v>
      </c>
      <c r="O2219" s="5" t="s">
        <v>34</v>
      </c>
      <c r="P2219" s="5" t="s">
        <v>8466</v>
      </c>
      <c r="Q2219" s="5" t="s">
        <v>6625</v>
      </c>
      <c r="R2219" s="16" t="s">
        <v>634</v>
      </c>
      <c r="S2219" s="15"/>
      <c r="T2219" s="15"/>
      <c r="U2219" s="15"/>
      <c r="V2219" s="15"/>
      <c r="W2219" s="15"/>
      <c r="X2219" s="15"/>
      <c r="Y2219" s="15"/>
      <c r="Z2219" s="15"/>
      <c r="AA2219" s="15"/>
    </row>
    <row r="2220">
      <c r="A2220" s="5" t="s">
        <v>9651</v>
      </c>
      <c r="B2220" s="6" t="s">
        <v>9668</v>
      </c>
      <c r="C2220" s="40" t="s">
        <v>1048</v>
      </c>
      <c r="D2220" s="11"/>
      <c r="E2220" s="11" t="s">
        <v>178</v>
      </c>
      <c r="F2220" s="90">
        <v>5000.0</v>
      </c>
      <c r="G2220" s="285" t="s">
        <v>9669</v>
      </c>
      <c r="H2220" s="11" t="s">
        <v>44</v>
      </c>
      <c r="I2220" s="276">
        <v>8.77784085E9</v>
      </c>
      <c r="J2220" s="11" t="s">
        <v>25</v>
      </c>
      <c r="K2220" s="12" t="s">
        <v>3044</v>
      </c>
      <c r="L2220" s="13"/>
      <c r="M2220" s="11" t="s">
        <v>7651</v>
      </c>
      <c r="N2220" s="5" t="s">
        <v>9670</v>
      </c>
      <c r="O2220" s="5" t="s">
        <v>26</v>
      </c>
      <c r="P2220" s="5" t="s">
        <v>9671</v>
      </c>
      <c r="Q2220" s="5" t="s">
        <v>876</v>
      </c>
      <c r="R2220" s="16" t="s">
        <v>634</v>
      </c>
      <c r="S2220" s="15"/>
      <c r="T2220" s="15"/>
      <c r="U2220" s="15"/>
      <c r="V2220" s="15"/>
      <c r="W2220" s="15"/>
      <c r="X2220" s="15"/>
      <c r="Y2220" s="15"/>
      <c r="Z2220" s="15"/>
      <c r="AA2220" s="15"/>
    </row>
    <row r="2221">
      <c r="A2221" s="5" t="s">
        <v>9651</v>
      </c>
      <c r="B2221" s="6" t="s">
        <v>9672</v>
      </c>
      <c r="C2221" s="40" t="s">
        <v>5039</v>
      </c>
      <c r="D2221" s="11"/>
      <c r="E2221" s="11" t="s">
        <v>1373</v>
      </c>
      <c r="F2221" s="90">
        <v>8000.0</v>
      </c>
      <c r="G2221" s="285" t="s">
        <v>8911</v>
      </c>
      <c r="H2221" s="11" t="s">
        <v>44</v>
      </c>
      <c r="I2221" s="276">
        <v>9.831050338E9</v>
      </c>
      <c r="J2221" s="11" t="s">
        <v>4008</v>
      </c>
      <c r="K2221" s="12" t="s">
        <v>890</v>
      </c>
      <c r="L2221" s="13"/>
      <c r="M2221" s="11" t="s">
        <v>8722</v>
      </c>
      <c r="N2221" s="5" t="s">
        <v>9673</v>
      </c>
      <c r="O2221" s="5" t="s">
        <v>34</v>
      </c>
      <c r="P2221" s="5" t="s">
        <v>777</v>
      </c>
      <c r="Q2221" s="15"/>
      <c r="R2221" s="16" t="s">
        <v>723</v>
      </c>
      <c r="S2221" s="15"/>
      <c r="T2221" s="15"/>
      <c r="U2221" s="15"/>
      <c r="V2221" s="15"/>
      <c r="W2221" s="15"/>
      <c r="X2221" s="15"/>
      <c r="Y2221" s="15"/>
      <c r="Z2221" s="15"/>
      <c r="AA2221" s="15"/>
    </row>
    <row r="2222">
      <c r="A2222" s="5" t="s">
        <v>9651</v>
      </c>
      <c r="B2222" s="6" t="s">
        <v>9674</v>
      </c>
      <c r="C2222" s="40" t="s">
        <v>9675</v>
      </c>
      <c r="D2222" s="11"/>
      <c r="E2222" s="11" t="s">
        <v>106</v>
      </c>
      <c r="F2222" s="90">
        <v>500.0</v>
      </c>
      <c r="G2222" s="285" t="s">
        <v>9676</v>
      </c>
      <c r="H2222" s="11" t="s">
        <v>9677</v>
      </c>
      <c r="I2222" s="276">
        <v>9.869112179E9</v>
      </c>
      <c r="J2222" s="11" t="s">
        <v>25</v>
      </c>
      <c r="K2222" s="12" t="s">
        <v>8753</v>
      </c>
      <c r="L2222" s="13"/>
      <c r="M2222" s="11" t="s">
        <v>9678</v>
      </c>
      <c r="N2222" s="5" t="s">
        <v>9679</v>
      </c>
      <c r="O2222" s="5" t="s">
        <v>108</v>
      </c>
      <c r="P2222" s="15"/>
      <c r="Q2222" s="15"/>
      <c r="R2222" s="16" t="s">
        <v>634</v>
      </c>
      <c r="S2222" s="15"/>
      <c r="T2222" s="15"/>
      <c r="U2222" s="15"/>
      <c r="V2222" s="15"/>
      <c r="W2222" s="15"/>
      <c r="X2222" s="15"/>
      <c r="Y2222" s="15"/>
      <c r="Z2222" s="15"/>
      <c r="AA2222" s="15"/>
    </row>
    <row r="2223">
      <c r="A2223" s="5" t="s">
        <v>9651</v>
      </c>
      <c r="B2223" s="6" t="s">
        <v>9680</v>
      </c>
      <c r="C2223" s="40" t="s">
        <v>9681</v>
      </c>
      <c r="D2223" s="11"/>
      <c r="E2223" s="11" t="s">
        <v>9682</v>
      </c>
      <c r="F2223" s="90">
        <v>1000.0</v>
      </c>
      <c r="G2223" s="285" t="s">
        <v>9683</v>
      </c>
      <c r="H2223" s="11" t="s">
        <v>44</v>
      </c>
      <c r="I2223" s="276">
        <v>9.831317492E9</v>
      </c>
      <c r="J2223" s="11" t="s">
        <v>25</v>
      </c>
      <c r="K2223" s="12" t="s">
        <v>9684</v>
      </c>
      <c r="L2223" s="13"/>
      <c r="M2223" s="11" t="s">
        <v>9685</v>
      </c>
      <c r="N2223" s="5" t="s">
        <v>9686</v>
      </c>
      <c r="O2223" s="5" t="s">
        <v>26</v>
      </c>
      <c r="P2223" s="5" t="s">
        <v>9687</v>
      </c>
      <c r="Q2223" s="15"/>
      <c r="R2223" s="16" t="s">
        <v>634</v>
      </c>
      <c r="S2223" s="15"/>
      <c r="T2223" s="15"/>
      <c r="U2223" s="15"/>
      <c r="V2223" s="15"/>
      <c r="W2223" s="15"/>
      <c r="X2223" s="15"/>
      <c r="Y2223" s="15"/>
      <c r="Z2223" s="15"/>
      <c r="AA2223" s="15"/>
    </row>
    <row r="2224">
      <c r="A2224" s="5" t="s">
        <v>9651</v>
      </c>
      <c r="B2224" s="6" t="s">
        <v>9688</v>
      </c>
      <c r="C2224" s="40" t="s">
        <v>9689</v>
      </c>
      <c r="D2224" s="11"/>
      <c r="E2224" s="11" t="s">
        <v>22</v>
      </c>
      <c r="F2224" s="90">
        <v>20000.0</v>
      </c>
      <c r="G2224" s="285"/>
      <c r="H2224" s="11" t="s">
        <v>44</v>
      </c>
      <c r="I2224" s="276">
        <v>8.327551517E9</v>
      </c>
      <c r="J2224" s="11" t="s">
        <v>4008</v>
      </c>
      <c r="K2224" s="12" t="s">
        <v>9690</v>
      </c>
      <c r="L2224" s="286" t="s">
        <v>9691</v>
      </c>
      <c r="M2224" s="14"/>
      <c r="N2224" s="15"/>
      <c r="O2224" s="5" t="s">
        <v>26</v>
      </c>
      <c r="P2224" s="284" t="s">
        <v>9691</v>
      </c>
      <c r="Q2224" s="15"/>
      <c r="R2224" s="16" t="s">
        <v>28</v>
      </c>
      <c r="S2224" s="15"/>
      <c r="T2224" s="15"/>
      <c r="U2224" s="15"/>
      <c r="V2224" s="15"/>
      <c r="W2224" s="15"/>
      <c r="X2224" s="15"/>
      <c r="Y2224" s="15"/>
      <c r="Z2224" s="15"/>
      <c r="AA2224" s="15"/>
    </row>
    <row r="2225">
      <c r="A2225" s="5" t="s">
        <v>9692</v>
      </c>
      <c r="B2225" s="6" t="s">
        <v>9693</v>
      </c>
      <c r="C2225" s="40" t="s">
        <v>9694</v>
      </c>
      <c r="D2225" s="11"/>
      <c r="E2225" s="11" t="s">
        <v>152</v>
      </c>
      <c r="F2225" s="90">
        <v>1000.0</v>
      </c>
      <c r="G2225" s="285" t="s">
        <v>9695</v>
      </c>
      <c r="H2225" s="11" t="s">
        <v>2682</v>
      </c>
      <c r="I2225" s="276">
        <v>7.899908356E9</v>
      </c>
      <c r="J2225" s="11" t="s">
        <v>25</v>
      </c>
      <c r="K2225" s="12" t="s">
        <v>8753</v>
      </c>
      <c r="L2225" s="13"/>
      <c r="M2225" s="12">
        <v>30.0</v>
      </c>
      <c r="N2225" s="5" t="s">
        <v>9696</v>
      </c>
      <c r="O2225" s="5" t="s">
        <v>108</v>
      </c>
      <c r="P2225" s="15"/>
      <c r="Q2225" s="15"/>
      <c r="R2225" s="16" t="s">
        <v>634</v>
      </c>
      <c r="S2225" s="15"/>
      <c r="T2225" s="15"/>
      <c r="U2225" s="15"/>
      <c r="V2225" s="15"/>
      <c r="W2225" s="15"/>
      <c r="X2225" s="15"/>
      <c r="Y2225" s="15"/>
      <c r="Z2225" s="15"/>
      <c r="AA2225" s="15"/>
    </row>
    <row r="2226">
      <c r="A2226" s="5" t="s">
        <v>9692</v>
      </c>
      <c r="B2226" s="6" t="s">
        <v>9697</v>
      </c>
      <c r="C2226" s="40" t="s">
        <v>9698</v>
      </c>
      <c r="D2226" s="11"/>
      <c r="E2226" s="11" t="s">
        <v>9699</v>
      </c>
      <c r="F2226" s="90">
        <v>1000.0</v>
      </c>
      <c r="G2226" s="285" t="s">
        <v>7909</v>
      </c>
      <c r="H2226" s="11" t="s">
        <v>9700</v>
      </c>
      <c r="I2226" s="276">
        <v>9.830066905E9</v>
      </c>
      <c r="J2226" s="11" t="s">
        <v>25</v>
      </c>
      <c r="K2226" s="12" t="s">
        <v>9530</v>
      </c>
      <c r="L2226" s="13"/>
      <c r="M2226" s="11" t="s">
        <v>9531</v>
      </c>
      <c r="N2226" s="5" t="s">
        <v>9701</v>
      </c>
      <c r="O2226" s="5" t="s">
        <v>26</v>
      </c>
      <c r="P2226" s="5" t="s">
        <v>9702</v>
      </c>
      <c r="Q2226" s="15"/>
      <c r="R2226" s="16" t="s">
        <v>634</v>
      </c>
      <c r="S2226" s="15"/>
      <c r="T2226" s="15"/>
      <c r="U2226" s="15"/>
      <c r="V2226" s="15"/>
      <c r="W2226" s="15"/>
      <c r="X2226" s="15"/>
      <c r="Y2226" s="15"/>
      <c r="Z2226" s="15"/>
      <c r="AA2226" s="15"/>
    </row>
    <row r="2227">
      <c r="A2227" s="5" t="s">
        <v>9692</v>
      </c>
      <c r="B2227" s="6" t="s">
        <v>9703</v>
      </c>
      <c r="C2227" s="40" t="s">
        <v>9704</v>
      </c>
      <c r="D2227" s="11"/>
      <c r="E2227" s="11" t="s">
        <v>576</v>
      </c>
      <c r="F2227" s="90">
        <v>500.0</v>
      </c>
      <c r="G2227" s="285" t="s">
        <v>9705</v>
      </c>
      <c r="H2227" s="11" t="s">
        <v>44</v>
      </c>
      <c r="I2227" s="276">
        <v>9.831818108E9</v>
      </c>
      <c r="J2227" s="11" t="s">
        <v>25</v>
      </c>
      <c r="K2227" s="12" t="s">
        <v>9706</v>
      </c>
      <c r="L2227" s="13"/>
      <c r="M2227" s="11" t="s">
        <v>9707</v>
      </c>
      <c r="N2227" s="5" t="s">
        <v>9708</v>
      </c>
      <c r="O2227" s="5" t="s">
        <v>26</v>
      </c>
      <c r="P2227" s="5" t="s">
        <v>8132</v>
      </c>
      <c r="Q2227" s="5" t="s">
        <v>9709</v>
      </c>
      <c r="R2227" s="16" t="s">
        <v>634</v>
      </c>
      <c r="S2227" s="15"/>
      <c r="T2227" s="15"/>
      <c r="U2227" s="15"/>
      <c r="V2227" s="15"/>
      <c r="W2227" s="15"/>
      <c r="X2227" s="15"/>
      <c r="Y2227" s="15"/>
      <c r="Z2227" s="15"/>
      <c r="AA2227" s="15"/>
    </row>
    <row r="2228">
      <c r="A2228" s="5" t="s">
        <v>9692</v>
      </c>
      <c r="B2228" s="6" t="s">
        <v>9710</v>
      </c>
      <c r="C2228" s="40" t="s">
        <v>9711</v>
      </c>
      <c r="D2228" s="11"/>
      <c r="E2228" s="11" t="s">
        <v>5203</v>
      </c>
      <c r="F2228" s="90">
        <v>5000.0</v>
      </c>
      <c r="G2228" s="285" t="s">
        <v>9712</v>
      </c>
      <c r="H2228" s="11" t="s">
        <v>906</v>
      </c>
      <c r="I2228" s="276">
        <v>8.850031233E9</v>
      </c>
      <c r="J2228" s="11" t="s">
        <v>25</v>
      </c>
      <c r="K2228" s="12" t="s">
        <v>8753</v>
      </c>
      <c r="L2228" s="13"/>
      <c r="M2228" s="11" t="s">
        <v>9713</v>
      </c>
      <c r="N2228" s="5" t="s">
        <v>9714</v>
      </c>
      <c r="O2228" s="5" t="s">
        <v>108</v>
      </c>
      <c r="P2228" s="15"/>
      <c r="Q2228" s="15"/>
      <c r="R2228" s="16" t="s">
        <v>634</v>
      </c>
      <c r="S2228" s="15"/>
      <c r="T2228" s="15"/>
      <c r="U2228" s="15"/>
      <c r="V2228" s="15"/>
      <c r="W2228" s="15"/>
      <c r="X2228" s="15"/>
      <c r="Y2228" s="15"/>
      <c r="Z2228" s="15"/>
      <c r="AA2228" s="15"/>
    </row>
    <row r="2229">
      <c r="A2229" s="5" t="s">
        <v>9692</v>
      </c>
      <c r="B2229" s="6" t="s">
        <v>9715</v>
      </c>
      <c r="C2229" s="40" t="s">
        <v>9716</v>
      </c>
      <c r="D2229" s="11"/>
      <c r="E2229" s="11" t="s">
        <v>1749</v>
      </c>
      <c r="F2229" s="90">
        <v>100.0</v>
      </c>
      <c r="G2229" s="285" t="s">
        <v>9717</v>
      </c>
      <c r="H2229" s="11" t="s">
        <v>9718</v>
      </c>
      <c r="I2229" s="276">
        <v>7.001062663E9</v>
      </c>
      <c r="J2229" s="11" t="s">
        <v>25</v>
      </c>
      <c r="K2229" s="12" t="s">
        <v>2827</v>
      </c>
      <c r="L2229" s="13"/>
      <c r="M2229" s="11" t="s">
        <v>9719</v>
      </c>
      <c r="N2229" s="5" t="s">
        <v>9720</v>
      </c>
      <c r="O2229" s="5" t="s">
        <v>34</v>
      </c>
      <c r="P2229" s="5" t="s">
        <v>2144</v>
      </c>
      <c r="Q2229" s="15"/>
      <c r="R2229" s="16" t="s">
        <v>723</v>
      </c>
      <c r="S2229" s="15"/>
      <c r="T2229" s="15"/>
      <c r="U2229" s="15"/>
      <c r="V2229" s="15"/>
      <c r="W2229" s="15"/>
      <c r="X2229" s="15"/>
      <c r="Y2229" s="15"/>
      <c r="Z2229" s="15"/>
      <c r="AA2229" s="15"/>
    </row>
    <row r="2230">
      <c r="A2230" s="5" t="s">
        <v>9721</v>
      </c>
      <c r="B2230" s="6" t="s">
        <v>9722</v>
      </c>
      <c r="C2230" s="40" t="s">
        <v>9723</v>
      </c>
      <c r="D2230" s="11"/>
      <c r="E2230" s="11" t="s">
        <v>189</v>
      </c>
      <c r="F2230" s="90">
        <v>1000.0</v>
      </c>
      <c r="G2230" s="285" t="s">
        <v>9724</v>
      </c>
      <c r="H2230" s="11" t="s">
        <v>742</v>
      </c>
      <c r="I2230" s="276">
        <v>6.304104224E9</v>
      </c>
      <c r="J2230" s="11" t="s">
        <v>25</v>
      </c>
      <c r="K2230" s="12"/>
      <c r="L2230" s="13"/>
      <c r="M2230" s="11" t="s">
        <v>9725</v>
      </c>
      <c r="N2230" s="5" t="s">
        <v>9726</v>
      </c>
      <c r="O2230" s="5" t="s">
        <v>108</v>
      </c>
      <c r="P2230" s="15"/>
      <c r="Q2230" s="15"/>
      <c r="R2230" s="16" t="s">
        <v>634</v>
      </c>
      <c r="S2230" s="15"/>
      <c r="T2230" s="15"/>
      <c r="U2230" s="15"/>
      <c r="V2230" s="15"/>
      <c r="W2230" s="15"/>
      <c r="X2230" s="15"/>
      <c r="Y2230" s="15"/>
      <c r="Z2230" s="15"/>
      <c r="AA2230" s="15"/>
    </row>
    <row r="2231">
      <c r="A2231" s="5" t="s">
        <v>9721</v>
      </c>
      <c r="B2231" s="6" t="s">
        <v>9727</v>
      </c>
      <c r="C2231" s="40" t="s">
        <v>9728</v>
      </c>
      <c r="D2231" s="11"/>
      <c r="E2231" s="11" t="s">
        <v>189</v>
      </c>
      <c r="F2231" s="90">
        <v>5000.0</v>
      </c>
      <c r="G2231" s="285" t="s">
        <v>9729</v>
      </c>
      <c r="H2231" s="11" t="s">
        <v>44</v>
      </c>
      <c r="I2231" s="276">
        <v>9.647408235E9</v>
      </c>
      <c r="J2231" s="11" t="s">
        <v>25</v>
      </c>
      <c r="K2231" s="12" t="s">
        <v>3044</v>
      </c>
      <c r="L2231" s="13"/>
      <c r="M2231" s="11" t="s">
        <v>7651</v>
      </c>
      <c r="N2231" s="5" t="s">
        <v>9730</v>
      </c>
      <c r="O2231" s="5" t="s">
        <v>26</v>
      </c>
      <c r="P2231" s="5" t="s">
        <v>9731</v>
      </c>
      <c r="Q2231" s="5" t="s">
        <v>9732</v>
      </c>
      <c r="R2231" s="16" t="s">
        <v>634</v>
      </c>
      <c r="S2231" s="15"/>
      <c r="T2231" s="15"/>
      <c r="U2231" s="15"/>
      <c r="V2231" s="15"/>
      <c r="W2231" s="15"/>
      <c r="X2231" s="15"/>
      <c r="Y2231" s="15"/>
      <c r="Z2231" s="15"/>
      <c r="AA2231" s="15"/>
    </row>
    <row r="2232">
      <c r="A2232" s="5" t="s">
        <v>9721</v>
      </c>
      <c r="B2232" s="6" t="s">
        <v>9733</v>
      </c>
      <c r="C2232" s="40" t="s">
        <v>474</v>
      </c>
      <c r="D2232" s="11"/>
      <c r="E2232" s="11" t="s">
        <v>9734</v>
      </c>
      <c r="F2232" s="90">
        <v>1500.0</v>
      </c>
      <c r="G2232" s="285" t="s">
        <v>9735</v>
      </c>
      <c r="H2232" s="11" t="s">
        <v>906</v>
      </c>
      <c r="I2232" s="276">
        <v>9.594966299E9</v>
      </c>
      <c r="J2232" s="11" t="s">
        <v>25</v>
      </c>
      <c r="K2232" s="12" t="s">
        <v>8677</v>
      </c>
      <c r="L2232" s="13"/>
      <c r="M2232" s="11" t="s">
        <v>9736</v>
      </c>
      <c r="N2232" s="5" t="s">
        <v>9737</v>
      </c>
      <c r="O2232" s="5" t="s">
        <v>108</v>
      </c>
      <c r="P2232" s="15"/>
      <c r="Q2232" s="15"/>
      <c r="R2232" s="16" t="s">
        <v>634</v>
      </c>
      <c r="S2232" s="15"/>
      <c r="T2232" s="15"/>
      <c r="U2232" s="15"/>
      <c r="V2232" s="15"/>
      <c r="W2232" s="15"/>
      <c r="X2232" s="15"/>
      <c r="Y2232" s="15"/>
      <c r="Z2232" s="15"/>
      <c r="AA2232" s="15"/>
    </row>
    <row r="2233">
      <c r="A2233" s="5" t="s">
        <v>9721</v>
      </c>
      <c r="B2233" s="6" t="s">
        <v>9738</v>
      </c>
      <c r="C2233" s="287" t="s">
        <v>9739</v>
      </c>
      <c r="D2233" s="11"/>
      <c r="E2233" s="11" t="s">
        <v>4096</v>
      </c>
      <c r="F2233" s="90">
        <v>600.0</v>
      </c>
      <c r="G2233" s="285" t="s">
        <v>9740</v>
      </c>
      <c r="H2233" s="11" t="s">
        <v>9741</v>
      </c>
      <c r="I2233" s="276">
        <v>7.003573767E9</v>
      </c>
      <c r="J2233" s="11" t="s">
        <v>25</v>
      </c>
      <c r="K2233" s="12"/>
      <c r="L2233" s="13"/>
      <c r="M2233" s="11" t="s">
        <v>9742</v>
      </c>
      <c r="N2233" s="5" t="s">
        <v>9743</v>
      </c>
      <c r="O2233" s="5" t="s">
        <v>34</v>
      </c>
      <c r="P2233" s="5" t="s">
        <v>1384</v>
      </c>
      <c r="Q2233" s="5" t="s">
        <v>6261</v>
      </c>
      <c r="R2233" s="16" t="s">
        <v>634</v>
      </c>
      <c r="S2233" s="15"/>
      <c r="T2233" s="15"/>
      <c r="U2233" s="15"/>
      <c r="V2233" s="15"/>
      <c r="W2233" s="15"/>
      <c r="X2233" s="15"/>
      <c r="Y2233" s="15"/>
      <c r="Z2233" s="15"/>
      <c r="AA2233" s="15"/>
    </row>
    <row r="2234">
      <c r="A2234" s="5" t="s">
        <v>9721</v>
      </c>
      <c r="B2234" s="6" t="s">
        <v>9744</v>
      </c>
      <c r="C2234" s="40" t="s">
        <v>9745</v>
      </c>
      <c r="D2234" s="11"/>
      <c r="E2234" s="11" t="s">
        <v>8931</v>
      </c>
      <c r="F2234" s="90">
        <v>5000.0</v>
      </c>
      <c r="G2234" s="285" t="s">
        <v>9746</v>
      </c>
      <c r="H2234" s="11" t="s">
        <v>1919</v>
      </c>
      <c r="I2234" s="276">
        <v>8.788214938E9</v>
      </c>
      <c r="J2234" s="11" t="s">
        <v>25</v>
      </c>
      <c r="K2234" s="12" t="s">
        <v>8677</v>
      </c>
      <c r="L2234" s="13"/>
      <c r="M2234" s="14"/>
      <c r="N2234" s="15"/>
      <c r="O2234" s="5" t="s">
        <v>108</v>
      </c>
      <c r="P2234" s="15"/>
      <c r="Q2234" s="15"/>
      <c r="R2234" s="16" t="s">
        <v>28</v>
      </c>
      <c r="S2234" s="15"/>
      <c r="T2234" s="15"/>
      <c r="U2234" s="15"/>
      <c r="V2234" s="15"/>
      <c r="W2234" s="15"/>
      <c r="X2234" s="15"/>
      <c r="Y2234" s="15"/>
      <c r="Z2234" s="15"/>
      <c r="AA2234" s="15"/>
    </row>
    <row r="2235">
      <c r="A2235" s="5" t="s">
        <v>9721</v>
      </c>
      <c r="B2235" s="6" t="s">
        <v>9747</v>
      </c>
      <c r="C2235" s="40" t="s">
        <v>9748</v>
      </c>
      <c r="D2235" s="11"/>
      <c r="E2235" s="11" t="s">
        <v>130</v>
      </c>
      <c r="F2235" s="90">
        <v>10000.0</v>
      </c>
      <c r="G2235" s="285" t="s">
        <v>9749</v>
      </c>
      <c r="H2235" s="11" t="s">
        <v>906</v>
      </c>
      <c r="I2235" s="276">
        <v>9.892384144E9</v>
      </c>
      <c r="J2235" s="11" t="s">
        <v>25</v>
      </c>
      <c r="K2235" s="12"/>
      <c r="L2235" s="13"/>
      <c r="M2235" s="11" t="s">
        <v>8764</v>
      </c>
      <c r="N2235" s="5" t="s">
        <v>9750</v>
      </c>
      <c r="O2235" s="5" t="s">
        <v>108</v>
      </c>
      <c r="P2235" s="15"/>
      <c r="Q2235" s="15"/>
      <c r="R2235" s="16" t="s">
        <v>634</v>
      </c>
      <c r="S2235" s="15"/>
      <c r="T2235" s="15"/>
      <c r="U2235" s="15"/>
      <c r="V2235" s="15"/>
      <c r="W2235" s="15"/>
      <c r="X2235" s="15"/>
      <c r="Y2235" s="15"/>
      <c r="Z2235" s="15"/>
      <c r="AA2235" s="15"/>
    </row>
    <row r="2236">
      <c r="A2236" s="5" t="s">
        <v>9721</v>
      </c>
      <c r="B2236" s="6" t="s">
        <v>9751</v>
      </c>
      <c r="C2236" s="40" t="s">
        <v>9752</v>
      </c>
      <c r="D2236" s="11"/>
      <c r="E2236" s="11" t="s">
        <v>1018</v>
      </c>
      <c r="F2236" s="90">
        <v>40000.0</v>
      </c>
      <c r="G2236" s="285" t="s">
        <v>9753</v>
      </c>
      <c r="H2236" s="11" t="s">
        <v>4411</v>
      </c>
      <c r="I2236" s="276">
        <v>7.903931916E9</v>
      </c>
      <c r="J2236" s="11" t="s">
        <v>25</v>
      </c>
      <c r="K2236" s="12"/>
      <c r="L2236" s="13"/>
      <c r="M2236" s="14"/>
      <c r="N2236" s="15"/>
      <c r="O2236" s="5" t="s">
        <v>26</v>
      </c>
      <c r="P2236" s="15"/>
      <c r="Q2236" s="15"/>
      <c r="R2236" s="16" t="s">
        <v>28</v>
      </c>
      <c r="S2236" s="15"/>
      <c r="T2236" s="15"/>
      <c r="U2236" s="15"/>
      <c r="V2236" s="15"/>
      <c r="W2236" s="15"/>
      <c r="X2236" s="15"/>
      <c r="Y2236" s="15"/>
      <c r="Z2236" s="15"/>
      <c r="AA2236" s="15"/>
    </row>
    <row r="2237">
      <c r="A2237" s="5" t="s">
        <v>9754</v>
      </c>
      <c r="B2237" s="6" t="s">
        <v>9755</v>
      </c>
      <c r="C2237" s="40" t="s">
        <v>9756</v>
      </c>
      <c r="D2237" s="11"/>
      <c r="E2237" s="11">
        <v>2000.0</v>
      </c>
      <c r="F2237" s="90">
        <v>1000.0</v>
      </c>
      <c r="G2237" s="285" t="s">
        <v>9757</v>
      </c>
      <c r="H2237" s="11" t="s">
        <v>9758</v>
      </c>
      <c r="I2237" s="276">
        <v>9.163938047E9</v>
      </c>
      <c r="J2237" s="11" t="s">
        <v>25</v>
      </c>
      <c r="K2237" s="288" t="s">
        <v>9759</v>
      </c>
      <c r="L2237" s="13"/>
      <c r="M2237" s="11" t="s">
        <v>9760</v>
      </c>
      <c r="N2237" s="5" t="s">
        <v>9761</v>
      </c>
      <c r="O2237" s="5" t="s">
        <v>34</v>
      </c>
      <c r="P2237" s="5" t="s">
        <v>727</v>
      </c>
      <c r="Q2237" s="15"/>
      <c r="R2237" s="16" t="s">
        <v>634</v>
      </c>
      <c r="S2237" s="15"/>
      <c r="T2237" s="15"/>
      <c r="U2237" s="15"/>
      <c r="V2237" s="15"/>
      <c r="W2237" s="15"/>
      <c r="X2237" s="15"/>
      <c r="Y2237" s="15"/>
      <c r="Z2237" s="15"/>
      <c r="AA2237" s="15"/>
    </row>
    <row r="2238">
      <c r="A2238" s="5" t="s">
        <v>9754</v>
      </c>
      <c r="B2238" s="6" t="s">
        <v>9762</v>
      </c>
      <c r="C2238" s="40" t="s">
        <v>9763</v>
      </c>
      <c r="D2238" s="11"/>
      <c r="E2238" s="11" t="s">
        <v>9764</v>
      </c>
      <c r="F2238" s="90">
        <v>200.0</v>
      </c>
      <c r="G2238" s="285" t="s">
        <v>9765</v>
      </c>
      <c r="H2238" s="11" t="s">
        <v>9766</v>
      </c>
      <c r="I2238" s="276">
        <v>9.820627474E9</v>
      </c>
      <c r="J2238" s="11" t="s">
        <v>25</v>
      </c>
      <c r="K2238" s="12" t="s">
        <v>8677</v>
      </c>
      <c r="L2238" s="13"/>
      <c r="M2238" s="14"/>
      <c r="N2238" s="15"/>
      <c r="O2238" s="5" t="s">
        <v>108</v>
      </c>
      <c r="P2238" s="15"/>
      <c r="Q2238" s="15"/>
      <c r="R2238" s="16" t="s">
        <v>28</v>
      </c>
      <c r="S2238" s="15"/>
      <c r="T2238" s="15"/>
      <c r="U2238" s="15"/>
      <c r="V2238" s="15"/>
      <c r="W2238" s="15"/>
      <c r="X2238" s="15"/>
      <c r="Y2238" s="15"/>
      <c r="Z2238" s="15"/>
      <c r="AA2238" s="15"/>
    </row>
    <row r="2239">
      <c r="A2239" s="5" t="s">
        <v>9754</v>
      </c>
      <c r="B2239" s="6" t="s">
        <v>9767</v>
      </c>
      <c r="C2239" s="62" t="s">
        <v>9768</v>
      </c>
      <c r="D2239" s="11"/>
      <c r="E2239" s="11" t="s">
        <v>9764</v>
      </c>
      <c r="F2239" s="90"/>
      <c r="G2239" s="285" t="s">
        <v>9769</v>
      </c>
      <c r="H2239" s="11" t="s">
        <v>2026</v>
      </c>
      <c r="I2239" s="276">
        <v>8.769241989E9</v>
      </c>
      <c r="J2239" s="11" t="s">
        <v>25</v>
      </c>
      <c r="K2239" s="12" t="s">
        <v>8677</v>
      </c>
      <c r="L2239" s="13"/>
      <c r="M2239" s="14"/>
      <c r="N2239" s="15"/>
      <c r="O2239" s="5" t="s">
        <v>26</v>
      </c>
      <c r="P2239" s="15"/>
      <c r="Q2239" s="15"/>
      <c r="R2239" s="16" t="s">
        <v>28</v>
      </c>
      <c r="S2239" s="15"/>
      <c r="T2239" s="15"/>
      <c r="U2239" s="15"/>
      <c r="V2239" s="15"/>
      <c r="W2239" s="15"/>
      <c r="X2239" s="15"/>
      <c r="Y2239" s="15"/>
      <c r="Z2239" s="15"/>
      <c r="AA2239" s="15"/>
    </row>
    <row r="2240">
      <c r="A2240" s="5" t="s">
        <v>9754</v>
      </c>
      <c r="B2240" s="6" t="s">
        <v>9770</v>
      </c>
      <c r="C2240" s="40" t="s">
        <v>9771</v>
      </c>
      <c r="D2240" s="11"/>
      <c r="E2240" s="11" t="s">
        <v>9332</v>
      </c>
      <c r="F2240" s="90">
        <v>500.0</v>
      </c>
      <c r="G2240" s="285"/>
      <c r="H2240" s="11" t="s">
        <v>906</v>
      </c>
      <c r="I2240" s="276">
        <v>9.152061162E9</v>
      </c>
      <c r="J2240" s="11" t="s">
        <v>9772</v>
      </c>
      <c r="K2240" s="12" t="s">
        <v>8677</v>
      </c>
      <c r="L2240" s="13"/>
      <c r="M2240" s="14"/>
      <c r="N2240" s="15"/>
      <c r="O2240" s="5" t="s">
        <v>108</v>
      </c>
      <c r="P2240" s="15"/>
      <c r="Q2240" s="15"/>
      <c r="R2240" s="16" t="s">
        <v>28</v>
      </c>
      <c r="S2240" s="15"/>
      <c r="T2240" s="15"/>
      <c r="U2240" s="15"/>
      <c r="V2240" s="15"/>
      <c r="W2240" s="15"/>
      <c r="X2240" s="15"/>
      <c r="Y2240" s="15"/>
      <c r="Z2240" s="15"/>
      <c r="AA2240" s="15"/>
    </row>
    <row r="2241">
      <c r="A2241" s="5" t="s">
        <v>9754</v>
      </c>
      <c r="B2241" s="6" t="s">
        <v>9773</v>
      </c>
      <c r="C2241" s="40" t="s">
        <v>9774</v>
      </c>
      <c r="D2241" s="11"/>
      <c r="E2241" s="11" t="s">
        <v>152</v>
      </c>
      <c r="F2241" s="90">
        <v>500.0</v>
      </c>
      <c r="G2241" s="285" t="s">
        <v>9775</v>
      </c>
      <c r="H2241" s="11" t="s">
        <v>99</v>
      </c>
      <c r="I2241" s="276">
        <v>9.437296239E9</v>
      </c>
      <c r="J2241" s="11" t="s">
        <v>25</v>
      </c>
      <c r="K2241" s="12" t="s">
        <v>2980</v>
      </c>
      <c r="L2241" s="13"/>
      <c r="M2241" s="11" t="s">
        <v>9776</v>
      </c>
      <c r="N2241" s="5" t="s">
        <v>9777</v>
      </c>
      <c r="O2241" s="5" t="s">
        <v>26</v>
      </c>
      <c r="P2241" s="5" t="s">
        <v>9778</v>
      </c>
      <c r="Q2241" s="15"/>
      <c r="R2241" s="16" t="s">
        <v>634</v>
      </c>
      <c r="S2241" s="15"/>
      <c r="T2241" s="15"/>
      <c r="U2241" s="15"/>
      <c r="V2241" s="15"/>
      <c r="W2241" s="15"/>
      <c r="X2241" s="15"/>
      <c r="Y2241" s="15"/>
      <c r="Z2241" s="15"/>
      <c r="AA2241" s="15"/>
    </row>
    <row r="2242">
      <c r="A2242" s="5" t="s">
        <v>9754</v>
      </c>
      <c r="B2242" s="6" t="s">
        <v>9779</v>
      </c>
      <c r="C2242" s="62" t="s">
        <v>9780</v>
      </c>
      <c r="D2242" s="11"/>
      <c r="E2242" s="11" t="s">
        <v>207</v>
      </c>
      <c r="F2242" s="90">
        <v>3000.0</v>
      </c>
      <c r="G2242" s="285" t="s">
        <v>9781</v>
      </c>
      <c r="H2242" s="11" t="s">
        <v>278</v>
      </c>
      <c r="I2242" s="276">
        <v>9.064097415E9</v>
      </c>
      <c r="J2242" s="11" t="s">
        <v>25</v>
      </c>
      <c r="K2242" s="12"/>
      <c r="L2242" s="13"/>
      <c r="M2242" s="11" t="s">
        <v>8348</v>
      </c>
      <c r="N2242" s="5" t="s">
        <v>9782</v>
      </c>
      <c r="O2242" s="5" t="s">
        <v>34</v>
      </c>
      <c r="P2242" s="5" t="s">
        <v>1384</v>
      </c>
      <c r="Q2242" s="5" t="s">
        <v>727</v>
      </c>
      <c r="R2242" s="16" t="s">
        <v>634</v>
      </c>
      <c r="S2242" s="15"/>
      <c r="T2242" s="15"/>
      <c r="U2242" s="15"/>
      <c r="V2242" s="15"/>
      <c r="W2242" s="15"/>
      <c r="X2242" s="15"/>
      <c r="Y2242" s="15"/>
      <c r="Z2242" s="15"/>
      <c r="AA2242" s="15"/>
    </row>
    <row r="2243">
      <c r="A2243" s="5" t="s">
        <v>9754</v>
      </c>
      <c r="B2243" s="6" t="s">
        <v>9783</v>
      </c>
      <c r="C2243" s="40" t="s">
        <v>9784</v>
      </c>
      <c r="D2243" s="11"/>
      <c r="E2243" s="11" t="s">
        <v>5309</v>
      </c>
      <c r="F2243" s="90">
        <v>5000.0</v>
      </c>
      <c r="G2243" s="285" t="s">
        <v>9785</v>
      </c>
      <c r="H2243" s="11" t="s">
        <v>1337</v>
      </c>
      <c r="I2243" s="276">
        <v>6.299923507E9</v>
      </c>
      <c r="J2243" s="11" t="s">
        <v>25</v>
      </c>
      <c r="K2243" s="12" t="s">
        <v>9586</v>
      </c>
      <c r="L2243" s="13"/>
      <c r="M2243" s="11" t="s">
        <v>9587</v>
      </c>
      <c r="N2243" s="5" t="s">
        <v>9786</v>
      </c>
      <c r="O2243" s="5" t="s">
        <v>108</v>
      </c>
      <c r="P2243" s="15"/>
      <c r="Q2243" s="15"/>
      <c r="R2243" s="16" t="s">
        <v>634</v>
      </c>
      <c r="S2243" s="15"/>
      <c r="T2243" s="15"/>
      <c r="U2243" s="15"/>
      <c r="V2243" s="15"/>
      <c r="W2243" s="15"/>
      <c r="X2243" s="15"/>
      <c r="Y2243" s="15"/>
      <c r="Z2243" s="15"/>
      <c r="AA2243" s="15"/>
    </row>
    <row r="2244">
      <c r="A2244" s="5" t="s">
        <v>9787</v>
      </c>
      <c r="B2244" s="6" t="s">
        <v>9788</v>
      </c>
      <c r="C2244" s="40" t="s">
        <v>9789</v>
      </c>
      <c r="D2244" s="11"/>
      <c r="E2244" s="11" t="s">
        <v>9790</v>
      </c>
      <c r="F2244" s="90">
        <v>3000.0</v>
      </c>
      <c r="G2244" s="285" t="s">
        <v>9791</v>
      </c>
      <c r="H2244" s="11" t="s">
        <v>9792</v>
      </c>
      <c r="I2244" s="276">
        <v>9.978977086E9</v>
      </c>
      <c r="J2244" s="11" t="s">
        <v>25</v>
      </c>
      <c r="K2244" s="12" t="s">
        <v>8677</v>
      </c>
      <c r="L2244" s="13"/>
      <c r="M2244" s="14"/>
      <c r="N2244" s="15"/>
      <c r="O2244" s="5" t="s">
        <v>108</v>
      </c>
      <c r="P2244" s="15"/>
      <c r="Q2244" s="15"/>
      <c r="R2244" s="16" t="s">
        <v>28</v>
      </c>
      <c r="S2244" s="15"/>
      <c r="T2244" s="15"/>
      <c r="U2244" s="15"/>
      <c r="V2244" s="15"/>
      <c r="W2244" s="15"/>
      <c r="X2244" s="15"/>
      <c r="Y2244" s="15"/>
      <c r="Z2244" s="15"/>
      <c r="AA2244" s="15"/>
    </row>
    <row r="2245">
      <c r="A2245" s="5" t="s">
        <v>9787</v>
      </c>
      <c r="B2245" s="6" t="s">
        <v>9793</v>
      </c>
      <c r="C2245" s="40" t="s">
        <v>9794</v>
      </c>
      <c r="D2245" s="11"/>
      <c r="E2245" s="11" t="s">
        <v>9050</v>
      </c>
      <c r="F2245" s="90">
        <v>100.0</v>
      </c>
      <c r="G2245" s="285" t="s">
        <v>9795</v>
      </c>
      <c r="H2245" s="11" t="s">
        <v>44</v>
      </c>
      <c r="I2245" s="276">
        <v>8.250918574E9</v>
      </c>
      <c r="J2245" s="11" t="s">
        <v>4008</v>
      </c>
      <c r="K2245" s="12" t="s">
        <v>8677</v>
      </c>
      <c r="L2245" s="13"/>
      <c r="M2245" s="14"/>
      <c r="N2245" s="15"/>
      <c r="O2245" s="5" t="s">
        <v>26</v>
      </c>
      <c r="P2245" s="15"/>
      <c r="Q2245" s="15"/>
      <c r="R2245" s="16" t="s">
        <v>28</v>
      </c>
      <c r="S2245" s="15"/>
      <c r="T2245" s="15"/>
      <c r="U2245" s="15"/>
      <c r="V2245" s="15"/>
      <c r="W2245" s="15"/>
      <c r="X2245" s="15"/>
      <c r="Y2245" s="15"/>
      <c r="Z2245" s="15"/>
      <c r="AA2245" s="15"/>
    </row>
    <row r="2246">
      <c r="A2246" s="5" t="s">
        <v>9787</v>
      </c>
      <c r="B2246" s="6" t="s">
        <v>9796</v>
      </c>
      <c r="C2246" s="40" t="s">
        <v>9797</v>
      </c>
      <c r="D2246" s="11"/>
      <c r="E2246" s="11" t="s">
        <v>2429</v>
      </c>
      <c r="F2246" s="90">
        <v>21000.0</v>
      </c>
      <c r="G2246" s="285" t="s">
        <v>9798</v>
      </c>
      <c r="H2246" s="11" t="s">
        <v>44</v>
      </c>
      <c r="I2246" s="276">
        <v>7.980288586E9</v>
      </c>
      <c r="J2246" s="11" t="s">
        <v>25</v>
      </c>
      <c r="K2246" s="12" t="s">
        <v>9799</v>
      </c>
      <c r="L2246" s="13"/>
      <c r="M2246" s="11" t="s">
        <v>9800</v>
      </c>
      <c r="N2246" s="5" t="s">
        <v>9801</v>
      </c>
      <c r="O2246" s="5" t="s">
        <v>34</v>
      </c>
      <c r="P2246" s="5" t="s">
        <v>55</v>
      </c>
      <c r="Q2246" s="15"/>
      <c r="R2246" s="16" t="s">
        <v>723</v>
      </c>
      <c r="S2246" s="15"/>
      <c r="T2246" s="15"/>
      <c r="U2246" s="15"/>
      <c r="V2246" s="15"/>
      <c r="W2246" s="15"/>
      <c r="X2246" s="15"/>
      <c r="Y2246" s="15"/>
      <c r="Z2246" s="15"/>
      <c r="AA2246" s="15"/>
    </row>
    <row r="2247">
      <c r="A2247" s="5" t="s">
        <v>9787</v>
      </c>
      <c r="B2247" s="6" t="s">
        <v>9802</v>
      </c>
      <c r="C2247" s="287" t="s">
        <v>9803</v>
      </c>
      <c r="D2247" s="11"/>
      <c r="E2247" s="11" t="s">
        <v>47</v>
      </c>
      <c r="F2247" s="90">
        <v>2500.0</v>
      </c>
      <c r="G2247" s="289" t="s">
        <v>9804</v>
      </c>
      <c r="H2247" s="11" t="s">
        <v>472</v>
      </c>
      <c r="I2247" s="276">
        <v>7.550172081E9</v>
      </c>
      <c r="J2247" s="11" t="s">
        <v>25</v>
      </c>
      <c r="K2247" s="12"/>
      <c r="L2247" s="13"/>
      <c r="M2247" s="11" t="s">
        <v>9805</v>
      </c>
      <c r="N2247" s="5" t="s">
        <v>9806</v>
      </c>
      <c r="O2247" s="5" t="s">
        <v>34</v>
      </c>
      <c r="P2247" s="5" t="s">
        <v>8466</v>
      </c>
      <c r="Q2247" s="5" t="s">
        <v>6261</v>
      </c>
      <c r="R2247" s="16" t="s">
        <v>248</v>
      </c>
      <c r="S2247" s="15"/>
      <c r="T2247" s="15"/>
      <c r="U2247" s="15"/>
      <c r="V2247" s="15"/>
      <c r="W2247" s="15"/>
      <c r="X2247" s="15"/>
      <c r="Y2247" s="15"/>
      <c r="Z2247" s="15"/>
      <c r="AA2247" s="15"/>
    </row>
    <row r="2248">
      <c r="A2248" s="5" t="s">
        <v>9787</v>
      </c>
      <c r="B2248" s="6" t="s">
        <v>9807</v>
      </c>
      <c r="C2248" s="40" t="s">
        <v>9808</v>
      </c>
      <c r="D2248" s="11"/>
      <c r="E2248" s="11" t="s">
        <v>9809</v>
      </c>
      <c r="F2248" s="90">
        <v>160.0</v>
      </c>
      <c r="G2248" s="285" t="s">
        <v>9810</v>
      </c>
      <c r="H2248" s="11" t="s">
        <v>2682</v>
      </c>
      <c r="I2248" s="276">
        <v>9.994474782E9</v>
      </c>
      <c r="J2248" s="11" t="s">
        <v>25</v>
      </c>
      <c r="K2248" s="12"/>
      <c r="L2248" s="13"/>
      <c r="M2248" s="14"/>
      <c r="N2248" s="15"/>
      <c r="O2248" s="5" t="s">
        <v>108</v>
      </c>
      <c r="P2248" s="15"/>
      <c r="Q2248" s="15"/>
      <c r="R2248" s="16" t="s">
        <v>28</v>
      </c>
      <c r="S2248" s="15"/>
      <c r="T2248" s="15"/>
      <c r="U2248" s="15"/>
      <c r="V2248" s="15"/>
      <c r="W2248" s="15"/>
      <c r="X2248" s="15"/>
      <c r="Y2248" s="15"/>
      <c r="Z2248" s="15"/>
      <c r="AA2248" s="15"/>
    </row>
    <row r="2249">
      <c r="A2249" s="5" t="s">
        <v>9787</v>
      </c>
      <c r="B2249" s="6" t="s">
        <v>9811</v>
      </c>
      <c r="C2249" s="62" t="s">
        <v>9812</v>
      </c>
      <c r="D2249" s="11"/>
      <c r="E2249" s="11" t="s">
        <v>178</v>
      </c>
      <c r="F2249" s="90">
        <v>5000.0</v>
      </c>
      <c r="G2249" s="285" t="s">
        <v>9813</v>
      </c>
      <c r="H2249" s="11" t="s">
        <v>1082</v>
      </c>
      <c r="I2249" s="276">
        <v>9.874132262E9</v>
      </c>
      <c r="J2249" s="11" t="s">
        <v>9814</v>
      </c>
      <c r="K2249" s="12" t="s">
        <v>9815</v>
      </c>
      <c r="L2249" s="13"/>
      <c r="M2249" s="11" t="s">
        <v>9816</v>
      </c>
      <c r="N2249" s="5" t="s">
        <v>9817</v>
      </c>
      <c r="O2249" s="5" t="s">
        <v>26</v>
      </c>
      <c r="P2249" s="5" t="s">
        <v>9818</v>
      </c>
      <c r="Q2249" s="5" t="s">
        <v>9206</v>
      </c>
      <c r="R2249" s="16" t="s">
        <v>634</v>
      </c>
      <c r="S2249" s="15"/>
      <c r="T2249" s="15"/>
      <c r="U2249" s="15"/>
      <c r="V2249" s="15"/>
      <c r="W2249" s="15"/>
      <c r="X2249" s="15"/>
      <c r="Y2249" s="15"/>
      <c r="Z2249" s="15"/>
      <c r="AA2249" s="15"/>
    </row>
    <row r="2250">
      <c r="A2250" s="5" t="s">
        <v>9787</v>
      </c>
      <c r="B2250" s="6" t="s">
        <v>9819</v>
      </c>
      <c r="C2250" s="62" t="s">
        <v>9820</v>
      </c>
      <c r="D2250" s="11"/>
      <c r="E2250" s="11" t="s">
        <v>2007</v>
      </c>
      <c r="F2250" s="90">
        <v>10000.0</v>
      </c>
      <c r="G2250" s="285" t="s">
        <v>9821</v>
      </c>
      <c r="H2250" s="11" t="s">
        <v>44</v>
      </c>
      <c r="I2250" s="276">
        <v>7.980360513E9</v>
      </c>
      <c r="J2250" s="11" t="s">
        <v>9814</v>
      </c>
      <c r="K2250" s="12" t="s">
        <v>9822</v>
      </c>
      <c r="L2250" s="13"/>
      <c r="M2250" s="11" t="s">
        <v>9823</v>
      </c>
      <c r="N2250" s="5" t="s">
        <v>9824</v>
      </c>
      <c r="O2250" s="5" t="s">
        <v>26</v>
      </c>
      <c r="P2250" s="5" t="s">
        <v>9825</v>
      </c>
      <c r="Q2250" s="15"/>
      <c r="R2250" s="16" t="s">
        <v>634</v>
      </c>
      <c r="S2250" s="15"/>
      <c r="T2250" s="15"/>
      <c r="U2250" s="15"/>
      <c r="V2250" s="15"/>
      <c r="W2250" s="15"/>
      <c r="X2250" s="15"/>
      <c r="Y2250" s="15"/>
      <c r="Z2250" s="15"/>
      <c r="AA2250" s="15"/>
    </row>
    <row r="2251">
      <c r="A2251" s="5" t="s">
        <v>9787</v>
      </c>
      <c r="B2251" s="6" t="s">
        <v>9826</v>
      </c>
      <c r="C2251" s="40" t="s">
        <v>9827</v>
      </c>
      <c r="D2251" s="11"/>
      <c r="E2251" s="11" t="s">
        <v>872</v>
      </c>
      <c r="F2251" s="90">
        <v>500.0</v>
      </c>
      <c r="G2251" s="285" t="s">
        <v>9828</v>
      </c>
      <c r="H2251" s="11" t="s">
        <v>2662</v>
      </c>
      <c r="I2251" s="276">
        <v>9.944722219E9</v>
      </c>
      <c r="J2251" s="11" t="s">
        <v>9814</v>
      </c>
      <c r="K2251" s="12" t="s">
        <v>8677</v>
      </c>
      <c r="L2251" s="13"/>
      <c r="M2251" s="14"/>
      <c r="N2251" s="15"/>
      <c r="O2251" s="5" t="s">
        <v>108</v>
      </c>
      <c r="P2251" s="15"/>
      <c r="Q2251" s="15"/>
      <c r="R2251" s="16" t="s">
        <v>28</v>
      </c>
      <c r="S2251" s="15"/>
      <c r="T2251" s="15"/>
      <c r="U2251" s="15"/>
      <c r="V2251" s="15"/>
      <c r="W2251" s="15"/>
      <c r="X2251" s="15"/>
      <c r="Y2251" s="15"/>
      <c r="Z2251" s="15"/>
      <c r="AA2251" s="15"/>
    </row>
    <row r="2252">
      <c r="A2252" s="5" t="s">
        <v>9787</v>
      </c>
      <c r="B2252" s="6" t="s">
        <v>9829</v>
      </c>
      <c r="C2252" s="40" t="s">
        <v>9830</v>
      </c>
      <c r="D2252" s="11"/>
      <c r="E2252" s="11" t="s">
        <v>1280</v>
      </c>
      <c r="F2252" s="90">
        <v>540.0</v>
      </c>
      <c r="G2252" s="285" t="s">
        <v>9831</v>
      </c>
      <c r="H2252" s="11" t="s">
        <v>9832</v>
      </c>
      <c r="I2252" s="276">
        <v>9.869280503E9</v>
      </c>
      <c r="J2252" s="11" t="s">
        <v>9814</v>
      </c>
      <c r="K2252" s="12"/>
      <c r="L2252" s="13"/>
      <c r="M2252" s="14"/>
      <c r="N2252" s="15"/>
      <c r="O2252" s="5" t="s">
        <v>108</v>
      </c>
      <c r="P2252" s="15"/>
      <c r="Q2252" s="15"/>
      <c r="R2252" s="16" t="s">
        <v>28</v>
      </c>
      <c r="S2252" s="15"/>
      <c r="T2252" s="15"/>
      <c r="U2252" s="15"/>
      <c r="V2252" s="15"/>
      <c r="W2252" s="15"/>
      <c r="X2252" s="15"/>
      <c r="Y2252" s="15"/>
      <c r="Z2252" s="15"/>
      <c r="AA2252" s="15"/>
    </row>
    <row r="2253">
      <c r="A2253" s="5" t="s">
        <v>9787</v>
      </c>
      <c r="B2253" s="6" t="s">
        <v>9833</v>
      </c>
      <c r="C2253" s="40" t="s">
        <v>9834</v>
      </c>
      <c r="D2253" s="11"/>
      <c r="E2253" s="11" t="s">
        <v>2554</v>
      </c>
      <c r="F2253" s="90">
        <v>6000.0</v>
      </c>
      <c r="G2253" s="285" t="s">
        <v>9835</v>
      </c>
      <c r="H2253" s="11" t="s">
        <v>44</v>
      </c>
      <c r="I2253" s="276">
        <v>9.230044244E9</v>
      </c>
      <c r="J2253" s="11" t="s">
        <v>9814</v>
      </c>
      <c r="K2253" s="12" t="s">
        <v>9836</v>
      </c>
      <c r="L2253" s="13"/>
      <c r="M2253" s="11" t="s">
        <v>9837</v>
      </c>
      <c r="N2253" s="5" t="s">
        <v>9838</v>
      </c>
      <c r="O2253" s="5" t="s">
        <v>34</v>
      </c>
      <c r="P2253" s="11" t="s">
        <v>9839</v>
      </c>
      <c r="Q2253" s="15"/>
      <c r="R2253" s="16" t="s">
        <v>723</v>
      </c>
      <c r="S2253" s="15"/>
      <c r="T2253" s="15"/>
      <c r="U2253" s="15"/>
      <c r="V2253" s="15"/>
      <c r="W2253" s="15"/>
      <c r="X2253" s="15"/>
      <c r="Y2253" s="15"/>
      <c r="Z2253" s="15"/>
      <c r="AA2253" s="15"/>
    </row>
    <row r="2254">
      <c r="A2254" s="5" t="s">
        <v>9840</v>
      </c>
      <c r="B2254" s="6" t="s">
        <v>9841</v>
      </c>
      <c r="C2254" s="40" t="s">
        <v>9842</v>
      </c>
      <c r="D2254" s="11"/>
      <c r="E2254" s="11" t="s">
        <v>9843</v>
      </c>
      <c r="F2254" s="90">
        <v>10000.0</v>
      </c>
      <c r="G2254" s="285" t="s">
        <v>9844</v>
      </c>
      <c r="H2254" s="11" t="s">
        <v>9266</v>
      </c>
      <c r="I2254" s="276">
        <v>9.495313211E9</v>
      </c>
      <c r="J2254" s="11" t="s">
        <v>9814</v>
      </c>
      <c r="K2254" s="12" t="s">
        <v>8677</v>
      </c>
      <c r="L2254" s="13"/>
      <c r="M2254" s="14"/>
      <c r="N2254" s="15"/>
      <c r="O2254" s="5" t="s">
        <v>108</v>
      </c>
      <c r="P2254" s="15"/>
      <c r="Q2254" s="15"/>
      <c r="R2254" s="16" t="s">
        <v>28</v>
      </c>
      <c r="S2254" s="15"/>
      <c r="T2254" s="15"/>
      <c r="U2254" s="15"/>
      <c r="V2254" s="15"/>
      <c r="W2254" s="15"/>
      <c r="X2254" s="15"/>
      <c r="Y2254" s="15"/>
      <c r="Z2254" s="15"/>
      <c r="AA2254" s="15"/>
    </row>
    <row r="2255">
      <c r="A2255" s="5" t="s">
        <v>9840</v>
      </c>
      <c r="B2255" s="6" t="s">
        <v>9845</v>
      </c>
      <c r="C2255" s="40" t="s">
        <v>9846</v>
      </c>
      <c r="D2255" s="11"/>
      <c r="E2255" s="11" t="s">
        <v>240</v>
      </c>
      <c r="F2255" s="90">
        <v>5000.0</v>
      </c>
      <c r="G2255" s="285" t="s">
        <v>9847</v>
      </c>
      <c r="H2255" s="11" t="s">
        <v>2662</v>
      </c>
      <c r="I2255" s="276">
        <v>9.894266606E9</v>
      </c>
      <c r="J2255" s="11" t="s">
        <v>9814</v>
      </c>
      <c r="K2255" s="12"/>
      <c r="L2255" s="13"/>
      <c r="M2255" s="11" t="s">
        <v>9848</v>
      </c>
      <c r="N2255" s="5" t="s">
        <v>9849</v>
      </c>
      <c r="O2255" s="5" t="s">
        <v>34</v>
      </c>
      <c r="P2255" s="5" t="s">
        <v>9850</v>
      </c>
      <c r="Q2255" s="5" t="s">
        <v>9851</v>
      </c>
      <c r="R2255" s="16" t="s">
        <v>634</v>
      </c>
      <c r="S2255" s="15"/>
      <c r="T2255" s="15"/>
      <c r="U2255" s="15"/>
      <c r="V2255" s="15"/>
      <c r="W2255" s="15"/>
      <c r="X2255" s="15"/>
      <c r="Y2255" s="15"/>
      <c r="Z2255" s="15"/>
      <c r="AA2255" s="15"/>
    </row>
    <row r="2256">
      <c r="A2256" s="5" t="s">
        <v>9840</v>
      </c>
      <c r="B2256" s="6" t="s">
        <v>9852</v>
      </c>
      <c r="C2256" s="40" t="s">
        <v>9853</v>
      </c>
      <c r="D2256" s="11"/>
      <c r="E2256" s="11" t="s">
        <v>207</v>
      </c>
      <c r="F2256" s="90">
        <v>1000.0</v>
      </c>
      <c r="G2256" s="285" t="s">
        <v>9854</v>
      </c>
      <c r="H2256" s="11" t="s">
        <v>44</v>
      </c>
      <c r="I2256" s="276">
        <v>9.748349878E9</v>
      </c>
      <c r="J2256" s="11" t="s">
        <v>9814</v>
      </c>
      <c r="K2256" s="12">
        <v>11.0</v>
      </c>
      <c r="L2256" s="13"/>
      <c r="M2256" s="11" t="s">
        <v>9445</v>
      </c>
      <c r="N2256" s="5" t="s">
        <v>9855</v>
      </c>
      <c r="O2256" s="5" t="s">
        <v>26</v>
      </c>
      <c r="P2256" s="265" t="s">
        <v>8466</v>
      </c>
      <c r="Q2256" s="5" t="s">
        <v>453</v>
      </c>
      <c r="R2256" s="16" t="s">
        <v>634</v>
      </c>
      <c r="S2256" s="15"/>
      <c r="T2256" s="15"/>
      <c r="U2256" s="15"/>
      <c r="V2256" s="15"/>
      <c r="W2256" s="15"/>
      <c r="X2256" s="15"/>
      <c r="Y2256" s="15"/>
      <c r="Z2256" s="15"/>
      <c r="AA2256" s="15"/>
    </row>
    <row r="2257">
      <c r="A2257" s="5" t="s">
        <v>9840</v>
      </c>
      <c r="B2257" s="6" t="s">
        <v>9856</v>
      </c>
      <c r="C2257" s="40" t="s">
        <v>9857</v>
      </c>
      <c r="D2257" s="11"/>
      <c r="E2257" s="11" t="s">
        <v>130</v>
      </c>
      <c r="F2257" s="90">
        <v>20000.0</v>
      </c>
      <c r="G2257" s="285" t="s">
        <v>9858</v>
      </c>
      <c r="H2257" s="11" t="s">
        <v>519</v>
      </c>
      <c r="I2257" s="276">
        <v>9.825454777E9</v>
      </c>
      <c r="J2257" s="11" t="s">
        <v>9814</v>
      </c>
      <c r="K2257" s="12" t="s">
        <v>8677</v>
      </c>
      <c r="L2257" s="13"/>
      <c r="M2257" s="11" t="s">
        <v>9859</v>
      </c>
      <c r="N2257" s="15"/>
      <c r="O2257" s="5" t="s">
        <v>108</v>
      </c>
      <c r="P2257" s="15"/>
      <c r="Q2257" s="15"/>
      <c r="R2257" s="16" t="s">
        <v>28</v>
      </c>
      <c r="S2257" s="15"/>
      <c r="T2257" s="15"/>
      <c r="U2257" s="15"/>
      <c r="V2257" s="15"/>
      <c r="W2257" s="15"/>
      <c r="X2257" s="15"/>
      <c r="Y2257" s="15"/>
      <c r="Z2257" s="15"/>
      <c r="AA2257" s="15"/>
    </row>
    <row r="2258">
      <c r="A2258" s="5" t="s">
        <v>9840</v>
      </c>
      <c r="B2258" s="6" t="s">
        <v>9860</v>
      </c>
      <c r="C2258" s="40" t="s">
        <v>9861</v>
      </c>
      <c r="D2258" s="11"/>
      <c r="E2258" s="11" t="s">
        <v>9862</v>
      </c>
      <c r="F2258" s="90">
        <v>3000.0</v>
      </c>
      <c r="G2258" s="285" t="s">
        <v>9863</v>
      </c>
      <c r="H2258" s="11" t="s">
        <v>44</v>
      </c>
      <c r="I2258" s="276">
        <v>9.732202888E9</v>
      </c>
      <c r="J2258" s="11" t="s">
        <v>9814</v>
      </c>
      <c r="K2258" s="12" t="s">
        <v>8677</v>
      </c>
      <c r="L2258" s="13"/>
      <c r="M2258" s="14"/>
      <c r="N2258" s="15"/>
      <c r="O2258" s="5" t="s">
        <v>34</v>
      </c>
      <c r="P2258" s="15"/>
      <c r="Q2258" s="15"/>
      <c r="R2258" s="16" t="s">
        <v>28</v>
      </c>
      <c r="S2258" s="15"/>
      <c r="T2258" s="15"/>
      <c r="U2258" s="15"/>
      <c r="V2258" s="15"/>
      <c r="W2258" s="15"/>
      <c r="X2258" s="15"/>
      <c r="Y2258" s="15"/>
      <c r="Z2258" s="15"/>
      <c r="AA2258" s="15"/>
    </row>
    <row r="2259">
      <c r="A2259" s="5" t="s">
        <v>9840</v>
      </c>
      <c r="B2259" s="6" t="s">
        <v>9864</v>
      </c>
      <c r="C2259" s="40" t="s">
        <v>9865</v>
      </c>
      <c r="D2259" s="11"/>
      <c r="E2259" s="11" t="s">
        <v>1550</v>
      </c>
      <c r="F2259" s="90">
        <v>250.0</v>
      </c>
      <c r="G2259" s="285" t="s">
        <v>9866</v>
      </c>
      <c r="H2259" s="11" t="s">
        <v>44</v>
      </c>
      <c r="I2259" s="276">
        <v>9.83031547E9</v>
      </c>
      <c r="J2259" s="11" t="s">
        <v>9814</v>
      </c>
      <c r="K2259" s="288" t="s">
        <v>9867</v>
      </c>
      <c r="L2259" s="13"/>
      <c r="M2259" s="11" t="s">
        <v>9868</v>
      </c>
      <c r="N2259" s="5" t="s">
        <v>9869</v>
      </c>
      <c r="O2259" s="5" t="s">
        <v>34</v>
      </c>
      <c r="P2259" s="5" t="s">
        <v>1668</v>
      </c>
      <c r="Q2259" s="15"/>
      <c r="R2259" s="16" t="s">
        <v>634</v>
      </c>
      <c r="S2259" s="15"/>
      <c r="T2259" s="15"/>
      <c r="U2259" s="15"/>
      <c r="V2259" s="15"/>
      <c r="W2259" s="15"/>
      <c r="X2259" s="15"/>
      <c r="Y2259" s="15"/>
      <c r="Z2259" s="15"/>
      <c r="AA2259" s="15"/>
    </row>
    <row r="2260">
      <c r="A2260" s="5" t="s">
        <v>9870</v>
      </c>
      <c r="B2260" s="6" t="s">
        <v>9871</v>
      </c>
      <c r="C2260" s="287" t="s">
        <v>9872</v>
      </c>
      <c r="D2260" s="11"/>
      <c r="E2260" s="11" t="s">
        <v>1550</v>
      </c>
      <c r="F2260" s="90">
        <v>500.0</v>
      </c>
      <c r="G2260" s="290" t="s">
        <v>9873</v>
      </c>
      <c r="H2260" s="11" t="s">
        <v>44</v>
      </c>
      <c r="I2260" s="276">
        <v>9.735826865E9</v>
      </c>
      <c r="J2260" s="11" t="s">
        <v>9874</v>
      </c>
      <c r="K2260" s="12" t="s">
        <v>2995</v>
      </c>
      <c r="L2260" s="13"/>
      <c r="M2260" s="11" t="s">
        <v>9875</v>
      </c>
      <c r="N2260" s="5" t="s">
        <v>9876</v>
      </c>
      <c r="O2260" s="5" t="s">
        <v>34</v>
      </c>
      <c r="P2260" s="5" t="s">
        <v>9877</v>
      </c>
      <c r="Q2260" s="15"/>
      <c r="R2260" s="16" t="s">
        <v>634</v>
      </c>
      <c r="S2260" s="15"/>
      <c r="T2260" s="15"/>
      <c r="U2260" s="15"/>
      <c r="V2260" s="15"/>
      <c r="W2260" s="15"/>
      <c r="X2260" s="15"/>
      <c r="Y2260" s="15"/>
      <c r="Z2260" s="15"/>
      <c r="AA2260" s="15"/>
    </row>
    <row r="2261">
      <c r="A2261" s="5" t="s">
        <v>9870</v>
      </c>
      <c r="B2261" s="6" t="s">
        <v>9878</v>
      </c>
      <c r="C2261" s="40" t="s">
        <v>9597</v>
      </c>
      <c r="D2261" s="11"/>
      <c r="E2261" s="11" t="s">
        <v>1749</v>
      </c>
      <c r="F2261" s="90">
        <v>200.0</v>
      </c>
      <c r="G2261" s="285" t="s">
        <v>9598</v>
      </c>
      <c r="H2261" s="11" t="s">
        <v>44</v>
      </c>
      <c r="I2261" s="276">
        <v>9.903333033E9</v>
      </c>
      <c r="J2261" s="11" t="s">
        <v>9814</v>
      </c>
      <c r="K2261" s="12" t="s">
        <v>9143</v>
      </c>
      <c r="L2261" s="13"/>
      <c r="M2261" s="11" t="s">
        <v>9879</v>
      </c>
      <c r="N2261" s="5" t="s">
        <v>9880</v>
      </c>
      <c r="O2261" s="5" t="s">
        <v>34</v>
      </c>
      <c r="P2261" s="5" t="s">
        <v>921</v>
      </c>
      <c r="Q2261" s="15"/>
      <c r="R2261" s="16" t="s">
        <v>634</v>
      </c>
      <c r="S2261" s="15"/>
      <c r="T2261" s="15"/>
      <c r="U2261" s="15"/>
      <c r="V2261" s="15"/>
      <c r="W2261" s="15"/>
      <c r="X2261" s="15"/>
      <c r="Y2261" s="15"/>
      <c r="Z2261" s="15"/>
      <c r="AA2261" s="15"/>
    </row>
    <row r="2262">
      <c r="A2262" s="5" t="s">
        <v>9870</v>
      </c>
      <c r="B2262" s="6" t="s">
        <v>9881</v>
      </c>
      <c r="C2262" s="40" t="s">
        <v>9882</v>
      </c>
      <c r="D2262" s="11"/>
      <c r="E2262" s="11" t="s">
        <v>9883</v>
      </c>
      <c r="F2262" s="90">
        <v>200.0</v>
      </c>
      <c r="G2262" s="285" t="s">
        <v>9884</v>
      </c>
      <c r="H2262" s="11" t="s">
        <v>44</v>
      </c>
      <c r="I2262" s="276">
        <v>9.679763219E9</v>
      </c>
      <c r="J2262" s="11" t="s">
        <v>9814</v>
      </c>
      <c r="K2262" s="12" t="s">
        <v>9885</v>
      </c>
      <c r="L2262" s="13"/>
      <c r="M2262" s="11" t="s">
        <v>9879</v>
      </c>
      <c r="N2262" s="5" t="s">
        <v>9886</v>
      </c>
      <c r="O2262" s="5" t="s">
        <v>34</v>
      </c>
      <c r="P2262" s="5" t="s">
        <v>9887</v>
      </c>
      <c r="Q2262" s="15"/>
      <c r="R2262" s="16" t="s">
        <v>723</v>
      </c>
      <c r="S2262" s="15"/>
      <c r="T2262" s="15"/>
      <c r="U2262" s="15"/>
      <c r="V2262" s="15"/>
      <c r="W2262" s="15"/>
      <c r="X2262" s="15"/>
      <c r="Y2262" s="15"/>
      <c r="Z2262" s="15"/>
      <c r="AA2262" s="15"/>
    </row>
    <row r="2263">
      <c r="A2263" s="5" t="s">
        <v>9870</v>
      </c>
      <c r="B2263" s="6" t="s">
        <v>9888</v>
      </c>
      <c r="C2263" s="40" t="s">
        <v>9889</v>
      </c>
      <c r="D2263" s="11"/>
      <c r="E2263" s="11" t="s">
        <v>77</v>
      </c>
      <c r="F2263" s="90">
        <v>50000.0</v>
      </c>
      <c r="G2263" s="285" t="s">
        <v>9890</v>
      </c>
      <c r="H2263" s="11" t="s">
        <v>9891</v>
      </c>
      <c r="I2263" s="276">
        <v>8.415044795E9</v>
      </c>
      <c r="J2263" s="11" t="s">
        <v>9814</v>
      </c>
      <c r="K2263" s="12" t="s">
        <v>9892</v>
      </c>
      <c r="L2263" s="13"/>
      <c r="M2263" s="11" t="s">
        <v>7820</v>
      </c>
      <c r="N2263" s="5" t="s">
        <v>9893</v>
      </c>
      <c r="O2263" s="5" t="s">
        <v>108</v>
      </c>
      <c r="P2263" s="15"/>
      <c r="Q2263" s="15"/>
      <c r="R2263" s="16" t="s">
        <v>634</v>
      </c>
      <c r="S2263" s="15"/>
      <c r="T2263" s="15"/>
      <c r="U2263" s="15"/>
      <c r="V2263" s="15"/>
      <c r="W2263" s="15"/>
      <c r="X2263" s="15"/>
      <c r="Y2263" s="15"/>
      <c r="Z2263" s="15"/>
      <c r="AA2263" s="15"/>
    </row>
    <row r="2264">
      <c r="A2264" s="5" t="s">
        <v>9870</v>
      </c>
      <c r="B2264" s="6" t="s">
        <v>9894</v>
      </c>
      <c r="C2264" s="291" t="s">
        <v>9895</v>
      </c>
      <c r="D2264" s="11"/>
      <c r="E2264" s="11" t="s">
        <v>9896</v>
      </c>
      <c r="F2264" s="90">
        <v>5000.0</v>
      </c>
      <c r="G2264" s="285" t="s">
        <v>9897</v>
      </c>
      <c r="H2264" s="11" t="s">
        <v>9898</v>
      </c>
      <c r="I2264" s="283" t="s">
        <v>9899</v>
      </c>
      <c r="J2264" s="11" t="s">
        <v>9814</v>
      </c>
      <c r="K2264" s="12" t="s">
        <v>9900</v>
      </c>
      <c r="L2264" s="13"/>
      <c r="M2264" s="11" t="s">
        <v>9901</v>
      </c>
      <c r="N2264" s="5" t="s">
        <v>9902</v>
      </c>
      <c r="O2264" s="5" t="s">
        <v>26</v>
      </c>
      <c r="P2264" s="5" t="s">
        <v>9903</v>
      </c>
      <c r="Q2264" s="5" t="s">
        <v>5547</v>
      </c>
      <c r="R2264" s="16" t="s">
        <v>634</v>
      </c>
      <c r="S2264" s="15"/>
      <c r="T2264" s="15"/>
      <c r="U2264" s="15"/>
      <c r="V2264" s="15"/>
      <c r="W2264" s="15"/>
      <c r="X2264" s="15"/>
      <c r="Y2264" s="15"/>
      <c r="Z2264" s="15"/>
      <c r="AA2264" s="15"/>
    </row>
    <row r="2265">
      <c r="A2265" s="5" t="s">
        <v>9904</v>
      </c>
      <c r="B2265" s="6" t="s">
        <v>9905</v>
      </c>
      <c r="C2265" s="62" t="s">
        <v>9906</v>
      </c>
      <c r="D2265" s="11"/>
      <c r="E2265" s="11" t="s">
        <v>9907</v>
      </c>
      <c r="F2265" s="90">
        <v>30000.0</v>
      </c>
      <c r="G2265" s="285" t="s">
        <v>9908</v>
      </c>
      <c r="H2265" s="11" t="s">
        <v>9909</v>
      </c>
      <c r="I2265" s="276">
        <v>9.82507723E9</v>
      </c>
      <c r="J2265" s="11" t="s">
        <v>9814</v>
      </c>
      <c r="K2265" s="12" t="s">
        <v>4232</v>
      </c>
      <c r="L2265" s="13"/>
      <c r="M2265" s="11" t="s">
        <v>9910</v>
      </c>
      <c r="N2265" s="5" t="s">
        <v>9911</v>
      </c>
      <c r="O2265" s="5" t="s">
        <v>26</v>
      </c>
      <c r="P2265" s="5" t="s">
        <v>9912</v>
      </c>
      <c r="Q2265" s="5" t="s">
        <v>9913</v>
      </c>
      <c r="R2265" s="16" t="s">
        <v>634</v>
      </c>
      <c r="S2265" s="15"/>
      <c r="T2265" s="15"/>
      <c r="U2265" s="15"/>
      <c r="V2265" s="15"/>
      <c r="W2265" s="15"/>
      <c r="X2265" s="15"/>
      <c r="Y2265" s="15"/>
      <c r="Z2265" s="15"/>
      <c r="AA2265" s="15"/>
    </row>
    <row r="2266">
      <c r="A2266" s="5" t="s">
        <v>9870</v>
      </c>
      <c r="B2266" s="6" t="s">
        <v>9914</v>
      </c>
      <c r="C2266" s="291" t="s">
        <v>9915</v>
      </c>
      <c r="D2266" s="11"/>
      <c r="E2266" s="11" t="s">
        <v>5203</v>
      </c>
      <c r="F2266" s="90">
        <v>45000.0</v>
      </c>
      <c r="G2266" s="285" t="s">
        <v>9916</v>
      </c>
      <c r="H2266" s="11" t="s">
        <v>44</v>
      </c>
      <c r="I2266" s="276">
        <v>9.83049931E9</v>
      </c>
      <c r="J2266" s="11" t="s">
        <v>9814</v>
      </c>
      <c r="K2266" s="12" t="s">
        <v>9917</v>
      </c>
      <c r="L2266" s="13"/>
      <c r="M2266" s="11" t="s">
        <v>9918</v>
      </c>
      <c r="N2266" s="5" t="s">
        <v>9919</v>
      </c>
      <c r="O2266" s="5" t="s">
        <v>26</v>
      </c>
      <c r="P2266" s="292" t="s">
        <v>9920</v>
      </c>
      <c r="Q2266" s="15"/>
      <c r="R2266" s="16" t="s">
        <v>634</v>
      </c>
      <c r="S2266" s="15"/>
      <c r="T2266" s="15"/>
      <c r="U2266" s="15"/>
      <c r="V2266" s="15"/>
      <c r="W2266" s="15"/>
      <c r="X2266" s="15"/>
      <c r="Y2266" s="15"/>
      <c r="Z2266" s="15"/>
      <c r="AA2266" s="15"/>
    </row>
    <row r="2267">
      <c r="A2267" s="5" t="s">
        <v>9870</v>
      </c>
      <c r="B2267" s="6" t="s">
        <v>9921</v>
      </c>
      <c r="C2267" s="40" t="s">
        <v>9922</v>
      </c>
      <c r="D2267" s="11"/>
      <c r="E2267" s="11" t="s">
        <v>207</v>
      </c>
      <c r="F2267" s="90">
        <v>5000.0</v>
      </c>
      <c r="G2267" s="285" t="s">
        <v>9923</v>
      </c>
      <c r="H2267" s="11" t="s">
        <v>44</v>
      </c>
      <c r="I2267" s="276">
        <v>9.90372085E9</v>
      </c>
      <c r="J2267" s="11" t="s">
        <v>9814</v>
      </c>
      <c r="K2267" s="12"/>
      <c r="L2267" s="13"/>
      <c r="M2267" s="11" t="s">
        <v>9924</v>
      </c>
      <c r="N2267" s="5" t="s">
        <v>9925</v>
      </c>
      <c r="O2267" s="5" t="s">
        <v>34</v>
      </c>
      <c r="P2267" s="5" t="s">
        <v>132</v>
      </c>
      <c r="Q2267" s="5" t="s">
        <v>727</v>
      </c>
      <c r="R2267" s="16" t="s">
        <v>634</v>
      </c>
      <c r="S2267" s="15"/>
      <c r="T2267" s="15"/>
      <c r="U2267" s="15"/>
      <c r="V2267" s="15"/>
      <c r="W2267" s="15"/>
      <c r="X2267" s="15"/>
      <c r="Y2267" s="15"/>
      <c r="Z2267" s="15"/>
      <c r="AA2267" s="15"/>
    </row>
    <row r="2268">
      <c r="A2268" s="5" t="s">
        <v>9870</v>
      </c>
      <c r="B2268" s="6" t="s">
        <v>9926</v>
      </c>
      <c r="C2268" s="62" t="s">
        <v>9927</v>
      </c>
      <c r="D2268" s="11"/>
      <c r="E2268" s="11" t="s">
        <v>207</v>
      </c>
      <c r="F2268" s="90">
        <v>2000.0</v>
      </c>
      <c r="G2268" s="285" t="s">
        <v>9928</v>
      </c>
      <c r="H2268" s="11" t="s">
        <v>44</v>
      </c>
      <c r="I2268" s="276">
        <v>9.831999222E9</v>
      </c>
      <c r="J2268" s="11" t="s">
        <v>9648</v>
      </c>
      <c r="K2268" s="12"/>
      <c r="L2268" s="13"/>
      <c r="M2268" s="11" t="s">
        <v>8348</v>
      </c>
      <c r="N2268" s="5" t="s">
        <v>9929</v>
      </c>
      <c r="O2268" s="5" t="s">
        <v>34</v>
      </c>
      <c r="P2268" s="5" t="s">
        <v>1384</v>
      </c>
      <c r="Q2268" s="5" t="s">
        <v>6261</v>
      </c>
      <c r="R2268" s="16" t="s">
        <v>634</v>
      </c>
      <c r="S2268" s="15"/>
      <c r="T2268" s="15"/>
      <c r="U2268" s="15"/>
      <c r="V2268" s="15"/>
      <c r="W2268" s="15"/>
      <c r="X2268" s="15"/>
      <c r="Y2268" s="15"/>
      <c r="Z2268" s="15"/>
      <c r="AA2268" s="15"/>
    </row>
    <row r="2269">
      <c r="A2269" s="5" t="s">
        <v>9930</v>
      </c>
      <c r="B2269" s="6" t="s">
        <v>9931</v>
      </c>
      <c r="C2269" s="40" t="s">
        <v>9932</v>
      </c>
      <c r="D2269" s="11"/>
      <c r="E2269" s="11" t="s">
        <v>9933</v>
      </c>
      <c r="F2269" s="90">
        <v>1000.0</v>
      </c>
      <c r="G2269" s="285" t="s">
        <v>9934</v>
      </c>
      <c r="H2269" s="11" t="s">
        <v>4444</v>
      </c>
      <c r="I2269" s="276">
        <v>9.3702602E9</v>
      </c>
      <c r="J2269" s="11" t="s">
        <v>9814</v>
      </c>
      <c r="K2269" s="12"/>
      <c r="L2269" s="13"/>
      <c r="M2269" s="12" t="s">
        <v>9935</v>
      </c>
      <c r="N2269" s="5" t="s">
        <v>9936</v>
      </c>
      <c r="O2269" s="5" t="s">
        <v>26</v>
      </c>
      <c r="P2269" s="5" t="s">
        <v>9937</v>
      </c>
      <c r="Q2269" s="5" t="s">
        <v>4563</v>
      </c>
      <c r="R2269" s="16" t="s">
        <v>634</v>
      </c>
      <c r="S2269" s="15"/>
      <c r="T2269" s="15"/>
      <c r="U2269" s="15"/>
      <c r="V2269" s="15"/>
      <c r="W2269" s="15"/>
      <c r="X2269" s="15"/>
      <c r="Y2269" s="15"/>
      <c r="Z2269" s="15"/>
      <c r="AA2269" s="15"/>
    </row>
    <row r="2270">
      <c r="A2270" s="5" t="s">
        <v>9930</v>
      </c>
      <c r="B2270" s="6" t="s">
        <v>9938</v>
      </c>
      <c r="C2270" s="40" t="s">
        <v>9939</v>
      </c>
      <c r="D2270" s="11"/>
      <c r="E2270" s="11" t="s">
        <v>130</v>
      </c>
      <c r="F2270" s="90">
        <v>1000.0</v>
      </c>
      <c r="G2270" s="285" t="s">
        <v>9940</v>
      </c>
      <c r="H2270" s="11" t="s">
        <v>1414</v>
      </c>
      <c r="I2270" s="276">
        <v>9.002101406E9</v>
      </c>
      <c r="J2270" s="11" t="s">
        <v>9814</v>
      </c>
      <c r="K2270" s="12" t="s">
        <v>9941</v>
      </c>
      <c r="L2270" s="13"/>
      <c r="M2270" s="12" t="s">
        <v>7904</v>
      </c>
      <c r="N2270" s="5" t="s">
        <v>9942</v>
      </c>
      <c r="O2270" s="5" t="s">
        <v>26</v>
      </c>
      <c r="P2270" s="5" t="s">
        <v>9943</v>
      </c>
      <c r="Q2270" s="15"/>
      <c r="R2270" s="16" t="s">
        <v>634</v>
      </c>
      <c r="S2270" s="15"/>
      <c r="T2270" s="15"/>
      <c r="U2270" s="15"/>
      <c r="V2270" s="15"/>
      <c r="W2270" s="15"/>
      <c r="X2270" s="15"/>
      <c r="Y2270" s="15"/>
      <c r="Z2270" s="15"/>
      <c r="AA2270" s="15"/>
    </row>
    <row r="2271">
      <c r="A2271" s="5" t="s">
        <v>9930</v>
      </c>
      <c r="B2271" s="6" t="s">
        <v>9944</v>
      </c>
      <c r="C2271" s="62" t="s">
        <v>9945</v>
      </c>
      <c r="D2271" s="11"/>
      <c r="E2271" s="11" t="s">
        <v>753</v>
      </c>
      <c r="F2271" s="90">
        <v>5000.0</v>
      </c>
      <c r="G2271" s="285" t="s">
        <v>9946</v>
      </c>
      <c r="H2271" s="11" t="s">
        <v>9947</v>
      </c>
      <c r="I2271" s="276">
        <v>3.325665861E9</v>
      </c>
      <c r="J2271" s="11" t="s">
        <v>9814</v>
      </c>
      <c r="K2271" s="12" t="s">
        <v>9948</v>
      </c>
      <c r="L2271" s="13"/>
      <c r="M2271" s="11" t="s">
        <v>9949</v>
      </c>
      <c r="N2271" s="5" t="s">
        <v>9950</v>
      </c>
      <c r="O2271" s="5" t="s">
        <v>26</v>
      </c>
      <c r="P2271" s="5" t="s">
        <v>4563</v>
      </c>
      <c r="Q2271" s="5" t="s">
        <v>9951</v>
      </c>
      <c r="R2271" s="16" t="s">
        <v>634</v>
      </c>
      <c r="S2271" s="15"/>
      <c r="T2271" s="15"/>
      <c r="U2271" s="15"/>
      <c r="V2271" s="15"/>
      <c r="W2271" s="15"/>
      <c r="X2271" s="15"/>
      <c r="Y2271" s="15"/>
      <c r="Z2271" s="15"/>
      <c r="AA2271" s="15"/>
    </row>
    <row r="2272">
      <c r="A2272" s="5" t="s">
        <v>9930</v>
      </c>
      <c r="B2272" s="6" t="s">
        <v>9952</v>
      </c>
      <c r="C2272" s="40" t="s">
        <v>9953</v>
      </c>
      <c r="D2272" s="11"/>
      <c r="E2272" s="11" t="s">
        <v>5502</v>
      </c>
      <c r="F2272" s="90">
        <v>5000.0</v>
      </c>
      <c r="G2272" s="285" t="s">
        <v>9954</v>
      </c>
      <c r="H2272" s="11" t="s">
        <v>6922</v>
      </c>
      <c r="I2272" s="276">
        <v>9.76936881E9</v>
      </c>
      <c r="J2272" s="11" t="s">
        <v>9814</v>
      </c>
      <c r="K2272" s="12" t="s">
        <v>8677</v>
      </c>
      <c r="L2272" s="12" t="s">
        <v>9955</v>
      </c>
      <c r="M2272" s="11" t="s">
        <v>9956</v>
      </c>
      <c r="N2272" s="5" t="s">
        <v>9957</v>
      </c>
      <c r="O2272" s="5" t="s">
        <v>108</v>
      </c>
      <c r="P2272" s="15"/>
      <c r="Q2272" s="15"/>
      <c r="R2272" s="16" t="s">
        <v>634</v>
      </c>
      <c r="S2272" s="15"/>
      <c r="T2272" s="15"/>
      <c r="U2272" s="15"/>
      <c r="V2272" s="15"/>
      <c r="W2272" s="15"/>
      <c r="X2272" s="15"/>
      <c r="Y2272" s="15"/>
      <c r="Z2272" s="15"/>
      <c r="AA2272" s="15"/>
    </row>
    <row r="2273">
      <c r="A2273" s="5" t="s">
        <v>9930</v>
      </c>
      <c r="B2273" s="6" t="s">
        <v>9958</v>
      </c>
      <c r="C2273" s="40" t="s">
        <v>9959</v>
      </c>
      <c r="D2273" s="11"/>
      <c r="E2273" s="11" t="s">
        <v>130</v>
      </c>
      <c r="F2273" s="90">
        <v>1000.0</v>
      </c>
      <c r="G2273" s="285" t="s">
        <v>9960</v>
      </c>
      <c r="H2273" s="11" t="s">
        <v>906</v>
      </c>
      <c r="I2273" s="276">
        <v>9.967969887E9</v>
      </c>
      <c r="J2273" s="11" t="s">
        <v>9814</v>
      </c>
      <c r="K2273" s="12" t="s">
        <v>8677</v>
      </c>
      <c r="L2273" s="13"/>
      <c r="M2273" s="11" t="s">
        <v>9961</v>
      </c>
      <c r="N2273" s="15"/>
      <c r="O2273" s="5" t="s">
        <v>108</v>
      </c>
      <c r="P2273" s="5" t="s">
        <v>9962</v>
      </c>
      <c r="Q2273" s="15"/>
      <c r="R2273" s="16" t="s">
        <v>28</v>
      </c>
      <c r="S2273" s="15"/>
      <c r="T2273" s="15"/>
      <c r="U2273" s="15"/>
      <c r="V2273" s="15"/>
      <c r="W2273" s="15"/>
      <c r="X2273" s="15"/>
      <c r="Y2273" s="15"/>
      <c r="Z2273" s="15"/>
      <c r="AA2273" s="15"/>
    </row>
    <row r="2274">
      <c r="A2274" s="5" t="s">
        <v>9963</v>
      </c>
      <c r="B2274" s="6" t="s">
        <v>9964</v>
      </c>
      <c r="C2274" s="62" t="s">
        <v>9965</v>
      </c>
      <c r="D2274" s="11"/>
      <c r="E2274" s="11" t="s">
        <v>9966</v>
      </c>
      <c r="F2274" s="90">
        <v>20000.0</v>
      </c>
      <c r="G2274" s="285" t="s">
        <v>9967</v>
      </c>
      <c r="H2274" s="11" t="s">
        <v>372</v>
      </c>
      <c r="I2274" s="276">
        <v>7.718064625E9</v>
      </c>
      <c r="J2274" s="11" t="s">
        <v>9814</v>
      </c>
      <c r="K2274" s="12" t="s">
        <v>8677</v>
      </c>
      <c r="L2274" s="13"/>
      <c r="M2274" s="14"/>
      <c r="N2274" s="15"/>
      <c r="O2274" s="5" t="s">
        <v>108</v>
      </c>
      <c r="P2274" s="15"/>
      <c r="Q2274" s="15"/>
      <c r="R2274" s="16" t="s">
        <v>28</v>
      </c>
      <c r="S2274" s="15"/>
      <c r="T2274" s="15"/>
      <c r="U2274" s="15"/>
      <c r="V2274" s="15"/>
      <c r="W2274" s="15"/>
      <c r="X2274" s="15"/>
      <c r="Y2274" s="15"/>
      <c r="Z2274" s="15"/>
      <c r="AA2274" s="15"/>
    </row>
    <row r="2275">
      <c r="A2275" s="5" t="s">
        <v>9963</v>
      </c>
      <c r="B2275" s="6" t="s">
        <v>9968</v>
      </c>
      <c r="C2275" s="40" t="s">
        <v>9969</v>
      </c>
      <c r="D2275" s="11"/>
      <c r="E2275" s="11" t="s">
        <v>22</v>
      </c>
      <c r="F2275" s="90">
        <v>20000.0</v>
      </c>
      <c r="G2275" s="285" t="s">
        <v>9970</v>
      </c>
      <c r="H2275" s="11" t="s">
        <v>44</v>
      </c>
      <c r="I2275" s="276">
        <v>8.967972711E9</v>
      </c>
      <c r="J2275" s="11" t="s">
        <v>9814</v>
      </c>
      <c r="K2275" s="12" t="s">
        <v>9971</v>
      </c>
      <c r="L2275" s="13"/>
      <c r="M2275" s="11" t="s">
        <v>9742</v>
      </c>
      <c r="N2275" s="5" t="s">
        <v>9972</v>
      </c>
      <c r="O2275" s="5" t="s">
        <v>26</v>
      </c>
      <c r="P2275" s="250" t="s">
        <v>9973</v>
      </c>
      <c r="Q2275" s="11"/>
      <c r="R2275" s="16" t="s">
        <v>634</v>
      </c>
      <c r="S2275" s="15"/>
      <c r="T2275" s="15"/>
      <c r="U2275" s="15"/>
      <c r="V2275" s="15"/>
      <c r="W2275" s="15"/>
      <c r="X2275" s="15"/>
      <c r="Y2275" s="15"/>
      <c r="Z2275" s="15"/>
      <c r="AA2275" s="15"/>
    </row>
    <row r="2276">
      <c r="A2276" s="5" t="s">
        <v>9963</v>
      </c>
      <c r="B2276" s="6" t="s">
        <v>9974</v>
      </c>
      <c r="C2276" s="62" t="s">
        <v>9975</v>
      </c>
      <c r="D2276" s="11"/>
      <c r="E2276" s="11" t="s">
        <v>9976</v>
      </c>
      <c r="F2276" s="90" t="s">
        <v>9977</v>
      </c>
      <c r="G2276" s="285"/>
      <c r="H2276" s="11" t="s">
        <v>44</v>
      </c>
      <c r="I2276" s="276"/>
      <c r="J2276" s="11" t="s">
        <v>9814</v>
      </c>
      <c r="K2276" s="12" t="s">
        <v>8677</v>
      </c>
      <c r="L2276" s="13"/>
      <c r="M2276" s="14"/>
      <c r="N2276" s="15"/>
      <c r="O2276" s="5" t="s">
        <v>108</v>
      </c>
      <c r="P2276" s="15"/>
      <c r="Q2276" s="15"/>
      <c r="R2276" s="16" t="s">
        <v>28</v>
      </c>
      <c r="S2276" s="15"/>
      <c r="T2276" s="15"/>
      <c r="U2276" s="15"/>
      <c r="V2276" s="15"/>
      <c r="W2276" s="15"/>
      <c r="X2276" s="15"/>
      <c r="Y2276" s="15"/>
      <c r="Z2276" s="15"/>
      <c r="AA2276" s="15"/>
    </row>
    <row r="2277">
      <c r="A2277" s="5" t="s">
        <v>9963</v>
      </c>
      <c r="B2277" s="6" t="s">
        <v>9978</v>
      </c>
      <c r="C2277" s="62" t="s">
        <v>9979</v>
      </c>
      <c r="D2277" s="11"/>
      <c r="E2277" s="11" t="s">
        <v>8779</v>
      </c>
      <c r="F2277" s="90">
        <v>9000.0</v>
      </c>
      <c r="G2277" s="285" t="s">
        <v>9980</v>
      </c>
      <c r="H2277" s="11" t="s">
        <v>9981</v>
      </c>
      <c r="I2277" s="276">
        <v>8.80277797E9</v>
      </c>
      <c r="J2277" s="11" t="s">
        <v>9814</v>
      </c>
      <c r="K2277" s="12" t="s">
        <v>9982</v>
      </c>
      <c r="L2277" s="13"/>
      <c r="M2277" s="11" t="s">
        <v>9983</v>
      </c>
      <c r="N2277" s="5" t="s">
        <v>9984</v>
      </c>
      <c r="O2277" s="5" t="s">
        <v>26</v>
      </c>
      <c r="P2277" s="5" t="s">
        <v>9985</v>
      </c>
      <c r="Q2277" s="15"/>
      <c r="R2277" s="16" t="s">
        <v>634</v>
      </c>
      <c r="S2277" s="15"/>
      <c r="T2277" s="15"/>
      <c r="U2277" s="15"/>
      <c r="V2277" s="15"/>
      <c r="W2277" s="15"/>
      <c r="X2277" s="15"/>
      <c r="Y2277" s="15"/>
      <c r="Z2277" s="15"/>
      <c r="AA2277" s="15"/>
    </row>
    <row r="2278">
      <c r="A2278" s="5" t="s">
        <v>9986</v>
      </c>
      <c r="B2278" s="6" t="s">
        <v>9987</v>
      </c>
      <c r="C2278" s="40" t="s">
        <v>9988</v>
      </c>
      <c r="D2278" s="11"/>
      <c r="E2278" s="11" t="s">
        <v>8779</v>
      </c>
      <c r="F2278" s="90">
        <v>500.0</v>
      </c>
      <c r="G2278" s="285" t="s">
        <v>9989</v>
      </c>
      <c r="H2278" s="11" t="s">
        <v>44</v>
      </c>
      <c r="I2278" s="276">
        <v>7.003274166E9</v>
      </c>
      <c r="J2278" s="11" t="s">
        <v>9814</v>
      </c>
      <c r="K2278" s="12"/>
      <c r="L2278" s="13"/>
      <c r="M2278" s="14"/>
      <c r="N2278" s="15"/>
      <c r="O2278" s="5" t="s">
        <v>26</v>
      </c>
      <c r="P2278" s="15"/>
      <c r="Q2278" s="15"/>
      <c r="R2278" s="16" t="s">
        <v>28</v>
      </c>
      <c r="S2278" s="15"/>
      <c r="T2278" s="15"/>
      <c r="U2278" s="15"/>
      <c r="V2278" s="15"/>
      <c r="W2278" s="15"/>
      <c r="X2278" s="15"/>
      <c r="Y2278" s="15"/>
      <c r="Z2278" s="15"/>
      <c r="AA2278" s="15"/>
    </row>
    <row r="2279">
      <c r="A2279" s="5" t="s">
        <v>9986</v>
      </c>
      <c r="B2279" s="6" t="s">
        <v>9990</v>
      </c>
      <c r="C2279" s="40" t="s">
        <v>9991</v>
      </c>
      <c r="D2279" s="11"/>
      <c r="E2279" s="11" t="s">
        <v>9187</v>
      </c>
      <c r="F2279" s="90">
        <v>500.0</v>
      </c>
      <c r="G2279" s="285" t="s">
        <v>9992</v>
      </c>
      <c r="H2279" s="11" t="s">
        <v>44</v>
      </c>
      <c r="I2279" s="276">
        <v>7.980763914E9</v>
      </c>
      <c r="J2279" s="11" t="s">
        <v>9814</v>
      </c>
      <c r="K2279" s="12" t="s">
        <v>9993</v>
      </c>
      <c r="L2279" s="13"/>
      <c r="M2279" s="11" t="s">
        <v>9034</v>
      </c>
      <c r="N2279" s="5" t="s">
        <v>9994</v>
      </c>
      <c r="O2279" s="5" t="s">
        <v>26</v>
      </c>
      <c r="P2279" s="5" t="s">
        <v>9995</v>
      </c>
      <c r="Q2279" s="15"/>
      <c r="R2279" s="16" t="s">
        <v>634</v>
      </c>
      <c r="S2279" s="15"/>
      <c r="T2279" s="15"/>
      <c r="U2279" s="15"/>
      <c r="V2279" s="15"/>
      <c r="W2279" s="15"/>
      <c r="X2279" s="15"/>
      <c r="Y2279" s="15"/>
      <c r="Z2279" s="15"/>
      <c r="AA2279" s="15"/>
    </row>
    <row r="2280">
      <c r="A2280" s="5" t="s">
        <v>9986</v>
      </c>
      <c r="B2280" s="6" t="s">
        <v>9996</v>
      </c>
      <c r="C2280" s="62" t="s">
        <v>9997</v>
      </c>
      <c r="D2280" s="11"/>
      <c r="E2280" s="11" t="s">
        <v>357</v>
      </c>
      <c r="F2280" s="90">
        <v>2000.0</v>
      </c>
      <c r="G2280" s="285" t="s">
        <v>9998</v>
      </c>
      <c r="H2280" s="11" t="s">
        <v>9999</v>
      </c>
      <c r="I2280" s="276">
        <v>8.470003914E9</v>
      </c>
      <c r="J2280" s="11" t="s">
        <v>10000</v>
      </c>
      <c r="K2280" s="12"/>
      <c r="L2280" s="13"/>
      <c r="M2280" s="11" t="s">
        <v>9949</v>
      </c>
      <c r="N2280" s="5" t="s">
        <v>10001</v>
      </c>
      <c r="O2280" s="5" t="s">
        <v>34</v>
      </c>
      <c r="P2280" s="5" t="s">
        <v>1384</v>
      </c>
      <c r="Q2280" s="5" t="s">
        <v>727</v>
      </c>
      <c r="R2280" s="16" t="s">
        <v>634</v>
      </c>
      <c r="S2280" s="15"/>
      <c r="T2280" s="15"/>
      <c r="U2280" s="15"/>
      <c r="V2280" s="15"/>
      <c r="W2280" s="15"/>
      <c r="X2280" s="15"/>
      <c r="Y2280" s="15"/>
      <c r="Z2280" s="15"/>
      <c r="AA2280" s="15"/>
    </row>
    <row r="2281">
      <c r="A2281" s="5" t="s">
        <v>9986</v>
      </c>
      <c r="B2281" s="6" t="s">
        <v>10002</v>
      </c>
      <c r="C2281" s="40" t="s">
        <v>10003</v>
      </c>
      <c r="D2281" s="11"/>
      <c r="E2281" s="11" t="s">
        <v>130</v>
      </c>
      <c r="F2281" s="90">
        <v>20000.0</v>
      </c>
      <c r="G2281" s="285" t="s">
        <v>10004</v>
      </c>
      <c r="H2281" s="11" t="s">
        <v>906</v>
      </c>
      <c r="I2281" s="276">
        <v>7.021874808E9</v>
      </c>
      <c r="J2281" s="11" t="s">
        <v>9814</v>
      </c>
      <c r="K2281" s="12"/>
      <c r="L2281" s="13"/>
      <c r="M2281" s="11" t="s">
        <v>10005</v>
      </c>
      <c r="N2281" s="5" t="s">
        <v>10006</v>
      </c>
      <c r="O2281" s="5" t="s">
        <v>108</v>
      </c>
      <c r="P2281" s="15"/>
      <c r="Q2281" s="15"/>
      <c r="R2281" s="16" t="s">
        <v>28</v>
      </c>
      <c r="S2281" s="15"/>
      <c r="T2281" s="15"/>
      <c r="U2281" s="15"/>
      <c r="V2281" s="15"/>
      <c r="W2281" s="15"/>
      <c r="X2281" s="15"/>
      <c r="Y2281" s="15"/>
      <c r="Z2281" s="15"/>
      <c r="AA2281" s="15"/>
    </row>
    <row r="2282">
      <c r="A2282" s="5" t="s">
        <v>9986</v>
      </c>
      <c r="B2282" s="6" t="s">
        <v>10007</v>
      </c>
      <c r="C2282" s="40" t="s">
        <v>10008</v>
      </c>
      <c r="D2282" s="11"/>
      <c r="E2282" s="11" t="s">
        <v>1749</v>
      </c>
      <c r="F2282" s="90">
        <v>1000.0</v>
      </c>
      <c r="G2282" s="285" t="s">
        <v>10009</v>
      </c>
      <c r="H2282" s="11" t="s">
        <v>44</v>
      </c>
      <c r="I2282" s="276">
        <v>9.875572136E9</v>
      </c>
      <c r="J2282" s="11" t="s">
        <v>4008</v>
      </c>
      <c r="K2282" s="12" t="s">
        <v>10010</v>
      </c>
      <c r="L2282" s="13"/>
      <c r="M2282" s="11" t="s">
        <v>10011</v>
      </c>
      <c r="N2282" s="5" t="s">
        <v>10012</v>
      </c>
      <c r="O2282" s="5" t="s">
        <v>26</v>
      </c>
      <c r="P2282" s="5" t="s">
        <v>10013</v>
      </c>
      <c r="Q2282" s="5" t="s">
        <v>10014</v>
      </c>
      <c r="R2282" s="16" t="s">
        <v>634</v>
      </c>
      <c r="S2282" s="15"/>
      <c r="T2282" s="15"/>
      <c r="U2282" s="15"/>
      <c r="V2282" s="15"/>
      <c r="W2282" s="15"/>
      <c r="X2282" s="15"/>
      <c r="Y2282" s="15"/>
      <c r="Z2282" s="15"/>
      <c r="AA2282" s="15"/>
    </row>
    <row r="2283">
      <c r="A2283" s="5" t="s">
        <v>10015</v>
      </c>
      <c r="B2283" s="6" t="s">
        <v>10016</v>
      </c>
      <c r="C2283" s="40" t="s">
        <v>10017</v>
      </c>
      <c r="D2283" s="11"/>
      <c r="E2283" s="11" t="s">
        <v>178</v>
      </c>
      <c r="F2283" s="90">
        <v>1000.0</v>
      </c>
      <c r="G2283" s="285" t="s">
        <v>10018</v>
      </c>
      <c r="H2283" s="11" t="s">
        <v>906</v>
      </c>
      <c r="I2283" s="276">
        <v>9.773672272E9</v>
      </c>
      <c r="J2283" s="11" t="s">
        <v>9814</v>
      </c>
      <c r="K2283" s="12"/>
      <c r="L2283" s="13"/>
      <c r="M2283" s="14"/>
      <c r="N2283" s="15"/>
      <c r="O2283" s="5" t="s">
        <v>108</v>
      </c>
      <c r="P2283" s="5" t="s">
        <v>10019</v>
      </c>
      <c r="Q2283" s="15"/>
      <c r="R2283" s="16" t="s">
        <v>28</v>
      </c>
      <c r="S2283" s="15"/>
      <c r="T2283" s="15"/>
      <c r="U2283" s="15"/>
      <c r="V2283" s="15"/>
      <c r="W2283" s="15"/>
      <c r="X2283" s="15"/>
      <c r="Y2283" s="15"/>
      <c r="Z2283" s="15"/>
      <c r="AA2283" s="15"/>
    </row>
    <row r="2284">
      <c r="A2284" s="5" t="s">
        <v>10015</v>
      </c>
      <c r="B2284" s="6" t="s">
        <v>10020</v>
      </c>
      <c r="C2284" s="40" t="s">
        <v>2610</v>
      </c>
      <c r="D2284" s="11"/>
      <c r="E2284" s="11" t="s">
        <v>4507</v>
      </c>
      <c r="F2284" s="90">
        <v>50000.0</v>
      </c>
      <c r="G2284" s="285" t="s">
        <v>6828</v>
      </c>
      <c r="H2284" s="11" t="s">
        <v>44</v>
      </c>
      <c r="I2284" s="276">
        <v>7.685035108E9</v>
      </c>
      <c r="J2284" s="11" t="s">
        <v>9814</v>
      </c>
      <c r="K2284" s="12"/>
      <c r="L2284" s="13"/>
      <c r="M2284" s="14"/>
      <c r="N2284" s="15"/>
      <c r="O2284" s="5" t="s">
        <v>26</v>
      </c>
      <c r="P2284" s="15"/>
      <c r="Q2284" s="15"/>
      <c r="R2284" s="16" t="s">
        <v>28</v>
      </c>
      <c r="S2284" s="15"/>
      <c r="T2284" s="15"/>
      <c r="U2284" s="15"/>
      <c r="V2284" s="15"/>
      <c r="W2284" s="15"/>
      <c r="X2284" s="15"/>
      <c r="Y2284" s="15"/>
      <c r="Z2284" s="15"/>
      <c r="AA2284" s="15"/>
    </row>
    <row r="2285">
      <c r="A2285" s="5" t="s">
        <v>10015</v>
      </c>
      <c r="B2285" s="6" t="s">
        <v>10021</v>
      </c>
      <c r="C2285" s="62" t="s">
        <v>10022</v>
      </c>
      <c r="D2285" s="11"/>
      <c r="E2285" s="11" t="s">
        <v>10023</v>
      </c>
      <c r="F2285" s="90"/>
      <c r="G2285" s="285" t="s">
        <v>10024</v>
      </c>
      <c r="H2285" s="11" t="s">
        <v>977</v>
      </c>
      <c r="I2285" s="283" t="s">
        <v>10025</v>
      </c>
      <c r="J2285" s="11" t="s">
        <v>9814</v>
      </c>
      <c r="K2285" s="12"/>
      <c r="L2285" s="13"/>
      <c r="M2285" s="14"/>
      <c r="N2285" s="15"/>
      <c r="O2285" s="5" t="s">
        <v>108</v>
      </c>
      <c r="P2285" s="15"/>
      <c r="Q2285" s="15"/>
      <c r="R2285" s="16" t="s">
        <v>28</v>
      </c>
      <c r="S2285" s="15"/>
      <c r="T2285" s="15"/>
      <c r="U2285" s="15"/>
      <c r="V2285" s="15"/>
      <c r="W2285" s="15"/>
      <c r="X2285" s="15"/>
      <c r="Y2285" s="15"/>
      <c r="Z2285" s="15"/>
      <c r="AA2285" s="15"/>
    </row>
    <row r="2286">
      <c r="A2286" s="5" t="s">
        <v>10026</v>
      </c>
      <c r="B2286" s="6" t="s">
        <v>10027</v>
      </c>
      <c r="C2286" s="62" t="s">
        <v>624</v>
      </c>
      <c r="D2286" s="11"/>
      <c r="E2286" s="11" t="s">
        <v>10028</v>
      </c>
      <c r="F2286" s="90" t="s">
        <v>10029</v>
      </c>
      <c r="G2286" s="285" t="s">
        <v>10030</v>
      </c>
      <c r="H2286" s="11" t="s">
        <v>9297</v>
      </c>
      <c r="I2286" s="276">
        <v>9.330181668E9</v>
      </c>
      <c r="J2286" s="11" t="s">
        <v>9814</v>
      </c>
      <c r="K2286" s="12"/>
      <c r="L2286" s="13"/>
      <c r="M2286" s="11" t="s">
        <v>10031</v>
      </c>
      <c r="N2286" s="5" t="s">
        <v>10032</v>
      </c>
      <c r="O2286" s="5" t="s">
        <v>34</v>
      </c>
      <c r="P2286" s="5" t="s">
        <v>1384</v>
      </c>
      <c r="Q2286" s="5" t="s">
        <v>10033</v>
      </c>
      <c r="R2286" s="16" t="s">
        <v>634</v>
      </c>
      <c r="S2286" s="15"/>
      <c r="T2286" s="15"/>
      <c r="U2286" s="15"/>
      <c r="V2286" s="15"/>
      <c r="W2286" s="15"/>
      <c r="X2286" s="15"/>
      <c r="Y2286" s="15"/>
      <c r="Z2286" s="15"/>
      <c r="AA2286" s="15"/>
    </row>
    <row r="2287">
      <c r="A2287" s="5" t="s">
        <v>10026</v>
      </c>
      <c r="B2287" s="6" t="s">
        <v>10034</v>
      </c>
      <c r="C2287" s="62" t="s">
        <v>10035</v>
      </c>
      <c r="D2287" s="11"/>
      <c r="E2287" s="11" t="s">
        <v>10036</v>
      </c>
      <c r="F2287" s="90">
        <v>300.0</v>
      </c>
      <c r="G2287" s="285" t="s">
        <v>10037</v>
      </c>
      <c r="H2287" s="11" t="s">
        <v>10038</v>
      </c>
      <c r="I2287" s="276">
        <v>9.100064446E9</v>
      </c>
      <c r="J2287" s="11" t="s">
        <v>9814</v>
      </c>
      <c r="K2287" s="12" t="s">
        <v>3038</v>
      </c>
      <c r="L2287" s="13"/>
      <c r="M2287" s="11" t="s">
        <v>3038</v>
      </c>
      <c r="N2287" s="5" t="s">
        <v>10039</v>
      </c>
      <c r="O2287" s="5" t="s">
        <v>26</v>
      </c>
      <c r="P2287" s="5" t="s">
        <v>10040</v>
      </c>
      <c r="Q2287" s="5" t="s">
        <v>10041</v>
      </c>
      <c r="R2287" s="16" t="s">
        <v>634</v>
      </c>
      <c r="S2287" s="15"/>
      <c r="T2287" s="15"/>
      <c r="U2287" s="15"/>
      <c r="V2287" s="15"/>
      <c r="W2287" s="15"/>
      <c r="X2287" s="15"/>
      <c r="Y2287" s="15"/>
      <c r="Z2287" s="15"/>
      <c r="AA2287" s="15"/>
    </row>
    <row r="2288">
      <c r="A2288" s="5" t="s">
        <v>10026</v>
      </c>
      <c r="B2288" s="6" t="s">
        <v>10042</v>
      </c>
      <c r="C2288" s="40" t="s">
        <v>10043</v>
      </c>
      <c r="D2288" s="11"/>
      <c r="E2288" s="11" t="s">
        <v>6323</v>
      </c>
      <c r="F2288" s="90">
        <v>5000.0</v>
      </c>
      <c r="G2288" s="285" t="s">
        <v>10044</v>
      </c>
      <c r="H2288" s="11" t="s">
        <v>44</v>
      </c>
      <c r="I2288" s="276">
        <v>9.830540605E9</v>
      </c>
      <c r="J2288" s="11" t="s">
        <v>9814</v>
      </c>
      <c r="K2288" s="12"/>
      <c r="L2288" s="13"/>
      <c r="M2288" s="14"/>
      <c r="N2288" s="15"/>
      <c r="O2288" s="5" t="s">
        <v>26</v>
      </c>
      <c r="P2288" s="15"/>
      <c r="Q2288" s="15"/>
      <c r="R2288" s="16" t="s">
        <v>28</v>
      </c>
      <c r="S2288" s="15"/>
      <c r="T2288" s="15"/>
      <c r="U2288" s="15"/>
      <c r="V2288" s="15"/>
      <c r="W2288" s="15"/>
      <c r="X2288" s="15"/>
      <c r="Y2288" s="15"/>
      <c r="Z2288" s="15"/>
      <c r="AA2288" s="15"/>
    </row>
    <row r="2289">
      <c r="A2289" s="5" t="s">
        <v>10045</v>
      </c>
      <c r="B2289" s="293" t="s">
        <v>10046</v>
      </c>
      <c r="C2289" s="294" t="s">
        <v>10047</v>
      </c>
      <c r="D2289" s="11"/>
      <c r="E2289" s="11" t="s">
        <v>213</v>
      </c>
      <c r="F2289" s="90">
        <v>10000.0</v>
      </c>
      <c r="G2289" s="285" t="s">
        <v>10048</v>
      </c>
      <c r="H2289" s="11" t="s">
        <v>78</v>
      </c>
      <c r="I2289" s="276">
        <v>9.932896441E9</v>
      </c>
      <c r="J2289" s="11" t="s">
        <v>9814</v>
      </c>
      <c r="K2289" s="12" t="s">
        <v>10049</v>
      </c>
      <c r="L2289" s="13"/>
      <c r="M2289" s="11" t="s">
        <v>8722</v>
      </c>
      <c r="N2289" s="5" t="s">
        <v>10050</v>
      </c>
      <c r="O2289" s="5" t="s">
        <v>26</v>
      </c>
      <c r="P2289" s="5" t="s">
        <v>10051</v>
      </c>
      <c r="Q2289" s="15"/>
      <c r="R2289" s="16" t="s">
        <v>634</v>
      </c>
      <c r="S2289" s="15"/>
      <c r="T2289" s="15"/>
      <c r="U2289" s="15"/>
      <c r="V2289" s="15"/>
      <c r="W2289" s="15"/>
      <c r="X2289" s="15"/>
      <c r="Y2289" s="15"/>
      <c r="Z2289" s="15"/>
      <c r="AA2289" s="15"/>
    </row>
    <row r="2290">
      <c r="A2290" s="5" t="s">
        <v>10045</v>
      </c>
      <c r="B2290" s="6" t="s">
        <v>10052</v>
      </c>
      <c r="C2290" s="40" t="s">
        <v>10053</v>
      </c>
      <c r="D2290" s="11"/>
      <c r="E2290" s="11" t="s">
        <v>130</v>
      </c>
      <c r="F2290" s="90">
        <v>10000.0</v>
      </c>
      <c r="G2290" s="285" t="s">
        <v>10054</v>
      </c>
      <c r="H2290" s="11" t="s">
        <v>507</v>
      </c>
      <c r="I2290" s="276">
        <v>9.881637154E9</v>
      </c>
      <c r="J2290" s="11" t="s">
        <v>4008</v>
      </c>
      <c r="K2290" s="12"/>
      <c r="L2290" s="13"/>
      <c r="M2290" s="14"/>
      <c r="N2290" s="15"/>
      <c r="O2290" s="5" t="s">
        <v>108</v>
      </c>
      <c r="P2290" s="5" t="s">
        <v>10055</v>
      </c>
      <c r="Q2290" s="15"/>
      <c r="R2290" s="16" t="s">
        <v>28</v>
      </c>
      <c r="S2290" s="15"/>
      <c r="T2290" s="15"/>
      <c r="U2290" s="15"/>
      <c r="V2290" s="15"/>
      <c r="W2290" s="15"/>
      <c r="X2290" s="15"/>
      <c r="Y2290" s="15"/>
      <c r="Z2290" s="15"/>
      <c r="AA2290" s="15"/>
    </row>
    <row r="2291">
      <c r="A2291" s="5" t="s">
        <v>10045</v>
      </c>
      <c r="B2291" s="6" t="s">
        <v>10056</v>
      </c>
      <c r="C2291" s="40" t="s">
        <v>10057</v>
      </c>
      <c r="D2291" s="11"/>
      <c r="E2291" s="11" t="s">
        <v>4947</v>
      </c>
      <c r="F2291" s="90">
        <v>26000.0</v>
      </c>
      <c r="G2291" s="285" t="s">
        <v>10058</v>
      </c>
      <c r="H2291" s="11" t="s">
        <v>44</v>
      </c>
      <c r="I2291" s="276">
        <v>9.830559797E9</v>
      </c>
      <c r="J2291" s="11" t="s">
        <v>9814</v>
      </c>
      <c r="K2291" s="12" t="s">
        <v>2995</v>
      </c>
      <c r="L2291" s="13"/>
      <c r="M2291" s="11" t="s">
        <v>9298</v>
      </c>
      <c r="N2291" s="5" t="s">
        <v>10059</v>
      </c>
      <c r="O2291" s="5" t="s">
        <v>26</v>
      </c>
      <c r="P2291" s="286" t="s">
        <v>10060</v>
      </c>
      <c r="Q2291" s="15"/>
      <c r="R2291" s="16" t="s">
        <v>634</v>
      </c>
      <c r="S2291" s="15"/>
      <c r="T2291" s="15"/>
      <c r="U2291" s="15"/>
      <c r="V2291" s="15"/>
      <c r="W2291" s="15"/>
      <c r="X2291" s="15"/>
      <c r="Y2291" s="15"/>
      <c r="Z2291" s="15"/>
      <c r="AA2291" s="15"/>
    </row>
    <row r="2292">
      <c r="A2292" s="5" t="s">
        <v>10045</v>
      </c>
      <c r="B2292" s="6" t="s">
        <v>10061</v>
      </c>
      <c r="C2292" s="40" t="s">
        <v>10062</v>
      </c>
      <c r="D2292" s="40"/>
      <c r="E2292" s="40" t="s">
        <v>10063</v>
      </c>
      <c r="F2292" s="90">
        <v>500.0</v>
      </c>
      <c r="G2292" s="285" t="s">
        <v>10064</v>
      </c>
      <c r="H2292" s="11" t="s">
        <v>44</v>
      </c>
      <c r="I2292" s="276">
        <v>9.674109465E9</v>
      </c>
      <c r="J2292" s="11" t="s">
        <v>4008</v>
      </c>
      <c r="K2292" s="12" t="s">
        <v>10065</v>
      </c>
      <c r="L2292" s="13"/>
      <c r="M2292" s="11" t="s">
        <v>10066</v>
      </c>
      <c r="N2292" s="5" t="s">
        <v>10067</v>
      </c>
      <c r="O2292" s="5" t="s">
        <v>26</v>
      </c>
      <c r="P2292" s="5" t="s">
        <v>5182</v>
      </c>
      <c r="Q2292" s="5" t="s">
        <v>10068</v>
      </c>
      <c r="R2292" s="16" t="s">
        <v>634</v>
      </c>
      <c r="S2292" s="15"/>
      <c r="T2292" s="15"/>
      <c r="U2292" s="15"/>
      <c r="V2292" s="15"/>
      <c r="W2292" s="15"/>
      <c r="X2292" s="15"/>
      <c r="Y2292" s="15"/>
      <c r="Z2292" s="15"/>
      <c r="AA2292" s="15"/>
    </row>
    <row r="2293">
      <c r="A2293" s="5" t="s">
        <v>10045</v>
      </c>
      <c r="B2293" s="6" t="s">
        <v>10069</v>
      </c>
      <c r="C2293" s="40" t="s">
        <v>10070</v>
      </c>
      <c r="D2293" s="11"/>
      <c r="E2293" s="11" t="s">
        <v>167</v>
      </c>
      <c r="F2293" s="90">
        <v>300000.0</v>
      </c>
      <c r="G2293" s="285" t="s">
        <v>10071</v>
      </c>
      <c r="H2293" s="11" t="s">
        <v>742</v>
      </c>
      <c r="I2293" s="276">
        <v>8.977743119E9</v>
      </c>
      <c r="J2293" s="11" t="s">
        <v>7109</v>
      </c>
      <c r="K2293" s="12" t="s">
        <v>0</v>
      </c>
      <c r="L2293" s="13"/>
      <c r="M2293" s="14"/>
      <c r="N2293" s="15"/>
      <c r="O2293" s="5" t="s">
        <v>108</v>
      </c>
      <c r="P2293" s="5" t="s">
        <v>10072</v>
      </c>
      <c r="Q2293" s="15"/>
      <c r="R2293" s="16" t="s">
        <v>28</v>
      </c>
      <c r="S2293" s="15"/>
      <c r="T2293" s="15"/>
      <c r="U2293" s="15"/>
      <c r="V2293" s="15"/>
      <c r="W2293" s="15"/>
      <c r="X2293" s="15"/>
      <c r="Y2293" s="15"/>
      <c r="Z2293" s="15"/>
      <c r="AA2293" s="15"/>
    </row>
    <row r="2294">
      <c r="A2294" s="5" t="s">
        <v>10073</v>
      </c>
      <c r="B2294" s="6" t="s">
        <v>10074</v>
      </c>
      <c r="C2294" s="40" t="s">
        <v>10075</v>
      </c>
      <c r="D2294" s="11"/>
      <c r="E2294" s="11" t="s">
        <v>240</v>
      </c>
      <c r="F2294" s="90">
        <v>25000.0</v>
      </c>
      <c r="G2294" s="285" t="s">
        <v>10076</v>
      </c>
      <c r="H2294" s="11" t="s">
        <v>742</v>
      </c>
      <c r="I2294" s="276">
        <v>6.300509473E9</v>
      </c>
      <c r="J2294" s="11" t="s">
        <v>9814</v>
      </c>
      <c r="K2294" s="12" t="s">
        <v>0</v>
      </c>
      <c r="L2294" s="13"/>
      <c r="M2294" s="14"/>
      <c r="N2294" s="15"/>
      <c r="O2294" s="5" t="s">
        <v>108</v>
      </c>
      <c r="P2294" s="15"/>
      <c r="Q2294" s="15"/>
      <c r="R2294" s="16" t="s">
        <v>28</v>
      </c>
      <c r="S2294" s="15"/>
      <c r="T2294" s="15"/>
      <c r="U2294" s="15"/>
      <c r="V2294" s="15"/>
      <c r="W2294" s="15"/>
      <c r="X2294" s="15"/>
      <c r="Y2294" s="15"/>
      <c r="Z2294" s="15"/>
      <c r="AA2294" s="15"/>
    </row>
    <row r="2295">
      <c r="A2295" s="5" t="s">
        <v>10073</v>
      </c>
      <c r="B2295" s="6" t="s">
        <v>10077</v>
      </c>
      <c r="C2295" s="40" t="s">
        <v>10078</v>
      </c>
      <c r="D2295" s="11"/>
      <c r="E2295" s="11" t="s">
        <v>10079</v>
      </c>
      <c r="F2295" s="90">
        <v>50000.0</v>
      </c>
      <c r="G2295" s="285" t="s">
        <v>10080</v>
      </c>
      <c r="H2295" s="11" t="s">
        <v>1315</v>
      </c>
      <c r="I2295" s="276">
        <v>9.099944397E9</v>
      </c>
      <c r="J2295" s="11" t="s">
        <v>10081</v>
      </c>
      <c r="K2295" s="12" t="s">
        <v>8753</v>
      </c>
      <c r="L2295" s="13"/>
      <c r="M2295" s="14"/>
      <c r="N2295" s="15"/>
      <c r="O2295" s="5" t="s">
        <v>108</v>
      </c>
      <c r="P2295" s="15"/>
      <c r="Q2295" s="15"/>
      <c r="R2295" s="16" t="s">
        <v>28</v>
      </c>
      <c r="S2295" s="15"/>
      <c r="T2295" s="15"/>
      <c r="U2295" s="15"/>
      <c r="V2295" s="15"/>
      <c r="W2295" s="15"/>
      <c r="X2295" s="15"/>
      <c r="Y2295" s="15"/>
      <c r="Z2295" s="15"/>
      <c r="AA2295" s="15"/>
    </row>
    <row r="2296">
      <c r="A2296" s="5" t="s">
        <v>10073</v>
      </c>
      <c r="B2296" s="6" t="s">
        <v>10082</v>
      </c>
      <c r="C2296" s="40" t="s">
        <v>10083</v>
      </c>
      <c r="D2296" s="11"/>
      <c r="E2296" s="11" t="s">
        <v>1230</v>
      </c>
      <c r="F2296" s="90">
        <v>40000.0</v>
      </c>
      <c r="G2296" s="285" t="s">
        <v>10084</v>
      </c>
      <c r="H2296" s="11" t="s">
        <v>44</v>
      </c>
      <c r="I2296" s="276">
        <v>9.800949055E9</v>
      </c>
      <c r="J2296" s="11" t="s">
        <v>9814</v>
      </c>
      <c r="K2296" s="12" t="s">
        <v>9328</v>
      </c>
      <c r="L2296" s="13"/>
      <c r="M2296" s="11" t="s">
        <v>10085</v>
      </c>
      <c r="N2296" s="5" t="s">
        <v>10086</v>
      </c>
      <c r="O2296" s="5" t="s">
        <v>26</v>
      </c>
      <c r="P2296" s="5" t="s">
        <v>27</v>
      </c>
      <c r="Q2296" s="5" t="s">
        <v>8754</v>
      </c>
      <c r="R2296" s="16" t="s">
        <v>634</v>
      </c>
      <c r="S2296" s="15"/>
      <c r="T2296" s="15"/>
      <c r="U2296" s="15"/>
      <c r="V2296" s="15"/>
      <c r="W2296" s="15"/>
      <c r="X2296" s="15"/>
      <c r="Y2296" s="15"/>
      <c r="Z2296" s="15"/>
      <c r="AA2296" s="15"/>
    </row>
    <row r="2297">
      <c r="A2297" s="5" t="s">
        <v>10073</v>
      </c>
      <c r="B2297" s="6" t="s">
        <v>10087</v>
      </c>
      <c r="C2297" s="40" t="s">
        <v>10088</v>
      </c>
      <c r="D2297" s="11"/>
      <c r="E2297" s="11" t="s">
        <v>7868</v>
      </c>
      <c r="F2297" s="90">
        <v>500.0</v>
      </c>
      <c r="G2297" s="285" t="s">
        <v>10089</v>
      </c>
      <c r="H2297" s="11" t="s">
        <v>44</v>
      </c>
      <c r="I2297" s="276">
        <v>9.062424525E9</v>
      </c>
      <c r="J2297" s="11" t="s">
        <v>9814</v>
      </c>
      <c r="K2297" s="12" t="s">
        <v>7973</v>
      </c>
      <c r="L2297" s="13"/>
      <c r="M2297" s="11" t="s">
        <v>10090</v>
      </c>
      <c r="N2297" s="5" t="s">
        <v>10091</v>
      </c>
      <c r="O2297" s="5" t="s">
        <v>26</v>
      </c>
      <c r="P2297" s="5" t="s">
        <v>10092</v>
      </c>
      <c r="Q2297" s="5" t="s">
        <v>10093</v>
      </c>
      <c r="R2297" s="16" t="s">
        <v>634</v>
      </c>
      <c r="S2297" s="15"/>
      <c r="T2297" s="15"/>
      <c r="U2297" s="15"/>
      <c r="V2297" s="15"/>
      <c r="W2297" s="15"/>
      <c r="X2297" s="15"/>
      <c r="Y2297" s="15"/>
      <c r="Z2297" s="15"/>
      <c r="AA2297" s="15"/>
    </row>
    <row r="2298">
      <c r="A2298" s="5" t="s">
        <v>10073</v>
      </c>
      <c r="B2298" s="6" t="s">
        <v>10094</v>
      </c>
      <c r="C2298" s="40" t="s">
        <v>10095</v>
      </c>
      <c r="D2298" s="11"/>
      <c r="E2298" s="11" t="s">
        <v>207</v>
      </c>
      <c r="F2298" s="90">
        <v>2000.0</v>
      </c>
      <c r="G2298" s="285" t="s">
        <v>10096</v>
      </c>
      <c r="H2298" s="11" t="s">
        <v>906</v>
      </c>
      <c r="I2298" s="283" t="s">
        <v>10097</v>
      </c>
      <c r="J2298" s="11" t="s">
        <v>9814</v>
      </c>
      <c r="K2298" s="12" t="s">
        <v>8753</v>
      </c>
      <c r="L2298" s="13"/>
      <c r="M2298" s="14"/>
      <c r="N2298" s="15"/>
      <c r="O2298" s="5" t="s">
        <v>108</v>
      </c>
      <c r="P2298" s="15"/>
      <c r="Q2298" s="15"/>
      <c r="R2298" s="16" t="s">
        <v>28</v>
      </c>
      <c r="S2298" s="15"/>
      <c r="T2298" s="15"/>
      <c r="U2298" s="15"/>
      <c r="V2298" s="15"/>
      <c r="W2298" s="15"/>
      <c r="X2298" s="15"/>
      <c r="Y2298" s="15"/>
      <c r="Z2298" s="15"/>
      <c r="AA2298" s="15"/>
    </row>
    <row r="2299">
      <c r="A2299" s="5" t="s">
        <v>10073</v>
      </c>
      <c r="B2299" s="6" t="s">
        <v>10098</v>
      </c>
      <c r="C2299" s="40" t="s">
        <v>10099</v>
      </c>
      <c r="D2299" s="11"/>
      <c r="E2299" s="11" t="s">
        <v>5293</v>
      </c>
      <c r="F2299" s="90">
        <v>50000.0</v>
      </c>
      <c r="G2299" s="285" t="s">
        <v>10100</v>
      </c>
      <c r="H2299" s="11" t="s">
        <v>44</v>
      </c>
      <c r="I2299" s="276">
        <v>9.073930479E9</v>
      </c>
      <c r="J2299" s="11" t="s">
        <v>9814</v>
      </c>
      <c r="K2299" s="12" t="s">
        <v>8753</v>
      </c>
      <c r="L2299" s="12" t="s">
        <v>10101</v>
      </c>
      <c r="M2299" s="11" t="s">
        <v>10102</v>
      </c>
      <c r="N2299" s="5" t="s">
        <v>10103</v>
      </c>
      <c r="O2299" s="5" t="s">
        <v>26</v>
      </c>
      <c r="P2299" s="5" t="s">
        <v>10104</v>
      </c>
      <c r="Q2299" s="11" t="s">
        <v>10105</v>
      </c>
      <c r="R2299" s="16" t="s">
        <v>634</v>
      </c>
      <c r="S2299" s="15"/>
      <c r="T2299" s="15"/>
      <c r="U2299" s="15"/>
      <c r="V2299" s="15"/>
      <c r="W2299" s="15"/>
      <c r="X2299" s="15"/>
      <c r="Y2299" s="15"/>
      <c r="Z2299" s="15"/>
      <c r="AA2299" s="15"/>
    </row>
    <row r="2300">
      <c r="A2300" s="5" t="s">
        <v>10106</v>
      </c>
      <c r="B2300" s="6" t="s">
        <v>10107</v>
      </c>
      <c r="C2300" s="40" t="s">
        <v>10108</v>
      </c>
      <c r="D2300" s="11"/>
      <c r="E2300" s="11" t="s">
        <v>9809</v>
      </c>
      <c r="F2300" s="90">
        <v>250.0</v>
      </c>
      <c r="G2300" s="285"/>
      <c r="H2300" s="11" t="s">
        <v>1029</v>
      </c>
      <c r="I2300" s="276">
        <v>9.384666108E9</v>
      </c>
      <c r="J2300" s="11" t="s">
        <v>9814</v>
      </c>
      <c r="K2300" s="12" t="s">
        <v>8753</v>
      </c>
      <c r="L2300" s="13"/>
      <c r="M2300" s="14"/>
      <c r="N2300" s="15"/>
      <c r="O2300" s="5" t="s">
        <v>108</v>
      </c>
      <c r="P2300" s="15"/>
      <c r="Q2300" s="15"/>
      <c r="R2300" s="16" t="s">
        <v>28</v>
      </c>
      <c r="S2300" s="15"/>
      <c r="T2300" s="15"/>
      <c r="U2300" s="15"/>
      <c r="V2300" s="15"/>
      <c r="W2300" s="15"/>
      <c r="X2300" s="15"/>
      <c r="Y2300" s="15"/>
      <c r="Z2300" s="15"/>
      <c r="AA2300" s="15"/>
    </row>
    <row r="2301">
      <c r="A2301" s="5" t="s">
        <v>10106</v>
      </c>
      <c r="B2301" s="6" t="s">
        <v>10109</v>
      </c>
      <c r="C2301" s="40" t="s">
        <v>10110</v>
      </c>
      <c r="D2301" s="11"/>
      <c r="E2301" s="11" t="s">
        <v>116</v>
      </c>
      <c r="F2301" s="90">
        <v>250.0</v>
      </c>
      <c r="G2301" s="285" t="s">
        <v>10111</v>
      </c>
      <c r="H2301" s="11" t="s">
        <v>906</v>
      </c>
      <c r="I2301" s="276">
        <v>9.689662211E9</v>
      </c>
      <c r="J2301" s="11" t="s">
        <v>9814</v>
      </c>
      <c r="K2301" s="12" t="s">
        <v>8753</v>
      </c>
      <c r="L2301" s="13"/>
      <c r="M2301" s="14"/>
      <c r="N2301" s="5" t="s">
        <v>2262</v>
      </c>
      <c r="O2301" s="5" t="s">
        <v>108</v>
      </c>
      <c r="P2301" s="15"/>
      <c r="Q2301" s="15"/>
      <c r="R2301" s="16" t="s">
        <v>28</v>
      </c>
      <c r="S2301" s="15"/>
      <c r="T2301" s="15"/>
      <c r="U2301" s="15"/>
      <c r="V2301" s="15"/>
      <c r="W2301" s="15"/>
      <c r="X2301" s="15"/>
      <c r="Y2301" s="15"/>
      <c r="Z2301" s="15"/>
      <c r="AA2301" s="15"/>
    </row>
    <row r="2302">
      <c r="A2302" s="5" t="s">
        <v>10106</v>
      </c>
      <c r="B2302" s="6" t="s">
        <v>10112</v>
      </c>
      <c r="C2302" s="40" t="s">
        <v>10113</v>
      </c>
      <c r="D2302" s="11"/>
      <c r="E2302" s="11" t="s">
        <v>9050</v>
      </c>
      <c r="F2302" s="90">
        <v>200.0</v>
      </c>
      <c r="G2302" s="285" t="s">
        <v>10114</v>
      </c>
      <c r="H2302" s="11" t="s">
        <v>44</v>
      </c>
      <c r="I2302" s="276">
        <v>8.910068736E9</v>
      </c>
      <c r="J2302" s="11" t="s">
        <v>9814</v>
      </c>
      <c r="K2302" s="12"/>
      <c r="L2302" s="13"/>
      <c r="M2302" s="14"/>
      <c r="N2302" s="15"/>
      <c r="O2302" s="5" t="s">
        <v>26</v>
      </c>
      <c r="P2302" s="15"/>
      <c r="Q2302" s="15"/>
      <c r="R2302" s="16" t="s">
        <v>28</v>
      </c>
      <c r="S2302" s="15"/>
      <c r="T2302" s="15"/>
      <c r="U2302" s="15"/>
      <c r="V2302" s="15"/>
      <c r="W2302" s="15"/>
      <c r="X2302" s="15"/>
      <c r="Y2302" s="15"/>
      <c r="Z2302" s="15"/>
      <c r="AA2302" s="15"/>
    </row>
    <row r="2303">
      <c r="A2303" s="5" t="s">
        <v>10106</v>
      </c>
      <c r="B2303" s="6" t="s">
        <v>10115</v>
      </c>
      <c r="C2303" s="62" t="s">
        <v>10116</v>
      </c>
      <c r="D2303" s="11"/>
      <c r="E2303" s="11" t="s">
        <v>10117</v>
      </c>
      <c r="F2303" s="90">
        <v>500.0</v>
      </c>
      <c r="G2303" s="285" t="s">
        <v>10118</v>
      </c>
      <c r="H2303" s="11" t="s">
        <v>44</v>
      </c>
      <c r="I2303" s="276">
        <v>9.330984878E9</v>
      </c>
      <c r="J2303" s="11" t="s">
        <v>9814</v>
      </c>
      <c r="K2303" s="12"/>
      <c r="L2303" s="13"/>
      <c r="M2303" s="11" t="s">
        <v>10119</v>
      </c>
      <c r="N2303" s="5" t="s">
        <v>10120</v>
      </c>
      <c r="O2303" s="5" t="s">
        <v>34</v>
      </c>
      <c r="P2303" s="5" t="s">
        <v>8466</v>
      </c>
      <c r="Q2303" s="5" t="s">
        <v>55</v>
      </c>
      <c r="R2303" s="16" t="s">
        <v>634</v>
      </c>
      <c r="S2303" s="15"/>
      <c r="T2303" s="15"/>
      <c r="U2303" s="15"/>
      <c r="V2303" s="15"/>
      <c r="W2303" s="15"/>
      <c r="X2303" s="15"/>
      <c r="Y2303" s="15"/>
      <c r="Z2303" s="15"/>
      <c r="AA2303" s="15"/>
    </row>
    <row r="2304">
      <c r="A2304" s="5" t="s">
        <v>10106</v>
      </c>
      <c r="B2304" s="6" t="s">
        <v>10121</v>
      </c>
      <c r="C2304" s="40" t="s">
        <v>10122</v>
      </c>
      <c r="D2304" s="11"/>
      <c r="E2304" s="11" t="s">
        <v>10123</v>
      </c>
      <c r="F2304" s="90">
        <v>250.0</v>
      </c>
      <c r="G2304" s="285" t="s">
        <v>10124</v>
      </c>
      <c r="H2304" s="11" t="s">
        <v>398</v>
      </c>
      <c r="I2304" s="276">
        <v>7.64908576E9</v>
      </c>
      <c r="J2304" s="11" t="s">
        <v>9814</v>
      </c>
      <c r="K2304" s="12" t="s">
        <v>8753</v>
      </c>
      <c r="L2304" s="13"/>
      <c r="M2304" s="14"/>
      <c r="N2304" s="15"/>
      <c r="O2304" s="5" t="s">
        <v>108</v>
      </c>
      <c r="P2304" s="15"/>
      <c r="Q2304" s="15"/>
      <c r="R2304" s="16" t="s">
        <v>28</v>
      </c>
      <c r="S2304" s="15"/>
      <c r="T2304" s="15"/>
      <c r="U2304" s="15"/>
      <c r="V2304" s="15"/>
      <c r="W2304" s="15"/>
      <c r="X2304" s="15"/>
      <c r="Y2304" s="15"/>
      <c r="Z2304" s="15"/>
      <c r="AA2304" s="15"/>
    </row>
    <row r="2305">
      <c r="A2305" s="5" t="s">
        <v>10106</v>
      </c>
      <c r="B2305" s="6" t="s">
        <v>10125</v>
      </c>
      <c r="C2305" s="40" t="s">
        <v>10126</v>
      </c>
      <c r="D2305" s="11"/>
      <c r="E2305" s="11" t="s">
        <v>10127</v>
      </c>
      <c r="F2305" s="90">
        <v>2000.0</v>
      </c>
      <c r="G2305" s="285"/>
      <c r="H2305" s="11" t="s">
        <v>44</v>
      </c>
      <c r="I2305" s="276"/>
      <c r="J2305" s="11" t="s">
        <v>9814</v>
      </c>
      <c r="K2305" s="12"/>
      <c r="L2305" s="13"/>
      <c r="M2305" s="11" t="s">
        <v>10128</v>
      </c>
      <c r="N2305" s="15"/>
      <c r="O2305" s="5" t="s">
        <v>108</v>
      </c>
      <c r="P2305" s="15"/>
      <c r="Q2305" s="15"/>
      <c r="R2305" s="16" t="s">
        <v>28</v>
      </c>
      <c r="S2305" s="15"/>
      <c r="T2305" s="15"/>
      <c r="U2305" s="15"/>
      <c r="V2305" s="15"/>
      <c r="W2305" s="15"/>
      <c r="X2305" s="15"/>
      <c r="Y2305" s="15"/>
      <c r="Z2305" s="15"/>
      <c r="AA2305" s="15"/>
    </row>
    <row r="2306">
      <c r="A2306" s="5" t="s">
        <v>10106</v>
      </c>
      <c r="B2306" s="6" t="s">
        <v>10129</v>
      </c>
      <c r="C2306" s="62" t="s">
        <v>10130</v>
      </c>
      <c r="D2306" s="11"/>
      <c r="E2306" s="11" t="s">
        <v>10131</v>
      </c>
      <c r="F2306" s="90">
        <v>200.0</v>
      </c>
      <c r="G2306" s="285"/>
      <c r="H2306" s="11" t="s">
        <v>6333</v>
      </c>
      <c r="I2306" s="276">
        <v>9.874817228E9</v>
      </c>
      <c r="J2306" s="11" t="s">
        <v>9814</v>
      </c>
      <c r="K2306" s="12"/>
      <c r="L2306" s="13"/>
      <c r="M2306" s="14"/>
      <c r="N2306" s="15"/>
      <c r="O2306" s="5" t="s">
        <v>26</v>
      </c>
      <c r="P2306" s="5" t="s">
        <v>10132</v>
      </c>
      <c r="Q2306" s="15"/>
      <c r="R2306" s="16" t="s">
        <v>28</v>
      </c>
      <c r="S2306" s="15"/>
      <c r="T2306" s="15"/>
      <c r="U2306" s="15"/>
      <c r="V2306" s="15"/>
      <c r="W2306" s="15"/>
      <c r="X2306" s="15"/>
      <c r="Y2306" s="15"/>
      <c r="Z2306" s="15"/>
      <c r="AA2306" s="15"/>
    </row>
    <row r="2307">
      <c r="A2307" s="5" t="s">
        <v>10106</v>
      </c>
      <c r="B2307" s="6" t="s">
        <v>10133</v>
      </c>
      <c r="C2307" s="40" t="s">
        <v>10134</v>
      </c>
      <c r="D2307" s="11"/>
      <c r="E2307" s="11" t="s">
        <v>10135</v>
      </c>
      <c r="F2307" s="90">
        <v>150.0</v>
      </c>
      <c r="G2307" s="285" t="s">
        <v>10136</v>
      </c>
      <c r="H2307" s="11" t="s">
        <v>99</v>
      </c>
      <c r="I2307" s="276">
        <v>8.249866898E9</v>
      </c>
      <c r="J2307" s="11" t="s">
        <v>9814</v>
      </c>
      <c r="K2307" s="12"/>
      <c r="L2307" s="12" t="s">
        <v>10137</v>
      </c>
      <c r="M2307" s="11" t="s">
        <v>10138</v>
      </c>
      <c r="N2307" s="5" t="s">
        <v>10139</v>
      </c>
      <c r="O2307" s="5" t="s">
        <v>108</v>
      </c>
      <c r="P2307" s="15"/>
      <c r="Q2307" s="15"/>
      <c r="R2307" s="16" t="s">
        <v>634</v>
      </c>
      <c r="S2307" s="15"/>
      <c r="T2307" s="15"/>
      <c r="U2307" s="15"/>
      <c r="V2307" s="15"/>
      <c r="W2307" s="15"/>
      <c r="X2307" s="15"/>
      <c r="Y2307" s="15"/>
      <c r="Z2307" s="15"/>
      <c r="AA2307" s="15"/>
    </row>
    <row r="2308">
      <c r="A2308" s="5" t="s">
        <v>10106</v>
      </c>
      <c r="B2308" s="6" t="s">
        <v>10140</v>
      </c>
      <c r="C2308" s="40" t="s">
        <v>10141</v>
      </c>
      <c r="D2308" s="11"/>
      <c r="E2308" s="11" t="s">
        <v>152</v>
      </c>
      <c r="F2308" s="90">
        <v>1000.0</v>
      </c>
      <c r="G2308" s="285" t="s">
        <v>10142</v>
      </c>
      <c r="H2308" s="11" t="s">
        <v>507</v>
      </c>
      <c r="I2308" s="276">
        <v>7.719058844E9</v>
      </c>
      <c r="J2308" s="11" t="s">
        <v>9814</v>
      </c>
      <c r="K2308" s="12" t="s">
        <v>8677</v>
      </c>
      <c r="L2308" s="13"/>
      <c r="M2308" s="14"/>
      <c r="N2308" s="15"/>
      <c r="O2308" s="5" t="s">
        <v>108</v>
      </c>
      <c r="P2308" s="15"/>
      <c r="Q2308" s="15"/>
      <c r="R2308" s="16" t="s">
        <v>28</v>
      </c>
      <c r="S2308" s="15"/>
      <c r="T2308" s="15"/>
      <c r="U2308" s="15"/>
      <c r="V2308" s="15"/>
      <c r="W2308" s="15"/>
      <c r="X2308" s="15"/>
      <c r="Y2308" s="15"/>
      <c r="Z2308" s="15"/>
      <c r="AA2308" s="15"/>
    </row>
    <row r="2309">
      <c r="A2309" s="5" t="s">
        <v>10106</v>
      </c>
      <c r="B2309" s="6" t="s">
        <v>10143</v>
      </c>
      <c r="C2309" s="40" t="s">
        <v>10144</v>
      </c>
      <c r="D2309" s="11"/>
      <c r="E2309" s="11" t="s">
        <v>130</v>
      </c>
      <c r="F2309" s="90">
        <v>6000.0</v>
      </c>
      <c r="G2309" s="285" t="s">
        <v>10145</v>
      </c>
      <c r="H2309" s="11" t="s">
        <v>507</v>
      </c>
      <c r="I2309" s="276">
        <v>8.698988885E9</v>
      </c>
      <c r="J2309" s="11" t="s">
        <v>9814</v>
      </c>
      <c r="K2309" s="12"/>
      <c r="L2309" s="13"/>
      <c r="M2309" s="11" t="s">
        <v>10146</v>
      </c>
      <c r="N2309" s="5" t="s">
        <v>10147</v>
      </c>
      <c r="O2309" s="5" t="s">
        <v>108</v>
      </c>
      <c r="P2309" s="15"/>
      <c r="Q2309" s="15"/>
      <c r="R2309" s="16" t="s">
        <v>634</v>
      </c>
      <c r="S2309" s="15"/>
      <c r="T2309" s="15"/>
      <c r="U2309" s="15"/>
      <c r="V2309" s="15"/>
      <c r="W2309" s="15"/>
      <c r="X2309" s="15"/>
      <c r="Y2309" s="15"/>
      <c r="Z2309" s="15"/>
      <c r="AA2309" s="15"/>
    </row>
    <row r="2310">
      <c r="A2310" s="5" t="s">
        <v>10148</v>
      </c>
      <c r="B2310" s="6" t="s">
        <v>10149</v>
      </c>
      <c r="C2310" s="40" t="s">
        <v>10150</v>
      </c>
      <c r="D2310" s="11"/>
      <c r="E2310" s="11" t="s">
        <v>5293</v>
      </c>
      <c r="F2310" s="90">
        <v>2000.0</v>
      </c>
      <c r="G2310" s="285" t="s">
        <v>5962</v>
      </c>
      <c r="H2310" s="11" t="s">
        <v>44</v>
      </c>
      <c r="I2310" s="276">
        <v>9.830031351E9</v>
      </c>
      <c r="J2310" s="11" t="s">
        <v>9814</v>
      </c>
      <c r="K2310" s="12" t="s">
        <v>8677</v>
      </c>
      <c r="L2310" s="12" t="s">
        <v>10151</v>
      </c>
      <c r="M2310" s="11" t="s">
        <v>10152</v>
      </c>
      <c r="N2310" s="5" t="s">
        <v>10153</v>
      </c>
      <c r="O2310" s="5" t="s">
        <v>26</v>
      </c>
      <c r="P2310" s="11" t="s">
        <v>10154</v>
      </c>
      <c r="Q2310" s="15"/>
      <c r="R2310" s="16" t="s">
        <v>634</v>
      </c>
      <c r="S2310" s="15"/>
      <c r="T2310" s="15"/>
      <c r="U2310" s="15"/>
      <c r="V2310" s="15"/>
      <c r="W2310" s="15"/>
      <c r="X2310" s="15"/>
      <c r="Y2310" s="15"/>
      <c r="Z2310" s="15"/>
      <c r="AA2310" s="15"/>
    </row>
    <row r="2311">
      <c r="A2311" s="5" t="s">
        <v>10148</v>
      </c>
      <c r="B2311" s="6" t="s">
        <v>10155</v>
      </c>
      <c r="C2311" s="40" t="s">
        <v>9752</v>
      </c>
      <c r="D2311" s="11"/>
      <c r="E2311" s="11" t="s">
        <v>3489</v>
      </c>
      <c r="F2311" s="90">
        <v>40000.0</v>
      </c>
      <c r="G2311" s="285" t="s">
        <v>9753</v>
      </c>
      <c r="H2311" s="11" t="s">
        <v>184</v>
      </c>
      <c r="I2311" s="276">
        <v>7.903931916E9</v>
      </c>
      <c r="J2311" s="11" t="s">
        <v>9814</v>
      </c>
      <c r="K2311" s="12" t="s">
        <v>8753</v>
      </c>
      <c r="L2311" s="13"/>
      <c r="M2311" s="14"/>
      <c r="N2311" s="15"/>
      <c r="O2311" s="5" t="s">
        <v>26</v>
      </c>
      <c r="P2311" s="15"/>
      <c r="Q2311" s="15"/>
      <c r="R2311" s="16" t="s">
        <v>28</v>
      </c>
      <c r="S2311" s="15"/>
      <c r="T2311" s="15"/>
      <c r="U2311" s="15"/>
      <c r="V2311" s="15"/>
      <c r="W2311" s="15"/>
      <c r="X2311" s="15"/>
      <c r="Y2311" s="15"/>
      <c r="Z2311" s="15"/>
      <c r="AA2311" s="15"/>
    </row>
    <row r="2312">
      <c r="A2312" s="5" t="s">
        <v>10148</v>
      </c>
      <c r="B2312" s="6" t="s">
        <v>10156</v>
      </c>
      <c r="C2312" s="40" t="s">
        <v>10157</v>
      </c>
      <c r="D2312" s="11"/>
      <c r="E2312" s="11" t="s">
        <v>5502</v>
      </c>
      <c r="F2312" s="90">
        <v>100000.0</v>
      </c>
      <c r="G2312" s="285" t="s">
        <v>10158</v>
      </c>
      <c r="H2312" s="11" t="s">
        <v>9094</v>
      </c>
      <c r="I2312" s="283" t="s">
        <v>10159</v>
      </c>
      <c r="J2312" s="11" t="s">
        <v>9814</v>
      </c>
      <c r="K2312" s="12" t="s">
        <v>8753</v>
      </c>
      <c r="L2312" s="12" t="s">
        <v>10160</v>
      </c>
      <c r="M2312" s="11" t="s">
        <v>10161</v>
      </c>
      <c r="N2312" s="5" t="s">
        <v>10162</v>
      </c>
      <c r="O2312" s="5" t="s">
        <v>108</v>
      </c>
      <c r="P2312" s="15"/>
      <c r="Q2312" s="15"/>
      <c r="R2312" s="16" t="s">
        <v>634</v>
      </c>
      <c r="S2312" s="15"/>
      <c r="T2312" s="15"/>
      <c r="U2312" s="15"/>
      <c r="V2312" s="15"/>
      <c r="W2312" s="15"/>
      <c r="X2312" s="15"/>
      <c r="Y2312" s="15"/>
      <c r="Z2312" s="15"/>
      <c r="AA2312" s="15"/>
    </row>
    <row r="2313">
      <c r="A2313" s="5" t="s">
        <v>10148</v>
      </c>
      <c r="B2313" s="6" t="s">
        <v>10163</v>
      </c>
      <c r="C2313" s="62" t="s">
        <v>10164</v>
      </c>
      <c r="D2313" s="11"/>
      <c r="E2313" s="11" t="s">
        <v>77</v>
      </c>
      <c r="F2313" s="90">
        <v>1000.0</v>
      </c>
      <c r="G2313" s="285" t="s">
        <v>10165</v>
      </c>
      <c r="H2313" s="11" t="s">
        <v>184</v>
      </c>
      <c r="I2313" s="276">
        <v>8.789761781E9</v>
      </c>
      <c r="J2313" s="11" t="s">
        <v>9814</v>
      </c>
      <c r="K2313" s="12"/>
      <c r="L2313" s="13"/>
      <c r="M2313" s="11" t="s">
        <v>9901</v>
      </c>
      <c r="N2313" s="5" t="s">
        <v>10166</v>
      </c>
      <c r="O2313" s="5" t="s">
        <v>34</v>
      </c>
      <c r="P2313" s="5" t="s">
        <v>6625</v>
      </c>
      <c r="Q2313" s="15"/>
      <c r="R2313" s="16" t="s">
        <v>634</v>
      </c>
      <c r="S2313" s="15"/>
      <c r="T2313" s="15"/>
      <c r="U2313" s="15"/>
      <c r="V2313" s="15"/>
      <c r="W2313" s="15"/>
      <c r="X2313" s="15"/>
      <c r="Y2313" s="15"/>
      <c r="Z2313" s="15"/>
      <c r="AA2313" s="15"/>
    </row>
    <row r="2314">
      <c r="A2314" s="5" t="s">
        <v>10148</v>
      </c>
      <c r="B2314" s="6" t="s">
        <v>10167</v>
      </c>
      <c r="C2314" s="40" t="s">
        <v>10168</v>
      </c>
      <c r="D2314" s="11"/>
      <c r="E2314" s="11" t="s">
        <v>5172</v>
      </c>
      <c r="F2314" s="90">
        <v>500.0</v>
      </c>
      <c r="G2314" s="285" t="s">
        <v>10169</v>
      </c>
      <c r="H2314" s="11" t="s">
        <v>422</v>
      </c>
      <c r="I2314" s="276">
        <v>9.83152028E9</v>
      </c>
      <c r="J2314" s="11" t="s">
        <v>9814</v>
      </c>
      <c r="K2314" s="12"/>
      <c r="L2314" s="12" t="s">
        <v>10170</v>
      </c>
      <c r="M2314" s="11" t="s">
        <v>10171</v>
      </c>
      <c r="N2314" s="5" t="s">
        <v>10172</v>
      </c>
      <c r="O2314" s="5" t="s">
        <v>34</v>
      </c>
      <c r="P2314" s="5" t="s">
        <v>6261</v>
      </c>
      <c r="Q2314" s="15"/>
      <c r="R2314" s="16" t="s">
        <v>634</v>
      </c>
      <c r="S2314" s="15"/>
      <c r="T2314" s="15"/>
      <c r="U2314" s="15"/>
      <c r="V2314" s="15"/>
      <c r="W2314" s="15"/>
      <c r="X2314" s="15"/>
      <c r="Y2314" s="15"/>
      <c r="Z2314" s="15"/>
      <c r="AA2314" s="15"/>
    </row>
    <row r="2315">
      <c r="A2315" s="5" t="s">
        <v>10173</v>
      </c>
      <c r="B2315" s="6" t="s">
        <v>10174</v>
      </c>
      <c r="C2315" s="40" t="s">
        <v>10175</v>
      </c>
      <c r="D2315" s="11"/>
      <c r="E2315" s="11" t="s">
        <v>5014</v>
      </c>
      <c r="F2315" s="90">
        <v>500.0</v>
      </c>
      <c r="G2315" s="285" t="s">
        <v>10176</v>
      </c>
      <c r="H2315" s="11" t="s">
        <v>906</v>
      </c>
      <c r="I2315" s="276">
        <v>9.833543349E9</v>
      </c>
      <c r="J2315" s="11" t="s">
        <v>9814</v>
      </c>
      <c r="K2315" s="12" t="s">
        <v>8753</v>
      </c>
      <c r="L2315" s="13"/>
      <c r="M2315" s="11" t="s">
        <v>10177</v>
      </c>
      <c r="N2315" s="5" t="s">
        <v>10178</v>
      </c>
      <c r="O2315" s="5" t="s">
        <v>108</v>
      </c>
      <c r="P2315" s="15"/>
      <c r="Q2315" s="15"/>
      <c r="R2315" s="16" t="s">
        <v>634</v>
      </c>
      <c r="S2315" s="15"/>
      <c r="T2315" s="15"/>
      <c r="U2315" s="15"/>
      <c r="V2315" s="15"/>
      <c r="W2315" s="15"/>
      <c r="X2315" s="15"/>
      <c r="Y2315" s="15"/>
      <c r="Z2315" s="15"/>
      <c r="AA2315" s="15"/>
    </row>
    <row r="2316">
      <c r="A2316" s="5" t="s">
        <v>10173</v>
      </c>
      <c r="B2316" s="6" t="s">
        <v>10179</v>
      </c>
      <c r="C2316" s="238" t="s">
        <v>10180</v>
      </c>
      <c r="D2316" s="11"/>
      <c r="E2316" s="11" t="s">
        <v>523</v>
      </c>
      <c r="F2316" s="90">
        <v>3000.0</v>
      </c>
      <c r="G2316" s="285" t="s">
        <v>10181</v>
      </c>
      <c r="H2316" s="11" t="s">
        <v>10182</v>
      </c>
      <c r="I2316" s="276">
        <v>8.348396235E9</v>
      </c>
      <c r="J2316" s="11" t="s">
        <v>9814</v>
      </c>
      <c r="K2316" s="12" t="s">
        <v>10183</v>
      </c>
      <c r="L2316" s="13"/>
      <c r="M2316" s="11" t="s">
        <v>10184</v>
      </c>
      <c r="N2316" s="5" t="s">
        <v>10185</v>
      </c>
      <c r="O2316" s="5" t="s">
        <v>26</v>
      </c>
      <c r="P2316" s="5" t="s">
        <v>10186</v>
      </c>
      <c r="Q2316" s="5" t="s">
        <v>3287</v>
      </c>
      <c r="R2316" s="16" t="s">
        <v>634</v>
      </c>
      <c r="S2316" s="15"/>
      <c r="T2316" s="15"/>
      <c r="U2316" s="15"/>
      <c r="V2316" s="15"/>
      <c r="W2316" s="15"/>
      <c r="X2316" s="15"/>
      <c r="Y2316" s="15"/>
      <c r="Z2316" s="15"/>
      <c r="AA2316" s="15"/>
    </row>
    <row r="2317">
      <c r="A2317" s="5" t="s">
        <v>10173</v>
      </c>
      <c r="B2317" s="6" t="s">
        <v>10187</v>
      </c>
      <c r="C2317" s="40" t="s">
        <v>10188</v>
      </c>
      <c r="D2317" s="11"/>
      <c r="E2317" s="11" t="s">
        <v>10189</v>
      </c>
      <c r="F2317" s="90">
        <v>100000.0</v>
      </c>
      <c r="G2317" s="285" t="s">
        <v>10190</v>
      </c>
      <c r="H2317" s="11" t="s">
        <v>519</v>
      </c>
      <c r="I2317" s="276">
        <v>7.575090266E9</v>
      </c>
      <c r="J2317" s="11" t="s">
        <v>9814</v>
      </c>
      <c r="K2317" s="12" t="s">
        <v>8753</v>
      </c>
      <c r="L2317" s="13"/>
      <c r="M2317" s="11" t="s">
        <v>6277</v>
      </c>
      <c r="N2317" s="15"/>
      <c r="O2317" s="5" t="s">
        <v>108</v>
      </c>
      <c r="P2317" s="15"/>
      <c r="Q2317" s="15"/>
      <c r="R2317" s="16" t="s">
        <v>28</v>
      </c>
      <c r="S2317" s="15"/>
      <c r="T2317" s="15"/>
      <c r="U2317" s="15"/>
      <c r="V2317" s="15"/>
      <c r="W2317" s="15"/>
      <c r="X2317" s="15"/>
      <c r="Y2317" s="15"/>
      <c r="Z2317" s="15"/>
      <c r="AA2317" s="15"/>
    </row>
    <row r="2318">
      <c r="A2318" s="5" t="s">
        <v>10173</v>
      </c>
      <c r="B2318" s="6" t="s">
        <v>10191</v>
      </c>
      <c r="C2318" s="40" t="s">
        <v>10192</v>
      </c>
      <c r="D2318" s="11"/>
      <c r="E2318" s="11" t="s">
        <v>189</v>
      </c>
      <c r="F2318" s="90">
        <v>10000.0</v>
      </c>
      <c r="G2318" s="285" t="s">
        <v>10193</v>
      </c>
      <c r="H2318" s="11" t="s">
        <v>6241</v>
      </c>
      <c r="I2318" s="276">
        <v>9.735342691E9</v>
      </c>
      <c r="J2318" s="11" t="s">
        <v>9814</v>
      </c>
      <c r="K2318" s="12" t="s">
        <v>8542</v>
      </c>
      <c r="L2318" s="13"/>
      <c r="M2318" s="11" t="s">
        <v>7965</v>
      </c>
      <c r="N2318" s="5" t="s">
        <v>10194</v>
      </c>
      <c r="O2318" s="5" t="s">
        <v>26</v>
      </c>
      <c r="P2318" s="11" t="s">
        <v>10195</v>
      </c>
      <c r="Q2318" s="15"/>
      <c r="R2318" s="16" t="s">
        <v>634</v>
      </c>
      <c r="S2318" s="15"/>
      <c r="T2318" s="15"/>
      <c r="U2318" s="15"/>
      <c r="V2318" s="15"/>
      <c r="W2318" s="15"/>
      <c r="X2318" s="15"/>
      <c r="Y2318" s="15"/>
      <c r="Z2318" s="15"/>
      <c r="AA2318" s="15"/>
    </row>
    <row r="2319">
      <c r="A2319" s="5" t="s">
        <v>10173</v>
      </c>
      <c r="B2319" s="6" t="s">
        <v>10196</v>
      </c>
      <c r="C2319" s="40" t="s">
        <v>10197</v>
      </c>
      <c r="D2319" s="11"/>
      <c r="E2319" s="11" t="s">
        <v>2554</v>
      </c>
      <c r="F2319" s="90">
        <v>100.0</v>
      </c>
      <c r="G2319" s="285" t="s">
        <v>10198</v>
      </c>
      <c r="H2319" s="11" t="s">
        <v>44</v>
      </c>
      <c r="I2319" s="276">
        <v>9.903311394E9</v>
      </c>
      <c r="J2319" s="11" t="s">
        <v>9814</v>
      </c>
      <c r="K2319" s="12" t="s">
        <v>10199</v>
      </c>
      <c r="L2319" s="13"/>
      <c r="M2319" s="11" t="s">
        <v>10200</v>
      </c>
      <c r="N2319" s="5" t="s">
        <v>10201</v>
      </c>
      <c r="O2319" s="5" t="s">
        <v>26</v>
      </c>
      <c r="P2319" s="5" t="s">
        <v>10202</v>
      </c>
      <c r="Q2319" s="15"/>
      <c r="R2319" s="16" t="s">
        <v>634</v>
      </c>
      <c r="S2319" s="15"/>
      <c r="T2319" s="15"/>
      <c r="U2319" s="15"/>
      <c r="V2319" s="15"/>
      <c r="W2319" s="15"/>
      <c r="X2319" s="15"/>
      <c r="Y2319" s="15"/>
      <c r="Z2319" s="15"/>
      <c r="AA2319" s="15"/>
    </row>
    <row r="2320">
      <c r="A2320" s="5" t="s">
        <v>10173</v>
      </c>
      <c r="B2320" s="6" t="s">
        <v>10203</v>
      </c>
      <c r="C2320" s="40" t="s">
        <v>10204</v>
      </c>
      <c r="D2320" s="11"/>
      <c r="E2320" s="11" t="s">
        <v>130</v>
      </c>
      <c r="F2320" s="90">
        <v>15000.0</v>
      </c>
      <c r="G2320" s="285" t="s">
        <v>10205</v>
      </c>
      <c r="H2320" s="11" t="s">
        <v>507</v>
      </c>
      <c r="I2320" s="276">
        <v>8.668421496E9</v>
      </c>
      <c r="J2320" s="11" t="s">
        <v>9814</v>
      </c>
      <c r="K2320" s="12" t="s">
        <v>10206</v>
      </c>
      <c r="L2320" s="13"/>
      <c r="M2320" s="11" t="s">
        <v>9742</v>
      </c>
      <c r="N2320" s="5" t="s">
        <v>10207</v>
      </c>
      <c r="O2320" s="5" t="s">
        <v>108</v>
      </c>
      <c r="P2320" s="15"/>
      <c r="Q2320" s="15"/>
      <c r="R2320" s="16" t="s">
        <v>634</v>
      </c>
      <c r="S2320" s="15"/>
      <c r="T2320" s="15"/>
      <c r="U2320" s="15"/>
      <c r="V2320" s="15"/>
      <c r="W2320" s="15"/>
      <c r="X2320" s="15"/>
      <c r="Y2320" s="15"/>
      <c r="Z2320" s="15"/>
      <c r="AA2320" s="15"/>
    </row>
    <row r="2321">
      <c r="A2321" s="5" t="s">
        <v>10173</v>
      </c>
      <c r="B2321" s="6" t="s">
        <v>10208</v>
      </c>
      <c r="C2321" s="40" t="s">
        <v>10209</v>
      </c>
      <c r="D2321" s="11"/>
      <c r="E2321" s="11" t="s">
        <v>167</v>
      </c>
      <c r="F2321" s="90">
        <v>100.0</v>
      </c>
      <c r="G2321" s="285" t="s">
        <v>10210</v>
      </c>
      <c r="H2321" s="11" t="s">
        <v>2662</v>
      </c>
      <c r="I2321" s="276">
        <v>8.870728265E9</v>
      </c>
      <c r="J2321" s="11" t="s">
        <v>9814</v>
      </c>
      <c r="K2321" s="12"/>
      <c r="L2321" s="13"/>
      <c r="M2321" s="11" t="s">
        <v>10211</v>
      </c>
      <c r="N2321" s="5" t="s">
        <v>10212</v>
      </c>
      <c r="O2321" s="5" t="s">
        <v>108</v>
      </c>
      <c r="P2321" s="15"/>
      <c r="Q2321" s="15"/>
      <c r="R2321" s="16" t="s">
        <v>634</v>
      </c>
      <c r="S2321" s="15"/>
      <c r="T2321" s="15"/>
      <c r="U2321" s="15"/>
      <c r="V2321" s="15"/>
      <c r="W2321" s="15"/>
      <c r="X2321" s="15"/>
      <c r="Y2321" s="15"/>
      <c r="Z2321" s="15"/>
      <c r="AA2321" s="15"/>
    </row>
    <row r="2322">
      <c r="A2322" s="5" t="s">
        <v>10213</v>
      </c>
      <c r="B2322" s="6" t="s">
        <v>10214</v>
      </c>
      <c r="C2322" s="40" t="s">
        <v>10215</v>
      </c>
      <c r="D2322" s="11"/>
      <c r="E2322" s="11" t="s">
        <v>10216</v>
      </c>
      <c r="F2322" s="90">
        <v>3500.0</v>
      </c>
      <c r="G2322" s="285" t="s">
        <v>10217</v>
      </c>
      <c r="H2322" s="11" t="s">
        <v>107</v>
      </c>
      <c r="I2322" s="276">
        <v>7.827649429E9</v>
      </c>
      <c r="J2322" s="11" t="s">
        <v>9814</v>
      </c>
      <c r="K2322" s="12"/>
      <c r="L2322" s="13"/>
      <c r="M2322" s="11" t="s">
        <v>10218</v>
      </c>
      <c r="N2322" s="5" t="s">
        <v>10219</v>
      </c>
      <c r="O2322" s="5" t="s">
        <v>108</v>
      </c>
      <c r="P2322" s="15"/>
      <c r="Q2322" s="15"/>
      <c r="R2322" s="16" t="s">
        <v>634</v>
      </c>
      <c r="S2322" s="15"/>
      <c r="T2322" s="15"/>
      <c r="U2322" s="15"/>
      <c r="V2322" s="15"/>
      <c r="W2322" s="15"/>
      <c r="X2322" s="15"/>
      <c r="Y2322" s="15"/>
      <c r="Z2322" s="15"/>
      <c r="AA2322" s="15"/>
    </row>
    <row r="2323">
      <c r="A2323" s="233" t="s">
        <v>10213</v>
      </c>
      <c r="B2323" s="6" t="s">
        <v>10220</v>
      </c>
      <c r="C2323" s="40" t="s">
        <v>10221</v>
      </c>
      <c r="D2323" s="11"/>
      <c r="E2323" s="11" t="s">
        <v>753</v>
      </c>
      <c r="F2323" s="90">
        <v>50000.0</v>
      </c>
      <c r="G2323" s="285" t="s">
        <v>10222</v>
      </c>
      <c r="H2323" s="11" t="s">
        <v>977</v>
      </c>
      <c r="I2323" s="276">
        <v>7.439479215E9</v>
      </c>
      <c r="J2323" s="11" t="s">
        <v>9814</v>
      </c>
      <c r="K2323" s="12" t="s">
        <v>6071</v>
      </c>
      <c r="L2323" s="13"/>
      <c r="M2323" s="11" t="s">
        <v>9901</v>
      </c>
      <c r="N2323" s="5" t="s">
        <v>10223</v>
      </c>
      <c r="O2323" s="5" t="s">
        <v>26</v>
      </c>
      <c r="P2323" s="5" t="s">
        <v>10224</v>
      </c>
      <c r="Q2323" s="15"/>
      <c r="R2323" s="16" t="s">
        <v>634</v>
      </c>
      <c r="S2323" s="15"/>
      <c r="T2323" s="15"/>
      <c r="U2323" s="15"/>
      <c r="V2323" s="15"/>
      <c r="W2323" s="15"/>
      <c r="X2323" s="15"/>
      <c r="Y2323" s="15"/>
      <c r="Z2323" s="15"/>
      <c r="AA2323" s="15"/>
    </row>
    <row r="2324" ht="52.5" customHeight="1">
      <c r="A2324" s="5" t="s">
        <v>10213</v>
      </c>
      <c r="B2324" s="6" t="s">
        <v>10225</v>
      </c>
      <c r="C2324" s="40" t="s">
        <v>10226</v>
      </c>
      <c r="D2324" s="11"/>
      <c r="E2324" s="11" t="s">
        <v>2821</v>
      </c>
      <c r="F2324" s="90">
        <v>500.0</v>
      </c>
      <c r="G2324" s="285" t="s">
        <v>10227</v>
      </c>
      <c r="H2324" s="11" t="s">
        <v>44</v>
      </c>
      <c r="I2324" s="276">
        <v>9.674545005E9</v>
      </c>
      <c r="J2324" s="11" t="s">
        <v>9814</v>
      </c>
      <c r="K2324" s="12" t="s">
        <v>10228</v>
      </c>
      <c r="L2324" s="13"/>
      <c r="M2324" s="11" t="s">
        <v>10229</v>
      </c>
      <c r="N2324" s="5" t="s">
        <v>10230</v>
      </c>
      <c r="O2324" s="5" t="s">
        <v>26</v>
      </c>
      <c r="P2324" s="5" t="s">
        <v>4563</v>
      </c>
      <c r="Q2324" s="286" t="s">
        <v>10231</v>
      </c>
      <c r="R2324" s="16" t="s">
        <v>634</v>
      </c>
      <c r="S2324" s="15"/>
      <c r="T2324" s="15"/>
      <c r="U2324" s="15"/>
      <c r="V2324" s="15"/>
      <c r="W2324" s="15"/>
      <c r="X2324" s="15"/>
      <c r="Y2324" s="15"/>
      <c r="Z2324" s="15"/>
      <c r="AA2324" s="15"/>
    </row>
    <row r="2325">
      <c r="A2325" s="5" t="s">
        <v>10213</v>
      </c>
      <c r="B2325" s="6" t="s">
        <v>10232</v>
      </c>
      <c r="C2325" s="40" t="s">
        <v>10233</v>
      </c>
      <c r="D2325" s="11"/>
      <c r="E2325" s="11" t="s">
        <v>9283</v>
      </c>
      <c r="F2325" s="90">
        <v>12000.0</v>
      </c>
      <c r="G2325" s="285"/>
      <c r="H2325" s="11" t="s">
        <v>507</v>
      </c>
      <c r="I2325" s="276">
        <v>9.732993711E9</v>
      </c>
      <c r="J2325" s="11" t="s">
        <v>9814</v>
      </c>
      <c r="K2325" s="12" t="s">
        <v>8753</v>
      </c>
      <c r="L2325" s="13"/>
      <c r="M2325" s="14"/>
      <c r="N2325" s="15"/>
      <c r="O2325" s="5" t="s">
        <v>108</v>
      </c>
      <c r="P2325" s="15"/>
      <c r="Q2325" s="15"/>
      <c r="R2325" s="16" t="s">
        <v>28</v>
      </c>
      <c r="S2325" s="15"/>
      <c r="T2325" s="15"/>
      <c r="U2325" s="15"/>
      <c r="V2325" s="15"/>
      <c r="W2325" s="15"/>
      <c r="X2325" s="15"/>
      <c r="Y2325" s="15"/>
      <c r="Z2325" s="15"/>
      <c r="AA2325" s="15"/>
    </row>
    <row r="2326">
      <c r="A2326" s="5" t="s">
        <v>10213</v>
      </c>
      <c r="B2326" s="6" t="s">
        <v>10234</v>
      </c>
      <c r="C2326" s="40" t="s">
        <v>10235</v>
      </c>
      <c r="D2326" s="11"/>
      <c r="E2326" s="11" t="s">
        <v>4123</v>
      </c>
      <c r="F2326" s="90">
        <v>1000.0</v>
      </c>
      <c r="G2326" s="285" t="s">
        <v>10236</v>
      </c>
      <c r="H2326" s="11" t="s">
        <v>398</v>
      </c>
      <c r="I2326" s="276">
        <v>7.898787069E9</v>
      </c>
      <c r="J2326" s="11" t="s">
        <v>9814</v>
      </c>
      <c r="K2326" s="12" t="s">
        <v>8753</v>
      </c>
      <c r="L2326" s="13"/>
      <c r="M2326" s="14"/>
      <c r="N2326" s="15"/>
      <c r="O2326" s="5" t="s">
        <v>108</v>
      </c>
      <c r="P2326" s="15"/>
      <c r="Q2326" s="15"/>
      <c r="R2326" s="16" t="s">
        <v>28</v>
      </c>
      <c r="S2326" s="15"/>
      <c r="T2326" s="15"/>
      <c r="U2326" s="15"/>
      <c r="V2326" s="15"/>
      <c r="W2326" s="15"/>
      <c r="X2326" s="15"/>
      <c r="Y2326" s="15"/>
      <c r="Z2326" s="15"/>
      <c r="AA2326" s="15"/>
    </row>
    <row r="2327">
      <c r="A2327" s="5" t="s">
        <v>10213</v>
      </c>
      <c r="B2327" s="6" t="s">
        <v>10237</v>
      </c>
      <c r="C2327" s="40" t="s">
        <v>10238</v>
      </c>
      <c r="D2327" s="11"/>
      <c r="E2327" s="11" t="s">
        <v>576</v>
      </c>
      <c r="F2327" s="90">
        <v>200.0</v>
      </c>
      <c r="G2327" s="285" t="s">
        <v>10239</v>
      </c>
      <c r="H2327" s="11" t="s">
        <v>519</v>
      </c>
      <c r="I2327" s="276">
        <v>9.82562461E9</v>
      </c>
      <c r="J2327" s="11" t="s">
        <v>9814</v>
      </c>
      <c r="K2327" s="12"/>
      <c r="L2327" s="13"/>
      <c r="M2327" s="11" t="s">
        <v>10240</v>
      </c>
      <c r="N2327" s="5" t="s">
        <v>10241</v>
      </c>
      <c r="O2327" s="5" t="s">
        <v>108</v>
      </c>
      <c r="P2327" s="15"/>
      <c r="Q2327" s="15"/>
      <c r="R2327" s="16" t="s">
        <v>634</v>
      </c>
      <c r="S2327" s="15"/>
      <c r="T2327" s="15"/>
      <c r="U2327" s="15"/>
      <c r="V2327" s="15"/>
      <c r="W2327" s="15"/>
      <c r="X2327" s="15"/>
      <c r="Y2327" s="15"/>
      <c r="Z2327" s="15"/>
      <c r="AA2327" s="15"/>
    </row>
    <row r="2328">
      <c r="A2328" s="5" t="s">
        <v>10242</v>
      </c>
      <c r="B2328" s="6" t="s">
        <v>10243</v>
      </c>
      <c r="C2328" s="40" t="s">
        <v>10244</v>
      </c>
      <c r="D2328" s="11"/>
      <c r="E2328" s="11" t="s">
        <v>3049</v>
      </c>
      <c r="F2328" s="90">
        <v>2000.0</v>
      </c>
      <c r="G2328" s="285" t="s">
        <v>10245</v>
      </c>
      <c r="H2328" s="11" t="s">
        <v>1663</v>
      </c>
      <c r="I2328" s="276">
        <v>9.88670794E9</v>
      </c>
      <c r="J2328" s="11" t="s">
        <v>9814</v>
      </c>
      <c r="K2328" s="12"/>
      <c r="L2328" s="13"/>
      <c r="M2328" s="11" t="s">
        <v>10246</v>
      </c>
      <c r="N2328" s="5" t="s">
        <v>10247</v>
      </c>
      <c r="O2328" s="5" t="s">
        <v>108</v>
      </c>
      <c r="P2328" s="5" t="s">
        <v>10248</v>
      </c>
      <c r="Q2328" s="15"/>
      <c r="R2328" s="16" t="s">
        <v>634</v>
      </c>
      <c r="S2328" s="15"/>
      <c r="T2328" s="15"/>
      <c r="U2328" s="15"/>
      <c r="V2328" s="15"/>
      <c r="W2328" s="15"/>
      <c r="X2328" s="15"/>
      <c r="Y2328" s="15"/>
      <c r="Z2328" s="15"/>
      <c r="AA2328" s="15"/>
    </row>
    <row r="2329">
      <c r="A2329" s="5" t="s">
        <v>10242</v>
      </c>
      <c r="B2329" s="6" t="s">
        <v>10249</v>
      </c>
      <c r="C2329" s="40" t="s">
        <v>10250</v>
      </c>
      <c r="D2329" s="11"/>
      <c r="E2329" s="11" t="s">
        <v>77</v>
      </c>
      <c r="F2329" s="90">
        <v>1000.0</v>
      </c>
      <c r="G2329" s="285" t="s">
        <v>10165</v>
      </c>
      <c r="H2329" s="11" t="s">
        <v>184</v>
      </c>
      <c r="I2329" s="276">
        <v>8.789761781E9</v>
      </c>
      <c r="J2329" s="11" t="s">
        <v>9814</v>
      </c>
      <c r="K2329" s="12"/>
      <c r="L2329" s="12" t="s">
        <v>6071</v>
      </c>
      <c r="M2329" s="11" t="s">
        <v>9901</v>
      </c>
      <c r="N2329" s="5" t="s">
        <v>10251</v>
      </c>
      <c r="O2329" s="5" t="s">
        <v>34</v>
      </c>
      <c r="P2329" s="11" t="s">
        <v>10252</v>
      </c>
      <c r="Q2329" s="5" t="s">
        <v>6261</v>
      </c>
      <c r="R2329" s="16" t="s">
        <v>634</v>
      </c>
      <c r="S2329" s="15"/>
      <c r="T2329" s="15"/>
      <c r="U2329" s="15"/>
      <c r="V2329" s="15"/>
      <c r="W2329" s="15"/>
      <c r="X2329" s="15"/>
      <c r="Y2329" s="15"/>
      <c r="Z2329" s="15"/>
      <c r="AA2329" s="15"/>
    </row>
    <row r="2330">
      <c r="A2330" s="5" t="s">
        <v>10242</v>
      </c>
      <c r="B2330" s="6" t="s">
        <v>10253</v>
      </c>
      <c r="C2330" s="40" t="s">
        <v>10254</v>
      </c>
      <c r="D2330" s="11"/>
      <c r="E2330" s="11" t="s">
        <v>222</v>
      </c>
      <c r="F2330" s="90">
        <v>4000.0</v>
      </c>
      <c r="G2330" s="285" t="s">
        <v>10255</v>
      </c>
      <c r="H2330" s="11" t="s">
        <v>1337</v>
      </c>
      <c r="I2330" s="276">
        <v>8.468982313E9</v>
      </c>
      <c r="J2330" s="11" t="s">
        <v>8669</v>
      </c>
      <c r="K2330" s="12"/>
      <c r="L2330" s="12">
        <v>4.5</v>
      </c>
      <c r="M2330" s="11" t="s">
        <v>7820</v>
      </c>
      <c r="N2330" s="5" t="s">
        <v>10256</v>
      </c>
      <c r="O2330" s="5" t="s">
        <v>34</v>
      </c>
      <c r="P2330" s="5" t="s">
        <v>6625</v>
      </c>
      <c r="Q2330" s="5" t="s">
        <v>10257</v>
      </c>
      <c r="R2330" s="16" t="s">
        <v>634</v>
      </c>
      <c r="S2330" s="15"/>
      <c r="T2330" s="15"/>
      <c r="U2330" s="15"/>
      <c r="V2330" s="15"/>
      <c r="W2330" s="15"/>
      <c r="X2330" s="15"/>
      <c r="Y2330" s="15"/>
      <c r="Z2330" s="15"/>
      <c r="AA2330" s="15"/>
    </row>
    <row r="2331">
      <c r="A2331" s="5" t="s">
        <v>10242</v>
      </c>
      <c r="B2331" s="6" t="s">
        <v>10258</v>
      </c>
      <c r="C2331" s="40" t="s">
        <v>10259</v>
      </c>
      <c r="D2331" s="11"/>
      <c r="E2331" s="11" t="s">
        <v>189</v>
      </c>
      <c r="F2331" s="90">
        <v>2500.0</v>
      </c>
      <c r="G2331" s="285" t="s">
        <v>10260</v>
      </c>
      <c r="H2331" s="11" t="s">
        <v>44</v>
      </c>
      <c r="I2331" s="276">
        <v>9.324532138E9</v>
      </c>
      <c r="J2331" s="11" t="s">
        <v>9814</v>
      </c>
      <c r="K2331" s="12" t="s">
        <v>10261</v>
      </c>
      <c r="L2331" s="13"/>
      <c r="M2331" s="11" t="s">
        <v>10262</v>
      </c>
      <c r="N2331" s="5" t="s">
        <v>10263</v>
      </c>
      <c r="O2331" s="5" t="s">
        <v>26</v>
      </c>
      <c r="P2331" s="5" t="s">
        <v>10264</v>
      </c>
      <c r="Q2331" s="5" t="s">
        <v>10265</v>
      </c>
      <c r="R2331" s="16" t="s">
        <v>634</v>
      </c>
      <c r="S2331" s="15"/>
      <c r="T2331" s="15"/>
      <c r="U2331" s="15"/>
      <c r="V2331" s="15"/>
      <c r="W2331" s="15"/>
      <c r="X2331" s="15"/>
      <c r="Y2331" s="15"/>
      <c r="Z2331" s="15"/>
      <c r="AA2331" s="15"/>
    </row>
    <row r="2332">
      <c r="A2332" s="5" t="s">
        <v>10242</v>
      </c>
      <c r="B2332" s="6" t="s">
        <v>10266</v>
      </c>
      <c r="C2332" s="40" t="s">
        <v>10267</v>
      </c>
      <c r="D2332" s="11"/>
      <c r="E2332" s="11" t="s">
        <v>10268</v>
      </c>
      <c r="F2332" s="90" t="s">
        <v>10269</v>
      </c>
      <c r="G2332" s="285"/>
      <c r="H2332" s="11"/>
      <c r="I2332" s="276">
        <v>9.370767881E9</v>
      </c>
      <c r="J2332" s="11" t="s">
        <v>9814</v>
      </c>
      <c r="K2332" s="12" t="s">
        <v>8753</v>
      </c>
      <c r="L2332" s="13"/>
      <c r="M2332" s="14"/>
      <c r="N2332" s="15"/>
      <c r="O2332" s="5" t="s">
        <v>108</v>
      </c>
      <c r="P2332" s="11" t="s">
        <v>10268</v>
      </c>
      <c r="Q2332" s="5" t="s">
        <v>10270</v>
      </c>
      <c r="R2332" s="16" t="s">
        <v>28</v>
      </c>
      <c r="S2332" s="15"/>
      <c r="T2332" s="15"/>
      <c r="U2332" s="15"/>
      <c r="V2332" s="15"/>
      <c r="W2332" s="15"/>
      <c r="X2332" s="15"/>
      <c r="Y2332" s="15"/>
      <c r="Z2332" s="15"/>
      <c r="AA2332" s="15"/>
    </row>
    <row r="2333">
      <c r="A2333" s="5" t="s">
        <v>10242</v>
      </c>
      <c r="B2333" s="6" t="s">
        <v>10271</v>
      </c>
      <c r="C2333" s="40" t="s">
        <v>10272</v>
      </c>
      <c r="D2333" s="11"/>
      <c r="E2333" s="11" t="s">
        <v>152</v>
      </c>
      <c r="F2333" s="90">
        <v>1000.0</v>
      </c>
      <c r="G2333" s="285" t="s">
        <v>10273</v>
      </c>
      <c r="H2333" s="11" t="s">
        <v>2662</v>
      </c>
      <c r="I2333" s="276">
        <v>8.754730083E9</v>
      </c>
      <c r="J2333" s="11" t="s">
        <v>9814</v>
      </c>
      <c r="K2333" s="12" t="s">
        <v>8753</v>
      </c>
      <c r="L2333" s="13"/>
      <c r="M2333" s="11" t="s">
        <v>10274</v>
      </c>
      <c r="N2333" s="5" t="s">
        <v>10275</v>
      </c>
      <c r="O2333" s="5" t="s">
        <v>108</v>
      </c>
      <c r="P2333" s="15"/>
      <c r="Q2333" s="15"/>
      <c r="R2333" s="16" t="s">
        <v>634</v>
      </c>
      <c r="S2333" s="15"/>
      <c r="T2333" s="15"/>
      <c r="U2333" s="15"/>
      <c r="V2333" s="15"/>
      <c r="W2333" s="15"/>
      <c r="X2333" s="15"/>
      <c r="Y2333" s="15"/>
      <c r="Z2333" s="15"/>
      <c r="AA2333" s="15"/>
    </row>
    <row r="2334">
      <c r="A2334" s="5" t="s">
        <v>10242</v>
      </c>
      <c r="B2334" s="6" t="s">
        <v>10276</v>
      </c>
      <c r="C2334" s="40" t="s">
        <v>10244</v>
      </c>
      <c r="D2334" s="11"/>
      <c r="E2334" s="11" t="s">
        <v>10277</v>
      </c>
      <c r="F2334" s="90">
        <v>10000.0</v>
      </c>
      <c r="G2334" s="285" t="s">
        <v>10245</v>
      </c>
      <c r="H2334" s="11" t="s">
        <v>1663</v>
      </c>
      <c r="I2334" s="276">
        <v>9.88670794E9</v>
      </c>
      <c r="J2334" s="11" t="s">
        <v>9814</v>
      </c>
      <c r="K2334" s="12" t="s">
        <v>8753</v>
      </c>
      <c r="L2334" s="13"/>
      <c r="M2334" s="11" t="s">
        <v>10278</v>
      </c>
      <c r="N2334" s="5" t="s">
        <v>10279</v>
      </c>
      <c r="O2334" s="5" t="s">
        <v>108</v>
      </c>
      <c r="P2334" s="15"/>
      <c r="Q2334" s="15"/>
      <c r="R2334" s="16" t="s">
        <v>634</v>
      </c>
      <c r="S2334" s="15"/>
      <c r="T2334" s="15"/>
      <c r="U2334" s="15"/>
      <c r="V2334" s="15"/>
      <c r="W2334" s="15"/>
      <c r="X2334" s="15"/>
      <c r="Y2334" s="15"/>
      <c r="Z2334" s="15"/>
      <c r="AA2334" s="15"/>
    </row>
    <row r="2335">
      <c r="A2335" s="5" t="s">
        <v>10280</v>
      </c>
      <c r="B2335" s="6" t="s">
        <v>10281</v>
      </c>
      <c r="C2335" s="40" t="s">
        <v>10282</v>
      </c>
      <c r="D2335" s="11"/>
      <c r="E2335" s="11" t="s">
        <v>8931</v>
      </c>
      <c r="F2335" s="90">
        <v>1000.0</v>
      </c>
      <c r="G2335" s="285" t="s">
        <v>10283</v>
      </c>
      <c r="H2335" s="11" t="s">
        <v>2612</v>
      </c>
      <c r="I2335" s="276">
        <v>8.260283303E9</v>
      </c>
      <c r="J2335" s="11" t="s">
        <v>9814</v>
      </c>
      <c r="K2335" s="12" t="s">
        <v>8753</v>
      </c>
      <c r="L2335" s="13"/>
      <c r="M2335" s="14"/>
      <c r="N2335" s="15"/>
      <c r="O2335" s="5" t="s">
        <v>108</v>
      </c>
      <c r="P2335" s="15"/>
      <c r="Q2335" s="15"/>
      <c r="R2335" s="16" t="s">
        <v>28</v>
      </c>
      <c r="S2335" s="15"/>
      <c r="T2335" s="15"/>
      <c r="U2335" s="15"/>
      <c r="V2335" s="15"/>
      <c r="W2335" s="15"/>
      <c r="X2335" s="15"/>
      <c r="Y2335" s="15"/>
      <c r="Z2335" s="15"/>
      <c r="AA2335" s="15"/>
    </row>
    <row r="2336">
      <c r="A2336" s="5" t="s">
        <v>10280</v>
      </c>
      <c r="B2336" s="6" t="s">
        <v>10284</v>
      </c>
      <c r="C2336" s="40" t="s">
        <v>10285</v>
      </c>
      <c r="D2336" s="11"/>
      <c r="E2336" s="11" t="s">
        <v>7772</v>
      </c>
      <c r="F2336" s="90">
        <v>100.0</v>
      </c>
      <c r="G2336" s="285" t="s">
        <v>10286</v>
      </c>
      <c r="H2336" s="11" t="s">
        <v>906</v>
      </c>
      <c r="I2336" s="276">
        <v>8.898070722E9</v>
      </c>
      <c r="J2336" s="11" t="s">
        <v>9814</v>
      </c>
      <c r="K2336" s="12" t="s">
        <v>10287</v>
      </c>
      <c r="L2336" s="13"/>
      <c r="M2336" s="11" t="s">
        <v>10288</v>
      </c>
      <c r="N2336" s="5" t="s">
        <v>10289</v>
      </c>
      <c r="O2336" s="5" t="s">
        <v>108</v>
      </c>
      <c r="P2336" s="5" t="s">
        <v>10290</v>
      </c>
      <c r="Q2336" s="15"/>
      <c r="R2336" s="16" t="s">
        <v>634</v>
      </c>
      <c r="S2336" s="15"/>
      <c r="T2336" s="15"/>
      <c r="U2336" s="15"/>
      <c r="V2336" s="15"/>
      <c r="W2336" s="15"/>
      <c r="X2336" s="15"/>
      <c r="Y2336" s="15"/>
      <c r="Z2336" s="15"/>
      <c r="AA2336" s="15"/>
    </row>
    <row r="2337">
      <c r="A2337" s="5" t="s">
        <v>10280</v>
      </c>
      <c r="B2337" s="6" t="s">
        <v>10291</v>
      </c>
      <c r="C2337" s="40" t="s">
        <v>10292</v>
      </c>
      <c r="D2337" s="11"/>
      <c r="E2337" s="11" t="s">
        <v>10293</v>
      </c>
      <c r="F2337" s="90">
        <v>10000.0</v>
      </c>
      <c r="G2337" s="285" t="s">
        <v>10294</v>
      </c>
      <c r="H2337" s="11" t="s">
        <v>44</v>
      </c>
      <c r="I2337" s="276">
        <v>7.439890285E9</v>
      </c>
      <c r="J2337" s="11" t="s">
        <v>9814</v>
      </c>
      <c r="K2337" s="12"/>
      <c r="L2337" s="13"/>
      <c r="M2337" s="14"/>
      <c r="N2337" s="15"/>
      <c r="O2337" s="5" t="s">
        <v>26</v>
      </c>
      <c r="P2337" s="15"/>
      <c r="Q2337" s="15"/>
      <c r="R2337" s="16" t="s">
        <v>28</v>
      </c>
      <c r="S2337" s="15"/>
      <c r="T2337" s="15"/>
      <c r="U2337" s="15"/>
      <c r="V2337" s="15"/>
      <c r="W2337" s="15"/>
      <c r="X2337" s="15"/>
      <c r="Y2337" s="15"/>
      <c r="Z2337" s="15"/>
      <c r="AA2337" s="15"/>
    </row>
    <row r="2338">
      <c r="A2338" s="5" t="s">
        <v>10280</v>
      </c>
      <c r="B2338" s="6" t="s">
        <v>10295</v>
      </c>
      <c r="C2338" s="62" t="s">
        <v>10296</v>
      </c>
      <c r="D2338" s="11"/>
      <c r="E2338" s="11" t="s">
        <v>10297</v>
      </c>
      <c r="F2338" s="90" t="s">
        <v>10298</v>
      </c>
      <c r="G2338" s="285" t="s">
        <v>10299</v>
      </c>
      <c r="H2338" s="11" t="s">
        <v>10300</v>
      </c>
      <c r="I2338" s="276">
        <v>9.285175699E9</v>
      </c>
      <c r="J2338" s="11" t="s">
        <v>9814</v>
      </c>
      <c r="K2338" s="12" t="s">
        <v>10301</v>
      </c>
      <c r="L2338" s="13"/>
      <c r="M2338" s="11" t="s">
        <v>10302</v>
      </c>
      <c r="N2338" s="5" t="s">
        <v>10303</v>
      </c>
      <c r="O2338" s="5" t="s">
        <v>26</v>
      </c>
      <c r="P2338" s="5" t="s">
        <v>10304</v>
      </c>
      <c r="Q2338" s="15"/>
      <c r="R2338" s="16" t="s">
        <v>634</v>
      </c>
      <c r="S2338" s="15"/>
      <c r="T2338" s="15"/>
      <c r="U2338" s="15"/>
      <c r="V2338" s="15"/>
      <c r="W2338" s="15"/>
      <c r="X2338" s="15"/>
      <c r="Y2338" s="15"/>
      <c r="Z2338" s="15"/>
      <c r="AA2338" s="15"/>
    </row>
    <row r="2339">
      <c r="A2339" s="5" t="s">
        <v>10280</v>
      </c>
      <c r="B2339" s="6" t="s">
        <v>10305</v>
      </c>
      <c r="C2339" s="62" t="s">
        <v>10306</v>
      </c>
      <c r="D2339" s="11"/>
      <c r="E2339" s="11" t="s">
        <v>10307</v>
      </c>
      <c r="F2339" s="90" t="s">
        <v>10308</v>
      </c>
      <c r="G2339" s="285" t="s">
        <v>10309</v>
      </c>
      <c r="H2339" s="11" t="s">
        <v>99</v>
      </c>
      <c r="I2339" s="276">
        <v>7.97870546E9</v>
      </c>
      <c r="J2339" s="11" t="s">
        <v>9814</v>
      </c>
      <c r="K2339" s="12"/>
      <c r="L2339" s="13"/>
      <c r="M2339" s="11" t="s">
        <v>10310</v>
      </c>
      <c r="N2339" s="5" t="s">
        <v>10311</v>
      </c>
      <c r="O2339" s="5" t="s">
        <v>34</v>
      </c>
      <c r="P2339" s="5" t="s">
        <v>6625</v>
      </c>
      <c r="Q2339" s="15"/>
      <c r="R2339" s="16" t="s">
        <v>634</v>
      </c>
      <c r="S2339" s="15"/>
      <c r="T2339" s="15"/>
      <c r="U2339" s="15"/>
      <c r="V2339" s="15"/>
      <c r="W2339" s="15"/>
      <c r="X2339" s="15"/>
      <c r="Y2339" s="15"/>
      <c r="Z2339" s="15"/>
      <c r="AA2339" s="15"/>
    </row>
    <row r="2340">
      <c r="A2340" s="5" t="s">
        <v>10280</v>
      </c>
      <c r="B2340" s="6" t="s">
        <v>10312</v>
      </c>
      <c r="C2340" s="40" t="s">
        <v>10313</v>
      </c>
      <c r="D2340" s="11"/>
      <c r="E2340" s="11" t="s">
        <v>43</v>
      </c>
      <c r="F2340" s="90">
        <v>10000.0</v>
      </c>
      <c r="G2340" s="285" t="s">
        <v>10314</v>
      </c>
      <c r="H2340" s="11" t="s">
        <v>1082</v>
      </c>
      <c r="I2340" s="283" t="s">
        <v>10315</v>
      </c>
      <c r="J2340" s="11" t="s">
        <v>9814</v>
      </c>
      <c r="K2340" s="12" t="s">
        <v>10316</v>
      </c>
      <c r="L2340" s="13"/>
      <c r="M2340" s="11" t="s">
        <v>9949</v>
      </c>
      <c r="N2340" s="5" t="s">
        <v>10317</v>
      </c>
      <c r="O2340" s="5" t="s">
        <v>26</v>
      </c>
      <c r="P2340" s="5" t="s">
        <v>8132</v>
      </c>
      <c r="Q2340" s="5" t="s">
        <v>10318</v>
      </c>
      <c r="R2340" s="16" t="s">
        <v>634</v>
      </c>
      <c r="S2340" s="15"/>
      <c r="T2340" s="15"/>
      <c r="U2340" s="15"/>
      <c r="V2340" s="15"/>
      <c r="W2340" s="15"/>
      <c r="X2340" s="15"/>
      <c r="Y2340" s="15"/>
      <c r="Z2340" s="15"/>
      <c r="AA2340" s="15"/>
    </row>
    <row r="2341">
      <c r="A2341" s="5" t="s">
        <v>10319</v>
      </c>
      <c r="B2341" s="6" t="s">
        <v>10320</v>
      </c>
      <c r="C2341" s="40" t="s">
        <v>10321</v>
      </c>
      <c r="D2341" s="11"/>
      <c r="E2341" s="11" t="s">
        <v>9283</v>
      </c>
      <c r="F2341" s="90">
        <v>50000.0</v>
      </c>
      <c r="G2341" s="285" t="s">
        <v>10322</v>
      </c>
      <c r="H2341" s="11" t="s">
        <v>3078</v>
      </c>
      <c r="I2341" s="276">
        <v>9.623779722E9</v>
      </c>
      <c r="J2341" s="11" t="s">
        <v>9814</v>
      </c>
      <c r="K2341" s="12" t="s">
        <v>8753</v>
      </c>
      <c r="L2341" s="13"/>
      <c r="M2341" s="14"/>
      <c r="N2341" s="15"/>
      <c r="O2341" s="5" t="s">
        <v>108</v>
      </c>
      <c r="P2341" s="15"/>
      <c r="Q2341" s="15"/>
      <c r="R2341" s="16" t="s">
        <v>28</v>
      </c>
      <c r="S2341" s="15"/>
      <c r="T2341" s="15"/>
      <c r="U2341" s="15"/>
      <c r="V2341" s="15"/>
      <c r="W2341" s="15"/>
      <c r="X2341" s="15"/>
      <c r="Y2341" s="15"/>
      <c r="Z2341" s="15"/>
      <c r="AA2341" s="15"/>
    </row>
    <row r="2342">
      <c r="A2342" s="5" t="s">
        <v>10319</v>
      </c>
      <c r="B2342" s="131" t="s">
        <v>10323</v>
      </c>
      <c r="C2342" s="5" t="s">
        <v>9763</v>
      </c>
      <c r="D2342" s="11"/>
      <c r="E2342" s="11" t="s">
        <v>8931</v>
      </c>
      <c r="F2342" s="90">
        <v>4500.0</v>
      </c>
      <c r="G2342" s="285" t="s">
        <v>9765</v>
      </c>
      <c r="H2342" s="11" t="s">
        <v>906</v>
      </c>
      <c r="I2342" s="276">
        <v>9.820627474E9</v>
      </c>
      <c r="J2342" s="11" t="s">
        <v>9814</v>
      </c>
      <c r="K2342" s="12" t="s">
        <v>8753</v>
      </c>
      <c r="L2342" s="13"/>
      <c r="M2342" s="14"/>
      <c r="N2342" s="15"/>
      <c r="O2342" s="5" t="s">
        <v>108</v>
      </c>
      <c r="P2342" s="15"/>
      <c r="Q2342" s="15"/>
      <c r="R2342" s="16" t="s">
        <v>28</v>
      </c>
      <c r="S2342" s="15"/>
      <c r="T2342" s="15"/>
      <c r="U2342" s="15"/>
      <c r="V2342" s="15"/>
      <c r="W2342" s="15"/>
      <c r="X2342" s="15"/>
      <c r="Y2342" s="15"/>
      <c r="Z2342" s="15"/>
      <c r="AA2342" s="15"/>
    </row>
    <row r="2343">
      <c r="A2343" s="5" t="s">
        <v>10319</v>
      </c>
      <c r="B2343" s="6" t="s">
        <v>10324</v>
      </c>
      <c r="C2343" s="40" t="s">
        <v>10325</v>
      </c>
      <c r="D2343" s="11"/>
      <c r="E2343" s="11" t="s">
        <v>5293</v>
      </c>
      <c r="F2343" s="90">
        <v>100.0</v>
      </c>
      <c r="G2343" s="285"/>
      <c r="H2343" s="11" t="s">
        <v>283</v>
      </c>
      <c r="I2343" s="276">
        <v>7.908283248E9</v>
      </c>
      <c r="J2343" s="11" t="s">
        <v>4008</v>
      </c>
      <c r="K2343" s="12" t="s">
        <v>8753</v>
      </c>
      <c r="L2343" s="13"/>
      <c r="M2343" s="14"/>
      <c r="N2343" s="15"/>
      <c r="O2343" s="5" t="s">
        <v>26</v>
      </c>
      <c r="P2343" s="15"/>
      <c r="Q2343" s="15"/>
      <c r="R2343" s="16" t="s">
        <v>28</v>
      </c>
      <c r="S2343" s="15"/>
      <c r="T2343" s="15"/>
      <c r="U2343" s="15"/>
      <c r="V2343" s="15"/>
      <c r="W2343" s="15"/>
      <c r="X2343" s="15"/>
      <c r="Y2343" s="15"/>
      <c r="Z2343" s="15"/>
      <c r="AA2343" s="15"/>
    </row>
    <row r="2344">
      <c r="A2344" s="5" t="s">
        <v>10319</v>
      </c>
      <c r="B2344" s="6" t="s">
        <v>10326</v>
      </c>
      <c r="C2344" s="40" t="s">
        <v>3996</v>
      </c>
      <c r="D2344" s="11"/>
      <c r="E2344" s="11" t="s">
        <v>130</v>
      </c>
      <c r="F2344" s="90">
        <v>10000.0</v>
      </c>
      <c r="G2344" s="285" t="s">
        <v>10327</v>
      </c>
      <c r="H2344" s="11" t="s">
        <v>906</v>
      </c>
      <c r="I2344" s="276">
        <v>8.830283313E9</v>
      </c>
      <c r="J2344" s="11" t="s">
        <v>9814</v>
      </c>
      <c r="K2344" s="12"/>
      <c r="L2344" s="13"/>
      <c r="M2344" s="11" t="s">
        <v>10328</v>
      </c>
      <c r="N2344" s="5" t="s">
        <v>10329</v>
      </c>
      <c r="O2344" s="5" t="s">
        <v>108</v>
      </c>
      <c r="P2344" s="15"/>
      <c r="Q2344" s="15"/>
      <c r="R2344" s="16" t="s">
        <v>634</v>
      </c>
      <c r="S2344" s="15"/>
      <c r="T2344" s="15"/>
      <c r="U2344" s="15"/>
      <c r="V2344" s="15"/>
      <c r="W2344" s="15"/>
      <c r="X2344" s="15"/>
      <c r="Y2344" s="15"/>
      <c r="Z2344" s="15"/>
      <c r="AA2344" s="15"/>
    </row>
    <row r="2345" ht="123.0" customHeight="1">
      <c r="A2345" s="5" t="s">
        <v>10319</v>
      </c>
      <c r="B2345" s="6" t="s">
        <v>10330</v>
      </c>
      <c r="C2345" s="40" t="s">
        <v>10331</v>
      </c>
      <c r="D2345" s="11"/>
      <c r="E2345" s="11" t="s">
        <v>10332</v>
      </c>
      <c r="F2345" s="90">
        <v>500.0</v>
      </c>
      <c r="G2345" s="285" t="s">
        <v>10333</v>
      </c>
      <c r="H2345" s="11" t="s">
        <v>44</v>
      </c>
      <c r="I2345" s="276">
        <v>9.123065507E9</v>
      </c>
      <c r="J2345" s="11" t="s">
        <v>9814</v>
      </c>
      <c r="K2345" s="12" t="s">
        <v>10334</v>
      </c>
      <c r="L2345" s="13"/>
      <c r="M2345" s="11" t="s">
        <v>10335</v>
      </c>
      <c r="N2345" s="5" t="s">
        <v>10336</v>
      </c>
      <c r="O2345" s="5" t="s">
        <v>26</v>
      </c>
      <c r="P2345" s="11" t="s">
        <v>10337</v>
      </c>
      <c r="Q2345" s="15"/>
      <c r="R2345" s="16" t="s">
        <v>634</v>
      </c>
      <c r="S2345" s="15"/>
      <c r="T2345" s="15"/>
      <c r="U2345" s="15"/>
      <c r="V2345" s="15"/>
      <c r="W2345" s="15"/>
      <c r="X2345" s="15"/>
      <c r="Y2345" s="15"/>
      <c r="Z2345" s="15"/>
      <c r="AA2345" s="15"/>
    </row>
    <row r="2346">
      <c r="A2346" s="5" t="s">
        <v>10319</v>
      </c>
      <c r="B2346" s="6" t="s">
        <v>10338</v>
      </c>
      <c r="C2346" s="40" t="s">
        <v>10339</v>
      </c>
      <c r="D2346" s="11"/>
      <c r="E2346" s="11" t="s">
        <v>141</v>
      </c>
      <c r="F2346" s="90">
        <v>1000.0</v>
      </c>
      <c r="G2346" s="285" t="s">
        <v>10340</v>
      </c>
      <c r="H2346" s="11" t="s">
        <v>10300</v>
      </c>
      <c r="I2346" s="276">
        <v>9.5896761E9</v>
      </c>
      <c r="J2346" s="11" t="s">
        <v>9814</v>
      </c>
      <c r="K2346" s="12" t="s">
        <v>10341</v>
      </c>
      <c r="L2346" s="13"/>
      <c r="M2346" s="11" t="s">
        <v>10342</v>
      </c>
      <c r="N2346" s="5" t="s">
        <v>10343</v>
      </c>
      <c r="O2346" s="5" t="s">
        <v>108</v>
      </c>
      <c r="P2346" s="15"/>
      <c r="Q2346" s="15"/>
      <c r="R2346" s="16" t="s">
        <v>634</v>
      </c>
      <c r="S2346" s="15"/>
      <c r="T2346" s="15"/>
      <c r="U2346" s="15"/>
      <c r="V2346" s="15"/>
      <c r="W2346" s="15"/>
      <c r="X2346" s="15"/>
      <c r="Y2346" s="15"/>
      <c r="Z2346" s="15"/>
      <c r="AA2346" s="15"/>
    </row>
    <row r="2347">
      <c r="A2347" s="5" t="s">
        <v>10319</v>
      </c>
      <c r="B2347" s="6" t="s">
        <v>10344</v>
      </c>
      <c r="C2347" s="40" t="s">
        <v>10345</v>
      </c>
      <c r="D2347" s="11"/>
      <c r="E2347" s="11" t="s">
        <v>116</v>
      </c>
      <c r="F2347" s="90">
        <v>200.0</v>
      </c>
      <c r="G2347" s="285" t="s">
        <v>10346</v>
      </c>
      <c r="H2347" s="11" t="s">
        <v>10347</v>
      </c>
      <c r="I2347" s="276">
        <v>9.960468355E9</v>
      </c>
      <c r="J2347" s="11" t="s">
        <v>9814</v>
      </c>
      <c r="K2347" s="12"/>
      <c r="L2347" s="13"/>
      <c r="M2347" s="11" t="s">
        <v>10348</v>
      </c>
      <c r="N2347" s="5" t="s">
        <v>10349</v>
      </c>
      <c r="O2347" s="5" t="s">
        <v>108</v>
      </c>
      <c r="P2347" s="15"/>
      <c r="Q2347" s="15"/>
      <c r="R2347" s="16" t="s">
        <v>634</v>
      </c>
      <c r="S2347" s="15"/>
      <c r="T2347" s="15"/>
      <c r="U2347" s="15"/>
      <c r="V2347" s="15"/>
      <c r="W2347" s="15"/>
      <c r="X2347" s="15"/>
      <c r="Y2347" s="15"/>
      <c r="Z2347" s="15"/>
      <c r="AA2347" s="15"/>
    </row>
    <row r="2348">
      <c r="A2348" s="5" t="s">
        <v>10319</v>
      </c>
      <c r="B2348" s="6" t="s">
        <v>10350</v>
      </c>
      <c r="C2348" s="40" t="s">
        <v>10351</v>
      </c>
      <c r="D2348" s="11"/>
      <c r="E2348" s="11" t="s">
        <v>10352</v>
      </c>
      <c r="F2348" s="90">
        <v>100.0</v>
      </c>
      <c r="G2348" s="285"/>
      <c r="H2348" s="11" t="s">
        <v>10347</v>
      </c>
      <c r="I2348" s="276">
        <v>9.970442323E9</v>
      </c>
      <c r="J2348" s="11" t="s">
        <v>9814</v>
      </c>
      <c r="K2348" s="12"/>
      <c r="L2348" s="13"/>
      <c r="M2348" s="11" t="s">
        <v>10348</v>
      </c>
      <c r="N2348" s="15"/>
      <c r="O2348" s="5" t="s">
        <v>108</v>
      </c>
      <c r="P2348" s="15"/>
      <c r="Q2348" s="15"/>
      <c r="R2348" s="16" t="s">
        <v>28</v>
      </c>
      <c r="S2348" s="15"/>
      <c r="T2348" s="15"/>
      <c r="U2348" s="15"/>
      <c r="V2348" s="15"/>
      <c r="W2348" s="15"/>
      <c r="X2348" s="15"/>
      <c r="Y2348" s="15"/>
      <c r="Z2348" s="15"/>
      <c r="AA2348" s="15"/>
    </row>
    <row r="2349">
      <c r="A2349" s="5" t="s">
        <v>10319</v>
      </c>
      <c r="B2349" s="6" t="s">
        <v>10353</v>
      </c>
      <c r="C2349" s="40" t="s">
        <v>10354</v>
      </c>
      <c r="D2349" s="11"/>
      <c r="E2349" s="11" t="s">
        <v>9933</v>
      </c>
      <c r="F2349" s="90">
        <v>1000.0</v>
      </c>
      <c r="G2349" s="285" t="s">
        <v>4443</v>
      </c>
      <c r="H2349" s="11" t="s">
        <v>906</v>
      </c>
      <c r="I2349" s="283" t="s">
        <v>10355</v>
      </c>
      <c r="J2349" s="11" t="s">
        <v>9814</v>
      </c>
      <c r="K2349" s="12"/>
      <c r="L2349" s="13"/>
      <c r="M2349" s="11" t="s">
        <v>10356</v>
      </c>
      <c r="N2349" s="5" t="s">
        <v>10357</v>
      </c>
      <c r="O2349" s="5" t="s">
        <v>108</v>
      </c>
      <c r="P2349" s="15"/>
      <c r="Q2349" s="15"/>
      <c r="R2349" s="16" t="s">
        <v>634</v>
      </c>
      <c r="S2349" s="15"/>
      <c r="T2349" s="15"/>
      <c r="U2349" s="15"/>
      <c r="V2349" s="15"/>
      <c r="W2349" s="15"/>
      <c r="X2349" s="15"/>
      <c r="Y2349" s="15"/>
      <c r="Z2349" s="15"/>
      <c r="AA2349" s="15"/>
    </row>
    <row r="2350">
      <c r="A2350" s="5" t="s">
        <v>10319</v>
      </c>
      <c r="B2350" s="6" t="s">
        <v>10358</v>
      </c>
      <c r="C2350" s="40" t="s">
        <v>10359</v>
      </c>
      <c r="D2350" s="11"/>
      <c r="E2350" s="11" t="s">
        <v>1749</v>
      </c>
      <c r="F2350" s="90">
        <v>200.0</v>
      </c>
      <c r="G2350" s="285" t="s">
        <v>10360</v>
      </c>
      <c r="H2350" s="11" t="s">
        <v>822</v>
      </c>
      <c r="I2350" s="276">
        <v>8.597064297E9</v>
      </c>
      <c r="J2350" s="11" t="s">
        <v>9814</v>
      </c>
      <c r="K2350" s="12" t="s">
        <v>10361</v>
      </c>
      <c r="L2350" s="13"/>
      <c r="M2350" s="11" t="s">
        <v>10362</v>
      </c>
      <c r="N2350" s="5" t="s">
        <v>10363</v>
      </c>
      <c r="O2350" s="5" t="s">
        <v>26</v>
      </c>
      <c r="P2350" s="11" t="s">
        <v>10364</v>
      </c>
      <c r="Q2350" s="5" t="s">
        <v>453</v>
      </c>
      <c r="R2350" s="16" t="s">
        <v>723</v>
      </c>
      <c r="S2350" s="15"/>
      <c r="T2350" s="15"/>
      <c r="U2350" s="15"/>
      <c r="V2350" s="15"/>
      <c r="W2350" s="15"/>
      <c r="X2350" s="15"/>
      <c r="Y2350" s="15"/>
      <c r="Z2350" s="15"/>
      <c r="AA2350" s="15"/>
    </row>
    <row r="2351">
      <c r="A2351" s="5" t="s">
        <v>10319</v>
      </c>
      <c r="B2351" s="6" t="s">
        <v>10365</v>
      </c>
      <c r="C2351" s="40" t="s">
        <v>10366</v>
      </c>
      <c r="D2351" s="11"/>
      <c r="E2351" s="11" t="s">
        <v>10367</v>
      </c>
      <c r="F2351" s="90">
        <v>300000.0</v>
      </c>
      <c r="G2351" s="285" t="s">
        <v>10368</v>
      </c>
      <c r="H2351" s="11" t="s">
        <v>906</v>
      </c>
      <c r="I2351" s="276">
        <v>8.169075591E9</v>
      </c>
      <c r="J2351" s="11" t="s">
        <v>4008</v>
      </c>
      <c r="K2351" s="12"/>
      <c r="L2351" s="12" t="s">
        <v>0</v>
      </c>
      <c r="M2351" s="14"/>
      <c r="N2351" s="15"/>
      <c r="O2351" s="5" t="s">
        <v>108</v>
      </c>
      <c r="P2351" s="15"/>
      <c r="Q2351" s="15"/>
      <c r="R2351" s="16" t="s">
        <v>28</v>
      </c>
      <c r="S2351" s="15"/>
      <c r="T2351" s="15"/>
      <c r="U2351" s="15"/>
      <c r="V2351" s="15"/>
      <c r="W2351" s="15"/>
      <c r="X2351" s="15"/>
      <c r="Y2351" s="15"/>
      <c r="Z2351" s="15"/>
      <c r="AA2351" s="15"/>
    </row>
    <row r="2352">
      <c r="A2352" s="5" t="s">
        <v>10369</v>
      </c>
      <c r="B2352" s="6" t="s">
        <v>10370</v>
      </c>
      <c r="C2352" s="40" t="s">
        <v>10371</v>
      </c>
      <c r="D2352" s="11"/>
      <c r="E2352" s="11" t="s">
        <v>130</v>
      </c>
      <c r="F2352" s="90">
        <v>5000.0</v>
      </c>
      <c r="G2352" s="285" t="s">
        <v>10372</v>
      </c>
      <c r="H2352" s="11" t="s">
        <v>507</v>
      </c>
      <c r="I2352" s="276">
        <v>7.410069341E9</v>
      </c>
      <c r="J2352" s="11" t="s">
        <v>4008</v>
      </c>
      <c r="K2352" s="12" t="s">
        <v>8677</v>
      </c>
      <c r="L2352" s="13"/>
      <c r="M2352" s="11" t="s">
        <v>10373</v>
      </c>
      <c r="N2352" s="5" t="s">
        <v>10374</v>
      </c>
      <c r="O2352" s="5" t="s">
        <v>108</v>
      </c>
      <c r="P2352" s="15"/>
      <c r="Q2352" s="15"/>
      <c r="R2352" s="16" t="s">
        <v>634</v>
      </c>
      <c r="S2352" s="15"/>
      <c r="T2352" s="15"/>
      <c r="U2352" s="15"/>
      <c r="V2352" s="15"/>
      <c r="W2352" s="15"/>
      <c r="X2352" s="15"/>
      <c r="Y2352" s="15"/>
      <c r="Z2352" s="15"/>
      <c r="AA2352" s="15"/>
    </row>
    <row r="2353">
      <c r="A2353" s="5" t="s">
        <v>10369</v>
      </c>
      <c r="B2353" s="6" t="s">
        <v>10375</v>
      </c>
      <c r="C2353" s="40" t="s">
        <v>10376</v>
      </c>
      <c r="D2353" s="11"/>
      <c r="E2353" s="11" t="s">
        <v>10377</v>
      </c>
      <c r="F2353" s="90">
        <v>50000.0</v>
      </c>
      <c r="G2353" s="285" t="s">
        <v>10378</v>
      </c>
      <c r="H2353" s="11" t="s">
        <v>906</v>
      </c>
      <c r="I2353" s="276">
        <v>9.137772034E9</v>
      </c>
      <c r="J2353" s="11" t="s">
        <v>9814</v>
      </c>
      <c r="K2353" s="12" t="s">
        <v>8677</v>
      </c>
      <c r="L2353" s="13"/>
      <c r="M2353" s="14"/>
      <c r="N2353" s="15"/>
      <c r="O2353" s="5" t="s">
        <v>108</v>
      </c>
      <c r="P2353" s="15"/>
      <c r="Q2353" s="15"/>
      <c r="R2353" s="16" t="s">
        <v>28</v>
      </c>
      <c r="S2353" s="15"/>
      <c r="T2353" s="15"/>
      <c r="U2353" s="15"/>
      <c r="V2353" s="15"/>
      <c r="W2353" s="15"/>
      <c r="X2353" s="15"/>
      <c r="Y2353" s="15"/>
      <c r="Z2353" s="15"/>
      <c r="AA2353" s="15"/>
    </row>
    <row r="2354">
      <c r="A2354" s="5" t="s">
        <v>10369</v>
      </c>
      <c r="B2354" s="6" t="s">
        <v>10379</v>
      </c>
      <c r="C2354" s="40" t="s">
        <v>10380</v>
      </c>
      <c r="D2354" s="11"/>
      <c r="E2354" s="11" t="s">
        <v>1373</v>
      </c>
      <c r="F2354" s="90">
        <v>5000.0</v>
      </c>
      <c r="G2354" s="285" t="s">
        <v>10381</v>
      </c>
      <c r="H2354" s="11" t="s">
        <v>2882</v>
      </c>
      <c r="I2354" s="276">
        <v>9.81101383E9</v>
      </c>
      <c r="J2354" s="11" t="s">
        <v>9814</v>
      </c>
      <c r="K2354" s="12" t="s">
        <v>8677</v>
      </c>
      <c r="L2354" s="13"/>
      <c r="M2354" s="11" t="s">
        <v>7904</v>
      </c>
      <c r="N2354" s="5" t="s">
        <v>10382</v>
      </c>
      <c r="O2354" s="5" t="s">
        <v>108</v>
      </c>
      <c r="P2354" s="5" t="s">
        <v>10383</v>
      </c>
      <c r="Q2354" s="15"/>
      <c r="R2354" s="16" t="s">
        <v>634</v>
      </c>
      <c r="S2354" s="15"/>
      <c r="T2354" s="15"/>
      <c r="U2354" s="15"/>
      <c r="V2354" s="15"/>
      <c r="W2354" s="15"/>
      <c r="X2354" s="15"/>
      <c r="Y2354" s="15"/>
      <c r="Z2354" s="15"/>
      <c r="AA2354" s="15"/>
    </row>
    <row r="2355">
      <c r="A2355" s="5" t="s">
        <v>10369</v>
      </c>
      <c r="B2355" s="6" t="s">
        <v>10384</v>
      </c>
      <c r="C2355" s="40" t="s">
        <v>10385</v>
      </c>
      <c r="D2355" s="11"/>
      <c r="E2355" s="11" t="s">
        <v>3686</v>
      </c>
      <c r="F2355" s="90">
        <v>1000.0</v>
      </c>
      <c r="G2355" s="285" t="s">
        <v>10386</v>
      </c>
      <c r="H2355" s="11" t="s">
        <v>507</v>
      </c>
      <c r="I2355" s="276">
        <v>9.820188549E9</v>
      </c>
      <c r="J2355" s="11" t="s">
        <v>9814</v>
      </c>
      <c r="K2355" s="12" t="s">
        <v>10387</v>
      </c>
      <c r="L2355" s="12">
        <v>890.0</v>
      </c>
      <c r="M2355" s="11" t="s">
        <v>10388</v>
      </c>
      <c r="N2355" s="5" t="s">
        <v>10389</v>
      </c>
      <c r="O2355" s="5" t="s">
        <v>34</v>
      </c>
      <c r="P2355" s="5" t="s">
        <v>727</v>
      </c>
      <c r="Q2355" s="15"/>
      <c r="R2355" s="16" t="s">
        <v>634</v>
      </c>
      <c r="S2355" s="15"/>
      <c r="T2355" s="15"/>
      <c r="U2355" s="15"/>
      <c r="V2355" s="15"/>
      <c r="W2355" s="15"/>
      <c r="X2355" s="15"/>
      <c r="Y2355" s="15"/>
      <c r="Z2355" s="15"/>
      <c r="AA2355" s="15"/>
    </row>
    <row r="2356">
      <c r="A2356" s="5" t="s">
        <v>10369</v>
      </c>
      <c r="B2356" s="6" t="s">
        <v>10390</v>
      </c>
      <c r="C2356" s="40" t="s">
        <v>10391</v>
      </c>
      <c r="D2356" s="11"/>
      <c r="E2356" s="11" t="s">
        <v>1749</v>
      </c>
      <c r="F2356" s="90">
        <v>200.0</v>
      </c>
      <c r="G2356" s="295" t="s">
        <v>10392</v>
      </c>
      <c r="H2356" s="11" t="s">
        <v>44</v>
      </c>
      <c r="I2356" s="276">
        <v>6.291828171E9</v>
      </c>
      <c r="J2356" s="11" t="s">
        <v>9814</v>
      </c>
      <c r="K2356" s="12" t="s">
        <v>9143</v>
      </c>
      <c r="L2356" s="13"/>
      <c r="M2356" s="11" t="s">
        <v>9879</v>
      </c>
      <c r="N2356" s="5" t="s">
        <v>10393</v>
      </c>
      <c r="O2356" s="5" t="s">
        <v>26</v>
      </c>
      <c r="P2356" s="5" t="s">
        <v>8132</v>
      </c>
      <c r="Q2356" s="15"/>
      <c r="R2356" s="16" t="s">
        <v>634</v>
      </c>
      <c r="S2356" s="15"/>
      <c r="T2356" s="15"/>
      <c r="U2356" s="15"/>
      <c r="V2356" s="15"/>
      <c r="W2356" s="15"/>
      <c r="X2356" s="15"/>
      <c r="Y2356" s="15"/>
      <c r="Z2356" s="15"/>
      <c r="AA2356" s="15"/>
    </row>
    <row r="2357">
      <c r="A2357" s="5" t="s">
        <v>10369</v>
      </c>
      <c r="B2357" s="6" t="s">
        <v>10394</v>
      </c>
      <c r="C2357" s="40" t="s">
        <v>10395</v>
      </c>
      <c r="D2357" s="11"/>
      <c r="E2357" s="11" t="s">
        <v>841</v>
      </c>
      <c r="F2357" s="90">
        <v>5000.0</v>
      </c>
      <c r="G2357" s="285" t="s">
        <v>10396</v>
      </c>
      <c r="H2357" s="11" t="s">
        <v>1640</v>
      </c>
      <c r="I2357" s="276">
        <v>7.699674203E9</v>
      </c>
      <c r="J2357" s="11" t="s">
        <v>9814</v>
      </c>
      <c r="K2357" s="12" t="s">
        <v>9599</v>
      </c>
      <c r="L2357" s="13"/>
      <c r="M2357" s="11" t="s">
        <v>8860</v>
      </c>
      <c r="N2357" s="5" t="s">
        <v>10397</v>
      </c>
      <c r="O2357" s="5" t="s">
        <v>26</v>
      </c>
      <c r="P2357" s="5" t="s">
        <v>10398</v>
      </c>
      <c r="Q2357" s="15"/>
      <c r="R2357" s="16" t="s">
        <v>634</v>
      </c>
      <c r="S2357" s="15"/>
      <c r="T2357" s="15"/>
      <c r="U2357" s="15"/>
      <c r="V2357" s="15"/>
      <c r="W2357" s="15"/>
      <c r="X2357" s="15"/>
      <c r="Y2357" s="15"/>
      <c r="Z2357" s="15"/>
      <c r="AA2357" s="15"/>
    </row>
    <row r="2358">
      <c r="A2358" s="5" t="s">
        <v>10369</v>
      </c>
      <c r="B2358" s="6" t="s">
        <v>10399</v>
      </c>
      <c r="C2358" s="40" t="s">
        <v>10400</v>
      </c>
      <c r="D2358" s="11"/>
      <c r="E2358" s="11" t="s">
        <v>6323</v>
      </c>
      <c r="F2358" s="90">
        <v>5000.0</v>
      </c>
      <c r="G2358" s="285" t="s">
        <v>10401</v>
      </c>
      <c r="H2358" s="11" t="s">
        <v>906</v>
      </c>
      <c r="I2358" s="276">
        <v>9.320095161E9</v>
      </c>
      <c r="J2358" s="11" t="s">
        <v>4008</v>
      </c>
      <c r="K2358" s="12" t="s">
        <v>8753</v>
      </c>
      <c r="L2358" s="13"/>
      <c r="M2358" s="14"/>
      <c r="N2358" s="15"/>
      <c r="O2358" s="5" t="s">
        <v>108</v>
      </c>
      <c r="P2358" s="5" t="s">
        <v>8056</v>
      </c>
      <c r="Q2358" s="15"/>
      <c r="R2358" s="16" t="s">
        <v>28</v>
      </c>
      <c r="S2358" s="15"/>
      <c r="T2358" s="15"/>
      <c r="U2358" s="15"/>
      <c r="V2358" s="15"/>
      <c r="W2358" s="15"/>
      <c r="X2358" s="15"/>
      <c r="Y2358" s="15"/>
      <c r="Z2358" s="15"/>
      <c r="AA2358" s="15"/>
    </row>
    <row r="2359">
      <c r="A2359" s="5" t="s">
        <v>10369</v>
      </c>
      <c r="B2359" s="6" t="s">
        <v>10402</v>
      </c>
      <c r="C2359" s="40" t="s">
        <v>10403</v>
      </c>
      <c r="D2359" s="11"/>
      <c r="E2359" s="11" t="s">
        <v>10404</v>
      </c>
      <c r="F2359" s="90">
        <v>1000.0</v>
      </c>
      <c r="G2359" s="285" t="s">
        <v>10405</v>
      </c>
      <c r="H2359" s="11" t="s">
        <v>9359</v>
      </c>
      <c r="I2359" s="276">
        <v>9.39309494E9</v>
      </c>
      <c r="J2359" s="11" t="s">
        <v>4008</v>
      </c>
      <c r="K2359" s="12" t="s">
        <v>2995</v>
      </c>
      <c r="L2359" s="13"/>
      <c r="M2359" s="11" t="s">
        <v>9298</v>
      </c>
      <c r="N2359" s="5" t="s">
        <v>10406</v>
      </c>
      <c r="O2359" s="5" t="s">
        <v>108</v>
      </c>
      <c r="P2359" s="15"/>
      <c r="Q2359" s="15"/>
      <c r="R2359" s="16" t="s">
        <v>634</v>
      </c>
      <c r="S2359" s="15"/>
      <c r="T2359" s="15"/>
      <c r="U2359" s="15"/>
      <c r="V2359" s="15"/>
      <c r="W2359" s="15"/>
      <c r="X2359" s="15"/>
      <c r="Y2359" s="15"/>
      <c r="Z2359" s="15"/>
      <c r="AA2359" s="15"/>
    </row>
    <row r="2360">
      <c r="A2360" s="5" t="s">
        <v>10369</v>
      </c>
      <c r="B2360" s="6" t="s">
        <v>10407</v>
      </c>
      <c r="C2360" s="40" t="s">
        <v>10408</v>
      </c>
      <c r="D2360" s="11"/>
      <c r="E2360" s="11" t="s">
        <v>10409</v>
      </c>
      <c r="F2360" s="90">
        <v>10000.0</v>
      </c>
      <c r="G2360" s="285" t="s">
        <v>10410</v>
      </c>
      <c r="H2360" s="11" t="s">
        <v>906</v>
      </c>
      <c r="I2360" s="276">
        <v>9.137637902E9</v>
      </c>
      <c r="J2360" s="11" t="s">
        <v>9814</v>
      </c>
      <c r="K2360" s="12"/>
      <c r="L2360" s="13"/>
      <c r="M2360" s="14"/>
      <c r="N2360" s="15"/>
      <c r="O2360" s="5" t="s">
        <v>108</v>
      </c>
      <c r="P2360" s="5" t="s">
        <v>10411</v>
      </c>
      <c r="Q2360" s="15"/>
      <c r="R2360" s="16" t="s">
        <v>28</v>
      </c>
      <c r="S2360" s="15"/>
      <c r="T2360" s="15"/>
      <c r="U2360" s="15"/>
      <c r="V2360" s="15"/>
      <c r="W2360" s="15"/>
      <c r="X2360" s="15"/>
      <c r="Y2360" s="15"/>
      <c r="Z2360" s="15"/>
      <c r="AA2360" s="15"/>
    </row>
    <row r="2361">
      <c r="A2361" s="5" t="s">
        <v>10369</v>
      </c>
      <c r="B2361" s="6" t="s">
        <v>10412</v>
      </c>
      <c r="C2361" s="40" t="s">
        <v>10413</v>
      </c>
      <c r="D2361" s="11"/>
      <c r="E2361" s="11" t="s">
        <v>794</v>
      </c>
      <c r="F2361" s="90">
        <v>100.0</v>
      </c>
      <c r="G2361" s="285" t="s">
        <v>10414</v>
      </c>
      <c r="H2361" s="11" t="s">
        <v>44</v>
      </c>
      <c r="I2361" s="276">
        <v>9.083053691E9</v>
      </c>
      <c r="J2361" s="11" t="s">
        <v>9814</v>
      </c>
      <c r="K2361" s="12"/>
      <c r="L2361" s="13"/>
      <c r="M2361" s="14"/>
      <c r="N2361" s="15"/>
      <c r="O2361" s="5" t="s">
        <v>26</v>
      </c>
      <c r="P2361" s="15"/>
      <c r="Q2361" s="15"/>
      <c r="R2361" s="16" t="s">
        <v>28</v>
      </c>
      <c r="S2361" s="15"/>
      <c r="T2361" s="15"/>
      <c r="U2361" s="15"/>
      <c r="V2361" s="15"/>
      <c r="W2361" s="15"/>
      <c r="X2361" s="15"/>
      <c r="Y2361" s="15"/>
      <c r="Z2361" s="15"/>
      <c r="AA2361" s="15"/>
    </row>
    <row r="2362">
      <c r="A2362" s="5" t="s">
        <v>10415</v>
      </c>
      <c r="B2362" s="6" t="s">
        <v>10416</v>
      </c>
      <c r="C2362" s="40" t="s">
        <v>10417</v>
      </c>
      <c r="D2362" s="11"/>
      <c r="E2362" s="11" t="s">
        <v>3686</v>
      </c>
      <c r="F2362" s="90">
        <v>500.0</v>
      </c>
      <c r="G2362" s="285" t="s">
        <v>10418</v>
      </c>
      <c r="H2362" s="11" t="s">
        <v>9266</v>
      </c>
      <c r="I2362" s="276">
        <v>9.895404758E9</v>
      </c>
      <c r="J2362" s="11" t="s">
        <v>9814</v>
      </c>
      <c r="K2362" s="12" t="s">
        <v>8753</v>
      </c>
      <c r="L2362" s="13"/>
      <c r="M2362" s="14"/>
      <c r="N2362" s="15"/>
      <c r="O2362" s="5" t="s">
        <v>108</v>
      </c>
      <c r="P2362" s="5" t="s">
        <v>10419</v>
      </c>
      <c r="Q2362" s="15"/>
      <c r="R2362" s="16" t="s">
        <v>634</v>
      </c>
      <c r="S2362" s="15"/>
      <c r="T2362" s="15"/>
      <c r="U2362" s="15"/>
      <c r="V2362" s="15"/>
      <c r="W2362" s="15"/>
      <c r="X2362" s="15"/>
      <c r="Y2362" s="15"/>
      <c r="Z2362" s="15"/>
      <c r="AA2362" s="15"/>
    </row>
    <row r="2363">
      <c r="A2363" s="5" t="s">
        <v>10415</v>
      </c>
      <c r="B2363" s="131" t="s">
        <v>10420</v>
      </c>
      <c r="C2363" s="5" t="s">
        <v>10421</v>
      </c>
      <c r="D2363" s="11"/>
      <c r="E2363" s="11" t="s">
        <v>8931</v>
      </c>
      <c r="F2363" s="90">
        <v>4000.0</v>
      </c>
      <c r="G2363" s="285" t="s">
        <v>10422</v>
      </c>
      <c r="H2363" s="11" t="s">
        <v>1461</v>
      </c>
      <c r="I2363" s="283" t="s">
        <v>10423</v>
      </c>
      <c r="J2363" s="11" t="s">
        <v>9814</v>
      </c>
      <c r="K2363" s="12" t="s">
        <v>8753</v>
      </c>
      <c r="L2363" s="13"/>
      <c r="M2363" s="14"/>
      <c r="N2363" s="15"/>
      <c r="O2363" s="5" t="s">
        <v>108</v>
      </c>
      <c r="P2363" s="15"/>
      <c r="Q2363" s="15"/>
      <c r="R2363" s="16" t="s">
        <v>28</v>
      </c>
      <c r="S2363" s="15"/>
      <c r="T2363" s="15"/>
      <c r="U2363" s="15"/>
      <c r="V2363" s="15"/>
      <c r="W2363" s="15"/>
      <c r="X2363" s="15"/>
      <c r="Y2363" s="15"/>
      <c r="Z2363" s="15"/>
      <c r="AA2363" s="15"/>
    </row>
    <row r="2364">
      <c r="A2364" s="5" t="s">
        <v>10415</v>
      </c>
      <c r="B2364" s="6" t="s">
        <v>10424</v>
      </c>
      <c r="C2364" s="40" t="s">
        <v>10425</v>
      </c>
      <c r="D2364" s="11"/>
      <c r="E2364" s="11" t="s">
        <v>10426</v>
      </c>
      <c r="F2364" s="90">
        <v>150.0</v>
      </c>
      <c r="G2364" s="285" t="s">
        <v>10427</v>
      </c>
      <c r="H2364" s="11" t="s">
        <v>507</v>
      </c>
      <c r="I2364" s="276">
        <v>7.776866855E9</v>
      </c>
      <c r="J2364" s="11" t="s">
        <v>9814</v>
      </c>
      <c r="K2364" s="12" t="s">
        <v>8753</v>
      </c>
      <c r="L2364" s="13"/>
      <c r="M2364" s="11" t="s">
        <v>10428</v>
      </c>
      <c r="N2364" s="5" t="s">
        <v>10429</v>
      </c>
      <c r="O2364" s="5" t="s">
        <v>108</v>
      </c>
      <c r="P2364" s="5" t="s">
        <v>10430</v>
      </c>
      <c r="Q2364" s="15"/>
      <c r="R2364" s="16" t="s">
        <v>634</v>
      </c>
      <c r="S2364" s="15"/>
      <c r="T2364" s="15"/>
      <c r="U2364" s="15"/>
      <c r="V2364" s="15"/>
      <c r="W2364" s="15"/>
      <c r="X2364" s="15"/>
      <c r="Y2364" s="15"/>
      <c r="Z2364" s="15"/>
      <c r="AA2364" s="15"/>
    </row>
    <row r="2365">
      <c r="A2365" s="5" t="s">
        <v>10415</v>
      </c>
      <c r="B2365" s="6" t="s">
        <v>10431</v>
      </c>
      <c r="C2365" s="40" t="s">
        <v>10432</v>
      </c>
      <c r="D2365" s="11"/>
      <c r="E2365" s="11" t="s">
        <v>10433</v>
      </c>
      <c r="F2365" s="90">
        <v>1000.0</v>
      </c>
      <c r="G2365" s="285" t="s">
        <v>10434</v>
      </c>
      <c r="H2365" s="11" t="s">
        <v>44</v>
      </c>
      <c r="I2365" s="276">
        <v>9.831028668E9</v>
      </c>
      <c r="J2365" s="11" t="s">
        <v>9814</v>
      </c>
      <c r="K2365" s="12" t="s">
        <v>10435</v>
      </c>
      <c r="L2365" s="13"/>
      <c r="M2365" s="14"/>
      <c r="N2365" s="15"/>
      <c r="O2365" s="5" t="s">
        <v>26</v>
      </c>
      <c r="P2365" s="5" t="s">
        <v>10435</v>
      </c>
      <c r="Q2365" s="15"/>
      <c r="R2365" s="16" t="s">
        <v>28</v>
      </c>
      <c r="S2365" s="15"/>
      <c r="T2365" s="15"/>
      <c r="U2365" s="15"/>
      <c r="V2365" s="15"/>
      <c r="W2365" s="15"/>
      <c r="X2365" s="15"/>
      <c r="Y2365" s="15"/>
      <c r="Z2365" s="15"/>
      <c r="AA2365" s="15"/>
    </row>
    <row r="2366">
      <c r="A2366" s="5" t="s">
        <v>10415</v>
      </c>
      <c r="B2366" s="6" t="s">
        <v>10436</v>
      </c>
      <c r="C2366" s="40" t="s">
        <v>10437</v>
      </c>
      <c r="D2366" s="11"/>
      <c r="E2366" s="11" t="s">
        <v>4481</v>
      </c>
      <c r="F2366" s="90">
        <v>2000.0</v>
      </c>
      <c r="G2366" s="285" t="s">
        <v>10438</v>
      </c>
      <c r="H2366" s="11" t="s">
        <v>44</v>
      </c>
      <c r="I2366" s="276">
        <v>9.90396503E9</v>
      </c>
      <c r="J2366" s="11" t="s">
        <v>9814</v>
      </c>
      <c r="K2366" s="12" t="s">
        <v>10439</v>
      </c>
      <c r="L2366" s="13"/>
      <c r="M2366" s="11" t="s">
        <v>10440</v>
      </c>
      <c r="N2366" s="5" t="s">
        <v>10441</v>
      </c>
      <c r="O2366" s="5" t="s">
        <v>26</v>
      </c>
      <c r="P2366" s="5" t="s">
        <v>10442</v>
      </c>
      <c r="Q2366" s="15"/>
      <c r="R2366" s="16" t="s">
        <v>634</v>
      </c>
      <c r="S2366" s="15"/>
      <c r="T2366" s="15"/>
      <c r="U2366" s="15"/>
      <c r="V2366" s="15"/>
      <c r="W2366" s="15"/>
      <c r="X2366" s="15"/>
      <c r="Y2366" s="15"/>
      <c r="Z2366" s="15"/>
      <c r="AA2366" s="15"/>
    </row>
    <row r="2367">
      <c r="A2367" s="5" t="s">
        <v>10415</v>
      </c>
      <c r="B2367" s="6" t="s">
        <v>10443</v>
      </c>
      <c r="C2367" s="40" t="s">
        <v>10444</v>
      </c>
      <c r="D2367" s="11"/>
      <c r="E2367" s="11" t="s">
        <v>43</v>
      </c>
      <c r="F2367" s="90">
        <v>2000.0</v>
      </c>
      <c r="G2367" s="285" t="s">
        <v>10445</v>
      </c>
      <c r="H2367" s="11" t="s">
        <v>10446</v>
      </c>
      <c r="I2367" s="276">
        <v>9.031133277E9</v>
      </c>
      <c r="J2367" s="11" t="s">
        <v>9814</v>
      </c>
      <c r="K2367" s="12" t="s">
        <v>10447</v>
      </c>
      <c r="L2367" s="13"/>
      <c r="M2367" s="11" t="s">
        <v>8348</v>
      </c>
      <c r="N2367" s="5" t="s">
        <v>10448</v>
      </c>
      <c r="O2367" s="5" t="s">
        <v>108</v>
      </c>
      <c r="P2367" s="5" t="s">
        <v>10449</v>
      </c>
      <c r="Q2367" s="15"/>
      <c r="R2367" s="16" t="s">
        <v>634</v>
      </c>
      <c r="S2367" s="15"/>
      <c r="T2367" s="15"/>
      <c r="U2367" s="15"/>
      <c r="V2367" s="15"/>
      <c r="W2367" s="15"/>
      <c r="X2367" s="15"/>
      <c r="Y2367" s="15"/>
      <c r="Z2367" s="15"/>
      <c r="AA2367" s="15"/>
    </row>
    <row r="2368">
      <c r="A2368" s="5" t="s">
        <v>10415</v>
      </c>
      <c r="B2368" s="6" t="s">
        <v>10450</v>
      </c>
      <c r="C2368" s="40" t="s">
        <v>10451</v>
      </c>
      <c r="D2368" s="11"/>
      <c r="E2368" s="11" t="s">
        <v>3686</v>
      </c>
      <c r="F2368" s="90">
        <v>200.0</v>
      </c>
      <c r="G2368" s="285" t="s">
        <v>10452</v>
      </c>
      <c r="H2368" s="11" t="s">
        <v>507</v>
      </c>
      <c r="I2368" s="283" t="s">
        <v>10453</v>
      </c>
      <c r="J2368" s="11" t="s">
        <v>9814</v>
      </c>
      <c r="K2368" s="12" t="s">
        <v>8753</v>
      </c>
      <c r="L2368" s="13"/>
      <c r="M2368" s="11" t="s">
        <v>10454</v>
      </c>
      <c r="N2368" s="5" t="s">
        <v>10455</v>
      </c>
      <c r="O2368" s="5" t="s">
        <v>108</v>
      </c>
      <c r="P2368" s="5" t="s">
        <v>8056</v>
      </c>
      <c r="Q2368" s="15"/>
      <c r="R2368" s="16" t="s">
        <v>634</v>
      </c>
      <c r="S2368" s="15"/>
      <c r="T2368" s="15"/>
      <c r="U2368" s="15"/>
      <c r="V2368" s="15"/>
      <c r="W2368" s="15"/>
      <c r="X2368" s="15"/>
      <c r="Y2368" s="15"/>
      <c r="Z2368" s="15"/>
      <c r="AA2368" s="15"/>
    </row>
    <row r="2369">
      <c r="A2369" s="5" t="s">
        <v>10415</v>
      </c>
      <c r="B2369" s="6" t="s">
        <v>10456</v>
      </c>
      <c r="C2369" s="40" t="s">
        <v>10457</v>
      </c>
      <c r="D2369" s="11"/>
      <c r="E2369" s="11" t="s">
        <v>4481</v>
      </c>
      <c r="F2369" s="90">
        <v>200000.0</v>
      </c>
      <c r="G2369" s="285" t="s">
        <v>10458</v>
      </c>
      <c r="H2369" s="11" t="s">
        <v>44</v>
      </c>
      <c r="I2369" s="276">
        <v>9.83100046E9</v>
      </c>
      <c r="J2369" s="11" t="s">
        <v>9814</v>
      </c>
      <c r="K2369" s="12" t="s">
        <v>10459</v>
      </c>
      <c r="L2369" s="13"/>
      <c r="M2369" s="11" t="s">
        <v>10460</v>
      </c>
      <c r="N2369" s="5" t="s">
        <v>10461</v>
      </c>
      <c r="O2369" s="5" t="s">
        <v>26</v>
      </c>
      <c r="P2369" s="5" t="s">
        <v>10462</v>
      </c>
      <c r="Q2369" s="15"/>
      <c r="R2369" s="16" t="s">
        <v>634</v>
      </c>
      <c r="S2369" s="15"/>
      <c r="T2369" s="15"/>
      <c r="U2369" s="15"/>
      <c r="V2369" s="15"/>
      <c r="W2369" s="15"/>
      <c r="X2369" s="15"/>
      <c r="Y2369" s="15"/>
      <c r="Z2369" s="15"/>
      <c r="AA2369" s="15"/>
    </row>
    <row r="2370">
      <c r="A2370" s="5" t="s">
        <v>10415</v>
      </c>
      <c r="B2370" s="6" t="s">
        <v>10463</v>
      </c>
      <c r="C2370" s="40" t="s">
        <v>10464</v>
      </c>
      <c r="D2370" s="11"/>
      <c r="E2370" s="11" t="s">
        <v>10465</v>
      </c>
      <c r="F2370" s="90">
        <v>5000.0</v>
      </c>
      <c r="G2370" s="285" t="s">
        <v>10466</v>
      </c>
      <c r="H2370" s="11" t="s">
        <v>44</v>
      </c>
      <c r="I2370" s="276">
        <v>9.836344378E9</v>
      </c>
      <c r="J2370" s="11" t="s">
        <v>4008</v>
      </c>
      <c r="K2370" s="12" t="s">
        <v>8753</v>
      </c>
      <c r="L2370" s="13"/>
      <c r="M2370" s="14"/>
      <c r="N2370" s="15"/>
      <c r="O2370" s="5" t="s">
        <v>26</v>
      </c>
      <c r="P2370" s="15"/>
      <c r="Q2370" s="15"/>
      <c r="R2370" s="16" t="s">
        <v>28</v>
      </c>
      <c r="S2370" s="15"/>
      <c r="T2370" s="15"/>
      <c r="U2370" s="15"/>
      <c r="V2370" s="15"/>
      <c r="W2370" s="15"/>
      <c r="X2370" s="15"/>
      <c r="Y2370" s="15"/>
      <c r="Z2370" s="15"/>
      <c r="AA2370" s="15"/>
    </row>
    <row r="2371">
      <c r="A2371" s="5" t="s">
        <v>10415</v>
      </c>
      <c r="B2371" s="6" t="s">
        <v>10467</v>
      </c>
      <c r="C2371" s="40" t="s">
        <v>10468</v>
      </c>
      <c r="D2371" s="11"/>
      <c r="E2371" s="11" t="s">
        <v>10426</v>
      </c>
      <c r="F2371" s="90">
        <v>150.0</v>
      </c>
      <c r="G2371" s="285" t="s">
        <v>10469</v>
      </c>
      <c r="H2371" s="11" t="s">
        <v>507</v>
      </c>
      <c r="I2371" s="276">
        <v>9.820036922E9</v>
      </c>
      <c r="J2371" s="11" t="s">
        <v>9814</v>
      </c>
      <c r="K2371" s="12" t="s">
        <v>8753</v>
      </c>
      <c r="L2371" s="13"/>
      <c r="M2371" s="11" t="s">
        <v>10454</v>
      </c>
      <c r="N2371" s="5" t="s">
        <v>10470</v>
      </c>
      <c r="O2371" s="5" t="s">
        <v>108</v>
      </c>
      <c r="P2371" s="15"/>
      <c r="Q2371" s="15"/>
      <c r="R2371" s="16" t="s">
        <v>634</v>
      </c>
      <c r="S2371" s="15"/>
      <c r="T2371" s="15"/>
      <c r="U2371" s="15"/>
      <c r="V2371" s="15"/>
      <c r="W2371" s="15"/>
      <c r="X2371" s="15"/>
      <c r="Y2371" s="15"/>
      <c r="Z2371" s="15"/>
      <c r="AA2371" s="15"/>
    </row>
    <row r="2372">
      <c r="A2372" s="5" t="s">
        <v>10415</v>
      </c>
      <c r="B2372" s="6" t="s">
        <v>10471</v>
      </c>
      <c r="C2372" s="40" t="s">
        <v>10472</v>
      </c>
      <c r="D2372" s="40"/>
      <c r="E2372" s="40" t="s">
        <v>3489</v>
      </c>
      <c r="F2372" s="296">
        <v>100.0</v>
      </c>
      <c r="G2372" s="285" t="s">
        <v>10473</v>
      </c>
      <c r="H2372" s="11" t="s">
        <v>44</v>
      </c>
      <c r="I2372" s="283" t="s">
        <v>10474</v>
      </c>
      <c r="J2372" s="11" t="s">
        <v>9814</v>
      </c>
      <c r="K2372" s="12" t="s">
        <v>10475</v>
      </c>
      <c r="L2372" s="13"/>
      <c r="M2372" s="11" t="s">
        <v>10476</v>
      </c>
      <c r="N2372" s="5" t="s">
        <v>10477</v>
      </c>
      <c r="O2372" s="5" t="s">
        <v>26</v>
      </c>
      <c r="P2372" s="5" t="s">
        <v>10478</v>
      </c>
      <c r="Q2372" s="15"/>
      <c r="R2372" s="16" t="s">
        <v>634</v>
      </c>
      <c r="S2372" s="15"/>
      <c r="T2372" s="15"/>
      <c r="U2372" s="15"/>
      <c r="V2372" s="15"/>
      <c r="W2372" s="15"/>
      <c r="X2372" s="15"/>
      <c r="Y2372" s="15"/>
      <c r="Z2372" s="15"/>
      <c r="AA2372" s="15"/>
    </row>
    <row r="2373">
      <c r="A2373" s="5" t="s">
        <v>10415</v>
      </c>
      <c r="B2373" s="6" t="s">
        <v>10479</v>
      </c>
      <c r="C2373" s="40" t="s">
        <v>10480</v>
      </c>
      <c r="D2373" s="11"/>
      <c r="E2373" s="11" t="s">
        <v>10481</v>
      </c>
      <c r="F2373" s="90">
        <v>500.0</v>
      </c>
      <c r="G2373" s="285" t="s">
        <v>10482</v>
      </c>
      <c r="H2373" s="11" t="s">
        <v>99</v>
      </c>
      <c r="I2373" s="276">
        <v>7.377084036E9</v>
      </c>
      <c r="J2373" s="11" t="s">
        <v>9814</v>
      </c>
      <c r="K2373" s="12"/>
      <c r="L2373" s="13"/>
      <c r="M2373" s="11" t="s">
        <v>10483</v>
      </c>
      <c r="N2373" s="5" t="s">
        <v>10484</v>
      </c>
      <c r="O2373" s="5" t="s">
        <v>34</v>
      </c>
      <c r="P2373" s="5" t="s">
        <v>9082</v>
      </c>
      <c r="Q2373" s="15"/>
      <c r="R2373" s="16" t="s">
        <v>634</v>
      </c>
      <c r="S2373" s="15"/>
      <c r="T2373" s="15"/>
      <c r="U2373" s="15"/>
      <c r="V2373" s="15"/>
      <c r="W2373" s="15"/>
      <c r="X2373" s="15"/>
      <c r="Y2373" s="15"/>
      <c r="Z2373" s="15"/>
      <c r="AA2373" s="15"/>
    </row>
    <row r="2374">
      <c r="A2374" s="5" t="s">
        <v>10485</v>
      </c>
      <c r="B2374" s="6" t="s">
        <v>10486</v>
      </c>
      <c r="C2374" s="40" t="s">
        <v>10487</v>
      </c>
      <c r="D2374" s="11"/>
      <c r="E2374" s="11" t="s">
        <v>5774</v>
      </c>
      <c r="F2374" s="90">
        <v>30000.0</v>
      </c>
      <c r="G2374" s="285" t="s">
        <v>10488</v>
      </c>
      <c r="H2374" s="11" t="s">
        <v>2643</v>
      </c>
      <c r="I2374" s="276">
        <v>7.441100901E9</v>
      </c>
      <c r="J2374" s="11" t="s">
        <v>9536</v>
      </c>
      <c r="K2374" s="12" t="s">
        <v>8677</v>
      </c>
      <c r="L2374" s="13"/>
      <c r="M2374" s="14"/>
      <c r="N2374" s="15"/>
      <c r="O2374" s="5" t="s">
        <v>108</v>
      </c>
      <c r="P2374" s="15"/>
      <c r="Q2374" s="15"/>
      <c r="R2374" s="16" t="s">
        <v>28</v>
      </c>
      <c r="S2374" s="15"/>
      <c r="T2374" s="15"/>
      <c r="U2374" s="15"/>
      <c r="V2374" s="15"/>
      <c r="W2374" s="15"/>
      <c r="X2374" s="15"/>
      <c r="Y2374" s="15"/>
      <c r="Z2374" s="15"/>
      <c r="AA2374" s="15"/>
    </row>
    <row r="2375">
      <c r="A2375" s="5" t="s">
        <v>10485</v>
      </c>
      <c r="B2375" s="6" t="s">
        <v>10489</v>
      </c>
      <c r="C2375" s="40" t="s">
        <v>10490</v>
      </c>
      <c r="D2375" s="11"/>
      <c r="E2375" s="11" t="s">
        <v>10491</v>
      </c>
      <c r="F2375" s="90">
        <v>5000.0</v>
      </c>
      <c r="G2375" s="285" t="s">
        <v>10492</v>
      </c>
      <c r="H2375" s="11" t="s">
        <v>44</v>
      </c>
      <c r="I2375" s="276">
        <v>9.830037315E9</v>
      </c>
      <c r="J2375" s="11" t="s">
        <v>9814</v>
      </c>
      <c r="K2375" s="12" t="s">
        <v>8753</v>
      </c>
      <c r="L2375" s="13"/>
      <c r="M2375" s="14"/>
      <c r="N2375" s="15"/>
      <c r="O2375" s="5" t="s">
        <v>26</v>
      </c>
      <c r="P2375" s="15"/>
      <c r="Q2375" s="15"/>
      <c r="R2375" s="16" t="s">
        <v>28</v>
      </c>
      <c r="S2375" s="15"/>
      <c r="T2375" s="15"/>
      <c r="U2375" s="15"/>
      <c r="V2375" s="15"/>
      <c r="W2375" s="15"/>
      <c r="X2375" s="15"/>
      <c r="Y2375" s="15"/>
      <c r="Z2375" s="15"/>
      <c r="AA2375" s="15"/>
    </row>
    <row r="2376">
      <c r="A2376" s="5" t="s">
        <v>10485</v>
      </c>
      <c r="B2376" s="6" t="s">
        <v>10493</v>
      </c>
      <c r="C2376" s="40" t="s">
        <v>10494</v>
      </c>
      <c r="D2376" s="11"/>
      <c r="E2376" s="11" t="s">
        <v>9809</v>
      </c>
      <c r="F2376" s="90">
        <v>500.0</v>
      </c>
      <c r="G2376" s="285" t="s">
        <v>10495</v>
      </c>
      <c r="H2376" s="11" t="s">
        <v>9359</v>
      </c>
      <c r="I2376" s="276">
        <v>9.347635606E9</v>
      </c>
      <c r="J2376" s="11" t="s">
        <v>9814</v>
      </c>
      <c r="K2376" s="12" t="s">
        <v>10496</v>
      </c>
      <c r="L2376" s="13"/>
      <c r="M2376" s="11" t="s">
        <v>10497</v>
      </c>
      <c r="N2376" s="5" t="s">
        <v>10498</v>
      </c>
      <c r="O2376" s="5" t="s">
        <v>108</v>
      </c>
      <c r="P2376" s="15"/>
      <c r="Q2376" s="15"/>
      <c r="R2376" s="16" t="s">
        <v>634</v>
      </c>
      <c r="S2376" s="15"/>
      <c r="T2376" s="15"/>
      <c r="U2376" s="15"/>
      <c r="V2376" s="15"/>
      <c r="W2376" s="15"/>
      <c r="X2376" s="15"/>
      <c r="Y2376" s="15"/>
      <c r="Z2376" s="15"/>
      <c r="AA2376" s="15"/>
    </row>
    <row r="2377">
      <c r="A2377" s="5" t="s">
        <v>10485</v>
      </c>
      <c r="B2377" s="6" t="s">
        <v>10499</v>
      </c>
      <c r="C2377" s="40" t="s">
        <v>10500</v>
      </c>
      <c r="D2377" s="11"/>
      <c r="E2377" s="11" t="s">
        <v>10501</v>
      </c>
      <c r="F2377" s="90">
        <v>1000.0</v>
      </c>
      <c r="G2377" s="285" t="s">
        <v>10502</v>
      </c>
      <c r="H2377" s="11" t="s">
        <v>10503</v>
      </c>
      <c r="I2377" s="276">
        <v>9.960520757E9</v>
      </c>
      <c r="J2377" s="11" t="s">
        <v>9536</v>
      </c>
      <c r="K2377" s="12" t="s">
        <v>8753</v>
      </c>
      <c r="L2377" s="13"/>
      <c r="M2377" s="11" t="s">
        <v>10504</v>
      </c>
      <c r="N2377" s="5" t="s">
        <v>10505</v>
      </c>
      <c r="O2377" s="5" t="s">
        <v>108</v>
      </c>
      <c r="P2377" s="15"/>
      <c r="Q2377" s="15"/>
      <c r="R2377" s="16" t="s">
        <v>634</v>
      </c>
      <c r="S2377" s="15"/>
      <c r="T2377" s="15"/>
      <c r="U2377" s="15"/>
      <c r="V2377" s="15"/>
      <c r="W2377" s="15"/>
      <c r="X2377" s="15"/>
      <c r="Y2377" s="15"/>
      <c r="Z2377" s="15"/>
      <c r="AA2377" s="15"/>
    </row>
    <row r="2378">
      <c r="A2378" s="5" t="s">
        <v>10485</v>
      </c>
      <c r="B2378" s="6" t="s">
        <v>10506</v>
      </c>
      <c r="C2378" s="40" t="s">
        <v>10507</v>
      </c>
      <c r="D2378" s="11"/>
      <c r="E2378" s="11" t="s">
        <v>10508</v>
      </c>
      <c r="F2378" s="90">
        <v>5000.0</v>
      </c>
      <c r="G2378" s="285" t="s">
        <v>10509</v>
      </c>
      <c r="H2378" s="11" t="s">
        <v>906</v>
      </c>
      <c r="I2378" s="276">
        <v>9.32419129E9</v>
      </c>
      <c r="J2378" s="11" t="s">
        <v>9814</v>
      </c>
      <c r="K2378" s="12" t="s">
        <v>8753</v>
      </c>
      <c r="L2378" s="13"/>
      <c r="M2378" s="14"/>
      <c r="N2378" s="15"/>
      <c r="O2378" s="5" t="s">
        <v>108</v>
      </c>
      <c r="P2378" s="15"/>
      <c r="Q2378" s="15"/>
      <c r="R2378" s="16" t="s">
        <v>28</v>
      </c>
      <c r="S2378" s="15"/>
      <c r="T2378" s="15"/>
      <c r="U2378" s="15"/>
      <c r="V2378" s="15"/>
      <c r="W2378" s="15"/>
      <c r="X2378" s="15"/>
      <c r="Y2378" s="15"/>
      <c r="Z2378" s="15"/>
      <c r="AA2378" s="15"/>
    </row>
    <row r="2379">
      <c r="A2379" s="5" t="s">
        <v>10485</v>
      </c>
      <c r="B2379" s="6" t="s">
        <v>10510</v>
      </c>
      <c r="C2379" s="40" t="s">
        <v>10511</v>
      </c>
      <c r="D2379" s="11"/>
      <c r="E2379" s="11" t="s">
        <v>10512</v>
      </c>
      <c r="F2379" s="90">
        <v>200.0</v>
      </c>
      <c r="G2379" s="285" t="s">
        <v>10513</v>
      </c>
      <c r="H2379" s="11" t="s">
        <v>44</v>
      </c>
      <c r="I2379" s="276">
        <v>9.830982415E9</v>
      </c>
      <c r="J2379" s="11" t="s">
        <v>9814</v>
      </c>
      <c r="K2379" s="12" t="s">
        <v>10514</v>
      </c>
      <c r="L2379" s="13"/>
      <c r="M2379" s="11" t="s">
        <v>10515</v>
      </c>
      <c r="N2379" s="5" t="s">
        <v>10516</v>
      </c>
      <c r="O2379" s="5" t="s">
        <v>26</v>
      </c>
      <c r="P2379" s="5" t="s">
        <v>10517</v>
      </c>
      <c r="Q2379" s="15"/>
      <c r="R2379" s="16" t="s">
        <v>634</v>
      </c>
      <c r="S2379" s="15"/>
      <c r="T2379" s="15"/>
      <c r="U2379" s="15"/>
      <c r="V2379" s="15"/>
      <c r="W2379" s="15"/>
      <c r="X2379" s="15"/>
      <c r="Y2379" s="15"/>
      <c r="Z2379" s="15"/>
      <c r="AA2379" s="15"/>
    </row>
    <row r="2380">
      <c r="A2380" s="5" t="s">
        <v>10485</v>
      </c>
      <c r="B2380" s="6" t="s">
        <v>10518</v>
      </c>
      <c r="C2380" s="40" t="s">
        <v>10519</v>
      </c>
      <c r="D2380" s="11"/>
      <c r="E2380" s="11" t="s">
        <v>130</v>
      </c>
      <c r="F2380" s="90">
        <v>500.0</v>
      </c>
      <c r="G2380" s="285"/>
      <c r="H2380" s="11" t="s">
        <v>1082</v>
      </c>
      <c r="I2380" s="276">
        <v>9.007339636E9</v>
      </c>
      <c r="J2380" s="11" t="s">
        <v>9814</v>
      </c>
      <c r="K2380" s="12"/>
      <c r="L2380" s="13"/>
      <c r="M2380" s="14"/>
      <c r="N2380" s="15"/>
      <c r="O2380" s="5" t="s">
        <v>26</v>
      </c>
      <c r="P2380" s="5" t="s">
        <v>10520</v>
      </c>
      <c r="Q2380" s="15"/>
      <c r="R2380" s="16" t="s">
        <v>28</v>
      </c>
      <c r="S2380" s="15"/>
      <c r="T2380" s="15"/>
      <c r="U2380" s="15"/>
      <c r="V2380" s="15"/>
      <c r="W2380" s="15"/>
      <c r="X2380" s="15"/>
      <c r="Y2380" s="15"/>
      <c r="Z2380" s="15"/>
      <c r="AA2380" s="15"/>
    </row>
    <row r="2381">
      <c r="A2381" s="5" t="s">
        <v>10485</v>
      </c>
      <c r="B2381" s="6" t="s">
        <v>10521</v>
      </c>
      <c r="C2381" s="62" t="s">
        <v>10522</v>
      </c>
      <c r="D2381" s="11"/>
      <c r="E2381" s="11" t="s">
        <v>7197</v>
      </c>
      <c r="F2381" s="90">
        <v>100.0</v>
      </c>
      <c r="G2381" s="285" t="s">
        <v>10523</v>
      </c>
      <c r="H2381" s="11" t="s">
        <v>44</v>
      </c>
      <c r="I2381" s="276">
        <v>9.230569906E9</v>
      </c>
      <c r="J2381" s="11" t="s">
        <v>4008</v>
      </c>
      <c r="K2381" s="12" t="s">
        <v>1942</v>
      </c>
      <c r="L2381" s="13"/>
      <c r="M2381" s="11" t="s">
        <v>10524</v>
      </c>
      <c r="N2381" s="5" t="s">
        <v>10525</v>
      </c>
      <c r="O2381" s="5" t="s">
        <v>26</v>
      </c>
      <c r="P2381" s="5" t="s">
        <v>10526</v>
      </c>
      <c r="Q2381" s="15"/>
      <c r="R2381" s="16" t="s">
        <v>634</v>
      </c>
      <c r="S2381" s="15"/>
      <c r="T2381" s="15"/>
      <c r="U2381" s="15"/>
      <c r="V2381" s="15"/>
      <c r="W2381" s="15"/>
      <c r="X2381" s="15"/>
      <c r="Y2381" s="15"/>
      <c r="Z2381" s="15"/>
      <c r="AA2381" s="15"/>
    </row>
    <row r="2382">
      <c r="A2382" s="5" t="s">
        <v>10485</v>
      </c>
      <c r="B2382" s="6" t="s">
        <v>10527</v>
      </c>
      <c r="C2382" s="40" t="s">
        <v>4438</v>
      </c>
      <c r="D2382" s="11"/>
      <c r="E2382" s="11" t="s">
        <v>2821</v>
      </c>
      <c r="F2382" s="90">
        <v>500.0</v>
      </c>
      <c r="G2382" s="285"/>
      <c r="H2382" s="11" t="s">
        <v>44</v>
      </c>
      <c r="I2382" s="276">
        <v>8.240555232E9</v>
      </c>
      <c r="J2382" s="11" t="s">
        <v>9814</v>
      </c>
      <c r="K2382" s="52" t="s">
        <v>10528</v>
      </c>
      <c r="L2382" s="13"/>
      <c r="M2382" s="14"/>
      <c r="N2382" s="5" t="s">
        <v>10529</v>
      </c>
      <c r="O2382" s="5" t="s">
        <v>34</v>
      </c>
      <c r="P2382" s="5" t="s">
        <v>55</v>
      </c>
      <c r="Q2382" s="15"/>
      <c r="R2382" s="16" t="s">
        <v>634</v>
      </c>
      <c r="S2382" s="15"/>
      <c r="T2382" s="15"/>
      <c r="U2382" s="15"/>
      <c r="V2382" s="15"/>
      <c r="W2382" s="15"/>
      <c r="X2382" s="15"/>
      <c r="Y2382" s="15"/>
      <c r="Z2382" s="15"/>
      <c r="AA2382" s="15"/>
    </row>
    <row r="2383">
      <c r="A2383" s="5" t="s">
        <v>10485</v>
      </c>
      <c r="B2383" s="6" t="s">
        <v>10530</v>
      </c>
      <c r="C2383" s="40" t="s">
        <v>10531</v>
      </c>
      <c r="D2383" s="11"/>
      <c r="E2383" s="11" t="s">
        <v>894</v>
      </c>
      <c r="F2383" s="90">
        <v>10000.0</v>
      </c>
      <c r="G2383" s="285" t="s">
        <v>10532</v>
      </c>
      <c r="H2383" s="11" t="s">
        <v>10533</v>
      </c>
      <c r="I2383" s="276">
        <v>8.755529092E9</v>
      </c>
      <c r="J2383" s="11" t="s">
        <v>10534</v>
      </c>
      <c r="K2383" s="12" t="s">
        <v>8753</v>
      </c>
      <c r="L2383" s="13"/>
      <c r="M2383" s="11" t="s">
        <v>10535</v>
      </c>
      <c r="N2383" s="5" t="s">
        <v>10536</v>
      </c>
      <c r="O2383" s="5" t="s">
        <v>108</v>
      </c>
      <c r="P2383" s="15"/>
      <c r="Q2383" s="15"/>
      <c r="R2383" s="16" t="s">
        <v>634</v>
      </c>
      <c r="S2383" s="15"/>
      <c r="T2383" s="15"/>
      <c r="U2383" s="15"/>
      <c r="V2383" s="15"/>
      <c r="W2383" s="15"/>
      <c r="X2383" s="15"/>
      <c r="Y2383" s="15"/>
      <c r="Z2383" s="15"/>
      <c r="AA2383" s="15"/>
    </row>
    <row r="2384">
      <c r="A2384" s="5" t="s">
        <v>10537</v>
      </c>
      <c r="B2384" s="6" t="s">
        <v>10538</v>
      </c>
      <c r="C2384" s="62" t="s">
        <v>10539</v>
      </c>
      <c r="D2384" s="11"/>
      <c r="E2384" s="11" t="s">
        <v>6027</v>
      </c>
      <c r="F2384" s="90">
        <v>5000.0</v>
      </c>
      <c r="G2384" s="285" t="s">
        <v>10540</v>
      </c>
      <c r="H2384" s="11" t="s">
        <v>10541</v>
      </c>
      <c r="I2384" s="276">
        <v>9.7584525E9</v>
      </c>
      <c r="J2384" s="11" t="s">
        <v>10542</v>
      </c>
      <c r="K2384" s="12" t="s">
        <v>8753</v>
      </c>
      <c r="L2384" s="13"/>
      <c r="M2384" s="14"/>
      <c r="N2384" s="15"/>
      <c r="O2384" s="5" t="s">
        <v>108</v>
      </c>
      <c r="P2384" s="15"/>
      <c r="Q2384" s="15"/>
      <c r="R2384" s="16" t="s">
        <v>28</v>
      </c>
      <c r="S2384" s="15"/>
      <c r="T2384" s="15"/>
      <c r="U2384" s="15"/>
      <c r="V2384" s="15"/>
      <c r="W2384" s="15"/>
      <c r="X2384" s="15"/>
      <c r="Y2384" s="15"/>
      <c r="Z2384" s="15"/>
      <c r="AA2384" s="15"/>
    </row>
    <row r="2385">
      <c r="A2385" s="5" t="s">
        <v>10537</v>
      </c>
      <c r="B2385" s="6" t="s">
        <v>10543</v>
      </c>
      <c r="C2385" s="216" t="s">
        <v>10544</v>
      </c>
      <c r="D2385" s="297"/>
      <c r="E2385" s="40" t="s">
        <v>10545</v>
      </c>
      <c r="F2385" s="296">
        <v>5000.0</v>
      </c>
      <c r="G2385" s="298" t="s">
        <v>10546</v>
      </c>
      <c r="H2385" s="11" t="s">
        <v>1082</v>
      </c>
      <c r="I2385" s="299">
        <v>8.07776086E9</v>
      </c>
      <c r="J2385" s="11"/>
      <c r="K2385" s="12" t="s">
        <v>2974</v>
      </c>
      <c r="L2385" s="13"/>
      <c r="M2385" s="11" t="s">
        <v>9983</v>
      </c>
      <c r="N2385" s="5" t="s">
        <v>10547</v>
      </c>
      <c r="O2385" s="5" t="s">
        <v>26</v>
      </c>
      <c r="P2385" s="5" t="s">
        <v>6894</v>
      </c>
      <c r="Q2385" s="15"/>
      <c r="R2385" s="16" t="s">
        <v>634</v>
      </c>
      <c r="S2385" s="15"/>
      <c r="T2385" s="15"/>
      <c r="U2385" s="15"/>
      <c r="V2385" s="15"/>
      <c r="W2385" s="15"/>
      <c r="X2385" s="15"/>
      <c r="Y2385" s="15"/>
      <c r="Z2385" s="15"/>
      <c r="AA2385" s="15"/>
    </row>
    <row r="2386">
      <c r="A2386" s="5" t="s">
        <v>10537</v>
      </c>
      <c r="B2386" s="6" t="s">
        <v>10548</v>
      </c>
      <c r="C2386" s="62" t="s">
        <v>10549</v>
      </c>
      <c r="D2386" s="11"/>
      <c r="E2386" s="11" t="s">
        <v>10550</v>
      </c>
      <c r="F2386" s="9">
        <v>18000.0</v>
      </c>
      <c r="G2386" s="285" t="s">
        <v>10551</v>
      </c>
      <c r="H2386" s="11" t="s">
        <v>44</v>
      </c>
      <c r="I2386" s="276">
        <v>9.937299253E9</v>
      </c>
      <c r="J2386" s="11"/>
      <c r="K2386" s="12"/>
      <c r="L2386" s="13"/>
      <c r="M2386" s="11" t="s">
        <v>10552</v>
      </c>
      <c r="N2386" s="5" t="s">
        <v>10553</v>
      </c>
      <c r="O2386" s="5" t="s">
        <v>34</v>
      </c>
      <c r="P2386" s="5" t="s">
        <v>1384</v>
      </c>
      <c r="Q2386" s="5" t="s">
        <v>727</v>
      </c>
      <c r="R2386" s="16" t="s">
        <v>634</v>
      </c>
      <c r="S2386" s="15"/>
      <c r="T2386" s="15"/>
      <c r="U2386" s="15"/>
      <c r="V2386" s="15"/>
      <c r="W2386" s="15"/>
      <c r="X2386" s="15"/>
      <c r="Y2386" s="15"/>
      <c r="Z2386" s="15"/>
      <c r="AA2386" s="15"/>
    </row>
    <row r="2387">
      <c r="A2387" s="5" t="s">
        <v>10537</v>
      </c>
      <c r="B2387" s="6" t="s">
        <v>10554</v>
      </c>
      <c r="C2387" s="62" t="s">
        <v>10555</v>
      </c>
      <c r="D2387" s="11"/>
      <c r="E2387" s="11" t="s">
        <v>3555</v>
      </c>
      <c r="F2387" s="90">
        <v>10000.0</v>
      </c>
      <c r="G2387" s="285" t="s">
        <v>10556</v>
      </c>
      <c r="H2387" s="11" t="s">
        <v>44</v>
      </c>
      <c r="I2387" s="276">
        <v>9.734958678E9</v>
      </c>
      <c r="J2387" s="11" t="s">
        <v>25</v>
      </c>
      <c r="K2387" s="12"/>
      <c r="L2387" s="13"/>
      <c r="M2387" s="14"/>
      <c r="N2387" s="15"/>
      <c r="O2387" s="5" t="s">
        <v>26</v>
      </c>
      <c r="P2387" s="5" t="s">
        <v>0</v>
      </c>
      <c r="Q2387" s="15"/>
      <c r="R2387" s="16" t="s">
        <v>28</v>
      </c>
      <c r="S2387" s="15"/>
      <c r="T2387" s="15"/>
      <c r="U2387" s="15"/>
      <c r="V2387" s="15"/>
      <c r="W2387" s="15"/>
      <c r="X2387" s="15"/>
      <c r="Y2387" s="15"/>
      <c r="Z2387" s="15"/>
      <c r="AA2387" s="15"/>
    </row>
    <row r="2388">
      <c r="A2388" s="5" t="s">
        <v>10537</v>
      </c>
      <c r="B2388" s="6" t="s">
        <v>10557</v>
      </c>
      <c r="C2388" s="40" t="s">
        <v>10558</v>
      </c>
      <c r="D2388" s="11"/>
      <c r="E2388" s="11" t="s">
        <v>3686</v>
      </c>
      <c r="F2388" s="90">
        <v>300.0</v>
      </c>
      <c r="G2388" s="285" t="s">
        <v>10559</v>
      </c>
      <c r="H2388" s="11" t="s">
        <v>1006</v>
      </c>
      <c r="I2388" s="276">
        <v>8.755336367E9</v>
      </c>
      <c r="J2388" s="11" t="s">
        <v>25</v>
      </c>
      <c r="K2388" s="12"/>
      <c r="L2388" s="13"/>
      <c r="M2388" s="11" t="s">
        <v>10560</v>
      </c>
      <c r="N2388" s="5" t="s">
        <v>10561</v>
      </c>
      <c r="O2388" s="5" t="s">
        <v>108</v>
      </c>
      <c r="P2388" s="15"/>
      <c r="Q2388" s="15"/>
      <c r="R2388" s="16" t="s">
        <v>634</v>
      </c>
      <c r="S2388" s="15"/>
      <c r="T2388" s="15"/>
      <c r="U2388" s="15"/>
      <c r="V2388" s="15"/>
      <c r="W2388" s="15"/>
      <c r="X2388" s="15"/>
      <c r="Y2388" s="15"/>
      <c r="Z2388" s="15"/>
      <c r="AA2388" s="15"/>
    </row>
    <row r="2389">
      <c r="A2389" s="5" t="s">
        <v>10537</v>
      </c>
      <c r="B2389" s="6" t="s">
        <v>10562</v>
      </c>
      <c r="C2389" s="40" t="s">
        <v>10563</v>
      </c>
      <c r="D2389" s="11"/>
      <c r="E2389" s="11" t="s">
        <v>156</v>
      </c>
      <c r="F2389" s="90">
        <v>100000.0</v>
      </c>
      <c r="G2389" s="285" t="s">
        <v>10564</v>
      </c>
      <c r="H2389" s="11" t="s">
        <v>44</v>
      </c>
      <c r="I2389" s="276">
        <v>6.290242503E9</v>
      </c>
      <c r="J2389" s="11" t="s">
        <v>25</v>
      </c>
      <c r="K2389" s="12" t="s">
        <v>10565</v>
      </c>
      <c r="L2389" s="13"/>
      <c r="M2389" s="11" t="s">
        <v>10566</v>
      </c>
      <c r="N2389" s="5" t="s">
        <v>10567</v>
      </c>
      <c r="O2389" s="5" t="s">
        <v>26</v>
      </c>
      <c r="P2389" s="5" t="s">
        <v>10568</v>
      </c>
      <c r="Q2389" s="5" t="s">
        <v>10569</v>
      </c>
      <c r="R2389" s="16" t="s">
        <v>634</v>
      </c>
      <c r="S2389" s="15"/>
      <c r="T2389" s="15"/>
      <c r="U2389" s="15"/>
      <c r="V2389" s="15"/>
      <c r="W2389" s="15"/>
      <c r="X2389" s="15"/>
      <c r="Y2389" s="15"/>
      <c r="Z2389" s="15"/>
      <c r="AA2389" s="15"/>
    </row>
    <row r="2390">
      <c r="A2390" s="5" t="s">
        <v>10537</v>
      </c>
      <c r="B2390" s="6" t="s">
        <v>10570</v>
      </c>
      <c r="C2390" s="62" t="s">
        <v>10571</v>
      </c>
      <c r="D2390" s="11"/>
      <c r="E2390" s="11" t="s">
        <v>152</v>
      </c>
      <c r="F2390" s="90">
        <v>2000.0</v>
      </c>
      <c r="G2390" s="285" t="s">
        <v>10572</v>
      </c>
      <c r="H2390" s="11" t="s">
        <v>467</v>
      </c>
      <c r="I2390" s="276">
        <v>9.452437778E9</v>
      </c>
      <c r="J2390" s="11" t="s">
        <v>25</v>
      </c>
      <c r="K2390" s="12" t="s">
        <v>8753</v>
      </c>
      <c r="L2390" s="13"/>
      <c r="M2390" s="11" t="s">
        <v>10573</v>
      </c>
      <c r="N2390" s="5" t="s">
        <v>10574</v>
      </c>
      <c r="O2390" s="5" t="s">
        <v>108</v>
      </c>
      <c r="P2390" s="15"/>
      <c r="Q2390" s="15"/>
      <c r="R2390" s="16" t="s">
        <v>634</v>
      </c>
      <c r="S2390" s="15"/>
      <c r="T2390" s="15"/>
      <c r="U2390" s="15"/>
      <c r="V2390" s="15"/>
      <c r="W2390" s="15"/>
      <c r="X2390" s="15"/>
      <c r="Y2390" s="15"/>
      <c r="Z2390" s="15"/>
      <c r="AA2390" s="15"/>
    </row>
    <row r="2391">
      <c r="A2391" s="5" t="s">
        <v>10537</v>
      </c>
      <c r="B2391" s="6" t="s">
        <v>10575</v>
      </c>
      <c r="C2391" s="62" t="s">
        <v>10576</v>
      </c>
      <c r="D2391" s="11"/>
      <c r="E2391" s="11" t="s">
        <v>10426</v>
      </c>
      <c r="F2391" s="90">
        <v>1500.0</v>
      </c>
      <c r="G2391" s="285" t="s">
        <v>10577</v>
      </c>
      <c r="H2391" s="11" t="s">
        <v>519</v>
      </c>
      <c r="I2391" s="276">
        <v>7.01630314E9</v>
      </c>
      <c r="J2391" s="11" t="s">
        <v>4008</v>
      </c>
      <c r="K2391" s="12" t="s">
        <v>8753</v>
      </c>
      <c r="L2391" s="13"/>
      <c r="M2391" s="11" t="s">
        <v>10578</v>
      </c>
      <c r="N2391" s="5" t="s">
        <v>10579</v>
      </c>
      <c r="O2391" s="5" t="s">
        <v>108</v>
      </c>
      <c r="P2391" s="15"/>
      <c r="Q2391" s="15"/>
      <c r="R2391" s="16" t="s">
        <v>634</v>
      </c>
      <c r="S2391" s="15"/>
      <c r="T2391" s="15"/>
      <c r="U2391" s="15"/>
      <c r="V2391" s="15"/>
      <c r="W2391" s="15"/>
      <c r="X2391" s="15"/>
      <c r="Y2391" s="15"/>
      <c r="Z2391" s="15"/>
      <c r="AA2391" s="15"/>
    </row>
    <row r="2392">
      <c r="A2392" s="5" t="s">
        <v>10537</v>
      </c>
      <c r="B2392" s="6" t="s">
        <v>10580</v>
      </c>
      <c r="C2392" s="62" t="s">
        <v>10581</v>
      </c>
      <c r="D2392" s="11"/>
      <c r="E2392" s="11" t="s">
        <v>1285</v>
      </c>
      <c r="F2392" s="90">
        <v>55000.0</v>
      </c>
      <c r="G2392" s="285" t="s">
        <v>10582</v>
      </c>
      <c r="H2392" s="11" t="s">
        <v>507</v>
      </c>
      <c r="I2392" s="276">
        <v>9.987870949E9</v>
      </c>
      <c r="J2392" s="11" t="s">
        <v>25</v>
      </c>
      <c r="K2392" s="12" t="s">
        <v>8753</v>
      </c>
      <c r="L2392" s="13"/>
      <c r="M2392" s="11" t="s">
        <v>10583</v>
      </c>
      <c r="N2392" s="5" t="s">
        <v>10584</v>
      </c>
      <c r="O2392" s="5" t="s">
        <v>108</v>
      </c>
      <c r="P2392" s="15"/>
      <c r="Q2392" s="15"/>
      <c r="R2392" s="16" t="s">
        <v>634</v>
      </c>
      <c r="S2392" s="15"/>
      <c r="T2392" s="15"/>
      <c r="U2392" s="15"/>
      <c r="V2392" s="15"/>
      <c r="W2392" s="15"/>
      <c r="X2392" s="15"/>
      <c r="Y2392" s="15"/>
      <c r="Z2392" s="15"/>
      <c r="AA2392" s="15"/>
    </row>
    <row r="2393">
      <c r="A2393" s="5" t="s">
        <v>10537</v>
      </c>
      <c r="B2393" s="6" t="s">
        <v>10585</v>
      </c>
      <c r="C2393" s="62" t="s">
        <v>10586</v>
      </c>
      <c r="D2393" s="11"/>
      <c r="E2393" s="11" t="s">
        <v>130</v>
      </c>
      <c r="F2393" s="90">
        <v>50000.0</v>
      </c>
      <c r="G2393" s="300" t="s">
        <v>9866</v>
      </c>
      <c r="H2393" s="11" t="s">
        <v>4686</v>
      </c>
      <c r="I2393" s="301" t="s">
        <v>10587</v>
      </c>
      <c r="J2393" s="11" t="s">
        <v>4008</v>
      </c>
      <c r="K2393" s="12" t="s">
        <v>10588</v>
      </c>
      <c r="L2393" s="13"/>
      <c r="M2393" s="11" t="s">
        <v>10171</v>
      </c>
      <c r="N2393" s="5" t="s">
        <v>10589</v>
      </c>
      <c r="O2393" s="5" t="s">
        <v>26</v>
      </c>
      <c r="P2393" s="5" t="s">
        <v>10590</v>
      </c>
      <c r="Q2393" s="15"/>
      <c r="R2393" s="16" t="s">
        <v>634</v>
      </c>
      <c r="S2393" s="15"/>
      <c r="T2393" s="15"/>
      <c r="U2393" s="15"/>
      <c r="V2393" s="15"/>
      <c r="W2393" s="15"/>
      <c r="X2393" s="15"/>
      <c r="Y2393" s="15"/>
      <c r="Z2393" s="15"/>
      <c r="AA2393" s="15"/>
    </row>
    <row r="2394">
      <c r="A2394" s="5" t="s">
        <v>10537</v>
      </c>
      <c r="B2394" s="6" t="s">
        <v>10591</v>
      </c>
      <c r="C2394" s="62" t="s">
        <v>10592</v>
      </c>
      <c r="D2394" s="11"/>
      <c r="E2394" s="11" t="s">
        <v>1509</v>
      </c>
      <c r="F2394" s="90">
        <v>100.0</v>
      </c>
      <c r="G2394" s="300" t="s">
        <v>10593</v>
      </c>
      <c r="H2394" s="11" t="s">
        <v>10594</v>
      </c>
      <c r="I2394" s="276">
        <v>9.051998409E9</v>
      </c>
      <c r="J2394" s="11" t="s">
        <v>25</v>
      </c>
      <c r="K2394" s="12" t="s">
        <v>10595</v>
      </c>
      <c r="L2394" s="13"/>
      <c r="M2394" s="11" t="s">
        <v>8722</v>
      </c>
      <c r="N2394" s="5" t="s">
        <v>10596</v>
      </c>
      <c r="O2394" s="5" t="s">
        <v>26</v>
      </c>
      <c r="P2394" s="284" t="s">
        <v>10597</v>
      </c>
      <c r="Q2394" s="15"/>
      <c r="R2394" s="16" t="s">
        <v>634</v>
      </c>
      <c r="S2394" s="15"/>
      <c r="T2394" s="15"/>
      <c r="U2394" s="15"/>
      <c r="V2394" s="15"/>
      <c r="W2394" s="15"/>
      <c r="X2394" s="15"/>
      <c r="Y2394" s="15"/>
      <c r="Z2394" s="15"/>
      <c r="AA2394" s="15"/>
    </row>
    <row r="2395">
      <c r="A2395" s="5" t="s">
        <v>10537</v>
      </c>
      <c r="B2395" s="6" t="s">
        <v>10598</v>
      </c>
      <c r="C2395" s="62" t="s">
        <v>10599</v>
      </c>
      <c r="D2395" s="11"/>
      <c r="E2395" s="11" t="s">
        <v>130</v>
      </c>
      <c r="F2395" s="90">
        <v>9000.0</v>
      </c>
      <c r="G2395" s="300" t="s">
        <v>10600</v>
      </c>
      <c r="H2395" s="11" t="s">
        <v>507</v>
      </c>
      <c r="I2395" s="276">
        <v>9.699181333E9</v>
      </c>
      <c r="J2395" s="11" t="s">
        <v>25</v>
      </c>
      <c r="K2395" s="12" t="s">
        <v>8753</v>
      </c>
      <c r="L2395" s="13"/>
      <c r="M2395" s="11" t="s">
        <v>10601</v>
      </c>
      <c r="N2395" s="5" t="s">
        <v>10602</v>
      </c>
      <c r="O2395" s="5" t="s">
        <v>108</v>
      </c>
      <c r="P2395" s="15"/>
      <c r="Q2395" s="15"/>
      <c r="R2395" s="16" t="s">
        <v>634</v>
      </c>
      <c r="S2395" s="15"/>
      <c r="T2395" s="15"/>
      <c r="U2395" s="15"/>
      <c r="V2395" s="15"/>
      <c r="W2395" s="15"/>
      <c r="X2395" s="15"/>
      <c r="Y2395" s="15"/>
      <c r="Z2395" s="15"/>
      <c r="AA2395" s="15"/>
    </row>
    <row r="2396">
      <c r="A2396" s="5" t="s">
        <v>10603</v>
      </c>
      <c r="B2396" s="6" t="s">
        <v>10604</v>
      </c>
      <c r="C2396" s="40" t="s">
        <v>10605</v>
      </c>
      <c r="D2396" s="11"/>
      <c r="E2396" s="11" t="s">
        <v>5293</v>
      </c>
      <c r="F2396" s="90">
        <v>5000.0</v>
      </c>
      <c r="G2396" s="290" t="s">
        <v>10606</v>
      </c>
      <c r="H2396" s="11" t="s">
        <v>10607</v>
      </c>
      <c r="I2396" s="276">
        <v>9.77449429E9</v>
      </c>
      <c r="J2396" s="11"/>
      <c r="K2396" s="12" t="s">
        <v>10608</v>
      </c>
      <c r="L2396" s="13"/>
      <c r="M2396" s="11" t="s">
        <v>10609</v>
      </c>
      <c r="N2396" s="5" t="s">
        <v>10610</v>
      </c>
      <c r="O2396" s="5" t="s">
        <v>34</v>
      </c>
      <c r="P2396" s="5" t="s">
        <v>727</v>
      </c>
      <c r="Q2396" s="15"/>
      <c r="R2396" s="16" t="s">
        <v>634</v>
      </c>
      <c r="S2396" s="15"/>
      <c r="T2396" s="15"/>
      <c r="U2396" s="15"/>
      <c r="V2396" s="15"/>
      <c r="W2396" s="15"/>
      <c r="X2396" s="15"/>
      <c r="Y2396" s="15"/>
      <c r="Z2396" s="15"/>
      <c r="AA2396" s="15"/>
    </row>
    <row r="2397">
      <c r="A2397" s="5" t="s">
        <v>10603</v>
      </c>
      <c r="B2397" s="6" t="s">
        <v>10611</v>
      </c>
      <c r="C2397" s="62" t="s">
        <v>10612</v>
      </c>
      <c r="D2397" s="11"/>
      <c r="E2397" s="11" t="s">
        <v>7868</v>
      </c>
      <c r="F2397" s="90">
        <v>5000.0</v>
      </c>
      <c r="G2397" s="300" t="s">
        <v>10613</v>
      </c>
      <c r="H2397" s="11" t="s">
        <v>1082</v>
      </c>
      <c r="I2397" s="276">
        <v>9.831349941E9</v>
      </c>
      <c r="J2397" s="11" t="s">
        <v>9814</v>
      </c>
      <c r="K2397" s="12" t="s">
        <v>10614</v>
      </c>
      <c r="L2397" s="13"/>
      <c r="M2397" s="11" t="s">
        <v>10090</v>
      </c>
      <c r="N2397" s="5" t="s">
        <v>10615</v>
      </c>
      <c r="O2397" s="5" t="s">
        <v>26</v>
      </c>
      <c r="P2397" s="284" t="s">
        <v>1619</v>
      </c>
      <c r="Q2397" s="15"/>
      <c r="R2397" s="16" t="s">
        <v>634</v>
      </c>
      <c r="S2397" s="15"/>
      <c r="T2397" s="15"/>
      <c r="U2397" s="15"/>
      <c r="V2397" s="15"/>
      <c r="W2397" s="15"/>
      <c r="X2397" s="15"/>
      <c r="Y2397" s="15"/>
      <c r="Z2397" s="15"/>
      <c r="AA2397" s="15"/>
    </row>
    <row r="2398">
      <c r="A2398" s="5" t="s">
        <v>10603</v>
      </c>
      <c r="B2398" s="6" t="s">
        <v>10616</v>
      </c>
      <c r="C2398" s="40" t="s">
        <v>2374</v>
      </c>
      <c r="D2398" s="11"/>
      <c r="E2398" s="11" t="s">
        <v>10617</v>
      </c>
      <c r="F2398" s="90">
        <v>5000.0</v>
      </c>
      <c r="G2398" s="290" t="s">
        <v>2375</v>
      </c>
      <c r="H2398" s="11" t="s">
        <v>5089</v>
      </c>
      <c r="I2398" s="276">
        <v>7.655899504E9</v>
      </c>
      <c r="J2398" s="11"/>
      <c r="K2398" s="12" t="s">
        <v>10447</v>
      </c>
      <c r="L2398" s="13"/>
      <c r="M2398" s="11" t="s">
        <v>8348</v>
      </c>
      <c r="N2398" s="5" t="s">
        <v>10618</v>
      </c>
      <c r="O2398" s="5" t="s">
        <v>108</v>
      </c>
      <c r="P2398" s="284" t="s">
        <v>10619</v>
      </c>
      <c r="Q2398" s="15"/>
      <c r="R2398" s="16" t="s">
        <v>723</v>
      </c>
      <c r="S2398" s="15"/>
      <c r="T2398" s="15"/>
      <c r="U2398" s="15"/>
      <c r="V2398" s="15"/>
      <c r="W2398" s="15"/>
      <c r="X2398" s="15"/>
      <c r="Y2398" s="15"/>
      <c r="Z2398" s="15"/>
      <c r="AA2398" s="15"/>
    </row>
    <row r="2399">
      <c r="A2399" s="5" t="s">
        <v>10603</v>
      </c>
      <c r="B2399" s="6" t="s">
        <v>10620</v>
      </c>
      <c r="C2399" s="62" t="s">
        <v>10621</v>
      </c>
      <c r="D2399" s="11"/>
      <c r="E2399" s="11" t="s">
        <v>10622</v>
      </c>
      <c r="F2399" s="90">
        <v>500.0</v>
      </c>
      <c r="G2399" s="300" t="s">
        <v>10623</v>
      </c>
      <c r="H2399" s="11" t="s">
        <v>507</v>
      </c>
      <c r="I2399" s="276">
        <v>8.169697711E9</v>
      </c>
      <c r="J2399" s="11" t="s">
        <v>25</v>
      </c>
      <c r="K2399" s="12"/>
      <c r="L2399" s="13"/>
      <c r="M2399" s="11" t="s">
        <v>10624</v>
      </c>
      <c r="N2399" s="5" t="s">
        <v>10625</v>
      </c>
      <c r="O2399" s="5" t="s">
        <v>108</v>
      </c>
      <c r="P2399" s="5" t="s">
        <v>10626</v>
      </c>
      <c r="Q2399" s="15"/>
      <c r="R2399" s="16" t="s">
        <v>634</v>
      </c>
      <c r="S2399" s="15"/>
      <c r="T2399" s="15"/>
      <c r="U2399" s="15"/>
      <c r="V2399" s="15"/>
      <c r="W2399" s="15"/>
      <c r="X2399" s="15"/>
      <c r="Y2399" s="15"/>
      <c r="Z2399" s="15"/>
      <c r="AA2399" s="15"/>
    </row>
    <row r="2400">
      <c r="A2400" s="5" t="s">
        <v>10603</v>
      </c>
      <c r="B2400" s="6" t="s">
        <v>10627</v>
      </c>
      <c r="C2400" s="62" t="s">
        <v>10628</v>
      </c>
      <c r="D2400" s="11"/>
      <c r="E2400" s="11" t="s">
        <v>10629</v>
      </c>
      <c r="F2400" s="90">
        <v>10000.0</v>
      </c>
      <c r="G2400" s="300" t="s">
        <v>10630</v>
      </c>
      <c r="H2400" s="11" t="s">
        <v>9266</v>
      </c>
      <c r="I2400" s="276">
        <v>7.025221119E9</v>
      </c>
      <c r="J2400" s="11"/>
      <c r="K2400" s="12" t="s">
        <v>8677</v>
      </c>
      <c r="L2400" s="13"/>
      <c r="M2400" s="14"/>
      <c r="N2400" s="15"/>
      <c r="O2400" s="5" t="s">
        <v>108</v>
      </c>
      <c r="P2400" s="15"/>
      <c r="Q2400" s="15"/>
      <c r="R2400" s="16" t="s">
        <v>28</v>
      </c>
      <c r="S2400" s="15"/>
      <c r="T2400" s="15"/>
      <c r="U2400" s="15"/>
      <c r="V2400" s="15"/>
      <c r="W2400" s="15"/>
      <c r="X2400" s="15"/>
      <c r="Y2400" s="15"/>
      <c r="Z2400" s="15"/>
      <c r="AA2400" s="15"/>
    </row>
    <row r="2401">
      <c r="A2401" s="5" t="s">
        <v>10603</v>
      </c>
      <c r="B2401" s="6" t="s">
        <v>10631</v>
      </c>
      <c r="C2401" s="62" t="s">
        <v>10632</v>
      </c>
      <c r="D2401" s="11"/>
      <c r="E2401" s="11" t="s">
        <v>152</v>
      </c>
      <c r="F2401" s="90">
        <v>2000.0</v>
      </c>
      <c r="G2401" s="302" t="s">
        <v>10633</v>
      </c>
      <c r="H2401" s="11" t="s">
        <v>99</v>
      </c>
      <c r="I2401" s="276">
        <v>6.361521372E9</v>
      </c>
      <c r="J2401" s="11"/>
      <c r="K2401" s="12"/>
      <c r="L2401" s="12">
        <v>22.0</v>
      </c>
      <c r="M2401" s="11" t="s">
        <v>7718</v>
      </c>
      <c r="N2401" s="5" t="s">
        <v>10634</v>
      </c>
      <c r="O2401" s="5" t="s">
        <v>34</v>
      </c>
      <c r="P2401" s="5" t="s">
        <v>6382</v>
      </c>
      <c r="Q2401" s="5" t="s">
        <v>10635</v>
      </c>
      <c r="R2401" s="16" t="s">
        <v>248</v>
      </c>
      <c r="S2401" s="15"/>
      <c r="T2401" s="15"/>
      <c r="U2401" s="15"/>
      <c r="V2401" s="15"/>
      <c r="W2401" s="15"/>
      <c r="X2401" s="15"/>
      <c r="Y2401" s="15"/>
      <c r="Z2401" s="15"/>
      <c r="AA2401" s="15"/>
    </row>
    <row r="2402">
      <c r="A2402" s="5" t="s">
        <v>10603</v>
      </c>
      <c r="B2402" s="6" t="s">
        <v>10636</v>
      </c>
      <c r="C2402" s="40" t="s">
        <v>10637</v>
      </c>
      <c r="D2402" s="11"/>
      <c r="E2402" s="11" t="s">
        <v>7040</v>
      </c>
      <c r="F2402" s="90">
        <v>100000.0</v>
      </c>
      <c r="G2402" s="290" t="s">
        <v>10638</v>
      </c>
      <c r="H2402" s="11" t="s">
        <v>44</v>
      </c>
      <c r="I2402" s="276">
        <v>9.330979098E9</v>
      </c>
      <c r="J2402" s="11"/>
      <c r="K2402" s="12"/>
      <c r="L2402" s="13"/>
      <c r="M2402" s="14"/>
      <c r="N2402" s="15"/>
      <c r="O2402" s="5" t="s">
        <v>26</v>
      </c>
      <c r="P2402" s="15"/>
      <c r="Q2402" s="15"/>
      <c r="R2402" s="16" t="s">
        <v>28</v>
      </c>
      <c r="S2402" s="15"/>
      <c r="T2402" s="15"/>
      <c r="U2402" s="15"/>
      <c r="V2402" s="15"/>
      <c r="W2402" s="15"/>
      <c r="X2402" s="15"/>
      <c r="Y2402" s="15"/>
      <c r="Z2402" s="15"/>
      <c r="AA2402" s="15"/>
    </row>
    <row r="2403">
      <c r="A2403" s="5" t="s">
        <v>10603</v>
      </c>
      <c r="B2403" s="6" t="s">
        <v>10639</v>
      </c>
      <c r="C2403" s="40" t="s">
        <v>10640</v>
      </c>
      <c r="D2403" s="11"/>
      <c r="E2403" s="11" t="s">
        <v>412</v>
      </c>
      <c r="F2403" s="90">
        <v>500.0</v>
      </c>
      <c r="G2403" s="303"/>
      <c r="H2403" s="11" t="s">
        <v>5089</v>
      </c>
      <c r="I2403" s="276">
        <v>7.816976269E9</v>
      </c>
      <c r="J2403" s="11" t="s">
        <v>25</v>
      </c>
      <c r="K2403" s="12" t="s">
        <v>10496</v>
      </c>
      <c r="L2403" s="13"/>
      <c r="M2403" s="11" t="s">
        <v>10641</v>
      </c>
      <c r="N2403" s="15"/>
      <c r="O2403" s="5" t="s">
        <v>108</v>
      </c>
      <c r="P2403" s="5" t="s">
        <v>10642</v>
      </c>
      <c r="Q2403" s="15"/>
      <c r="R2403" s="16" t="s">
        <v>28</v>
      </c>
      <c r="S2403" s="15"/>
      <c r="T2403" s="15"/>
      <c r="U2403" s="15"/>
      <c r="V2403" s="15"/>
      <c r="W2403" s="15"/>
      <c r="X2403" s="15"/>
      <c r="Y2403" s="15"/>
      <c r="Z2403" s="15"/>
      <c r="AA2403" s="15"/>
    </row>
    <row r="2404">
      <c r="A2404" s="5" t="s">
        <v>10603</v>
      </c>
      <c r="B2404" s="6" t="s">
        <v>10643</v>
      </c>
      <c r="C2404" s="62" t="s">
        <v>10644</v>
      </c>
      <c r="D2404" s="11"/>
      <c r="E2404" s="11" t="s">
        <v>10645</v>
      </c>
      <c r="F2404" s="90">
        <v>20000.0</v>
      </c>
      <c r="G2404" s="304" t="s">
        <v>10646</v>
      </c>
      <c r="H2404" s="11" t="s">
        <v>10647</v>
      </c>
      <c r="I2404" s="276">
        <v>9.874466697E9</v>
      </c>
      <c r="J2404" s="11" t="s">
        <v>25</v>
      </c>
      <c r="K2404" s="12" t="s">
        <v>9343</v>
      </c>
      <c r="L2404" s="13"/>
      <c r="M2404" s="11" t="s">
        <v>9949</v>
      </c>
      <c r="N2404" s="5" t="s">
        <v>10648</v>
      </c>
      <c r="O2404" s="5" t="s">
        <v>26</v>
      </c>
      <c r="P2404" s="5" t="s">
        <v>10649</v>
      </c>
      <c r="Q2404" s="15"/>
      <c r="R2404" s="16" t="s">
        <v>634</v>
      </c>
      <c r="S2404" s="15"/>
      <c r="T2404" s="15"/>
      <c r="U2404" s="15"/>
      <c r="V2404" s="15"/>
      <c r="W2404" s="15"/>
      <c r="X2404" s="15"/>
      <c r="Y2404" s="15"/>
      <c r="Z2404" s="15"/>
      <c r="AA2404" s="15"/>
    </row>
    <row r="2405">
      <c r="A2405" s="5" t="s">
        <v>10650</v>
      </c>
      <c r="B2405" s="6" t="s">
        <v>10651</v>
      </c>
      <c r="C2405" s="62" t="s">
        <v>10652</v>
      </c>
      <c r="D2405" s="11"/>
      <c r="E2405" s="11" t="s">
        <v>10653</v>
      </c>
      <c r="F2405" s="90">
        <v>20000.0</v>
      </c>
      <c r="G2405" s="302" t="s">
        <v>3774</v>
      </c>
      <c r="H2405" s="11" t="s">
        <v>10654</v>
      </c>
      <c r="I2405" s="276">
        <v>8.008382954E9</v>
      </c>
      <c r="J2405" s="11"/>
      <c r="K2405" s="12" t="s">
        <v>10655</v>
      </c>
      <c r="L2405" s="13"/>
      <c r="M2405" s="11" t="s">
        <v>10656</v>
      </c>
      <c r="N2405" s="5" t="s">
        <v>10657</v>
      </c>
      <c r="O2405" s="5" t="s">
        <v>26</v>
      </c>
      <c r="P2405" s="265" t="s">
        <v>10658</v>
      </c>
      <c r="Q2405" s="5"/>
      <c r="R2405" s="16" t="s">
        <v>634</v>
      </c>
      <c r="S2405" s="15"/>
      <c r="T2405" s="15"/>
      <c r="U2405" s="15"/>
      <c r="V2405" s="15"/>
      <c r="W2405" s="15"/>
      <c r="X2405" s="15"/>
      <c r="Y2405" s="15"/>
      <c r="Z2405" s="15"/>
      <c r="AA2405" s="15"/>
    </row>
    <row r="2406">
      <c r="A2406" s="5" t="s">
        <v>10650</v>
      </c>
      <c r="B2406" s="298" t="s">
        <v>10659</v>
      </c>
      <c r="C2406" s="62" t="s">
        <v>10660</v>
      </c>
      <c r="D2406" s="11"/>
      <c r="E2406" s="11" t="s">
        <v>1230</v>
      </c>
      <c r="F2406" s="90">
        <v>20000.0</v>
      </c>
      <c r="G2406" s="290" t="s">
        <v>10661</v>
      </c>
      <c r="H2406" s="11" t="s">
        <v>10662</v>
      </c>
      <c r="I2406" s="11" t="s">
        <v>10663</v>
      </c>
      <c r="J2406" s="11" t="s">
        <v>25</v>
      </c>
      <c r="K2406" s="12" t="s">
        <v>8753</v>
      </c>
      <c r="L2406" s="13"/>
      <c r="M2406" s="234"/>
      <c r="N2406" s="15"/>
      <c r="O2406" s="5" t="s">
        <v>108</v>
      </c>
      <c r="P2406" s="15"/>
      <c r="Q2406" s="15"/>
      <c r="R2406" s="16" t="s">
        <v>28</v>
      </c>
      <c r="S2406" s="15"/>
      <c r="T2406" s="15"/>
      <c r="U2406" s="15"/>
      <c r="V2406" s="15"/>
      <c r="W2406" s="15"/>
      <c r="X2406" s="15"/>
      <c r="Y2406" s="15"/>
      <c r="Z2406" s="15"/>
      <c r="AA2406" s="15"/>
    </row>
    <row r="2407">
      <c r="A2407" s="5" t="s">
        <v>10650</v>
      </c>
      <c r="B2407" s="6" t="s">
        <v>10664</v>
      </c>
      <c r="C2407" s="62" t="s">
        <v>10665</v>
      </c>
      <c r="D2407" s="11"/>
      <c r="E2407" s="11" t="s">
        <v>10409</v>
      </c>
      <c r="F2407" s="90">
        <v>5000.0</v>
      </c>
      <c r="G2407" s="300" t="s">
        <v>10666</v>
      </c>
      <c r="H2407" s="11" t="s">
        <v>3122</v>
      </c>
      <c r="I2407" s="276">
        <v>7.003973569E9</v>
      </c>
      <c r="J2407" s="11"/>
      <c r="K2407" s="12" t="s">
        <v>10667</v>
      </c>
      <c r="L2407" s="13"/>
      <c r="M2407" s="11" t="s">
        <v>7718</v>
      </c>
      <c r="N2407" s="5" t="s">
        <v>10668</v>
      </c>
      <c r="O2407" s="5" t="s">
        <v>26</v>
      </c>
      <c r="P2407" s="5" t="s">
        <v>10669</v>
      </c>
      <c r="Q2407" s="5" t="s">
        <v>10670</v>
      </c>
      <c r="R2407" s="16" t="s">
        <v>634</v>
      </c>
      <c r="S2407" s="15"/>
      <c r="T2407" s="15"/>
      <c r="U2407" s="15"/>
      <c r="V2407" s="15"/>
      <c r="W2407" s="15"/>
      <c r="X2407" s="15"/>
      <c r="Y2407" s="15"/>
      <c r="Z2407" s="15"/>
      <c r="AA2407" s="15"/>
    </row>
    <row r="2408">
      <c r="A2408" s="5" t="s">
        <v>10650</v>
      </c>
      <c r="B2408" s="6" t="s">
        <v>10671</v>
      </c>
      <c r="C2408" s="40" t="s">
        <v>10672</v>
      </c>
      <c r="D2408" s="11"/>
      <c r="E2408" s="11" t="s">
        <v>189</v>
      </c>
      <c r="F2408" s="90">
        <v>20000.0</v>
      </c>
      <c r="G2408" s="300" t="s">
        <v>10673</v>
      </c>
      <c r="H2408" s="11" t="s">
        <v>44</v>
      </c>
      <c r="I2408" s="276">
        <v>7.003715121E9</v>
      </c>
      <c r="J2408" s="11" t="s">
        <v>9814</v>
      </c>
      <c r="K2408" s="12" t="s">
        <v>10674</v>
      </c>
      <c r="L2408" s="13"/>
      <c r="M2408" s="11" t="s">
        <v>10675</v>
      </c>
      <c r="N2408" s="5" t="s">
        <v>10676</v>
      </c>
      <c r="O2408" s="5" t="s">
        <v>26</v>
      </c>
      <c r="P2408" s="5" t="s">
        <v>10677</v>
      </c>
      <c r="Q2408" s="15"/>
      <c r="R2408" s="16" t="s">
        <v>634</v>
      </c>
      <c r="S2408" s="15"/>
      <c r="T2408" s="15"/>
      <c r="U2408" s="15"/>
      <c r="V2408" s="15"/>
      <c r="W2408" s="15"/>
      <c r="X2408" s="15"/>
      <c r="Y2408" s="15"/>
      <c r="Z2408" s="15"/>
      <c r="AA2408" s="15"/>
    </row>
    <row r="2409">
      <c r="A2409" s="5" t="s">
        <v>10678</v>
      </c>
      <c r="B2409" s="6" t="s">
        <v>10679</v>
      </c>
      <c r="C2409" s="40" t="s">
        <v>10680</v>
      </c>
      <c r="D2409" s="11"/>
      <c r="E2409" s="11" t="s">
        <v>1396</v>
      </c>
      <c r="F2409" s="90">
        <v>1050.0</v>
      </c>
      <c r="G2409" s="305"/>
      <c r="H2409" s="11" t="s">
        <v>422</v>
      </c>
      <c r="I2409" s="276">
        <v>7.980803862E9</v>
      </c>
      <c r="J2409" s="11"/>
      <c r="K2409" s="12"/>
      <c r="L2409" s="12">
        <v>88.0</v>
      </c>
      <c r="M2409" s="11" t="s">
        <v>10681</v>
      </c>
      <c r="N2409" s="5" t="s">
        <v>10682</v>
      </c>
      <c r="O2409" s="5" t="s">
        <v>34</v>
      </c>
      <c r="P2409" s="5" t="s">
        <v>10683</v>
      </c>
      <c r="Q2409" s="15"/>
      <c r="R2409" s="16" t="s">
        <v>634</v>
      </c>
      <c r="S2409" s="15"/>
      <c r="T2409" s="15"/>
      <c r="U2409" s="15"/>
      <c r="V2409" s="15"/>
      <c r="W2409" s="15"/>
      <c r="X2409" s="15"/>
      <c r="Y2409" s="15"/>
      <c r="Z2409" s="15"/>
      <c r="AA2409" s="15"/>
    </row>
    <row r="2410">
      <c r="A2410" s="5" t="s">
        <v>10678</v>
      </c>
      <c r="B2410" s="6" t="s">
        <v>10684</v>
      </c>
      <c r="C2410" s="62" t="s">
        <v>10685</v>
      </c>
      <c r="D2410" s="11"/>
      <c r="E2410" s="11" t="s">
        <v>152</v>
      </c>
      <c r="F2410" s="90">
        <v>200.0</v>
      </c>
      <c r="G2410" s="303"/>
      <c r="H2410" s="11" t="s">
        <v>131</v>
      </c>
      <c r="I2410" s="276">
        <v>6.388494768E9</v>
      </c>
      <c r="J2410" s="11" t="s">
        <v>9814</v>
      </c>
      <c r="K2410" s="12" t="s">
        <v>9039</v>
      </c>
      <c r="L2410" s="13"/>
      <c r="M2410" s="11" t="s">
        <v>9875</v>
      </c>
      <c r="N2410" s="5" t="s">
        <v>10686</v>
      </c>
      <c r="O2410" s="5" t="s">
        <v>26</v>
      </c>
      <c r="P2410" s="265" t="s">
        <v>1384</v>
      </c>
      <c r="Q2410" s="284" t="s">
        <v>10687</v>
      </c>
      <c r="R2410" s="16" t="s">
        <v>634</v>
      </c>
      <c r="S2410" s="15"/>
      <c r="T2410" s="15"/>
      <c r="U2410" s="15"/>
      <c r="V2410" s="15"/>
      <c r="W2410" s="15"/>
      <c r="X2410" s="15"/>
      <c r="Y2410" s="15"/>
      <c r="Z2410" s="15"/>
      <c r="AA2410" s="15"/>
    </row>
    <row r="2411">
      <c r="A2411" s="5" t="s">
        <v>10678</v>
      </c>
      <c r="B2411" s="6" t="s">
        <v>10688</v>
      </c>
      <c r="C2411" s="62" t="s">
        <v>9622</v>
      </c>
      <c r="D2411" s="11"/>
      <c r="E2411" s="11" t="s">
        <v>10689</v>
      </c>
      <c r="F2411" s="90"/>
      <c r="G2411" s="290" t="s">
        <v>10690</v>
      </c>
      <c r="H2411" s="11" t="s">
        <v>2612</v>
      </c>
      <c r="I2411" s="276">
        <v>6.372583822E9</v>
      </c>
      <c r="J2411" s="11"/>
      <c r="K2411" s="12" t="s">
        <v>8753</v>
      </c>
      <c r="L2411" s="13"/>
      <c r="M2411" s="14"/>
      <c r="N2411" s="15"/>
      <c r="O2411" s="5" t="s">
        <v>108</v>
      </c>
      <c r="P2411" s="15"/>
      <c r="Q2411" s="15"/>
      <c r="R2411" s="16" t="s">
        <v>28</v>
      </c>
      <c r="S2411" s="15"/>
      <c r="T2411" s="15"/>
      <c r="U2411" s="15"/>
      <c r="V2411" s="15"/>
      <c r="W2411" s="15"/>
      <c r="X2411" s="15"/>
      <c r="Y2411" s="15"/>
      <c r="Z2411" s="15"/>
      <c r="AA2411" s="15"/>
    </row>
    <row r="2412">
      <c r="A2412" s="5" t="s">
        <v>10678</v>
      </c>
      <c r="B2412" s="6" t="s">
        <v>10691</v>
      </c>
      <c r="C2412" s="40" t="s">
        <v>10692</v>
      </c>
      <c r="D2412" s="11"/>
      <c r="E2412" s="11" t="s">
        <v>178</v>
      </c>
      <c r="F2412" s="90">
        <v>10000.0</v>
      </c>
      <c r="G2412" s="290" t="s">
        <v>10693</v>
      </c>
      <c r="H2412" s="11" t="s">
        <v>44</v>
      </c>
      <c r="I2412" s="276">
        <v>8.697777125E9</v>
      </c>
      <c r="J2412" s="11"/>
      <c r="K2412" s="12" t="s">
        <v>9917</v>
      </c>
      <c r="L2412" s="13"/>
      <c r="M2412" s="11" t="s">
        <v>9918</v>
      </c>
      <c r="N2412" s="5" t="s">
        <v>10694</v>
      </c>
      <c r="O2412" s="5" t="s">
        <v>26</v>
      </c>
      <c r="P2412" s="5" t="s">
        <v>10695</v>
      </c>
      <c r="Q2412" s="5" t="s">
        <v>1619</v>
      </c>
      <c r="R2412" s="16" t="s">
        <v>634</v>
      </c>
      <c r="S2412" s="15"/>
      <c r="T2412" s="15"/>
      <c r="U2412" s="15"/>
      <c r="V2412" s="15"/>
      <c r="W2412" s="15"/>
      <c r="X2412" s="15"/>
      <c r="Y2412" s="15"/>
      <c r="Z2412" s="15"/>
      <c r="AA2412" s="15"/>
    </row>
    <row r="2413">
      <c r="A2413" s="5" t="s">
        <v>10678</v>
      </c>
      <c r="B2413" s="6" t="s">
        <v>10696</v>
      </c>
      <c r="C2413" s="40" t="s">
        <v>10697</v>
      </c>
      <c r="D2413" s="11"/>
      <c r="E2413" s="11" t="s">
        <v>189</v>
      </c>
      <c r="F2413" s="90">
        <v>1000.0</v>
      </c>
      <c r="G2413" s="290" t="s">
        <v>10698</v>
      </c>
      <c r="H2413" s="11" t="s">
        <v>10699</v>
      </c>
      <c r="I2413" s="276">
        <v>8.617517717E9</v>
      </c>
      <c r="J2413" s="11"/>
      <c r="K2413" s="12" t="s">
        <v>10700</v>
      </c>
      <c r="L2413" s="13"/>
      <c r="M2413" s="11" t="s">
        <v>9949</v>
      </c>
      <c r="N2413" s="5" t="s">
        <v>10701</v>
      </c>
      <c r="O2413" s="5" t="s">
        <v>26</v>
      </c>
      <c r="P2413" s="5" t="s">
        <v>10702</v>
      </c>
      <c r="Q2413" s="15"/>
      <c r="R2413" s="16" t="s">
        <v>634</v>
      </c>
      <c r="S2413" s="15"/>
      <c r="T2413" s="15"/>
      <c r="U2413" s="15"/>
      <c r="V2413" s="15"/>
      <c r="W2413" s="15"/>
      <c r="X2413" s="15"/>
      <c r="Y2413" s="15"/>
      <c r="Z2413" s="15"/>
      <c r="AA2413" s="15"/>
    </row>
    <row r="2414">
      <c r="A2414" s="5" t="s">
        <v>10678</v>
      </c>
      <c r="B2414" s="6" t="s">
        <v>10703</v>
      </c>
      <c r="C2414" s="62" t="s">
        <v>10704</v>
      </c>
      <c r="D2414" s="11"/>
      <c r="E2414" s="11" t="s">
        <v>9283</v>
      </c>
      <c r="F2414" s="90"/>
      <c r="G2414" s="302"/>
      <c r="H2414" s="11" t="s">
        <v>9359</v>
      </c>
      <c r="I2414" s="276">
        <v>9.963659637E9</v>
      </c>
      <c r="J2414" s="11" t="s">
        <v>25</v>
      </c>
      <c r="K2414" s="12" t="s">
        <v>8753</v>
      </c>
      <c r="L2414" s="13"/>
      <c r="M2414" s="14"/>
      <c r="N2414" s="15"/>
      <c r="O2414" s="5" t="s">
        <v>108</v>
      </c>
      <c r="P2414" s="15"/>
      <c r="Q2414" s="15"/>
      <c r="R2414" s="16" t="s">
        <v>28</v>
      </c>
      <c r="S2414" s="15"/>
      <c r="T2414" s="15"/>
      <c r="U2414" s="15"/>
      <c r="V2414" s="15"/>
      <c r="W2414" s="15"/>
      <c r="X2414" s="15"/>
      <c r="Y2414" s="15"/>
      <c r="Z2414" s="15"/>
      <c r="AA2414" s="15"/>
    </row>
    <row r="2415">
      <c r="A2415" s="5" t="s">
        <v>10678</v>
      </c>
      <c r="B2415" s="6" t="s">
        <v>10705</v>
      </c>
      <c r="C2415" s="40" t="s">
        <v>4733</v>
      </c>
      <c r="D2415" s="11"/>
      <c r="E2415" s="11" t="s">
        <v>83</v>
      </c>
      <c r="F2415" s="90">
        <v>100.0</v>
      </c>
      <c r="G2415" s="300" t="s">
        <v>10706</v>
      </c>
      <c r="H2415" s="11" t="s">
        <v>10707</v>
      </c>
      <c r="I2415" s="276">
        <v>9.902194942E9</v>
      </c>
      <c r="J2415" s="11" t="s">
        <v>4008</v>
      </c>
      <c r="K2415" s="12" t="s">
        <v>8753</v>
      </c>
      <c r="L2415" s="13"/>
      <c r="M2415" s="14"/>
      <c r="N2415" s="15"/>
      <c r="O2415" s="5" t="s">
        <v>10708</v>
      </c>
      <c r="P2415" s="15"/>
      <c r="Q2415" s="15"/>
      <c r="R2415" s="16" t="s">
        <v>28</v>
      </c>
      <c r="S2415" s="15"/>
      <c r="T2415" s="15"/>
      <c r="U2415" s="15"/>
      <c r="V2415" s="15"/>
      <c r="W2415" s="15"/>
      <c r="X2415" s="15"/>
      <c r="Y2415" s="15"/>
      <c r="Z2415" s="15"/>
      <c r="AA2415" s="15"/>
    </row>
    <row r="2416">
      <c r="A2416" s="5" t="s">
        <v>10678</v>
      </c>
      <c r="B2416" s="6" t="s">
        <v>10709</v>
      </c>
      <c r="C2416" s="287" t="s">
        <v>10710</v>
      </c>
      <c r="D2416" s="11"/>
      <c r="E2416" s="11" t="s">
        <v>189</v>
      </c>
      <c r="F2416" s="90">
        <v>15000.0</v>
      </c>
      <c r="G2416" s="300" t="s">
        <v>10711</v>
      </c>
      <c r="H2416" s="11" t="s">
        <v>44</v>
      </c>
      <c r="I2416" s="276">
        <v>6.291134157E9</v>
      </c>
      <c r="J2416" s="11"/>
      <c r="K2416" s="12" t="s">
        <v>10712</v>
      </c>
      <c r="L2416" s="13"/>
      <c r="M2416" s="11" t="s">
        <v>10713</v>
      </c>
      <c r="N2416" s="5" t="s">
        <v>10714</v>
      </c>
      <c r="O2416" s="5" t="s">
        <v>26</v>
      </c>
      <c r="P2416" s="5" t="s">
        <v>10715</v>
      </c>
      <c r="Q2416" s="5" t="s">
        <v>10716</v>
      </c>
      <c r="R2416" s="16" t="s">
        <v>634</v>
      </c>
      <c r="S2416" s="15"/>
      <c r="T2416" s="15"/>
      <c r="U2416" s="15"/>
      <c r="V2416" s="15"/>
      <c r="W2416" s="15"/>
      <c r="X2416" s="15"/>
      <c r="Y2416" s="15"/>
      <c r="Z2416" s="15"/>
      <c r="AA2416" s="15"/>
    </row>
    <row r="2417">
      <c r="A2417" s="5" t="s">
        <v>10717</v>
      </c>
      <c r="B2417" s="6" t="s">
        <v>10718</v>
      </c>
      <c r="C2417" s="62" t="s">
        <v>10719</v>
      </c>
      <c r="D2417" s="11"/>
      <c r="E2417" s="11" t="s">
        <v>22</v>
      </c>
      <c r="F2417" s="90">
        <v>300.0</v>
      </c>
      <c r="G2417" s="290" t="s">
        <v>10720</v>
      </c>
      <c r="H2417" s="11" t="s">
        <v>44</v>
      </c>
      <c r="I2417" s="276">
        <v>9.831858444E9</v>
      </c>
      <c r="J2417" s="11" t="s">
        <v>4008</v>
      </c>
      <c r="K2417" s="12" t="s">
        <v>9222</v>
      </c>
      <c r="L2417" s="13"/>
      <c r="M2417" s="11" t="s">
        <v>10721</v>
      </c>
      <c r="N2417" s="5" t="s">
        <v>10722</v>
      </c>
      <c r="O2417" s="5" t="s">
        <v>26</v>
      </c>
      <c r="P2417" s="5" t="s">
        <v>10723</v>
      </c>
      <c r="Q2417" s="15"/>
      <c r="R2417" s="16" t="s">
        <v>634</v>
      </c>
      <c r="S2417" s="15"/>
      <c r="T2417" s="15"/>
      <c r="U2417" s="15"/>
      <c r="V2417" s="15"/>
      <c r="W2417" s="15"/>
      <c r="X2417" s="15"/>
      <c r="Y2417" s="15"/>
      <c r="Z2417" s="15"/>
      <c r="AA2417" s="15"/>
    </row>
    <row r="2418">
      <c r="A2418" s="5" t="s">
        <v>10724</v>
      </c>
      <c r="B2418" s="6" t="s">
        <v>10725</v>
      </c>
      <c r="C2418" s="62" t="s">
        <v>10726</v>
      </c>
      <c r="D2418" s="11"/>
      <c r="E2418" s="11" t="s">
        <v>130</v>
      </c>
      <c r="F2418" s="90">
        <v>400.0</v>
      </c>
      <c r="G2418" s="306" t="s">
        <v>10727</v>
      </c>
      <c r="H2418" s="11" t="s">
        <v>906</v>
      </c>
      <c r="I2418" s="276">
        <v>9.082863807E9</v>
      </c>
      <c r="J2418" s="11" t="s">
        <v>25</v>
      </c>
      <c r="K2418" s="12" t="s">
        <v>8753</v>
      </c>
      <c r="L2418" s="13"/>
      <c r="M2418" s="11" t="s">
        <v>6155</v>
      </c>
      <c r="N2418" s="5" t="s">
        <v>10728</v>
      </c>
      <c r="O2418" s="5" t="s">
        <v>108</v>
      </c>
      <c r="P2418" s="5" t="s">
        <v>10729</v>
      </c>
      <c r="Q2418" s="15"/>
      <c r="R2418" s="16" t="s">
        <v>634</v>
      </c>
      <c r="S2418" s="15"/>
      <c r="T2418" s="15"/>
      <c r="U2418" s="15"/>
      <c r="V2418" s="15"/>
      <c r="W2418" s="15"/>
      <c r="X2418" s="15"/>
      <c r="Y2418" s="15"/>
      <c r="Z2418" s="15"/>
      <c r="AA2418" s="15"/>
    </row>
    <row r="2419">
      <c r="A2419" s="5" t="s">
        <v>10724</v>
      </c>
      <c r="B2419" s="6" t="s">
        <v>10730</v>
      </c>
      <c r="C2419" s="40" t="s">
        <v>10731</v>
      </c>
      <c r="D2419" s="11"/>
      <c r="E2419" s="11" t="s">
        <v>77</v>
      </c>
      <c r="F2419" s="90">
        <v>3500.0</v>
      </c>
      <c r="G2419" s="285" t="s">
        <v>10732</v>
      </c>
      <c r="H2419" s="11" t="s">
        <v>44</v>
      </c>
      <c r="I2419" s="276">
        <v>8.334082096E9</v>
      </c>
      <c r="J2419" s="11" t="s">
        <v>10733</v>
      </c>
      <c r="K2419" s="12"/>
      <c r="L2419" s="13"/>
      <c r="M2419" s="11" t="s">
        <v>9918</v>
      </c>
      <c r="N2419" s="5" t="s">
        <v>10734</v>
      </c>
      <c r="O2419" s="5" t="s">
        <v>34</v>
      </c>
      <c r="P2419" s="11" t="s">
        <v>10735</v>
      </c>
      <c r="Q2419" s="5" t="s">
        <v>6261</v>
      </c>
      <c r="R2419" s="16" t="s">
        <v>634</v>
      </c>
      <c r="S2419" s="15"/>
      <c r="T2419" s="15"/>
      <c r="U2419" s="15"/>
      <c r="V2419" s="15"/>
      <c r="W2419" s="15"/>
      <c r="X2419" s="15"/>
      <c r="Y2419" s="15"/>
      <c r="Z2419" s="15"/>
      <c r="AA2419" s="15"/>
    </row>
    <row r="2420">
      <c r="A2420" s="5" t="s">
        <v>10724</v>
      </c>
      <c r="B2420" s="6" t="s">
        <v>10736</v>
      </c>
      <c r="C2420" s="62" t="s">
        <v>10737</v>
      </c>
      <c r="D2420" s="11"/>
      <c r="E2420" s="11" t="s">
        <v>207</v>
      </c>
      <c r="F2420" s="90">
        <v>5000.0</v>
      </c>
      <c r="G2420" s="290" t="s">
        <v>10738</v>
      </c>
      <c r="H2420" s="216" t="s">
        <v>10739</v>
      </c>
      <c r="I2420" s="276">
        <v>6.297674067E9</v>
      </c>
      <c r="J2420" s="11" t="s">
        <v>8737</v>
      </c>
      <c r="K2420" s="12"/>
      <c r="L2420" s="13"/>
      <c r="M2420" s="11" t="s">
        <v>8348</v>
      </c>
      <c r="N2420" s="5" t="s">
        <v>10740</v>
      </c>
      <c r="O2420" s="5" t="s">
        <v>34</v>
      </c>
      <c r="P2420" s="5" t="s">
        <v>10741</v>
      </c>
      <c r="Q2420" s="5" t="s">
        <v>6261</v>
      </c>
      <c r="R2420" s="16" t="s">
        <v>551</v>
      </c>
      <c r="S2420" s="15"/>
      <c r="T2420" s="15"/>
      <c r="U2420" s="15"/>
      <c r="V2420" s="15"/>
      <c r="W2420" s="15"/>
      <c r="X2420" s="15"/>
      <c r="Y2420" s="15"/>
      <c r="Z2420" s="15"/>
      <c r="AA2420" s="15"/>
    </row>
    <row r="2421">
      <c r="A2421" s="5" t="s">
        <v>10724</v>
      </c>
      <c r="B2421" s="307" t="s">
        <v>10742</v>
      </c>
      <c r="C2421" s="308" t="s">
        <v>10743</v>
      </c>
      <c r="D2421" s="309"/>
      <c r="E2421" s="310" t="s">
        <v>4085</v>
      </c>
      <c r="F2421" s="260">
        <v>10000.0</v>
      </c>
      <c r="G2421" s="290" t="s">
        <v>10744</v>
      </c>
      <c r="H2421" s="11" t="s">
        <v>44</v>
      </c>
      <c r="I2421" s="276">
        <v>9.330916477E9</v>
      </c>
      <c r="J2421" s="11" t="s">
        <v>25</v>
      </c>
      <c r="K2421" s="12" t="s">
        <v>10745</v>
      </c>
      <c r="L2421" s="13"/>
      <c r="M2421" s="14"/>
      <c r="N2421" s="15"/>
      <c r="O2421" s="5" t="s">
        <v>26</v>
      </c>
      <c r="P2421" s="5" t="s">
        <v>10746</v>
      </c>
      <c r="Q2421" s="15"/>
      <c r="R2421" s="16" t="s">
        <v>28</v>
      </c>
      <c r="S2421" s="15"/>
      <c r="T2421" s="15"/>
      <c r="U2421" s="15"/>
      <c r="V2421" s="15"/>
      <c r="W2421" s="15"/>
      <c r="X2421" s="15"/>
      <c r="Y2421" s="15"/>
      <c r="Z2421" s="15"/>
      <c r="AA2421" s="15"/>
    </row>
    <row r="2422">
      <c r="A2422" s="5" t="s">
        <v>10747</v>
      </c>
      <c r="B2422" s="6" t="s">
        <v>10748</v>
      </c>
      <c r="C2422" s="62" t="s">
        <v>10749</v>
      </c>
      <c r="D2422" s="11"/>
      <c r="E2422" s="11" t="s">
        <v>147</v>
      </c>
      <c r="F2422" s="90">
        <v>10000.0</v>
      </c>
      <c r="G2422" s="290" t="s">
        <v>10750</v>
      </c>
      <c r="H2422" s="11" t="s">
        <v>10751</v>
      </c>
      <c r="I2422" s="276">
        <v>7.744920753E9</v>
      </c>
      <c r="J2422" s="11"/>
      <c r="K2422" s="12" t="s">
        <v>8753</v>
      </c>
      <c r="L2422" s="13"/>
      <c r="M2422" s="14"/>
      <c r="N2422" s="15"/>
      <c r="O2422" s="5" t="s">
        <v>108</v>
      </c>
      <c r="P2422" s="15"/>
      <c r="Q2422" s="15"/>
      <c r="R2422" s="16" t="s">
        <v>28</v>
      </c>
      <c r="S2422" s="15"/>
      <c r="T2422" s="15"/>
      <c r="U2422" s="15"/>
      <c r="V2422" s="15"/>
      <c r="W2422" s="15"/>
      <c r="X2422" s="15"/>
      <c r="Y2422" s="15"/>
      <c r="Z2422" s="15"/>
      <c r="AA2422" s="15"/>
    </row>
    <row r="2423">
      <c r="A2423" s="5" t="s">
        <v>10747</v>
      </c>
      <c r="B2423" s="6" t="s">
        <v>10752</v>
      </c>
      <c r="C2423" s="62" t="s">
        <v>10753</v>
      </c>
      <c r="D2423" s="11"/>
      <c r="E2423" s="11" t="s">
        <v>10754</v>
      </c>
      <c r="F2423" s="90">
        <v>5000.0</v>
      </c>
      <c r="G2423" s="285"/>
      <c r="H2423" s="11" t="s">
        <v>906</v>
      </c>
      <c r="I2423" s="276">
        <v>9.892814795E9</v>
      </c>
      <c r="J2423" s="11" t="s">
        <v>25</v>
      </c>
      <c r="K2423" s="12" t="s">
        <v>8753</v>
      </c>
      <c r="L2423" s="13"/>
      <c r="M2423" s="14"/>
      <c r="N2423" s="15"/>
      <c r="O2423" s="5" t="s">
        <v>108</v>
      </c>
      <c r="P2423" s="15"/>
      <c r="Q2423" s="15"/>
      <c r="R2423" s="16" t="s">
        <v>28</v>
      </c>
      <c r="S2423" s="15"/>
      <c r="T2423" s="15"/>
      <c r="U2423" s="15"/>
      <c r="V2423" s="15"/>
      <c r="W2423" s="15"/>
      <c r="X2423" s="15"/>
      <c r="Y2423" s="15"/>
      <c r="Z2423" s="15"/>
      <c r="AA2423" s="15"/>
    </row>
    <row r="2424">
      <c r="A2424" s="5" t="s">
        <v>10747</v>
      </c>
      <c r="B2424" s="6" t="s">
        <v>10755</v>
      </c>
      <c r="C2424" s="62" t="s">
        <v>10756</v>
      </c>
      <c r="D2424" s="11"/>
      <c r="E2424" s="11" t="s">
        <v>10757</v>
      </c>
      <c r="F2424" s="90">
        <v>75.0</v>
      </c>
      <c r="G2424" s="285" t="s">
        <v>10758</v>
      </c>
      <c r="H2424" s="11" t="s">
        <v>10759</v>
      </c>
      <c r="I2424" s="276">
        <v>9.804493205E9</v>
      </c>
      <c r="J2424" s="11"/>
      <c r="K2424" s="12"/>
      <c r="L2424" s="12">
        <v>160.0</v>
      </c>
      <c r="M2424" s="11" t="s">
        <v>10760</v>
      </c>
      <c r="N2424" s="5" t="s">
        <v>10761</v>
      </c>
      <c r="O2424" s="5" t="s">
        <v>34</v>
      </c>
      <c r="P2424" s="5" t="s">
        <v>8776</v>
      </c>
      <c r="Q2424" s="5" t="s">
        <v>9083</v>
      </c>
      <c r="R2424" s="16" t="s">
        <v>634</v>
      </c>
      <c r="S2424" s="15"/>
      <c r="T2424" s="15"/>
      <c r="U2424" s="15"/>
      <c r="V2424" s="15"/>
      <c r="W2424" s="15"/>
      <c r="X2424" s="15"/>
      <c r="Y2424" s="15"/>
      <c r="Z2424" s="15"/>
      <c r="AA2424" s="15"/>
    </row>
    <row r="2425">
      <c r="A2425" s="5" t="s">
        <v>10747</v>
      </c>
      <c r="B2425" s="6" t="s">
        <v>10762</v>
      </c>
      <c r="C2425" s="62" t="s">
        <v>10763</v>
      </c>
      <c r="D2425" s="11"/>
      <c r="E2425" s="11" t="s">
        <v>10764</v>
      </c>
      <c r="F2425" s="90">
        <v>500.0</v>
      </c>
      <c r="G2425" s="290" t="s">
        <v>10765</v>
      </c>
      <c r="H2425" s="11" t="s">
        <v>10766</v>
      </c>
      <c r="I2425" s="276">
        <v>6.291023476E9</v>
      </c>
      <c r="J2425" s="11" t="s">
        <v>25</v>
      </c>
      <c r="K2425" s="12"/>
      <c r="L2425" s="12" t="s">
        <v>10767</v>
      </c>
      <c r="M2425" s="11" t="s">
        <v>10768</v>
      </c>
      <c r="N2425" s="5" t="s">
        <v>10769</v>
      </c>
      <c r="O2425" s="5" t="s">
        <v>34</v>
      </c>
      <c r="P2425" s="5" t="s">
        <v>1632</v>
      </c>
      <c r="Q2425" s="15"/>
      <c r="R2425" s="16" t="s">
        <v>634</v>
      </c>
      <c r="S2425" s="15"/>
      <c r="T2425" s="15"/>
      <c r="U2425" s="15"/>
      <c r="V2425" s="15"/>
      <c r="W2425" s="15"/>
      <c r="X2425" s="15"/>
      <c r="Y2425" s="15"/>
      <c r="Z2425" s="15"/>
      <c r="AA2425" s="15"/>
    </row>
    <row r="2426">
      <c r="A2426" s="5" t="s">
        <v>10747</v>
      </c>
      <c r="B2426" s="6" t="s">
        <v>10770</v>
      </c>
      <c r="C2426" s="62" t="s">
        <v>10771</v>
      </c>
      <c r="D2426" s="11"/>
      <c r="E2426" s="11" t="s">
        <v>10426</v>
      </c>
      <c r="F2426" s="90">
        <v>10000.0</v>
      </c>
      <c r="G2426" s="290" t="s">
        <v>10772</v>
      </c>
      <c r="H2426" s="11" t="s">
        <v>8084</v>
      </c>
      <c r="I2426" s="311">
        <v>9.81960899798929E19</v>
      </c>
      <c r="J2426" s="11" t="s">
        <v>4008</v>
      </c>
      <c r="K2426" s="12"/>
      <c r="L2426" s="12">
        <v>72.0</v>
      </c>
      <c r="M2426" s="14"/>
      <c r="N2426" s="15"/>
      <c r="O2426" s="5" t="s">
        <v>108</v>
      </c>
      <c r="P2426" s="5" t="s">
        <v>10773</v>
      </c>
      <c r="Q2426" s="15"/>
      <c r="R2426" s="16" t="s">
        <v>28</v>
      </c>
      <c r="S2426" s="15"/>
      <c r="T2426" s="15"/>
      <c r="U2426" s="15"/>
      <c r="V2426" s="15"/>
      <c r="W2426" s="15"/>
      <c r="X2426" s="15"/>
      <c r="Y2426" s="15"/>
      <c r="Z2426" s="15"/>
      <c r="AA2426" s="15"/>
    </row>
    <row r="2427">
      <c r="A2427" s="5" t="s">
        <v>10747</v>
      </c>
      <c r="B2427" s="6" t="s">
        <v>10774</v>
      </c>
      <c r="C2427" s="62" t="s">
        <v>10775</v>
      </c>
      <c r="D2427" s="11"/>
      <c r="E2427" s="11" t="s">
        <v>10776</v>
      </c>
      <c r="F2427" s="90">
        <v>4000.0</v>
      </c>
      <c r="G2427" s="290" t="s">
        <v>10777</v>
      </c>
      <c r="H2427" s="11" t="s">
        <v>10778</v>
      </c>
      <c r="I2427" s="276">
        <v>9.143036546E9</v>
      </c>
      <c r="J2427" s="11"/>
      <c r="K2427" s="12" t="s">
        <v>10779</v>
      </c>
      <c r="L2427" s="13"/>
      <c r="M2427" s="11" t="s">
        <v>10768</v>
      </c>
      <c r="N2427" s="5" t="s">
        <v>10780</v>
      </c>
      <c r="O2427" s="5" t="s">
        <v>26</v>
      </c>
      <c r="P2427" s="5" t="s">
        <v>5331</v>
      </c>
      <c r="Q2427" s="5" t="s">
        <v>1899</v>
      </c>
      <c r="R2427" s="16" t="s">
        <v>634</v>
      </c>
      <c r="S2427" s="15"/>
      <c r="T2427" s="15"/>
      <c r="U2427" s="15"/>
      <c r="V2427" s="15"/>
      <c r="W2427" s="15"/>
      <c r="X2427" s="15"/>
      <c r="Y2427" s="15"/>
      <c r="Z2427" s="15"/>
      <c r="AA2427" s="15"/>
    </row>
    <row r="2428">
      <c r="A2428" s="5" t="s">
        <v>10747</v>
      </c>
      <c r="B2428" s="6" t="s">
        <v>10781</v>
      </c>
      <c r="C2428" s="40" t="s">
        <v>10782</v>
      </c>
      <c r="D2428" s="11"/>
      <c r="E2428" s="11" t="s">
        <v>167</v>
      </c>
      <c r="F2428" s="90"/>
      <c r="G2428" s="290" t="s">
        <v>10783</v>
      </c>
      <c r="H2428" s="11" t="s">
        <v>9266</v>
      </c>
      <c r="I2428" s="276">
        <v>9.567912134E9</v>
      </c>
      <c r="J2428" s="11"/>
      <c r="K2428" s="12"/>
      <c r="L2428" s="13"/>
      <c r="M2428" s="14"/>
      <c r="N2428" s="15"/>
      <c r="O2428" s="5" t="s">
        <v>108</v>
      </c>
      <c r="P2428" s="15"/>
      <c r="Q2428" s="15"/>
      <c r="R2428" s="16" t="s">
        <v>28</v>
      </c>
      <c r="S2428" s="15"/>
      <c r="T2428" s="15"/>
      <c r="U2428" s="15"/>
      <c r="V2428" s="15"/>
      <c r="W2428" s="15"/>
      <c r="X2428" s="15"/>
      <c r="Y2428" s="15"/>
      <c r="Z2428" s="15"/>
      <c r="AA2428" s="15"/>
    </row>
    <row r="2429">
      <c r="A2429" s="5" t="s">
        <v>10784</v>
      </c>
      <c r="B2429" s="6" t="s">
        <v>10785</v>
      </c>
      <c r="C2429" s="62" t="s">
        <v>10786</v>
      </c>
      <c r="D2429" s="11"/>
      <c r="E2429" s="11" t="s">
        <v>10404</v>
      </c>
      <c r="F2429" s="90">
        <v>3000.0</v>
      </c>
      <c r="G2429" s="290" t="s">
        <v>10787</v>
      </c>
      <c r="H2429" s="11" t="s">
        <v>44</v>
      </c>
      <c r="I2429" s="276">
        <v>9.163566999E9</v>
      </c>
      <c r="J2429" s="11"/>
      <c r="K2429" s="234"/>
      <c r="L2429" s="312"/>
      <c r="M2429" s="11" t="s">
        <v>9776</v>
      </c>
      <c r="N2429" s="5" t="s">
        <v>10788</v>
      </c>
      <c r="O2429" s="5" t="s">
        <v>34</v>
      </c>
      <c r="P2429" s="5" t="s">
        <v>727</v>
      </c>
      <c r="Q2429" s="15"/>
      <c r="R2429" s="16" t="s">
        <v>28</v>
      </c>
      <c r="S2429" s="15"/>
      <c r="T2429" s="15"/>
      <c r="U2429" s="15"/>
      <c r="V2429" s="15"/>
      <c r="W2429" s="15"/>
      <c r="X2429" s="15"/>
      <c r="Y2429" s="15"/>
      <c r="Z2429" s="15"/>
      <c r="AA2429" s="15"/>
    </row>
    <row r="2430">
      <c r="A2430" s="5" t="s">
        <v>10784</v>
      </c>
      <c r="B2430" s="6" t="s">
        <v>10789</v>
      </c>
      <c r="C2430" s="62" t="s">
        <v>10790</v>
      </c>
      <c r="D2430" s="11"/>
      <c r="E2430" s="11" t="s">
        <v>3686</v>
      </c>
      <c r="F2430" s="90">
        <v>100.0</v>
      </c>
      <c r="G2430" s="298" t="s">
        <v>10791</v>
      </c>
      <c r="H2430" s="11" t="s">
        <v>4107</v>
      </c>
      <c r="I2430" s="313">
        <v>8.29136815399207E19</v>
      </c>
      <c r="J2430" s="11" t="s">
        <v>25</v>
      </c>
      <c r="K2430" s="12"/>
      <c r="L2430" s="312"/>
      <c r="M2430" s="11" t="s">
        <v>10792</v>
      </c>
      <c r="N2430" s="5" t="s">
        <v>10793</v>
      </c>
      <c r="O2430" s="5" t="s">
        <v>34</v>
      </c>
      <c r="P2430" s="5" t="s">
        <v>1384</v>
      </c>
      <c r="Q2430" s="5" t="s">
        <v>727</v>
      </c>
      <c r="R2430" s="16" t="s">
        <v>723</v>
      </c>
      <c r="S2430" s="15"/>
      <c r="T2430" s="15"/>
      <c r="U2430" s="15"/>
      <c r="V2430" s="15"/>
      <c r="W2430" s="15"/>
      <c r="X2430" s="15"/>
      <c r="Y2430" s="15"/>
      <c r="Z2430" s="15"/>
      <c r="AA2430" s="15"/>
    </row>
    <row r="2431">
      <c r="A2431" s="5" t="s">
        <v>10784</v>
      </c>
      <c r="B2431" s="6" t="s">
        <v>10794</v>
      </c>
      <c r="C2431" s="40" t="s">
        <v>10795</v>
      </c>
      <c r="D2431" s="11"/>
      <c r="E2431" s="11" t="s">
        <v>841</v>
      </c>
      <c r="F2431" s="90">
        <v>25000.0</v>
      </c>
      <c r="G2431" s="300" t="s">
        <v>10796</v>
      </c>
      <c r="H2431" s="11" t="s">
        <v>2503</v>
      </c>
      <c r="I2431" s="276">
        <v>8.509154589E9</v>
      </c>
      <c r="J2431" s="11" t="s">
        <v>25</v>
      </c>
      <c r="K2431" s="12" t="s">
        <v>10797</v>
      </c>
      <c r="L2431" s="13"/>
      <c r="M2431" s="11" t="s">
        <v>9918</v>
      </c>
      <c r="N2431" s="5" t="s">
        <v>10798</v>
      </c>
      <c r="O2431" s="5" t="s">
        <v>26</v>
      </c>
      <c r="P2431" s="5" t="s">
        <v>453</v>
      </c>
      <c r="Q2431" s="15"/>
      <c r="R2431" s="16" t="s">
        <v>634</v>
      </c>
      <c r="S2431" s="15"/>
      <c r="T2431" s="15"/>
      <c r="U2431" s="15"/>
      <c r="V2431" s="15"/>
      <c r="W2431" s="15"/>
      <c r="X2431" s="15"/>
      <c r="Y2431" s="15"/>
      <c r="Z2431" s="15"/>
      <c r="AA2431" s="15"/>
    </row>
    <row r="2432">
      <c r="A2432" s="5" t="s">
        <v>10784</v>
      </c>
      <c r="B2432" s="6" t="s">
        <v>10799</v>
      </c>
      <c r="C2432" s="62" t="s">
        <v>10800</v>
      </c>
      <c r="D2432" s="11"/>
      <c r="E2432" s="11" t="s">
        <v>167</v>
      </c>
      <c r="F2432" s="90">
        <v>2000.0</v>
      </c>
      <c r="G2432" s="290" t="s">
        <v>10801</v>
      </c>
      <c r="H2432" s="11" t="s">
        <v>10300</v>
      </c>
      <c r="I2432" s="276">
        <v>9.301837602E9</v>
      </c>
      <c r="J2432" s="11" t="s">
        <v>10542</v>
      </c>
      <c r="K2432" s="12"/>
      <c r="L2432" s="13"/>
      <c r="M2432" s="14"/>
      <c r="N2432" s="15"/>
      <c r="O2432" s="5" t="s">
        <v>108</v>
      </c>
      <c r="P2432" s="15"/>
      <c r="Q2432" s="15"/>
      <c r="R2432" s="16" t="s">
        <v>28</v>
      </c>
      <c r="S2432" s="15"/>
      <c r="T2432" s="15"/>
      <c r="U2432" s="15"/>
      <c r="V2432" s="15"/>
      <c r="W2432" s="15"/>
      <c r="X2432" s="15"/>
      <c r="Y2432" s="15"/>
      <c r="Z2432" s="15"/>
      <c r="AA2432" s="15"/>
    </row>
    <row r="2433">
      <c r="A2433" s="5" t="s">
        <v>10784</v>
      </c>
      <c r="B2433" s="6" t="s">
        <v>10802</v>
      </c>
      <c r="C2433" s="62" t="s">
        <v>10803</v>
      </c>
      <c r="D2433" s="11"/>
      <c r="E2433" s="11" t="s">
        <v>130</v>
      </c>
      <c r="F2433" s="90"/>
      <c r="G2433" s="304" t="s">
        <v>10804</v>
      </c>
      <c r="H2433" s="11" t="s">
        <v>10805</v>
      </c>
      <c r="I2433" s="276">
        <v>8.689951034E9</v>
      </c>
      <c r="J2433" s="11"/>
      <c r="K2433" s="12"/>
      <c r="L2433" s="13"/>
      <c r="M2433" s="14"/>
      <c r="N2433" s="15"/>
      <c r="O2433" s="5" t="s">
        <v>108</v>
      </c>
      <c r="P2433" s="15"/>
      <c r="Q2433" s="15"/>
      <c r="R2433" s="16" t="s">
        <v>28</v>
      </c>
      <c r="S2433" s="15"/>
      <c r="T2433" s="15"/>
      <c r="U2433" s="15"/>
      <c r="V2433" s="15"/>
      <c r="W2433" s="15"/>
      <c r="X2433" s="15"/>
      <c r="Y2433" s="15"/>
      <c r="Z2433" s="15"/>
      <c r="AA2433" s="15"/>
    </row>
    <row r="2434">
      <c r="A2434" s="5" t="s">
        <v>10784</v>
      </c>
      <c r="B2434" s="6" t="s">
        <v>10806</v>
      </c>
      <c r="C2434" s="62" t="s">
        <v>624</v>
      </c>
      <c r="D2434" s="11"/>
      <c r="E2434" s="11" t="s">
        <v>10807</v>
      </c>
      <c r="F2434" s="90">
        <v>6000.0</v>
      </c>
      <c r="G2434" s="304" t="s">
        <v>626</v>
      </c>
      <c r="H2434" s="11" t="s">
        <v>44</v>
      </c>
      <c r="I2434" s="233">
        <v>9.330181668E9</v>
      </c>
      <c r="J2434" s="11"/>
      <c r="K2434" s="12" t="s">
        <v>10808</v>
      </c>
      <c r="L2434" s="13"/>
      <c r="M2434" s="11" t="s">
        <v>10809</v>
      </c>
      <c r="N2434" s="5" t="s">
        <v>10810</v>
      </c>
      <c r="O2434" s="5" t="s">
        <v>34</v>
      </c>
      <c r="P2434" s="5" t="s">
        <v>10811</v>
      </c>
      <c r="Q2434" s="15"/>
      <c r="R2434" s="16" t="s">
        <v>634</v>
      </c>
      <c r="S2434" s="15"/>
      <c r="T2434" s="15"/>
      <c r="U2434" s="15"/>
      <c r="V2434" s="15"/>
      <c r="W2434" s="15"/>
      <c r="X2434" s="15"/>
      <c r="Y2434" s="15"/>
      <c r="Z2434" s="15"/>
      <c r="AA2434" s="15"/>
    </row>
    <row r="2435">
      <c r="A2435" s="5" t="s">
        <v>10812</v>
      </c>
      <c r="B2435" s="6" t="s">
        <v>10813</v>
      </c>
      <c r="C2435" s="40" t="s">
        <v>10814</v>
      </c>
      <c r="D2435" s="11"/>
      <c r="E2435" s="11" t="s">
        <v>1280</v>
      </c>
      <c r="F2435" s="90">
        <v>2000.0</v>
      </c>
      <c r="G2435" s="305"/>
      <c r="H2435" s="11" t="s">
        <v>158</v>
      </c>
      <c r="I2435" s="276">
        <v>7.011624798E9</v>
      </c>
      <c r="J2435" s="11"/>
      <c r="K2435" s="12"/>
      <c r="L2435" s="13"/>
      <c r="M2435" s="11" t="s">
        <v>7904</v>
      </c>
      <c r="N2435" s="5" t="s">
        <v>10815</v>
      </c>
      <c r="O2435" s="5" t="s">
        <v>34</v>
      </c>
      <c r="P2435" s="5" t="s">
        <v>8789</v>
      </c>
      <c r="Q2435" s="5" t="s">
        <v>9387</v>
      </c>
      <c r="R2435" s="16" t="s">
        <v>248</v>
      </c>
      <c r="S2435" s="15"/>
      <c r="T2435" s="15"/>
      <c r="U2435" s="15"/>
      <c r="V2435" s="15"/>
      <c r="W2435" s="15"/>
      <c r="X2435" s="15"/>
      <c r="Y2435" s="15"/>
      <c r="Z2435" s="15"/>
      <c r="AA2435" s="15"/>
    </row>
    <row r="2436">
      <c r="A2436" s="5" t="s">
        <v>10812</v>
      </c>
      <c r="B2436" s="6" t="s">
        <v>10816</v>
      </c>
      <c r="C2436" s="40" t="s">
        <v>10817</v>
      </c>
      <c r="D2436" s="11"/>
      <c r="E2436" s="11" t="s">
        <v>2622</v>
      </c>
      <c r="F2436" s="90">
        <v>2000.0</v>
      </c>
      <c r="G2436" s="303"/>
      <c r="H2436" s="11" t="s">
        <v>10818</v>
      </c>
      <c r="I2436" s="283" t="s">
        <v>10819</v>
      </c>
      <c r="J2436" s="11" t="s">
        <v>10820</v>
      </c>
      <c r="K2436" s="12"/>
      <c r="L2436" s="13"/>
      <c r="M2436" s="11" t="s">
        <v>10821</v>
      </c>
      <c r="N2436" s="5" t="s">
        <v>10822</v>
      </c>
      <c r="O2436" s="5" t="s">
        <v>34</v>
      </c>
      <c r="P2436" s="11" t="s">
        <v>10823</v>
      </c>
      <c r="Q2436" s="5" t="s">
        <v>10824</v>
      </c>
      <c r="R2436" s="16" t="s">
        <v>723</v>
      </c>
      <c r="S2436" s="15"/>
      <c r="T2436" s="15"/>
      <c r="U2436" s="15"/>
      <c r="V2436" s="15"/>
      <c r="W2436" s="15"/>
      <c r="X2436" s="15"/>
      <c r="Y2436" s="15"/>
      <c r="Z2436" s="15"/>
      <c r="AA2436" s="15"/>
    </row>
    <row r="2437">
      <c r="A2437" s="5" t="s">
        <v>10812</v>
      </c>
      <c r="B2437" s="6" t="s">
        <v>10813</v>
      </c>
      <c r="C2437" s="62" t="s">
        <v>10825</v>
      </c>
      <c r="D2437" s="11"/>
      <c r="E2437" s="11" t="s">
        <v>10826</v>
      </c>
      <c r="F2437" s="90"/>
      <c r="G2437" s="290" t="s">
        <v>10827</v>
      </c>
      <c r="H2437" s="11" t="s">
        <v>1315</v>
      </c>
      <c r="I2437" s="276">
        <v>9.898075439E9</v>
      </c>
      <c r="J2437" s="11"/>
      <c r="K2437" s="12"/>
      <c r="L2437" s="234"/>
      <c r="M2437" s="14"/>
      <c r="N2437" s="15"/>
      <c r="O2437" s="5" t="s">
        <v>108</v>
      </c>
      <c r="P2437" s="15"/>
      <c r="Q2437" s="15"/>
      <c r="R2437" s="16" t="s">
        <v>28</v>
      </c>
      <c r="S2437" s="15"/>
      <c r="T2437" s="15"/>
      <c r="U2437" s="15"/>
      <c r="V2437" s="15"/>
      <c r="W2437" s="15"/>
      <c r="X2437" s="15"/>
      <c r="Y2437" s="15"/>
      <c r="Z2437" s="15"/>
      <c r="AA2437" s="15"/>
    </row>
    <row r="2438">
      <c r="A2438" s="5" t="s">
        <v>10812</v>
      </c>
      <c r="B2438" s="6" t="s">
        <v>10828</v>
      </c>
      <c r="C2438" s="62" t="s">
        <v>10829</v>
      </c>
      <c r="D2438" s="11"/>
      <c r="E2438" s="11" t="s">
        <v>240</v>
      </c>
      <c r="F2438" s="90">
        <v>10000.0</v>
      </c>
      <c r="G2438" s="290" t="s">
        <v>10830</v>
      </c>
      <c r="H2438" s="11" t="s">
        <v>10831</v>
      </c>
      <c r="I2438" s="12">
        <v>8.762254105E9</v>
      </c>
      <c r="J2438" s="11"/>
      <c r="K2438" s="12" t="s">
        <v>8753</v>
      </c>
      <c r="L2438" s="13"/>
      <c r="M2438" s="11" t="s">
        <v>9742</v>
      </c>
      <c r="N2438" s="5" t="s">
        <v>10832</v>
      </c>
      <c r="O2438" s="5" t="s">
        <v>108</v>
      </c>
      <c r="P2438" s="5" t="s">
        <v>10833</v>
      </c>
      <c r="Q2438" s="15"/>
      <c r="R2438" s="16" t="s">
        <v>634</v>
      </c>
      <c r="S2438" s="15"/>
      <c r="T2438" s="15"/>
      <c r="U2438" s="15"/>
      <c r="V2438" s="15"/>
      <c r="W2438" s="15"/>
      <c r="X2438" s="15"/>
      <c r="Y2438" s="15"/>
      <c r="Z2438" s="15"/>
      <c r="AA2438" s="15"/>
    </row>
    <row r="2439">
      <c r="A2439" s="5" t="s">
        <v>10812</v>
      </c>
      <c r="B2439" s="6" t="s">
        <v>10834</v>
      </c>
      <c r="C2439" s="40" t="s">
        <v>10835</v>
      </c>
      <c r="D2439" s="314"/>
      <c r="E2439" s="314" t="s">
        <v>10836</v>
      </c>
      <c r="F2439" s="90" t="s">
        <v>10837</v>
      </c>
      <c r="G2439" s="315" t="s">
        <v>10838</v>
      </c>
      <c r="H2439" s="11" t="s">
        <v>10839</v>
      </c>
      <c r="I2439" s="11">
        <v>9.417444336E9</v>
      </c>
      <c r="J2439" s="233" t="s">
        <v>10840</v>
      </c>
      <c r="K2439" s="12"/>
      <c r="L2439" s="13"/>
      <c r="M2439" s="14"/>
      <c r="N2439" s="15"/>
      <c r="O2439" s="5" t="s">
        <v>108</v>
      </c>
      <c r="P2439" s="5" t="s">
        <v>10841</v>
      </c>
      <c r="Q2439" s="15"/>
      <c r="R2439" s="16" t="s">
        <v>28</v>
      </c>
      <c r="S2439" s="15"/>
      <c r="T2439" s="15"/>
      <c r="U2439" s="15"/>
      <c r="V2439" s="15"/>
      <c r="W2439" s="15"/>
      <c r="X2439" s="15"/>
      <c r="Y2439" s="15"/>
      <c r="Z2439" s="15"/>
      <c r="AA2439" s="15"/>
    </row>
    <row r="2440">
      <c r="A2440" s="5" t="s">
        <v>10812</v>
      </c>
      <c r="B2440" s="6" t="s">
        <v>10842</v>
      </c>
      <c r="C2440" s="62" t="s">
        <v>10843</v>
      </c>
      <c r="D2440" s="11"/>
      <c r="E2440" s="11" t="s">
        <v>10844</v>
      </c>
      <c r="F2440" s="90">
        <v>1000.0</v>
      </c>
      <c r="G2440" s="289" t="s">
        <v>10845</v>
      </c>
      <c r="H2440" s="11" t="s">
        <v>10846</v>
      </c>
      <c r="I2440" s="12" t="s">
        <v>10847</v>
      </c>
      <c r="J2440" s="11" t="s">
        <v>25</v>
      </c>
      <c r="K2440" s="12" t="s">
        <v>8753</v>
      </c>
      <c r="L2440" s="234"/>
      <c r="M2440" s="11" t="s">
        <v>9298</v>
      </c>
      <c r="N2440" s="5" t="s">
        <v>10848</v>
      </c>
      <c r="O2440" s="5" t="s">
        <v>108</v>
      </c>
      <c r="P2440" s="5" t="s">
        <v>10849</v>
      </c>
      <c r="Q2440" s="15"/>
      <c r="R2440" s="16" t="s">
        <v>634</v>
      </c>
      <c r="S2440" s="15"/>
      <c r="T2440" s="15"/>
      <c r="U2440" s="15"/>
      <c r="V2440" s="15"/>
      <c r="W2440" s="15"/>
      <c r="X2440" s="15"/>
      <c r="Y2440" s="15"/>
      <c r="Z2440" s="15"/>
      <c r="AA2440" s="15"/>
    </row>
    <row r="2441">
      <c r="A2441" s="5" t="s">
        <v>10812</v>
      </c>
      <c r="B2441" s="6" t="s">
        <v>10850</v>
      </c>
      <c r="C2441" s="62" t="s">
        <v>10851</v>
      </c>
      <c r="D2441" s="11"/>
      <c r="E2441" s="11" t="s">
        <v>10852</v>
      </c>
      <c r="F2441" s="90">
        <v>10000.0</v>
      </c>
      <c r="G2441" s="316"/>
      <c r="H2441" s="11" t="s">
        <v>10853</v>
      </c>
      <c r="I2441" s="276">
        <v>9.939272314E9</v>
      </c>
      <c r="J2441" s="11" t="s">
        <v>4008</v>
      </c>
      <c r="K2441" s="12" t="s">
        <v>8753</v>
      </c>
      <c r="L2441" s="13"/>
      <c r="M2441" s="14"/>
      <c r="N2441" s="15"/>
      <c r="O2441" s="5" t="s">
        <v>108</v>
      </c>
      <c r="P2441" s="15"/>
      <c r="Q2441" s="15"/>
      <c r="R2441" s="16" t="s">
        <v>28</v>
      </c>
      <c r="S2441" s="15"/>
      <c r="T2441" s="15"/>
      <c r="U2441" s="15"/>
      <c r="V2441" s="15"/>
      <c r="W2441" s="15"/>
      <c r="X2441" s="15"/>
      <c r="Y2441" s="15"/>
      <c r="Z2441" s="15"/>
      <c r="AA2441" s="15"/>
    </row>
    <row r="2442">
      <c r="A2442" s="5" t="s">
        <v>10812</v>
      </c>
      <c r="B2442" s="131" t="s">
        <v>10854</v>
      </c>
      <c r="C2442" s="60" t="s">
        <v>10855</v>
      </c>
      <c r="D2442" s="11"/>
      <c r="E2442" s="11" t="s">
        <v>213</v>
      </c>
      <c r="F2442" s="90"/>
      <c r="G2442" s="317"/>
      <c r="H2442" s="11" t="s">
        <v>4242</v>
      </c>
      <c r="I2442" s="276">
        <v>7.738950878E9</v>
      </c>
      <c r="J2442" s="11"/>
      <c r="K2442" s="12"/>
      <c r="L2442" s="13"/>
      <c r="M2442" s="14"/>
      <c r="N2442" s="15"/>
      <c r="O2442" s="5" t="s">
        <v>108</v>
      </c>
      <c r="P2442" s="5" t="s">
        <v>10856</v>
      </c>
      <c r="Q2442" s="15"/>
      <c r="R2442" s="16" t="s">
        <v>28</v>
      </c>
      <c r="S2442" s="15"/>
      <c r="T2442" s="15"/>
      <c r="U2442" s="15"/>
      <c r="V2442" s="15"/>
      <c r="W2442" s="15"/>
      <c r="X2442" s="15"/>
      <c r="Y2442" s="15"/>
      <c r="Z2442" s="15"/>
      <c r="AA2442" s="15"/>
    </row>
    <row r="2443">
      <c r="A2443" s="5" t="s">
        <v>10812</v>
      </c>
      <c r="B2443" s="6" t="s">
        <v>10857</v>
      </c>
      <c r="C2443" s="40" t="s">
        <v>10858</v>
      </c>
      <c r="D2443" s="11"/>
      <c r="E2443" s="11" t="s">
        <v>152</v>
      </c>
      <c r="F2443" s="90">
        <v>3000.0</v>
      </c>
      <c r="G2443" s="316"/>
      <c r="H2443" s="11" t="s">
        <v>638</v>
      </c>
      <c r="I2443" s="276">
        <v>9.232472112E9</v>
      </c>
      <c r="J2443" s="11"/>
      <c r="K2443" s="12"/>
      <c r="L2443" s="12">
        <v>23.0</v>
      </c>
      <c r="M2443" s="11" t="s">
        <v>9776</v>
      </c>
      <c r="N2443" s="5" t="s">
        <v>10859</v>
      </c>
      <c r="O2443" s="5" t="s">
        <v>34</v>
      </c>
      <c r="P2443" s="5" t="s">
        <v>10860</v>
      </c>
      <c r="Q2443" s="5" t="s">
        <v>777</v>
      </c>
      <c r="R2443" s="16" t="s">
        <v>723</v>
      </c>
      <c r="S2443" s="15"/>
      <c r="T2443" s="15"/>
      <c r="U2443" s="15"/>
      <c r="V2443" s="15"/>
      <c r="W2443" s="15"/>
      <c r="X2443" s="15"/>
      <c r="Y2443" s="15"/>
      <c r="Z2443" s="15"/>
      <c r="AA2443" s="5"/>
    </row>
    <row r="2444">
      <c r="A2444" s="5" t="s">
        <v>10861</v>
      </c>
      <c r="B2444" s="6" t="s">
        <v>10862</v>
      </c>
      <c r="C2444" s="40" t="s">
        <v>10863</v>
      </c>
      <c r="D2444" s="11"/>
      <c r="E2444" s="11" t="s">
        <v>9862</v>
      </c>
      <c r="F2444" s="90"/>
      <c r="G2444" s="317"/>
      <c r="H2444" s="11" t="s">
        <v>2662</v>
      </c>
      <c r="I2444" s="276">
        <v>9.965022457E9</v>
      </c>
      <c r="J2444" s="11"/>
      <c r="K2444" s="12" t="s">
        <v>8677</v>
      </c>
      <c r="L2444" s="13"/>
      <c r="M2444" s="14"/>
      <c r="N2444" s="15"/>
      <c r="O2444" s="5" t="s">
        <v>108</v>
      </c>
      <c r="P2444" s="5" t="s">
        <v>10864</v>
      </c>
      <c r="Q2444" s="15"/>
      <c r="R2444" s="16" t="s">
        <v>28</v>
      </c>
      <c r="S2444" s="15"/>
      <c r="T2444" s="15"/>
      <c r="U2444" s="15"/>
      <c r="V2444" s="15"/>
      <c r="W2444" s="15"/>
      <c r="X2444" s="15"/>
      <c r="Y2444" s="15"/>
      <c r="Z2444" s="15"/>
      <c r="AA2444" s="15"/>
    </row>
    <row r="2445">
      <c r="A2445" s="5" t="s">
        <v>10861</v>
      </c>
      <c r="B2445" s="6" t="s">
        <v>10865</v>
      </c>
      <c r="C2445" s="62" t="s">
        <v>10866</v>
      </c>
      <c r="D2445" s="11"/>
      <c r="E2445" s="11" t="s">
        <v>10629</v>
      </c>
      <c r="F2445" s="90"/>
      <c r="G2445" s="317"/>
      <c r="H2445" s="11" t="s">
        <v>10867</v>
      </c>
      <c r="I2445" s="276">
        <v>9.553177234E9</v>
      </c>
      <c r="J2445" s="11"/>
      <c r="K2445" s="12" t="s">
        <v>8677</v>
      </c>
      <c r="L2445" s="13"/>
      <c r="M2445" s="14"/>
      <c r="N2445" s="15"/>
      <c r="O2445" s="5" t="s">
        <v>108</v>
      </c>
      <c r="P2445" s="5" t="s">
        <v>10868</v>
      </c>
      <c r="Q2445" s="15"/>
      <c r="R2445" s="16" t="s">
        <v>28</v>
      </c>
      <c r="S2445" s="15"/>
      <c r="T2445" s="15"/>
      <c r="U2445" s="15"/>
      <c r="V2445" s="15"/>
      <c r="W2445" s="15"/>
      <c r="X2445" s="15"/>
      <c r="Y2445" s="15"/>
      <c r="Z2445" s="15"/>
      <c r="AA2445" s="15"/>
    </row>
    <row r="2446">
      <c r="A2446" s="5" t="s">
        <v>10861</v>
      </c>
      <c r="B2446" s="6" t="s">
        <v>10869</v>
      </c>
      <c r="C2446" s="40" t="s">
        <v>10870</v>
      </c>
      <c r="D2446" s="11"/>
      <c r="E2446" s="11" t="s">
        <v>5014</v>
      </c>
      <c r="F2446" s="90">
        <v>2000.0</v>
      </c>
      <c r="G2446" s="318" t="s">
        <v>10871</v>
      </c>
      <c r="H2446" s="11" t="s">
        <v>10872</v>
      </c>
      <c r="I2446" s="276">
        <v>9.312236034E9</v>
      </c>
      <c r="J2446" s="11"/>
      <c r="K2446" s="12" t="s">
        <v>8753</v>
      </c>
      <c r="L2446" s="13"/>
      <c r="M2446" s="14"/>
      <c r="N2446" s="15"/>
      <c r="O2446" s="5" t="s">
        <v>34</v>
      </c>
      <c r="P2446" s="15"/>
      <c r="Q2446" s="15"/>
      <c r="R2446" s="16" t="s">
        <v>28</v>
      </c>
      <c r="S2446" s="15"/>
      <c r="T2446" s="15"/>
      <c r="U2446" s="15"/>
      <c r="V2446" s="15"/>
      <c r="W2446" s="15"/>
      <c r="X2446" s="15"/>
      <c r="Y2446" s="15"/>
      <c r="Z2446" s="15"/>
      <c r="AA2446" s="15"/>
    </row>
    <row r="2447">
      <c r="A2447" s="5" t="s">
        <v>10861</v>
      </c>
      <c r="B2447" s="6" t="s">
        <v>10873</v>
      </c>
      <c r="C2447" s="62" t="s">
        <v>10874</v>
      </c>
      <c r="D2447" s="11"/>
      <c r="E2447" s="11" t="s">
        <v>10875</v>
      </c>
      <c r="F2447" s="90" t="s">
        <v>10876</v>
      </c>
      <c r="G2447" s="318" t="s">
        <v>10877</v>
      </c>
      <c r="H2447" s="11" t="s">
        <v>44</v>
      </c>
      <c r="I2447" s="276">
        <v>7.908774803E9</v>
      </c>
      <c r="J2447" s="11" t="s">
        <v>10878</v>
      </c>
      <c r="K2447" s="12"/>
      <c r="L2447" s="13"/>
      <c r="M2447" s="11" t="s">
        <v>10879</v>
      </c>
      <c r="N2447" s="5" t="s">
        <v>10880</v>
      </c>
      <c r="O2447" s="5" t="s">
        <v>34</v>
      </c>
      <c r="P2447" s="5" t="s">
        <v>727</v>
      </c>
      <c r="Q2447" s="15"/>
      <c r="R2447" s="16" t="s">
        <v>634</v>
      </c>
      <c r="S2447" s="15"/>
      <c r="T2447" s="15"/>
      <c r="U2447" s="15"/>
      <c r="V2447" s="15"/>
      <c r="W2447" s="15"/>
      <c r="X2447" s="15"/>
      <c r="Y2447" s="15"/>
      <c r="Z2447" s="15"/>
      <c r="AA2447" s="15"/>
    </row>
    <row r="2448">
      <c r="A2448" s="5" t="s">
        <v>10861</v>
      </c>
      <c r="B2448" s="6" t="s">
        <v>10881</v>
      </c>
      <c r="C2448" s="40" t="s">
        <v>10882</v>
      </c>
      <c r="D2448" s="11"/>
      <c r="E2448" s="11" t="s">
        <v>10883</v>
      </c>
      <c r="F2448" s="90">
        <v>1000.0</v>
      </c>
      <c r="G2448" s="289" t="s">
        <v>10884</v>
      </c>
      <c r="H2448" s="11" t="s">
        <v>507</v>
      </c>
      <c r="I2448" s="276">
        <v>9.86054948E9</v>
      </c>
      <c r="J2448" s="11" t="s">
        <v>25</v>
      </c>
      <c r="K2448" s="12"/>
      <c r="L2448" s="12" t="s">
        <v>10885</v>
      </c>
      <c r="M2448" s="11" t="s">
        <v>10886</v>
      </c>
      <c r="N2448" s="5" t="s">
        <v>10887</v>
      </c>
      <c r="O2448" s="5" t="s">
        <v>108</v>
      </c>
      <c r="P2448" s="15"/>
      <c r="Q2448" s="15"/>
      <c r="R2448" s="16" t="s">
        <v>634</v>
      </c>
      <c r="S2448" s="15"/>
      <c r="T2448" s="15"/>
      <c r="U2448" s="15"/>
      <c r="V2448" s="15"/>
      <c r="W2448" s="15"/>
      <c r="X2448" s="15"/>
      <c r="Y2448" s="15"/>
      <c r="Z2448" s="15"/>
      <c r="AA2448" s="15"/>
    </row>
    <row r="2449">
      <c r="A2449" s="5" t="s">
        <v>10861</v>
      </c>
      <c r="B2449" s="6" t="s">
        <v>10888</v>
      </c>
      <c r="C2449" s="62" t="s">
        <v>10889</v>
      </c>
      <c r="D2449" s="11"/>
      <c r="E2449" s="11" t="s">
        <v>240</v>
      </c>
      <c r="F2449" s="90">
        <v>50000.0</v>
      </c>
      <c r="G2449" s="316"/>
      <c r="H2449" s="11" t="s">
        <v>10890</v>
      </c>
      <c r="I2449" s="276">
        <v>9.845388897E9</v>
      </c>
      <c r="J2449" s="319" t="s">
        <v>25</v>
      </c>
      <c r="K2449" s="12" t="s">
        <v>8753</v>
      </c>
      <c r="L2449" s="13"/>
      <c r="M2449" s="14"/>
      <c r="N2449" s="15"/>
      <c r="O2449" s="5" t="s">
        <v>108</v>
      </c>
      <c r="P2449" s="5" t="s">
        <v>10891</v>
      </c>
      <c r="Q2449" s="5" t="s">
        <v>10892</v>
      </c>
      <c r="R2449" s="16" t="s">
        <v>28</v>
      </c>
      <c r="S2449" s="15"/>
      <c r="T2449" s="15"/>
      <c r="U2449" s="15"/>
      <c r="V2449" s="15"/>
      <c r="W2449" s="15"/>
      <c r="X2449" s="15"/>
      <c r="Y2449" s="15"/>
      <c r="Z2449" s="15"/>
      <c r="AA2449" s="15"/>
    </row>
    <row r="2450">
      <c r="A2450" s="5" t="s">
        <v>10893</v>
      </c>
      <c r="B2450" s="6" t="s">
        <v>10894</v>
      </c>
      <c r="C2450" s="320" t="s">
        <v>10895</v>
      </c>
      <c r="D2450" s="11"/>
      <c r="E2450" s="11" t="s">
        <v>10135</v>
      </c>
      <c r="F2450" s="90">
        <v>100.0</v>
      </c>
      <c r="G2450" s="317"/>
      <c r="H2450" s="11" t="s">
        <v>1082</v>
      </c>
      <c r="I2450" s="276">
        <v>8.777358403E9</v>
      </c>
      <c r="J2450" s="11"/>
      <c r="K2450" s="12"/>
      <c r="L2450" s="13"/>
      <c r="M2450" s="14"/>
      <c r="N2450" s="15"/>
      <c r="O2450" s="5" t="s">
        <v>26</v>
      </c>
      <c r="P2450" s="15"/>
      <c r="Q2450" s="15"/>
      <c r="R2450" s="16" t="s">
        <v>28</v>
      </c>
      <c r="S2450" s="15"/>
      <c r="T2450" s="15"/>
      <c r="U2450" s="15"/>
      <c r="V2450" s="15"/>
      <c r="W2450" s="15"/>
      <c r="X2450" s="15"/>
      <c r="Y2450" s="15"/>
      <c r="Z2450" s="15"/>
      <c r="AA2450" s="15"/>
    </row>
    <row r="2451">
      <c r="A2451" s="5" t="s">
        <v>10893</v>
      </c>
      <c r="B2451" s="6" t="s">
        <v>10896</v>
      </c>
      <c r="C2451" s="40" t="s">
        <v>10897</v>
      </c>
      <c r="D2451" s="11"/>
      <c r="E2451" s="11" t="s">
        <v>189</v>
      </c>
      <c r="F2451" s="90">
        <v>10000.0</v>
      </c>
      <c r="G2451" s="316"/>
      <c r="H2451" s="11" t="s">
        <v>495</v>
      </c>
      <c r="I2451" s="276">
        <v>9.483618643E9</v>
      </c>
      <c r="J2451" s="11"/>
      <c r="K2451" s="12" t="s">
        <v>10898</v>
      </c>
      <c r="L2451" s="13"/>
      <c r="M2451" s="14"/>
      <c r="N2451" s="15"/>
      <c r="O2451" s="5" t="s">
        <v>26</v>
      </c>
      <c r="P2451" s="15"/>
      <c r="Q2451" s="15"/>
      <c r="R2451" s="16" t="s">
        <v>28</v>
      </c>
      <c r="S2451" s="15"/>
      <c r="T2451" s="15"/>
      <c r="U2451" s="15"/>
      <c r="V2451" s="15"/>
      <c r="W2451" s="15"/>
      <c r="X2451" s="15"/>
      <c r="Y2451" s="15"/>
      <c r="Z2451" s="15"/>
      <c r="AA2451" s="15"/>
    </row>
    <row r="2452">
      <c r="A2452" s="5" t="s">
        <v>10893</v>
      </c>
      <c r="B2452" s="6" t="s">
        <v>10899</v>
      </c>
      <c r="C2452" s="40" t="s">
        <v>10900</v>
      </c>
      <c r="D2452" s="11"/>
      <c r="E2452" s="11" t="s">
        <v>523</v>
      </c>
      <c r="F2452" s="90"/>
      <c r="G2452" s="317"/>
      <c r="H2452" s="11" t="s">
        <v>10901</v>
      </c>
      <c r="I2452" s="276">
        <v>9.910078872E9</v>
      </c>
      <c r="J2452" s="11"/>
      <c r="K2452" s="12" t="s">
        <v>8753</v>
      </c>
      <c r="L2452" s="13"/>
      <c r="M2452" s="14"/>
      <c r="N2452" s="15"/>
      <c r="O2452" s="5" t="s">
        <v>108</v>
      </c>
      <c r="P2452" s="15"/>
      <c r="Q2452" s="15"/>
      <c r="R2452" s="16" t="s">
        <v>28</v>
      </c>
      <c r="S2452" s="15"/>
      <c r="T2452" s="15"/>
      <c r="U2452" s="15"/>
      <c r="V2452" s="15"/>
      <c r="W2452" s="15"/>
      <c r="X2452" s="15"/>
      <c r="Y2452" s="15"/>
      <c r="Z2452" s="15"/>
      <c r="AA2452" s="15"/>
    </row>
    <row r="2453">
      <c r="A2453" s="5" t="s">
        <v>10893</v>
      </c>
      <c r="B2453" s="6" t="s">
        <v>10902</v>
      </c>
      <c r="C2453" s="40" t="s">
        <v>10903</v>
      </c>
      <c r="D2453" s="11"/>
      <c r="E2453" s="11" t="s">
        <v>1749</v>
      </c>
      <c r="F2453" s="90">
        <v>100.0</v>
      </c>
      <c r="G2453" s="317"/>
      <c r="H2453" s="11" t="s">
        <v>44</v>
      </c>
      <c r="I2453" s="276">
        <v>9.476160177E9</v>
      </c>
      <c r="J2453" s="11" t="s">
        <v>25</v>
      </c>
      <c r="K2453" s="12" t="s">
        <v>10904</v>
      </c>
      <c r="L2453" s="13"/>
      <c r="M2453" s="14"/>
      <c r="N2453" s="15"/>
      <c r="O2453" s="5" t="s">
        <v>10708</v>
      </c>
      <c r="P2453" s="5" t="s">
        <v>10905</v>
      </c>
      <c r="Q2453" s="15"/>
      <c r="R2453" s="16" t="s">
        <v>28</v>
      </c>
      <c r="S2453" s="15"/>
      <c r="T2453" s="15"/>
      <c r="U2453" s="15"/>
      <c r="V2453" s="15"/>
      <c r="W2453" s="15"/>
      <c r="X2453" s="15"/>
      <c r="Y2453" s="15"/>
      <c r="Z2453" s="15"/>
      <c r="AA2453" s="15"/>
    </row>
    <row r="2454">
      <c r="A2454" s="5" t="s">
        <v>10893</v>
      </c>
      <c r="B2454" s="6" t="s">
        <v>10906</v>
      </c>
      <c r="C2454" s="62" t="s">
        <v>10907</v>
      </c>
      <c r="D2454" s="11"/>
      <c r="E2454" s="11" t="s">
        <v>8931</v>
      </c>
      <c r="F2454" s="90">
        <v>200.0</v>
      </c>
      <c r="G2454" s="321"/>
      <c r="H2454" s="11" t="s">
        <v>507</v>
      </c>
      <c r="I2454" s="276">
        <v>8.408855115E9</v>
      </c>
      <c r="J2454" s="11" t="s">
        <v>25</v>
      </c>
      <c r="K2454" s="12" t="s">
        <v>8753</v>
      </c>
      <c r="L2454" s="13"/>
      <c r="M2454" s="14"/>
      <c r="N2454" s="15"/>
      <c r="O2454" s="5" t="s">
        <v>10708</v>
      </c>
      <c r="P2454" s="15"/>
      <c r="Q2454" s="15"/>
      <c r="R2454" s="16" t="s">
        <v>28</v>
      </c>
      <c r="S2454" s="15"/>
      <c r="T2454" s="15"/>
      <c r="U2454" s="15"/>
      <c r="V2454" s="15"/>
      <c r="W2454" s="15"/>
      <c r="X2454" s="15"/>
      <c r="Y2454" s="15"/>
      <c r="Z2454" s="15"/>
      <c r="AA2454" s="15"/>
    </row>
    <row r="2455">
      <c r="A2455" s="5" t="s">
        <v>10893</v>
      </c>
      <c r="B2455" s="6" t="s">
        <v>10908</v>
      </c>
      <c r="C2455" s="40" t="s">
        <v>10909</v>
      </c>
      <c r="D2455" s="11"/>
      <c r="E2455" s="11" t="s">
        <v>3634</v>
      </c>
      <c r="F2455" s="90"/>
      <c r="G2455" s="321"/>
      <c r="H2455" s="11" t="s">
        <v>107</v>
      </c>
      <c r="I2455" s="276">
        <v>9.873210462E9</v>
      </c>
      <c r="J2455" s="11"/>
      <c r="K2455" s="12"/>
      <c r="L2455" s="13"/>
      <c r="M2455" s="14"/>
      <c r="N2455" s="15"/>
      <c r="O2455" s="5" t="s">
        <v>108</v>
      </c>
      <c r="P2455" s="5" t="s">
        <v>10910</v>
      </c>
      <c r="Q2455" s="15"/>
      <c r="R2455" s="16" t="s">
        <v>28</v>
      </c>
      <c r="S2455" s="15"/>
      <c r="T2455" s="15"/>
      <c r="U2455" s="15"/>
      <c r="V2455" s="15"/>
      <c r="W2455" s="15"/>
      <c r="X2455" s="15"/>
      <c r="Y2455" s="15"/>
      <c r="Z2455" s="15"/>
      <c r="AA2455" s="15"/>
    </row>
    <row r="2456">
      <c r="A2456" s="5" t="s">
        <v>10893</v>
      </c>
      <c r="B2456" s="6" t="s">
        <v>10911</v>
      </c>
      <c r="C2456" s="310" t="s">
        <v>10912</v>
      </c>
      <c r="D2456" s="11"/>
      <c r="E2456" s="11" t="s">
        <v>10913</v>
      </c>
      <c r="F2456" s="90">
        <v>20000.0</v>
      </c>
      <c r="G2456" s="290" t="s">
        <v>10914</v>
      </c>
      <c r="H2456" s="11" t="s">
        <v>44</v>
      </c>
      <c r="I2456" s="276">
        <v>9.830115471E9</v>
      </c>
      <c r="J2456" s="11" t="s">
        <v>25</v>
      </c>
      <c r="K2456" s="12" t="s">
        <v>9636</v>
      </c>
      <c r="L2456" s="13"/>
      <c r="M2456" s="11" t="s">
        <v>8638</v>
      </c>
      <c r="N2456" s="5" t="s">
        <v>10915</v>
      </c>
      <c r="O2456" s="5" t="s">
        <v>26</v>
      </c>
      <c r="P2456" s="5" t="s">
        <v>10568</v>
      </c>
      <c r="Q2456" s="5" t="s">
        <v>10916</v>
      </c>
      <c r="R2456" s="16" t="s">
        <v>634</v>
      </c>
      <c r="S2456" s="15"/>
      <c r="T2456" s="15"/>
      <c r="U2456" s="15"/>
      <c r="V2456" s="15"/>
      <c r="W2456" s="15"/>
      <c r="X2456" s="15"/>
      <c r="Y2456" s="15"/>
      <c r="Z2456" s="15"/>
      <c r="AA2456" s="15"/>
    </row>
    <row r="2457">
      <c r="A2457" s="5" t="s">
        <v>10893</v>
      </c>
      <c r="B2457" s="6" t="s">
        <v>10917</v>
      </c>
      <c r="C2457" s="40" t="s">
        <v>10918</v>
      </c>
      <c r="D2457" s="11"/>
      <c r="E2457" s="11" t="s">
        <v>10919</v>
      </c>
      <c r="F2457" s="90">
        <v>5000.0</v>
      </c>
      <c r="G2457" s="303"/>
      <c r="H2457" s="11" t="s">
        <v>1082</v>
      </c>
      <c r="I2457" s="276">
        <v>8.336900397E9</v>
      </c>
      <c r="J2457" s="11" t="s">
        <v>25</v>
      </c>
      <c r="K2457" s="12" t="s">
        <v>8753</v>
      </c>
      <c r="L2457" s="13"/>
      <c r="M2457" s="14"/>
      <c r="N2457" s="15"/>
      <c r="O2457" s="5" t="s">
        <v>26</v>
      </c>
      <c r="P2457" s="15"/>
      <c r="Q2457" s="15"/>
      <c r="R2457" s="16" t="s">
        <v>28</v>
      </c>
      <c r="S2457" s="15"/>
      <c r="T2457" s="15"/>
      <c r="U2457" s="15"/>
      <c r="V2457" s="15"/>
      <c r="W2457" s="15"/>
      <c r="X2457" s="15"/>
      <c r="Y2457" s="15"/>
      <c r="Z2457" s="15"/>
      <c r="AA2457" s="15"/>
    </row>
    <row r="2458">
      <c r="A2458" s="5" t="s">
        <v>10893</v>
      </c>
      <c r="B2458" s="6" t="s">
        <v>10920</v>
      </c>
      <c r="C2458" s="62" t="s">
        <v>10921</v>
      </c>
      <c r="D2458" s="11"/>
      <c r="E2458" s="11" t="s">
        <v>4123</v>
      </c>
      <c r="F2458" s="9">
        <v>10000.0</v>
      </c>
      <c r="G2458" s="322" t="s">
        <v>10922</v>
      </c>
      <c r="H2458" s="11" t="s">
        <v>158</v>
      </c>
      <c r="I2458" s="276">
        <v>9.062006635E9</v>
      </c>
      <c r="J2458" s="11"/>
      <c r="K2458" s="12" t="s">
        <v>10447</v>
      </c>
      <c r="L2458" s="13"/>
      <c r="M2458" s="11" t="s">
        <v>8348</v>
      </c>
      <c r="N2458" s="5" t="s">
        <v>10923</v>
      </c>
      <c r="O2458" s="5" t="s">
        <v>10708</v>
      </c>
      <c r="P2458" s="11" t="s">
        <v>10924</v>
      </c>
      <c r="Q2458" s="15"/>
      <c r="R2458" s="16" t="s">
        <v>634</v>
      </c>
      <c r="S2458" s="15"/>
      <c r="T2458" s="15"/>
      <c r="U2458" s="15"/>
      <c r="V2458" s="15"/>
      <c r="W2458" s="15"/>
      <c r="X2458" s="15"/>
      <c r="Y2458" s="15"/>
      <c r="Z2458" s="15"/>
      <c r="AA2458" s="15"/>
    </row>
    <row r="2459">
      <c r="A2459" s="5" t="s">
        <v>10893</v>
      </c>
      <c r="B2459" s="6" t="s">
        <v>10925</v>
      </c>
      <c r="C2459" s="40" t="s">
        <v>10926</v>
      </c>
      <c r="D2459" s="11"/>
      <c r="E2459" s="11" t="s">
        <v>6719</v>
      </c>
      <c r="F2459" s="9">
        <v>10000.0</v>
      </c>
      <c r="G2459" s="322" t="s">
        <v>10927</v>
      </c>
      <c r="H2459" s="11" t="s">
        <v>44</v>
      </c>
      <c r="I2459" s="276">
        <v>9.831685249E9</v>
      </c>
      <c r="J2459" s="11"/>
      <c r="K2459" s="12" t="s">
        <v>8753</v>
      </c>
      <c r="L2459" s="13"/>
      <c r="M2459" s="14"/>
      <c r="N2459" s="15"/>
      <c r="O2459" s="5" t="s">
        <v>34</v>
      </c>
      <c r="P2459" s="15"/>
      <c r="Q2459" s="15"/>
      <c r="R2459" s="16" t="s">
        <v>28</v>
      </c>
      <c r="S2459" s="15"/>
      <c r="T2459" s="15"/>
      <c r="U2459" s="15"/>
      <c r="V2459" s="15"/>
      <c r="W2459" s="15"/>
      <c r="X2459" s="15"/>
      <c r="Y2459" s="15"/>
      <c r="Z2459" s="15"/>
      <c r="AA2459" s="15"/>
    </row>
    <row r="2460">
      <c r="A2460" s="5" t="s">
        <v>10893</v>
      </c>
      <c r="B2460" s="6" t="s">
        <v>10928</v>
      </c>
      <c r="C2460" s="40" t="s">
        <v>10929</v>
      </c>
      <c r="D2460" s="11"/>
      <c r="E2460" s="11" t="s">
        <v>10930</v>
      </c>
      <c r="F2460" s="90" t="s">
        <v>10931</v>
      </c>
      <c r="G2460" s="323" t="s">
        <v>10932</v>
      </c>
      <c r="H2460" s="11" t="s">
        <v>158</v>
      </c>
      <c r="I2460" s="276">
        <v>9.74889533E9</v>
      </c>
      <c r="J2460" s="11" t="s">
        <v>10933</v>
      </c>
      <c r="K2460" s="12" t="s">
        <v>10934</v>
      </c>
      <c r="L2460" s="13"/>
      <c r="M2460" s="11" t="s">
        <v>10935</v>
      </c>
      <c r="N2460" s="5" t="s">
        <v>10936</v>
      </c>
      <c r="O2460" s="5" t="s">
        <v>34</v>
      </c>
      <c r="P2460" s="5" t="s">
        <v>2314</v>
      </c>
      <c r="Q2460" s="5" t="s">
        <v>727</v>
      </c>
      <c r="R2460" s="16" t="s">
        <v>723</v>
      </c>
      <c r="S2460" s="15"/>
      <c r="T2460" s="15"/>
      <c r="U2460" s="15"/>
      <c r="V2460" s="15"/>
      <c r="W2460" s="15"/>
      <c r="X2460" s="15"/>
      <c r="Y2460" s="15"/>
      <c r="Z2460" s="15"/>
      <c r="AA2460" s="15"/>
    </row>
    <row r="2461">
      <c r="A2461" s="5" t="s">
        <v>10893</v>
      </c>
      <c r="B2461" s="6" t="s">
        <v>10937</v>
      </c>
      <c r="C2461" s="40" t="s">
        <v>10938</v>
      </c>
      <c r="D2461" s="11"/>
      <c r="E2461" s="11" t="s">
        <v>10939</v>
      </c>
      <c r="F2461" s="90"/>
      <c r="G2461" s="290" t="s">
        <v>10940</v>
      </c>
      <c r="H2461" s="11" t="s">
        <v>1082</v>
      </c>
      <c r="I2461" s="276">
        <v>8.981294601E9</v>
      </c>
      <c r="J2461" s="11"/>
      <c r="K2461" s="12" t="s">
        <v>8753</v>
      </c>
      <c r="L2461" s="13"/>
      <c r="M2461" s="14"/>
      <c r="N2461" s="15"/>
      <c r="O2461" s="5" t="s">
        <v>26</v>
      </c>
      <c r="P2461" s="15"/>
      <c r="Q2461" s="15"/>
      <c r="R2461" s="16" t="s">
        <v>28</v>
      </c>
      <c r="S2461" s="15"/>
      <c r="T2461" s="15"/>
      <c r="U2461" s="15"/>
      <c r="V2461" s="15"/>
      <c r="W2461" s="15"/>
      <c r="X2461" s="15"/>
      <c r="Y2461" s="15"/>
      <c r="Z2461" s="15"/>
      <c r="AA2461" s="15"/>
    </row>
    <row r="2462">
      <c r="A2462" s="5" t="s">
        <v>10893</v>
      </c>
      <c r="B2462" s="6" t="s">
        <v>10941</v>
      </c>
      <c r="C2462" s="40" t="s">
        <v>10942</v>
      </c>
      <c r="D2462" s="11"/>
      <c r="E2462" s="11" t="s">
        <v>10943</v>
      </c>
      <c r="F2462" s="90" t="s">
        <v>10944</v>
      </c>
      <c r="G2462" s="290" t="s">
        <v>10945</v>
      </c>
      <c r="H2462" s="11" t="s">
        <v>8781</v>
      </c>
      <c r="I2462" s="276">
        <v>9.831253049E9</v>
      </c>
      <c r="J2462" s="11" t="s">
        <v>10946</v>
      </c>
      <c r="K2462" s="12" t="s">
        <v>10947</v>
      </c>
      <c r="L2462" s="13"/>
      <c r="M2462" s="11" t="s">
        <v>10948</v>
      </c>
      <c r="N2462" s="5" t="s">
        <v>10949</v>
      </c>
      <c r="O2462" s="5" t="s">
        <v>34</v>
      </c>
      <c r="P2462" s="5" t="s">
        <v>10950</v>
      </c>
      <c r="Q2462" s="15"/>
      <c r="R2462" s="16" t="s">
        <v>634</v>
      </c>
      <c r="S2462" s="15"/>
      <c r="T2462" s="15"/>
      <c r="U2462" s="15"/>
      <c r="V2462" s="15"/>
      <c r="W2462" s="15"/>
      <c r="X2462" s="15"/>
      <c r="Y2462" s="15"/>
      <c r="Z2462" s="15"/>
      <c r="AA2462" s="15"/>
    </row>
    <row r="2463">
      <c r="A2463" s="5" t="s">
        <v>10893</v>
      </c>
      <c r="B2463" s="6" t="s">
        <v>10951</v>
      </c>
      <c r="C2463" s="62" t="s">
        <v>2463</v>
      </c>
      <c r="D2463" s="11"/>
      <c r="E2463" s="11" t="s">
        <v>10645</v>
      </c>
      <c r="F2463" s="90" t="s">
        <v>10952</v>
      </c>
      <c r="G2463" s="290" t="s">
        <v>10953</v>
      </c>
      <c r="H2463" s="11" t="s">
        <v>472</v>
      </c>
      <c r="I2463" s="276">
        <v>7.718641554E9</v>
      </c>
      <c r="J2463" s="11"/>
      <c r="K2463" s="12" t="s">
        <v>10954</v>
      </c>
      <c r="L2463" s="13"/>
      <c r="M2463" s="11" t="s">
        <v>10955</v>
      </c>
      <c r="N2463" s="5" t="s">
        <v>10956</v>
      </c>
      <c r="O2463" s="5" t="s">
        <v>26</v>
      </c>
      <c r="P2463" s="5" t="s">
        <v>10957</v>
      </c>
      <c r="Q2463" s="5" t="s">
        <v>453</v>
      </c>
      <c r="R2463" s="16" t="s">
        <v>634</v>
      </c>
      <c r="S2463" s="15"/>
      <c r="T2463" s="15"/>
      <c r="U2463" s="15"/>
      <c r="V2463" s="15"/>
      <c r="W2463" s="15"/>
      <c r="X2463" s="15"/>
      <c r="Y2463" s="15"/>
      <c r="Z2463" s="15"/>
      <c r="AA2463" s="15"/>
    </row>
    <row r="2464">
      <c r="A2464" s="5" t="s">
        <v>10893</v>
      </c>
      <c r="B2464" s="6" t="s">
        <v>10958</v>
      </c>
      <c r="C2464" s="40" t="s">
        <v>10959</v>
      </c>
      <c r="D2464" s="11"/>
      <c r="E2464" s="11" t="s">
        <v>77</v>
      </c>
      <c r="F2464" s="90"/>
      <c r="G2464" s="290" t="s">
        <v>10960</v>
      </c>
      <c r="H2464" s="11" t="s">
        <v>49</v>
      </c>
      <c r="I2464" s="276">
        <v>6.296509279E9</v>
      </c>
      <c r="J2464" s="11"/>
      <c r="K2464" s="12" t="s">
        <v>10961</v>
      </c>
      <c r="L2464" s="13"/>
      <c r="M2464" s="11" t="s">
        <v>8860</v>
      </c>
      <c r="N2464" s="5" t="s">
        <v>10962</v>
      </c>
      <c r="O2464" s="5" t="s">
        <v>26</v>
      </c>
      <c r="P2464" s="5" t="s">
        <v>1619</v>
      </c>
      <c r="Q2464" s="5" t="s">
        <v>1619</v>
      </c>
      <c r="R2464" s="16" t="s">
        <v>634</v>
      </c>
      <c r="S2464" s="15"/>
      <c r="T2464" s="15"/>
      <c r="U2464" s="15"/>
      <c r="V2464" s="15"/>
      <c r="W2464" s="15"/>
      <c r="X2464" s="15"/>
      <c r="Y2464" s="15"/>
      <c r="Z2464" s="15"/>
      <c r="AA2464" s="15"/>
    </row>
    <row r="2465">
      <c r="A2465" s="5" t="s">
        <v>10963</v>
      </c>
      <c r="B2465" s="324" t="s">
        <v>10964</v>
      </c>
      <c r="C2465" s="40" t="s">
        <v>10965</v>
      </c>
      <c r="D2465" s="11"/>
      <c r="E2465" s="11" t="s">
        <v>10966</v>
      </c>
      <c r="F2465" s="90"/>
      <c r="G2465" s="290" t="s">
        <v>10967</v>
      </c>
      <c r="H2465" s="11" t="s">
        <v>44</v>
      </c>
      <c r="I2465" s="276">
        <v>9.614780764E9</v>
      </c>
      <c r="J2465" s="11"/>
      <c r="K2465" s="12" t="s">
        <v>8677</v>
      </c>
      <c r="L2465" s="13"/>
      <c r="M2465" s="14"/>
      <c r="N2465" s="15"/>
      <c r="O2465" s="5" t="s">
        <v>26</v>
      </c>
      <c r="P2465" s="15"/>
      <c r="Q2465" s="15"/>
      <c r="R2465" s="16" t="s">
        <v>28</v>
      </c>
      <c r="S2465" s="15"/>
      <c r="T2465" s="15"/>
      <c r="U2465" s="15"/>
      <c r="V2465" s="15"/>
      <c r="W2465" s="15"/>
      <c r="X2465" s="15"/>
      <c r="Y2465" s="15"/>
      <c r="Z2465" s="15"/>
      <c r="AA2465" s="15"/>
    </row>
    <row r="2466">
      <c r="A2466" s="271" t="s">
        <v>10963</v>
      </c>
      <c r="B2466" s="325" t="s">
        <v>10958</v>
      </c>
      <c r="C2466" s="326" t="s">
        <v>10968</v>
      </c>
      <c r="D2466" s="327"/>
      <c r="E2466" s="327" t="s">
        <v>8205</v>
      </c>
      <c r="F2466" s="328" t="s">
        <v>10969</v>
      </c>
      <c r="G2466" s="329" t="s">
        <v>10970</v>
      </c>
      <c r="H2466" s="330" t="s">
        <v>10971</v>
      </c>
      <c r="I2466" s="331">
        <v>9.515127087E9</v>
      </c>
      <c r="J2466" s="150"/>
      <c r="K2466" s="332" t="s">
        <v>10972</v>
      </c>
      <c r="L2466" s="277"/>
      <c r="M2466" s="333" t="s">
        <v>10973</v>
      </c>
      <c r="N2466" s="334" t="s">
        <v>10974</v>
      </c>
      <c r="O2466" s="334" t="s">
        <v>26</v>
      </c>
      <c r="P2466" s="334" t="s">
        <v>10975</v>
      </c>
      <c r="Q2466" s="5" t="s">
        <v>10976</v>
      </c>
      <c r="R2466" s="16" t="s">
        <v>634</v>
      </c>
      <c r="S2466" s="15"/>
      <c r="T2466" s="15"/>
      <c r="U2466" s="15"/>
      <c r="V2466" s="15"/>
      <c r="W2466" s="15"/>
      <c r="X2466" s="15"/>
      <c r="Y2466" s="15"/>
      <c r="Z2466" s="15"/>
      <c r="AA2466" s="15"/>
    </row>
    <row r="2467">
      <c r="A2467" s="5" t="s">
        <v>10963</v>
      </c>
      <c r="B2467" s="324" t="s">
        <v>10977</v>
      </c>
      <c r="C2467" s="62" t="s">
        <v>10978</v>
      </c>
      <c r="D2467" s="11"/>
      <c r="E2467" s="11" t="s">
        <v>523</v>
      </c>
      <c r="F2467" s="90"/>
      <c r="G2467" s="290" t="s">
        <v>10979</v>
      </c>
      <c r="H2467" s="11" t="s">
        <v>10980</v>
      </c>
      <c r="I2467" s="276">
        <v>9.204027721E9</v>
      </c>
      <c r="J2467" s="11"/>
      <c r="K2467" s="12" t="s">
        <v>10981</v>
      </c>
      <c r="L2467" s="13"/>
      <c r="M2467" s="11" t="s">
        <v>7651</v>
      </c>
      <c r="N2467" s="5" t="s">
        <v>10982</v>
      </c>
      <c r="O2467" s="5" t="s">
        <v>26</v>
      </c>
      <c r="P2467" s="5" t="s">
        <v>10983</v>
      </c>
      <c r="Q2467" s="15"/>
      <c r="R2467" s="16" t="s">
        <v>634</v>
      </c>
      <c r="S2467" s="15"/>
      <c r="T2467" s="15"/>
      <c r="U2467" s="15"/>
      <c r="V2467" s="15"/>
      <c r="W2467" s="15"/>
      <c r="X2467" s="15"/>
      <c r="Y2467" s="15"/>
      <c r="Z2467" s="15"/>
      <c r="AA2467" s="15"/>
    </row>
    <row r="2468">
      <c r="A2468" s="5" t="s">
        <v>10963</v>
      </c>
      <c r="B2468" s="324" t="s">
        <v>10984</v>
      </c>
      <c r="C2468" s="40" t="s">
        <v>10985</v>
      </c>
      <c r="D2468" s="11"/>
      <c r="E2468" s="11" t="s">
        <v>3918</v>
      </c>
      <c r="F2468" s="90">
        <v>300.0</v>
      </c>
      <c r="G2468" s="290" t="s">
        <v>10986</v>
      </c>
      <c r="H2468" s="11" t="s">
        <v>44</v>
      </c>
      <c r="I2468" s="276">
        <v>9.051662037E9</v>
      </c>
      <c r="J2468" s="11"/>
      <c r="K2468" s="12" t="s">
        <v>8800</v>
      </c>
      <c r="L2468" s="13"/>
      <c r="M2468" s="11" t="s">
        <v>6155</v>
      </c>
      <c r="N2468" s="5" t="s">
        <v>10987</v>
      </c>
      <c r="O2468" s="5" t="s">
        <v>10708</v>
      </c>
      <c r="P2468" s="5" t="s">
        <v>10988</v>
      </c>
      <c r="Q2468" s="5"/>
      <c r="R2468" s="16" t="s">
        <v>723</v>
      </c>
      <c r="S2468" s="15"/>
      <c r="T2468" s="15"/>
      <c r="U2468" s="15"/>
      <c r="V2468" s="15"/>
      <c r="W2468" s="15"/>
      <c r="X2468" s="15"/>
      <c r="Y2468" s="15"/>
      <c r="Z2468" s="15"/>
      <c r="AA2468" s="15"/>
    </row>
    <row r="2469">
      <c r="A2469" s="5" t="s">
        <v>10963</v>
      </c>
      <c r="B2469" s="324" t="s">
        <v>10989</v>
      </c>
      <c r="C2469" s="40" t="s">
        <v>10990</v>
      </c>
      <c r="D2469" s="11"/>
      <c r="E2469" s="11" t="s">
        <v>10991</v>
      </c>
      <c r="F2469" s="90">
        <v>300000.0</v>
      </c>
      <c r="G2469" s="290" t="s">
        <v>10992</v>
      </c>
      <c r="H2469" s="11" t="s">
        <v>44</v>
      </c>
      <c r="I2469" s="276">
        <v>9.12394405E9</v>
      </c>
      <c r="J2469" s="11"/>
      <c r="K2469" s="12" t="s">
        <v>8677</v>
      </c>
      <c r="L2469" s="13"/>
      <c r="M2469" s="14"/>
      <c r="N2469" s="15"/>
      <c r="O2469" s="5" t="s">
        <v>26</v>
      </c>
      <c r="P2469" s="15"/>
      <c r="Q2469" s="15"/>
      <c r="R2469" s="16" t="s">
        <v>28</v>
      </c>
      <c r="S2469" s="15"/>
      <c r="T2469" s="15"/>
      <c r="U2469" s="15"/>
      <c r="V2469" s="15"/>
      <c r="W2469" s="15"/>
      <c r="X2469" s="15"/>
      <c r="Y2469" s="15"/>
      <c r="Z2469" s="15"/>
      <c r="AA2469" s="15"/>
    </row>
    <row r="2470">
      <c r="A2470" s="5" t="s">
        <v>10963</v>
      </c>
      <c r="B2470" s="324" t="s">
        <v>10993</v>
      </c>
      <c r="C2470" s="40" t="s">
        <v>10994</v>
      </c>
      <c r="D2470" s="11"/>
      <c r="E2470" s="11" t="s">
        <v>10852</v>
      </c>
      <c r="F2470" s="90"/>
      <c r="G2470" s="290" t="s">
        <v>10995</v>
      </c>
      <c r="H2470" s="11" t="s">
        <v>44</v>
      </c>
      <c r="I2470" s="276">
        <v>6.297348441E9</v>
      </c>
      <c r="J2470" s="11"/>
      <c r="K2470" s="12" t="s">
        <v>8677</v>
      </c>
      <c r="L2470" s="13"/>
      <c r="M2470" s="14"/>
      <c r="N2470" s="15"/>
      <c r="O2470" s="5" t="s">
        <v>26</v>
      </c>
      <c r="P2470" s="15"/>
      <c r="Q2470" s="15"/>
      <c r="R2470" s="16" t="s">
        <v>28</v>
      </c>
      <c r="S2470" s="15"/>
      <c r="T2470" s="15"/>
      <c r="U2470" s="15"/>
      <c r="V2470" s="15"/>
      <c r="W2470" s="15"/>
      <c r="X2470" s="15"/>
      <c r="Y2470" s="15"/>
      <c r="Z2470" s="15"/>
      <c r="AA2470" s="15"/>
    </row>
    <row r="2471">
      <c r="A2471" s="5" t="s">
        <v>10963</v>
      </c>
      <c r="B2471" s="324" t="s">
        <v>10996</v>
      </c>
      <c r="C2471" s="62" t="s">
        <v>10997</v>
      </c>
      <c r="D2471" s="11"/>
      <c r="E2471" s="11" t="s">
        <v>167</v>
      </c>
      <c r="F2471" s="9">
        <v>20000.0</v>
      </c>
      <c r="G2471" s="290" t="s">
        <v>10998</v>
      </c>
      <c r="H2471" s="11" t="s">
        <v>10999</v>
      </c>
      <c r="I2471" s="276">
        <v>9.423686702E9</v>
      </c>
      <c r="J2471" s="11" t="s">
        <v>7109</v>
      </c>
      <c r="K2471" s="12"/>
      <c r="L2471" s="13"/>
      <c r="M2471" s="11" t="s">
        <v>9685</v>
      </c>
      <c r="N2471" s="5" t="s">
        <v>11000</v>
      </c>
      <c r="O2471" s="5" t="s">
        <v>108</v>
      </c>
      <c r="P2471" s="5" t="s">
        <v>11001</v>
      </c>
      <c r="Q2471" s="15"/>
      <c r="R2471" s="16" t="s">
        <v>634</v>
      </c>
      <c r="S2471" s="15"/>
      <c r="T2471" s="15"/>
      <c r="U2471" s="15"/>
      <c r="V2471" s="15"/>
      <c r="W2471" s="15"/>
      <c r="X2471" s="15"/>
      <c r="Y2471" s="15"/>
      <c r="Z2471" s="15"/>
      <c r="AA2471" s="15"/>
    </row>
    <row r="2472">
      <c r="A2472" s="5" t="s">
        <v>11002</v>
      </c>
      <c r="B2472" s="324" t="s">
        <v>11003</v>
      </c>
      <c r="C2472" s="320" t="s">
        <v>11004</v>
      </c>
      <c r="D2472" s="11"/>
      <c r="E2472" s="11" t="s">
        <v>794</v>
      </c>
      <c r="F2472" s="90">
        <v>1000.0</v>
      </c>
      <c r="G2472" s="290" t="s">
        <v>11005</v>
      </c>
      <c r="H2472" s="11" t="s">
        <v>1082</v>
      </c>
      <c r="I2472" s="276">
        <v>6.28988848E9</v>
      </c>
      <c r="J2472" s="11"/>
      <c r="K2472" s="12" t="s">
        <v>11006</v>
      </c>
      <c r="L2472" s="13"/>
      <c r="M2472" s="11" t="s">
        <v>7965</v>
      </c>
      <c r="N2472" s="5" t="s">
        <v>11007</v>
      </c>
      <c r="O2472" s="5" t="s">
        <v>26</v>
      </c>
      <c r="P2472" s="5" t="s">
        <v>3287</v>
      </c>
      <c r="Q2472" s="15"/>
      <c r="R2472" s="16" t="s">
        <v>634</v>
      </c>
      <c r="S2472" s="15"/>
      <c r="T2472" s="15"/>
      <c r="U2472" s="15"/>
      <c r="V2472" s="15"/>
      <c r="W2472" s="15"/>
      <c r="X2472" s="15"/>
      <c r="Y2472" s="15"/>
      <c r="Z2472" s="15"/>
      <c r="AA2472" s="15"/>
    </row>
    <row r="2473">
      <c r="A2473" s="5" t="s">
        <v>11002</v>
      </c>
      <c r="B2473" s="324" t="s">
        <v>11008</v>
      </c>
      <c r="C2473" s="40" t="s">
        <v>11009</v>
      </c>
      <c r="D2473" s="11"/>
      <c r="E2473" s="11" t="s">
        <v>2622</v>
      </c>
      <c r="F2473" s="90"/>
      <c r="G2473" s="290" t="s">
        <v>11010</v>
      </c>
      <c r="H2473" s="11" t="s">
        <v>519</v>
      </c>
      <c r="I2473" s="276">
        <v>8.01687558E9</v>
      </c>
      <c r="J2473" s="11"/>
      <c r="K2473" s="12"/>
      <c r="L2473" s="13"/>
      <c r="M2473" s="14"/>
      <c r="N2473" s="15"/>
      <c r="O2473" s="5" t="s">
        <v>108</v>
      </c>
      <c r="P2473" s="5" t="s">
        <v>11011</v>
      </c>
      <c r="Q2473" s="15"/>
      <c r="R2473" s="16" t="s">
        <v>28</v>
      </c>
      <c r="S2473" s="15"/>
      <c r="T2473" s="15"/>
      <c r="U2473" s="15"/>
      <c r="V2473" s="15"/>
      <c r="W2473" s="15"/>
      <c r="X2473" s="15"/>
      <c r="Y2473" s="15"/>
      <c r="Z2473" s="15"/>
      <c r="AA2473" s="15"/>
    </row>
    <row r="2474">
      <c r="A2474" s="5" t="s">
        <v>11002</v>
      </c>
      <c r="B2474" s="324" t="s">
        <v>11012</v>
      </c>
      <c r="C2474" s="40" t="s">
        <v>11013</v>
      </c>
      <c r="D2474" s="11"/>
      <c r="E2474" s="11" t="s">
        <v>11014</v>
      </c>
      <c r="F2474" s="90">
        <v>50.0</v>
      </c>
      <c r="G2474" s="290" t="s">
        <v>11015</v>
      </c>
      <c r="H2474" s="11" t="s">
        <v>5709</v>
      </c>
      <c r="I2474" s="276">
        <v>9.06487963E9</v>
      </c>
      <c r="J2474" s="11"/>
      <c r="K2474" s="12"/>
      <c r="L2474" s="12">
        <v>150.0</v>
      </c>
      <c r="M2474" s="11" t="s">
        <v>11016</v>
      </c>
      <c r="N2474" s="5" t="s">
        <v>11017</v>
      </c>
      <c r="O2474" s="5" t="s">
        <v>34</v>
      </c>
      <c r="P2474" s="5" t="s">
        <v>8466</v>
      </c>
      <c r="Q2474" s="5" t="s">
        <v>55</v>
      </c>
      <c r="R2474" s="16" t="s">
        <v>723</v>
      </c>
      <c r="S2474" s="15"/>
      <c r="T2474" s="15"/>
      <c r="U2474" s="15"/>
      <c r="V2474" s="15"/>
      <c r="W2474" s="15"/>
      <c r="X2474" s="15"/>
      <c r="Y2474" s="15"/>
      <c r="Z2474" s="15"/>
      <c r="AA2474" s="15"/>
    </row>
    <row r="2475">
      <c r="A2475" s="5" t="s">
        <v>11002</v>
      </c>
      <c r="B2475" s="324" t="s">
        <v>11018</v>
      </c>
      <c r="C2475" s="40" t="s">
        <v>11019</v>
      </c>
      <c r="D2475" s="11"/>
      <c r="E2475" s="11" t="s">
        <v>10426</v>
      </c>
      <c r="F2475" s="90">
        <v>5000.0</v>
      </c>
      <c r="G2475" s="290" t="s">
        <v>10577</v>
      </c>
      <c r="H2475" s="11" t="s">
        <v>2649</v>
      </c>
      <c r="I2475" s="276">
        <v>7.01630314E9</v>
      </c>
      <c r="J2475" s="11"/>
      <c r="K2475" s="12"/>
      <c r="L2475" s="12">
        <v>68.0</v>
      </c>
      <c r="M2475" s="11" t="s">
        <v>11020</v>
      </c>
      <c r="N2475" s="5" t="s">
        <v>11021</v>
      </c>
      <c r="O2475" s="5" t="s">
        <v>34</v>
      </c>
      <c r="P2475" s="335" t="s">
        <v>11022</v>
      </c>
      <c r="Q2475" s="15"/>
      <c r="R2475" s="16" t="s">
        <v>634</v>
      </c>
      <c r="S2475" s="15"/>
      <c r="T2475" s="15"/>
      <c r="U2475" s="15"/>
      <c r="V2475" s="15"/>
      <c r="W2475" s="15"/>
      <c r="X2475" s="15"/>
      <c r="Y2475" s="15"/>
      <c r="Z2475" s="15"/>
      <c r="AA2475" s="15"/>
    </row>
    <row r="2476">
      <c r="A2476" s="5" t="s">
        <v>11002</v>
      </c>
      <c r="B2476" s="324" t="s">
        <v>11023</v>
      </c>
      <c r="C2476" s="40" t="s">
        <v>11024</v>
      </c>
      <c r="D2476" s="11"/>
      <c r="E2476" s="11" t="s">
        <v>213</v>
      </c>
      <c r="F2476" s="90"/>
      <c r="G2476" s="290" t="s">
        <v>11025</v>
      </c>
      <c r="H2476" s="11" t="s">
        <v>44</v>
      </c>
      <c r="I2476" s="276">
        <v>9.830197759E9</v>
      </c>
      <c r="J2476" s="11" t="s">
        <v>25</v>
      </c>
      <c r="K2476" s="12"/>
      <c r="L2476" s="13"/>
      <c r="M2476" s="14"/>
      <c r="N2476" s="15"/>
      <c r="O2476" s="5" t="s">
        <v>26</v>
      </c>
      <c r="P2476" s="5" t="s">
        <v>2537</v>
      </c>
      <c r="Q2476" s="15"/>
      <c r="R2476" s="16" t="s">
        <v>28</v>
      </c>
      <c r="S2476" s="15"/>
      <c r="T2476" s="15"/>
      <c r="U2476" s="15"/>
      <c r="V2476" s="15"/>
      <c r="W2476" s="15"/>
      <c r="X2476" s="15"/>
      <c r="Y2476" s="15"/>
      <c r="Z2476" s="15"/>
      <c r="AA2476" s="15"/>
    </row>
    <row r="2477">
      <c r="A2477" s="5" t="s">
        <v>11002</v>
      </c>
      <c r="B2477" s="324" t="s">
        <v>11026</v>
      </c>
      <c r="C2477" s="62" t="s">
        <v>11027</v>
      </c>
      <c r="D2477" s="11"/>
      <c r="E2477" s="11" t="s">
        <v>9862</v>
      </c>
      <c r="F2477" s="90">
        <v>100.0</v>
      </c>
      <c r="G2477" s="290" t="s">
        <v>11028</v>
      </c>
      <c r="H2477" s="11" t="s">
        <v>218</v>
      </c>
      <c r="I2477" s="276">
        <v>7.003251862E9</v>
      </c>
      <c r="J2477" s="11" t="s">
        <v>4008</v>
      </c>
      <c r="K2477" s="12" t="s">
        <v>8753</v>
      </c>
      <c r="L2477" s="13"/>
      <c r="M2477" s="14"/>
      <c r="N2477" s="15"/>
      <c r="O2477" s="5" t="s">
        <v>34</v>
      </c>
      <c r="P2477" s="5" t="s">
        <v>11029</v>
      </c>
      <c r="Q2477" s="11" t="s">
        <v>11030</v>
      </c>
      <c r="R2477" s="16" t="s">
        <v>28</v>
      </c>
      <c r="S2477" s="15"/>
      <c r="T2477" s="15"/>
      <c r="U2477" s="15"/>
      <c r="V2477" s="15"/>
      <c r="W2477" s="15"/>
      <c r="X2477" s="15"/>
      <c r="Y2477" s="15"/>
      <c r="Z2477" s="15"/>
      <c r="AA2477" s="15"/>
    </row>
    <row r="2478">
      <c r="A2478" s="5" t="s">
        <v>11002</v>
      </c>
      <c r="B2478" s="324" t="s">
        <v>11031</v>
      </c>
      <c r="C2478" s="40" t="s">
        <v>11032</v>
      </c>
      <c r="D2478" s="11"/>
      <c r="E2478" s="11" t="s">
        <v>10508</v>
      </c>
      <c r="F2478" s="90" t="s">
        <v>11033</v>
      </c>
      <c r="G2478" s="290" t="s">
        <v>11034</v>
      </c>
      <c r="H2478" s="11"/>
      <c r="I2478" s="276">
        <v>9.631181999E9</v>
      </c>
      <c r="J2478" s="11"/>
      <c r="K2478" s="12"/>
      <c r="L2478" s="13"/>
      <c r="M2478" s="14"/>
      <c r="N2478" s="15"/>
      <c r="O2478" s="5" t="s">
        <v>26</v>
      </c>
      <c r="P2478" s="5" t="s">
        <v>7251</v>
      </c>
      <c r="Q2478" s="15"/>
      <c r="R2478" s="16" t="s">
        <v>28</v>
      </c>
      <c r="S2478" s="15"/>
      <c r="T2478" s="15"/>
      <c r="U2478" s="15"/>
      <c r="V2478" s="15"/>
      <c r="W2478" s="15"/>
      <c r="X2478" s="15"/>
      <c r="Y2478" s="15"/>
      <c r="Z2478" s="15"/>
      <c r="AA2478" s="15"/>
    </row>
    <row r="2479">
      <c r="A2479" s="5" t="s">
        <v>11002</v>
      </c>
      <c r="B2479" s="324" t="s">
        <v>11035</v>
      </c>
      <c r="C2479" s="40" t="s">
        <v>5385</v>
      </c>
      <c r="D2479" s="11"/>
      <c r="E2479" s="11" t="s">
        <v>147</v>
      </c>
      <c r="F2479" s="90"/>
      <c r="G2479" s="290" t="s">
        <v>11036</v>
      </c>
      <c r="H2479" s="11" t="s">
        <v>107</v>
      </c>
      <c r="I2479" s="276">
        <v>8.860981063E9</v>
      </c>
      <c r="J2479" s="11"/>
      <c r="K2479" s="12" t="s">
        <v>8753</v>
      </c>
      <c r="L2479" s="13"/>
      <c r="M2479" s="14"/>
      <c r="N2479" s="15"/>
      <c r="O2479" s="5" t="s">
        <v>108</v>
      </c>
      <c r="P2479" s="11" t="s">
        <v>11037</v>
      </c>
      <c r="Q2479" s="5" t="s">
        <v>727</v>
      </c>
      <c r="R2479" s="16" t="s">
        <v>28</v>
      </c>
      <c r="S2479" s="15"/>
      <c r="T2479" s="15"/>
      <c r="U2479" s="15"/>
      <c r="V2479" s="15"/>
      <c r="W2479" s="15"/>
      <c r="X2479" s="15"/>
      <c r="Y2479" s="15"/>
      <c r="Z2479" s="15"/>
      <c r="AA2479" s="15"/>
    </row>
    <row r="2480">
      <c r="A2480" s="5" t="s">
        <v>11002</v>
      </c>
      <c r="B2480" s="324" t="s">
        <v>11038</v>
      </c>
      <c r="C2480" s="62" t="s">
        <v>11039</v>
      </c>
      <c r="D2480" s="11"/>
      <c r="E2480" s="11" t="s">
        <v>10216</v>
      </c>
      <c r="F2480" s="90">
        <v>1500.0</v>
      </c>
      <c r="G2480" s="290" t="s">
        <v>11040</v>
      </c>
      <c r="H2480" s="11" t="s">
        <v>11041</v>
      </c>
      <c r="I2480" s="283" t="s">
        <v>11042</v>
      </c>
      <c r="J2480" s="11" t="s">
        <v>25</v>
      </c>
      <c r="K2480" s="12" t="s">
        <v>11043</v>
      </c>
      <c r="L2480" s="13"/>
      <c r="M2480" s="11" t="s">
        <v>11044</v>
      </c>
      <c r="N2480" s="5" t="s">
        <v>11045</v>
      </c>
      <c r="O2480" s="5" t="s">
        <v>108</v>
      </c>
      <c r="P2480" s="5" t="s">
        <v>11046</v>
      </c>
      <c r="Q2480" s="15"/>
      <c r="R2480" s="16" t="s">
        <v>634</v>
      </c>
      <c r="S2480" s="15"/>
      <c r="T2480" s="15"/>
      <c r="U2480" s="15"/>
      <c r="V2480" s="15"/>
      <c r="W2480" s="15"/>
      <c r="X2480" s="15"/>
      <c r="Y2480" s="15"/>
      <c r="Z2480" s="15"/>
      <c r="AA2480" s="15"/>
    </row>
    <row r="2481">
      <c r="A2481" s="5" t="s">
        <v>11002</v>
      </c>
      <c r="B2481" s="324" t="s">
        <v>11047</v>
      </c>
      <c r="C2481" s="40" t="s">
        <v>11048</v>
      </c>
      <c r="D2481" s="11"/>
      <c r="E2481" s="11" t="s">
        <v>11049</v>
      </c>
      <c r="F2481" s="90">
        <v>100.0</v>
      </c>
      <c r="G2481" s="290" t="s">
        <v>11050</v>
      </c>
      <c r="H2481" s="11" t="s">
        <v>44</v>
      </c>
      <c r="I2481" s="276">
        <v>7.980104628E9</v>
      </c>
      <c r="J2481" s="11" t="s">
        <v>25</v>
      </c>
      <c r="K2481" s="12"/>
      <c r="L2481" s="13"/>
      <c r="M2481" s="14"/>
      <c r="N2481" s="15"/>
      <c r="O2481" s="5" t="s">
        <v>10708</v>
      </c>
      <c r="P2481" s="15"/>
      <c r="Q2481" s="15"/>
      <c r="R2481" s="16" t="s">
        <v>28</v>
      </c>
      <c r="S2481" s="15"/>
      <c r="T2481" s="15"/>
      <c r="U2481" s="15"/>
      <c r="V2481" s="15"/>
      <c r="W2481" s="15"/>
      <c r="X2481" s="15"/>
      <c r="Y2481" s="15"/>
      <c r="Z2481" s="15"/>
      <c r="AA2481" s="15"/>
    </row>
    <row r="2482">
      <c r="A2482" s="5" t="s">
        <v>11002</v>
      </c>
      <c r="B2482" s="324" t="s">
        <v>11051</v>
      </c>
      <c r="C2482" s="40" t="s">
        <v>11052</v>
      </c>
      <c r="D2482" s="11"/>
      <c r="E2482" s="11" t="s">
        <v>5203</v>
      </c>
      <c r="F2482" s="90">
        <v>1000.0</v>
      </c>
      <c r="G2482" s="290" t="s">
        <v>11053</v>
      </c>
      <c r="H2482" s="11" t="s">
        <v>44</v>
      </c>
      <c r="I2482" s="276">
        <v>9.830057066E9</v>
      </c>
      <c r="J2482" s="11"/>
      <c r="K2482" s="12"/>
      <c r="L2482" s="13"/>
      <c r="M2482" s="14"/>
      <c r="N2482" s="15"/>
      <c r="O2482" s="5" t="s">
        <v>26</v>
      </c>
      <c r="P2482" s="15"/>
      <c r="Q2482" s="15"/>
      <c r="R2482" s="16" t="s">
        <v>28</v>
      </c>
      <c r="S2482" s="15"/>
      <c r="T2482" s="15"/>
      <c r="U2482" s="15"/>
      <c r="V2482" s="15"/>
      <c r="W2482" s="15"/>
      <c r="X2482" s="15"/>
      <c r="Y2482" s="15"/>
      <c r="Z2482" s="15"/>
      <c r="AA2482" s="15"/>
    </row>
    <row r="2483">
      <c r="A2483" s="5" t="s">
        <v>11002</v>
      </c>
      <c r="B2483" s="324" t="s">
        <v>11054</v>
      </c>
      <c r="C2483" s="40" t="s">
        <v>7393</v>
      </c>
      <c r="D2483" s="11"/>
      <c r="E2483" s="11" t="s">
        <v>3729</v>
      </c>
      <c r="F2483" s="90">
        <v>1000.0</v>
      </c>
      <c r="G2483" s="290" t="s">
        <v>11055</v>
      </c>
      <c r="H2483" s="11" t="s">
        <v>44</v>
      </c>
      <c r="I2483" s="276">
        <v>9.735711216E9</v>
      </c>
      <c r="J2483" s="11"/>
      <c r="K2483" s="12" t="s">
        <v>11056</v>
      </c>
      <c r="L2483" s="13"/>
      <c r="M2483" s="11" t="s">
        <v>7965</v>
      </c>
      <c r="N2483" s="5" t="s">
        <v>11057</v>
      </c>
      <c r="O2483" s="5" t="s">
        <v>26</v>
      </c>
      <c r="P2483" s="5" t="s">
        <v>11058</v>
      </c>
      <c r="Q2483" s="15"/>
      <c r="R2483" s="16" t="s">
        <v>723</v>
      </c>
      <c r="S2483" s="15"/>
      <c r="T2483" s="15"/>
      <c r="U2483" s="15"/>
      <c r="V2483" s="15"/>
      <c r="W2483" s="15"/>
      <c r="X2483" s="15"/>
      <c r="Y2483" s="15"/>
      <c r="Z2483" s="15"/>
      <c r="AA2483" s="15"/>
    </row>
    <row r="2484">
      <c r="A2484" s="5" t="s">
        <v>11002</v>
      </c>
      <c r="B2484" s="324" t="s">
        <v>11059</v>
      </c>
      <c r="C2484" s="40" t="s">
        <v>11060</v>
      </c>
      <c r="D2484" s="11"/>
      <c r="E2484" s="11" t="s">
        <v>794</v>
      </c>
      <c r="F2484" s="90">
        <v>100.0</v>
      </c>
      <c r="G2484" s="290" t="s">
        <v>11061</v>
      </c>
      <c r="H2484" s="11" t="s">
        <v>44</v>
      </c>
      <c r="I2484" s="276">
        <v>6.296678477E9</v>
      </c>
      <c r="J2484" s="11" t="s">
        <v>25</v>
      </c>
      <c r="K2484" s="12"/>
      <c r="L2484" s="13"/>
      <c r="M2484" s="14"/>
      <c r="N2484" s="15"/>
      <c r="O2484" s="5" t="s">
        <v>10708</v>
      </c>
      <c r="P2484" s="5" t="s">
        <v>11062</v>
      </c>
      <c r="Q2484" s="5" t="s">
        <v>11063</v>
      </c>
      <c r="R2484" s="16" t="s">
        <v>28</v>
      </c>
      <c r="S2484" s="15"/>
      <c r="T2484" s="15"/>
      <c r="U2484" s="15"/>
      <c r="V2484" s="15"/>
      <c r="W2484" s="15"/>
      <c r="X2484" s="15"/>
      <c r="Y2484" s="15"/>
      <c r="Z2484" s="15"/>
      <c r="AA2484" s="15"/>
    </row>
    <row r="2485">
      <c r="A2485" s="5" t="s">
        <v>11002</v>
      </c>
      <c r="B2485" s="324" t="s">
        <v>11064</v>
      </c>
      <c r="C2485" s="40" t="s">
        <v>11065</v>
      </c>
      <c r="D2485" s="11"/>
      <c r="E2485" s="11" t="s">
        <v>11066</v>
      </c>
      <c r="F2485" s="90">
        <v>4000.0</v>
      </c>
      <c r="G2485" s="290" t="s">
        <v>11067</v>
      </c>
      <c r="H2485" s="11" t="s">
        <v>44</v>
      </c>
      <c r="I2485" s="276">
        <v>7.605842464E9</v>
      </c>
      <c r="J2485" s="11" t="s">
        <v>25</v>
      </c>
      <c r="K2485" s="12" t="s">
        <v>8753</v>
      </c>
      <c r="L2485" s="13"/>
      <c r="M2485" s="14"/>
      <c r="N2485" s="15"/>
      <c r="O2485" s="5" t="s">
        <v>26</v>
      </c>
      <c r="P2485" s="15"/>
      <c r="Q2485" s="15"/>
      <c r="R2485" s="16" t="s">
        <v>28</v>
      </c>
      <c r="S2485" s="15"/>
      <c r="T2485" s="15"/>
      <c r="U2485" s="15"/>
      <c r="V2485" s="15"/>
      <c r="W2485" s="15"/>
      <c r="X2485" s="15"/>
      <c r="Y2485" s="15"/>
      <c r="Z2485" s="15"/>
      <c r="AA2485" s="15"/>
    </row>
    <row r="2486">
      <c r="A2486" s="5" t="s">
        <v>11068</v>
      </c>
      <c r="B2486" s="324" t="s">
        <v>11069</v>
      </c>
      <c r="C2486" s="40" t="s">
        <v>11070</v>
      </c>
      <c r="D2486" s="11"/>
      <c r="E2486" s="11" t="s">
        <v>11071</v>
      </c>
      <c r="F2486" s="9">
        <v>10000.0</v>
      </c>
      <c r="G2486" s="321"/>
      <c r="H2486" s="11" t="s">
        <v>44</v>
      </c>
      <c r="I2486" s="276">
        <v>8.274024242E9</v>
      </c>
      <c r="J2486" s="11" t="s">
        <v>25</v>
      </c>
      <c r="K2486" s="12" t="s">
        <v>8677</v>
      </c>
      <c r="L2486" s="13"/>
      <c r="M2486" s="14"/>
      <c r="N2486" s="15"/>
      <c r="O2486" s="5" t="s">
        <v>26</v>
      </c>
      <c r="P2486" s="5" t="s">
        <v>11072</v>
      </c>
      <c r="Q2486" s="15"/>
      <c r="R2486" s="16" t="s">
        <v>723</v>
      </c>
      <c r="S2486" s="15"/>
      <c r="T2486" s="15"/>
      <c r="U2486" s="15"/>
      <c r="V2486" s="15"/>
      <c r="W2486" s="15"/>
      <c r="X2486" s="15"/>
      <c r="Y2486" s="15"/>
      <c r="Z2486" s="15"/>
      <c r="AA2486" s="15"/>
    </row>
    <row r="2487">
      <c r="A2487" s="5" t="s">
        <v>11068</v>
      </c>
      <c r="B2487" s="324" t="s">
        <v>11073</v>
      </c>
      <c r="C2487" s="40" t="s">
        <v>11074</v>
      </c>
      <c r="D2487" s="11"/>
      <c r="E2487" s="11" t="s">
        <v>794</v>
      </c>
      <c r="F2487" s="90">
        <v>1000.0</v>
      </c>
      <c r="G2487" s="321"/>
      <c r="H2487" s="11" t="s">
        <v>44</v>
      </c>
      <c r="I2487" s="276">
        <v>9.830851034E9</v>
      </c>
      <c r="J2487" s="11"/>
      <c r="K2487" s="12" t="s">
        <v>9993</v>
      </c>
      <c r="L2487" s="13"/>
      <c r="M2487" s="14"/>
      <c r="N2487" s="15"/>
      <c r="O2487" s="5" t="s">
        <v>26</v>
      </c>
      <c r="P2487" s="11" t="s">
        <v>11075</v>
      </c>
      <c r="Q2487" s="15"/>
      <c r="R2487" s="16" t="s">
        <v>723</v>
      </c>
      <c r="S2487" s="15"/>
      <c r="T2487" s="15"/>
      <c r="U2487" s="15"/>
      <c r="V2487" s="15"/>
      <c r="W2487" s="15"/>
      <c r="X2487" s="15"/>
      <c r="Y2487" s="15"/>
      <c r="Z2487" s="15"/>
      <c r="AA2487" s="15"/>
    </row>
    <row r="2488">
      <c r="A2488" s="5" t="s">
        <v>11068</v>
      </c>
      <c r="B2488" s="324" t="s">
        <v>11076</v>
      </c>
      <c r="C2488" s="40" t="s">
        <v>11077</v>
      </c>
      <c r="D2488" s="11"/>
      <c r="E2488" s="11" t="s">
        <v>8962</v>
      </c>
      <c r="F2488" s="90"/>
      <c r="G2488" s="290" t="s">
        <v>11078</v>
      </c>
      <c r="H2488" s="11" t="s">
        <v>985</v>
      </c>
      <c r="I2488" s="276">
        <v>9.749809189E9</v>
      </c>
      <c r="J2488" s="11"/>
      <c r="K2488" s="12" t="s">
        <v>8753</v>
      </c>
      <c r="L2488" s="13"/>
      <c r="M2488" s="14"/>
      <c r="N2488" s="15"/>
      <c r="O2488" s="5" t="s">
        <v>26</v>
      </c>
      <c r="P2488" s="5"/>
      <c r="Q2488" s="15"/>
      <c r="R2488" s="16" t="s">
        <v>28</v>
      </c>
      <c r="S2488" s="15"/>
      <c r="T2488" s="15"/>
      <c r="U2488" s="15"/>
      <c r="V2488" s="15"/>
      <c r="W2488" s="15"/>
      <c r="X2488" s="15"/>
      <c r="Y2488" s="15"/>
      <c r="Z2488" s="15"/>
      <c r="AA2488" s="15"/>
    </row>
    <row r="2489">
      <c r="A2489" s="5" t="s">
        <v>11068</v>
      </c>
      <c r="B2489" s="324" t="s">
        <v>11079</v>
      </c>
      <c r="C2489" s="40" t="s">
        <v>11080</v>
      </c>
      <c r="D2489" s="11"/>
      <c r="E2489" s="11" t="s">
        <v>3729</v>
      </c>
      <c r="F2489" s="90" t="s">
        <v>11081</v>
      </c>
      <c r="G2489" s="290" t="s">
        <v>11082</v>
      </c>
      <c r="H2489" s="11" t="s">
        <v>11083</v>
      </c>
      <c r="I2489" s="276">
        <v>8.75924297E9</v>
      </c>
      <c r="J2489" s="11"/>
      <c r="K2489" s="12" t="s">
        <v>11084</v>
      </c>
      <c r="L2489" s="13"/>
      <c r="M2489" s="14"/>
      <c r="N2489" s="15"/>
      <c r="O2489" s="5" t="s">
        <v>26</v>
      </c>
      <c r="P2489" s="5" t="s">
        <v>11085</v>
      </c>
      <c r="Q2489" s="15"/>
      <c r="R2489" s="16" t="s">
        <v>723</v>
      </c>
      <c r="S2489" s="15"/>
      <c r="T2489" s="15"/>
      <c r="U2489" s="15"/>
      <c r="V2489" s="15"/>
      <c r="W2489" s="15"/>
      <c r="X2489" s="15"/>
      <c r="Y2489" s="15"/>
      <c r="Z2489" s="15"/>
      <c r="AA2489" s="15"/>
    </row>
    <row r="2490">
      <c r="A2490" s="5" t="s">
        <v>11068</v>
      </c>
      <c r="B2490" s="324" t="s">
        <v>11086</v>
      </c>
      <c r="C2490" s="40" t="s">
        <v>11087</v>
      </c>
      <c r="D2490" s="11"/>
      <c r="E2490" s="11" t="s">
        <v>130</v>
      </c>
      <c r="F2490" s="90">
        <v>50.0</v>
      </c>
      <c r="G2490" s="290" t="s">
        <v>11088</v>
      </c>
      <c r="H2490" s="11" t="s">
        <v>11089</v>
      </c>
      <c r="I2490" s="276">
        <v>7.890484109E9</v>
      </c>
      <c r="J2490" s="11"/>
      <c r="K2490" s="12" t="s">
        <v>11090</v>
      </c>
      <c r="L2490" s="13"/>
      <c r="M2490" s="11" t="s">
        <v>9742</v>
      </c>
      <c r="N2490" s="5" t="s">
        <v>11091</v>
      </c>
      <c r="O2490" s="5" t="s">
        <v>26</v>
      </c>
      <c r="P2490" s="286" t="s">
        <v>11092</v>
      </c>
      <c r="Q2490" s="15"/>
      <c r="R2490" s="16" t="s">
        <v>634</v>
      </c>
      <c r="S2490" s="15"/>
      <c r="T2490" s="15"/>
      <c r="U2490" s="15"/>
      <c r="V2490" s="15"/>
      <c r="W2490" s="15"/>
      <c r="X2490" s="15"/>
      <c r="Y2490" s="15"/>
      <c r="Z2490" s="15"/>
      <c r="AA2490" s="15"/>
    </row>
    <row r="2491">
      <c r="A2491" s="5" t="s">
        <v>11068</v>
      </c>
      <c r="B2491" s="324" t="s">
        <v>11093</v>
      </c>
      <c r="C2491" s="40" t="s">
        <v>11094</v>
      </c>
      <c r="D2491" s="11"/>
      <c r="E2491" s="11" t="s">
        <v>1509</v>
      </c>
      <c r="F2491" s="90">
        <v>1000.0</v>
      </c>
      <c r="G2491" s="290" t="s">
        <v>11095</v>
      </c>
      <c r="H2491" s="11" t="s">
        <v>44</v>
      </c>
      <c r="I2491" s="276">
        <v>9.831025551E9</v>
      </c>
      <c r="J2491" s="11"/>
      <c r="K2491" s="12" t="s">
        <v>11096</v>
      </c>
      <c r="L2491" s="13"/>
      <c r="M2491" s="11" t="s">
        <v>9034</v>
      </c>
      <c r="N2491" s="5" t="s">
        <v>11097</v>
      </c>
      <c r="O2491" s="5" t="s">
        <v>26</v>
      </c>
      <c r="P2491" s="11" t="s">
        <v>11098</v>
      </c>
      <c r="Q2491" s="5" t="s">
        <v>11099</v>
      </c>
      <c r="R2491" s="16" t="s">
        <v>634</v>
      </c>
      <c r="S2491" s="15"/>
      <c r="T2491" s="15"/>
      <c r="U2491" s="15"/>
      <c r="V2491" s="15"/>
      <c r="W2491" s="15"/>
      <c r="X2491" s="15"/>
      <c r="Y2491" s="15"/>
      <c r="Z2491" s="15"/>
      <c r="AA2491" s="15"/>
    </row>
    <row r="2492">
      <c r="A2492" s="5" t="s">
        <v>11100</v>
      </c>
      <c r="B2492" s="324" t="s">
        <v>11101</v>
      </c>
      <c r="C2492" s="40" t="s">
        <v>11102</v>
      </c>
      <c r="D2492" s="11"/>
      <c r="E2492" s="11" t="s">
        <v>167</v>
      </c>
      <c r="F2492" s="90">
        <v>500.0</v>
      </c>
      <c r="G2492" s="290" t="s">
        <v>11103</v>
      </c>
      <c r="H2492" s="11" t="s">
        <v>99</v>
      </c>
      <c r="I2492" s="276">
        <v>7.008676231E9</v>
      </c>
      <c r="J2492" s="11"/>
      <c r="K2492" s="12" t="s">
        <v>11104</v>
      </c>
      <c r="L2492" s="13"/>
      <c r="M2492" s="11" t="s">
        <v>8348</v>
      </c>
      <c r="N2492" s="5" t="s">
        <v>11105</v>
      </c>
      <c r="O2492" s="5" t="s">
        <v>26</v>
      </c>
      <c r="P2492" s="284" t="s">
        <v>11106</v>
      </c>
      <c r="Q2492" s="15"/>
      <c r="R2492" s="16" t="s">
        <v>634</v>
      </c>
      <c r="S2492" s="15"/>
      <c r="T2492" s="15"/>
      <c r="U2492" s="15"/>
      <c r="V2492" s="15"/>
      <c r="W2492" s="15"/>
      <c r="X2492" s="15"/>
      <c r="Y2492" s="15"/>
      <c r="Z2492" s="15"/>
      <c r="AA2492" s="15"/>
    </row>
    <row r="2493">
      <c r="A2493" s="5" t="s">
        <v>11100</v>
      </c>
      <c r="B2493" s="324" t="s">
        <v>11107</v>
      </c>
      <c r="C2493" s="62" t="s">
        <v>11108</v>
      </c>
      <c r="D2493" s="11"/>
      <c r="E2493" s="11" t="s">
        <v>189</v>
      </c>
      <c r="F2493" s="9">
        <v>10000.0</v>
      </c>
      <c r="G2493" s="290" t="s">
        <v>11109</v>
      </c>
      <c r="H2493" s="11" t="s">
        <v>11110</v>
      </c>
      <c r="I2493" s="276">
        <v>9.163885804E9</v>
      </c>
      <c r="J2493" s="11" t="s">
        <v>25</v>
      </c>
      <c r="K2493" s="12" t="s">
        <v>10674</v>
      </c>
      <c r="L2493" s="13"/>
      <c r="M2493" s="11" t="s">
        <v>10675</v>
      </c>
      <c r="N2493" s="5" t="s">
        <v>11111</v>
      </c>
      <c r="O2493" s="5" t="s">
        <v>26</v>
      </c>
      <c r="P2493" s="284" t="s">
        <v>11112</v>
      </c>
      <c r="Q2493" s="5" t="s">
        <v>2537</v>
      </c>
      <c r="R2493" s="16" t="s">
        <v>634</v>
      </c>
      <c r="S2493" s="15"/>
      <c r="T2493" s="15"/>
      <c r="U2493" s="15"/>
      <c r="V2493" s="15"/>
      <c r="W2493" s="15"/>
      <c r="X2493" s="15"/>
      <c r="Y2493" s="15"/>
      <c r="Z2493" s="15"/>
      <c r="AA2493" s="15"/>
    </row>
    <row r="2494">
      <c r="A2494" s="5" t="s">
        <v>11100</v>
      </c>
      <c r="B2494" s="324" t="s">
        <v>11113</v>
      </c>
      <c r="C2494" s="40" t="s">
        <v>11114</v>
      </c>
      <c r="D2494" s="11"/>
      <c r="E2494" s="11" t="s">
        <v>7197</v>
      </c>
      <c r="F2494" s="90">
        <v>25000.0</v>
      </c>
      <c r="G2494" s="290" t="s">
        <v>11115</v>
      </c>
      <c r="H2494" s="11" t="s">
        <v>44</v>
      </c>
      <c r="I2494" s="276">
        <v>9.874511186E9</v>
      </c>
      <c r="J2494" s="11"/>
      <c r="K2494" s="12" t="s">
        <v>9039</v>
      </c>
      <c r="L2494" s="13"/>
      <c r="M2494" s="11" t="s">
        <v>9875</v>
      </c>
      <c r="N2494" s="5" t="s">
        <v>11116</v>
      </c>
      <c r="O2494" s="5" t="s">
        <v>26</v>
      </c>
      <c r="P2494" s="284" t="s">
        <v>11117</v>
      </c>
      <c r="Q2494" s="5" t="s">
        <v>11118</v>
      </c>
      <c r="R2494" s="16" t="s">
        <v>723</v>
      </c>
      <c r="S2494" s="15"/>
      <c r="T2494" s="15"/>
      <c r="U2494" s="15"/>
      <c r="V2494" s="15"/>
      <c r="W2494" s="15"/>
      <c r="X2494" s="15"/>
      <c r="Y2494" s="15"/>
      <c r="Z2494" s="15"/>
      <c r="AA2494" s="15"/>
    </row>
    <row r="2495">
      <c r="A2495" s="5" t="s">
        <v>11100</v>
      </c>
      <c r="B2495" s="324" t="s">
        <v>11119</v>
      </c>
      <c r="C2495" s="40" t="s">
        <v>11120</v>
      </c>
      <c r="D2495" s="11"/>
      <c r="E2495" s="11" t="s">
        <v>222</v>
      </c>
      <c r="F2495" s="90">
        <v>500.0</v>
      </c>
      <c r="G2495" s="290" t="s">
        <v>11121</v>
      </c>
      <c r="H2495" s="11" t="s">
        <v>8781</v>
      </c>
      <c r="I2495" s="283" t="s">
        <v>11122</v>
      </c>
      <c r="J2495" s="11" t="s">
        <v>25</v>
      </c>
      <c r="K2495" s="12" t="s">
        <v>11123</v>
      </c>
      <c r="L2495" s="13"/>
      <c r="M2495" s="11" t="s">
        <v>7965</v>
      </c>
      <c r="N2495" s="5" t="s">
        <v>11124</v>
      </c>
      <c r="O2495" s="5" t="s">
        <v>26</v>
      </c>
      <c r="P2495" s="5" t="s">
        <v>453</v>
      </c>
      <c r="Q2495" s="15"/>
      <c r="R2495" s="16" t="s">
        <v>634</v>
      </c>
      <c r="S2495" s="15"/>
      <c r="T2495" s="15"/>
      <c r="U2495" s="15"/>
      <c r="V2495" s="15"/>
      <c r="W2495" s="15"/>
      <c r="X2495" s="15"/>
      <c r="Y2495" s="15"/>
      <c r="Z2495" s="15"/>
      <c r="AA2495" s="15"/>
    </row>
    <row r="2496">
      <c r="A2496" s="5" t="s">
        <v>11100</v>
      </c>
      <c r="B2496" s="324" t="s">
        <v>11125</v>
      </c>
      <c r="C2496" s="40" t="s">
        <v>2920</v>
      </c>
      <c r="D2496" s="11"/>
      <c r="E2496" s="11" t="s">
        <v>11126</v>
      </c>
      <c r="F2496" s="90">
        <v>2000.0</v>
      </c>
      <c r="G2496" s="290" t="s">
        <v>11127</v>
      </c>
      <c r="H2496" s="11" t="s">
        <v>184</v>
      </c>
      <c r="I2496" s="276">
        <v>7.903383411E9</v>
      </c>
      <c r="J2496" s="11"/>
      <c r="K2496" s="12" t="s">
        <v>8753</v>
      </c>
      <c r="L2496" s="13"/>
      <c r="M2496" s="14"/>
      <c r="N2496" s="15"/>
      <c r="O2496" s="5" t="s">
        <v>26</v>
      </c>
      <c r="P2496" s="11" t="s">
        <v>11128</v>
      </c>
      <c r="Q2496" s="15"/>
      <c r="R2496" s="16" t="s">
        <v>28</v>
      </c>
      <c r="S2496" s="15"/>
      <c r="T2496" s="15"/>
      <c r="U2496" s="15"/>
      <c r="V2496" s="15"/>
      <c r="W2496" s="15"/>
      <c r="X2496" s="15"/>
      <c r="Y2496" s="15"/>
      <c r="Z2496" s="15"/>
      <c r="AA2496" s="15"/>
    </row>
    <row r="2497">
      <c r="A2497" s="5" t="s">
        <v>11100</v>
      </c>
      <c r="B2497" s="324" t="s">
        <v>11129</v>
      </c>
      <c r="C2497" s="40" t="s">
        <v>11130</v>
      </c>
      <c r="D2497" s="11"/>
      <c r="E2497" s="11" t="s">
        <v>31</v>
      </c>
      <c r="F2497" s="90"/>
      <c r="G2497" s="290" t="s">
        <v>11131</v>
      </c>
      <c r="H2497" s="11" t="s">
        <v>930</v>
      </c>
      <c r="I2497" s="276">
        <v>8.106906298E9</v>
      </c>
      <c r="J2497" s="11" t="s">
        <v>7109</v>
      </c>
      <c r="K2497" s="12" t="s">
        <v>11132</v>
      </c>
      <c r="L2497" s="13"/>
      <c r="M2497" s="11" t="s">
        <v>7965</v>
      </c>
      <c r="N2497" s="5" t="s">
        <v>11133</v>
      </c>
      <c r="O2497" s="5" t="s">
        <v>108</v>
      </c>
      <c r="P2497" s="15"/>
      <c r="Q2497" s="15"/>
      <c r="R2497" s="16" t="s">
        <v>634</v>
      </c>
      <c r="S2497" s="15"/>
      <c r="T2497" s="15"/>
      <c r="U2497" s="15"/>
      <c r="V2497" s="15"/>
      <c r="W2497" s="15"/>
      <c r="X2497" s="15"/>
      <c r="Y2497" s="15"/>
      <c r="Z2497" s="15"/>
      <c r="AA2497" s="15"/>
    </row>
    <row r="2498">
      <c r="A2498" s="5" t="s">
        <v>11100</v>
      </c>
      <c r="B2498" s="324" t="s">
        <v>11134</v>
      </c>
      <c r="C2498" s="40" t="s">
        <v>11135</v>
      </c>
      <c r="D2498" s="11"/>
      <c r="E2498" s="11" t="s">
        <v>5226</v>
      </c>
      <c r="F2498" s="90" t="s">
        <v>11136</v>
      </c>
      <c r="G2498" s="290" t="s">
        <v>11137</v>
      </c>
      <c r="H2498" s="11" t="s">
        <v>44</v>
      </c>
      <c r="I2498" s="276">
        <v>6.291991823E9</v>
      </c>
      <c r="J2498" s="11"/>
      <c r="K2498" s="12" t="s">
        <v>11138</v>
      </c>
      <c r="L2498" s="13"/>
      <c r="M2498" s="11" t="s">
        <v>11139</v>
      </c>
      <c r="N2498" s="5" t="s">
        <v>11140</v>
      </c>
      <c r="O2498" s="5" t="s">
        <v>26</v>
      </c>
      <c r="P2498" s="5" t="s">
        <v>11141</v>
      </c>
      <c r="Q2498" s="15"/>
      <c r="R2498" s="16" t="s">
        <v>634</v>
      </c>
      <c r="S2498" s="15"/>
      <c r="T2498" s="15"/>
      <c r="U2498" s="15"/>
      <c r="V2498" s="15"/>
      <c r="W2498" s="15"/>
      <c r="X2498" s="15"/>
      <c r="Y2498" s="15"/>
      <c r="Z2498" s="15"/>
      <c r="AA2498" s="15"/>
    </row>
    <row r="2499">
      <c r="A2499" s="5" t="s">
        <v>11100</v>
      </c>
      <c r="B2499" s="324" t="s">
        <v>11142</v>
      </c>
      <c r="C2499" s="40" t="s">
        <v>11143</v>
      </c>
      <c r="D2499" s="11"/>
      <c r="E2499" s="11" t="s">
        <v>3193</v>
      </c>
      <c r="F2499" s="90">
        <v>5000.0</v>
      </c>
      <c r="G2499" s="290" t="s">
        <v>11144</v>
      </c>
      <c r="H2499" s="11" t="s">
        <v>3983</v>
      </c>
      <c r="I2499" s="276">
        <v>9.831672518E9</v>
      </c>
      <c r="J2499" s="11" t="s">
        <v>25</v>
      </c>
      <c r="K2499" s="12" t="s">
        <v>11145</v>
      </c>
      <c r="L2499" s="13"/>
      <c r="M2499" s="14"/>
      <c r="N2499" s="15"/>
      <c r="O2499" s="5" t="s">
        <v>26</v>
      </c>
      <c r="P2499" s="284" t="s">
        <v>11146</v>
      </c>
      <c r="Q2499" s="15"/>
      <c r="R2499" s="16" t="s">
        <v>723</v>
      </c>
      <c r="S2499" s="15"/>
      <c r="T2499" s="15"/>
      <c r="U2499" s="15"/>
      <c r="V2499" s="15"/>
      <c r="W2499" s="15"/>
      <c r="X2499" s="15"/>
      <c r="Y2499" s="15"/>
      <c r="Z2499" s="15"/>
      <c r="AA2499" s="15"/>
    </row>
    <row r="2500">
      <c r="A2500" s="5" t="s">
        <v>11100</v>
      </c>
      <c r="B2500" s="324" t="s">
        <v>11147</v>
      </c>
      <c r="C2500" s="310" t="s">
        <v>11148</v>
      </c>
      <c r="D2500" s="11"/>
      <c r="E2500" s="11" t="s">
        <v>11149</v>
      </c>
      <c r="F2500" s="90">
        <v>2100.0</v>
      </c>
      <c r="G2500" s="321"/>
      <c r="H2500" s="11" t="s">
        <v>44</v>
      </c>
      <c r="I2500" s="276">
        <v>9.330923327E9</v>
      </c>
      <c r="J2500" s="11"/>
      <c r="K2500" s="12" t="s">
        <v>11150</v>
      </c>
      <c r="L2500" s="13"/>
      <c r="M2500" s="14"/>
      <c r="N2500" s="15"/>
      <c r="O2500" s="5" t="s">
        <v>26</v>
      </c>
      <c r="P2500" s="11" t="s">
        <v>11151</v>
      </c>
      <c r="Q2500" s="5" t="s">
        <v>11152</v>
      </c>
      <c r="R2500" s="16" t="s">
        <v>28</v>
      </c>
      <c r="S2500" s="15"/>
      <c r="T2500" s="15"/>
      <c r="U2500" s="15"/>
      <c r="V2500" s="15"/>
      <c r="W2500" s="15"/>
      <c r="X2500" s="15"/>
      <c r="Y2500" s="15"/>
      <c r="Z2500" s="15"/>
      <c r="AA2500" s="15"/>
    </row>
    <row r="2501">
      <c r="A2501" s="5" t="s">
        <v>11100</v>
      </c>
      <c r="B2501" s="324" t="s">
        <v>10928</v>
      </c>
      <c r="C2501" s="336" t="s">
        <v>11153</v>
      </c>
      <c r="D2501" s="11"/>
      <c r="E2501" s="11" t="s">
        <v>4715</v>
      </c>
      <c r="F2501" s="90">
        <v>1000.0</v>
      </c>
      <c r="G2501" s="337" t="s">
        <v>11154</v>
      </c>
      <c r="H2501" s="11" t="s">
        <v>977</v>
      </c>
      <c r="I2501" s="276">
        <v>6.206449844E9</v>
      </c>
      <c r="J2501" s="11"/>
      <c r="K2501" s="12" t="s">
        <v>11155</v>
      </c>
      <c r="L2501" s="13"/>
      <c r="M2501" s="11" t="s">
        <v>11156</v>
      </c>
      <c r="N2501" s="5" t="s">
        <v>11157</v>
      </c>
      <c r="O2501" s="5" t="s">
        <v>26</v>
      </c>
      <c r="P2501" s="5" t="s">
        <v>11158</v>
      </c>
      <c r="Q2501" s="15"/>
      <c r="R2501" s="16" t="s">
        <v>634</v>
      </c>
      <c r="S2501" s="15"/>
      <c r="T2501" s="15"/>
      <c r="U2501" s="15"/>
      <c r="V2501" s="15"/>
      <c r="W2501" s="15"/>
      <c r="X2501" s="15"/>
      <c r="Y2501" s="15"/>
      <c r="Z2501" s="15"/>
      <c r="AA2501" s="15"/>
    </row>
    <row r="2502">
      <c r="A2502" s="5" t="s">
        <v>11100</v>
      </c>
      <c r="B2502" s="324" t="s">
        <v>11159</v>
      </c>
      <c r="C2502" s="40" t="s">
        <v>11160</v>
      </c>
      <c r="D2502" s="11"/>
      <c r="E2502" s="11" t="s">
        <v>9682</v>
      </c>
      <c r="F2502" s="90"/>
      <c r="G2502" s="321"/>
      <c r="H2502" s="11" t="s">
        <v>44</v>
      </c>
      <c r="I2502" s="276">
        <v>6.290476405E9</v>
      </c>
      <c r="J2502" s="11"/>
      <c r="K2502" s="12" t="s">
        <v>11161</v>
      </c>
      <c r="L2502" s="13"/>
      <c r="M2502" s="14"/>
      <c r="N2502" s="15"/>
      <c r="O2502" s="5" t="s">
        <v>26</v>
      </c>
      <c r="P2502" s="5" t="s">
        <v>876</v>
      </c>
      <c r="Q2502" s="15"/>
      <c r="R2502" s="16" t="s">
        <v>723</v>
      </c>
      <c r="S2502" s="15"/>
      <c r="T2502" s="15"/>
      <c r="U2502" s="15"/>
      <c r="V2502" s="15"/>
      <c r="W2502" s="15"/>
      <c r="X2502" s="15"/>
      <c r="Y2502" s="15"/>
      <c r="Z2502" s="15"/>
      <c r="AA2502" s="15"/>
    </row>
    <row r="2503">
      <c r="A2503" s="5" t="s">
        <v>11100</v>
      </c>
      <c r="B2503" s="324" t="s">
        <v>11162</v>
      </c>
      <c r="C2503" s="40" t="s">
        <v>11163</v>
      </c>
      <c r="D2503" s="11"/>
      <c r="E2503" s="11" t="s">
        <v>6760</v>
      </c>
      <c r="F2503" s="90">
        <v>10.0</v>
      </c>
      <c r="G2503" s="290" t="s">
        <v>11164</v>
      </c>
      <c r="H2503" s="11" t="s">
        <v>3051</v>
      </c>
      <c r="I2503" s="276">
        <v>6.200744944E9</v>
      </c>
      <c r="J2503" s="11"/>
      <c r="K2503" s="12" t="s">
        <v>11165</v>
      </c>
      <c r="L2503" s="13"/>
      <c r="M2503" s="14"/>
      <c r="N2503" s="15"/>
      <c r="O2503" s="5" t="s">
        <v>26</v>
      </c>
      <c r="P2503" s="5" t="s">
        <v>11166</v>
      </c>
      <c r="Q2503" s="15"/>
      <c r="R2503" s="16" t="s">
        <v>28</v>
      </c>
      <c r="S2503" s="15"/>
      <c r="T2503" s="15"/>
      <c r="U2503" s="15"/>
      <c r="V2503" s="15"/>
      <c r="W2503" s="15"/>
      <c r="X2503" s="15"/>
      <c r="Y2503" s="15"/>
      <c r="Z2503" s="15"/>
      <c r="AA2503" s="15"/>
    </row>
    <row r="2504">
      <c r="A2504" s="5" t="s">
        <v>11100</v>
      </c>
      <c r="B2504" s="324" t="s">
        <v>11167</v>
      </c>
      <c r="C2504" s="40" t="s">
        <v>11168</v>
      </c>
      <c r="D2504" s="11"/>
      <c r="E2504" s="11" t="s">
        <v>851</v>
      </c>
      <c r="F2504" s="90"/>
      <c r="G2504" s="290" t="s">
        <v>11169</v>
      </c>
      <c r="H2504" s="11" t="s">
        <v>822</v>
      </c>
      <c r="I2504" s="276">
        <v>8.918746005E9</v>
      </c>
      <c r="J2504" s="11"/>
      <c r="K2504" s="12" t="s">
        <v>8753</v>
      </c>
      <c r="L2504" s="13"/>
      <c r="M2504" s="14"/>
      <c r="N2504" s="15"/>
      <c r="O2504" s="5" t="s">
        <v>26</v>
      </c>
      <c r="P2504" s="15"/>
      <c r="Q2504" s="15"/>
      <c r="R2504" s="16" t="s">
        <v>28</v>
      </c>
      <c r="S2504" s="15"/>
      <c r="T2504" s="15"/>
      <c r="U2504" s="15"/>
      <c r="V2504" s="15"/>
      <c r="W2504" s="15"/>
      <c r="X2504" s="15"/>
      <c r="Y2504" s="15"/>
      <c r="Z2504" s="15"/>
      <c r="AA2504" s="15"/>
    </row>
    <row r="2505">
      <c r="A2505" s="5" t="s">
        <v>11100</v>
      </c>
      <c r="B2505" s="338" t="s">
        <v>11170</v>
      </c>
      <c r="C2505" s="40" t="s">
        <v>11171</v>
      </c>
      <c r="D2505" s="11"/>
      <c r="E2505" s="11" t="s">
        <v>11172</v>
      </c>
      <c r="F2505" s="90" t="s">
        <v>11173</v>
      </c>
      <c r="G2505" s="290" t="s">
        <v>11174</v>
      </c>
      <c r="H2505" s="11" t="s">
        <v>11175</v>
      </c>
      <c r="I2505" s="276">
        <v>7.063266286E9</v>
      </c>
      <c r="J2505" s="11"/>
      <c r="K2505" s="12" t="s">
        <v>11176</v>
      </c>
      <c r="L2505" s="13"/>
      <c r="M2505" s="11" t="s">
        <v>11177</v>
      </c>
      <c r="N2505" s="5" t="s">
        <v>11178</v>
      </c>
      <c r="O2505" s="5" t="s">
        <v>26</v>
      </c>
      <c r="P2505" s="5" t="s">
        <v>453</v>
      </c>
      <c r="Q2505" s="15"/>
      <c r="R2505" s="16" t="s">
        <v>634</v>
      </c>
      <c r="S2505" s="15"/>
      <c r="T2505" s="15"/>
      <c r="U2505" s="15"/>
      <c r="V2505" s="15"/>
      <c r="W2505" s="15"/>
      <c r="X2505" s="15"/>
      <c r="Y2505" s="15"/>
      <c r="Z2505" s="15"/>
      <c r="AA2505" s="15"/>
    </row>
    <row r="2506">
      <c r="A2506" s="5" t="s">
        <v>11100</v>
      </c>
      <c r="B2506" s="324" t="s">
        <v>11179</v>
      </c>
      <c r="C2506" s="40" t="s">
        <v>11180</v>
      </c>
      <c r="D2506" s="11"/>
      <c r="E2506" s="11" t="s">
        <v>3391</v>
      </c>
      <c r="F2506" s="90"/>
      <c r="G2506" s="321"/>
      <c r="H2506" s="11" t="s">
        <v>44</v>
      </c>
      <c r="I2506" s="276">
        <v>9.12371933E9</v>
      </c>
      <c r="J2506" s="11"/>
      <c r="K2506" s="12" t="s">
        <v>8753</v>
      </c>
      <c r="L2506" s="13"/>
      <c r="M2506" s="14"/>
      <c r="N2506" s="15"/>
      <c r="O2506" s="5" t="s">
        <v>26</v>
      </c>
      <c r="P2506" s="5" t="s">
        <v>11181</v>
      </c>
      <c r="Q2506" s="15"/>
      <c r="R2506" s="16" t="s">
        <v>723</v>
      </c>
      <c r="S2506" s="15"/>
      <c r="T2506" s="15"/>
      <c r="U2506" s="15"/>
      <c r="V2506" s="15"/>
      <c r="W2506" s="15"/>
      <c r="X2506" s="15"/>
      <c r="Y2506" s="15"/>
      <c r="Z2506" s="15"/>
      <c r="AA2506" s="15"/>
    </row>
    <row r="2507">
      <c r="A2507" s="5" t="s">
        <v>11182</v>
      </c>
      <c r="B2507" s="324" t="s">
        <v>10928</v>
      </c>
      <c r="C2507" s="40" t="s">
        <v>11183</v>
      </c>
      <c r="D2507" s="11"/>
      <c r="E2507" s="11" t="s">
        <v>11184</v>
      </c>
      <c r="F2507" s="9">
        <v>10000.0</v>
      </c>
      <c r="G2507" s="337" t="s">
        <v>11185</v>
      </c>
      <c r="H2507" s="11" t="s">
        <v>11186</v>
      </c>
      <c r="I2507" s="276">
        <v>9.842262736E9</v>
      </c>
      <c r="J2507" s="11"/>
      <c r="K2507" s="12" t="s">
        <v>8753</v>
      </c>
      <c r="L2507" s="13"/>
      <c r="M2507" s="14"/>
      <c r="N2507" s="15"/>
      <c r="O2507" s="5" t="s">
        <v>10708</v>
      </c>
      <c r="P2507" s="15"/>
      <c r="Q2507" s="15"/>
      <c r="R2507" s="16" t="s">
        <v>28</v>
      </c>
      <c r="S2507" s="15"/>
      <c r="T2507" s="15"/>
      <c r="U2507" s="15"/>
      <c r="V2507" s="15"/>
      <c r="W2507" s="15"/>
      <c r="X2507" s="15"/>
      <c r="Y2507" s="15"/>
      <c r="Z2507" s="15"/>
      <c r="AA2507" s="15"/>
    </row>
    <row r="2508">
      <c r="A2508" s="5" t="s">
        <v>11182</v>
      </c>
      <c r="B2508" s="324" t="s">
        <v>11187</v>
      </c>
      <c r="C2508" s="40" t="s">
        <v>11188</v>
      </c>
      <c r="D2508" s="11"/>
      <c r="E2508" s="11" t="s">
        <v>11189</v>
      </c>
      <c r="F2508" s="90"/>
      <c r="G2508" s="290" t="s">
        <v>11190</v>
      </c>
      <c r="H2508" s="11" t="s">
        <v>11191</v>
      </c>
      <c r="I2508" s="276">
        <v>9.815547485E9</v>
      </c>
      <c r="J2508" s="11"/>
      <c r="K2508" s="12" t="s">
        <v>8753</v>
      </c>
      <c r="L2508" s="13"/>
      <c r="M2508" s="14"/>
      <c r="N2508" s="15"/>
      <c r="O2508" s="5" t="s">
        <v>108</v>
      </c>
      <c r="P2508" s="15"/>
      <c r="Q2508" s="15"/>
      <c r="R2508" s="16" t="s">
        <v>28</v>
      </c>
      <c r="S2508" s="15"/>
      <c r="T2508" s="15"/>
      <c r="U2508" s="15"/>
      <c r="V2508" s="15"/>
      <c r="W2508" s="15"/>
      <c r="X2508" s="15"/>
      <c r="Y2508" s="15"/>
      <c r="Z2508" s="15"/>
      <c r="AA2508" s="15"/>
    </row>
    <row r="2509">
      <c r="A2509" s="5" t="s">
        <v>11182</v>
      </c>
      <c r="B2509" s="324" t="s">
        <v>11192</v>
      </c>
      <c r="C2509" s="40" t="s">
        <v>11193</v>
      </c>
      <c r="D2509" s="11"/>
      <c r="E2509" s="11" t="s">
        <v>130</v>
      </c>
      <c r="F2509" s="90" t="s">
        <v>11194</v>
      </c>
      <c r="G2509" s="290" t="s">
        <v>11195</v>
      </c>
      <c r="H2509" s="11" t="s">
        <v>8781</v>
      </c>
      <c r="I2509" s="276">
        <v>9.874356707E9</v>
      </c>
      <c r="J2509" s="11"/>
      <c r="K2509" s="12" t="s">
        <v>11090</v>
      </c>
      <c r="L2509" s="13"/>
      <c r="M2509" s="11" t="s">
        <v>9742</v>
      </c>
      <c r="N2509" s="5" t="s">
        <v>11196</v>
      </c>
      <c r="O2509" s="5" t="s">
        <v>26</v>
      </c>
      <c r="P2509" s="286" t="s">
        <v>11197</v>
      </c>
      <c r="Q2509" s="15"/>
      <c r="R2509" s="16" t="s">
        <v>723</v>
      </c>
      <c r="S2509" s="15"/>
      <c r="T2509" s="15"/>
      <c r="U2509" s="15"/>
      <c r="V2509" s="15"/>
      <c r="W2509" s="15"/>
      <c r="X2509" s="15"/>
      <c r="Y2509" s="15"/>
      <c r="Z2509" s="15"/>
      <c r="AA2509" s="15"/>
    </row>
    <row r="2510">
      <c r="A2510" s="5" t="s">
        <v>11182</v>
      </c>
      <c r="B2510" s="324" t="s">
        <v>11198</v>
      </c>
      <c r="C2510" s="40" t="s">
        <v>11199</v>
      </c>
      <c r="D2510" s="11"/>
      <c r="E2510" s="11" t="s">
        <v>178</v>
      </c>
      <c r="F2510" s="9">
        <v>100000.0</v>
      </c>
      <c r="G2510" s="290" t="s">
        <v>11200</v>
      </c>
      <c r="H2510" s="11" t="s">
        <v>44</v>
      </c>
      <c r="I2510" s="276">
        <v>9.062463791E9</v>
      </c>
      <c r="J2510" s="11"/>
      <c r="K2510" s="12" t="s">
        <v>11201</v>
      </c>
      <c r="L2510" s="13"/>
      <c r="M2510" s="11" t="s">
        <v>11202</v>
      </c>
      <c r="N2510" s="5" t="s">
        <v>11203</v>
      </c>
      <c r="O2510" s="5" t="s">
        <v>26</v>
      </c>
      <c r="P2510" s="284" t="s">
        <v>11204</v>
      </c>
      <c r="Q2510" s="15"/>
      <c r="R2510" s="16" t="s">
        <v>634</v>
      </c>
      <c r="S2510" s="15"/>
      <c r="T2510" s="15"/>
      <c r="U2510" s="15"/>
      <c r="V2510" s="15"/>
      <c r="W2510" s="15"/>
      <c r="X2510" s="15"/>
      <c r="Y2510" s="15"/>
      <c r="Z2510" s="15"/>
      <c r="AA2510" s="15"/>
    </row>
    <row r="2511">
      <c r="A2511" s="5" t="s">
        <v>11182</v>
      </c>
      <c r="B2511" s="324" t="s">
        <v>11205</v>
      </c>
      <c r="C2511" s="40" t="s">
        <v>11206</v>
      </c>
      <c r="D2511" s="11"/>
      <c r="E2511" s="11" t="s">
        <v>7371</v>
      </c>
      <c r="F2511" s="9">
        <v>10000.0</v>
      </c>
      <c r="G2511" s="290" t="s">
        <v>11207</v>
      </c>
      <c r="H2511" s="11" t="s">
        <v>5671</v>
      </c>
      <c r="I2511" s="276">
        <v>9.825567754E9</v>
      </c>
      <c r="J2511" s="11" t="s">
        <v>7109</v>
      </c>
      <c r="K2511" s="12" t="s">
        <v>8753</v>
      </c>
      <c r="L2511" s="13"/>
      <c r="M2511" s="11" t="s">
        <v>11208</v>
      </c>
      <c r="N2511" s="15"/>
      <c r="O2511" s="5" t="s">
        <v>108</v>
      </c>
      <c r="P2511" s="5" t="s">
        <v>11209</v>
      </c>
      <c r="Q2511" s="15"/>
      <c r="R2511" s="16" t="s">
        <v>28</v>
      </c>
      <c r="S2511" s="15"/>
      <c r="T2511" s="15"/>
      <c r="U2511" s="15"/>
      <c r="V2511" s="15"/>
      <c r="W2511" s="15"/>
      <c r="X2511" s="15"/>
      <c r="Y2511" s="15"/>
      <c r="Z2511" s="15"/>
      <c r="AA2511" s="15"/>
    </row>
    <row r="2512">
      <c r="A2512" s="5" t="s">
        <v>11182</v>
      </c>
      <c r="B2512" s="324" t="s">
        <v>11210</v>
      </c>
      <c r="C2512" s="40" t="s">
        <v>11211</v>
      </c>
      <c r="D2512" s="11"/>
      <c r="E2512" s="11" t="s">
        <v>1509</v>
      </c>
      <c r="F2512" s="90"/>
      <c r="G2512" s="321"/>
      <c r="H2512" s="11" t="s">
        <v>11212</v>
      </c>
      <c r="I2512" s="276">
        <v>7.355641935E9</v>
      </c>
      <c r="J2512" s="11"/>
      <c r="K2512" s="12" t="s">
        <v>8753</v>
      </c>
      <c r="L2512" s="13"/>
      <c r="M2512" s="11" t="s">
        <v>11213</v>
      </c>
      <c r="N2512" s="15"/>
      <c r="O2512" s="5" t="s">
        <v>108</v>
      </c>
      <c r="P2512" s="15"/>
      <c r="Q2512" s="15"/>
      <c r="R2512" s="16" t="s">
        <v>28</v>
      </c>
      <c r="S2512" s="15"/>
      <c r="T2512" s="15"/>
      <c r="U2512" s="15"/>
      <c r="V2512" s="15"/>
      <c r="W2512" s="15"/>
      <c r="X2512" s="15"/>
      <c r="Y2512" s="15"/>
      <c r="Z2512" s="15"/>
      <c r="AA2512" s="15"/>
    </row>
    <row r="2513">
      <c r="A2513" s="5" t="s">
        <v>11182</v>
      </c>
      <c r="B2513" s="324" t="s">
        <v>11214</v>
      </c>
      <c r="C2513" s="40" t="s">
        <v>11215</v>
      </c>
      <c r="D2513" s="11"/>
      <c r="E2513" s="11" t="s">
        <v>130</v>
      </c>
      <c r="F2513" s="9">
        <v>1351000.0</v>
      </c>
      <c r="G2513" s="321"/>
      <c r="H2513" s="11" t="s">
        <v>44</v>
      </c>
      <c r="I2513" s="276">
        <v>9.836045252E9</v>
      </c>
      <c r="J2513" s="11" t="s">
        <v>25</v>
      </c>
      <c r="K2513" s="12" t="s">
        <v>9039</v>
      </c>
      <c r="L2513" s="13"/>
      <c r="M2513" s="11" t="s">
        <v>9875</v>
      </c>
      <c r="N2513" s="5" t="s">
        <v>11216</v>
      </c>
      <c r="O2513" s="5" t="s">
        <v>26</v>
      </c>
      <c r="P2513" s="5" t="s">
        <v>11217</v>
      </c>
      <c r="Q2513" s="5" t="s">
        <v>11218</v>
      </c>
      <c r="R2513" s="16" t="s">
        <v>723</v>
      </c>
      <c r="S2513" s="15"/>
      <c r="T2513" s="15"/>
      <c r="U2513" s="15"/>
      <c r="V2513" s="15"/>
      <c r="W2513" s="15"/>
      <c r="X2513" s="15"/>
      <c r="Y2513" s="15"/>
      <c r="Z2513" s="15"/>
      <c r="AA2513" s="15"/>
    </row>
    <row r="2514">
      <c r="A2514" s="5" t="s">
        <v>11219</v>
      </c>
      <c r="B2514" s="324" t="s">
        <v>11220</v>
      </c>
      <c r="C2514" s="40" t="s">
        <v>11221</v>
      </c>
      <c r="D2514" s="11"/>
      <c r="E2514" s="11" t="s">
        <v>11222</v>
      </c>
      <c r="F2514" s="90" t="s">
        <v>723</v>
      </c>
      <c r="G2514" s="290" t="s">
        <v>11223</v>
      </c>
      <c r="H2514" s="11" t="s">
        <v>472</v>
      </c>
      <c r="I2514" s="276">
        <v>9.434389074E9</v>
      </c>
      <c r="J2514" s="11"/>
      <c r="K2514" s="12" t="s">
        <v>8753</v>
      </c>
      <c r="L2514" s="13"/>
      <c r="M2514" s="14"/>
      <c r="N2514" s="15"/>
      <c r="O2514" s="5" t="s">
        <v>26</v>
      </c>
      <c r="P2514" s="5" t="s">
        <v>11224</v>
      </c>
      <c r="Q2514" s="15"/>
      <c r="R2514" s="16" t="s">
        <v>723</v>
      </c>
      <c r="S2514" s="15"/>
      <c r="T2514" s="15"/>
      <c r="U2514" s="15"/>
      <c r="V2514" s="15"/>
      <c r="W2514" s="15"/>
      <c r="X2514" s="15"/>
      <c r="Y2514" s="15"/>
      <c r="Z2514" s="15"/>
      <c r="AA2514" s="15"/>
    </row>
    <row r="2515">
      <c r="A2515" s="5" t="s">
        <v>11219</v>
      </c>
      <c r="B2515" s="324" t="s">
        <v>11225</v>
      </c>
      <c r="C2515" s="40" t="s">
        <v>11226</v>
      </c>
      <c r="D2515" s="11"/>
      <c r="E2515" s="11" t="s">
        <v>11227</v>
      </c>
      <c r="F2515" s="90">
        <v>1000.0</v>
      </c>
      <c r="G2515" s="290" t="s">
        <v>11228</v>
      </c>
      <c r="H2515" s="11" t="s">
        <v>44</v>
      </c>
      <c r="I2515" s="276">
        <v>8.7770875E9</v>
      </c>
      <c r="J2515" s="11" t="s">
        <v>25</v>
      </c>
      <c r="K2515" s="12" t="s">
        <v>11138</v>
      </c>
      <c r="L2515" s="13"/>
      <c r="M2515" s="11" t="s">
        <v>11139</v>
      </c>
      <c r="N2515" s="5" t="s">
        <v>11229</v>
      </c>
      <c r="O2515" s="5" t="s">
        <v>26</v>
      </c>
      <c r="P2515" s="5" t="s">
        <v>11181</v>
      </c>
      <c r="Q2515" s="15"/>
      <c r="R2515" s="16" t="s">
        <v>723</v>
      </c>
      <c r="S2515" s="15"/>
      <c r="T2515" s="15"/>
      <c r="U2515" s="15"/>
      <c r="V2515" s="15"/>
      <c r="W2515" s="15"/>
      <c r="X2515" s="15"/>
      <c r="Y2515" s="15"/>
      <c r="Z2515" s="15"/>
      <c r="AA2515" s="15"/>
    </row>
    <row r="2516">
      <c r="A2516" s="5" t="s">
        <v>11219</v>
      </c>
      <c r="B2516" s="324" t="s">
        <v>11230</v>
      </c>
      <c r="C2516" s="40" t="s">
        <v>11231</v>
      </c>
      <c r="D2516" s="11"/>
      <c r="E2516" s="11" t="s">
        <v>11232</v>
      </c>
      <c r="F2516" s="90" t="s">
        <v>11233</v>
      </c>
      <c r="G2516" s="337" t="s">
        <v>11234</v>
      </c>
      <c r="H2516" s="11" t="s">
        <v>44</v>
      </c>
      <c r="I2516" s="276">
        <v>9.284470951E9</v>
      </c>
      <c r="J2516" s="11"/>
      <c r="K2516" s="12" t="s">
        <v>11235</v>
      </c>
      <c r="L2516" s="13"/>
      <c r="M2516" s="333" t="s">
        <v>11236</v>
      </c>
      <c r="N2516" s="5" t="s">
        <v>11237</v>
      </c>
      <c r="O2516" s="5" t="s">
        <v>108</v>
      </c>
      <c r="P2516" s="5" t="s">
        <v>11238</v>
      </c>
      <c r="Q2516" s="15"/>
      <c r="R2516" s="16" t="s">
        <v>634</v>
      </c>
      <c r="S2516" s="15"/>
      <c r="T2516" s="15"/>
      <c r="U2516" s="15"/>
      <c r="V2516" s="15"/>
      <c r="W2516" s="15"/>
      <c r="X2516" s="15"/>
      <c r="Y2516" s="15"/>
      <c r="Z2516" s="15"/>
      <c r="AA2516" s="15"/>
    </row>
    <row r="2517">
      <c r="A2517" s="5" t="s">
        <v>11219</v>
      </c>
      <c r="B2517" s="324" t="s">
        <v>11239</v>
      </c>
      <c r="C2517" s="62" t="s">
        <v>11240</v>
      </c>
      <c r="D2517" s="11"/>
      <c r="E2517" s="11" t="s">
        <v>130</v>
      </c>
      <c r="F2517" s="9">
        <v>20000.0</v>
      </c>
      <c r="G2517" s="290" t="s">
        <v>11241</v>
      </c>
      <c r="H2517" s="11" t="s">
        <v>44</v>
      </c>
      <c r="I2517" s="276">
        <v>9.88326723E9</v>
      </c>
      <c r="J2517" s="11" t="s">
        <v>25</v>
      </c>
      <c r="K2517" s="12" t="s">
        <v>8528</v>
      </c>
      <c r="L2517" s="13"/>
      <c r="M2517" s="11" t="s">
        <v>10171</v>
      </c>
      <c r="N2517" s="5" t="s">
        <v>11242</v>
      </c>
      <c r="O2517" s="5" t="s">
        <v>26</v>
      </c>
      <c r="P2517" s="286" t="s">
        <v>11243</v>
      </c>
      <c r="Q2517" s="15"/>
      <c r="R2517" s="16" t="s">
        <v>634</v>
      </c>
      <c r="S2517" s="15"/>
      <c r="T2517" s="15"/>
      <c r="U2517" s="15"/>
      <c r="V2517" s="15"/>
      <c r="W2517" s="15"/>
      <c r="X2517" s="15"/>
      <c r="Y2517" s="15"/>
      <c r="Z2517" s="15"/>
      <c r="AA2517" s="15"/>
    </row>
    <row r="2518">
      <c r="A2518" s="5" t="s">
        <v>11219</v>
      </c>
      <c r="B2518" s="324" t="s">
        <v>11244</v>
      </c>
      <c r="C2518" s="62" t="s">
        <v>11245</v>
      </c>
      <c r="D2518" s="11"/>
      <c r="E2518" s="11" t="s">
        <v>1520</v>
      </c>
      <c r="F2518" s="90">
        <v>200.0</v>
      </c>
      <c r="G2518" s="290" t="s">
        <v>11246</v>
      </c>
      <c r="H2518" s="11" t="s">
        <v>11247</v>
      </c>
      <c r="I2518" s="276">
        <v>9.63534801E9</v>
      </c>
      <c r="J2518" s="11" t="s">
        <v>25</v>
      </c>
      <c r="K2518" s="12" t="s">
        <v>11248</v>
      </c>
      <c r="L2518" s="13"/>
      <c r="M2518" s="11" t="s">
        <v>7718</v>
      </c>
      <c r="N2518" s="5" t="s">
        <v>11249</v>
      </c>
      <c r="O2518" s="5" t="s">
        <v>10708</v>
      </c>
      <c r="P2518" s="5" t="s">
        <v>11250</v>
      </c>
      <c r="Q2518" s="5" t="s">
        <v>11251</v>
      </c>
      <c r="R2518" s="16" t="s">
        <v>634</v>
      </c>
      <c r="S2518" s="15"/>
      <c r="T2518" s="15"/>
      <c r="U2518" s="15"/>
      <c r="V2518" s="15"/>
      <c r="W2518" s="15"/>
      <c r="X2518" s="15"/>
      <c r="Y2518" s="15"/>
      <c r="Z2518" s="15"/>
      <c r="AA2518" s="15"/>
    </row>
    <row r="2519">
      <c r="A2519" s="5" t="s">
        <v>11219</v>
      </c>
      <c r="B2519" s="324" t="s">
        <v>11252</v>
      </c>
      <c r="C2519" s="40" t="s">
        <v>11253</v>
      </c>
      <c r="D2519" s="11"/>
      <c r="E2519" s="11" t="s">
        <v>11254</v>
      </c>
      <c r="F2519" s="90"/>
      <c r="G2519" s="290" t="s">
        <v>11255</v>
      </c>
      <c r="H2519" s="11" t="s">
        <v>131</v>
      </c>
      <c r="I2519" s="276">
        <v>6.900479999E9</v>
      </c>
      <c r="J2519" s="11"/>
      <c r="K2519" s="12" t="s">
        <v>11256</v>
      </c>
      <c r="L2519" s="13"/>
      <c r="M2519" s="14"/>
      <c r="N2519" s="15"/>
      <c r="O2519" s="5" t="s">
        <v>26</v>
      </c>
      <c r="P2519" s="5" t="s">
        <v>1619</v>
      </c>
      <c r="Q2519" s="15"/>
      <c r="R2519" s="16" t="s">
        <v>28</v>
      </c>
      <c r="S2519" s="15"/>
      <c r="T2519" s="15"/>
      <c r="U2519" s="15"/>
      <c r="V2519" s="15"/>
      <c r="W2519" s="15"/>
      <c r="X2519" s="15"/>
      <c r="Y2519" s="15"/>
      <c r="Z2519" s="15"/>
      <c r="AA2519" s="15"/>
    </row>
    <row r="2520">
      <c r="A2520" s="5" t="s">
        <v>11219</v>
      </c>
      <c r="B2520" s="324" t="s">
        <v>11257</v>
      </c>
      <c r="C2520" s="40" t="s">
        <v>11258</v>
      </c>
      <c r="D2520" s="11"/>
      <c r="E2520" s="11" t="s">
        <v>11259</v>
      </c>
      <c r="F2520" s="90">
        <v>3000.0</v>
      </c>
      <c r="G2520" s="290" t="s">
        <v>11260</v>
      </c>
      <c r="H2520" s="11" t="s">
        <v>3051</v>
      </c>
      <c r="I2520" s="276">
        <v>9.905355655E9</v>
      </c>
      <c r="J2520" s="11" t="s">
        <v>25</v>
      </c>
      <c r="K2520" s="12" t="s">
        <v>11261</v>
      </c>
      <c r="L2520" s="13"/>
      <c r="M2520" s="11" t="s">
        <v>11262</v>
      </c>
      <c r="N2520" s="5" t="s">
        <v>11263</v>
      </c>
      <c r="O2520" s="5" t="s">
        <v>26</v>
      </c>
      <c r="P2520" s="5" t="s">
        <v>2891</v>
      </c>
      <c r="Q2520" s="5" t="s">
        <v>2891</v>
      </c>
      <c r="R2520" s="16" t="s">
        <v>634</v>
      </c>
      <c r="S2520" s="15"/>
      <c r="T2520" s="15"/>
      <c r="U2520" s="15"/>
      <c r="V2520" s="15"/>
      <c r="W2520" s="15"/>
      <c r="X2520" s="15"/>
      <c r="Y2520" s="15"/>
      <c r="Z2520" s="15"/>
      <c r="AA2520" s="15"/>
    </row>
    <row r="2521">
      <c r="A2521" s="5" t="s">
        <v>11219</v>
      </c>
      <c r="B2521" s="324" t="s">
        <v>11264</v>
      </c>
      <c r="C2521" s="40" t="s">
        <v>11265</v>
      </c>
      <c r="D2521" s="11"/>
      <c r="E2521" s="11" t="s">
        <v>7315</v>
      </c>
      <c r="F2521" s="9">
        <v>2000000.0</v>
      </c>
      <c r="G2521" s="290" t="s">
        <v>11266</v>
      </c>
      <c r="H2521" s="11" t="s">
        <v>11267</v>
      </c>
      <c r="I2521" s="276">
        <v>7.044531951E9</v>
      </c>
      <c r="J2521" s="11" t="s">
        <v>25</v>
      </c>
      <c r="K2521" s="12" t="s">
        <v>8753</v>
      </c>
      <c r="L2521" s="13"/>
      <c r="M2521" s="14"/>
      <c r="N2521" s="15"/>
      <c r="O2521" s="5" t="s">
        <v>26</v>
      </c>
      <c r="P2521" s="15"/>
      <c r="Q2521" s="15"/>
      <c r="R2521" s="16" t="s">
        <v>28</v>
      </c>
      <c r="S2521" s="15"/>
      <c r="T2521" s="15"/>
      <c r="U2521" s="15"/>
      <c r="V2521" s="15"/>
      <c r="W2521" s="15"/>
      <c r="X2521" s="15"/>
      <c r="Y2521" s="15"/>
      <c r="Z2521" s="15"/>
      <c r="AA2521" s="15"/>
    </row>
    <row r="2522">
      <c r="A2522" s="5" t="s">
        <v>11219</v>
      </c>
      <c r="B2522" s="324" t="s">
        <v>11268</v>
      </c>
      <c r="C2522" s="40" t="s">
        <v>11269</v>
      </c>
      <c r="D2522" s="11"/>
      <c r="E2522" s="11" t="s">
        <v>6291</v>
      </c>
      <c r="F2522" s="90"/>
      <c r="G2522" s="290" t="s">
        <v>11270</v>
      </c>
      <c r="H2522" s="11" t="s">
        <v>3122</v>
      </c>
      <c r="I2522" s="276">
        <v>7.044384936E9</v>
      </c>
      <c r="J2522" s="11"/>
      <c r="K2522" s="12" t="s">
        <v>8753</v>
      </c>
      <c r="L2522" s="13"/>
      <c r="M2522" s="14"/>
      <c r="N2522" s="15"/>
      <c r="O2522" s="5" t="s">
        <v>26</v>
      </c>
      <c r="P2522" s="15"/>
      <c r="Q2522" s="15"/>
      <c r="R2522" s="16" t="s">
        <v>28</v>
      </c>
      <c r="S2522" s="15"/>
      <c r="T2522" s="15"/>
      <c r="U2522" s="15"/>
      <c r="V2522" s="15"/>
      <c r="W2522" s="15"/>
      <c r="X2522" s="15"/>
      <c r="Y2522" s="15"/>
      <c r="Z2522" s="15"/>
      <c r="AA2522" s="15"/>
    </row>
    <row r="2523">
      <c r="A2523" s="5" t="s">
        <v>11219</v>
      </c>
      <c r="B2523" s="324" t="s">
        <v>11271</v>
      </c>
      <c r="C2523" s="40" t="s">
        <v>11272</v>
      </c>
      <c r="D2523" s="11"/>
      <c r="E2523" s="11" t="s">
        <v>213</v>
      </c>
      <c r="F2523" s="90"/>
      <c r="G2523" s="290" t="s">
        <v>11273</v>
      </c>
      <c r="H2523" s="11" t="s">
        <v>184</v>
      </c>
      <c r="I2523" s="276">
        <v>8.271619006E9</v>
      </c>
      <c r="J2523" s="11"/>
      <c r="K2523" s="12" t="s">
        <v>11274</v>
      </c>
      <c r="L2523" s="13"/>
      <c r="M2523" s="11" t="s">
        <v>9742</v>
      </c>
      <c r="N2523" s="5" t="s">
        <v>11275</v>
      </c>
      <c r="O2523" s="5" t="s">
        <v>26</v>
      </c>
      <c r="P2523" s="5" t="s">
        <v>11276</v>
      </c>
      <c r="Q2523" s="15"/>
      <c r="R2523" s="16" t="s">
        <v>723</v>
      </c>
      <c r="S2523" s="15"/>
      <c r="T2523" s="15"/>
      <c r="U2523" s="15"/>
      <c r="V2523" s="15"/>
      <c r="W2523" s="15"/>
      <c r="X2523" s="15"/>
      <c r="Y2523" s="15"/>
      <c r="Z2523" s="15"/>
      <c r="AA2523" s="15"/>
    </row>
    <row r="2524">
      <c r="A2524" s="339" t="s">
        <v>11219</v>
      </c>
      <c r="B2524" s="340" t="s">
        <v>11277</v>
      </c>
      <c r="C2524" s="341" t="s">
        <v>11278</v>
      </c>
      <c r="D2524" s="341"/>
      <c r="E2524" s="341" t="s">
        <v>11279</v>
      </c>
      <c r="F2524" s="342"/>
      <c r="G2524" s="343" t="s">
        <v>11280</v>
      </c>
      <c r="H2524" s="341" t="s">
        <v>467</v>
      </c>
      <c r="I2524" s="344">
        <v>8.700007241E9</v>
      </c>
      <c r="J2524" s="341"/>
      <c r="K2524" s="345" t="s">
        <v>8753</v>
      </c>
      <c r="L2524" s="346"/>
      <c r="M2524" s="347"/>
      <c r="N2524" s="348"/>
      <c r="O2524" s="339" t="s">
        <v>108</v>
      </c>
      <c r="P2524" s="339" t="s">
        <v>11281</v>
      </c>
      <c r="Q2524" s="348"/>
      <c r="R2524" s="349" t="s">
        <v>28</v>
      </c>
      <c r="S2524" s="348"/>
      <c r="T2524" s="15"/>
      <c r="U2524" s="15"/>
      <c r="V2524" s="15"/>
      <c r="W2524" s="15"/>
      <c r="X2524" s="15"/>
      <c r="Y2524" s="15"/>
      <c r="Z2524" s="15"/>
      <c r="AA2524" s="15"/>
    </row>
    <row r="2525">
      <c r="A2525" s="5" t="s">
        <v>11219</v>
      </c>
      <c r="B2525" s="324" t="s">
        <v>11282</v>
      </c>
      <c r="C2525" s="62" t="s">
        <v>11283</v>
      </c>
      <c r="D2525" s="11"/>
      <c r="E2525" s="11" t="s">
        <v>11284</v>
      </c>
      <c r="F2525" s="90"/>
      <c r="G2525" s="290" t="s">
        <v>11285</v>
      </c>
      <c r="H2525" s="11" t="s">
        <v>519</v>
      </c>
      <c r="I2525" s="276">
        <v>6.355056706E9</v>
      </c>
      <c r="J2525" s="11"/>
      <c r="K2525" s="12" t="s">
        <v>8753</v>
      </c>
      <c r="L2525" s="13"/>
      <c r="M2525" s="14"/>
      <c r="N2525" s="15"/>
      <c r="O2525" s="5" t="s">
        <v>108</v>
      </c>
      <c r="P2525" s="15"/>
      <c r="Q2525" s="15"/>
      <c r="R2525" s="16" t="s">
        <v>28</v>
      </c>
      <c r="S2525" s="15"/>
      <c r="T2525" s="15"/>
      <c r="U2525" s="15"/>
      <c r="V2525" s="15"/>
      <c r="W2525" s="15"/>
      <c r="X2525" s="15"/>
      <c r="Y2525" s="15"/>
      <c r="Z2525" s="15"/>
      <c r="AA2525" s="15"/>
    </row>
    <row r="2526">
      <c r="A2526" s="5" t="s">
        <v>11219</v>
      </c>
      <c r="B2526" s="324" t="s">
        <v>11286</v>
      </c>
      <c r="C2526" s="62" t="s">
        <v>11287</v>
      </c>
      <c r="D2526" s="11"/>
      <c r="E2526" s="11" t="s">
        <v>189</v>
      </c>
      <c r="F2526" s="90">
        <v>16.0</v>
      </c>
      <c r="G2526" s="290" t="s">
        <v>11288</v>
      </c>
      <c r="H2526" s="11" t="s">
        <v>11289</v>
      </c>
      <c r="I2526" s="276">
        <v>8.768586712E9</v>
      </c>
      <c r="J2526" s="11" t="s">
        <v>25</v>
      </c>
      <c r="K2526" s="12" t="s">
        <v>11145</v>
      </c>
      <c r="L2526" s="13"/>
      <c r="M2526" s="14"/>
      <c r="N2526" s="15"/>
      <c r="O2526" s="5" t="s">
        <v>26</v>
      </c>
      <c r="P2526" s="11" t="s">
        <v>11290</v>
      </c>
      <c r="Q2526" s="15"/>
      <c r="R2526" s="16" t="s">
        <v>723</v>
      </c>
      <c r="S2526" s="15"/>
      <c r="T2526" s="15"/>
      <c r="U2526" s="15"/>
      <c r="V2526" s="15"/>
      <c r="W2526" s="15"/>
      <c r="X2526" s="15"/>
      <c r="Y2526" s="15"/>
      <c r="Z2526" s="15"/>
      <c r="AA2526" s="15"/>
    </row>
    <row r="2527">
      <c r="A2527" s="5" t="s">
        <v>11219</v>
      </c>
      <c r="B2527" s="324" t="s">
        <v>11291</v>
      </c>
      <c r="C2527" s="40" t="s">
        <v>11292</v>
      </c>
      <c r="D2527" s="11"/>
      <c r="E2527" s="11" t="s">
        <v>11293</v>
      </c>
      <c r="F2527" s="90"/>
      <c r="G2527" s="290" t="s">
        <v>11294</v>
      </c>
      <c r="H2527" s="11" t="s">
        <v>977</v>
      </c>
      <c r="I2527" s="276">
        <v>9.95530724E9</v>
      </c>
      <c r="J2527" s="11"/>
      <c r="K2527" s="12" t="s">
        <v>8677</v>
      </c>
      <c r="L2527" s="13"/>
      <c r="M2527" s="14"/>
      <c r="N2527" s="15"/>
      <c r="O2527" s="5" t="s">
        <v>26</v>
      </c>
      <c r="P2527" s="15"/>
      <c r="Q2527" s="15"/>
      <c r="R2527" s="16" t="s">
        <v>28</v>
      </c>
      <c r="S2527" s="15"/>
      <c r="T2527" s="15"/>
      <c r="U2527" s="15"/>
      <c r="V2527" s="15"/>
      <c r="W2527" s="15"/>
      <c r="X2527" s="15"/>
      <c r="Y2527" s="15"/>
      <c r="Z2527" s="15"/>
      <c r="AA2527" s="15"/>
    </row>
    <row r="2528">
      <c r="A2528" s="5" t="s">
        <v>11295</v>
      </c>
      <c r="B2528" s="324" t="s">
        <v>11296</v>
      </c>
      <c r="C2528" s="40" t="s">
        <v>11297</v>
      </c>
      <c r="D2528" s="11"/>
      <c r="E2528" s="11" t="s">
        <v>189</v>
      </c>
      <c r="F2528" s="90"/>
      <c r="G2528" s="290" t="s">
        <v>11298</v>
      </c>
      <c r="H2528" s="11" t="s">
        <v>977</v>
      </c>
      <c r="I2528" s="276">
        <v>7.979966703E9</v>
      </c>
      <c r="J2528" s="11"/>
      <c r="K2528" s="12" t="s">
        <v>11299</v>
      </c>
      <c r="L2528" s="13"/>
      <c r="M2528" s="11" t="s">
        <v>9034</v>
      </c>
      <c r="N2528" s="5" t="s">
        <v>11300</v>
      </c>
      <c r="O2528" s="5" t="s">
        <v>26</v>
      </c>
      <c r="P2528" s="284" t="s">
        <v>11301</v>
      </c>
      <c r="Q2528" s="15"/>
      <c r="R2528" s="16" t="s">
        <v>723</v>
      </c>
      <c r="S2528" s="15"/>
      <c r="T2528" s="15"/>
      <c r="U2528" s="15"/>
      <c r="V2528" s="15"/>
      <c r="W2528" s="15"/>
      <c r="X2528" s="15"/>
      <c r="Y2528" s="15"/>
      <c r="Z2528" s="15"/>
      <c r="AA2528" s="15"/>
    </row>
    <row r="2529">
      <c r="A2529" s="5" t="s">
        <v>11295</v>
      </c>
      <c r="B2529" s="324" t="s">
        <v>11302</v>
      </c>
      <c r="C2529" s="40" t="s">
        <v>11303</v>
      </c>
      <c r="D2529" s="11"/>
      <c r="E2529" s="11" t="s">
        <v>106</v>
      </c>
      <c r="F2529" s="90"/>
      <c r="G2529" s="290" t="s">
        <v>11304</v>
      </c>
      <c r="H2529" s="11" t="s">
        <v>49</v>
      </c>
      <c r="I2529" s="276">
        <v>9.73558861E9</v>
      </c>
      <c r="J2529" s="11"/>
      <c r="K2529" s="12" t="s">
        <v>9599</v>
      </c>
      <c r="L2529" s="13"/>
      <c r="M2529" s="11" t="s">
        <v>8860</v>
      </c>
      <c r="N2529" s="5" t="s">
        <v>11305</v>
      </c>
      <c r="O2529" s="5" t="s">
        <v>26</v>
      </c>
      <c r="P2529" s="5" t="s">
        <v>2537</v>
      </c>
      <c r="Q2529" s="284" t="s">
        <v>11306</v>
      </c>
      <c r="R2529" s="16" t="s">
        <v>634</v>
      </c>
      <c r="S2529" s="15"/>
      <c r="T2529" s="15"/>
      <c r="U2529" s="15"/>
      <c r="V2529" s="15"/>
      <c r="W2529" s="15"/>
      <c r="X2529" s="15"/>
      <c r="Y2529" s="15"/>
      <c r="Z2529" s="15"/>
      <c r="AA2529" s="15"/>
    </row>
    <row r="2530">
      <c r="A2530" s="5" t="s">
        <v>11295</v>
      </c>
      <c r="B2530" s="324" t="s">
        <v>11307</v>
      </c>
      <c r="C2530" s="62" t="s">
        <v>11308</v>
      </c>
      <c r="D2530" s="11"/>
      <c r="E2530" s="11" t="s">
        <v>11309</v>
      </c>
      <c r="F2530" s="90"/>
      <c r="G2530" s="290" t="s">
        <v>11310</v>
      </c>
      <c r="H2530" s="11" t="s">
        <v>11311</v>
      </c>
      <c r="I2530" s="276">
        <v>9.824028688E9</v>
      </c>
      <c r="J2530" s="11" t="s">
        <v>25</v>
      </c>
      <c r="K2530" s="12" t="s">
        <v>8753</v>
      </c>
      <c r="L2530" s="13"/>
      <c r="M2530" s="14"/>
      <c r="N2530" s="15"/>
      <c r="O2530" s="5" t="s">
        <v>108</v>
      </c>
      <c r="P2530" s="15"/>
      <c r="Q2530" s="15"/>
      <c r="R2530" s="16" t="s">
        <v>28</v>
      </c>
      <c r="S2530" s="15"/>
      <c r="T2530" s="15"/>
      <c r="U2530" s="15"/>
      <c r="V2530" s="15"/>
      <c r="W2530" s="15"/>
      <c r="X2530" s="15"/>
      <c r="Y2530" s="15"/>
      <c r="Z2530" s="15"/>
      <c r="AA2530" s="15"/>
    </row>
    <row r="2531">
      <c r="A2531" s="5" t="s">
        <v>11295</v>
      </c>
      <c r="B2531" s="324" t="s">
        <v>11312</v>
      </c>
      <c r="C2531" s="40" t="s">
        <v>11313</v>
      </c>
      <c r="D2531" s="11"/>
      <c r="E2531" s="11" t="s">
        <v>11314</v>
      </c>
      <c r="F2531" s="90"/>
      <c r="G2531" s="290" t="s">
        <v>11315</v>
      </c>
      <c r="H2531" s="11" t="s">
        <v>44</v>
      </c>
      <c r="I2531" s="276">
        <v>9.036400323E9</v>
      </c>
      <c r="J2531" s="11"/>
      <c r="K2531" s="12"/>
      <c r="L2531" s="13"/>
      <c r="M2531" s="14"/>
      <c r="N2531" s="15"/>
      <c r="O2531" s="5" t="s">
        <v>26</v>
      </c>
      <c r="P2531" s="15"/>
      <c r="Q2531" s="15"/>
      <c r="R2531" s="16" t="s">
        <v>28</v>
      </c>
      <c r="S2531" s="15"/>
      <c r="T2531" s="15"/>
      <c r="U2531" s="15"/>
      <c r="V2531" s="15"/>
      <c r="W2531" s="15"/>
      <c r="X2531" s="15"/>
      <c r="Y2531" s="15"/>
      <c r="Z2531" s="15"/>
      <c r="AA2531" s="15"/>
    </row>
    <row r="2532">
      <c r="A2532" s="5" t="s">
        <v>11295</v>
      </c>
      <c r="B2532" s="324" t="s">
        <v>11316</v>
      </c>
      <c r="C2532" s="40" t="s">
        <v>11231</v>
      </c>
      <c r="D2532" s="11"/>
      <c r="E2532" s="11" t="s">
        <v>11317</v>
      </c>
      <c r="F2532" s="90"/>
      <c r="G2532" s="290" t="s">
        <v>11318</v>
      </c>
      <c r="H2532" s="11" t="s">
        <v>11319</v>
      </c>
      <c r="I2532" s="276">
        <v>9.965545356E9</v>
      </c>
      <c r="J2532" s="11"/>
      <c r="K2532" s="12" t="s">
        <v>8753</v>
      </c>
      <c r="L2532" s="13"/>
      <c r="M2532" s="14"/>
      <c r="N2532" s="15"/>
      <c r="O2532" s="5" t="s">
        <v>108</v>
      </c>
      <c r="P2532" s="15"/>
      <c r="Q2532" s="15"/>
      <c r="R2532" s="16" t="s">
        <v>28</v>
      </c>
      <c r="S2532" s="15"/>
      <c r="T2532" s="15"/>
      <c r="U2532" s="15"/>
      <c r="V2532" s="15"/>
      <c r="W2532" s="15"/>
      <c r="X2532" s="15"/>
      <c r="Y2532" s="15"/>
      <c r="Z2532" s="15"/>
      <c r="AA2532" s="15"/>
    </row>
    <row r="2533">
      <c r="A2533" s="5" t="s">
        <v>11295</v>
      </c>
      <c r="B2533" s="324" t="s">
        <v>11320</v>
      </c>
      <c r="C2533" s="62" t="s">
        <v>1831</v>
      </c>
      <c r="D2533" s="11"/>
      <c r="E2533" s="11" t="s">
        <v>9368</v>
      </c>
      <c r="F2533" s="9">
        <v>500000.0</v>
      </c>
      <c r="G2533" s="290" t="s">
        <v>11321</v>
      </c>
      <c r="H2533" s="11" t="s">
        <v>99</v>
      </c>
      <c r="I2533" s="276">
        <v>8.249620282E9</v>
      </c>
      <c r="J2533" s="11" t="s">
        <v>4008</v>
      </c>
      <c r="K2533" s="12" t="s">
        <v>9917</v>
      </c>
      <c r="L2533" s="13"/>
      <c r="M2533" s="11" t="s">
        <v>9918</v>
      </c>
      <c r="N2533" s="5" t="s">
        <v>11322</v>
      </c>
      <c r="O2533" s="5" t="s">
        <v>26</v>
      </c>
      <c r="P2533" s="286" t="s">
        <v>11323</v>
      </c>
      <c r="Q2533" s="15"/>
      <c r="R2533" s="16" t="s">
        <v>634</v>
      </c>
      <c r="S2533" s="15"/>
      <c r="T2533" s="15"/>
      <c r="U2533" s="15"/>
      <c r="V2533" s="15"/>
      <c r="W2533" s="15"/>
      <c r="X2533" s="15"/>
      <c r="Y2533" s="15"/>
      <c r="Z2533" s="15"/>
      <c r="AA2533" s="15"/>
    </row>
    <row r="2534">
      <c r="A2534" s="5" t="s">
        <v>11295</v>
      </c>
      <c r="B2534" s="350" t="s">
        <v>11324</v>
      </c>
      <c r="C2534" s="310" t="s">
        <v>11325</v>
      </c>
      <c r="D2534" s="11"/>
      <c r="E2534" s="11" t="s">
        <v>5844</v>
      </c>
      <c r="F2534" s="90"/>
      <c r="G2534" s="290" t="s">
        <v>11326</v>
      </c>
      <c r="H2534" s="11" t="s">
        <v>11327</v>
      </c>
      <c r="I2534" s="276">
        <v>7.890849611E9</v>
      </c>
      <c r="J2534" s="11"/>
      <c r="K2534" s="12" t="s">
        <v>11328</v>
      </c>
      <c r="L2534" s="13"/>
      <c r="M2534" s="11" t="s">
        <v>11329</v>
      </c>
      <c r="N2534" s="11" t="s">
        <v>11330</v>
      </c>
      <c r="O2534" s="5" t="s">
        <v>26</v>
      </c>
      <c r="P2534" s="286" t="s">
        <v>11331</v>
      </c>
      <c r="Q2534" s="351" t="s">
        <v>11332</v>
      </c>
      <c r="R2534" s="16" t="s">
        <v>634</v>
      </c>
      <c r="S2534" s="5" t="s">
        <v>1619</v>
      </c>
      <c r="T2534" s="15"/>
      <c r="U2534" s="15"/>
      <c r="V2534" s="15"/>
      <c r="W2534" s="15"/>
      <c r="X2534" s="15"/>
      <c r="Y2534" s="15"/>
      <c r="Z2534" s="15"/>
      <c r="AA2534" s="15"/>
    </row>
    <row r="2535">
      <c r="A2535" s="5" t="s">
        <v>11333</v>
      </c>
      <c r="B2535" s="324" t="s">
        <v>11334</v>
      </c>
      <c r="C2535" s="40" t="s">
        <v>11335</v>
      </c>
      <c r="D2535" s="11"/>
      <c r="E2535" s="11" t="s">
        <v>152</v>
      </c>
      <c r="F2535" s="9">
        <v>80000.0</v>
      </c>
      <c r="G2535" s="321"/>
      <c r="H2535" s="11" t="s">
        <v>555</v>
      </c>
      <c r="I2535" s="276">
        <v>7.829022544E9</v>
      </c>
      <c r="J2535" s="11"/>
      <c r="K2535" s="12" t="s">
        <v>8753</v>
      </c>
      <c r="L2535" s="13"/>
      <c r="M2535" s="14"/>
      <c r="N2535" s="15"/>
      <c r="O2535" s="5" t="s">
        <v>108</v>
      </c>
      <c r="P2535" s="15"/>
      <c r="Q2535" s="15"/>
      <c r="R2535" s="16" t="s">
        <v>28</v>
      </c>
      <c r="S2535" s="15"/>
      <c r="T2535" s="15"/>
      <c r="U2535" s="15"/>
      <c r="V2535" s="15"/>
      <c r="W2535" s="15"/>
      <c r="X2535" s="15"/>
      <c r="Y2535" s="15"/>
      <c r="Z2535" s="15"/>
      <c r="AA2535" s="15"/>
    </row>
    <row r="2536">
      <c r="A2536" s="5" t="s">
        <v>11333</v>
      </c>
      <c r="B2536" s="324" t="s">
        <v>11336</v>
      </c>
      <c r="C2536" s="62" t="s">
        <v>11337</v>
      </c>
      <c r="D2536" s="11"/>
      <c r="E2536" s="11" t="s">
        <v>6042</v>
      </c>
      <c r="F2536" s="90">
        <v>5000.0</v>
      </c>
      <c r="G2536" s="337" t="s">
        <v>11338</v>
      </c>
      <c r="H2536" s="11" t="s">
        <v>11339</v>
      </c>
      <c r="I2536" s="276">
        <v>7.533907003E9</v>
      </c>
      <c r="J2536" s="11"/>
      <c r="K2536" s="12"/>
      <c r="L2536" s="12" t="s">
        <v>11340</v>
      </c>
      <c r="M2536" s="11" t="s">
        <v>11341</v>
      </c>
      <c r="N2536" s="5" t="s">
        <v>11342</v>
      </c>
      <c r="O2536" s="5" t="s">
        <v>108</v>
      </c>
      <c r="P2536" s="5" t="s">
        <v>11343</v>
      </c>
      <c r="Q2536" s="15"/>
      <c r="R2536" s="16" t="s">
        <v>634</v>
      </c>
      <c r="S2536" s="15"/>
      <c r="T2536" s="15"/>
      <c r="U2536" s="15"/>
      <c r="V2536" s="15"/>
      <c r="W2536" s="15"/>
      <c r="X2536" s="15"/>
      <c r="Y2536" s="15"/>
      <c r="Z2536" s="15"/>
      <c r="AA2536" s="15"/>
    </row>
    <row r="2537">
      <c r="A2537" s="5" t="s">
        <v>11333</v>
      </c>
      <c r="B2537" s="324" t="s">
        <v>11344</v>
      </c>
      <c r="C2537" s="40" t="s">
        <v>11345</v>
      </c>
      <c r="D2537" s="11"/>
      <c r="E2537" s="11" t="s">
        <v>167</v>
      </c>
      <c r="F2537" s="90">
        <v>5000.0</v>
      </c>
      <c r="G2537" s="290" t="s">
        <v>11346</v>
      </c>
      <c r="H2537" s="11" t="s">
        <v>44</v>
      </c>
      <c r="I2537" s="276">
        <v>9.433677526E9</v>
      </c>
      <c r="J2537" s="11"/>
      <c r="K2537" s="12" t="s">
        <v>3443</v>
      </c>
      <c r="L2537" s="13"/>
      <c r="M2537" s="11" t="s">
        <v>9949</v>
      </c>
      <c r="N2537" s="5" t="s">
        <v>11347</v>
      </c>
      <c r="O2537" s="5" t="s">
        <v>26</v>
      </c>
      <c r="P2537" s="5" t="s">
        <v>1619</v>
      </c>
      <c r="Q2537" s="5" t="s">
        <v>1619</v>
      </c>
      <c r="R2537" s="16" t="s">
        <v>634</v>
      </c>
      <c r="S2537" s="15"/>
      <c r="T2537" s="15"/>
      <c r="U2537" s="15"/>
      <c r="V2537" s="15"/>
      <c r="W2537" s="15"/>
      <c r="X2537" s="15"/>
      <c r="Y2537" s="15"/>
      <c r="Z2537" s="15"/>
      <c r="AA2537" s="15"/>
    </row>
    <row r="2538">
      <c r="A2538" s="5" t="s">
        <v>11333</v>
      </c>
      <c r="B2538" s="324" t="s">
        <v>11348</v>
      </c>
      <c r="C2538" s="40" t="s">
        <v>11349</v>
      </c>
      <c r="D2538" s="11"/>
      <c r="E2538" s="11" t="s">
        <v>10426</v>
      </c>
      <c r="F2538" s="9">
        <v>25000.0</v>
      </c>
      <c r="G2538" s="322" t="s">
        <v>11350</v>
      </c>
      <c r="H2538" s="11" t="s">
        <v>11351</v>
      </c>
      <c r="I2538" s="276">
        <v>7.972459483E9</v>
      </c>
      <c r="J2538" s="11" t="s">
        <v>25</v>
      </c>
      <c r="K2538" s="12"/>
      <c r="L2538" s="12">
        <v>65.0</v>
      </c>
      <c r="M2538" s="11" t="s">
        <v>9719</v>
      </c>
      <c r="N2538" s="5" t="s">
        <v>11352</v>
      </c>
      <c r="O2538" s="5" t="s">
        <v>108</v>
      </c>
      <c r="P2538" s="15"/>
      <c r="Q2538" s="15"/>
      <c r="R2538" s="16" t="s">
        <v>634</v>
      </c>
      <c r="S2538" s="15"/>
      <c r="T2538" s="15"/>
      <c r="U2538" s="15"/>
      <c r="V2538" s="15"/>
      <c r="W2538" s="15"/>
      <c r="X2538" s="15"/>
      <c r="Y2538" s="15"/>
      <c r="Z2538" s="15"/>
      <c r="AA2538" s="15"/>
    </row>
    <row r="2539">
      <c r="A2539" s="5" t="s">
        <v>11333</v>
      </c>
      <c r="B2539" s="324" t="s">
        <v>11353</v>
      </c>
      <c r="C2539" s="40" t="s">
        <v>11354</v>
      </c>
      <c r="D2539" s="11"/>
      <c r="E2539" s="11" t="s">
        <v>222</v>
      </c>
      <c r="F2539" s="9">
        <v>35000.0</v>
      </c>
      <c r="G2539" s="321"/>
      <c r="H2539" s="11" t="s">
        <v>44</v>
      </c>
      <c r="I2539" s="276">
        <v>7.642830291E9</v>
      </c>
      <c r="J2539" s="11" t="s">
        <v>25</v>
      </c>
      <c r="K2539" s="12" t="s">
        <v>11355</v>
      </c>
      <c r="L2539" s="13"/>
      <c r="M2539" s="14"/>
      <c r="N2539" s="15"/>
      <c r="O2539" s="5" t="s">
        <v>26</v>
      </c>
      <c r="P2539" s="15"/>
      <c r="Q2539" s="15"/>
      <c r="R2539" s="16" t="s">
        <v>28</v>
      </c>
      <c r="S2539" s="15"/>
      <c r="T2539" s="15"/>
      <c r="U2539" s="15"/>
      <c r="V2539" s="15"/>
      <c r="W2539" s="15"/>
      <c r="X2539" s="15"/>
      <c r="Y2539" s="15"/>
      <c r="Z2539" s="15"/>
      <c r="AA2539" s="15"/>
    </row>
    <row r="2540">
      <c r="A2540" s="5" t="s">
        <v>11333</v>
      </c>
      <c r="B2540" s="324" t="s">
        <v>11356</v>
      </c>
      <c r="C2540" s="40" t="s">
        <v>11357</v>
      </c>
      <c r="D2540" s="11"/>
      <c r="E2540" s="11" t="s">
        <v>3686</v>
      </c>
      <c r="F2540" s="90">
        <v>300.0</v>
      </c>
      <c r="G2540" s="290" t="s">
        <v>11358</v>
      </c>
      <c r="H2540" s="11" t="s">
        <v>11359</v>
      </c>
      <c r="I2540" s="276">
        <v>9.820104058E9</v>
      </c>
      <c r="J2540" s="11" t="s">
        <v>4008</v>
      </c>
      <c r="K2540" s="12" t="s">
        <v>8677</v>
      </c>
      <c r="L2540" s="13"/>
      <c r="M2540" s="14"/>
      <c r="N2540" s="15"/>
      <c r="O2540" s="5" t="s">
        <v>108</v>
      </c>
      <c r="P2540" s="15"/>
      <c r="Q2540" s="15"/>
      <c r="R2540" s="16" t="s">
        <v>28</v>
      </c>
      <c r="S2540" s="15"/>
      <c r="T2540" s="15"/>
      <c r="U2540" s="15"/>
      <c r="V2540" s="15"/>
      <c r="W2540" s="15"/>
      <c r="X2540" s="15"/>
      <c r="Y2540" s="15"/>
      <c r="Z2540" s="15"/>
      <c r="AA2540" s="15"/>
    </row>
    <row r="2541">
      <c r="A2541" s="5" t="s">
        <v>11360</v>
      </c>
      <c r="B2541" s="324" t="s">
        <v>11361</v>
      </c>
      <c r="C2541" s="62" t="s">
        <v>11362</v>
      </c>
      <c r="D2541" s="11"/>
      <c r="E2541" s="11" t="s">
        <v>1675</v>
      </c>
      <c r="F2541" s="90">
        <v>300.0</v>
      </c>
      <c r="G2541" s="337" t="s">
        <v>11363</v>
      </c>
      <c r="H2541" s="11" t="s">
        <v>11364</v>
      </c>
      <c r="I2541" s="276">
        <v>9.82007378E9</v>
      </c>
      <c r="J2541" s="11"/>
      <c r="K2541" s="12"/>
      <c r="L2541" s="13"/>
      <c r="M2541" s="11" t="s">
        <v>11365</v>
      </c>
      <c r="N2541" s="5" t="s">
        <v>11366</v>
      </c>
      <c r="O2541" s="5" t="s">
        <v>11367</v>
      </c>
      <c r="P2541" s="15"/>
      <c r="Q2541" s="15"/>
      <c r="R2541" s="16" t="s">
        <v>634</v>
      </c>
      <c r="S2541" s="15"/>
      <c r="T2541" s="15"/>
      <c r="U2541" s="15"/>
      <c r="V2541" s="15"/>
      <c r="W2541" s="15"/>
      <c r="X2541" s="15"/>
      <c r="Y2541" s="15"/>
      <c r="Z2541" s="15"/>
      <c r="AA2541" s="15"/>
    </row>
    <row r="2542">
      <c r="A2542" s="5" t="s">
        <v>11360</v>
      </c>
      <c r="B2542" s="324" t="s">
        <v>11368</v>
      </c>
      <c r="C2542" s="40" t="s">
        <v>11369</v>
      </c>
      <c r="D2542" s="11"/>
      <c r="E2542" s="11" t="s">
        <v>189</v>
      </c>
      <c r="F2542" s="90">
        <v>2000.0</v>
      </c>
      <c r="G2542" s="290" t="s">
        <v>11370</v>
      </c>
      <c r="H2542" s="11" t="s">
        <v>11371</v>
      </c>
      <c r="I2542" s="276">
        <v>9.832524367E9</v>
      </c>
      <c r="J2542" s="11" t="s">
        <v>25</v>
      </c>
      <c r="K2542" s="12" t="s">
        <v>11372</v>
      </c>
      <c r="L2542" s="13"/>
      <c r="M2542" s="11" t="s">
        <v>9034</v>
      </c>
      <c r="N2542" s="5" t="s">
        <v>11373</v>
      </c>
      <c r="O2542" s="5" t="s">
        <v>26</v>
      </c>
      <c r="P2542" s="5" t="s">
        <v>11374</v>
      </c>
      <c r="Q2542" s="15"/>
      <c r="R2542" s="16" t="s">
        <v>723</v>
      </c>
      <c r="S2542" s="15"/>
      <c r="T2542" s="15"/>
      <c r="U2542" s="15"/>
      <c r="V2542" s="15"/>
      <c r="W2542" s="15"/>
      <c r="X2542" s="15"/>
      <c r="Y2542" s="15"/>
      <c r="Z2542" s="15"/>
      <c r="AA2542" s="15"/>
    </row>
    <row r="2543">
      <c r="A2543" s="5" t="s">
        <v>11360</v>
      </c>
      <c r="B2543" s="324" t="s">
        <v>11375</v>
      </c>
      <c r="C2543" s="40" t="s">
        <v>11376</v>
      </c>
      <c r="D2543" s="11"/>
      <c r="E2543" s="11" t="s">
        <v>11377</v>
      </c>
      <c r="F2543" s="90"/>
      <c r="G2543" s="290" t="s">
        <v>11378</v>
      </c>
      <c r="H2543" s="11" t="s">
        <v>44</v>
      </c>
      <c r="I2543" s="276">
        <v>8.017655644E9</v>
      </c>
      <c r="J2543" s="11"/>
      <c r="K2543" s="12"/>
      <c r="L2543" s="13"/>
      <c r="M2543" s="14"/>
      <c r="N2543" s="15"/>
      <c r="O2543" s="5" t="s">
        <v>26</v>
      </c>
      <c r="P2543" s="5" t="s">
        <v>11379</v>
      </c>
      <c r="Q2543" s="15"/>
      <c r="R2543" s="16" t="s">
        <v>28</v>
      </c>
      <c r="S2543" s="15"/>
      <c r="T2543" s="15"/>
      <c r="U2543" s="15"/>
      <c r="V2543" s="15"/>
      <c r="W2543" s="15"/>
      <c r="X2543" s="15"/>
      <c r="Y2543" s="15"/>
      <c r="Z2543" s="15"/>
      <c r="AA2543" s="15"/>
    </row>
    <row r="2544">
      <c r="A2544" s="5" t="s">
        <v>11360</v>
      </c>
      <c r="B2544" s="324" t="s">
        <v>11380</v>
      </c>
      <c r="C2544" s="40" t="s">
        <v>11381</v>
      </c>
      <c r="D2544" s="11"/>
      <c r="E2544" s="11" t="s">
        <v>11382</v>
      </c>
      <c r="F2544" s="90">
        <v>100.0</v>
      </c>
      <c r="G2544" s="290" t="s">
        <v>11383</v>
      </c>
      <c r="H2544" s="11" t="s">
        <v>11384</v>
      </c>
      <c r="I2544" s="276">
        <v>9.431356247E9</v>
      </c>
      <c r="J2544" s="11"/>
      <c r="K2544" s="12" t="s">
        <v>11385</v>
      </c>
      <c r="L2544" s="13"/>
      <c r="M2544" s="11" t="s">
        <v>11386</v>
      </c>
      <c r="N2544" s="5" t="s">
        <v>11387</v>
      </c>
      <c r="O2544" s="5" t="s">
        <v>10708</v>
      </c>
      <c r="P2544" s="5" t="s">
        <v>11388</v>
      </c>
      <c r="Q2544" s="15"/>
      <c r="R2544" s="16" t="s">
        <v>634</v>
      </c>
      <c r="S2544" s="15"/>
      <c r="T2544" s="15"/>
      <c r="U2544" s="15"/>
      <c r="V2544" s="15"/>
      <c r="W2544" s="15"/>
      <c r="X2544" s="15"/>
      <c r="Y2544" s="15"/>
      <c r="Z2544" s="15"/>
      <c r="AA2544" s="15"/>
    </row>
    <row r="2545">
      <c r="A2545" s="339" t="s">
        <v>11360</v>
      </c>
      <c r="B2545" s="340" t="s">
        <v>11389</v>
      </c>
      <c r="C2545" s="341" t="s">
        <v>11390</v>
      </c>
      <c r="D2545" s="341"/>
      <c r="E2545" s="341" t="s">
        <v>11279</v>
      </c>
      <c r="F2545" s="342"/>
      <c r="G2545" s="343" t="s">
        <v>11391</v>
      </c>
      <c r="H2545" s="341" t="s">
        <v>11392</v>
      </c>
      <c r="I2545" s="344">
        <v>9.722324626E9</v>
      </c>
      <c r="J2545" s="341"/>
      <c r="K2545" s="345" t="s">
        <v>8753</v>
      </c>
      <c r="L2545" s="346"/>
      <c r="M2545" s="347"/>
      <c r="N2545" s="348"/>
      <c r="O2545" s="339" t="s">
        <v>108</v>
      </c>
      <c r="P2545" s="348"/>
      <c r="Q2545" s="348"/>
      <c r="R2545" s="349" t="s">
        <v>28</v>
      </c>
      <c r="S2545" s="348"/>
      <c r="T2545" s="15"/>
      <c r="U2545" s="15"/>
      <c r="V2545" s="15"/>
      <c r="W2545" s="15"/>
      <c r="X2545" s="15"/>
      <c r="Y2545" s="15"/>
      <c r="Z2545" s="15"/>
      <c r="AA2545" s="15"/>
    </row>
    <row r="2546">
      <c r="A2546" s="5" t="s">
        <v>11360</v>
      </c>
      <c r="B2546" s="324" t="s">
        <v>11393</v>
      </c>
      <c r="C2546" s="40" t="s">
        <v>11394</v>
      </c>
      <c r="D2546" s="11"/>
      <c r="E2546" s="11" t="s">
        <v>3686</v>
      </c>
      <c r="F2546" s="90">
        <v>1000.0</v>
      </c>
      <c r="G2546" s="290" t="s">
        <v>11395</v>
      </c>
      <c r="H2546" s="11" t="s">
        <v>11396</v>
      </c>
      <c r="I2546" s="276">
        <v>9.820038418E9</v>
      </c>
      <c r="J2546" s="11"/>
      <c r="K2546" s="12"/>
      <c r="L2546" s="13"/>
      <c r="M2546" s="14"/>
      <c r="N2546" s="15"/>
      <c r="O2546" s="5" t="s">
        <v>108</v>
      </c>
      <c r="P2546" s="15"/>
      <c r="Q2546" s="15"/>
      <c r="R2546" s="16" t="s">
        <v>28</v>
      </c>
      <c r="S2546" s="15"/>
      <c r="T2546" s="15"/>
      <c r="U2546" s="15"/>
      <c r="V2546" s="15"/>
      <c r="W2546" s="15"/>
      <c r="X2546" s="15"/>
      <c r="Y2546" s="15"/>
      <c r="Z2546" s="15"/>
      <c r="AA2546" s="15"/>
    </row>
    <row r="2547">
      <c r="A2547" s="5" t="s">
        <v>11360</v>
      </c>
      <c r="B2547" s="324" t="s">
        <v>11397</v>
      </c>
      <c r="C2547" s="40" t="s">
        <v>11398</v>
      </c>
      <c r="D2547" s="11"/>
      <c r="E2547" s="11" t="s">
        <v>178</v>
      </c>
      <c r="F2547" s="9">
        <v>1000000.0</v>
      </c>
      <c r="G2547" s="290" t="s">
        <v>11399</v>
      </c>
      <c r="H2547" s="11" t="s">
        <v>107</v>
      </c>
      <c r="I2547" s="276">
        <v>9.93208104E9</v>
      </c>
      <c r="J2547" s="11" t="s">
        <v>25</v>
      </c>
      <c r="K2547" s="12" t="s">
        <v>8753</v>
      </c>
      <c r="L2547" s="13"/>
      <c r="M2547" s="11" t="s">
        <v>11400</v>
      </c>
      <c r="N2547" s="5" t="s">
        <v>11401</v>
      </c>
      <c r="O2547" s="5" t="s">
        <v>108</v>
      </c>
      <c r="P2547" s="5" t="s">
        <v>11402</v>
      </c>
      <c r="Q2547" s="15"/>
      <c r="R2547" s="16" t="s">
        <v>634</v>
      </c>
      <c r="S2547" s="15"/>
      <c r="T2547" s="15"/>
      <c r="U2547" s="15"/>
      <c r="V2547" s="15"/>
      <c r="W2547" s="15"/>
      <c r="X2547" s="15"/>
      <c r="Y2547" s="15"/>
      <c r="Z2547" s="15"/>
      <c r="AA2547" s="15"/>
    </row>
    <row r="2548">
      <c r="A2548" s="5" t="s">
        <v>11403</v>
      </c>
      <c r="B2548" s="324" t="s">
        <v>11404</v>
      </c>
      <c r="C2548" s="40" t="s">
        <v>11405</v>
      </c>
      <c r="D2548" s="11"/>
      <c r="E2548" s="11" t="s">
        <v>11406</v>
      </c>
      <c r="F2548" s="90"/>
      <c r="G2548" s="290" t="s">
        <v>11407</v>
      </c>
      <c r="H2548" s="11" t="s">
        <v>11408</v>
      </c>
      <c r="I2548" s="276">
        <v>8.759031438E9</v>
      </c>
      <c r="J2548" s="11"/>
      <c r="K2548" s="12" t="s">
        <v>11409</v>
      </c>
      <c r="L2548" s="13"/>
      <c r="M2548" s="11" t="s">
        <v>9685</v>
      </c>
      <c r="N2548" s="5" t="s">
        <v>11410</v>
      </c>
      <c r="O2548" s="5" t="s">
        <v>26</v>
      </c>
      <c r="P2548" s="286" t="s">
        <v>11411</v>
      </c>
      <c r="Q2548" s="15"/>
      <c r="R2548" s="16" t="s">
        <v>634</v>
      </c>
      <c r="S2548" s="15"/>
      <c r="T2548" s="15"/>
      <c r="U2548" s="15"/>
      <c r="V2548" s="15"/>
      <c r="W2548" s="15"/>
      <c r="X2548" s="15"/>
      <c r="Y2548" s="15"/>
      <c r="Z2548" s="15"/>
      <c r="AA2548" s="15"/>
    </row>
    <row r="2549">
      <c r="A2549" s="5" t="s">
        <v>11403</v>
      </c>
      <c r="B2549" s="324" t="s">
        <v>11412</v>
      </c>
      <c r="C2549" s="40" t="s">
        <v>11413</v>
      </c>
      <c r="D2549" s="11"/>
      <c r="E2549" s="11" t="s">
        <v>11414</v>
      </c>
      <c r="F2549" s="9">
        <v>10000.0</v>
      </c>
      <c r="G2549" s="290" t="s">
        <v>11415</v>
      </c>
      <c r="H2549" s="11" t="s">
        <v>8781</v>
      </c>
      <c r="I2549" s="276">
        <v>9.804239181E9</v>
      </c>
      <c r="J2549" s="11" t="s">
        <v>7109</v>
      </c>
      <c r="K2549" s="12"/>
      <c r="L2549" s="13"/>
      <c r="M2549" s="14"/>
      <c r="N2549" s="15"/>
      <c r="O2549" s="5" t="s">
        <v>26</v>
      </c>
      <c r="P2549" s="15"/>
      <c r="Q2549" s="15"/>
      <c r="R2549" s="16" t="s">
        <v>28</v>
      </c>
      <c r="S2549" s="15"/>
      <c r="T2549" s="15"/>
      <c r="U2549" s="15"/>
      <c r="V2549" s="15"/>
      <c r="W2549" s="15"/>
      <c r="X2549" s="15"/>
      <c r="Y2549" s="15"/>
      <c r="Z2549" s="15"/>
      <c r="AA2549" s="15"/>
    </row>
    <row r="2550">
      <c r="A2550" s="5" t="s">
        <v>11403</v>
      </c>
      <c r="B2550" s="324" t="s">
        <v>11416</v>
      </c>
      <c r="C2550" s="40" t="s">
        <v>11417</v>
      </c>
      <c r="D2550" s="11"/>
      <c r="E2550" s="11" t="s">
        <v>3073</v>
      </c>
      <c r="F2550" s="90"/>
      <c r="G2550" s="290" t="s">
        <v>11418</v>
      </c>
      <c r="H2550" s="11" t="s">
        <v>11419</v>
      </c>
      <c r="I2550" s="276">
        <v>9.355819769E9</v>
      </c>
      <c r="J2550" s="11"/>
      <c r="K2550" s="12" t="s">
        <v>8753</v>
      </c>
      <c r="L2550" s="13"/>
      <c r="M2550" s="11" t="s">
        <v>11420</v>
      </c>
      <c r="N2550" s="15"/>
      <c r="O2550" s="5" t="s">
        <v>108</v>
      </c>
      <c r="P2550" s="5" t="s">
        <v>11421</v>
      </c>
      <c r="Q2550" s="15"/>
      <c r="R2550" s="16" t="s">
        <v>28</v>
      </c>
      <c r="S2550" s="15"/>
      <c r="T2550" s="15"/>
      <c r="U2550" s="15"/>
      <c r="V2550" s="15"/>
      <c r="W2550" s="15"/>
      <c r="X2550" s="15"/>
      <c r="Y2550" s="15"/>
      <c r="Z2550" s="15"/>
      <c r="AA2550" s="15"/>
    </row>
    <row r="2551">
      <c r="A2551" s="5" t="s">
        <v>11403</v>
      </c>
      <c r="B2551" s="324" t="s">
        <v>11422</v>
      </c>
      <c r="C2551" s="40" t="s">
        <v>11423</v>
      </c>
      <c r="D2551" s="11"/>
      <c r="E2551" s="11" t="s">
        <v>178</v>
      </c>
      <c r="F2551" s="9">
        <v>500000.0</v>
      </c>
      <c r="G2551" s="290" t="s">
        <v>2562</v>
      </c>
      <c r="H2551" s="11" t="s">
        <v>11424</v>
      </c>
      <c r="I2551" s="283" t="s">
        <v>11425</v>
      </c>
      <c r="J2551" s="11" t="s">
        <v>25</v>
      </c>
      <c r="K2551" s="12" t="s">
        <v>11201</v>
      </c>
      <c r="L2551" s="13"/>
      <c r="M2551" s="11" t="s">
        <v>11202</v>
      </c>
      <c r="N2551" s="5" t="s">
        <v>11426</v>
      </c>
      <c r="O2551" s="5" t="s">
        <v>26</v>
      </c>
      <c r="P2551" s="5" t="s">
        <v>11427</v>
      </c>
      <c r="Q2551" s="15"/>
      <c r="R2551" s="16" t="s">
        <v>634</v>
      </c>
      <c r="S2551" s="15"/>
      <c r="T2551" s="15"/>
      <c r="U2551" s="15"/>
      <c r="V2551" s="15"/>
      <c r="W2551" s="15"/>
      <c r="X2551" s="15"/>
      <c r="Y2551" s="15"/>
      <c r="Z2551" s="15"/>
      <c r="AA2551" s="15"/>
    </row>
    <row r="2552">
      <c r="A2552" s="5" t="s">
        <v>11403</v>
      </c>
      <c r="B2552" s="324" t="s">
        <v>11428</v>
      </c>
      <c r="C2552" s="40" t="s">
        <v>11429</v>
      </c>
      <c r="D2552" s="11"/>
      <c r="E2552" s="11" t="s">
        <v>11430</v>
      </c>
      <c r="F2552" s="90"/>
      <c r="G2552" s="290" t="s">
        <v>11431</v>
      </c>
      <c r="H2552" s="11" t="s">
        <v>44</v>
      </c>
      <c r="I2552" s="276">
        <v>9.836403821E9</v>
      </c>
      <c r="J2552" s="11"/>
      <c r="K2552" s="12" t="s">
        <v>11432</v>
      </c>
      <c r="L2552" s="13"/>
      <c r="M2552" s="11" t="s">
        <v>10171</v>
      </c>
      <c r="N2552" s="5" t="s">
        <v>11433</v>
      </c>
      <c r="O2552" s="5" t="s">
        <v>26</v>
      </c>
      <c r="P2552" s="5" t="s">
        <v>11434</v>
      </c>
      <c r="Q2552" s="15"/>
      <c r="R2552" s="16" t="s">
        <v>634</v>
      </c>
      <c r="S2552" s="15"/>
      <c r="T2552" s="15"/>
      <c r="U2552" s="15"/>
      <c r="V2552" s="15"/>
      <c r="W2552" s="15"/>
      <c r="X2552" s="15"/>
      <c r="Y2552" s="15"/>
      <c r="Z2552" s="15"/>
      <c r="AA2552" s="15"/>
    </row>
    <row r="2553">
      <c r="A2553" s="5" t="s">
        <v>11403</v>
      </c>
      <c r="B2553" s="324" t="s">
        <v>11435</v>
      </c>
      <c r="C2553" s="40" t="s">
        <v>11436</v>
      </c>
      <c r="D2553" s="11"/>
      <c r="E2553" s="11" t="s">
        <v>178</v>
      </c>
      <c r="F2553" s="90">
        <v>3000.0</v>
      </c>
      <c r="G2553" s="290" t="s">
        <v>11437</v>
      </c>
      <c r="H2553" s="11" t="s">
        <v>6333</v>
      </c>
      <c r="I2553" s="276">
        <v>7.008816419E9</v>
      </c>
      <c r="J2553" s="11" t="s">
        <v>25</v>
      </c>
      <c r="K2553" s="12" t="s">
        <v>9328</v>
      </c>
      <c r="L2553" s="13"/>
      <c r="M2553" s="11" t="s">
        <v>8860</v>
      </c>
      <c r="N2553" s="5" t="s">
        <v>11438</v>
      </c>
      <c r="O2553" s="5" t="s">
        <v>26</v>
      </c>
      <c r="P2553" s="284" t="s">
        <v>11439</v>
      </c>
      <c r="Q2553" s="15"/>
      <c r="R2553" s="16" t="s">
        <v>634</v>
      </c>
      <c r="S2553" s="15"/>
      <c r="T2553" s="15"/>
      <c r="U2553" s="15"/>
      <c r="V2553" s="15"/>
      <c r="W2553" s="15"/>
      <c r="X2553" s="15"/>
      <c r="Y2553" s="15"/>
      <c r="Z2553" s="15"/>
      <c r="AA2553" s="15"/>
    </row>
    <row r="2554">
      <c r="A2554" s="5" t="s">
        <v>11403</v>
      </c>
      <c r="B2554" s="324" t="s">
        <v>11440</v>
      </c>
      <c r="C2554" s="40" t="s">
        <v>11441</v>
      </c>
      <c r="D2554" s="11"/>
      <c r="E2554" s="11" t="s">
        <v>87</v>
      </c>
      <c r="F2554" s="9">
        <v>25000.0</v>
      </c>
      <c r="G2554" s="290" t="s">
        <v>2381</v>
      </c>
      <c r="H2554" s="11" t="s">
        <v>3216</v>
      </c>
      <c r="I2554" s="283" t="s">
        <v>2382</v>
      </c>
      <c r="J2554" s="11" t="s">
        <v>25</v>
      </c>
      <c r="K2554" s="12" t="s">
        <v>11442</v>
      </c>
      <c r="L2554" s="13"/>
      <c r="M2554" s="11" t="s">
        <v>7718</v>
      </c>
      <c r="N2554" s="5" t="s">
        <v>11443</v>
      </c>
      <c r="O2554" s="5" t="s">
        <v>34</v>
      </c>
      <c r="P2554" s="5" t="s">
        <v>11444</v>
      </c>
      <c r="Q2554" s="5" t="s">
        <v>4088</v>
      </c>
      <c r="R2554" s="16" t="s">
        <v>723</v>
      </c>
      <c r="S2554" s="15"/>
      <c r="T2554" s="15"/>
      <c r="U2554" s="15"/>
      <c r="V2554" s="15"/>
      <c r="W2554" s="15"/>
      <c r="X2554" s="15"/>
      <c r="Y2554" s="15"/>
      <c r="Z2554" s="15"/>
      <c r="AA2554" s="15"/>
    </row>
    <row r="2555">
      <c r="A2555" s="5" t="s">
        <v>11403</v>
      </c>
      <c r="B2555" s="324" t="s">
        <v>11445</v>
      </c>
      <c r="C2555" s="40" t="s">
        <v>11446</v>
      </c>
      <c r="D2555" s="11"/>
      <c r="E2555" s="11" t="s">
        <v>10617</v>
      </c>
      <c r="F2555" s="90"/>
      <c r="G2555" s="290" t="s">
        <v>11447</v>
      </c>
      <c r="H2555" s="11" t="s">
        <v>519</v>
      </c>
      <c r="I2555" s="276">
        <v>8.401469196E9</v>
      </c>
      <c r="J2555" s="11"/>
      <c r="K2555" s="12" t="s">
        <v>8753</v>
      </c>
      <c r="L2555" s="13"/>
      <c r="M2555" s="14"/>
      <c r="N2555" s="15"/>
      <c r="O2555" s="5" t="s">
        <v>108</v>
      </c>
      <c r="P2555" s="15"/>
      <c r="Q2555" s="15"/>
      <c r="R2555" s="16" t="s">
        <v>28</v>
      </c>
      <c r="S2555" s="15"/>
      <c r="T2555" s="15"/>
      <c r="U2555" s="15"/>
      <c r="V2555" s="15"/>
      <c r="W2555" s="15"/>
      <c r="X2555" s="15"/>
      <c r="Y2555" s="15"/>
      <c r="Z2555" s="15"/>
      <c r="AA2555" s="15"/>
    </row>
    <row r="2556">
      <c r="A2556" s="5" t="s">
        <v>11403</v>
      </c>
      <c r="B2556" s="324" t="s">
        <v>11448</v>
      </c>
      <c r="C2556" s="40" t="s">
        <v>10376</v>
      </c>
      <c r="D2556" s="11"/>
      <c r="E2556" s="11" t="s">
        <v>213</v>
      </c>
      <c r="F2556" s="9">
        <v>30000.0</v>
      </c>
      <c r="G2556" s="290" t="s">
        <v>11449</v>
      </c>
      <c r="H2556" s="11" t="s">
        <v>1337</v>
      </c>
      <c r="I2556" s="276">
        <v>9.207442655E9</v>
      </c>
      <c r="J2556" s="11"/>
      <c r="K2556" s="12" t="s">
        <v>8528</v>
      </c>
      <c r="L2556" s="13"/>
      <c r="M2556" s="11" t="s">
        <v>10171</v>
      </c>
      <c r="N2556" s="5" t="s">
        <v>11450</v>
      </c>
      <c r="O2556" s="5" t="s">
        <v>26</v>
      </c>
      <c r="P2556" s="5" t="s">
        <v>11451</v>
      </c>
      <c r="Q2556" s="5" t="s">
        <v>11452</v>
      </c>
      <c r="R2556" s="16" t="s">
        <v>634</v>
      </c>
      <c r="S2556" s="15"/>
      <c r="T2556" s="15"/>
      <c r="U2556" s="15"/>
      <c r="V2556" s="15"/>
      <c r="W2556" s="15"/>
      <c r="X2556" s="15"/>
      <c r="Y2556" s="15"/>
      <c r="Z2556" s="15"/>
      <c r="AA2556" s="15"/>
    </row>
    <row r="2557">
      <c r="A2557" s="5" t="s">
        <v>11403</v>
      </c>
      <c r="B2557" s="324" t="s">
        <v>11453</v>
      </c>
      <c r="C2557" s="62" t="s">
        <v>11454</v>
      </c>
      <c r="D2557" s="11"/>
      <c r="E2557" s="11" t="s">
        <v>3748</v>
      </c>
      <c r="F2557" s="9">
        <v>20000.0</v>
      </c>
      <c r="G2557" s="337" t="s">
        <v>11455</v>
      </c>
      <c r="H2557" s="11" t="s">
        <v>11456</v>
      </c>
      <c r="I2557" s="276">
        <v>8.91251723E9</v>
      </c>
      <c r="J2557" s="11"/>
      <c r="K2557" s="12"/>
      <c r="L2557" s="13"/>
      <c r="M2557" s="11" t="s">
        <v>9901</v>
      </c>
      <c r="N2557" s="5" t="s">
        <v>11457</v>
      </c>
      <c r="O2557" s="5" t="s">
        <v>108</v>
      </c>
      <c r="P2557" s="15"/>
      <c r="Q2557" s="15"/>
      <c r="R2557" s="16" t="s">
        <v>634</v>
      </c>
      <c r="S2557" s="15"/>
      <c r="T2557" s="15"/>
      <c r="U2557" s="15"/>
      <c r="V2557" s="15"/>
      <c r="W2557" s="15"/>
      <c r="X2557" s="15"/>
      <c r="Y2557" s="15"/>
      <c r="Z2557" s="15"/>
      <c r="AA2557" s="15"/>
    </row>
    <row r="2558" ht="51.0" customHeight="1">
      <c r="A2558" s="5" t="s">
        <v>11403</v>
      </c>
      <c r="B2558" s="324" t="s">
        <v>11458</v>
      </c>
      <c r="C2558" s="310" t="s">
        <v>11459</v>
      </c>
      <c r="D2558" s="310"/>
      <c r="E2558" s="310" t="s">
        <v>11460</v>
      </c>
      <c r="F2558" s="90" t="s">
        <v>11461</v>
      </c>
      <c r="G2558" s="323" t="s">
        <v>11462</v>
      </c>
      <c r="H2558" s="11" t="s">
        <v>44</v>
      </c>
      <c r="I2558" s="276">
        <v>9.007543043E9</v>
      </c>
      <c r="J2558" s="11"/>
      <c r="K2558" s="12" t="s">
        <v>11463</v>
      </c>
      <c r="L2558" s="13"/>
      <c r="M2558" s="11" t="s">
        <v>11464</v>
      </c>
      <c r="N2558" s="5" t="s">
        <v>11465</v>
      </c>
      <c r="O2558" s="5" t="s">
        <v>26</v>
      </c>
      <c r="P2558" s="284" t="s">
        <v>11466</v>
      </c>
      <c r="Q2558" s="5" t="s">
        <v>3287</v>
      </c>
      <c r="R2558" s="16" t="s">
        <v>634</v>
      </c>
      <c r="S2558" s="15"/>
      <c r="T2558" s="15"/>
      <c r="U2558" s="15"/>
      <c r="V2558" s="15"/>
      <c r="W2558" s="15"/>
      <c r="X2558" s="15"/>
      <c r="Y2558" s="15"/>
      <c r="Z2558" s="15"/>
      <c r="AA2558" s="15"/>
    </row>
    <row r="2559">
      <c r="A2559" s="5" t="s">
        <v>11403</v>
      </c>
      <c r="B2559" s="324" t="s">
        <v>11467</v>
      </c>
      <c r="C2559" s="40" t="s">
        <v>11468</v>
      </c>
      <c r="D2559" s="11"/>
      <c r="E2559" s="11" t="s">
        <v>11469</v>
      </c>
      <c r="F2559" s="90">
        <v>100.0</v>
      </c>
      <c r="G2559" s="290" t="s">
        <v>11470</v>
      </c>
      <c r="H2559" s="11" t="s">
        <v>11471</v>
      </c>
      <c r="I2559" s="276">
        <v>9.860228579E9</v>
      </c>
      <c r="J2559" s="11"/>
      <c r="K2559" s="12"/>
      <c r="L2559" s="13"/>
      <c r="M2559" s="14"/>
      <c r="N2559" s="15"/>
      <c r="O2559" s="5" t="s">
        <v>10708</v>
      </c>
      <c r="P2559" s="15"/>
      <c r="Q2559" s="15"/>
      <c r="R2559" s="16" t="s">
        <v>28</v>
      </c>
      <c r="S2559" s="15"/>
      <c r="T2559" s="15"/>
      <c r="U2559" s="15"/>
      <c r="V2559" s="15"/>
      <c r="W2559" s="15"/>
      <c r="X2559" s="15"/>
      <c r="Y2559" s="15"/>
      <c r="Z2559" s="15"/>
      <c r="AA2559" s="15"/>
    </row>
    <row r="2560">
      <c r="A2560" s="5" t="s">
        <v>11403</v>
      </c>
      <c r="B2560" s="324" t="s">
        <v>11472</v>
      </c>
      <c r="C2560" s="40" t="s">
        <v>11473</v>
      </c>
      <c r="D2560" s="11"/>
      <c r="E2560" s="11" t="s">
        <v>11474</v>
      </c>
      <c r="F2560" s="90"/>
      <c r="G2560" s="290" t="s">
        <v>11475</v>
      </c>
      <c r="H2560" s="11" t="s">
        <v>268</v>
      </c>
      <c r="I2560" s="276">
        <v>6.295332214E9</v>
      </c>
      <c r="J2560" s="11"/>
      <c r="K2560" s="12"/>
      <c r="L2560" s="13"/>
      <c r="M2560" s="14"/>
      <c r="N2560" s="15"/>
      <c r="O2560" s="5" t="s">
        <v>26</v>
      </c>
      <c r="P2560" s="352" t="s">
        <v>1619</v>
      </c>
      <c r="Q2560" s="5" t="s">
        <v>2262</v>
      </c>
      <c r="R2560" s="16" t="s">
        <v>28</v>
      </c>
      <c r="S2560" s="15"/>
      <c r="T2560" s="15"/>
      <c r="U2560" s="15"/>
      <c r="V2560" s="15"/>
      <c r="W2560" s="15"/>
      <c r="X2560" s="15"/>
      <c r="Y2560" s="15"/>
      <c r="Z2560" s="15"/>
      <c r="AA2560" s="15"/>
    </row>
    <row r="2561">
      <c r="A2561" s="5" t="s">
        <v>11403</v>
      </c>
      <c r="B2561" s="324" t="s">
        <v>11476</v>
      </c>
      <c r="C2561" s="40" t="s">
        <v>11477</v>
      </c>
      <c r="D2561" s="11"/>
      <c r="E2561" s="11" t="s">
        <v>11478</v>
      </c>
      <c r="F2561" s="90"/>
      <c r="G2561" s="290" t="s">
        <v>11479</v>
      </c>
      <c r="H2561" s="11" t="s">
        <v>11480</v>
      </c>
      <c r="I2561" s="276">
        <v>9.874241568E9</v>
      </c>
      <c r="J2561" s="11"/>
      <c r="K2561" s="12" t="s">
        <v>8753</v>
      </c>
      <c r="L2561" s="13"/>
      <c r="M2561" s="14"/>
      <c r="N2561" s="15"/>
      <c r="O2561" s="5" t="s">
        <v>26</v>
      </c>
      <c r="P2561" s="15"/>
      <c r="Q2561" s="15"/>
      <c r="R2561" s="16" t="s">
        <v>28</v>
      </c>
      <c r="S2561" s="15"/>
      <c r="T2561" s="15"/>
      <c r="U2561" s="15"/>
      <c r="V2561" s="15"/>
      <c r="W2561" s="15"/>
      <c r="X2561" s="15"/>
      <c r="Y2561" s="15"/>
      <c r="Z2561" s="15"/>
      <c r="AA2561" s="15"/>
    </row>
    <row r="2562">
      <c r="A2562" s="5" t="s">
        <v>11403</v>
      </c>
      <c r="B2562" s="324" t="s">
        <v>11481</v>
      </c>
      <c r="C2562" s="40" t="s">
        <v>11482</v>
      </c>
      <c r="D2562" s="11"/>
      <c r="E2562" s="11" t="s">
        <v>11317</v>
      </c>
      <c r="F2562" s="90">
        <v>2000.0</v>
      </c>
      <c r="G2562" s="290" t="s">
        <v>11483</v>
      </c>
      <c r="H2562" s="11" t="s">
        <v>11267</v>
      </c>
      <c r="I2562" s="283" t="s">
        <v>11484</v>
      </c>
      <c r="J2562" s="11" t="s">
        <v>7109</v>
      </c>
      <c r="K2562" s="12" t="s">
        <v>8753</v>
      </c>
      <c r="L2562" s="13"/>
      <c r="M2562" s="14"/>
      <c r="N2562" s="15"/>
      <c r="O2562" s="5" t="s">
        <v>26</v>
      </c>
      <c r="P2562" s="15"/>
      <c r="Q2562" s="15"/>
      <c r="R2562" s="16" t="s">
        <v>28</v>
      </c>
      <c r="S2562" s="15"/>
      <c r="T2562" s="15"/>
      <c r="U2562" s="15"/>
      <c r="V2562" s="15"/>
      <c r="W2562" s="15"/>
      <c r="X2562" s="15"/>
      <c r="Y2562" s="15"/>
      <c r="Z2562" s="15"/>
      <c r="AA2562" s="15"/>
    </row>
    <row r="2563">
      <c r="A2563" s="5" t="s">
        <v>11403</v>
      </c>
      <c r="B2563" s="324" t="s">
        <v>11485</v>
      </c>
      <c r="C2563" s="40" t="s">
        <v>11486</v>
      </c>
      <c r="D2563" s="11"/>
      <c r="E2563" s="11" t="s">
        <v>11487</v>
      </c>
      <c r="F2563" s="90"/>
      <c r="G2563" s="290" t="s">
        <v>11488</v>
      </c>
      <c r="H2563" s="11" t="s">
        <v>44</v>
      </c>
      <c r="I2563" s="276">
        <v>8.622020004E9</v>
      </c>
      <c r="J2563" s="11"/>
      <c r="K2563" s="12" t="s">
        <v>8753</v>
      </c>
      <c r="L2563" s="13"/>
      <c r="M2563" s="14"/>
      <c r="N2563" s="15"/>
      <c r="O2563" s="5" t="s">
        <v>26</v>
      </c>
      <c r="P2563" s="15"/>
      <c r="Q2563" s="15"/>
      <c r="R2563" s="16" t="s">
        <v>28</v>
      </c>
      <c r="S2563" s="15"/>
      <c r="T2563" s="15"/>
      <c r="U2563" s="15"/>
      <c r="V2563" s="15"/>
      <c r="W2563" s="15"/>
      <c r="X2563" s="15"/>
      <c r="Y2563" s="15"/>
      <c r="Z2563" s="15"/>
      <c r="AA2563" s="15"/>
    </row>
    <row r="2564">
      <c r="A2564" s="5" t="s">
        <v>11489</v>
      </c>
      <c r="B2564" s="324" t="s">
        <v>11490</v>
      </c>
      <c r="C2564" s="40" t="s">
        <v>11491</v>
      </c>
      <c r="D2564" s="11"/>
      <c r="E2564" s="11" t="s">
        <v>9492</v>
      </c>
      <c r="F2564" s="9">
        <v>30000.0</v>
      </c>
      <c r="G2564" s="290" t="s">
        <v>11492</v>
      </c>
      <c r="H2564" s="11" t="s">
        <v>44</v>
      </c>
      <c r="I2564" s="276">
        <v>8.777542123E9</v>
      </c>
      <c r="J2564" s="11" t="s">
        <v>25</v>
      </c>
      <c r="K2564" s="12" t="s">
        <v>11493</v>
      </c>
      <c r="L2564" s="13"/>
      <c r="M2564" s="11" t="s">
        <v>9901</v>
      </c>
      <c r="N2564" s="5" t="s">
        <v>11494</v>
      </c>
      <c r="O2564" s="5" t="s">
        <v>26</v>
      </c>
      <c r="P2564" s="5" t="s">
        <v>11495</v>
      </c>
      <c r="Q2564" s="5" t="s">
        <v>2891</v>
      </c>
      <c r="R2564" s="16" t="s">
        <v>634</v>
      </c>
      <c r="S2564" s="15"/>
      <c r="T2564" s="15"/>
      <c r="U2564" s="15"/>
      <c r="V2564" s="15"/>
      <c r="W2564" s="15"/>
      <c r="X2564" s="15"/>
      <c r="Y2564" s="15"/>
      <c r="Z2564" s="15"/>
      <c r="AA2564" s="15"/>
    </row>
    <row r="2565">
      <c r="A2565" s="5" t="s">
        <v>11489</v>
      </c>
      <c r="B2565" s="324" t="s">
        <v>11496</v>
      </c>
      <c r="C2565" s="40" t="s">
        <v>11497</v>
      </c>
      <c r="D2565" s="11"/>
      <c r="E2565" s="11" t="s">
        <v>11498</v>
      </c>
      <c r="F2565" s="9">
        <v>25000.0</v>
      </c>
      <c r="G2565" s="290" t="s">
        <v>11499</v>
      </c>
      <c r="H2565" s="11" t="s">
        <v>11480</v>
      </c>
      <c r="I2565" s="283" t="s">
        <v>11500</v>
      </c>
      <c r="J2565" s="11" t="s">
        <v>4008</v>
      </c>
      <c r="K2565" s="12" t="s">
        <v>11501</v>
      </c>
      <c r="L2565" s="13"/>
      <c r="M2565" s="11" t="s">
        <v>11502</v>
      </c>
      <c r="N2565" s="5" t="s">
        <v>11503</v>
      </c>
      <c r="O2565" s="5" t="s">
        <v>26</v>
      </c>
      <c r="P2565" s="5" t="s">
        <v>11504</v>
      </c>
      <c r="Q2565" s="5" t="s">
        <v>11505</v>
      </c>
      <c r="R2565" s="16" t="s">
        <v>723</v>
      </c>
      <c r="S2565" s="15"/>
      <c r="T2565" s="15"/>
      <c r="U2565" s="15"/>
      <c r="V2565" s="15"/>
      <c r="W2565" s="15"/>
      <c r="X2565" s="15"/>
      <c r="Y2565" s="15"/>
      <c r="Z2565" s="15"/>
      <c r="AA2565" s="15"/>
    </row>
    <row r="2566">
      <c r="A2566" s="5" t="s">
        <v>11489</v>
      </c>
      <c r="B2566" s="324" t="s">
        <v>11506</v>
      </c>
      <c r="C2566" s="40" t="s">
        <v>11507</v>
      </c>
      <c r="D2566" s="11"/>
      <c r="E2566" s="11" t="s">
        <v>11508</v>
      </c>
      <c r="F2566" s="9">
        <v>30000.0</v>
      </c>
      <c r="G2566" s="290" t="s">
        <v>11509</v>
      </c>
      <c r="H2566" s="11" t="s">
        <v>44</v>
      </c>
      <c r="I2566" s="276">
        <v>7.6030603E9</v>
      </c>
      <c r="J2566" s="11"/>
      <c r="K2566" s="12"/>
      <c r="L2566" s="13"/>
      <c r="M2566" s="14"/>
      <c r="N2566" s="15"/>
      <c r="O2566" s="5" t="s">
        <v>26</v>
      </c>
      <c r="P2566" s="15"/>
      <c r="Q2566" s="15"/>
      <c r="R2566" s="16" t="s">
        <v>28</v>
      </c>
      <c r="S2566" s="15"/>
      <c r="T2566" s="15"/>
      <c r="U2566" s="15"/>
      <c r="V2566" s="15"/>
      <c r="W2566" s="15"/>
      <c r="X2566" s="15"/>
      <c r="Y2566" s="15"/>
      <c r="Z2566" s="15"/>
      <c r="AA2566" s="15"/>
    </row>
    <row r="2567">
      <c r="A2567" s="5" t="s">
        <v>11489</v>
      </c>
      <c r="B2567" s="324" t="s">
        <v>11510</v>
      </c>
      <c r="C2567" s="40" t="s">
        <v>11511</v>
      </c>
      <c r="D2567" s="11"/>
      <c r="E2567" s="11" t="s">
        <v>130</v>
      </c>
      <c r="F2567" s="9">
        <v>30000.0</v>
      </c>
      <c r="G2567" s="290" t="s">
        <v>11512</v>
      </c>
      <c r="H2567" s="11" t="s">
        <v>11513</v>
      </c>
      <c r="I2567" s="276">
        <v>9.875457076E9</v>
      </c>
      <c r="J2567" s="11" t="s">
        <v>25</v>
      </c>
      <c r="K2567" s="12" t="s">
        <v>8528</v>
      </c>
      <c r="L2567" s="13"/>
      <c r="M2567" s="11" t="s">
        <v>10171</v>
      </c>
      <c r="N2567" s="5" t="s">
        <v>11514</v>
      </c>
      <c r="O2567" s="5" t="s">
        <v>26</v>
      </c>
      <c r="P2567" s="5" t="s">
        <v>11515</v>
      </c>
      <c r="Q2567" s="15"/>
      <c r="R2567" s="16" t="s">
        <v>723</v>
      </c>
      <c r="S2567" s="15"/>
      <c r="T2567" s="15"/>
      <c r="U2567" s="15"/>
      <c r="V2567" s="15"/>
      <c r="W2567" s="15"/>
      <c r="X2567" s="15"/>
      <c r="Y2567" s="15"/>
      <c r="Z2567" s="15"/>
      <c r="AA2567" s="15"/>
    </row>
    <row r="2568">
      <c r="A2568" s="5" t="s">
        <v>11489</v>
      </c>
      <c r="B2568" s="324" t="s">
        <v>11516</v>
      </c>
      <c r="C2568" s="40" t="s">
        <v>11517</v>
      </c>
      <c r="D2568" s="11"/>
      <c r="E2568" s="11" t="s">
        <v>10117</v>
      </c>
      <c r="F2568" s="90"/>
      <c r="G2568" s="290" t="s">
        <v>11518</v>
      </c>
      <c r="H2568" s="11" t="s">
        <v>44</v>
      </c>
      <c r="I2568" s="276">
        <v>9.830801345E9</v>
      </c>
      <c r="J2568" s="11"/>
      <c r="K2568" s="12"/>
      <c r="L2568" s="13"/>
      <c r="M2568" s="11" t="s">
        <v>11519</v>
      </c>
      <c r="N2568" s="15"/>
      <c r="O2568" s="5" t="s">
        <v>26</v>
      </c>
      <c r="P2568" s="284" t="s">
        <v>11520</v>
      </c>
      <c r="Q2568" s="15"/>
      <c r="R2568" s="16" t="s">
        <v>723</v>
      </c>
      <c r="S2568" s="15"/>
      <c r="T2568" s="15"/>
      <c r="U2568" s="15"/>
      <c r="V2568" s="15"/>
      <c r="W2568" s="15"/>
      <c r="X2568" s="15"/>
      <c r="Y2568" s="15"/>
      <c r="Z2568" s="15"/>
      <c r="AA2568" s="15"/>
    </row>
    <row r="2569">
      <c r="A2569" s="5" t="s">
        <v>11489</v>
      </c>
      <c r="B2569" s="324" t="s">
        <v>11521</v>
      </c>
      <c r="C2569" s="40" t="s">
        <v>11522</v>
      </c>
      <c r="D2569" s="11"/>
      <c r="E2569" s="11" t="s">
        <v>444</v>
      </c>
      <c r="F2569" s="90">
        <v>1000.0</v>
      </c>
      <c r="G2569" s="337" t="s">
        <v>11523</v>
      </c>
      <c r="H2569" s="11" t="s">
        <v>44</v>
      </c>
      <c r="I2569" s="276">
        <v>7.003147598E9</v>
      </c>
      <c r="J2569" s="11" t="s">
        <v>11524</v>
      </c>
      <c r="K2569" s="12"/>
      <c r="L2569" s="12">
        <v>18.0</v>
      </c>
      <c r="M2569" s="11" t="s">
        <v>8722</v>
      </c>
      <c r="N2569" s="5" t="s">
        <v>11525</v>
      </c>
      <c r="O2569" s="5" t="s">
        <v>34</v>
      </c>
      <c r="P2569" s="5" t="s">
        <v>11526</v>
      </c>
      <c r="Q2569" s="15"/>
      <c r="R2569" s="16" t="s">
        <v>723</v>
      </c>
      <c r="S2569" s="15"/>
      <c r="T2569" s="15"/>
      <c r="U2569" s="15"/>
      <c r="V2569" s="15"/>
      <c r="W2569" s="15"/>
      <c r="X2569" s="15"/>
      <c r="Y2569" s="15"/>
      <c r="Z2569" s="15"/>
      <c r="AA2569" s="15"/>
    </row>
    <row r="2570">
      <c r="A2570" s="5" t="s">
        <v>11489</v>
      </c>
      <c r="B2570" s="324" t="s">
        <v>11527</v>
      </c>
      <c r="C2570" s="40" t="s">
        <v>11528</v>
      </c>
      <c r="D2570" s="11"/>
      <c r="E2570" s="11" t="s">
        <v>3193</v>
      </c>
      <c r="F2570" s="90"/>
      <c r="G2570" s="290" t="s">
        <v>11529</v>
      </c>
      <c r="H2570" s="11" t="s">
        <v>11530</v>
      </c>
      <c r="I2570" s="276">
        <v>9.831002988E9</v>
      </c>
      <c r="J2570" s="11"/>
      <c r="K2570" s="12" t="s">
        <v>11531</v>
      </c>
      <c r="L2570" s="13"/>
      <c r="M2570" s="11" t="s">
        <v>10768</v>
      </c>
      <c r="N2570" s="5" t="s">
        <v>11532</v>
      </c>
      <c r="O2570" s="5" t="s">
        <v>26</v>
      </c>
      <c r="P2570" s="352" t="s">
        <v>1619</v>
      </c>
      <c r="Q2570" s="284" t="s">
        <v>11533</v>
      </c>
      <c r="R2570" s="16" t="s">
        <v>634</v>
      </c>
      <c r="S2570" s="15"/>
      <c r="T2570" s="15"/>
      <c r="U2570" s="15"/>
      <c r="V2570" s="15"/>
      <c r="W2570" s="15"/>
      <c r="X2570" s="15"/>
      <c r="Y2570" s="15"/>
      <c r="Z2570" s="15"/>
      <c r="AA2570" s="15"/>
    </row>
    <row r="2571">
      <c r="A2571" s="5" t="s">
        <v>11489</v>
      </c>
      <c r="B2571" s="324" t="s">
        <v>11534</v>
      </c>
      <c r="C2571" s="40" t="s">
        <v>11535</v>
      </c>
      <c r="D2571" s="11"/>
      <c r="E2571" s="11" t="s">
        <v>523</v>
      </c>
      <c r="F2571" s="90"/>
      <c r="G2571" s="290" t="s">
        <v>11536</v>
      </c>
      <c r="H2571" s="11" t="s">
        <v>495</v>
      </c>
      <c r="I2571" s="276">
        <v>9.509879694E9</v>
      </c>
      <c r="J2571" s="11"/>
      <c r="K2571" s="12" t="s">
        <v>11537</v>
      </c>
      <c r="L2571" s="13"/>
      <c r="M2571" s="11" t="s">
        <v>11538</v>
      </c>
      <c r="N2571" s="5" t="s">
        <v>11539</v>
      </c>
      <c r="O2571" s="5" t="s">
        <v>26</v>
      </c>
      <c r="P2571" s="284" t="s">
        <v>11540</v>
      </c>
      <c r="Q2571" s="15"/>
      <c r="R2571" s="16" t="s">
        <v>723</v>
      </c>
      <c r="S2571" s="15"/>
      <c r="T2571" s="15"/>
      <c r="U2571" s="15"/>
      <c r="V2571" s="15"/>
      <c r="W2571" s="15"/>
      <c r="X2571" s="15"/>
      <c r="Y2571" s="15"/>
      <c r="Z2571" s="15"/>
      <c r="AA2571" s="15"/>
    </row>
    <row r="2572">
      <c r="A2572" s="5" t="s">
        <v>11541</v>
      </c>
      <c r="B2572" s="325" t="s">
        <v>11542</v>
      </c>
      <c r="C2572" s="40" t="s">
        <v>11543</v>
      </c>
      <c r="D2572" s="11"/>
      <c r="E2572" s="11" t="s">
        <v>11544</v>
      </c>
      <c r="F2572" s="90" t="s">
        <v>11545</v>
      </c>
      <c r="G2572" s="321" t="s">
        <v>11546</v>
      </c>
      <c r="H2572" s="11" t="s">
        <v>268</v>
      </c>
      <c r="I2572" s="276">
        <v>9.552470726E9</v>
      </c>
      <c r="J2572" s="11"/>
      <c r="K2572" s="12" t="s">
        <v>8753</v>
      </c>
      <c r="L2572" s="13"/>
      <c r="M2572" s="14"/>
      <c r="N2572" s="15"/>
      <c r="O2572" s="5" t="s">
        <v>10708</v>
      </c>
      <c r="P2572" s="352" t="s">
        <v>0</v>
      </c>
      <c r="Q2572" s="15"/>
      <c r="R2572" s="16" t="s">
        <v>28</v>
      </c>
      <c r="S2572" s="15"/>
      <c r="T2572" s="15"/>
      <c r="U2572" s="15"/>
      <c r="V2572" s="15"/>
      <c r="W2572" s="15"/>
      <c r="X2572" s="15"/>
      <c r="Y2572" s="15"/>
      <c r="Z2572" s="15"/>
      <c r="AA2572" s="15"/>
    </row>
    <row r="2573">
      <c r="A2573" s="5" t="s">
        <v>11541</v>
      </c>
      <c r="B2573" s="324" t="s">
        <v>11547</v>
      </c>
      <c r="C2573" s="40" t="s">
        <v>11548</v>
      </c>
      <c r="D2573" s="11"/>
      <c r="E2573" s="11" t="s">
        <v>213</v>
      </c>
      <c r="F2573" s="90">
        <v>1000.0</v>
      </c>
      <c r="G2573" s="321" t="s">
        <v>11549</v>
      </c>
      <c r="H2573" s="11" t="s">
        <v>78</v>
      </c>
      <c r="I2573" s="276">
        <v>8.78969811E9</v>
      </c>
      <c r="J2573" s="11"/>
      <c r="K2573" s="12" t="s">
        <v>11550</v>
      </c>
      <c r="L2573" s="13"/>
      <c r="M2573" s="11" t="s">
        <v>11551</v>
      </c>
      <c r="N2573" s="5" t="s">
        <v>11552</v>
      </c>
      <c r="O2573" s="5" t="s">
        <v>10708</v>
      </c>
      <c r="P2573" s="5" t="s">
        <v>11251</v>
      </c>
      <c r="Q2573" s="15"/>
      <c r="R2573" s="16" t="s">
        <v>634</v>
      </c>
      <c r="S2573" s="15"/>
      <c r="T2573" s="15"/>
      <c r="U2573" s="15"/>
      <c r="V2573" s="15"/>
      <c r="W2573" s="15"/>
      <c r="X2573" s="15"/>
      <c r="Y2573" s="15"/>
      <c r="Z2573" s="15"/>
      <c r="AA2573" s="15"/>
    </row>
    <row r="2574">
      <c r="A2574" s="5" t="s">
        <v>11553</v>
      </c>
      <c r="B2574" s="131" t="s">
        <v>11554</v>
      </c>
      <c r="C2574" s="310" t="s">
        <v>11555</v>
      </c>
      <c r="D2574" s="11"/>
      <c r="E2574" s="11" t="s">
        <v>11556</v>
      </c>
      <c r="F2574" s="90" t="s">
        <v>11557</v>
      </c>
      <c r="G2574" s="323" t="s">
        <v>11558</v>
      </c>
      <c r="H2574" s="11" t="s">
        <v>44</v>
      </c>
      <c r="I2574" s="276">
        <v>6.291434487E9</v>
      </c>
      <c r="J2574" s="11"/>
      <c r="K2574" s="12" t="s">
        <v>11559</v>
      </c>
      <c r="L2574" s="13"/>
      <c r="M2574" s="333" t="s">
        <v>11560</v>
      </c>
      <c r="N2574" s="5" t="s">
        <v>11561</v>
      </c>
      <c r="O2574" s="5" t="s">
        <v>26</v>
      </c>
      <c r="P2574" s="5" t="s">
        <v>11562</v>
      </c>
      <c r="Q2574" s="15"/>
      <c r="R2574" s="16" t="s">
        <v>634</v>
      </c>
      <c r="S2574" s="15"/>
      <c r="T2574" s="15"/>
      <c r="U2574" s="15"/>
      <c r="V2574" s="15"/>
      <c r="W2574" s="15"/>
      <c r="X2574" s="15"/>
      <c r="Y2574" s="15"/>
      <c r="Z2574" s="15"/>
      <c r="AA2574" s="15"/>
    </row>
    <row r="2575">
      <c r="A2575" s="5" t="s">
        <v>11541</v>
      </c>
      <c r="B2575" s="131" t="s">
        <v>11563</v>
      </c>
      <c r="C2575" s="40" t="s">
        <v>9102</v>
      </c>
      <c r="D2575" s="11"/>
      <c r="E2575" s="11" t="s">
        <v>130</v>
      </c>
      <c r="F2575" s="90"/>
      <c r="G2575" s="290" t="s">
        <v>9103</v>
      </c>
      <c r="H2575" s="11" t="s">
        <v>11564</v>
      </c>
      <c r="I2575" s="276">
        <v>9.474452549E9</v>
      </c>
      <c r="J2575" s="11"/>
      <c r="K2575" s="12"/>
      <c r="L2575" s="13"/>
      <c r="M2575" s="14"/>
      <c r="N2575" s="15"/>
      <c r="O2575" s="5" t="s">
        <v>26</v>
      </c>
      <c r="P2575" s="15"/>
      <c r="Q2575" s="15"/>
      <c r="R2575" s="16" t="s">
        <v>28</v>
      </c>
      <c r="S2575" s="15"/>
      <c r="T2575" s="15"/>
      <c r="U2575" s="15"/>
      <c r="V2575" s="15"/>
      <c r="W2575" s="15"/>
      <c r="X2575" s="15"/>
      <c r="Y2575" s="15"/>
      <c r="Z2575" s="15"/>
      <c r="AA2575" s="15"/>
    </row>
    <row r="2576">
      <c r="A2576" s="5" t="s">
        <v>11541</v>
      </c>
      <c r="B2576" s="131" t="s">
        <v>11565</v>
      </c>
      <c r="C2576" s="40" t="s">
        <v>11566</v>
      </c>
      <c r="D2576" s="11"/>
      <c r="E2576" s="11" t="s">
        <v>4884</v>
      </c>
      <c r="F2576" s="90">
        <v>1000.0</v>
      </c>
      <c r="G2576" s="290" t="s">
        <v>11567</v>
      </c>
      <c r="H2576" s="11" t="s">
        <v>11568</v>
      </c>
      <c r="I2576" s="276">
        <v>9.831012592E9</v>
      </c>
      <c r="J2576" s="11" t="s">
        <v>25</v>
      </c>
      <c r="K2576" s="12" t="s">
        <v>11569</v>
      </c>
      <c r="L2576" s="13"/>
      <c r="M2576" s="11" t="s">
        <v>10483</v>
      </c>
      <c r="N2576" s="5" t="s">
        <v>11570</v>
      </c>
      <c r="O2576" s="5" t="s">
        <v>26</v>
      </c>
      <c r="P2576" s="5" t="s">
        <v>11571</v>
      </c>
      <c r="Q2576" s="15"/>
      <c r="R2576" s="16" t="s">
        <v>723</v>
      </c>
      <c r="S2576" s="15"/>
      <c r="T2576" s="15"/>
      <c r="U2576" s="15"/>
      <c r="V2576" s="15"/>
      <c r="W2576" s="15"/>
      <c r="X2576" s="15"/>
      <c r="Y2576" s="15"/>
      <c r="Z2576" s="15"/>
      <c r="AA2576" s="15"/>
    </row>
    <row r="2577">
      <c r="A2577" s="353" t="s">
        <v>11541</v>
      </c>
      <c r="B2577" s="354" t="s">
        <v>11572</v>
      </c>
      <c r="C2577" s="40" t="s">
        <v>11573</v>
      </c>
      <c r="D2577" s="40"/>
      <c r="E2577" s="40" t="s">
        <v>222</v>
      </c>
      <c r="F2577" s="296">
        <v>25000.0</v>
      </c>
      <c r="G2577" s="290" t="s">
        <v>11574</v>
      </c>
      <c r="H2577" s="11" t="s">
        <v>1414</v>
      </c>
      <c r="I2577" s="276">
        <v>7.363003213E9</v>
      </c>
      <c r="J2577" s="11" t="s">
        <v>25</v>
      </c>
      <c r="K2577" s="355" t="s">
        <v>11575</v>
      </c>
      <c r="L2577" s="13"/>
      <c r="M2577" s="11" t="s">
        <v>11576</v>
      </c>
      <c r="N2577" s="5" t="s">
        <v>11577</v>
      </c>
      <c r="O2577" s="5" t="s">
        <v>26</v>
      </c>
      <c r="P2577" s="284" t="s">
        <v>8132</v>
      </c>
      <c r="Q2577" s="284" t="s">
        <v>11578</v>
      </c>
      <c r="R2577" s="16" t="s">
        <v>723</v>
      </c>
      <c r="S2577" s="15"/>
      <c r="T2577" s="15"/>
      <c r="U2577" s="15"/>
      <c r="V2577" s="15"/>
      <c r="W2577" s="15"/>
      <c r="X2577" s="15"/>
      <c r="Y2577" s="15"/>
      <c r="Z2577" s="15"/>
      <c r="AA2577" s="15"/>
    </row>
    <row r="2578">
      <c r="A2578" s="131" t="s">
        <v>11541</v>
      </c>
      <c r="B2578" s="131" t="s">
        <v>11579</v>
      </c>
      <c r="C2578" s="233" t="s">
        <v>11580</v>
      </c>
      <c r="D2578" s="52"/>
      <c r="E2578" s="11" t="s">
        <v>11581</v>
      </c>
      <c r="F2578" s="9">
        <v>100000.0</v>
      </c>
      <c r="G2578" s="290" t="s">
        <v>11582</v>
      </c>
      <c r="H2578" s="11" t="s">
        <v>78</v>
      </c>
      <c r="I2578" s="276">
        <v>9.431124261E9</v>
      </c>
      <c r="J2578" s="11" t="s">
        <v>4008</v>
      </c>
      <c r="K2578" s="12"/>
      <c r="L2578" s="13"/>
      <c r="M2578" s="14"/>
      <c r="N2578" s="15"/>
      <c r="O2578" s="5" t="s">
        <v>26</v>
      </c>
      <c r="P2578" s="15"/>
      <c r="Q2578" s="15"/>
      <c r="R2578" s="16" t="s">
        <v>28</v>
      </c>
      <c r="S2578" s="15"/>
      <c r="T2578" s="15"/>
      <c r="U2578" s="15"/>
      <c r="V2578" s="15"/>
      <c r="W2578" s="15"/>
      <c r="X2578" s="15"/>
      <c r="Y2578" s="15"/>
      <c r="Z2578" s="15"/>
      <c r="AA2578" s="15"/>
    </row>
    <row r="2579">
      <c r="A2579" s="5" t="s">
        <v>11541</v>
      </c>
      <c r="B2579" s="131" t="s">
        <v>11583</v>
      </c>
      <c r="C2579" s="40" t="s">
        <v>11584</v>
      </c>
      <c r="D2579" s="11"/>
      <c r="E2579" s="11" t="s">
        <v>9862</v>
      </c>
      <c r="F2579" s="90">
        <v>2000.0</v>
      </c>
      <c r="G2579" s="290" t="s">
        <v>11585</v>
      </c>
      <c r="H2579" s="11" t="s">
        <v>11586</v>
      </c>
      <c r="I2579" s="276">
        <v>9.839712117E9</v>
      </c>
      <c r="J2579" s="11"/>
      <c r="K2579" s="12"/>
      <c r="L2579" s="13"/>
      <c r="M2579" s="11" t="s">
        <v>11587</v>
      </c>
      <c r="N2579" s="5" t="s">
        <v>11588</v>
      </c>
      <c r="O2579" s="5" t="s">
        <v>108</v>
      </c>
      <c r="P2579" s="5" t="s">
        <v>11589</v>
      </c>
      <c r="Q2579" s="15"/>
      <c r="R2579" s="16" t="s">
        <v>634</v>
      </c>
      <c r="S2579" s="15"/>
      <c r="T2579" s="15"/>
      <c r="U2579" s="15"/>
      <c r="V2579" s="15"/>
      <c r="W2579" s="15"/>
      <c r="X2579" s="15"/>
      <c r="Y2579" s="15"/>
      <c r="Z2579" s="15"/>
      <c r="AA2579" s="15"/>
    </row>
    <row r="2580">
      <c r="A2580" s="339" t="s">
        <v>11541</v>
      </c>
      <c r="B2580" s="356" t="s">
        <v>11590</v>
      </c>
      <c r="C2580" s="341" t="s">
        <v>11591</v>
      </c>
      <c r="D2580" s="341"/>
      <c r="E2580" s="341" t="s">
        <v>11279</v>
      </c>
      <c r="F2580" s="342"/>
      <c r="G2580" s="343" t="s">
        <v>11592</v>
      </c>
      <c r="H2580" s="341" t="s">
        <v>977</v>
      </c>
      <c r="I2580" s="344">
        <v>9.304694569E9</v>
      </c>
      <c r="J2580" s="341"/>
      <c r="K2580" s="345"/>
      <c r="L2580" s="346"/>
      <c r="M2580" s="347"/>
      <c r="N2580" s="348"/>
      <c r="O2580" s="339" t="s">
        <v>26</v>
      </c>
      <c r="P2580" s="348"/>
      <c r="Q2580" s="348"/>
      <c r="R2580" s="349" t="s">
        <v>28</v>
      </c>
      <c r="S2580" s="348"/>
      <c r="T2580" s="15"/>
      <c r="U2580" s="15"/>
      <c r="V2580" s="15"/>
      <c r="W2580" s="15"/>
      <c r="X2580" s="15"/>
      <c r="Y2580" s="15"/>
      <c r="Z2580" s="15"/>
      <c r="AA2580" s="15"/>
    </row>
    <row r="2581">
      <c r="A2581" s="357" t="s">
        <v>11541</v>
      </c>
      <c r="B2581" s="358" t="s">
        <v>11593</v>
      </c>
      <c r="C2581" s="310" t="s">
        <v>11594</v>
      </c>
      <c r="D2581" s="310"/>
      <c r="E2581" s="310" t="s">
        <v>798</v>
      </c>
      <c r="F2581" s="260">
        <v>500.0</v>
      </c>
      <c r="G2581" s="322" t="s">
        <v>11595</v>
      </c>
      <c r="H2581" s="11" t="s">
        <v>7280</v>
      </c>
      <c r="I2581" s="276">
        <v>9.687481251E9</v>
      </c>
      <c r="J2581" s="11"/>
      <c r="K2581" s="12" t="s">
        <v>11596</v>
      </c>
      <c r="L2581" s="13"/>
      <c r="M2581" s="11" t="s">
        <v>11597</v>
      </c>
      <c r="N2581" s="5" t="s">
        <v>11598</v>
      </c>
      <c r="O2581" s="5" t="s">
        <v>26</v>
      </c>
      <c r="P2581" s="5" t="s">
        <v>11166</v>
      </c>
      <c r="Q2581" s="5" t="s">
        <v>11599</v>
      </c>
      <c r="R2581" s="16" t="s">
        <v>634</v>
      </c>
      <c r="S2581" s="5" t="s">
        <v>11600</v>
      </c>
      <c r="T2581" s="15"/>
      <c r="U2581" s="15"/>
      <c r="V2581" s="15"/>
      <c r="W2581" s="15"/>
      <c r="X2581" s="15"/>
      <c r="Y2581" s="15"/>
      <c r="Z2581" s="15"/>
      <c r="AA2581" s="15"/>
    </row>
    <row r="2582">
      <c r="A2582" s="5" t="s">
        <v>11541</v>
      </c>
      <c r="B2582" s="131" t="s">
        <v>11601</v>
      </c>
      <c r="C2582" s="40" t="s">
        <v>11602</v>
      </c>
      <c r="D2582" s="11"/>
      <c r="E2582" s="11" t="s">
        <v>207</v>
      </c>
      <c r="F2582" s="90">
        <v>3000.0</v>
      </c>
      <c r="G2582" s="290" t="s">
        <v>11603</v>
      </c>
      <c r="H2582" s="11" t="s">
        <v>44</v>
      </c>
      <c r="I2582" s="276">
        <v>8.944039421E9</v>
      </c>
      <c r="J2582" s="11"/>
      <c r="K2582" s="12"/>
      <c r="L2582" s="12">
        <v>10.75</v>
      </c>
      <c r="M2582" s="11" t="s">
        <v>11604</v>
      </c>
      <c r="N2582" s="5" t="s">
        <v>11605</v>
      </c>
      <c r="O2582" s="5" t="s">
        <v>34</v>
      </c>
      <c r="P2582" s="5" t="s">
        <v>2952</v>
      </c>
      <c r="Q2582" s="5" t="s">
        <v>9387</v>
      </c>
      <c r="R2582" s="16" t="s">
        <v>28</v>
      </c>
      <c r="S2582" s="15"/>
      <c r="T2582" s="15"/>
      <c r="U2582" s="15"/>
      <c r="V2582" s="15"/>
      <c r="W2582" s="15"/>
      <c r="X2582" s="15"/>
      <c r="Y2582" s="15"/>
      <c r="Z2582" s="15"/>
      <c r="AA2582" s="15"/>
    </row>
    <row r="2583">
      <c r="A2583" s="5" t="s">
        <v>11606</v>
      </c>
      <c r="B2583" s="131" t="s">
        <v>11607</v>
      </c>
      <c r="C2583" s="40" t="s">
        <v>11168</v>
      </c>
      <c r="D2583" s="11"/>
      <c r="E2583" s="11" t="s">
        <v>10277</v>
      </c>
      <c r="F2583" s="90"/>
      <c r="G2583" s="290" t="s">
        <v>11169</v>
      </c>
      <c r="H2583" s="11" t="s">
        <v>822</v>
      </c>
      <c r="I2583" s="276">
        <v>8.918746005E9</v>
      </c>
      <c r="J2583" s="11"/>
      <c r="K2583" s="12" t="s">
        <v>8542</v>
      </c>
      <c r="L2583" s="13"/>
      <c r="M2583" s="11" t="s">
        <v>7965</v>
      </c>
      <c r="N2583" s="5" t="s">
        <v>11608</v>
      </c>
      <c r="O2583" s="5" t="s">
        <v>26</v>
      </c>
      <c r="P2583" s="5" t="s">
        <v>11609</v>
      </c>
      <c r="Q2583" s="351" t="s">
        <v>11610</v>
      </c>
      <c r="R2583" s="16" t="s">
        <v>634</v>
      </c>
      <c r="S2583" s="15"/>
      <c r="T2583" s="15"/>
      <c r="U2583" s="15"/>
      <c r="V2583" s="15"/>
      <c r="W2583" s="15"/>
      <c r="X2583" s="15"/>
      <c r="Y2583" s="15"/>
      <c r="Z2583" s="15"/>
      <c r="AA2583" s="15"/>
    </row>
    <row r="2584">
      <c r="A2584" s="5" t="s">
        <v>11606</v>
      </c>
      <c r="B2584" s="131" t="s">
        <v>11611</v>
      </c>
      <c r="C2584" s="40" t="s">
        <v>11612</v>
      </c>
      <c r="D2584" s="11"/>
      <c r="E2584" s="11" t="s">
        <v>11613</v>
      </c>
      <c r="F2584" s="90">
        <v>1000.0</v>
      </c>
      <c r="G2584" s="290" t="s">
        <v>11614</v>
      </c>
      <c r="H2584" s="11" t="s">
        <v>11615</v>
      </c>
      <c r="I2584" s="276">
        <v>9.153897195E9</v>
      </c>
      <c r="J2584" s="11"/>
      <c r="K2584" s="12"/>
      <c r="L2584" s="13"/>
      <c r="M2584" s="14"/>
      <c r="N2584" s="15"/>
      <c r="O2584" s="5" t="s">
        <v>26</v>
      </c>
      <c r="P2584" s="15"/>
      <c r="Q2584" s="15"/>
      <c r="R2584" s="16" t="s">
        <v>28</v>
      </c>
      <c r="S2584" s="15"/>
      <c r="T2584" s="15"/>
      <c r="U2584" s="15"/>
      <c r="V2584" s="15"/>
      <c r="W2584" s="15"/>
      <c r="X2584" s="15"/>
      <c r="Y2584" s="15"/>
      <c r="Z2584" s="15"/>
      <c r="AA2584" s="15"/>
    </row>
    <row r="2585" ht="65.25" customHeight="1">
      <c r="A2585" s="5" t="s">
        <v>11606</v>
      </c>
      <c r="B2585" s="131" t="s">
        <v>11616</v>
      </c>
      <c r="C2585" s="40" t="s">
        <v>11617</v>
      </c>
      <c r="D2585" s="11"/>
      <c r="E2585" s="11" t="s">
        <v>11618</v>
      </c>
      <c r="F2585" s="90" t="s">
        <v>11619</v>
      </c>
      <c r="G2585" s="322" t="s">
        <v>11620</v>
      </c>
      <c r="H2585" s="11" t="s">
        <v>44</v>
      </c>
      <c r="I2585" s="276">
        <v>9.836276656E9</v>
      </c>
      <c r="J2585" s="11"/>
      <c r="K2585" s="12" t="s">
        <v>11621</v>
      </c>
      <c r="L2585" s="12"/>
      <c r="M2585" s="12" t="s">
        <v>11622</v>
      </c>
      <c r="N2585" s="11" t="s">
        <v>11623</v>
      </c>
      <c r="O2585" s="5" t="s">
        <v>34</v>
      </c>
      <c r="P2585" s="5" t="s">
        <v>727</v>
      </c>
      <c r="Q2585" s="5" t="s">
        <v>777</v>
      </c>
      <c r="R2585" s="16" t="s">
        <v>634</v>
      </c>
      <c r="S2585" s="15"/>
      <c r="T2585" s="15"/>
      <c r="U2585" s="15"/>
      <c r="V2585" s="15"/>
      <c r="W2585" s="15"/>
      <c r="X2585" s="15"/>
      <c r="Y2585" s="15"/>
      <c r="Z2585" s="15"/>
      <c r="AA2585" s="15"/>
    </row>
    <row r="2586">
      <c r="A2586" s="5" t="s">
        <v>11606</v>
      </c>
      <c r="B2586" s="131" t="s">
        <v>11624</v>
      </c>
      <c r="C2586" s="40" t="s">
        <v>11625</v>
      </c>
      <c r="D2586" s="11"/>
      <c r="E2586" s="11" t="s">
        <v>593</v>
      </c>
      <c r="F2586" s="90">
        <v>500.0</v>
      </c>
      <c r="G2586" s="290" t="s">
        <v>11626</v>
      </c>
      <c r="H2586" s="11" t="s">
        <v>8781</v>
      </c>
      <c r="I2586" s="276">
        <v>9.8300397E9</v>
      </c>
      <c r="J2586" s="11"/>
      <c r="K2586" s="12" t="s">
        <v>4099</v>
      </c>
      <c r="L2586" s="13"/>
      <c r="M2586" s="11" t="s">
        <v>11627</v>
      </c>
      <c r="N2586" s="5" t="s">
        <v>11628</v>
      </c>
      <c r="O2586" s="5" t="s">
        <v>34</v>
      </c>
      <c r="P2586" s="5" t="s">
        <v>55</v>
      </c>
      <c r="Q2586" s="15"/>
      <c r="R2586" s="16" t="s">
        <v>723</v>
      </c>
      <c r="S2586" s="15"/>
      <c r="T2586" s="15"/>
      <c r="U2586" s="15"/>
      <c r="V2586" s="15"/>
      <c r="W2586" s="15"/>
      <c r="X2586" s="15"/>
      <c r="Y2586" s="15"/>
      <c r="Z2586" s="15"/>
      <c r="AA2586" s="15"/>
    </row>
    <row r="2587">
      <c r="A2587" s="5" t="s">
        <v>11606</v>
      </c>
      <c r="B2587" s="131" t="s">
        <v>11629</v>
      </c>
      <c r="C2587" s="40" t="s">
        <v>11630</v>
      </c>
      <c r="D2587" s="11"/>
      <c r="E2587" s="11" t="s">
        <v>357</v>
      </c>
      <c r="F2587" s="90"/>
      <c r="G2587" s="290" t="s">
        <v>11631</v>
      </c>
      <c r="H2587" s="11" t="s">
        <v>44</v>
      </c>
      <c r="I2587" s="276">
        <v>9.832145655E9</v>
      </c>
      <c r="J2587" s="11"/>
      <c r="K2587" s="12" t="s">
        <v>11632</v>
      </c>
      <c r="L2587" s="13"/>
      <c r="M2587" s="11" t="s">
        <v>8348</v>
      </c>
      <c r="N2587" s="5" t="s">
        <v>11633</v>
      </c>
      <c r="O2587" s="5" t="s">
        <v>26</v>
      </c>
      <c r="P2587" s="5" t="s">
        <v>3287</v>
      </c>
      <c r="Q2587" s="5" t="s">
        <v>1619</v>
      </c>
      <c r="R2587" s="16" t="s">
        <v>723</v>
      </c>
      <c r="S2587" s="15"/>
      <c r="T2587" s="15"/>
      <c r="U2587" s="15"/>
      <c r="V2587" s="15"/>
      <c r="W2587" s="15"/>
      <c r="X2587" s="15"/>
      <c r="Y2587" s="15"/>
      <c r="Z2587" s="15"/>
      <c r="AA2587" s="15"/>
    </row>
    <row r="2588">
      <c r="A2588" s="5" t="s">
        <v>11606</v>
      </c>
      <c r="B2588" s="131" t="s">
        <v>11634</v>
      </c>
      <c r="C2588" s="40" t="s">
        <v>11635</v>
      </c>
      <c r="D2588" s="11"/>
      <c r="E2588" s="11" t="s">
        <v>11636</v>
      </c>
      <c r="F2588" s="90" t="s">
        <v>11637</v>
      </c>
      <c r="G2588" s="290" t="s">
        <v>11638</v>
      </c>
      <c r="H2588" s="11" t="s">
        <v>11639</v>
      </c>
      <c r="I2588" s="276">
        <v>9.732067595E9</v>
      </c>
      <c r="J2588" s="11"/>
      <c r="K2588" s="12"/>
      <c r="L2588" s="13"/>
      <c r="M2588" s="14"/>
      <c r="N2588" s="15"/>
      <c r="O2588" s="5" t="s">
        <v>26</v>
      </c>
      <c r="P2588" s="5" t="s">
        <v>11640</v>
      </c>
      <c r="Q2588" s="15"/>
      <c r="R2588" s="16" t="s">
        <v>28</v>
      </c>
      <c r="S2588" s="15"/>
      <c r="T2588" s="15"/>
      <c r="U2588" s="15"/>
      <c r="V2588" s="15"/>
      <c r="W2588" s="15"/>
      <c r="X2588" s="15"/>
      <c r="Y2588" s="15"/>
      <c r="Z2588" s="15"/>
      <c r="AA2588" s="15"/>
    </row>
    <row r="2589">
      <c r="A2589" s="5" t="s">
        <v>11606</v>
      </c>
      <c r="B2589" s="131" t="s">
        <v>11641</v>
      </c>
      <c r="C2589" s="40" t="s">
        <v>11642</v>
      </c>
      <c r="D2589" s="11"/>
      <c r="E2589" s="11" t="s">
        <v>6275</v>
      </c>
      <c r="F2589" s="90"/>
      <c r="G2589" s="321"/>
      <c r="H2589" s="11" t="s">
        <v>507</v>
      </c>
      <c r="I2589" s="276">
        <v>9.623931013E9</v>
      </c>
      <c r="J2589" s="11"/>
      <c r="K2589" s="12" t="s">
        <v>8753</v>
      </c>
      <c r="L2589" s="13"/>
      <c r="M2589" s="14"/>
      <c r="N2589" s="15"/>
      <c r="O2589" s="5" t="s">
        <v>108</v>
      </c>
      <c r="P2589" s="15"/>
      <c r="Q2589" s="15"/>
      <c r="R2589" s="16" t="s">
        <v>28</v>
      </c>
      <c r="S2589" s="15"/>
      <c r="T2589" s="15"/>
      <c r="U2589" s="15"/>
      <c r="V2589" s="15"/>
      <c r="W2589" s="15"/>
      <c r="X2589" s="15"/>
      <c r="Y2589" s="15"/>
      <c r="Z2589" s="15"/>
      <c r="AA2589" s="15"/>
    </row>
    <row r="2590">
      <c r="A2590" s="5" t="s">
        <v>11606</v>
      </c>
      <c r="B2590" s="131" t="s">
        <v>11643</v>
      </c>
      <c r="C2590" s="40" t="s">
        <v>11644</v>
      </c>
      <c r="D2590" s="11"/>
      <c r="E2590" s="11" t="s">
        <v>31</v>
      </c>
      <c r="F2590" s="90"/>
      <c r="G2590" s="290" t="s">
        <v>11645</v>
      </c>
      <c r="H2590" s="11" t="s">
        <v>11646</v>
      </c>
      <c r="I2590" s="276">
        <v>7.03862134E9</v>
      </c>
      <c r="J2590" s="11"/>
      <c r="K2590" s="12" t="s">
        <v>8753</v>
      </c>
      <c r="L2590" s="12">
        <v>6.0</v>
      </c>
      <c r="M2590" s="11" t="s">
        <v>9901</v>
      </c>
      <c r="N2590" s="5" t="s">
        <v>11647</v>
      </c>
      <c r="O2590" s="5" t="s">
        <v>108</v>
      </c>
      <c r="P2590" s="5" t="s">
        <v>11648</v>
      </c>
      <c r="Q2590" s="15"/>
      <c r="R2590" s="16" t="s">
        <v>634</v>
      </c>
      <c r="S2590" s="15"/>
      <c r="T2590" s="15"/>
      <c r="U2590" s="15"/>
      <c r="V2590" s="15"/>
      <c r="W2590" s="15"/>
      <c r="X2590" s="15"/>
      <c r="Y2590" s="15"/>
      <c r="Z2590" s="15"/>
      <c r="AA2590" s="15"/>
    </row>
    <row r="2591">
      <c r="A2591" s="5" t="s">
        <v>11649</v>
      </c>
      <c r="B2591" s="131" t="s">
        <v>11650</v>
      </c>
      <c r="C2591" s="40" t="s">
        <v>11651</v>
      </c>
      <c r="D2591" s="11"/>
      <c r="E2591" s="11" t="s">
        <v>3456</v>
      </c>
      <c r="F2591" s="90" t="s">
        <v>8339</v>
      </c>
      <c r="G2591" s="290" t="s">
        <v>11652</v>
      </c>
      <c r="H2591" s="11" t="s">
        <v>11653</v>
      </c>
      <c r="I2591" s="276">
        <v>8.005530191E9</v>
      </c>
      <c r="J2591" s="11"/>
      <c r="K2591" s="12" t="s">
        <v>11654</v>
      </c>
      <c r="L2591" s="13"/>
      <c r="M2591" s="11" t="s">
        <v>11655</v>
      </c>
      <c r="N2591" s="15"/>
      <c r="O2591" s="5" t="s">
        <v>26</v>
      </c>
      <c r="P2591" s="5" t="s">
        <v>11656</v>
      </c>
      <c r="Q2591" s="15"/>
      <c r="R2591" s="16" t="s">
        <v>723</v>
      </c>
      <c r="S2591" s="15"/>
      <c r="T2591" s="15"/>
      <c r="U2591" s="15"/>
      <c r="V2591" s="15"/>
      <c r="W2591" s="15"/>
      <c r="X2591" s="15"/>
      <c r="Y2591" s="15"/>
      <c r="Z2591" s="15"/>
      <c r="AA2591" s="15"/>
    </row>
    <row r="2592">
      <c r="A2592" s="5" t="s">
        <v>11649</v>
      </c>
      <c r="B2592" s="131" t="s">
        <v>11657</v>
      </c>
      <c r="C2592" s="40" t="s">
        <v>11658</v>
      </c>
      <c r="D2592" s="11"/>
      <c r="E2592" s="11" t="s">
        <v>2685</v>
      </c>
      <c r="F2592" s="90">
        <v>500.0</v>
      </c>
      <c r="G2592" s="322" t="s">
        <v>11659</v>
      </c>
      <c r="H2592" s="11" t="s">
        <v>11660</v>
      </c>
      <c r="I2592" s="276">
        <v>9.804837689E9</v>
      </c>
      <c r="J2592" s="11"/>
      <c r="K2592" s="12" t="s">
        <v>11661</v>
      </c>
      <c r="L2592" s="13"/>
      <c r="M2592" s="11" t="s">
        <v>9177</v>
      </c>
      <c r="N2592" s="5" t="s">
        <v>11662</v>
      </c>
      <c r="O2592" s="5" t="s">
        <v>34</v>
      </c>
      <c r="P2592" s="11" t="s">
        <v>11663</v>
      </c>
      <c r="Q2592" s="15"/>
      <c r="R2592" s="16" t="s">
        <v>723</v>
      </c>
      <c r="S2592" s="15"/>
      <c r="T2592" s="15"/>
      <c r="U2592" s="15"/>
      <c r="V2592" s="15"/>
      <c r="W2592" s="15"/>
      <c r="X2592" s="15"/>
      <c r="Y2592" s="15"/>
      <c r="Z2592" s="15"/>
      <c r="AA2592" s="15"/>
    </row>
    <row r="2593">
      <c r="A2593" s="5" t="s">
        <v>11649</v>
      </c>
      <c r="B2593" s="131" t="s">
        <v>11664</v>
      </c>
      <c r="C2593" s="62" t="s">
        <v>11665</v>
      </c>
      <c r="D2593" s="11"/>
      <c r="E2593" s="11" t="s">
        <v>11666</v>
      </c>
      <c r="F2593" s="90">
        <v>2500.0</v>
      </c>
      <c r="G2593" s="359" t="s">
        <v>11667</v>
      </c>
      <c r="H2593" s="11" t="s">
        <v>11668</v>
      </c>
      <c r="I2593" s="276">
        <v>9.925231362E9</v>
      </c>
      <c r="J2593" s="11"/>
      <c r="K2593" s="12" t="s">
        <v>11669</v>
      </c>
      <c r="L2593" s="13"/>
      <c r="M2593" s="11" t="s">
        <v>9879</v>
      </c>
      <c r="N2593" s="5" t="s">
        <v>11670</v>
      </c>
      <c r="O2593" s="5" t="s">
        <v>108</v>
      </c>
      <c r="P2593" s="5" t="s">
        <v>11671</v>
      </c>
      <c r="Q2593" s="15"/>
      <c r="R2593" s="16" t="s">
        <v>634</v>
      </c>
      <c r="S2593" s="15"/>
      <c r="T2593" s="15"/>
      <c r="U2593" s="15"/>
      <c r="V2593" s="15"/>
      <c r="W2593" s="15"/>
      <c r="X2593" s="15"/>
      <c r="Y2593" s="15"/>
      <c r="Z2593" s="15"/>
      <c r="AA2593" s="15"/>
    </row>
    <row r="2594">
      <c r="A2594" s="5" t="s">
        <v>11649</v>
      </c>
      <c r="B2594" s="131" t="s">
        <v>11672</v>
      </c>
      <c r="C2594" s="62" t="s">
        <v>11673</v>
      </c>
      <c r="D2594" s="11"/>
      <c r="E2594" s="11" t="s">
        <v>11674</v>
      </c>
      <c r="F2594" s="90">
        <v>2000.0</v>
      </c>
      <c r="G2594" s="322" t="s">
        <v>11675</v>
      </c>
      <c r="H2594" s="11" t="s">
        <v>11676</v>
      </c>
      <c r="I2594" s="276">
        <v>9.831360394E9</v>
      </c>
      <c r="J2594" s="11"/>
      <c r="K2594" s="12" t="s">
        <v>11677</v>
      </c>
      <c r="L2594" s="13"/>
      <c r="M2594" s="11" t="s">
        <v>11627</v>
      </c>
      <c r="N2594" s="5" t="s">
        <v>11678</v>
      </c>
      <c r="O2594" s="5" t="s">
        <v>26</v>
      </c>
      <c r="P2594" s="5" t="s">
        <v>1619</v>
      </c>
      <c r="Q2594" s="5" t="s">
        <v>1544</v>
      </c>
      <c r="R2594" s="16" t="s">
        <v>634</v>
      </c>
      <c r="S2594" s="15"/>
      <c r="T2594" s="15"/>
      <c r="U2594" s="15"/>
      <c r="V2594" s="15"/>
      <c r="W2594" s="15"/>
      <c r="X2594" s="15"/>
      <c r="Y2594" s="15"/>
      <c r="Z2594" s="15"/>
      <c r="AA2594" s="15"/>
    </row>
    <row r="2595">
      <c r="A2595" s="5" t="s">
        <v>11679</v>
      </c>
      <c r="B2595" s="131" t="s">
        <v>11680</v>
      </c>
      <c r="C2595" s="40" t="s">
        <v>11681</v>
      </c>
      <c r="D2595" s="11"/>
      <c r="E2595" s="11" t="s">
        <v>11682</v>
      </c>
      <c r="F2595" s="90"/>
      <c r="G2595" s="290" t="s">
        <v>11683</v>
      </c>
      <c r="H2595" s="11" t="s">
        <v>49</v>
      </c>
      <c r="I2595" s="276">
        <v>9.064703291E9</v>
      </c>
      <c r="J2595" s="11"/>
      <c r="K2595" s="12" t="s">
        <v>8677</v>
      </c>
      <c r="L2595" s="13"/>
      <c r="M2595" s="14"/>
      <c r="N2595" s="15"/>
      <c r="O2595" s="5" t="s">
        <v>26</v>
      </c>
      <c r="P2595" s="15"/>
      <c r="Q2595" s="15"/>
      <c r="R2595" s="16" t="s">
        <v>28</v>
      </c>
      <c r="S2595" s="15"/>
      <c r="T2595" s="15"/>
      <c r="U2595" s="15"/>
      <c r="V2595" s="15"/>
      <c r="W2595" s="15"/>
      <c r="X2595" s="15"/>
      <c r="Y2595" s="15"/>
      <c r="Z2595" s="15"/>
      <c r="AA2595" s="15"/>
    </row>
    <row r="2596">
      <c r="A2596" s="5" t="s">
        <v>11679</v>
      </c>
      <c r="B2596" s="131" t="s">
        <v>11684</v>
      </c>
      <c r="C2596" s="40" t="s">
        <v>11685</v>
      </c>
      <c r="D2596" s="11"/>
      <c r="E2596" s="11" t="s">
        <v>9682</v>
      </c>
      <c r="F2596" s="90"/>
      <c r="G2596" s="290" t="s">
        <v>11686</v>
      </c>
      <c r="H2596" s="11" t="s">
        <v>44</v>
      </c>
      <c r="I2596" s="276">
        <v>8.91091508E9</v>
      </c>
      <c r="J2596" s="11"/>
      <c r="K2596" s="12" t="s">
        <v>11687</v>
      </c>
      <c r="L2596" s="13"/>
      <c r="M2596" s="11" t="s">
        <v>9685</v>
      </c>
      <c r="N2596" s="5" t="s">
        <v>11688</v>
      </c>
      <c r="O2596" s="5" t="s">
        <v>26</v>
      </c>
      <c r="P2596" s="5" t="s">
        <v>2537</v>
      </c>
      <c r="Q2596" s="286" t="s">
        <v>11689</v>
      </c>
      <c r="R2596" s="16" t="s">
        <v>634</v>
      </c>
      <c r="S2596" s="15"/>
      <c r="T2596" s="15"/>
      <c r="U2596" s="15"/>
      <c r="V2596" s="15"/>
      <c r="W2596" s="15"/>
      <c r="X2596" s="15"/>
      <c r="Y2596" s="15"/>
      <c r="Z2596" s="15"/>
      <c r="AA2596" s="15"/>
    </row>
    <row r="2597">
      <c r="A2597" s="5" t="s">
        <v>11679</v>
      </c>
      <c r="B2597" s="131" t="s">
        <v>11690</v>
      </c>
      <c r="C2597" s="40" t="s">
        <v>11691</v>
      </c>
      <c r="D2597" s="11"/>
      <c r="E2597" s="11" t="s">
        <v>11692</v>
      </c>
      <c r="F2597" s="90"/>
      <c r="G2597" s="290" t="s">
        <v>11693</v>
      </c>
      <c r="H2597" s="11" t="s">
        <v>11694</v>
      </c>
      <c r="I2597" s="276">
        <v>6.28951325E9</v>
      </c>
      <c r="J2597" s="11"/>
      <c r="K2597" s="12"/>
      <c r="L2597" s="13"/>
      <c r="M2597" s="14"/>
      <c r="N2597" s="15"/>
      <c r="O2597" s="5" t="s">
        <v>26</v>
      </c>
      <c r="P2597" s="5" t="s">
        <v>11695</v>
      </c>
      <c r="Q2597" s="360"/>
      <c r="R2597" s="16" t="s">
        <v>723</v>
      </c>
      <c r="S2597" s="5"/>
      <c r="T2597" s="15"/>
      <c r="U2597" s="15"/>
      <c r="V2597" s="15"/>
      <c r="W2597" s="15"/>
      <c r="X2597" s="15"/>
      <c r="Y2597" s="15"/>
      <c r="Z2597" s="15"/>
      <c r="AA2597" s="15"/>
    </row>
    <row r="2598">
      <c r="A2598" s="5" t="s">
        <v>11679</v>
      </c>
      <c r="B2598" s="131" t="s">
        <v>11696</v>
      </c>
      <c r="C2598" s="40" t="s">
        <v>11697</v>
      </c>
      <c r="D2598" s="11"/>
      <c r="E2598" s="11" t="s">
        <v>22</v>
      </c>
      <c r="F2598" s="90"/>
      <c r="G2598" s="290" t="s">
        <v>11698</v>
      </c>
      <c r="H2598" s="11" t="s">
        <v>11699</v>
      </c>
      <c r="I2598" s="276">
        <v>7.477685377E9</v>
      </c>
      <c r="J2598" s="11"/>
      <c r="K2598" s="12" t="s">
        <v>11700</v>
      </c>
      <c r="L2598" s="13"/>
      <c r="M2598" s="11" t="s">
        <v>9875</v>
      </c>
      <c r="N2598" s="5" t="s">
        <v>11701</v>
      </c>
      <c r="O2598" s="5" t="s">
        <v>26</v>
      </c>
      <c r="P2598" s="5" t="s">
        <v>11702</v>
      </c>
      <c r="Q2598" s="5" t="s">
        <v>1619</v>
      </c>
      <c r="R2598" s="16" t="s">
        <v>634</v>
      </c>
      <c r="S2598" s="15"/>
      <c r="T2598" s="15"/>
      <c r="U2598" s="15"/>
      <c r="V2598" s="15"/>
      <c r="W2598" s="15"/>
      <c r="X2598" s="15"/>
      <c r="Y2598" s="15"/>
      <c r="Z2598" s="15"/>
      <c r="AA2598" s="15"/>
    </row>
    <row r="2599">
      <c r="A2599" s="5" t="s">
        <v>11679</v>
      </c>
      <c r="B2599" s="131" t="s">
        <v>11703</v>
      </c>
      <c r="C2599" s="40" t="s">
        <v>11535</v>
      </c>
      <c r="D2599" s="11"/>
      <c r="E2599" s="11" t="s">
        <v>130</v>
      </c>
      <c r="F2599" s="90"/>
      <c r="G2599" s="321"/>
      <c r="H2599" s="11" t="s">
        <v>44</v>
      </c>
      <c r="I2599" s="276">
        <v>9.739420125E9</v>
      </c>
      <c r="J2599" s="11"/>
      <c r="K2599" s="12" t="s">
        <v>11432</v>
      </c>
      <c r="L2599" s="13"/>
      <c r="M2599" s="14"/>
      <c r="N2599" s="15"/>
      <c r="O2599" s="5" t="s">
        <v>26</v>
      </c>
      <c r="P2599" s="284" t="s">
        <v>11704</v>
      </c>
      <c r="Q2599" s="284" t="s">
        <v>1619</v>
      </c>
      <c r="R2599" s="16" t="s">
        <v>28</v>
      </c>
      <c r="S2599" s="15"/>
      <c r="T2599" s="15"/>
      <c r="U2599" s="15"/>
      <c r="V2599" s="15"/>
      <c r="W2599" s="15"/>
      <c r="X2599" s="15"/>
      <c r="Y2599" s="15"/>
      <c r="Z2599" s="15"/>
      <c r="AA2599" s="15"/>
    </row>
    <row r="2600">
      <c r="A2600" s="5" t="s">
        <v>11705</v>
      </c>
      <c r="B2600" s="131" t="s">
        <v>11706</v>
      </c>
      <c r="C2600" s="40" t="s">
        <v>11707</v>
      </c>
      <c r="D2600" s="11"/>
      <c r="E2600" s="11" t="s">
        <v>167</v>
      </c>
      <c r="F2600" s="90">
        <v>5000.0</v>
      </c>
      <c r="G2600" s="321"/>
      <c r="H2600" s="11" t="s">
        <v>1691</v>
      </c>
      <c r="I2600" s="276">
        <v>9.434114503E9</v>
      </c>
      <c r="J2600" s="11" t="s">
        <v>11708</v>
      </c>
      <c r="K2600" s="12" t="s">
        <v>3443</v>
      </c>
      <c r="L2600" s="13"/>
      <c r="M2600" s="14"/>
      <c r="N2600" s="15"/>
      <c r="O2600" s="5" t="s">
        <v>26</v>
      </c>
      <c r="P2600" s="15"/>
      <c r="Q2600" s="15"/>
      <c r="R2600" s="16" t="s">
        <v>28</v>
      </c>
      <c r="S2600" s="15"/>
      <c r="T2600" s="15"/>
      <c r="U2600" s="15"/>
      <c r="V2600" s="15"/>
      <c r="W2600" s="15"/>
      <c r="X2600" s="15"/>
      <c r="Y2600" s="15"/>
      <c r="Z2600" s="15"/>
      <c r="AA2600" s="15"/>
    </row>
    <row r="2601">
      <c r="A2601" s="5" t="s">
        <v>11705</v>
      </c>
      <c r="B2601" s="131" t="s">
        <v>11709</v>
      </c>
      <c r="C2601" s="40" t="s">
        <v>11710</v>
      </c>
      <c r="D2601" s="11"/>
      <c r="E2601" s="11" t="s">
        <v>227</v>
      </c>
      <c r="F2601" s="9">
        <v>16000.0</v>
      </c>
      <c r="G2601" s="322" t="s">
        <v>11711</v>
      </c>
      <c r="H2601" s="11" t="s">
        <v>11041</v>
      </c>
      <c r="I2601" s="276">
        <v>9.340904041E9</v>
      </c>
      <c r="J2601" s="11"/>
      <c r="K2601" s="12" t="s">
        <v>2995</v>
      </c>
      <c r="L2601" s="13"/>
      <c r="M2601" s="11" t="s">
        <v>9298</v>
      </c>
      <c r="N2601" s="5" t="s">
        <v>11712</v>
      </c>
      <c r="O2601" s="5" t="s">
        <v>26</v>
      </c>
      <c r="P2601" s="5" t="s">
        <v>1619</v>
      </c>
      <c r="Q2601" s="284" t="s">
        <v>11713</v>
      </c>
      <c r="R2601" s="16" t="s">
        <v>723</v>
      </c>
      <c r="S2601" s="15"/>
      <c r="T2601" s="15"/>
      <c r="U2601" s="15"/>
      <c r="V2601" s="15"/>
      <c r="W2601" s="15"/>
      <c r="X2601" s="15"/>
      <c r="Y2601" s="15"/>
      <c r="Z2601" s="15"/>
      <c r="AA2601" s="15"/>
    </row>
    <row r="2602">
      <c r="A2602" s="5" t="s">
        <v>11705</v>
      </c>
      <c r="B2602" s="131" t="s">
        <v>11714</v>
      </c>
      <c r="C2602" s="62" t="s">
        <v>11715</v>
      </c>
      <c r="D2602" s="11"/>
      <c r="E2602" s="11" t="s">
        <v>9634</v>
      </c>
      <c r="F2602" s="9">
        <v>25000.0</v>
      </c>
      <c r="G2602" s="322" t="s">
        <v>11716</v>
      </c>
      <c r="H2602" s="11" t="s">
        <v>99</v>
      </c>
      <c r="I2602" s="276">
        <v>7.873220096E9</v>
      </c>
      <c r="J2602" s="11"/>
      <c r="K2602" s="12"/>
      <c r="L2602" s="13"/>
      <c r="M2602" s="11" t="s">
        <v>10656</v>
      </c>
      <c r="N2602" s="5" t="s">
        <v>11717</v>
      </c>
      <c r="O2602" s="5" t="s">
        <v>11367</v>
      </c>
      <c r="P2602" s="5" t="s">
        <v>11718</v>
      </c>
      <c r="Q2602" s="11" t="s">
        <v>11719</v>
      </c>
      <c r="R2602" s="16" t="s">
        <v>723</v>
      </c>
      <c r="S2602" s="15"/>
      <c r="T2602" s="15"/>
      <c r="U2602" s="15"/>
      <c r="V2602" s="15"/>
      <c r="W2602" s="15"/>
      <c r="X2602" s="15"/>
      <c r="Y2602" s="15"/>
      <c r="Z2602" s="15"/>
      <c r="AA2602" s="15"/>
    </row>
    <row r="2603">
      <c r="A2603" s="5" t="s">
        <v>11705</v>
      </c>
      <c r="B2603" s="131" t="s">
        <v>11720</v>
      </c>
      <c r="C2603" s="40" t="s">
        <v>6486</v>
      </c>
      <c r="D2603" s="11"/>
      <c r="E2603" s="11" t="s">
        <v>10426</v>
      </c>
      <c r="F2603" s="90"/>
      <c r="G2603" s="321"/>
      <c r="H2603" s="11" t="s">
        <v>519</v>
      </c>
      <c r="I2603" s="276">
        <v>9.033140074E9</v>
      </c>
      <c r="J2603" s="11"/>
      <c r="K2603" s="12"/>
      <c r="L2603" s="13"/>
      <c r="M2603" s="14"/>
      <c r="N2603" s="15"/>
      <c r="O2603" s="5" t="s">
        <v>108</v>
      </c>
      <c r="P2603" s="5" t="s">
        <v>11721</v>
      </c>
      <c r="Q2603" s="15"/>
      <c r="R2603" s="16" t="s">
        <v>28</v>
      </c>
      <c r="S2603" s="15"/>
      <c r="T2603" s="15"/>
      <c r="U2603" s="15"/>
      <c r="V2603" s="15"/>
      <c r="W2603" s="15"/>
      <c r="X2603" s="15"/>
      <c r="Y2603" s="15"/>
      <c r="Z2603" s="15"/>
      <c r="AA2603" s="15"/>
    </row>
    <row r="2604">
      <c r="A2604" s="5" t="s">
        <v>11705</v>
      </c>
      <c r="B2604" s="131" t="s">
        <v>11722</v>
      </c>
      <c r="C2604" s="40" t="s">
        <v>11723</v>
      </c>
      <c r="D2604" s="11"/>
      <c r="E2604" s="11" t="s">
        <v>576</v>
      </c>
      <c r="F2604" s="90">
        <v>1000.0</v>
      </c>
      <c r="G2604" s="290" t="s">
        <v>11724</v>
      </c>
      <c r="H2604" s="11" t="s">
        <v>11725</v>
      </c>
      <c r="I2604" s="276">
        <v>9.709718807E9</v>
      </c>
      <c r="J2604" s="11"/>
      <c r="K2604" s="12" t="s">
        <v>11726</v>
      </c>
      <c r="L2604" s="13"/>
      <c r="M2604" s="11" t="s">
        <v>7718</v>
      </c>
      <c r="N2604" s="5" t="s">
        <v>11727</v>
      </c>
      <c r="O2604" s="5" t="s">
        <v>26</v>
      </c>
      <c r="P2604" s="5" t="s">
        <v>2632</v>
      </c>
      <c r="Q2604" s="5" t="s">
        <v>11728</v>
      </c>
      <c r="R2604" s="16" t="s">
        <v>634</v>
      </c>
      <c r="S2604" s="15"/>
      <c r="T2604" s="15"/>
      <c r="U2604" s="15"/>
      <c r="V2604" s="15"/>
      <c r="W2604" s="15"/>
      <c r="X2604" s="15"/>
      <c r="Y2604" s="15"/>
      <c r="Z2604" s="15"/>
      <c r="AA2604" s="15"/>
    </row>
    <row r="2605">
      <c r="A2605" s="5" t="s">
        <v>11705</v>
      </c>
      <c r="B2605" s="131" t="s">
        <v>11729</v>
      </c>
      <c r="C2605" s="40" t="s">
        <v>11730</v>
      </c>
      <c r="D2605" s="11"/>
      <c r="E2605" s="11" t="s">
        <v>1565</v>
      </c>
      <c r="F2605" s="90">
        <v>15000.0</v>
      </c>
      <c r="G2605" s="321"/>
      <c r="H2605" s="11" t="s">
        <v>44</v>
      </c>
      <c r="I2605" s="276">
        <v>7.00358664E9</v>
      </c>
      <c r="J2605" s="11"/>
      <c r="K2605" s="12" t="s">
        <v>11731</v>
      </c>
      <c r="L2605" s="13"/>
      <c r="M2605" s="14"/>
      <c r="N2605" s="15"/>
      <c r="O2605" s="5" t="s">
        <v>26</v>
      </c>
      <c r="P2605" s="11" t="s">
        <v>11732</v>
      </c>
      <c r="Q2605" s="15"/>
      <c r="R2605" s="16" t="s">
        <v>28</v>
      </c>
      <c r="S2605" s="15"/>
      <c r="T2605" s="15"/>
      <c r="U2605" s="15"/>
      <c r="V2605" s="15"/>
      <c r="W2605" s="15"/>
      <c r="X2605" s="15"/>
      <c r="Y2605" s="15"/>
      <c r="Z2605" s="15"/>
      <c r="AA2605" s="15"/>
    </row>
    <row r="2606">
      <c r="A2606" s="5" t="s">
        <v>11705</v>
      </c>
      <c r="B2606" s="131" t="s">
        <v>11733</v>
      </c>
      <c r="C2606" s="40" t="s">
        <v>11734</v>
      </c>
      <c r="D2606" s="11"/>
      <c r="E2606" s="11" t="s">
        <v>167</v>
      </c>
      <c r="F2606" s="90">
        <v>1500.0</v>
      </c>
      <c r="G2606" s="290" t="s">
        <v>11735</v>
      </c>
      <c r="H2606" s="11" t="s">
        <v>44</v>
      </c>
      <c r="I2606" s="276">
        <v>9.874822249E9</v>
      </c>
      <c r="J2606" s="11" t="s">
        <v>7109</v>
      </c>
      <c r="K2606" s="12" t="s">
        <v>3443</v>
      </c>
      <c r="L2606" s="13"/>
      <c r="M2606" s="11" t="s">
        <v>9949</v>
      </c>
      <c r="N2606" s="5" t="s">
        <v>11736</v>
      </c>
      <c r="O2606" s="5" t="s">
        <v>26</v>
      </c>
      <c r="P2606" s="5" t="s">
        <v>11737</v>
      </c>
      <c r="Q2606" s="15"/>
      <c r="R2606" s="16" t="s">
        <v>634</v>
      </c>
      <c r="S2606" s="15"/>
      <c r="T2606" s="15"/>
      <c r="U2606" s="15"/>
      <c r="V2606" s="15"/>
      <c r="W2606" s="15"/>
      <c r="X2606" s="15"/>
      <c r="Y2606" s="15"/>
      <c r="Z2606" s="15"/>
      <c r="AA2606" s="15"/>
    </row>
    <row r="2607">
      <c r="A2607" s="5" t="s">
        <v>11705</v>
      </c>
      <c r="B2607" s="131" t="s">
        <v>11738</v>
      </c>
      <c r="C2607" s="40" t="s">
        <v>11739</v>
      </c>
      <c r="D2607" s="11"/>
      <c r="E2607" s="11" t="s">
        <v>11740</v>
      </c>
      <c r="F2607" s="90">
        <v>5.0</v>
      </c>
      <c r="G2607" s="290" t="s">
        <v>11741</v>
      </c>
      <c r="H2607" s="11" t="s">
        <v>44</v>
      </c>
      <c r="I2607" s="276">
        <v>6.291230036E9</v>
      </c>
      <c r="J2607" s="11"/>
      <c r="K2607" s="12" t="s">
        <v>8753</v>
      </c>
      <c r="L2607" s="13"/>
      <c r="M2607" s="14"/>
      <c r="N2607" s="15"/>
      <c r="O2607" s="5" t="s">
        <v>26</v>
      </c>
      <c r="P2607" s="11" t="s">
        <v>11742</v>
      </c>
      <c r="Q2607" s="15"/>
      <c r="R2607" s="16" t="s">
        <v>28</v>
      </c>
      <c r="S2607" s="15"/>
      <c r="T2607" s="15"/>
      <c r="U2607" s="15"/>
      <c r="V2607" s="15"/>
      <c r="W2607" s="15"/>
      <c r="X2607" s="15"/>
      <c r="Y2607" s="15"/>
      <c r="Z2607" s="15"/>
      <c r="AA2607" s="15"/>
    </row>
    <row r="2608">
      <c r="A2608" s="5" t="s">
        <v>11705</v>
      </c>
      <c r="B2608" s="131" t="s">
        <v>11743</v>
      </c>
      <c r="C2608" s="40" t="s">
        <v>11744</v>
      </c>
      <c r="D2608" s="11"/>
      <c r="E2608" s="11" t="s">
        <v>11581</v>
      </c>
      <c r="F2608" s="9">
        <v>5500000.0</v>
      </c>
      <c r="G2608" s="290" t="s">
        <v>11745</v>
      </c>
      <c r="H2608" s="11" t="s">
        <v>44</v>
      </c>
      <c r="I2608" s="276">
        <v>6.294902081E9</v>
      </c>
      <c r="J2608" s="11"/>
      <c r="K2608" s="12" t="s">
        <v>8753</v>
      </c>
      <c r="L2608" s="13"/>
      <c r="M2608" s="14"/>
      <c r="N2608" s="15"/>
      <c r="O2608" s="5" t="s">
        <v>26</v>
      </c>
      <c r="P2608" s="15"/>
      <c r="Q2608" s="15"/>
      <c r="R2608" s="16" t="s">
        <v>28</v>
      </c>
      <c r="S2608" s="15"/>
      <c r="T2608" s="15"/>
      <c r="U2608" s="15"/>
      <c r="V2608" s="15"/>
      <c r="W2608" s="15"/>
      <c r="X2608" s="15"/>
      <c r="Y2608" s="15"/>
      <c r="Z2608" s="15"/>
      <c r="AA2608" s="15"/>
    </row>
    <row r="2609">
      <c r="A2609" s="5" t="s">
        <v>11705</v>
      </c>
      <c r="B2609" s="131" t="s">
        <v>11746</v>
      </c>
      <c r="C2609" s="40" t="s">
        <v>11747</v>
      </c>
      <c r="D2609" s="11"/>
      <c r="E2609" s="11" t="s">
        <v>11748</v>
      </c>
      <c r="F2609" s="9">
        <v>20000.0</v>
      </c>
      <c r="G2609" s="290" t="s">
        <v>11749</v>
      </c>
      <c r="H2609" s="11" t="s">
        <v>11750</v>
      </c>
      <c r="I2609" s="276">
        <v>9.007004351E9</v>
      </c>
      <c r="J2609" s="11" t="s">
        <v>11751</v>
      </c>
      <c r="K2609" s="12" t="s">
        <v>8528</v>
      </c>
      <c r="L2609" s="13"/>
      <c r="M2609" s="11" t="s">
        <v>10171</v>
      </c>
      <c r="N2609" s="5" t="s">
        <v>11752</v>
      </c>
      <c r="O2609" s="5" t="s">
        <v>26</v>
      </c>
      <c r="P2609" s="11" t="s">
        <v>11753</v>
      </c>
      <c r="Q2609" s="15"/>
      <c r="R2609" s="16" t="s">
        <v>723</v>
      </c>
      <c r="S2609" s="15"/>
      <c r="T2609" s="15"/>
      <c r="U2609" s="15"/>
      <c r="V2609" s="15"/>
      <c r="W2609" s="15"/>
      <c r="X2609" s="15"/>
      <c r="Y2609" s="15"/>
      <c r="Z2609" s="15"/>
      <c r="AA2609" s="15"/>
    </row>
    <row r="2610">
      <c r="A2610" s="5" t="s">
        <v>11705</v>
      </c>
      <c r="B2610" s="131" t="s">
        <v>11754</v>
      </c>
      <c r="C2610" s="40" t="s">
        <v>11755</v>
      </c>
      <c r="D2610" s="11"/>
      <c r="E2610" s="11" t="s">
        <v>11756</v>
      </c>
      <c r="F2610" s="90"/>
      <c r="G2610" s="290" t="s">
        <v>11757</v>
      </c>
      <c r="H2610" s="11" t="s">
        <v>11758</v>
      </c>
      <c r="I2610" s="276">
        <v>9.598352526E9</v>
      </c>
      <c r="J2610" s="11"/>
      <c r="K2610" s="12" t="s">
        <v>8753</v>
      </c>
      <c r="L2610" s="13"/>
      <c r="M2610" s="14"/>
      <c r="N2610" s="15"/>
      <c r="O2610" s="5" t="s">
        <v>108</v>
      </c>
      <c r="P2610" s="15"/>
      <c r="Q2610" s="15"/>
      <c r="R2610" s="16" t="s">
        <v>28</v>
      </c>
      <c r="S2610" s="15"/>
      <c r="T2610" s="15"/>
      <c r="U2610" s="15"/>
      <c r="V2610" s="15"/>
      <c r="W2610" s="15"/>
      <c r="X2610" s="15"/>
      <c r="Y2610" s="15"/>
      <c r="Z2610" s="15"/>
      <c r="AA2610" s="15"/>
    </row>
    <row r="2611">
      <c r="A2611" s="339" t="s">
        <v>11705</v>
      </c>
      <c r="B2611" s="356" t="s">
        <v>11759</v>
      </c>
      <c r="C2611" s="341" t="s">
        <v>11760</v>
      </c>
      <c r="D2611" s="341"/>
      <c r="E2611" s="341" t="s">
        <v>11279</v>
      </c>
      <c r="F2611" s="342"/>
      <c r="G2611" s="343" t="s">
        <v>11761</v>
      </c>
      <c r="H2611" s="341" t="s">
        <v>7220</v>
      </c>
      <c r="I2611" s="344">
        <v>8.20878917E9</v>
      </c>
      <c r="J2611" s="341"/>
      <c r="K2611" s="345" t="s">
        <v>8753</v>
      </c>
      <c r="L2611" s="346"/>
      <c r="M2611" s="347"/>
      <c r="N2611" s="348"/>
      <c r="O2611" s="339" t="s">
        <v>108</v>
      </c>
      <c r="P2611" s="348"/>
      <c r="Q2611" s="348"/>
      <c r="R2611" s="349" t="s">
        <v>28</v>
      </c>
      <c r="S2611" s="348"/>
      <c r="T2611" s="15"/>
      <c r="U2611" s="15"/>
      <c r="V2611" s="15"/>
      <c r="W2611" s="15"/>
      <c r="X2611" s="15"/>
      <c r="Y2611" s="15"/>
      <c r="Z2611" s="15"/>
      <c r="AA2611" s="15"/>
    </row>
    <row r="2612">
      <c r="A2612" s="5" t="s">
        <v>11705</v>
      </c>
      <c r="B2612" s="131" t="s">
        <v>11762</v>
      </c>
      <c r="C2612" s="40" t="s">
        <v>11763</v>
      </c>
      <c r="D2612" s="11"/>
      <c r="E2612" s="11" t="s">
        <v>6808</v>
      </c>
      <c r="F2612" s="90"/>
      <c r="G2612" s="290" t="s">
        <v>11764</v>
      </c>
      <c r="H2612" s="11" t="s">
        <v>44</v>
      </c>
      <c r="I2612" s="276">
        <v>9.903867909E9</v>
      </c>
      <c r="J2612" s="11"/>
      <c r="K2612" s="12" t="s">
        <v>8753</v>
      </c>
      <c r="L2612" s="13"/>
      <c r="M2612" s="14"/>
      <c r="N2612" s="15"/>
      <c r="O2612" s="5" t="s">
        <v>26</v>
      </c>
      <c r="P2612" s="5" t="s">
        <v>1619</v>
      </c>
      <c r="Q2612" s="15"/>
      <c r="R2612" s="16" t="s">
        <v>28</v>
      </c>
      <c r="S2612" s="15"/>
      <c r="T2612" s="15"/>
      <c r="U2612" s="15"/>
      <c r="V2612" s="15"/>
      <c r="W2612" s="15"/>
      <c r="X2612" s="15"/>
      <c r="Y2612" s="15"/>
      <c r="Z2612" s="15"/>
      <c r="AA2612" s="15"/>
    </row>
    <row r="2613">
      <c r="A2613" s="5" t="s">
        <v>11705</v>
      </c>
      <c r="B2613" s="131" t="s">
        <v>11765</v>
      </c>
      <c r="C2613" s="40" t="s">
        <v>11766</v>
      </c>
      <c r="D2613" s="11"/>
      <c r="E2613" s="11" t="s">
        <v>167</v>
      </c>
      <c r="F2613" s="90"/>
      <c r="G2613" s="290" t="s">
        <v>11767</v>
      </c>
      <c r="H2613" s="11" t="s">
        <v>11768</v>
      </c>
      <c r="I2613" s="276">
        <v>8.780680576E9</v>
      </c>
      <c r="J2613" s="11" t="s">
        <v>25</v>
      </c>
      <c r="K2613" s="12"/>
      <c r="L2613" s="13"/>
      <c r="M2613" s="14"/>
      <c r="N2613" s="15"/>
      <c r="O2613" s="5" t="s">
        <v>108</v>
      </c>
      <c r="P2613" s="5" t="s">
        <v>11769</v>
      </c>
      <c r="Q2613" s="15"/>
      <c r="R2613" s="16" t="s">
        <v>28</v>
      </c>
      <c r="S2613" s="15"/>
      <c r="T2613" s="15"/>
      <c r="U2613" s="15"/>
      <c r="V2613" s="15"/>
      <c r="W2613" s="15"/>
      <c r="X2613" s="15"/>
      <c r="Y2613" s="15"/>
      <c r="Z2613" s="15"/>
      <c r="AA2613" s="15"/>
    </row>
    <row r="2614">
      <c r="A2614" s="5" t="s">
        <v>11770</v>
      </c>
      <c r="B2614" s="131" t="s">
        <v>11771</v>
      </c>
      <c r="C2614" s="40" t="s">
        <v>11772</v>
      </c>
      <c r="D2614" s="11"/>
      <c r="E2614" s="11" t="s">
        <v>5502</v>
      </c>
      <c r="F2614" s="90">
        <v>1000.0</v>
      </c>
      <c r="G2614" s="290" t="s">
        <v>11773</v>
      </c>
      <c r="H2614" s="11" t="s">
        <v>1663</v>
      </c>
      <c r="I2614" s="276">
        <v>8.618246824E9</v>
      </c>
      <c r="J2614" s="11" t="s">
        <v>25</v>
      </c>
      <c r="K2614" s="12"/>
      <c r="L2614" s="12" t="s">
        <v>10885</v>
      </c>
      <c r="M2614" s="11" t="s">
        <v>11774</v>
      </c>
      <c r="N2614" s="5" t="s">
        <v>11775</v>
      </c>
      <c r="O2614" s="5" t="s">
        <v>108</v>
      </c>
      <c r="P2614" s="15"/>
      <c r="Q2614" s="15"/>
      <c r="R2614" s="16" t="s">
        <v>634</v>
      </c>
      <c r="S2614" s="15"/>
      <c r="T2614" s="15"/>
      <c r="U2614" s="15"/>
      <c r="V2614" s="15"/>
      <c r="W2614" s="15"/>
      <c r="X2614" s="15"/>
      <c r="Y2614" s="15"/>
      <c r="Z2614" s="15"/>
      <c r="AA2614" s="15"/>
    </row>
    <row r="2615">
      <c r="A2615" s="5" t="s">
        <v>11770</v>
      </c>
      <c r="B2615" s="131" t="s">
        <v>11776</v>
      </c>
      <c r="C2615" s="62" t="s">
        <v>11777</v>
      </c>
      <c r="D2615" s="11"/>
      <c r="E2615" s="11" t="s">
        <v>11778</v>
      </c>
      <c r="F2615" s="90">
        <v>1000.0</v>
      </c>
      <c r="G2615" s="322" t="s">
        <v>11779</v>
      </c>
      <c r="H2615" s="11" t="s">
        <v>977</v>
      </c>
      <c r="I2615" s="276">
        <v>9.304122214E9</v>
      </c>
      <c r="J2615" s="11"/>
      <c r="K2615" s="12" t="s">
        <v>11780</v>
      </c>
      <c r="L2615" s="13"/>
      <c r="M2615" s="11" t="s">
        <v>11781</v>
      </c>
      <c r="N2615" s="5" t="s">
        <v>11782</v>
      </c>
      <c r="O2615" s="5" t="s">
        <v>26</v>
      </c>
      <c r="P2615" s="5" t="s">
        <v>11783</v>
      </c>
      <c r="Q2615" s="15"/>
      <c r="R2615" s="16" t="s">
        <v>723</v>
      </c>
      <c r="S2615" s="15"/>
      <c r="T2615" s="15"/>
      <c r="U2615" s="15"/>
      <c r="V2615" s="15"/>
      <c r="W2615" s="15"/>
      <c r="X2615" s="15"/>
      <c r="Y2615" s="15"/>
      <c r="Z2615" s="15"/>
      <c r="AA2615" s="15"/>
    </row>
    <row r="2616">
      <c r="A2616" s="5" t="s">
        <v>11770</v>
      </c>
      <c r="B2616" s="131" t="s">
        <v>11784</v>
      </c>
      <c r="C2616" s="62" t="s">
        <v>11785</v>
      </c>
      <c r="D2616" s="11"/>
      <c r="E2616" s="11" t="s">
        <v>167</v>
      </c>
      <c r="F2616" s="9">
        <v>25000.0</v>
      </c>
      <c r="G2616" s="322" t="s">
        <v>11786</v>
      </c>
      <c r="H2616" s="11" t="s">
        <v>11364</v>
      </c>
      <c r="I2616" s="276">
        <v>6.386205433E9</v>
      </c>
      <c r="J2616" s="11"/>
      <c r="K2616" s="12"/>
      <c r="L2616" s="12" t="s">
        <v>11787</v>
      </c>
      <c r="M2616" s="11" t="s">
        <v>11788</v>
      </c>
      <c r="N2616" s="5" t="s">
        <v>11789</v>
      </c>
      <c r="O2616" s="5" t="s">
        <v>26</v>
      </c>
      <c r="P2616" s="286" t="s">
        <v>11790</v>
      </c>
      <c r="Q2616" s="11" t="s">
        <v>11791</v>
      </c>
      <c r="R2616" s="16" t="s">
        <v>634</v>
      </c>
      <c r="S2616" s="15"/>
      <c r="T2616" s="15"/>
      <c r="U2616" s="15"/>
      <c r="V2616" s="15"/>
      <c r="W2616" s="15"/>
      <c r="X2616" s="15"/>
      <c r="Y2616" s="15"/>
      <c r="Z2616" s="15"/>
      <c r="AA2616" s="15"/>
    </row>
    <row r="2617">
      <c r="A2617" s="5" t="s">
        <v>11770</v>
      </c>
      <c r="B2617" s="131" t="s">
        <v>11792</v>
      </c>
      <c r="C2617" s="40" t="s">
        <v>11793</v>
      </c>
      <c r="D2617" s="11"/>
      <c r="E2617" s="11" t="s">
        <v>7197</v>
      </c>
      <c r="F2617" s="90"/>
      <c r="G2617" s="290" t="s">
        <v>11794</v>
      </c>
      <c r="H2617" s="11" t="s">
        <v>99</v>
      </c>
      <c r="I2617" s="276">
        <v>9.861109234E9</v>
      </c>
      <c r="J2617" s="11"/>
      <c r="K2617" s="12" t="s">
        <v>11795</v>
      </c>
      <c r="L2617" s="13"/>
      <c r="M2617" s="14"/>
      <c r="N2617" s="15"/>
      <c r="O2617" s="5" t="s">
        <v>26</v>
      </c>
      <c r="P2617" s="15"/>
      <c r="Q2617" s="15"/>
      <c r="R2617" s="16" t="s">
        <v>28</v>
      </c>
      <c r="S2617" s="15"/>
      <c r="T2617" s="15"/>
      <c r="U2617" s="15"/>
      <c r="V2617" s="15"/>
      <c r="W2617" s="15"/>
      <c r="X2617" s="15"/>
      <c r="Y2617" s="15"/>
      <c r="Z2617" s="15"/>
      <c r="AA2617" s="15"/>
    </row>
    <row r="2618">
      <c r="A2618" s="5" t="s">
        <v>11770</v>
      </c>
      <c r="B2618" s="131" t="s">
        <v>11796</v>
      </c>
      <c r="C2618" s="40" t="s">
        <v>474</v>
      </c>
      <c r="D2618" s="11"/>
      <c r="E2618" s="11" t="s">
        <v>213</v>
      </c>
      <c r="F2618" s="90">
        <v>200.0</v>
      </c>
      <c r="G2618" s="290" t="s">
        <v>11797</v>
      </c>
      <c r="H2618" s="11" t="s">
        <v>11798</v>
      </c>
      <c r="I2618" s="276">
        <v>8.757593501E9</v>
      </c>
      <c r="J2618" s="11" t="s">
        <v>25</v>
      </c>
      <c r="K2618" s="12" t="s">
        <v>9706</v>
      </c>
      <c r="L2618" s="13"/>
      <c r="M2618" s="11" t="s">
        <v>9707</v>
      </c>
      <c r="N2618" s="5" t="s">
        <v>11799</v>
      </c>
      <c r="O2618" s="5" t="s">
        <v>10708</v>
      </c>
      <c r="P2618" s="5" t="s">
        <v>11251</v>
      </c>
      <c r="Q2618" s="15"/>
      <c r="R2618" s="16" t="s">
        <v>634</v>
      </c>
      <c r="S2618" s="15"/>
      <c r="T2618" s="15"/>
      <c r="U2618" s="15"/>
      <c r="V2618" s="15"/>
      <c r="W2618" s="15"/>
      <c r="X2618" s="15"/>
      <c r="Y2618" s="15"/>
      <c r="Z2618" s="15"/>
      <c r="AA2618" s="15"/>
    </row>
    <row r="2619">
      <c r="A2619" s="5" t="s">
        <v>11770</v>
      </c>
      <c r="B2619" s="131" t="s">
        <v>11800</v>
      </c>
      <c r="C2619" s="40" t="s">
        <v>11801</v>
      </c>
      <c r="D2619" s="11"/>
      <c r="E2619" s="11" t="s">
        <v>1175</v>
      </c>
      <c r="F2619" s="90">
        <v>200.0</v>
      </c>
      <c r="G2619" s="290" t="s">
        <v>11802</v>
      </c>
      <c r="H2619" s="11" t="s">
        <v>11803</v>
      </c>
      <c r="I2619" s="276">
        <v>8.910303615E9</v>
      </c>
      <c r="J2619" s="11" t="s">
        <v>25</v>
      </c>
      <c r="K2619" s="12" t="s">
        <v>4099</v>
      </c>
      <c r="L2619" s="13"/>
      <c r="M2619" s="11" t="s">
        <v>11627</v>
      </c>
      <c r="N2619" s="5" t="s">
        <v>11804</v>
      </c>
      <c r="O2619" s="5" t="s">
        <v>10708</v>
      </c>
      <c r="P2619" s="5" t="s">
        <v>11805</v>
      </c>
      <c r="Q2619" s="15"/>
      <c r="R2619" s="16" t="s">
        <v>634</v>
      </c>
      <c r="S2619" s="15"/>
      <c r="T2619" s="15"/>
      <c r="U2619" s="15"/>
      <c r="V2619" s="15"/>
      <c r="W2619" s="15"/>
      <c r="X2619" s="15"/>
      <c r="Y2619" s="15"/>
      <c r="Z2619" s="15"/>
      <c r="AA2619" s="15"/>
    </row>
    <row r="2620">
      <c r="A2620" s="5" t="s">
        <v>11770</v>
      </c>
      <c r="B2620" s="131" t="s">
        <v>11806</v>
      </c>
      <c r="C2620" s="40" t="s">
        <v>11807</v>
      </c>
      <c r="D2620" s="11"/>
      <c r="E2620" s="11" t="s">
        <v>11808</v>
      </c>
      <c r="F2620" s="90"/>
      <c r="G2620" s="290" t="s">
        <v>11809</v>
      </c>
      <c r="H2620" s="11" t="s">
        <v>11810</v>
      </c>
      <c r="I2620" s="276">
        <v>9.831101549E9</v>
      </c>
      <c r="J2620" s="11" t="s">
        <v>25</v>
      </c>
      <c r="K2620" s="12" t="s">
        <v>11811</v>
      </c>
      <c r="L2620" s="13"/>
      <c r="M2620" s="11" t="s">
        <v>8860</v>
      </c>
      <c r="N2620" s="5" t="s">
        <v>11812</v>
      </c>
      <c r="O2620" s="5" t="s">
        <v>26</v>
      </c>
      <c r="P2620" s="286" t="s">
        <v>11813</v>
      </c>
      <c r="Q2620" s="15"/>
      <c r="R2620" s="16" t="s">
        <v>634</v>
      </c>
      <c r="S2620" s="15"/>
      <c r="T2620" s="15"/>
      <c r="U2620" s="15"/>
      <c r="V2620" s="15"/>
      <c r="W2620" s="15"/>
      <c r="X2620" s="15"/>
      <c r="Y2620" s="15"/>
      <c r="Z2620" s="15"/>
      <c r="AA2620" s="15"/>
    </row>
    <row r="2621">
      <c r="A2621" s="5" t="s">
        <v>11770</v>
      </c>
      <c r="B2621" s="131" t="s">
        <v>11814</v>
      </c>
      <c r="C2621" s="40" t="s">
        <v>11815</v>
      </c>
      <c r="D2621" s="11"/>
      <c r="E2621" s="11" t="s">
        <v>11816</v>
      </c>
      <c r="F2621" s="90">
        <v>100.0</v>
      </c>
      <c r="G2621" s="290" t="s">
        <v>11817</v>
      </c>
      <c r="H2621" s="11" t="s">
        <v>981</v>
      </c>
      <c r="I2621" s="276">
        <v>9.609368419E9</v>
      </c>
      <c r="J2621" s="11" t="s">
        <v>25</v>
      </c>
      <c r="K2621" s="12" t="s">
        <v>11818</v>
      </c>
      <c r="L2621" s="13"/>
      <c r="M2621" s="11" t="s">
        <v>11819</v>
      </c>
      <c r="N2621" s="5" t="s">
        <v>11820</v>
      </c>
      <c r="O2621" s="5" t="s">
        <v>10708</v>
      </c>
      <c r="P2621" s="11" t="s">
        <v>11821</v>
      </c>
      <c r="Q2621" s="15"/>
      <c r="R2621" s="16" t="s">
        <v>634</v>
      </c>
      <c r="S2621" s="15"/>
      <c r="T2621" s="15"/>
      <c r="U2621" s="15"/>
      <c r="V2621" s="15"/>
      <c r="W2621" s="15"/>
      <c r="X2621" s="15"/>
      <c r="Y2621" s="15"/>
      <c r="Z2621" s="15"/>
      <c r="AA2621" s="15"/>
    </row>
    <row r="2622">
      <c r="A2622" s="5" t="s">
        <v>11770</v>
      </c>
      <c r="B2622" s="131" t="s">
        <v>11822</v>
      </c>
      <c r="C2622" s="40" t="s">
        <v>11823</v>
      </c>
      <c r="D2622" s="11"/>
      <c r="E2622" s="11" t="s">
        <v>3907</v>
      </c>
      <c r="F2622" s="90">
        <v>100.0</v>
      </c>
      <c r="G2622" s="290" t="s">
        <v>11824</v>
      </c>
      <c r="H2622" s="11" t="s">
        <v>44</v>
      </c>
      <c r="I2622" s="276">
        <v>9.830242784E9</v>
      </c>
      <c r="J2622" s="11" t="s">
        <v>25</v>
      </c>
      <c r="K2622" s="12"/>
      <c r="L2622" s="13"/>
      <c r="M2622" s="14"/>
      <c r="N2622" s="15"/>
      <c r="O2622" s="5" t="s">
        <v>10708</v>
      </c>
      <c r="P2622" s="11" t="s">
        <v>11825</v>
      </c>
      <c r="Q2622" s="15"/>
      <c r="R2622" s="16" t="s">
        <v>723</v>
      </c>
      <c r="S2622" s="15"/>
      <c r="T2622" s="15"/>
      <c r="U2622" s="15"/>
      <c r="V2622" s="15"/>
      <c r="W2622" s="15"/>
      <c r="X2622" s="15"/>
      <c r="Y2622" s="15"/>
      <c r="Z2622" s="15"/>
      <c r="AA2622" s="15"/>
    </row>
    <row r="2623">
      <c r="A2623" s="5" t="s">
        <v>11826</v>
      </c>
      <c r="B2623" s="131" t="s">
        <v>11827</v>
      </c>
      <c r="C2623" s="40" t="s">
        <v>11828</v>
      </c>
      <c r="D2623" s="11"/>
      <c r="E2623" s="11" t="s">
        <v>10426</v>
      </c>
      <c r="F2623" s="90"/>
      <c r="G2623" s="290" t="s">
        <v>11829</v>
      </c>
      <c r="H2623" s="11" t="s">
        <v>11830</v>
      </c>
      <c r="I2623" s="276">
        <v>9.978189708E9</v>
      </c>
      <c r="J2623" s="11"/>
      <c r="K2623" s="12"/>
      <c r="L2623" s="13"/>
      <c r="M2623" s="14"/>
      <c r="N2623" s="15"/>
      <c r="O2623" s="5" t="s">
        <v>108</v>
      </c>
      <c r="P2623" s="5" t="s">
        <v>11831</v>
      </c>
      <c r="Q2623" s="15"/>
      <c r="R2623" s="16" t="s">
        <v>28</v>
      </c>
      <c r="S2623" s="15"/>
      <c r="T2623" s="15"/>
      <c r="U2623" s="15"/>
      <c r="V2623" s="15"/>
      <c r="W2623" s="15"/>
      <c r="X2623" s="15"/>
      <c r="Y2623" s="15"/>
      <c r="Z2623" s="15"/>
      <c r="AA2623" s="15"/>
    </row>
    <row r="2624">
      <c r="A2624" s="5" t="s">
        <v>11826</v>
      </c>
      <c r="B2624" s="131" t="s">
        <v>11832</v>
      </c>
      <c r="C2624" s="40" t="s">
        <v>11833</v>
      </c>
      <c r="D2624" s="361"/>
      <c r="E2624" s="361" t="s">
        <v>11834</v>
      </c>
      <c r="F2624" s="90"/>
      <c r="G2624" s="290" t="s">
        <v>11835</v>
      </c>
      <c r="H2624" s="11" t="s">
        <v>44</v>
      </c>
      <c r="I2624" s="276">
        <v>7.003502633E9</v>
      </c>
      <c r="J2624" s="11"/>
      <c r="K2624" s="12" t="s">
        <v>8677</v>
      </c>
      <c r="L2624" s="13"/>
      <c r="M2624" s="14"/>
      <c r="N2624" s="15"/>
      <c r="O2624" s="5" t="s">
        <v>26</v>
      </c>
      <c r="P2624" s="15"/>
      <c r="Q2624" s="15"/>
      <c r="R2624" s="16" t="s">
        <v>28</v>
      </c>
      <c r="S2624" s="15"/>
      <c r="T2624" s="15"/>
      <c r="U2624" s="15"/>
      <c r="V2624" s="15"/>
      <c r="W2624" s="15"/>
      <c r="X2624" s="15"/>
      <c r="Y2624" s="15"/>
      <c r="Z2624" s="15"/>
      <c r="AA2624" s="15"/>
    </row>
    <row r="2625">
      <c r="A2625" s="5" t="s">
        <v>11826</v>
      </c>
      <c r="B2625" s="131" t="s">
        <v>11836</v>
      </c>
      <c r="C2625" s="40" t="s">
        <v>11837</v>
      </c>
      <c r="D2625" s="11"/>
      <c r="E2625" s="11" t="s">
        <v>5844</v>
      </c>
      <c r="F2625" s="90">
        <v>3000.0</v>
      </c>
      <c r="G2625" s="290" t="s">
        <v>11838</v>
      </c>
      <c r="H2625" s="11" t="s">
        <v>44</v>
      </c>
      <c r="I2625" s="276">
        <v>8.855856128E9</v>
      </c>
      <c r="J2625" s="11"/>
      <c r="K2625" s="12" t="s">
        <v>11839</v>
      </c>
      <c r="L2625" s="13"/>
      <c r="M2625" s="11"/>
      <c r="N2625" s="15"/>
      <c r="O2625" s="5" t="s">
        <v>26</v>
      </c>
      <c r="P2625" s="5" t="s">
        <v>11840</v>
      </c>
      <c r="Q2625" s="15"/>
      <c r="R2625" s="16" t="s">
        <v>723</v>
      </c>
      <c r="S2625" s="15"/>
      <c r="T2625" s="15"/>
      <c r="U2625" s="15"/>
      <c r="V2625" s="15"/>
      <c r="W2625" s="15"/>
      <c r="X2625" s="15"/>
      <c r="Y2625" s="15"/>
      <c r="Z2625" s="15"/>
      <c r="AA2625" s="15"/>
    </row>
    <row r="2626">
      <c r="A2626" s="5" t="s">
        <v>11826</v>
      </c>
      <c r="B2626" s="131" t="s">
        <v>11841</v>
      </c>
      <c r="C2626" s="40" t="s">
        <v>11842</v>
      </c>
      <c r="D2626" s="11"/>
      <c r="E2626" s="11" t="s">
        <v>11843</v>
      </c>
      <c r="F2626" s="90">
        <v>3000.0</v>
      </c>
      <c r="G2626" s="290" t="s">
        <v>11844</v>
      </c>
      <c r="H2626" s="11" t="s">
        <v>6757</v>
      </c>
      <c r="I2626" s="276">
        <v>9.937078804E9</v>
      </c>
      <c r="J2626" s="11" t="s">
        <v>25</v>
      </c>
      <c r="K2626" s="12" t="s">
        <v>8753</v>
      </c>
      <c r="L2626" s="13"/>
      <c r="M2626" s="14"/>
      <c r="N2626" s="15"/>
      <c r="O2626" s="5" t="s">
        <v>26</v>
      </c>
      <c r="P2626" s="11" t="s">
        <v>11845</v>
      </c>
      <c r="Q2626" s="15"/>
      <c r="R2626" s="16" t="s">
        <v>28</v>
      </c>
      <c r="S2626" s="15"/>
      <c r="T2626" s="15"/>
      <c r="U2626" s="15"/>
      <c r="V2626" s="15"/>
      <c r="W2626" s="15"/>
      <c r="X2626" s="15"/>
      <c r="Y2626" s="15"/>
      <c r="Z2626" s="15"/>
      <c r="AA2626" s="15"/>
    </row>
    <row r="2627">
      <c r="A2627" s="5" t="s">
        <v>11826</v>
      </c>
      <c r="B2627" s="131" t="s">
        <v>11846</v>
      </c>
      <c r="C2627" s="62" t="s">
        <v>11847</v>
      </c>
      <c r="D2627" s="11"/>
      <c r="E2627" s="11" t="s">
        <v>11848</v>
      </c>
      <c r="F2627" s="90" t="s">
        <v>11849</v>
      </c>
      <c r="G2627" s="290" t="s">
        <v>11850</v>
      </c>
      <c r="H2627" s="11" t="s">
        <v>11851</v>
      </c>
      <c r="I2627" s="283" t="s">
        <v>11852</v>
      </c>
      <c r="J2627" s="11"/>
      <c r="K2627" s="12" t="s">
        <v>8753</v>
      </c>
      <c r="L2627" s="13"/>
      <c r="M2627" s="14"/>
      <c r="N2627" s="15"/>
      <c r="O2627" s="5" t="s">
        <v>108</v>
      </c>
      <c r="P2627" s="5" t="s">
        <v>11853</v>
      </c>
      <c r="Q2627" s="15"/>
      <c r="R2627" s="16" t="s">
        <v>28</v>
      </c>
      <c r="S2627" s="15"/>
      <c r="T2627" s="15"/>
      <c r="U2627" s="15"/>
      <c r="V2627" s="15"/>
      <c r="W2627" s="15"/>
      <c r="X2627" s="15"/>
      <c r="Y2627" s="15"/>
      <c r="Z2627" s="15"/>
      <c r="AA2627" s="15"/>
    </row>
    <row r="2628">
      <c r="A2628" s="5" t="s">
        <v>11826</v>
      </c>
      <c r="B2628" s="131" t="s">
        <v>11854</v>
      </c>
      <c r="C2628" s="40" t="s">
        <v>11855</v>
      </c>
      <c r="D2628" s="11"/>
      <c r="E2628" s="11" t="s">
        <v>11856</v>
      </c>
      <c r="F2628" s="90">
        <v>1000.0</v>
      </c>
      <c r="G2628" s="290" t="s">
        <v>11857</v>
      </c>
      <c r="H2628" s="11" t="s">
        <v>11858</v>
      </c>
      <c r="I2628" s="276">
        <v>9.921579921E9</v>
      </c>
      <c r="J2628" s="11" t="s">
        <v>7221</v>
      </c>
      <c r="K2628" s="12" t="s">
        <v>8753</v>
      </c>
      <c r="L2628" s="12">
        <v>340.0</v>
      </c>
      <c r="M2628" s="11" t="s">
        <v>11859</v>
      </c>
      <c r="N2628" s="5" t="s">
        <v>11860</v>
      </c>
      <c r="O2628" s="5" t="s">
        <v>108</v>
      </c>
      <c r="P2628" s="5" t="s">
        <v>11861</v>
      </c>
      <c r="Q2628" s="15"/>
      <c r="R2628" s="16" t="s">
        <v>634</v>
      </c>
      <c r="S2628" s="15"/>
      <c r="T2628" s="15"/>
      <c r="U2628" s="15"/>
      <c r="V2628" s="15"/>
      <c r="W2628" s="15"/>
      <c r="X2628" s="15"/>
      <c r="Y2628" s="15"/>
      <c r="Z2628" s="15"/>
      <c r="AA2628" s="15"/>
    </row>
    <row r="2629">
      <c r="A2629" s="5" t="s">
        <v>11826</v>
      </c>
      <c r="B2629" s="131" t="s">
        <v>11862</v>
      </c>
      <c r="C2629" s="336" t="s">
        <v>11863</v>
      </c>
      <c r="D2629" s="310"/>
      <c r="E2629" s="310" t="s">
        <v>1565</v>
      </c>
      <c r="F2629" s="90">
        <v>1000.0</v>
      </c>
      <c r="G2629" s="290" t="s">
        <v>11864</v>
      </c>
      <c r="H2629" s="11" t="s">
        <v>11865</v>
      </c>
      <c r="I2629" s="276">
        <v>8.11546046E9</v>
      </c>
      <c r="J2629" s="11"/>
      <c r="K2629" s="12" t="s">
        <v>11866</v>
      </c>
      <c r="L2629" s="13"/>
      <c r="M2629" s="11" t="s">
        <v>11867</v>
      </c>
      <c r="N2629" s="5" t="s">
        <v>11868</v>
      </c>
      <c r="O2629" s="5" t="s">
        <v>26</v>
      </c>
      <c r="P2629" s="11" t="s">
        <v>11869</v>
      </c>
      <c r="Q2629" s="5" t="s">
        <v>11870</v>
      </c>
      <c r="R2629" s="16" t="s">
        <v>634</v>
      </c>
      <c r="S2629" s="284" t="s">
        <v>11609</v>
      </c>
      <c r="T2629" s="15"/>
      <c r="U2629" s="15"/>
      <c r="V2629" s="15"/>
      <c r="W2629" s="15"/>
      <c r="X2629" s="15"/>
      <c r="Y2629" s="15"/>
      <c r="Z2629" s="15"/>
      <c r="AA2629" s="15"/>
    </row>
    <row r="2630">
      <c r="A2630" s="5" t="s">
        <v>11826</v>
      </c>
      <c r="B2630" s="131" t="s">
        <v>11871</v>
      </c>
      <c r="C2630" s="40" t="s">
        <v>11872</v>
      </c>
      <c r="D2630" s="11"/>
      <c r="E2630" s="11" t="s">
        <v>11873</v>
      </c>
      <c r="F2630" s="90">
        <v>1000.0</v>
      </c>
      <c r="G2630" s="290" t="s">
        <v>11874</v>
      </c>
      <c r="H2630" s="11" t="s">
        <v>11875</v>
      </c>
      <c r="I2630" s="276">
        <v>9.90301906E9</v>
      </c>
      <c r="J2630" s="11" t="s">
        <v>25</v>
      </c>
      <c r="K2630" s="12"/>
      <c r="L2630" s="13"/>
      <c r="M2630" s="14"/>
      <c r="N2630" s="15"/>
      <c r="O2630" s="5" t="s">
        <v>26</v>
      </c>
      <c r="P2630" s="15"/>
      <c r="Q2630" s="15"/>
      <c r="R2630" s="16" t="s">
        <v>28</v>
      </c>
      <c r="S2630" s="15"/>
      <c r="T2630" s="15"/>
      <c r="U2630" s="15"/>
      <c r="V2630" s="15"/>
      <c r="W2630" s="15"/>
      <c r="X2630" s="15"/>
      <c r="Y2630" s="15"/>
      <c r="Z2630" s="15"/>
      <c r="AA2630" s="15"/>
    </row>
    <row r="2631">
      <c r="A2631" s="5" t="s">
        <v>11876</v>
      </c>
      <c r="B2631" s="131" t="s">
        <v>11862</v>
      </c>
      <c r="C2631" s="40" t="s">
        <v>11877</v>
      </c>
      <c r="D2631" s="40"/>
      <c r="E2631" s="40" t="s">
        <v>11878</v>
      </c>
      <c r="F2631" s="90" t="s">
        <v>11879</v>
      </c>
      <c r="G2631" s="290" t="s">
        <v>11880</v>
      </c>
      <c r="H2631" s="11" t="s">
        <v>11881</v>
      </c>
      <c r="I2631" s="283" t="s">
        <v>11882</v>
      </c>
      <c r="J2631" s="11" t="s">
        <v>25</v>
      </c>
      <c r="K2631" s="12" t="s">
        <v>11883</v>
      </c>
      <c r="L2631" s="13"/>
      <c r="M2631" s="11" t="s">
        <v>11884</v>
      </c>
      <c r="N2631" s="11" t="s">
        <v>11885</v>
      </c>
      <c r="O2631" s="5" t="s">
        <v>26</v>
      </c>
      <c r="P2631" s="11" t="s">
        <v>11886</v>
      </c>
      <c r="Q2631" s="15"/>
      <c r="R2631" s="16" t="s">
        <v>634</v>
      </c>
      <c r="S2631" s="15"/>
      <c r="T2631" s="15"/>
      <c r="U2631" s="15"/>
      <c r="V2631" s="15"/>
      <c r="W2631" s="15"/>
      <c r="X2631" s="15"/>
      <c r="Y2631" s="15"/>
      <c r="Z2631" s="15"/>
      <c r="AA2631" s="15"/>
    </row>
    <row r="2632">
      <c r="A2632" s="5" t="s">
        <v>11876</v>
      </c>
      <c r="B2632" s="131" t="s">
        <v>11887</v>
      </c>
      <c r="C2632" s="40" t="s">
        <v>11888</v>
      </c>
      <c r="D2632" s="11"/>
      <c r="E2632" s="11" t="s">
        <v>1320</v>
      </c>
      <c r="F2632" s="90"/>
      <c r="G2632" s="290" t="s">
        <v>11889</v>
      </c>
      <c r="H2632" s="11" t="s">
        <v>44</v>
      </c>
      <c r="I2632" s="276">
        <v>6.290577515E9</v>
      </c>
      <c r="J2632" s="11"/>
      <c r="K2632" s="12" t="s">
        <v>11890</v>
      </c>
      <c r="L2632" s="13"/>
      <c r="M2632" s="11" t="s">
        <v>11891</v>
      </c>
      <c r="N2632" s="5" t="s">
        <v>11892</v>
      </c>
      <c r="O2632" s="5" t="s">
        <v>26</v>
      </c>
      <c r="P2632" s="5" t="s">
        <v>11893</v>
      </c>
      <c r="Q2632" s="15"/>
      <c r="R2632" s="16" t="s">
        <v>723</v>
      </c>
      <c r="S2632" s="15"/>
      <c r="T2632" s="15"/>
      <c r="U2632" s="15"/>
      <c r="V2632" s="15"/>
      <c r="W2632" s="15"/>
      <c r="X2632" s="15"/>
      <c r="Y2632" s="15"/>
      <c r="Z2632" s="15"/>
      <c r="AA2632" s="15"/>
    </row>
    <row r="2633">
      <c r="A2633" s="5" t="s">
        <v>11876</v>
      </c>
      <c r="B2633" s="131" t="s">
        <v>11894</v>
      </c>
      <c r="C2633" s="40" t="s">
        <v>11895</v>
      </c>
      <c r="D2633" s="40"/>
      <c r="E2633" s="40" t="s">
        <v>11896</v>
      </c>
      <c r="F2633" s="90" t="s">
        <v>11897</v>
      </c>
      <c r="G2633" s="290" t="s">
        <v>11898</v>
      </c>
      <c r="H2633" s="11" t="s">
        <v>3122</v>
      </c>
      <c r="I2633" s="276">
        <v>8.697708425E9</v>
      </c>
      <c r="J2633" s="11"/>
      <c r="K2633" s="12"/>
      <c r="L2633" s="13"/>
      <c r="M2633" s="14"/>
      <c r="N2633" s="15"/>
      <c r="O2633" s="5" t="s">
        <v>26</v>
      </c>
      <c r="P2633" s="5" t="s">
        <v>11899</v>
      </c>
      <c r="Q2633" s="5" t="s">
        <v>11900</v>
      </c>
      <c r="R2633" s="16" t="s">
        <v>28</v>
      </c>
      <c r="S2633" s="15"/>
      <c r="T2633" s="15"/>
      <c r="U2633" s="15"/>
      <c r="V2633" s="15"/>
      <c r="W2633" s="15"/>
      <c r="X2633" s="15"/>
      <c r="Y2633" s="15"/>
      <c r="Z2633" s="15"/>
      <c r="AA2633" s="15"/>
    </row>
    <row r="2634">
      <c r="A2634" s="5" t="s">
        <v>11876</v>
      </c>
      <c r="B2634" s="131" t="s">
        <v>11901</v>
      </c>
      <c r="C2634" s="40" t="s">
        <v>11823</v>
      </c>
      <c r="D2634" s="11"/>
      <c r="E2634" s="11" t="s">
        <v>189</v>
      </c>
      <c r="F2634" s="90"/>
      <c r="G2634" s="290" t="s">
        <v>11902</v>
      </c>
      <c r="H2634" s="11" t="s">
        <v>44</v>
      </c>
      <c r="I2634" s="276">
        <v>9.163642222E9</v>
      </c>
      <c r="J2634" s="11"/>
      <c r="K2634" s="12" t="s">
        <v>11903</v>
      </c>
      <c r="L2634" s="13"/>
      <c r="M2634" s="11" t="s">
        <v>9949</v>
      </c>
      <c r="N2634" s="5" t="s">
        <v>11904</v>
      </c>
      <c r="O2634" s="5" t="s">
        <v>26</v>
      </c>
      <c r="P2634" s="11" t="s">
        <v>11905</v>
      </c>
      <c r="Q2634" s="15"/>
      <c r="R2634" s="16" t="s">
        <v>723</v>
      </c>
      <c r="S2634" s="15"/>
      <c r="T2634" s="15"/>
      <c r="U2634" s="15"/>
      <c r="V2634" s="15"/>
      <c r="W2634" s="15"/>
      <c r="X2634" s="15"/>
      <c r="Y2634" s="15"/>
      <c r="Z2634" s="15"/>
      <c r="AA2634" s="15"/>
    </row>
    <row r="2635">
      <c r="A2635" s="5" t="s">
        <v>11876</v>
      </c>
      <c r="B2635" s="131" t="s">
        <v>11906</v>
      </c>
      <c r="C2635" s="40" t="s">
        <v>7045</v>
      </c>
      <c r="D2635" s="11"/>
      <c r="E2635" s="11" t="s">
        <v>11907</v>
      </c>
      <c r="F2635" s="90">
        <v>2000.0</v>
      </c>
      <c r="G2635" s="290" t="s">
        <v>11908</v>
      </c>
      <c r="H2635" s="11" t="s">
        <v>3167</v>
      </c>
      <c r="I2635" s="276">
        <v>8.777031996E9</v>
      </c>
      <c r="J2635" s="11"/>
      <c r="K2635" s="12" t="s">
        <v>8753</v>
      </c>
      <c r="L2635" s="13"/>
      <c r="M2635" s="14"/>
      <c r="N2635" s="15"/>
      <c r="O2635" s="5" t="s">
        <v>26</v>
      </c>
      <c r="P2635" s="15"/>
      <c r="Q2635" s="15"/>
      <c r="R2635" s="16" t="s">
        <v>28</v>
      </c>
      <c r="S2635" s="15"/>
      <c r="T2635" s="15"/>
      <c r="U2635" s="15"/>
      <c r="V2635" s="15"/>
      <c r="W2635" s="15"/>
      <c r="X2635" s="15"/>
      <c r="Y2635" s="15"/>
      <c r="Z2635" s="15"/>
      <c r="AA2635" s="15"/>
    </row>
    <row r="2636">
      <c r="A2636" s="5" t="s">
        <v>11876</v>
      </c>
      <c r="B2636" s="131" t="s">
        <v>11909</v>
      </c>
      <c r="C2636" s="40" t="s">
        <v>11910</v>
      </c>
      <c r="D2636" s="11"/>
      <c r="E2636" s="11" t="s">
        <v>625</v>
      </c>
      <c r="F2636" s="90"/>
      <c r="G2636" s="290" t="s">
        <v>11911</v>
      </c>
      <c r="H2636" s="11" t="s">
        <v>44</v>
      </c>
      <c r="I2636" s="276">
        <v>8.101005919E9</v>
      </c>
      <c r="J2636" s="11"/>
      <c r="K2636" s="12"/>
      <c r="L2636" s="12">
        <v>28.0</v>
      </c>
      <c r="M2636" s="11" t="s">
        <v>10171</v>
      </c>
      <c r="N2636" s="5" t="s">
        <v>11912</v>
      </c>
      <c r="O2636" s="5" t="s">
        <v>26</v>
      </c>
      <c r="P2636" s="5" t="s">
        <v>3287</v>
      </c>
      <c r="Q2636" s="5" t="s">
        <v>3287</v>
      </c>
      <c r="R2636" s="16" t="s">
        <v>634</v>
      </c>
      <c r="S2636" s="15"/>
      <c r="T2636" s="15"/>
      <c r="U2636" s="15"/>
      <c r="V2636" s="15"/>
      <c r="W2636" s="15"/>
      <c r="X2636" s="15"/>
      <c r="Y2636" s="15"/>
      <c r="Z2636" s="15"/>
      <c r="AA2636" s="15"/>
    </row>
    <row r="2637">
      <c r="A2637" s="5" t="s">
        <v>11876</v>
      </c>
      <c r="B2637" s="131" t="s">
        <v>11913</v>
      </c>
      <c r="C2637" s="40" t="s">
        <v>11914</v>
      </c>
      <c r="D2637" s="11"/>
      <c r="E2637" s="11" t="s">
        <v>3571</v>
      </c>
      <c r="F2637" s="90">
        <v>200.0</v>
      </c>
      <c r="G2637" s="290" t="s">
        <v>11915</v>
      </c>
      <c r="H2637" s="11" t="s">
        <v>11916</v>
      </c>
      <c r="I2637" s="276">
        <v>9.825166009E9</v>
      </c>
      <c r="J2637" s="11"/>
      <c r="K2637" s="12"/>
      <c r="L2637" s="13"/>
      <c r="M2637" s="14"/>
      <c r="N2637" s="15"/>
      <c r="O2637" s="5" t="s">
        <v>10708</v>
      </c>
      <c r="P2637" s="5" t="s">
        <v>2983</v>
      </c>
      <c r="Q2637" s="5" t="s">
        <v>11917</v>
      </c>
      <c r="R2637" s="16" t="s">
        <v>11918</v>
      </c>
      <c r="S2637" s="15"/>
      <c r="T2637" s="15"/>
      <c r="U2637" s="15"/>
      <c r="V2637" s="15"/>
      <c r="W2637" s="15"/>
      <c r="X2637" s="15"/>
      <c r="Y2637" s="15"/>
      <c r="Z2637" s="15"/>
      <c r="AA2637" s="15"/>
    </row>
    <row r="2638">
      <c r="A2638" s="5" t="s">
        <v>11876</v>
      </c>
      <c r="B2638" s="131" t="s">
        <v>11919</v>
      </c>
      <c r="C2638" s="40" t="s">
        <v>11920</v>
      </c>
      <c r="D2638" s="11"/>
      <c r="E2638" s="11" t="s">
        <v>257</v>
      </c>
      <c r="F2638" s="90"/>
      <c r="G2638" s="290" t="s">
        <v>11921</v>
      </c>
      <c r="H2638" s="11" t="s">
        <v>11922</v>
      </c>
      <c r="I2638" s="276">
        <v>9.830049276E9</v>
      </c>
      <c r="J2638" s="11"/>
      <c r="K2638" s="12" t="s">
        <v>11923</v>
      </c>
      <c r="L2638" s="13"/>
      <c r="M2638" s="11" t="s">
        <v>7965</v>
      </c>
      <c r="N2638" s="5" t="s">
        <v>11924</v>
      </c>
      <c r="O2638" s="5" t="s">
        <v>26</v>
      </c>
      <c r="P2638" s="11" t="s">
        <v>11925</v>
      </c>
      <c r="Q2638" s="15"/>
      <c r="R2638" s="16" t="s">
        <v>634</v>
      </c>
      <c r="S2638" s="15"/>
      <c r="T2638" s="15"/>
      <c r="U2638" s="15"/>
      <c r="V2638" s="15"/>
      <c r="W2638" s="15"/>
      <c r="X2638" s="15"/>
      <c r="Y2638" s="15"/>
      <c r="Z2638" s="15"/>
      <c r="AA2638" s="15"/>
    </row>
    <row r="2639" ht="50.25" customHeight="1">
      <c r="A2639" s="5" t="s">
        <v>11876</v>
      </c>
      <c r="B2639" s="131" t="s">
        <v>11926</v>
      </c>
      <c r="C2639" s="40" t="s">
        <v>11927</v>
      </c>
      <c r="D2639" s="11"/>
      <c r="E2639" s="11" t="s">
        <v>11692</v>
      </c>
      <c r="F2639" s="90"/>
      <c r="G2639" s="321"/>
      <c r="H2639" s="11" t="s">
        <v>44</v>
      </c>
      <c r="I2639" s="276">
        <v>9.830364042E9</v>
      </c>
      <c r="J2639" s="11"/>
      <c r="K2639" s="12" t="s">
        <v>11928</v>
      </c>
      <c r="L2639" s="13"/>
      <c r="M2639" s="11" t="s">
        <v>11929</v>
      </c>
      <c r="N2639" s="15"/>
      <c r="O2639" s="5" t="s">
        <v>26</v>
      </c>
      <c r="P2639" s="11" t="s">
        <v>11930</v>
      </c>
      <c r="Q2639" s="15"/>
      <c r="R2639" s="16" t="s">
        <v>723</v>
      </c>
      <c r="S2639" s="15"/>
      <c r="T2639" s="15"/>
      <c r="U2639" s="15"/>
      <c r="V2639" s="15"/>
      <c r="W2639" s="15"/>
      <c r="X2639" s="15"/>
      <c r="Y2639" s="15"/>
      <c r="Z2639" s="15"/>
      <c r="AA2639" s="15"/>
    </row>
    <row r="2640">
      <c r="A2640" s="5" t="s">
        <v>11876</v>
      </c>
      <c r="B2640" s="131" t="s">
        <v>11931</v>
      </c>
      <c r="C2640" s="40" t="s">
        <v>11932</v>
      </c>
      <c r="D2640" s="11"/>
      <c r="E2640" s="11" t="s">
        <v>465</v>
      </c>
      <c r="F2640" s="90">
        <v>500.0</v>
      </c>
      <c r="G2640" s="290" t="s">
        <v>11933</v>
      </c>
      <c r="H2640" s="11" t="s">
        <v>11267</v>
      </c>
      <c r="I2640" s="276">
        <v>9.831021618E9</v>
      </c>
      <c r="J2640" s="11" t="s">
        <v>25</v>
      </c>
      <c r="K2640" s="12" t="s">
        <v>11934</v>
      </c>
      <c r="L2640" s="13"/>
      <c r="M2640" s="11" t="s">
        <v>11935</v>
      </c>
      <c r="N2640" s="5" t="s">
        <v>11936</v>
      </c>
      <c r="O2640" s="5" t="s">
        <v>34</v>
      </c>
      <c r="P2640" s="5" t="s">
        <v>2983</v>
      </c>
      <c r="Q2640" s="5" t="s">
        <v>727</v>
      </c>
      <c r="R2640" s="16" t="s">
        <v>723</v>
      </c>
      <c r="S2640" s="15"/>
      <c r="T2640" s="15"/>
      <c r="U2640" s="15"/>
      <c r="V2640" s="15"/>
      <c r="W2640" s="15"/>
      <c r="X2640" s="15"/>
      <c r="Y2640" s="15"/>
      <c r="Z2640" s="15"/>
      <c r="AA2640" s="15"/>
    </row>
    <row r="2641">
      <c r="A2641" s="5" t="s">
        <v>11876</v>
      </c>
      <c r="B2641" s="131" t="s">
        <v>11937</v>
      </c>
      <c r="C2641" s="40" t="s">
        <v>11938</v>
      </c>
      <c r="D2641" s="11"/>
      <c r="E2641" s="11" t="s">
        <v>11939</v>
      </c>
      <c r="F2641" s="90">
        <v>100.0</v>
      </c>
      <c r="G2641" s="290" t="s">
        <v>11940</v>
      </c>
      <c r="H2641" s="11" t="s">
        <v>44</v>
      </c>
      <c r="I2641" s="276">
        <v>8.961945301E9</v>
      </c>
      <c r="J2641" s="11" t="s">
        <v>4008</v>
      </c>
      <c r="K2641" s="12" t="s">
        <v>11941</v>
      </c>
      <c r="L2641" s="13"/>
      <c r="M2641" s="14"/>
      <c r="N2641" s="15"/>
      <c r="O2641" s="5" t="s">
        <v>10708</v>
      </c>
      <c r="P2641" s="11" t="s">
        <v>11942</v>
      </c>
      <c r="Q2641" s="15"/>
      <c r="R2641" s="16" t="s">
        <v>11918</v>
      </c>
      <c r="S2641" s="15"/>
      <c r="T2641" s="15"/>
      <c r="U2641" s="15"/>
      <c r="V2641" s="15"/>
      <c r="W2641" s="15"/>
      <c r="X2641" s="15"/>
      <c r="Y2641" s="15"/>
      <c r="Z2641" s="15"/>
      <c r="AA2641" s="15"/>
    </row>
    <row r="2642">
      <c r="A2642" s="5" t="s">
        <v>11876</v>
      </c>
      <c r="B2642" s="131" t="s">
        <v>11943</v>
      </c>
      <c r="C2642" s="40" t="s">
        <v>11944</v>
      </c>
      <c r="D2642" s="11"/>
      <c r="E2642" s="11" t="s">
        <v>4884</v>
      </c>
      <c r="F2642" s="9">
        <v>10000.0</v>
      </c>
      <c r="G2642" s="290" t="s">
        <v>11945</v>
      </c>
      <c r="H2642" s="11" t="s">
        <v>8781</v>
      </c>
      <c r="I2642" s="276">
        <v>9.74887054E9</v>
      </c>
      <c r="J2642" s="11" t="s">
        <v>4008</v>
      </c>
      <c r="K2642" s="12" t="s">
        <v>9143</v>
      </c>
      <c r="L2642" s="13"/>
      <c r="M2642" s="11" t="s">
        <v>9879</v>
      </c>
      <c r="N2642" s="5" t="s">
        <v>11946</v>
      </c>
      <c r="O2642" s="5" t="s">
        <v>34</v>
      </c>
      <c r="P2642" s="5" t="s">
        <v>2983</v>
      </c>
      <c r="Q2642" s="11" t="s">
        <v>11947</v>
      </c>
      <c r="R2642" s="16" t="s">
        <v>723</v>
      </c>
      <c r="S2642" s="15"/>
      <c r="T2642" s="15"/>
      <c r="U2642" s="15"/>
      <c r="V2642" s="15"/>
      <c r="W2642" s="15"/>
      <c r="X2642" s="15"/>
      <c r="Y2642" s="15"/>
      <c r="Z2642" s="15"/>
      <c r="AA2642" s="15"/>
    </row>
    <row r="2643">
      <c r="A2643" s="5" t="s">
        <v>11876</v>
      </c>
      <c r="B2643" s="131" t="s">
        <v>11948</v>
      </c>
      <c r="C2643" s="62" t="s">
        <v>11949</v>
      </c>
      <c r="D2643" s="11"/>
      <c r="E2643" s="11" t="s">
        <v>3634</v>
      </c>
      <c r="F2643" s="90">
        <v>200.0</v>
      </c>
      <c r="G2643" s="290" t="s">
        <v>11950</v>
      </c>
      <c r="H2643" s="11" t="s">
        <v>11951</v>
      </c>
      <c r="I2643" s="276">
        <v>7.004698335E9</v>
      </c>
      <c r="J2643" s="11"/>
      <c r="K2643" s="12" t="s">
        <v>8800</v>
      </c>
      <c r="L2643" s="13"/>
      <c r="M2643" s="11" t="s">
        <v>11952</v>
      </c>
      <c r="N2643" s="5" t="s">
        <v>11953</v>
      </c>
      <c r="O2643" s="5" t="s">
        <v>26</v>
      </c>
      <c r="P2643" s="5" t="s">
        <v>11954</v>
      </c>
      <c r="Q2643" s="11" t="s">
        <v>11955</v>
      </c>
      <c r="R2643" s="16" t="s">
        <v>634</v>
      </c>
      <c r="S2643" s="15"/>
      <c r="T2643" s="15"/>
      <c r="U2643" s="15"/>
      <c r="V2643" s="15"/>
      <c r="W2643" s="15"/>
      <c r="X2643" s="15"/>
      <c r="Y2643" s="15"/>
      <c r="Z2643" s="15"/>
      <c r="AA2643" s="15"/>
    </row>
    <row r="2644">
      <c r="A2644" s="5" t="s">
        <v>11876</v>
      </c>
      <c r="B2644" s="131" t="s">
        <v>11956</v>
      </c>
      <c r="C2644" s="40" t="s">
        <v>11957</v>
      </c>
      <c r="D2644" s="11"/>
      <c r="E2644" s="11" t="s">
        <v>11958</v>
      </c>
      <c r="F2644" s="90" t="s">
        <v>11959</v>
      </c>
      <c r="G2644" s="290" t="s">
        <v>11960</v>
      </c>
      <c r="H2644" s="11" t="s">
        <v>981</v>
      </c>
      <c r="I2644" s="276">
        <v>9.609008683E9</v>
      </c>
      <c r="J2644" s="11" t="s">
        <v>11961</v>
      </c>
      <c r="K2644" s="12"/>
      <c r="L2644" s="12" t="s">
        <v>11962</v>
      </c>
      <c r="M2644" s="11" t="s">
        <v>11963</v>
      </c>
      <c r="N2644" s="5" t="s">
        <v>11964</v>
      </c>
      <c r="O2644" s="5" t="s">
        <v>34</v>
      </c>
      <c r="P2644" s="5" t="s">
        <v>55</v>
      </c>
      <c r="Q2644" s="15"/>
      <c r="R2644" s="16" t="s">
        <v>723</v>
      </c>
      <c r="S2644" s="15"/>
      <c r="T2644" s="15"/>
      <c r="U2644" s="15"/>
      <c r="V2644" s="15"/>
      <c r="W2644" s="15"/>
      <c r="X2644" s="15"/>
      <c r="Y2644" s="15"/>
      <c r="Z2644" s="15"/>
      <c r="AA2644" s="15"/>
    </row>
    <row r="2645" ht="57.75" customHeight="1">
      <c r="A2645" s="5" t="s">
        <v>11965</v>
      </c>
      <c r="B2645" s="131" t="s">
        <v>11966</v>
      </c>
      <c r="C2645" s="40" t="s">
        <v>11967</v>
      </c>
      <c r="D2645" s="11"/>
      <c r="E2645" s="11" t="s">
        <v>11279</v>
      </c>
      <c r="F2645" s="90">
        <v>500.0</v>
      </c>
      <c r="G2645" s="290" t="s">
        <v>11968</v>
      </c>
      <c r="H2645" s="11" t="s">
        <v>11969</v>
      </c>
      <c r="I2645" s="276">
        <v>9.421214737E9</v>
      </c>
      <c r="J2645" s="11" t="s">
        <v>11970</v>
      </c>
      <c r="K2645" s="12" t="s">
        <v>8753</v>
      </c>
      <c r="L2645" s="12" t="s">
        <v>11971</v>
      </c>
      <c r="M2645" s="14"/>
      <c r="N2645" s="15"/>
      <c r="O2645" s="5" t="s">
        <v>108</v>
      </c>
      <c r="P2645" s="15"/>
      <c r="Q2645" s="15"/>
      <c r="R2645" s="16" t="s">
        <v>28</v>
      </c>
      <c r="S2645" s="5" t="s">
        <v>11972</v>
      </c>
      <c r="T2645" s="15"/>
      <c r="U2645" s="15"/>
      <c r="V2645" s="15"/>
      <c r="W2645" s="15"/>
      <c r="X2645" s="15"/>
      <c r="Y2645" s="15"/>
      <c r="Z2645" s="15"/>
      <c r="AA2645" s="15"/>
    </row>
    <row r="2646">
      <c r="A2646" s="5" t="s">
        <v>11965</v>
      </c>
      <c r="B2646" s="131" t="s">
        <v>11973</v>
      </c>
      <c r="C2646" s="40" t="s">
        <v>11974</v>
      </c>
      <c r="D2646" s="11"/>
      <c r="E2646" s="11" t="s">
        <v>222</v>
      </c>
      <c r="F2646" s="90">
        <v>1000.0</v>
      </c>
      <c r="G2646" s="290" t="s">
        <v>11975</v>
      </c>
      <c r="H2646" s="11" t="s">
        <v>44</v>
      </c>
      <c r="I2646" s="276">
        <v>9.836835029E9</v>
      </c>
      <c r="J2646" s="11" t="s">
        <v>4008</v>
      </c>
      <c r="K2646" s="12" t="s">
        <v>4681</v>
      </c>
      <c r="L2646" s="13"/>
      <c r="M2646" s="11" t="s">
        <v>9918</v>
      </c>
      <c r="N2646" s="5" t="s">
        <v>11976</v>
      </c>
      <c r="O2646" s="5" t="s">
        <v>26</v>
      </c>
      <c r="P2646" s="284" t="s">
        <v>11977</v>
      </c>
      <c r="Q2646" s="362" t="s">
        <v>11978</v>
      </c>
      <c r="R2646" s="16" t="s">
        <v>634</v>
      </c>
      <c r="S2646" s="15"/>
      <c r="T2646" s="15"/>
      <c r="U2646" s="15"/>
      <c r="V2646" s="15"/>
      <c r="W2646" s="15"/>
      <c r="X2646" s="15"/>
      <c r="Y2646" s="15"/>
      <c r="Z2646" s="15"/>
      <c r="AA2646" s="15"/>
    </row>
    <row r="2647">
      <c r="A2647" s="5" t="s">
        <v>11965</v>
      </c>
      <c r="B2647" s="131" t="s">
        <v>11979</v>
      </c>
      <c r="C2647" s="40" t="s">
        <v>11980</v>
      </c>
      <c r="D2647" s="11"/>
      <c r="E2647" s="11" t="s">
        <v>152</v>
      </c>
      <c r="F2647" s="90">
        <v>300.0</v>
      </c>
      <c r="G2647" s="290" t="s">
        <v>11981</v>
      </c>
      <c r="H2647" s="11" t="s">
        <v>3167</v>
      </c>
      <c r="I2647" s="276">
        <v>8.987788874E9</v>
      </c>
      <c r="J2647" s="11" t="s">
        <v>11982</v>
      </c>
      <c r="K2647" s="12"/>
      <c r="L2647" s="12">
        <v>29.0</v>
      </c>
      <c r="M2647" s="11" t="s">
        <v>9742</v>
      </c>
      <c r="N2647" s="5" t="s">
        <v>11983</v>
      </c>
      <c r="O2647" s="5" t="s">
        <v>34</v>
      </c>
      <c r="P2647" s="5" t="s">
        <v>1384</v>
      </c>
      <c r="Q2647" s="5" t="s">
        <v>777</v>
      </c>
      <c r="R2647" s="16" t="s">
        <v>634</v>
      </c>
      <c r="S2647" s="15"/>
      <c r="T2647" s="15"/>
      <c r="U2647" s="15"/>
      <c r="V2647" s="15"/>
      <c r="W2647" s="15"/>
      <c r="X2647" s="15"/>
      <c r="Y2647" s="15"/>
      <c r="Z2647" s="15"/>
      <c r="AA2647" s="15"/>
    </row>
    <row r="2648">
      <c r="A2648" s="5" t="s">
        <v>11965</v>
      </c>
      <c r="B2648" s="131" t="s">
        <v>11984</v>
      </c>
      <c r="C2648" s="40" t="s">
        <v>11985</v>
      </c>
      <c r="D2648" s="11"/>
      <c r="E2648" s="11" t="s">
        <v>11986</v>
      </c>
      <c r="F2648" s="90">
        <v>100.0</v>
      </c>
      <c r="G2648" s="290" t="s">
        <v>11987</v>
      </c>
      <c r="H2648" s="11" t="s">
        <v>8858</v>
      </c>
      <c r="I2648" s="276">
        <v>7.044142134E9</v>
      </c>
      <c r="J2648" s="11"/>
      <c r="K2648" s="12" t="s">
        <v>8677</v>
      </c>
      <c r="L2648" s="13"/>
      <c r="M2648" s="14"/>
      <c r="N2648" s="15"/>
      <c r="O2648" s="5" t="s">
        <v>10708</v>
      </c>
      <c r="P2648" s="5" t="s">
        <v>11988</v>
      </c>
      <c r="Q2648" s="15"/>
      <c r="R2648" s="16" t="s">
        <v>28</v>
      </c>
      <c r="S2648" s="15"/>
      <c r="T2648" s="15"/>
      <c r="U2648" s="15"/>
      <c r="V2648" s="15"/>
      <c r="W2648" s="15"/>
      <c r="X2648" s="15"/>
      <c r="Y2648" s="15"/>
      <c r="Z2648" s="15"/>
      <c r="AA2648" s="15"/>
    </row>
    <row r="2649">
      <c r="A2649" s="5" t="s">
        <v>11965</v>
      </c>
      <c r="B2649" s="131" t="s">
        <v>11989</v>
      </c>
      <c r="C2649" s="40" t="s">
        <v>11990</v>
      </c>
      <c r="D2649" s="11"/>
      <c r="E2649" s="11" t="s">
        <v>599</v>
      </c>
      <c r="F2649" s="90"/>
      <c r="G2649" s="290" t="s">
        <v>11991</v>
      </c>
      <c r="H2649" s="11" t="s">
        <v>44</v>
      </c>
      <c r="I2649" s="276">
        <v>9.83003285E9</v>
      </c>
      <c r="J2649" s="11"/>
      <c r="K2649" s="12" t="s">
        <v>8677</v>
      </c>
      <c r="L2649" s="13"/>
      <c r="M2649" s="14"/>
      <c r="N2649" s="15"/>
      <c r="O2649" s="5" t="s">
        <v>26</v>
      </c>
      <c r="P2649" s="15"/>
      <c r="Q2649" s="15"/>
      <c r="R2649" s="16" t="s">
        <v>28</v>
      </c>
      <c r="S2649" s="5" t="s">
        <v>11992</v>
      </c>
      <c r="T2649" s="15"/>
      <c r="U2649" s="15"/>
      <c r="V2649" s="15"/>
      <c r="W2649" s="15"/>
      <c r="X2649" s="15"/>
      <c r="Y2649" s="15"/>
      <c r="Z2649" s="15"/>
      <c r="AA2649" s="15"/>
    </row>
    <row r="2650">
      <c r="A2650" s="5" t="s">
        <v>11965</v>
      </c>
      <c r="B2650" s="131" t="s">
        <v>11993</v>
      </c>
      <c r="C2650" s="62" t="s">
        <v>11543</v>
      </c>
      <c r="D2650" s="11"/>
      <c r="E2650" s="11" t="s">
        <v>1509</v>
      </c>
      <c r="F2650" s="90"/>
      <c r="G2650" s="290" t="s">
        <v>11994</v>
      </c>
      <c r="H2650" s="11" t="s">
        <v>11995</v>
      </c>
      <c r="I2650" s="276">
        <v>9.552470726E9</v>
      </c>
      <c r="J2650" s="11"/>
      <c r="K2650" s="12" t="s">
        <v>8677</v>
      </c>
      <c r="L2650" s="13"/>
      <c r="M2650" s="14"/>
      <c r="N2650" s="15"/>
      <c r="O2650" s="5" t="s">
        <v>26</v>
      </c>
      <c r="P2650" s="15"/>
      <c r="Q2650" s="15"/>
      <c r="R2650" s="16" t="s">
        <v>28</v>
      </c>
      <c r="S2650" s="15"/>
      <c r="T2650" s="15"/>
      <c r="U2650" s="15"/>
      <c r="V2650" s="15"/>
      <c r="W2650" s="15"/>
      <c r="X2650" s="15"/>
      <c r="Y2650" s="15"/>
      <c r="Z2650" s="15"/>
      <c r="AA2650" s="15"/>
    </row>
    <row r="2651">
      <c r="A2651" s="5" t="s">
        <v>11996</v>
      </c>
      <c r="B2651" s="131" t="s">
        <v>11997</v>
      </c>
      <c r="C2651" s="363" t="s">
        <v>11998</v>
      </c>
      <c r="D2651" s="364"/>
      <c r="E2651" s="364" t="s">
        <v>207</v>
      </c>
      <c r="F2651" s="364">
        <v>6500.0</v>
      </c>
      <c r="G2651" s="322" t="s">
        <v>11999</v>
      </c>
      <c r="H2651" s="11" t="s">
        <v>12000</v>
      </c>
      <c r="I2651" s="276">
        <v>9.05138694E9</v>
      </c>
      <c r="J2651" s="11" t="s">
        <v>9648</v>
      </c>
      <c r="K2651" s="12"/>
      <c r="L2651" s="13"/>
      <c r="M2651" s="11" t="s">
        <v>8348</v>
      </c>
      <c r="N2651" s="5" t="s">
        <v>12001</v>
      </c>
      <c r="O2651" s="5" t="s">
        <v>34</v>
      </c>
      <c r="P2651" s="5" t="s">
        <v>6261</v>
      </c>
      <c r="Q2651" s="15"/>
      <c r="R2651" s="16" t="s">
        <v>248</v>
      </c>
      <c r="S2651" s="15"/>
      <c r="T2651" s="15"/>
      <c r="U2651" s="15"/>
      <c r="V2651" s="15"/>
      <c r="W2651" s="15"/>
      <c r="X2651" s="15"/>
      <c r="Y2651" s="15"/>
      <c r="Z2651" s="15"/>
      <c r="AA2651" s="15"/>
    </row>
    <row r="2652">
      <c r="A2652" s="5" t="s">
        <v>11996</v>
      </c>
      <c r="B2652" s="131" t="s">
        <v>12002</v>
      </c>
      <c r="C2652" s="40" t="s">
        <v>12003</v>
      </c>
      <c r="D2652" s="11"/>
      <c r="E2652" s="11" t="s">
        <v>4507</v>
      </c>
      <c r="F2652" s="9">
        <v>10000.0</v>
      </c>
      <c r="G2652" s="290" t="s">
        <v>12004</v>
      </c>
      <c r="H2652" s="11" t="s">
        <v>12005</v>
      </c>
      <c r="I2652" s="276">
        <v>7.978769022E9</v>
      </c>
      <c r="J2652" s="11"/>
      <c r="K2652" s="12"/>
      <c r="L2652" s="12" t="s">
        <v>12006</v>
      </c>
      <c r="M2652" s="11" t="s">
        <v>12007</v>
      </c>
      <c r="N2652" s="5" t="s">
        <v>12008</v>
      </c>
      <c r="O2652" s="5" t="s">
        <v>26</v>
      </c>
      <c r="P2652" s="284" t="s">
        <v>12009</v>
      </c>
      <c r="Q2652" s="5" t="s">
        <v>12010</v>
      </c>
      <c r="R2652" s="16" t="s">
        <v>634</v>
      </c>
      <c r="S2652" s="15"/>
      <c r="T2652" s="15"/>
      <c r="U2652" s="15"/>
      <c r="V2652" s="15"/>
      <c r="W2652" s="15"/>
      <c r="X2652" s="15"/>
      <c r="Y2652" s="15"/>
      <c r="Z2652" s="15"/>
      <c r="AA2652" s="15"/>
    </row>
    <row r="2653">
      <c r="A2653" s="5" t="s">
        <v>11996</v>
      </c>
      <c r="B2653" s="131" t="s">
        <v>12011</v>
      </c>
      <c r="C2653" s="40" t="s">
        <v>12012</v>
      </c>
      <c r="D2653" s="11"/>
      <c r="E2653" s="11" t="s">
        <v>12013</v>
      </c>
      <c r="F2653" s="90">
        <v>1000.0</v>
      </c>
      <c r="G2653" s="290" t="s">
        <v>12014</v>
      </c>
      <c r="H2653" s="11" t="s">
        <v>507</v>
      </c>
      <c r="I2653" s="276">
        <v>7.774823558E9</v>
      </c>
      <c r="J2653" s="11"/>
      <c r="K2653" s="12" t="s">
        <v>8677</v>
      </c>
      <c r="L2653" s="12" t="s">
        <v>12015</v>
      </c>
      <c r="M2653" s="11" t="s">
        <v>12016</v>
      </c>
      <c r="N2653" s="5" t="s">
        <v>12017</v>
      </c>
      <c r="O2653" s="5" t="s">
        <v>108</v>
      </c>
      <c r="P2653" s="5" t="s">
        <v>12018</v>
      </c>
      <c r="Q2653" s="15"/>
      <c r="R2653" s="16" t="s">
        <v>634</v>
      </c>
      <c r="S2653" s="15"/>
      <c r="T2653" s="15"/>
      <c r="U2653" s="15"/>
      <c r="V2653" s="15"/>
      <c r="W2653" s="15"/>
      <c r="X2653" s="15"/>
      <c r="Y2653" s="15"/>
      <c r="Z2653" s="15"/>
      <c r="AA2653" s="15"/>
    </row>
    <row r="2654">
      <c r="A2654" s="5" t="s">
        <v>11996</v>
      </c>
      <c r="B2654" s="131" t="s">
        <v>12019</v>
      </c>
      <c r="C2654" s="40" t="s">
        <v>12020</v>
      </c>
      <c r="D2654" s="11"/>
      <c r="E2654" s="11" t="s">
        <v>12021</v>
      </c>
      <c r="F2654" s="90">
        <v>1000.0</v>
      </c>
      <c r="G2654" s="290" t="s">
        <v>12022</v>
      </c>
      <c r="H2654" s="11" t="s">
        <v>44</v>
      </c>
      <c r="I2654" s="276">
        <v>9.831369338E9</v>
      </c>
      <c r="J2654" s="11" t="s">
        <v>12023</v>
      </c>
      <c r="K2654" s="12"/>
      <c r="L2654" s="12">
        <v>120.0</v>
      </c>
      <c r="M2654" s="11" t="s">
        <v>12024</v>
      </c>
      <c r="N2654" s="5" t="s">
        <v>12025</v>
      </c>
      <c r="O2654" s="5" t="s">
        <v>34</v>
      </c>
      <c r="P2654" s="5" t="s">
        <v>12026</v>
      </c>
      <c r="Q2654" s="5" t="s">
        <v>12027</v>
      </c>
      <c r="R2654" s="16" t="s">
        <v>723</v>
      </c>
      <c r="S2654" s="15"/>
      <c r="T2654" s="15"/>
      <c r="U2654" s="15"/>
      <c r="V2654" s="15"/>
      <c r="W2654" s="15"/>
      <c r="X2654" s="15"/>
      <c r="Y2654" s="15"/>
      <c r="Z2654" s="15"/>
      <c r="AA2654" s="15"/>
    </row>
    <row r="2655">
      <c r="A2655" s="5" t="s">
        <v>11996</v>
      </c>
      <c r="B2655" s="131" t="s">
        <v>12028</v>
      </c>
      <c r="C2655" s="40" t="s">
        <v>12029</v>
      </c>
      <c r="D2655" s="11"/>
      <c r="E2655" s="11" t="s">
        <v>12030</v>
      </c>
      <c r="F2655" s="9">
        <v>1000000.0</v>
      </c>
      <c r="G2655" s="290" t="s">
        <v>12031</v>
      </c>
      <c r="H2655" s="11" t="s">
        <v>3167</v>
      </c>
      <c r="I2655" s="276">
        <v>9.382019056E9</v>
      </c>
      <c r="J2655" s="11" t="s">
        <v>3577</v>
      </c>
      <c r="K2655" s="12" t="s">
        <v>12032</v>
      </c>
      <c r="L2655" s="13"/>
      <c r="M2655" s="11" t="s">
        <v>9685</v>
      </c>
      <c r="N2655" s="5" t="s">
        <v>12033</v>
      </c>
      <c r="O2655" s="5" t="s">
        <v>26</v>
      </c>
      <c r="P2655" s="286" t="s">
        <v>12034</v>
      </c>
      <c r="Q2655" s="286" t="s">
        <v>12035</v>
      </c>
      <c r="R2655" s="16" t="s">
        <v>634</v>
      </c>
      <c r="S2655" s="15"/>
      <c r="T2655" s="15"/>
      <c r="U2655" s="15"/>
      <c r="V2655" s="15"/>
      <c r="W2655" s="15"/>
      <c r="X2655" s="15"/>
      <c r="Y2655" s="15"/>
      <c r="Z2655" s="15"/>
      <c r="AA2655" s="15"/>
    </row>
    <row r="2656">
      <c r="A2656" s="5" t="s">
        <v>11996</v>
      </c>
      <c r="B2656" s="131" t="s">
        <v>12036</v>
      </c>
      <c r="C2656" s="40" t="s">
        <v>12037</v>
      </c>
      <c r="D2656" s="11"/>
      <c r="E2656" s="11" t="s">
        <v>10645</v>
      </c>
      <c r="F2656" s="90">
        <v>1000.0</v>
      </c>
      <c r="G2656" s="290" t="s">
        <v>12038</v>
      </c>
      <c r="H2656" s="11" t="s">
        <v>12039</v>
      </c>
      <c r="I2656" s="276">
        <v>8.017024999E9</v>
      </c>
      <c r="J2656" s="11" t="s">
        <v>12040</v>
      </c>
      <c r="K2656" s="12" t="s">
        <v>9684</v>
      </c>
      <c r="L2656" s="13"/>
      <c r="M2656" s="11" t="s">
        <v>9685</v>
      </c>
      <c r="N2656" s="5" t="s">
        <v>12041</v>
      </c>
      <c r="O2656" s="5" t="s">
        <v>26</v>
      </c>
      <c r="P2656" s="5" t="s">
        <v>4563</v>
      </c>
      <c r="Q2656" s="5" t="s">
        <v>1619</v>
      </c>
      <c r="R2656" s="16" t="s">
        <v>634</v>
      </c>
      <c r="S2656" s="15"/>
      <c r="T2656" s="15"/>
      <c r="U2656" s="15"/>
      <c r="V2656" s="15"/>
      <c r="W2656" s="15"/>
      <c r="X2656" s="15"/>
      <c r="Y2656" s="15"/>
      <c r="Z2656" s="15"/>
      <c r="AA2656" s="15"/>
    </row>
    <row r="2657">
      <c r="A2657" s="5" t="s">
        <v>11996</v>
      </c>
      <c r="B2657" s="131" t="s">
        <v>12042</v>
      </c>
      <c r="C2657" s="40" t="s">
        <v>12043</v>
      </c>
      <c r="D2657" s="11"/>
      <c r="E2657" s="11" t="s">
        <v>8536</v>
      </c>
      <c r="F2657" s="90">
        <v>500.0</v>
      </c>
      <c r="G2657" s="290" t="s">
        <v>12044</v>
      </c>
      <c r="H2657" s="11" t="s">
        <v>507</v>
      </c>
      <c r="I2657" s="276">
        <v>8.888860494E9</v>
      </c>
      <c r="J2657" s="11" t="s">
        <v>12045</v>
      </c>
      <c r="K2657" s="12"/>
      <c r="L2657" s="13"/>
      <c r="M2657" s="14"/>
      <c r="N2657" s="15"/>
      <c r="O2657" s="5" t="s">
        <v>108</v>
      </c>
      <c r="P2657" s="5" t="s">
        <v>12046</v>
      </c>
      <c r="Q2657" s="15"/>
      <c r="R2657" s="16" t="s">
        <v>28</v>
      </c>
      <c r="S2657" s="15"/>
      <c r="T2657" s="15"/>
      <c r="U2657" s="15"/>
      <c r="V2657" s="15"/>
      <c r="W2657" s="15"/>
      <c r="X2657" s="15"/>
      <c r="Y2657" s="15"/>
      <c r="Z2657" s="15"/>
      <c r="AA2657" s="15"/>
    </row>
    <row r="2658">
      <c r="A2658" s="5" t="s">
        <v>11996</v>
      </c>
      <c r="B2658" s="131" t="s">
        <v>12047</v>
      </c>
      <c r="C2658" s="40" t="s">
        <v>12048</v>
      </c>
      <c r="D2658" s="11"/>
      <c r="E2658" s="11" t="s">
        <v>207</v>
      </c>
      <c r="F2658" s="9">
        <v>20000.0</v>
      </c>
      <c r="G2658" s="290" t="s">
        <v>12049</v>
      </c>
      <c r="H2658" s="11" t="s">
        <v>44</v>
      </c>
      <c r="I2658" s="276">
        <v>9.83002791E9</v>
      </c>
      <c r="J2658" s="11" t="s">
        <v>8737</v>
      </c>
      <c r="K2658" s="12"/>
      <c r="L2658" s="12">
        <v>12.0</v>
      </c>
      <c r="M2658" s="11" t="s">
        <v>9685</v>
      </c>
      <c r="N2658" s="5" t="s">
        <v>12050</v>
      </c>
      <c r="O2658" s="5" t="s">
        <v>34</v>
      </c>
      <c r="P2658" s="5" t="s">
        <v>8466</v>
      </c>
      <c r="Q2658" s="5" t="s">
        <v>1751</v>
      </c>
      <c r="R2658" s="16" t="s">
        <v>634</v>
      </c>
      <c r="S2658" s="15"/>
      <c r="T2658" s="15"/>
      <c r="U2658" s="15"/>
      <c r="V2658" s="15"/>
      <c r="W2658" s="15"/>
      <c r="X2658" s="15"/>
      <c r="Y2658" s="15"/>
      <c r="Z2658" s="15"/>
      <c r="AA2658" s="15"/>
    </row>
    <row r="2659">
      <c r="A2659" s="5" t="s">
        <v>12051</v>
      </c>
      <c r="B2659" s="131" t="s">
        <v>12052</v>
      </c>
      <c r="C2659" s="40" t="s">
        <v>12053</v>
      </c>
      <c r="D2659" s="11"/>
      <c r="E2659" s="11" t="s">
        <v>12054</v>
      </c>
      <c r="F2659" s="90" t="s">
        <v>12055</v>
      </c>
      <c r="G2659" s="322" t="s">
        <v>12056</v>
      </c>
      <c r="H2659" s="11" t="s">
        <v>44</v>
      </c>
      <c r="I2659" s="276">
        <v>9.874940377E9</v>
      </c>
      <c r="J2659" s="11"/>
      <c r="K2659" s="12" t="s">
        <v>12057</v>
      </c>
      <c r="L2659" s="13"/>
      <c r="M2659" s="11" t="s">
        <v>12058</v>
      </c>
      <c r="N2659" s="5" t="s">
        <v>12059</v>
      </c>
      <c r="O2659" s="5" t="s">
        <v>26</v>
      </c>
      <c r="P2659" s="11" t="s">
        <v>12060</v>
      </c>
      <c r="Q2659" s="284" t="s">
        <v>12061</v>
      </c>
      <c r="R2659" s="16" t="s">
        <v>634</v>
      </c>
      <c r="S2659" s="15"/>
      <c r="T2659" s="15"/>
      <c r="U2659" s="15"/>
      <c r="V2659" s="15"/>
      <c r="W2659" s="15"/>
      <c r="X2659" s="15"/>
      <c r="Y2659" s="15"/>
      <c r="Z2659" s="15"/>
      <c r="AA2659" s="15"/>
    </row>
    <row r="2660">
      <c r="A2660" s="5" t="s">
        <v>12051</v>
      </c>
      <c r="B2660" s="131" t="s">
        <v>12062</v>
      </c>
      <c r="C2660" s="40" t="s">
        <v>12063</v>
      </c>
      <c r="D2660" s="11"/>
      <c r="E2660" s="11" t="s">
        <v>77</v>
      </c>
      <c r="F2660" s="9">
        <v>20000.0</v>
      </c>
      <c r="G2660" s="322" t="s">
        <v>12064</v>
      </c>
      <c r="H2660" s="11" t="s">
        <v>44</v>
      </c>
      <c r="I2660" s="276">
        <v>7.980129435E9</v>
      </c>
      <c r="J2660" s="11" t="s">
        <v>10933</v>
      </c>
      <c r="K2660" s="12" t="s">
        <v>9892</v>
      </c>
      <c r="L2660" s="13"/>
      <c r="M2660" s="11" t="s">
        <v>7820</v>
      </c>
      <c r="N2660" s="5" t="s">
        <v>12065</v>
      </c>
      <c r="O2660" s="5" t="s">
        <v>26</v>
      </c>
      <c r="P2660" s="11" t="s">
        <v>12066</v>
      </c>
      <c r="Q2660" s="5" t="s">
        <v>1341</v>
      </c>
      <c r="R2660" s="16" t="s">
        <v>723</v>
      </c>
      <c r="S2660" s="5" t="s">
        <v>12067</v>
      </c>
      <c r="T2660" s="15"/>
      <c r="U2660" s="15"/>
      <c r="V2660" s="15"/>
      <c r="W2660" s="15"/>
      <c r="X2660" s="15"/>
      <c r="Y2660" s="15"/>
      <c r="Z2660" s="15"/>
      <c r="AA2660" s="15"/>
    </row>
    <row r="2661">
      <c r="A2661" s="5" t="s">
        <v>12051</v>
      </c>
      <c r="B2661" s="131" t="s">
        <v>12068</v>
      </c>
      <c r="C2661" s="40" t="s">
        <v>12069</v>
      </c>
      <c r="D2661" s="11"/>
      <c r="E2661" s="11" t="s">
        <v>207</v>
      </c>
      <c r="F2661" s="90">
        <v>5000.0</v>
      </c>
      <c r="G2661" s="322" t="s">
        <v>12070</v>
      </c>
      <c r="H2661" s="11" t="s">
        <v>12071</v>
      </c>
      <c r="I2661" s="276">
        <v>8.116329486E9</v>
      </c>
      <c r="J2661" s="11" t="s">
        <v>8737</v>
      </c>
      <c r="K2661" s="12"/>
      <c r="L2661" s="12">
        <v>11.25</v>
      </c>
      <c r="M2661" s="11" t="s">
        <v>12072</v>
      </c>
      <c r="N2661" s="5" t="s">
        <v>12073</v>
      </c>
      <c r="O2661" s="5" t="s">
        <v>34</v>
      </c>
      <c r="P2661" s="5" t="s">
        <v>6625</v>
      </c>
      <c r="Q2661" s="15"/>
      <c r="R2661" s="16" t="s">
        <v>634</v>
      </c>
      <c r="S2661" s="15"/>
      <c r="T2661" s="15"/>
      <c r="U2661" s="15"/>
      <c r="V2661" s="15"/>
      <c r="W2661" s="15"/>
      <c r="X2661" s="15"/>
      <c r="Y2661" s="15"/>
      <c r="Z2661" s="15"/>
      <c r="AA2661" s="15"/>
    </row>
    <row r="2662">
      <c r="A2662" s="5" t="s">
        <v>12051</v>
      </c>
      <c r="B2662" s="131" t="s">
        <v>12074</v>
      </c>
      <c r="C2662" s="40" t="s">
        <v>12075</v>
      </c>
      <c r="D2662" s="11"/>
      <c r="E2662" s="11" t="s">
        <v>207</v>
      </c>
      <c r="F2662" s="90">
        <v>5000.0</v>
      </c>
      <c r="G2662" s="322" t="s">
        <v>12076</v>
      </c>
      <c r="H2662" s="11" t="s">
        <v>12077</v>
      </c>
      <c r="I2662" s="276">
        <v>9.330559291E9</v>
      </c>
      <c r="J2662" s="11" t="s">
        <v>8737</v>
      </c>
      <c r="K2662" s="12"/>
      <c r="L2662" s="12">
        <v>11.5</v>
      </c>
      <c r="M2662" s="11" t="s">
        <v>9649</v>
      </c>
      <c r="N2662" s="5" t="s">
        <v>12078</v>
      </c>
      <c r="O2662" s="5" t="s">
        <v>34</v>
      </c>
      <c r="P2662" s="5" t="s">
        <v>12079</v>
      </c>
      <c r="Q2662" s="5" t="s">
        <v>2144</v>
      </c>
      <c r="R2662" s="16" t="s">
        <v>723</v>
      </c>
      <c r="S2662" s="15"/>
      <c r="T2662" s="15"/>
      <c r="U2662" s="15"/>
      <c r="V2662" s="15"/>
      <c r="W2662" s="15"/>
      <c r="X2662" s="15"/>
      <c r="Y2662" s="15"/>
      <c r="Z2662" s="15"/>
      <c r="AA2662" s="15"/>
    </row>
    <row r="2663">
      <c r="A2663" s="5" t="s">
        <v>12051</v>
      </c>
      <c r="B2663" s="131" t="s">
        <v>12080</v>
      </c>
      <c r="C2663" s="62" t="s">
        <v>12081</v>
      </c>
      <c r="D2663" s="11"/>
      <c r="E2663" s="11" t="s">
        <v>4096</v>
      </c>
      <c r="F2663" s="90">
        <v>3000.0</v>
      </c>
      <c r="G2663" s="290" t="s">
        <v>12082</v>
      </c>
      <c r="H2663" s="11" t="s">
        <v>44</v>
      </c>
      <c r="I2663" s="276">
        <v>9.088312379E9</v>
      </c>
      <c r="J2663" s="11" t="s">
        <v>4008</v>
      </c>
      <c r="K2663" s="12"/>
      <c r="L2663" s="12">
        <v>31.0</v>
      </c>
      <c r="M2663" s="11" t="s">
        <v>10809</v>
      </c>
      <c r="N2663" s="5" t="s">
        <v>12083</v>
      </c>
      <c r="O2663" s="5" t="s">
        <v>34</v>
      </c>
      <c r="P2663" s="5" t="s">
        <v>12084</v>
      </c>
      <c r="Q2663" s="5" t="s">
        <v>1751</v>
      </c>
      <c r="R2663" s="16" t="s">
        <v>723</v>
      </c>
      <c r="S2663" s="15"/>
      <c r="T2663" s="15"/>
      <c r="U2663" s="15"/>
      <c r="V2663" s="15"/>
      <c r="W2663" s="15"/>
      <c r="X2663" s="15"/>
      <c r="Y2663" s="15"/>
      <c r="Z2663" s="15"/>
      <c r="AA2663" s="15"/>
    </row>
    <row r="2664">
      <c r="A2664" s="5" t="s">
        <v>12051</v>
      </c>
      <c r="B2664" s="131" t="s">
        <v>12085</v>
      </c>
      <c r="C2664" s="40" t="s">
        <v>12086</v>
      </c>
      <c r="D2664" s="11"/>
      <c r="E2664" s="11" t="s">
        <v>11843</v>
      </c>
      <c r="F2664" s="90">
        <v>1000.0</v>
      </c>
      <c r="G2664" s="290" t="s">
        <v>12087</v>
      </c>
      <c r="H2664" s="11" t="s">
        <v>44</v>
      </c>
      <c r="I2664" s="276">
        <v>8.584968653E9</v>
      </c>
      <c r="J2664" s="11" t="s">
        <v>25</v>
      </c>
      <c r="K2664" s="12" t="s">
        <v>8677</v>
      </c>
      <c r="L2664" s="13"/>
      <c r="M2664" s="14"/>
      <c r="N2664" s="15"/>
      <c r="O2664" s="5" t="s">
        <v>26</v>
      </c>
      <c r="P2664" s="5" t="s">
        <v>12088</v>
      </c>
      <c r="Q2664" s="15"/>
      <c r="R2664" s="16" t="s">
        <v>723</v>
      </c>
      <c r="S2664" s="15"/>
      <c r="T2664" s="15"/>
      <c r="U2664" s="15"/>
      <c r="V2664" s="15"/>
      <c r="W2664" s="15"/>
      <c r="X2664" s="15"/>
      <c r="Y2664" s="15"/>
      <c r="Z2664" s="15"/>
      <c r="AA2664" s="15"/>
    </row>
    <row r="2665">
      <c r="A2665" s="5" t="s">
        <v>12051</v>
      </c>
      <c r="B2665" s="131" t="s">
        <v>12089</v>
      </c>
      <c r="C2665" s="40" t="s">
        <v>12090</v>
      </c>
      <c r="D2665" s="11"/>
      <c r="E2665" s="11" t="s">
        <v>11377</v>
      </c>
      <c r="F2665" s="90">
        <v>100.0</v>
      </c>
      <c r="G2665" s="290" t="s">
        <v>12091</v>
      </c>
      <c r="H2665" s="11" t="s">
        <v>44</v>
      </c>
      <c r="I2665" s="276">
        <v>7.318712092E9</v>
      </c>
      <c r="J2665" s="11" t="s">
        <v>8737</v>
      </c>
      <c r="K2665" s="12" t="s">
        <v>8753</v>
      </c>
      <c r="L2665" s="13"/>
      <c r="M2665" s="14"/>
      <c r="N2665" s="15"/>
      <c r="O2665" s="5" t="s">
        <v>10708</v>
      </c>
      <c r="P2665" s="5" t="s">
        <v>12092</v>
      </c>
      <c r="Q2665" s="15"/>
      <c r="R2665" s="16" t="s">
        <v>28</v>
      </c>
      <c r="S2665" s="15"/>
      <c r="T2665" s="15"/>
      <c r="U2665" s="15"/>
      <c r="V2665" s="15"/>
      <c r="W2665" s="15"/>
      <c r="X2665" s="15"/>
      <c r="Y2665" s="15"/>
      <c r="Z2665" s="15"/>
      <c r="AA2665" s="15"/>
    </row>
    <row r="2666">
      <c r="A2666" s="5" t="s">
        <v>12051</v>
      </c>
      <c r="B2666" s="131" t="s">
        <v>12093</v>
      </c>
      <c r="C2666" s="40" t="s">
        <v>12094</v>
      </c>
      <c r="D2666" s="11"/>
      <c r="E2666" s="11" t="s">
        <v>12095</v>
      </c>
      <c r="F2666" s="90">
        <v>500.0</v>
      </c>
      <c r="G2666" s="290" t="s">
        <v>12096</v>
      </c>
      <c r="H2666" s="11" t="s">
        <v>44</v>
      </c>
      <c r="I2666" s="276">
        <v>9.903177393E9</v>
      </c>
      <c r="J2666" s="11" t="s">
        <v>25</v>
      </c>
      <c r="K2666" s="12"/>
      <c r="L2666" s="12">
        <v>35.0</v>
      </c>
      <c r="M2666" s="14"/>
      <c r="N2666" s="15"/>
      <c r="O2666" s="5" t="s">
        <v>34</v>
      </c>
      <c r="P2666" s="11" t="s">
        <v>12097</v>
      </c>
      <c r="Q2666" s="15"/>
      <c r="R2666" s="16" t="s">
        <v>28</v>
      </c>
      <c r="S2666" s="15"/>
      <c r="T2666" s="15"/>
      <c r="U2666" s="15"/>
      <c r="V2666" s="15"/>
      <c r="W2666" s="15"/>
      <c r="X2666" s="15"/>
      <c r="Y2666" s="15"/>
      <c r="Z2666" s="15"/>
      <c r="AA2666" s="15"/>
    </row>
    <row r="2667">
      <c r="A2667" s="5" t="s">
        <v>12051</v>
      </c>
      <c r="B2667" s="131" t="s">
        <v>12098</v>
      </c>
      <c r="C2667" s="40" t="s">
        <v>12099</v>
      </c>
      <c r="D2667" s="11"/>
      <c r="E2667" s="11" t="s">
        <v>11692</v>
      </c>
      <c r="F2667" s="90">
        <v>500.0</v>
      </c>
      <c r="G2667" s="290" t="s">
        <v>12100</v>
      </c>
      <c r="H2667" s="11" t="s">
        <v>44</v>
      </c>
      <c r="I2667" s="276">
        <v>9.804950957E9</v>
      </c>
      <c r="J2667" s="11" t="s">
        <v>4008</v>
      </c>
      <c r="K2667" s="11" t="s">
        <v>12101</v>
      </c>
      <c r="L2667" s="13"/>
      <c r="M2667" s="365" t="s">
        <v>12102</v>
      </c>
      <c r="N2667" s="5" t="s">
        <v>12103</v>
      </c>
      <c r="O2667" s="5" t="s">
        <v>26</v>
      </c>
      <c r="P2667" s="286" t="s">
        <v>12104</v>
      </c>
      <c r="Q2667" s="15"/>
      <c r="R2667" s="16" t="s">
        <v>723</v>
      </c>
      <c r="S2667" s="15"/>
      <c r="T2667" s="15"/>
      <c r="U2667" s="15"/>
      <c r="V2667" s="15"/>
      <c r="W2667" s="15"/>
      <c r="X2667" s="15"/>
      <c r="Y2667" s="15"/>
      <c r="Z2667" s="15"/>
      <c r="AA2667" s="15"/>
    </row>
    <row r="2668">
      <c r="A2668" s="5" t="s">
        <v>12051</v>
      </c>
      <c r="B2668" s="131" t="s">
        <v>12105</v>
      </c>
      <c r="C2668" s="40" t="s">
        <v>12106</v>
      </c>
      <c r="D2668" s="11"/>
      <c r="E2668" s="11" t="s">
        <v>6168</v>
      </c>
      <c r="F2668" s="90">
        <v>500.0</v>
      </c>
      <c r="G2668" s="290" t="s">
        <v>10927</v>
      </c>
      <c r="H2668" s="11" t="s">
        <v>44</v>
      </c>
      <c r="I2668" s="276">
        <v>9.831685249E9</v>
      </c>
      <c r="J2668" s="11"/>
      <c r="K2668" s="12" t="s">
        <v>8753</v>
      </c>
      <c r="L2668" s="13"/>
      <c r="M2668" s="14"/>
      <c r="N2668" s="15"/>
      <c r="O2668" s="5" t="s">
        <v>26</v>
      </c>
      <c r="P2668" s="15"/>
      <c r="Q2668" s="15"/>
      <c r="R2668" s="16" t="s">
        <v>28</v>
      </c>
      <c r="S2668" s="5" t="s">
        <v>12107</v>
      </c>
      <c r="T2668" s="15"/>
      <c r="U2668" s="15"/>
      <c r="V2668" s="15"/>
      <c r="W2668" s="15"/>
      <c r="X2668" s="15"/>
      <c r="Y2668" s="15"/>
      <c r="Z2668" s="15"/>
      <c r="AA2668" s="15"/>
    </row>
    <row r="2669">
      <c r="A2669" s="5" t="s">
        <v>12108</v>
      </c>
      <c r="B2669" s="131" t="s">
        <v>12109</v>
      </c>
      <c r="C2669" s="40" t="s">
        <v>12110</v>
      </c>
      <c r="D2669" s="11"/>
      <c r="E2669" s="11" t="s">
        <v>156</v>
      </c>
      <c r="F2669" s="90">
        <v>2500.0</v>
      </c>
      <c r="G2669" s="290" t="s">
        <v>12111</v>
      </c>
      <c r="H2669" s="11" t="s">
        <v>44</v>
      </c>
      <c r="I2669" s="276">
        <v>9.123700035E9</v>
      </c>
      <c r="J2669" s="11"/>
      <c r="K2669" s="12"/>
      <c r="L2669" s="12">
        <v>7.5</v>
      </c>
      <c r="M2669" s="11" t="s">
        <v>12112</v>
      </c>
      <c r="N2669" s="11" t="s">
        <v>12113</v>
      </c>
      <c r="O2669" s="5" t="s">
        <v>34</v>
      </c>
      <c r="P2669" s="5" t="s">
        <v>8466</v>
      </c>
      <c r="Q2669" s="15"/>
      <c r="R2669" s="16" t="s">
        <v>634</v>
      </c>
      <c r="S2669" s="15"/>
      <c r="T2669" s="15"/>
      <c r="U2669" s="15"/>
      <c r="V2669" s="15"/>
      <c r="W2669" s="15"/>
      <c r="X2669" s="15"/>
      <c r="Y2669" s="15"/>
      <c r="Z2669" s="15"/>
      <c r="AA2669" s="15"/>
    </row>
    <row r="2670">
      <c r="A2670" s="5" t="s">
        <v>12108</v>
      </c>
      <c r="B2670" s="354" t="s">
        <v>12114</v>
      </c>
      <c r="C2670" s="245" t="s">
        <v>12115</v>
      </c>
      <c r="D2670" s="40"/>
      <c r="E2670" s="40" t="s">
        <v>12116</v>
      </c>
      <c r="F2670" s="296" t="s">
        <v>12117</v>
      </c>
      <c r="G2670" s="290" t="s">
        <v>12118</v>
      </c>
      <c r="H2670" s="11" t="s">
        <v>12119</v>
      </c>
      <c r="I2670" s="276">
        <v>8.240221774E9</v>
      </c>
      <c r="J2670" s="11" t="s">
        <v>10933</v>
      </c>
      <c r="K2670" s="12"/>
      <c r="L2670" s="12" t="s">
        <v>12120</v>
      </c>
      <c r="M2670" s="11" t="s">
        <v>12121</v>
      </c>
      <c r="N2670" s="5" t="s">
        <v>12122</v>
      </c>
      <c r="O2670" s="5" t="s">
        <v>26</v>
      </c>
      <c r="P2670" s="286" t="s">
        <v>12123</v>
      </c>
      <c r="Q2670" s="11" t="s">
        <v>12124</v>
      </c>
      <c r="R2670" s="16" t="s">
        <v>248</v>
      </c>
      <c r="S2670" s="5"/>
      <c r="T2670" s="15"/>
      <c r="U2670" s="15"/>
      <c r="V2670" s="15"/>
      <c r="W2670" s="15"/>
      <c r="X2670" s="15"/>
      <c r="Y2670" s="15"/>
      <c r="Z2670" s="15"/>
      <c r="AA2670" s="15"/>
    </row>
    <row r="2671">
      <c r="A2671" s="5" t="s">
        <v>12108</v>
      </c>
      <c r="B2671" s="131" t="s">
        <v>12125</v>
      </c>
      <c r="C2671" s="40" t="s">
        <v>12126</v>
      </c>
      <c r="D2671" s="11"/>
      <c r="E2671" s="11" t="s">
        <v>9634</v>
      </c>
      <c r="F2671" s="9">
        <v>25000.0</v>
      </c>
      <c r="G2671" s="290" t="s">
        <v>12127</v>
      </c>
      <c r="H2671" s="11" t="s">
        <v>742</v>
      </c>
      <c r="I2671" s="276">
        <v>9.1828468E9</v>
      </c>
      <c r="J2671" s="11"/>
      <c r="K2671" s="12"/>
      <c r="L2671" s="12" t="s">
        <v>12128</v>
      </c>
      <c r="M2671" s="11" t="s">
        <v>12129</v>
      </c>
      <c r="N2671" s="5"/>
      <c r="O2671" s="5" t="s">
        <v>108</v>
      </c>
      <c r="P2671" s="283" t="s">
        <v>12130</v>
      </c>
      <c r="Q2671" s="5"/>
      <c r="R2671" s="16" t="s">
        <v>28</v>
      </c>
      <c r="S2671" s="5"/>
      <c r="T2671" s="15"/>
      <c r="U2671" s="15"/>
      <c r="V2671" s="15"/>
      <c r="W2671" s="15"/>
      <c r="X2671" s="15"/>
      <c r="Y2671" s="15"/>
      <c r="Z2671" s="15"/>
      <c r="AA2671" s="15"/>
    </row>
    <row r="2672">
      <c r="A2672" s="5" t="s">
        <v>12108</v>
      </c>
      <c r="B2672" s="131" t="s">
        <v>12131</v>
      </c>
      <c r="C2672" s="40" t="s">
        <v>12132</v>
      </c>
      <c r="D2672" s="11"/>
      <c r="E2672" s="11" t="s">
        <v>9933</v>
      </c>
      <c r="F2672" s="90">
        <v>2000.0</v>
      </c>
      <c r="G2672" s="290" t="s">
        <v>12133</v>
      </c>
      <c r="H2672" s="11" t="s">
        <v>12134</v>
      </c>
      <c r="I2672" s="276">
        <v>9.820076861E9</v>
      </c>
      <c r="J2672" s="11" t="s">
        <v>12135</v>
      </c>
      <c r="K2672" s="12"/>
      <c r="L2672" s="13"/>
      <c r="M2672" s="11"/>
      <c r="N2672" s="5"/>
      <c r="O2672" s="5" t="s">
        <v>108</v>
      </c>
      <c r="P2672" s="5" t="s">
        <v>12136</v>
      </c>
      <c r="Q2672" s="15"/>
      <c r="R2672" s="16" t="s">
        <v>28</v>
      </c>
      <c r="S2672" s="15"/>
      <c r="T2672" s="15"/>
      <c r="U2672" s="15"/>
      <c r="V2672" s="15"/>
      <c r="W2672" s="15"/>
      <c r="X2672" s="15"/>
      <c r="Y2672" s="15"/>
      <c r="Z2672" s="15"/>
      <c r="AA2672" s="15"/>
    </row>
    <row r="2673">
      <c r="A2673" s="5" t="s">
        <v>12137</v>
      </c>
      <c r="B2673" s="131" t="s">
        <v>12138</v>
      </c>
      <c r="C2673" s="40" t="s">
        <v>12139</v>
      </c>
      <c r="D2673" s="11"/>
      <c r="E2673" s="11" t="s">
        <v>798</v>
      </c>
      <c r="F2673" s="90">
        <v>1000.0</v>
      </c>
      <c r="G2673" s="290" t="s">
        <v>11169</v>
      </c>
      <c r="H2673" s="11" t="s">
        <v>11660</v>
      </c>
      <c r="I2673" s="276">
        <v>9.831688805E9</v>
      </c>
      <c r="J2673" s="11"/>
      <c r="K2673" s="12" t="s">
        <v>12140</v>
      </c>
      <c r="L2673" s="13"/>
      <c r="M2673" s="11" t="s">
        <v>12141</v>
      </c>
      <c r="N2673" s="5" t="s">
        <v>12142</v>
      </c>
      <c r="O2673" s="5" t="s">
        <v>26</v>
      </c>
      <c r="P2673" s="11" t="s">
        <v>12143</v>
      </c>
      <c r="Q2673" s="11" t="s">
        <v>12144</v>
      </c>
      <c r="R2673" s="16" t="s">
        <v>634</v>
      </c>
      <c r="S2673" s="15"/>
      <c r="T2673" s="15"/>
      <c r="U2673" s="15"/>
      <c r="V2673" s="15"/>
      <c r="W2673" s="15"/>
      <c r="X2673" s="15"/>
      <c r="Y2673" s="15"/>
      <c r="Z2673" s="15"/>
      <c r="AA2673" s="15"/>
    </row>
    <row r="2674">
      <c r="A2674" s="5" t="s">
        <v>12137</v>
      </c>
      <c r="B2674" s="131" t="s">
        <v>12145</v>
      </c>
      <c r="C2674" s="62" t="s">
        <v>12146</v>
      </c>
      <c r="D2674" s="11"/>
      <c r="E2674" s="11" t="s">
        <v>3193</v>
      </c>
      <c r="F2674" s="9">
        <v>10000.0</v>
      </c>
      <c r="G2674" s="290" t="s">
        <v>11169</v>
      </c>
      <c r="H2674" s="11" t="s">
        <v>8781</v>
      </c>
      <c r="I2674" s="276">
        <v>9.804239181E9</v>
      </c>
      <c r="J2674" s="11"/>
      <c r="K2674" s="12" t="s">
        <v>890</v>
      </c>
      <c r="L2674" s="13"/>
      <c r="M2674" s="11" t="s">
        <v>8722</v>
      </c>
      <c r="N2674" s="5" t="s">
        <v>12147</v>
      </c>
      <c r="O2674" s="5" t="s">
        <v>26</v>
      </c>
      <c r="P2674" s="5" t="s">
        <v>12148</v>
      </c>
      <c r="Q2674" s="15"/>
      <c r="R2674" s="16" t="s">
        <v>723</v>
      </c>
      <c r="S2674" s="15"/>
      <c r="T2674" s="15"/>
      <c r="U2674" s="15"/>
      <c r="V2674" s="15"/>
      <c r="W2674" s="15"/>
      <c r="X2674" s="15"/>
      <c r="Y2674" s="15"/>
      <c r="Z2674" s="15"/>
      <c r="AA2674" s="15"/>
    </row>
    <row r="2675">
      <c r="A2675" s="5" t="s">
        <v>12137</v>
      </c>
      <c r="B2675" s="131" t="s">
        <v>12149</v>
      </c>
      <c r="C2675" s="40" t="s">
        <v>12150</v>
      </c>
      <c r="D2675" s="11"/>
      <c r="E2675" s="11" t="s">
        <v>6042</v>
      </c>
      <c r="F2675" s="90">
        <v>500.0</v>
      </c>
      <c r="G2675" s="290" t="s">
        <v>12151</v>
      </c>
      <c r="H2675" s="11" t="s">
        <v>519</v>
      </c>
      <c r="I2675" s="276">
        <v>8.980046631E9</v>
      </c>
      <c r="J2675" s="11"/>
      <c r="K2675" s="12" t="s">
        <v>8677</v>
      </c>
      <c r="L2675" s="13"/>
      <c r="M2675" s="14"/>
      <c r="N2675" s="15"/>
      <c r="O2675" s="5" t="s">
        <v>108</v>
      </c>
      <c r="P2675" s="15"/>
      <c r="Q2675" s="15"/>
      <c r="R2675" s="16" t="s">
        <v>28</v>
      </c>
      <c r="S2675" s="15"/>
      <c r="T2675" s="15"/>
      <c r="U2675" s="15"/>
      <c r="V2675" s="15"/>
      <c r="W2675" s="15"/>
      <c r="X2675" s="15"/>
      <c r="Y2675" s="15"/>
      <c r="Z2675" s="15"/>
      <c r="AA2675" s="15"/>
    </row>
    <row r="2676">
      <c r="A2676" s="5" t="s">
        <v>12152</v>
      </c>
      <c r="B2676" s="131" t="s">
        <v>12153</v>
      </c>
      <c r="C2676" s="40" t="s">
        <v>12154</v>
      </c>
      <c r="D2676" s="11"/>
      <c r="E2676" s="11" t="s">
        <v>12155</v>
      </c>
      <c r="F2676" s="90">
        <v>500.0</v>
      </c>
      <c r="G2676" s="322" t="s">
        <v>12156</v>
      </c>
      <c r="H2676" s="11" t="s">
        <v>12157</v>
      </c>
      <c r="I2676" s="276">
        <v>9.786403412E9</v>
      </c>
      <c r="J2676" s="11"/>
      <c r="K2676" s="12"/>
      <c r="L2676" s="13"/>
      <c r="M2676" s="11" t="s">
        <v>9034</v>
      </c>
      <c r="N2676" s="5" t="s">
        <v>12158</v>
      </c>
      <c r="O2676" s="5" t="s">
        <v>26</v>
      </c>
      <c r="P2676" s="284" t="s">
        <v>12159</v>
      </c>
      <c r="Q2676" s="5" t="s">
        <v>6894</v>
      </c>
      <c r="R2676" s="16" t="s">
        <v>634</v>
      </c>
      <c r="S2676" s="15"/>
      <c r="T2676" s="15"/>
      <c r="U2676" s="15"/>
      <c r="V2676" s="15"/>
      <c r="W2676" s="15"/>
      <c r="X2676" s="15"/>
      <c r="Y2676" s="15"/>
      <c r="Z2676" s="15"/>
      <c r="AA2676" s="15"/>
    </row>
    <row r="2677">
      <c r="A2677" s="5" t="s">
        <v>12152</v>
      </c>
      <c r="B2677" s="131" t="s">
        <v>12160</v>
      </c>
      <c r="C2677" s="40" t="s">
        <v>12161</v>
      </c>
      <c r="D2677" s="11"/>
      <c r="E2677" s="11" t="s">
        <v>11474</v>
      </c>
      <c r="F2677" s="90">
        <v>500.0</v>
      </c>
      <c r="G2677" s="322" t="s">
        <v>12162</v>
      </c>
      <c r="H2677" s="11" t="s">
        <v>12163</v>
      </c>
      <c r="I2677" s="276">
        <v>9.960324007E9</v>
      </c>
      <c r="J2677" s="11"/>
      <c r="K2677" s="12"/>
      <c r="L2677" s="12">
        <v>295.0</v>
      </c>
      <c r="M2677" s="11" t="s">
        <v>12164</v>
      </c>
      <c r="N2677" s="5" t="s">
        <v>12165</v>
      </c>
      <c r="O2677" s="5" t="s">
        <v>108</v>
      </c>
      <c r="P2677" s="5" t="s">
        <v>12166</v>
      </c>
      <c r="Q2677" s="15"/>
      <c r="R2677" s="16" t="s">
        <v>634</v>
      </c>
      <c r="S2677" s="15"/>
      <c r="T2677" s="15"/>
      <c r="U2677" s="15"/>
      <c r="V2677" s="15"/>
      <c r="W2677" s="15"/>
      <c r="X2677" s="15"/>
      <c r="Y2677" s="15"/>
      <c r="Z2677" s="15"/>
      <c r="AA2677" s="15"/>
    </row>
    <row r="2678">
      <c r="A2678" s="5" t="s">
        <v>12152</v>
      </c>
      <c r="B2678" s="131" t="s">
        <v>12167</v>
      </c>
      <c r="C2678" s="5" t="s">
        <v>12168</v>
      </c>
      <c r="D2678" s="5"/>
      <c r="E2678" s="5" t="s">
        <v>8590</v>
      </c>
      <c r="F2678" s="90">
        <v>5000.0</v>
      </c>
      <c r="G2678" s="322" t="s">
        <v>12169</v>
      </c>
      <c r="H2678" s="11" t="s">
        <v>12170</v>
      </c>
      <c r="I2678" s="276">
        <v>9.719995444E9</v>
      </c>
      <c r="J2678" s="11"/>
      <c r="K2678" s="12" t="s">
        <v>8677</v>
      </c>
      <c r="L2678" s="13"/>
      <c r="M2678" s="14"/>
      <c r="N2678" s="15"/>
      <c r="O2678" s="5" t="s">
        <v>26</v>
      </c>
      <c r="P2678" s="15"/>
      <c r="Q2678" s="15"/>
      <c r="R2678" s="16" t="s">
        <v>28</v>
      </c>
      <c r="S2678" s="292" t="s">
        <v>12171</v>
      </c>
      <c r="T2678" s="15"/>
      <c r="U2678" s="15"/>
      <c r="V2678" s="15"/>
      <c r="W2678" s="15"/>
      <c r="X2678" s="15"/>
      <c r="Y2678" s="15"/>
      <c r="Z2678" s="15"/>
      <c r="AA2678" s="15"/>
    </row>
    <row r="2679">
      <c r="A2679" s="5" t="s">
        <v>12152</v>
      </c>
      <c r="B2679" s="131" t="s">
        <v>12172</v>
      </c>
      <c r="C2679" s="40" t="s">
        <v>12173</v>
      </c>
      <c r="D2679" s="11"/>
      <c r="E2679" s="11" t="s">
        <v>12174</v>
      </c>
      <c r="F2679" s="90">
        <v>1000.0</v>
      </c>
      <c r="G2679" s="290" t="s">
        <v>12175</v>
      </c>
      <c r="H2679" s="11" t="s">
        <v>12176</v>
      </c>
      <c r="I2679" s="276">
        <v>9.372501932E9</v>
      </c>
      <c r="J2679" s="11" t="s">
        <v>4008</v>
      </c>
      <c r="K2679" s="12" t="s">
        <v>8677</v>
      </c>
      <c r="L2679" s="13"/>
      <c r="M2679" s="11" t="s">
        <v>12177</v>
      </c>
      <c r="N2679" s="5" t="s">
        <v>12178</v>
      </c>
      <c r="O2679" s="5" t="s">
        <v>108</v>
      </c>
      <c r="P2679" s="5" t="s">
        <v>12179</v>
      </c>
      <c r="Q2679" s="15"/>
      <c r="R2679" s="16" t="s">
        <v>634</v>
      </c>
      <c r="S2679" s="15"/>
      <c r="T2679" s="15"/>
      <c r="U2679" s="15"/>
      <c r="V2679" s="15"/>
      <c r="W2679" s="15"/>
      <c r="X2679" s="15"/>
      <c r="Y2679" s="15"/>
      <c r="Z2679" s="15"/>
      <c r="AA2679" s="15"/>
    </row>
    <row r="2680">
      <c r="A2680" s="5" t="s">
        <v>12152</v>
      </c>
      <c r="B2680" s="131" t="s">
        <v>12180</v>
      </c>
      <c r="C2680" s="40" t="s">
        <v>12181</v>
      </c>
      <c r="D2680" s="11"/>
      <c r="E2680" s="11" t="s">
        <v>12182</v>
      </c>
      <c r="F2680" s="90">
        <v>1000.0</v>
      </c>
      <c r="G2680" s="290" t="s">
        <v>12183</v>
      </c>
      <c r="H2680" s="11" t="s">
        <v>495</v>
      </c>
      <c r="I2680" s="276">
        <v>9.631460729E9</v>
      </c>
      <c r="J2680" s="11"/>
      <c r="K2680" s="12" t="s">
        <v>10904</v>
      </c>
      <c r="L2680" s="13"/>
      <c r="M2680" s="11" t="s">
        <v>12184</v>
      </c>
      <c r="N2680" s="5" t="s">
        <v>12185</v>
      </c>
      <c r="O2680" s="5" t="s">
        <v>34</v>
      </c>
      <c r="P2680" s="5" t="s">
        <v>12186</v>
      </c>
      <c r="Q2680" s="5" t="s">
        <v>727</v>
      </c>
      <c r="R2680" s="16" t="s">
        <v>723</v>
      </c>
      <c r="S2680" s="15"/>
      <c r="T2680" s="15"/>
      <c r="U2680" s="15"/>
      <c r="V2680" s="15"/>
      <c r="W2680" s="15"/>
      <c r="X2680" s="15"/>
      <c r="Y2680" s="15"/>
      <c r="Z2680" s="15"/>
      <c r="AA2680" s="15"/>
    </row>
    <row r="2681" ht="38.25" customHeight="1">
      <c r="A2681" s="5" t="s">
        <v>12152</v>
      </c>
      <c r="B2681" s="131" t="s">
        <v>12187</v>
      </c>
      <c r="C2681" s="62" t="s">
        <v>12188</v>
      </c>
      <c r="D2681" s="11"/>
      <c r="E2681" s="11" t="s">
        <v>3748</v>
      </c>
      <c r="F2681" s="90">
        <v>1000.0</v>
      </c>
      <c r="G2681" s="290" t="s">
        <v>12189</v>
      </c>
      <c r="H2681" s="11" t="s">
        <v>44</v>
      </c>
      <c r="I2681" s="276">
        <v>8.918791096E9</v>
      </c>
      <c r="J2681" s="11" t="s">
        <v>4008</v>
      </c>
      <c r="K2681" s="12" t="s">
        <v>12190</v>
      </c>
      <c r="L2681" s="13"/>
      <c r="M2681" s="11" t="s">
        <v>12191</v>
      </c>
      <c r="N2681" s="5" t="s">
        <v>12192</v>
      </c>
      <c r="O2681" s="5" t="s">
        <v>26</v>
      </c>
      <c r="P2681" s="284" t="s">
        <v>12193</v>
      </c>
      <c r="Q2681" s="15"/>
      <c r="R2681" s="16" t="s">
        <v>634</v>
      </c>
      <c r="S2681" s="15"/>
      <c r="T2681" s="15"/>
      <c r="U2681" s="15"/>
      <c r="V2681" s="15"/>
      <c r="W2681" s="15"/>
      <c r="X2681" s="15"/>
      <c r="Y2681" s="15"/>
      <c r="Z2681" s="15"/>
      <c r="AA2681" s="15"/>
    </row>
    <row r="2682">
      <c r="A2682" s="5" t="s">
        <v>12194</v>
      </c>
      <c r="B2682" s="131" t="s">
        <v>12195</v>
      </c>
      <c r="C2682" s="40" t="s">
        <v>12196</v>
      </c>
      <c r="D2682" s="11"/>
      <c r="E2682" s="11" t="s">
        <v>5244</v>
      </c>
      <c r="F2682" s="90" t="s">
        <v>12197</v>
      </c>
      <c r="G2682" s="366" t="s">
        <v>12198</v>
      </c>
      <c r="H2682" s="11" t="s">
        <v>12199</v>
      </c>
      <c r="I2682" s="276">
        <v>8.017961805E9</v>
      </c>
      <c r="J2682" s="11"/>
      <c r="K2682" s="12"/>
      <c r="L2682" s="12">
        <v>95.0</v>
      </c>
      <c r="M2682" s="11" t="s">
        <v>12200</v>
      </c>
      <c r="N2682" s="5" t="s">
        <v>12201</v>
      </c>
      <c r="O2682" s="5" t="s">
        <v>34</v>
      </c>
      <c r="P2682" s="5" t="s">
        <v>8466</v>
      </c>
      <c r="Q2682" s="5" t="s">
        <v>777</v>
      </c>
      <c r="R2682" s="16" t="s">
        <v>723</v>
      </c>
      <c r="S2682" s="15"/>
      <c r="T2682" s="15"/>
      <c r="U2682" s="15"/>
      <c r="V2682" s="15"/>
      <c r="W2682" s="15"/>
      <c r="X2682" s="15"/>
      <c r="Y2682" s="15"/>
      <c r="Z2682" s="15"/>
      <c r="AA2682" s="15"/>
    </row>
    <row r="2683">
      <c r="A2683" s="339" t="s">
        <v>12194</v>
      </c>
      <c r="B2683" s="131" t="s">
        <v>12202</v>
      </c>
      <c r="C2683" s="336" t="s">
        <v>12203</v>
      </c>
      <c r="D2683" s="310"/>
      <c r="E2683" s="310" t="s">
        <v>12204</v>
      </c>
      <c r="F2683" s="90" t="s">
        <v>12205</v>
      </c>
      <c r="G2683" s="321" t="s">
        <v>12206</v>
      </c>
      <c r="H2683" s="11" t="s">
        <v>12207</v>
      </c>
      <c r="I2683" s="276">
        <v>8.457031791E9</v>
      </c>
      <c r="J2683" s="11" t="s">
        <v>12208</v>
      </c>
      <c r="K2683" s="12" t="s">
        <v>12209</v>
      </c>
      <c r="L2683" s="13"/>
      <c r="M2683" s="11" t="s">
        <v>9587</v>
      </c>
      <c r="N2683" s="5" t="s">
        <v>12210</v>
      </c>
      <c r="O2683" s="5" t="s">
        <v>26</v>
      </c>
      <c r="P2683" s="286" t="s">
        <v>12211</v>
      </c>
      <c r="Q2683" s="5" t="s">
        <v>6894</v>
      </c>
      <c r="R2683" s="16" t="s">
        <v>634</v>
      </c>
      <c r="S2683" s="5"/>
      <c r="T2683" s="15"/>
      <c r="U2683" s="15"/>
      <c r="V2683" s="15"/>
      <c r="W2683" s="15"/>
      <c r="X2683" s="15"/>
      <c r="Y2683" s="15"/>
      <c r="Z2683" s="15"/>
      <c r="AA2683" s="15"/>
    </row>
    <row r="2684">
      <c r="A2684" s="5" t="s">
        <v>12194</v>
      </c>
      <c r="B2684" s="131" t="s">
        <v>12212</v>
      </c>
      <c r="C2684" s="62" t="s">
        <v>12213</v>
      </c>
      <c r="D2684" s="11"/>
      <c r="E2684" s="11" t="s">
        <v>523</v>
      </c>
      <c r="F2684" s="90" t="s">
        <v>12205</v>
      </c>
      <c r="G2684" s="318" t="s">
        <v>12214</v>
      </c>
      <c r="H2684" s="11" t="s">
        <v>12215</v>
      </c>
      <c r="I2684" s="276">
        <v>9.836491857E9</v>
      </c>
      <c r="J2684" s="11" t="s">
        <v>12216</v>
      </c>
      <c r="K2684" s="12" t="s">
        <v>9328</v>
      </c>
      <c r="L2684" s="13"/>
      <c r="M2684" s="11" t="s">
        <v>8860</v>
      </c>
      <c r="N2684" s="5" t="s">
        <v>12217</v>
      </c>
      <c r="O2684" s="5" t="s">
        <v>26</v>
      </c>
      <c r="P2684" s="286" t="s">
        <v>8132</v>
      </c>
      <c r="Q2684" s="284" t="s">
        <v>2537</v>
      </c>
      <c r="R2684" s="16" t="s">
        <v>634</v>
      </c>
      <c r="S2684" s="15"/>
      <c r="T2684" s="15"/>
      <c r="U2684" s="15"/>
      <c r="V2684" s="15"/>
      <c r="W2684" s="15"/>
      <c r="X2684" s="15"/>
      <c r="Y2684" s="15"/>
      <c r="Z2684" s="15"/>
      <c r="AA2684" s="15"/>
    </row>
    <row r="2685">
      <c r="A2685" s="5" t="s">
        <v>12194</v>
      </c>
      <c r="B2685" s="131" t="s">
        <v>12218</v>
      </c>
      <c r="C2685" s="40" t="s">
        <v>9681</v>
      </c>
      <c r="D2685" s="11"/>
      <c r="E2685" s="11" t="s">
        <v>12219</v>
      </c>
      <c r="F2685" s="90" t="s">
        <v>12220</v>
      </c>
      <c r="G2685" s="318" t="s">
        <v>9683</v>
      </c>
      <c r="H2685" s="11" t="s">
        <v>12199</v>
      </c>
      <c r="I2685" s="276">
        <v>9.831317492E9</v>
      </c>
      <c r="J2685" s="11" t="s">
        <v>12221</v>
      </c>
      <c r="K2685" s="12" t="s">
        <v>12222</v>
      </c>
      <c r="L2685" s="13"/>
      <c r="M2685" s="11" t="s">
        <v>12223</v>
      </c>
      <c r="N2685" s="5" t="s">
        <v>12224</v>
      </c>
      <c r="O2685" s="5" t="s">
        <v>34</v>
      </c>
      <c r="P2685" s="5" t="s">
        <v>12225</v>
      </c>
      <c r="Q2685" s="15"/>
      <c r="R2685" s="16" t="s">
        <v>723</v>
      </c>
      <c r="S2685" s="15"/>
      <c r="T2685" s="15"/>
      <c r="U2685" s="15"/>
      <c r="V2685" s="15"/>
      <c r="W2685" s="15"/>
      <c r="X2685" s="15"/>
      <c r="Y2685" s="15"/>
      <c r="Z2685" s="15"/>
      <c r="AA2685" s="15"/>
    </row>
    <row r="2686">
      <c r="A2686" s="5" t="s">
        <v>12194</v>
      </c>
      <c r="B2686" s="131" t="s">
        <v>12226</v>
      </c>
      <c r="C2686" s="62" t="s">
        <v>12227</v>
      </c>
      <c r="D2686" s="11"/>
      <c r="E2686" s="11" t="s">
        <v>7020</v>
      </c>
      <c r="F2686" s="90" t="s">
        <v>12228</v>
      </c>
      <c r="G2686" s="321" t="s">
        <v>12229</v>
      </c>
      <c r="H2686" s="11" t="s">
        <v>11267</v>
      </c>
      <c r="I2686" s="276">
        <v>9.748223251E9</v>
      </c>
      <c r="J2686" s="11"/>
      <c r="K2686" s="12"/>
      <c r="L2686" s="12" t="s">
        <v>12230</v>
      </c>
      <c r="M2686" s="11" t="s">
        <v>12231</v>
      </c>
      <c r="N2686" s="5" t="s">
        <v>12232</v>
      </c>
      <c r="O2686" s="5" t="s">
        <v>26</v>
      </c>
      <c r="P2686" s="5" t="s">
        <v>12233</v>
      </c>
      <c r="Q2686" s="15"/>
      <c r="R2686" s="16" t="s">
        <v>634</v>
      </c>
      <c r="S2686" s="15"/>
      <c r="T2686" s="15"/>
      <c r="U2686" s="15"/>
      <c r="V2686" s="15"/>
      <c r="W2686" s="15"/>
      <c r="X2686" s="15"/>
      <c r="Y2686" s="15"/>
      <c r="Z2686" s="15"/>
      <c r="AA2686" s="15"/>
    </row>
    <row r="2687">
      <c r="A2687" s="5" t="s">
        <v>12234</v>
      </c>
      <c r="B2687" s="131" t="s">
        <v>12235</v>
      </c>
      <c r="C2687" s="62" t="s">
        <v>12236</v>
      </c>
      <c r="D2687" s="11"/>
      <c r="E2687" s="11" t="s">
        <v>12237</v>
      </c>
      <c r="F2687" s="90" t="s">
        <v>12238</v>
      </c>
      <c r="G2687" s="366" t="s">
        <v>12239</v>
      </c>
      <c r="H2687" s="11" t="s">
        <v>12240</v>
      </c>
      <c r="I2687" s="276">
        <v>9.378086788E9</v>
      </c>
      <c r="J2687" s="11"/>
      <c r="K2687" s="12" t="s">
        <v>12241</v>
      </c>
      <c r="L2687" s="13"/>
      <c r="M2687" s="11" t="s">
        <v>12242</v>
      </c>
      <c r="N2687" s="5" t="s">
        <v>12243</v>
      </c>
      <c r="O2687" s="5" t="s">
        <v>10708</v>
      </c>
      <c r="P2687" s="5" t="s">
        <v>12244</v>
      </c>
      <c r="Q2687" s="15"/>
      <c r="R2687" s="16" t="s">
        <v>634</v>
      </c>
      <c r="S2687" s="15"/>
      <c r="T2687" s="15"/>
      <c r="U2687" s="15"/>
      <c r="V2687" s="15"/>
      <c r="W2687" s="15"/>
      <c r="X2687" s="15"/>
      <c r="Y2687" s="15"/>
      <c r="Z2687" s="15"/>
      <c r="AA2687" s="15"/>
    </row>
    <row r="2688">
      <c r="A2688" s="5" t="s">
        <v>12234</v>
      </c>
      <c r="B2688" s="131" t="s">
        <v>12245</v>
      </c>
      <c r="C2688" s="40" t="s">
        <v>12246</v>
      </c>
      <c r="D2688" s="262"/>
      <c r="E2688" s="262" t="s">
        <v>130</v>
      </c>
      <c r="F2688" s="90" t="s">
        <v>12247</v>
      </c>
      <c r="G2688" s="318" t="s">
        <v>12248</v>
      </c>
      <c r="H2688" s="97" t="s">
        <v>12249</v>
      </c>
      <c r="I2688" s="276">
        <v>7.001637567E9</v>
      </c>
      <c r="J2688" s="11" t="s">
        <v>25</v>
      </c>
      <c r="K2688" s="12" t="s">
        <v>8528</v>
      </c>
      <c r="L2688" s="13"/>
      <c r="M2688" s="11" t="s">
        <v>10171</v>
      </c>
      <c r="N2688" s="5" t="s">
        <v>12250</v>
      </c>
      <c r="O2688" s="5" t="s">
        <v>26</v>
      </c>
      <c r="P2688" s="284" t="s">
        <v>12251</v>
      </c>
      <c r="Q2688" s="351" t="s">
        <v>12252</v>
      </c>
      <c r="R2688" s="16" t="s">
        <v>634</v>
      </c>
      <c r="S2688" s="15"/>
      <c r="T2688" s="15"/>
      <c r="U2688" s="15"/>
      <c r="V2688" s="15"/>
      <c r="W2688" s="15"/>
      <c r="X2688" s="15"/>
      <c r="Y2688" s="15"/>
      <c r="Z2688" s="15"/>
      <c r="AA2688" s="15"/>
    </row>
    <row r="2689">
      <c r="A2689" s="5" t="s">
        <v>12234</v>
      </c>
      <c r="B2689" s="131" t="s">
        <v>12253</v>
      </c>
      <c r="C2689" s="62" t="s">
        <v>12254</v>
      </c>
      <c r="D2689" s="11"/>
      <c r="E2689" s="11" t="s">
        <v>12255</v>
      </c>
      <c r="F2689" s="90" t="s">
        <v>12256</v>
      </c>
      <c r="G2689" s="318" t="s">
        <v>12257</v>
      </c>
      <c r="H2689" s="11" t="s">
        <v>12258</v>
      </c>
      <c r="I2689" s="276">
        <v>7.004082808E9</v>
      </c>
      <c r="J2689" s="11" t="s">
        <v>12259</v>
      </c>
      <c r="K2689" s="12"/>
      <c r="L2689" s="12">
        <v>6.5</v>
      </c>
      <c r="M2689" s="11" t="s">
        <v>12260</v>
      </c>
      <c r="N2689" s="5" t="s">
        <v>12261</v>
      </c>
      <c r="O2689" s="5" t="s">
        <v>34</v>
      </c>
      <c r="P2689" s="5" t="s">
        <v>6334</v>
      </c>
      <c r="Q2689" s="15"/>
      <c r="R2689" s="16" t="s">
        <v>723</v>
      </c>
      <c r="S2689" s="15"/>
      <c r="T2689" s="15"/>
      <c r="U2689" s="15"/>
      <c r="V2689" s="15"/>
      <c r="W2689" s="15"/>
      <c r="X2689" s="15"/>
      <c r="Y2689" s="15"/>
      <c r="Z2689" s="15"/>
      <c r="AA2689" s="15"/>
    </row>
    <row r="2690">
      <c r="A2690" s="5" t="s">
        <v>12234</v>
      </c>
      <c r="B2690" s="131" t="s">
        <v>12262</v>
      </c>
      <c r="C2690" s="62" t="s">
        <v>12263</v>
      </c>
      <c r="D2690" s="40"/>
      <c r="E2690" s="40" t="s">
        <v>3571</v>
      </c>
      <c r="F2690" s="296" t="s">
        <v>12264</v>
      </c>
      <c r="G2690" s="366" t="s">
        <v>12265</v>
      </c>
      <c r="H2690" s="11" t="s">
        <v>12266</v>
      </c>
      <c r="I2690" s="276" t="s">
        <v>12267</v>
      </c>
      <c r="J2690" s="11"/>
      <c r="K2690" s="12"/>
      <c r="L2690" s="12" t="s">
        <v>4219</v>
      </c>
      <c r="M2690" s="11" t="s">
        <v>12268</v>
      </c>
      <c r="N2690" s="5" t="s">
        <v>12269</v>
      </c>
      <c r="O2690" s="5" t="s">
        <v>26</v>
      </c>
      <c r="P2690" s="367" t="s">
        <v>12270</v>
      </c>
      <c r="Q2690" s="284" t="s">
        <v>12271</v>
      </c>
      <c r="R2690" s="16" t="s">
        <v>634</v>
      </c>
      <c r="S2690" s="284"/>
      <c r="T2690" s="15"/>
      <c r="U2690" s="15"/>
      <c r="V2690" s="15"/>
      <c r="W2690" s="15"/>
      <c r="X2690" s="15"/>
      <c r="Y2690" s="15"/>
      <c r="Z2690" s="15"/>
      <c r="AA2690" s="15"/>
    </row>
    <row r="2691">
      <c r="A2691" s="5" t="s">
        <v>12234</v>
      </c>
      <c r="B2691" s="131" t="s">
        <v>12272</v>
      </c>
      <c r="C2691" s="62" t="s">
        <v>12273</v>
      </c>
      <c r="D2691" s="11"/>
      <c r="E2691" s="11" t="s">
        <v>9634</v>
      </c>
      <c r="F2691" s="90" t="s">
        <v>12264</v>
      </c>
      <c r="G2691" s="366" t="s">
        <v>12198</v>
      </c>
      <c r="H2691" s="11" t="s">
        <v>44</v>
      </c>
      <c r="I2691" s="276">
        <v>9.339534189E9</v>
      </c>
      <c r="J2691" s="11"/>
      <c r="K2691" s="12"/>
      <c r="L2691" s="12" t="s">
        <v>2947</v>
      </c>
      <c r="M2691" s="11" t="s">
        <v>12274</v>
      </c>
      <c r="N2691" s="5" t="s">
        <v>12275</v>
      </c>
      <c r="O2691" s="5" t="s">
        <v>26</v>
      </c>
      <c r="P2691" s="5" t="s">
        <v>8132</v>
      </c>
      <c r="Q2691" s="5" t="s">
        <v>12276</v>
      </c>
      <c r="R2691" s="16" t="s">
        <v>634</v>
      </c>
      <c r="S2691" s="5"/>
      <c r="T2691" s="15"/>
      <c r="U2691" s="15"/>
      <c r="V2691" s="15"/>
      <c r="W2691" s="15"/>
      <c r="X2691" s="15"/>
      <c r="Y2691" s="15"/>
      <c r="Z2691" s="15"/>
      <c r="AA2691" s="15"/>
    </row>
    <row r="2692">
      <c r="A2692" s="5" t="s">
        <v>12234</v>
      </c>
      <c r="B2692" s="131" t="s">
        <v>12277</v>
      </c>
      <c r="C2692" s="97" t="s">
        <v>12278</v>
      </c>
      <c r="D2692" s="11"/>
      <c r="E2692" s="11" t="s">
        <v>97</v>
      </c>
      <c r="F2692" s="90" t="s">
        <v>12205</v>
      </c>
      <c r="G2692" s="318" t="s">
        <v>12279</v>
      </c>
      <c r="H2692" s="11" t="s">
        <v>44</v>
      </c>
      <c r="I2692" s="276">
        <v>9.903677002E9</v>
      </c>
      <c r="J2692" s="11" t="s">
        <v>4008</v>
      </c>
      <c r="K2692" s="12" t="s">
        <v>3369</v>
      </c>
      <c r="L2692" s="13"/>
      <c r="M2692" s="11" t="s">
        <v>12280</v>
      </c>
      <c r="N2692" s="5" t="s">
        <v>12281</v>
      </c>
      <c r="O2692" s="5" t="s">
        <v>26</v>
      </c>
      <c r="P2692" s="5" t="s">
        <v>12282</v>
      </c>
      <c r="Q2692" s="15"/>
      <c r="R2692" s="16" t="s">
        <v>723</v>
      </c>
      <c r="S2692" s="15"/>
      <c r="T2692" s="15"/>
      <c r="U2692" s="15"/>
      <c r="V2692" s="15"/>
      <c r="W2692" s="15"/>
      <c r="X2692" s="15"/>
      <c r="Y2692" s="15"/>
      <c r="Z2692" s="15"/>
      <c r="AA2692" s="15"/>
    </row>
    <row r="2693">
      <c r="A2693" s="5" t="s">
        <v>12234</v>
      </c>
      <c r="B2693" s="131" t="s">
        <v>12283</v>
      </c>
      <c r="C2693" s="62" t="s">
        <v>12284</v>
      </c>
      <c r="D2693" s="40"/>
      <c r="E2693" s="40" t="s">
        <v>10433</v>
      </c>
      <c r="F2693" s="296" t="s">
        <v>12285</v>
      </c>
      <c r="G2693" s="366" t="s">
        <v>12286</v>
      </c>
      <c r="H2693" s="11" t="s">
        <v>12287</v>
      </c>
      <c r="I2693" s="276">
        <v>8.296876839E9</v>
      </c>
      <c r="J2693" s="11"/>
      <c r="K2693" s="12" t="s">
        <v>12288</v>
      </c>
      <c r="L2693" s="13"/>
      <c r="M2693" s="11" t="s">
        <v>12289</v>
      </c>
      <c r="N2693" s="5" t="s">
        <v>12290</v>
      </c>
      <c r="O2693" s="5" t="s">
        <v>26</v>
      </c>
      <c r="P2693" s="5" t="s">
        <v>12291</v>
      </c>
      <c r="Q2693" s="351" t="s">
        <v>12292</v>
      </c>
      <c r="R2693" s="16" t="s">
        <v>634</v>
      </c>
      <c r="S2693" s="5"/>
      <c r="T2693" s="15"/>
      <c r="U2693" s="15"/>
      <c r="V2693" s="15"/>
      <c r="W2693" s="15"/>
      <c r="X2693" s="15"/>
      <c r="Y2693" s="15"/>
      <c r="Z2693" s="15"/>
      <c r="AA2693" s="15"/>
    </row>
    <row r="2694">
      <c r="A2694" s="5" t="s">
        <v>12234</v>
      </c>
      <c r="B2694" s="131" t="s">
        <v>12293</v>
      </c>
      <c r="C2694" s="97" t="s">
        <v>12294</v>
      </c>
      <c r="D2694" s="11"/>
      <c r="E2694" s="11" t="s">
        <v>12295</v>
      </c>
      <c r="F2694" s="90" t="s">
        <v>12296</v>
      </c>
      <c r="G2694" s="366" t="s">
        <v>12297</v>
      </c>
      <c r="H2694" s="11" t="s">
        <v>12298</v>
      </c>
      <c r="I2694" s="276">
        <v>7.003489809E9</v>
      </c>
      <c r="J2694" s="366" t="s">
        <v>12299</v>
      </c>
      <c r="K2694" s="12" t="s">
        <v>2951</v>
      </c>
      <c r="L2694" s="13"/>
      <c r="M2694" s="11" t="s">
        <v>12300</v>
      </c>
      <c r="N2694" s="5" t="s">
        <v>12301</v>
      </c>
      <c r="O2694" s="5" t="s">
        <v>26</v>
      </c>
      <c r="P2694" s="5" t="s">
        <v>12302</v>
      </c>
      <c r="Q2694" s="5" t="s">
        <v>2537</v>
      </c>
      <c r="R2694" s="16" t="s">
        <v>634</v>
      </c>
      <c r="S2694" s="15"/>
      <c r="T2694" s="15"/>
      <c r="U2694" s="15"/>
      <c r="V2694" s="15"/>
      <c r="W2694" s="15"/>
      <c r="X2694" s="15"/>
      <c r="Y2694" s="15"/>
      <c r="Z2694" s="15"/>
      <c r="AA2694" s="15"/>
    </row>
    <row r="2695">
      <c r="A2695" s="5" t="s">
        <v>12234</v>
      </c>
      <c r="B2695" s="131" t="s">
        <v>12303</v>
      </c>
      <c r="C2695" s="62" t="s">
        <v>12304</v>
      </c>
      <c r="D2695" s="11"/>
      <c r="E2695" s="11" t="s">
        <v>12305</v>
      </c>
      <c r="F2695" s="90" t="s">
        <v>12306</v>
      </c>
      <c r="G2695" s="321" t="s">
        <v>12307</v>
      </c>
      <c r="H2695" s="11" t="s">
        <v>12308</v>
      </c>
      <c r="I2695" s="276">
        <v>9.175927761E9</v>
      </c>
      <c r="J2695" s="11"/>
      <c r="K2695" s="12" t="s">
        <v>8753</v>
      </c>
      <c r="L2695" s="13"/>
      <c r="M2695" s="14"/>
      <c r="N2695" s="15"/>
      <c r="O2695" s="5" t="s">
        <v>108</v>
      </c>
      <c r="P2695" s="15"/>
      <c r="Q2695" s="15"/>
      <c r="R2695" s="16" t="s">
        <v>28</v>
      </c>
      <c r="S2695" s="15"/>
      <c r="T2695" s="15"/>
      <c r="U2695" s="15"/>
      <c r="V2695" s="15"/>
      <c r="W2695" s="15"/>
      <c r="X2695" s="15"/>
      <c r="Y2695" s="15"/>
      <c r="Z2695" s="15"/>
      <c r="AA2695" s="15"/>
    </row>
    <row r="2696">
      <c r="A2696" s="5" t="s">
        <v>12309</v>
      </c>
      <c r="B2696" s="131" t="s">
        <v>12310</v>
      </c>
      <c r="C2696" s="97" t="s">
        <v>12311</v>
      </c>
      <c r="D2696" s="262"/>
      <c r="E2696" s="262" t="s">
        <v>167</v>
      </c>
      <c r="F2696" s="90" t="s">
        <v>12312</v>
      </c>
      <c r="G2696" s="318" t="s">
        <v>12313</v>
      </c>
      <c r="H2696" s="11" t="s">
        <v>9266</v>
      </c>
      <c r="I2696" s="276">
        <v>7.907258159E9</v>
      </c>
      <c r="J2696" s="11" t="s">
        <v>12314</v>
      </c>
      <c r="K2696" s="12"/>
      <c r="L2696" s="12">
        <v>14.0</v>
      </c>
      <c r="M2696" s="11" t="s">
        <v>11788</v>
      </c>
      <c r="N2696" s="5" t="s">
        <v>12315</v>
      </c>
      <c r="O2696" s="5" t="s">
        <v>108</v>
      </c>
      <c r="P2696" s="5" t="s">
        <v>12316</v>
      </c>
      <c r="Q2696" s="5" t="s">
        <v>12317</v>
      </c>
      <c r="R2696" s="16" t="s">
        <v>634</v>
      </c>
      <c r="S2696" s="5"/>
      <c r="T2696" s="15"/>
      <c r="U2696" s="15"/>
      <c r="V2696" s="15"/>
      <c r="W2696" s="15"/>
      <c r="X2696" s="15"/>
      <c r="Y2696" s="15"/>
      <c r="Z2696" s="15"/>
      <c r="AA2696" s="15"/>
    </row>
    <row r="2697">
      <c r="A2697" s="5" t="s">
        <v>12309</v>
      </c>
      <c r="B2697" s="131" t="s">
        <v>12318</v>
      </c>
      <c r="C2697" s="368" t="s">
        <v>12319</v>
      </c>
      <c r="D2697" s="11"/>
      <c r="E2697" s="11" t="s">
        <v>7694</v>
      </c>
      <c r="F2697" s="90" t="s">
        <v>12320</v>
      </c>
      <c r="G2697" s="369" t="s">
        <v>12321</v>
      </c>
      <c r="H2697" s="11" t="s">
        <v>44</v>
      </c>
      <c r="I2697" s="276">
        <v>9.073926936E9</v>
      </c>
      <c r="J2697" s="11" t="s">
        <v>4008</v>
      </c>
      <c r="K2697" s="12"/>
      <c r="L2697" s="12">
        <v>6.2</v>
      </c>
      <c r="M2697" s="11" t="s">
        <v>12322</v>
      </c>
      <c r="N2697" s="5" t="s">
        <v>12323</v>
      </c>
      <c r="O2697" s="5" t="s">
        <v>34</v>
      </c>
      <c r="P2697" s="5" t="s">
        <v>9408</v>
      </c>
      <c r="Q2697" s="5" t="s">
        <v>6625</v>
      </c>
      <c r="R2697" s="16" t="s">
        <v>634</v>
      </c>
      <c r="S2697" s="15"/>
      <c r="T2697" s="15"/>
      <c r="U2697" s="15"/>
      <c r="V2697" s="15"/>
      <c r="W2697" s="15"/>
      <c r="X2697" s="15"/>
      <c r="Y2697" s="15"/>
      <c r="Z2697" s="15"/>
      <c r="AA2697" s="15"/>
    </row>
    <row r="2698">
      <c r="A2698" s="5" t="s">
        <v>12309</v>
      </c>
      <c r="B2698" s="370" t="s">
        <v>12324</v>
      </c>
      <c r="C2698" s="40" t="s">
        <v>12325</v>
      </c>
      <c r="D2698" s="11"/>
      <c r="E2698" s="11" t="s">
        <v>12326</v>
      </c>
      <c r="F2698" s="90" t="s">
        <v>12327</v>
      </c>
      <c r="G2698" s="369" t="s">
        <v>12328</v>
      </c>
      <c r="H2698" s="11" t="s">
        <v>12329</v>
      </c>
      <c r="I2698" s="276" t="s">
        <v>12330</v>
      </c>
      <c r="J2698" s="366" t="s">
        <v>10733</v>
      </c>
      <c r="K2698" s="12"/>
      <c r="L2698" s="12">
        <v>8.5</v>
      </c>
      <c r="M2698" s="11" t="s">
        <v>7884</v>
      </c>
      <c r="N2698" s="5" t="s">
        <v>12331</v>
      </c>
      <c r="O2698" s="5" t="s">
        <v>108</v>
      </c>
      <c r="P2698" s="11" t="s">
        <v>12332</v>
      </c>
      <c r="Q2698" s="5" t="s">
        <v>12333</v>
      </c>
      <c r="R2698" s="16" t="s">
        <v>634</v>
      </c>
      <c r="S2698" s="5"/>
      <c r="T2698" s="15"/>
      <c r="U2698" s="15"/>
      <c r="V2698" s="15"/>
      <c r="W2698" s="15"/>
      <c r="X2698" s="15"/>
      <c r="Y2698" s="15"/>
      <c r="Z2698" s="15"/>
      <c r="AA2698" s="15"/>
    </row>
    <row r="2699">
      <c r="A2699" s="5" t="s">
        <v>12309</v>
      </c>
      <c r="B2699" s="131" t="s">
        <v>12334</v>
      </c>
      <c r="C2699" s="371" t="s">
        <v>12335</v>
      </c>
      <c r="D2699" s="11"/>
      <c r="E2699" s="11" t="s">
        <v>12336</v>
      </c>
      <c r="F2699" s="90" t="s">
        <v>12256</v>
      </c>
      <c r="G2699" s="318" t="s">
        <v>12337</v>
      </c>
      <c r="H2699" s="11" t="s">
        <v>12338</v>
      </c>
      <c r="I2699" s="276">
        <v>9.831194323E9</v>
      </c>
      <c r="J2699" s="366" t="s">
        <v>12339</v>
      </c>
      <c r="K2699" s="12"/>
      <c r="L2699" s="13"/>
      <c r="M2699" s="14"/>
      <c r="N2699" s="15"/>
      <c r="O2699" s="5" t="s">
        <v>26</v>
      </c>
      <c r="P2699" s="15"/>
      <c r="Q2699" s="15"/>
      <c r="R2699" s="16" t="s">
        <v>28</v>
      </c>
      <c r="S2699" s="15"/>
      <c r="T2699" s="15"/>
      <c r="U2699" s="15"/>
      <c r="V2699" s="15"/>
      <c r="W2699" s="15"/>
      <c r="X2699" s="15"/>
      <c r="Y2699" s="15"/>
      <c r="Z2699" s="15"/>
      <c r="AA2699" s="15"/>
    </row>
    <row r="2700">
      <c r="A2700" s="5" t="s">
        <v>12309</v>
      </c>
      <c r="B2700" s="131" t="s">
        <v>12340</v>
      </c>
      <c r="C2700" s="372" t="s">
        <v>12341</v>
      </c>
      <c r="D2700" s="373"/>
      <c r="E2700" s="373" t="s">
        <v>6275</v>
      </c>
      <c r="F2700" s="260" t="s">
        <v>12256</v>
      </c>
      <c r="G2700" s="318" t="s">
        <v>12342</v>
      </c>
      <c r="H2700" s="11" t="s">
        <v>44</v>
      </c>
      <c r="I2700" s="276">
        <v>9.830033222E9</v>
      </c>
      <c r="J2700" s="366" t="s">
        <v>12343</v>
      </c>
      <c r="K2700" s="12" t="s">
        <v>12344</v>
      </c>
      <c r="L2700" s="13"/>
      <c r="M2700" s="11" t="s">
        <v>7651</v>
      </c>
      <c r="N2700" s="5" t="s">
        <v>12345</v>
      </c>
      <c r="O2700" s="5" t="s">
        <v>26</v>
      </c>
      <c r="P2700" s="5" t="s">
        <v>12346</v>
      </c>
      <c r="Q2700" s="5" t="s">
        <v>12347</v>
      </c>
      <c r="R2700" s="16" t="s">
        <v>723</v>
      </c>
      <c r="S2700" s="5"/>
      <c r="T2700" s="15"/>
      <c r="U2700" s="15"/>
      <c r="V2700" s="15"/>
      <c r="W2700" s="15"/>
      <c r="X2700" s="15"/>
      <c r="Y2700" s="15"/>
      <c r="Z2700" s="15"/>
      <c r="AA2700" s="15"/>
    </row>
    <row r="2701">
      <c r="A2701" s="5" t="s">
        <v>12309</v>
      </c>
      <c r="B2701" s="131" t="s">
        <v>12348</v>
      </c>
      <c r="C2701" s="62" t="s">
        <v>12349</v>
      </c>
      <c r="D2701" s="11"/>
      <c r="E2701" s="11" t="s">
        <v>12350</v>
      </c>
      <c r="F2701" s="90" t="s">
        <v>12351</v>
      </c>
      <c r="G2701" s="321" t="s">
        <v>12352</v>
      </c>
      <c r="H2701" s="11" t="s">
        <v>12353</v>
      </c>
      <c r="I2701" s="276">
        <v>9.477032092E9</v>
      </c>
      <c r="J2701" s="11"/>
      <c r="K2701" s="12" t="s">
        <v>8677</v>
      </c>
      <c r="L2701" s="12" t="s">
        <v>0</v>
      </c>
      <c r="M2701" s="14"/>
      <c r="N2701" s="15"/>
      <c r="O2701" s="5" t="s">
        <v>26</v>
      </c>
      <c r="P2701" s="15"/>
      <c r="Q2701" s="15"/>
      <c r="R2701" s="16" t="s">
        <v>28</v>
      </c>
      <c r="S2701" s="15"/>
      <c r="T2701" s="15"/>
      <c r="U2701" s="15"/>
      <c r="V2701" s="15"/>
      <c r="W2701" s="15"/>
      <c r="X2701" s="15"/>
      <c r="Y2701" s="15"/>
      <c r="Z2701" s="15"/>
      <c r="AA2701" s="15"/>
    </row>
    <row r="2702">
      <c r="A2702" s="5" t="s">
        <v>12309</v>
      </c>
      <c r="B2702" s="131" t="s">
        <v>12354</v>
      </c>
      <c r="C2702" s="216" t="s">
        <v>12355</v>
      </c>
      <c r="D2702" s="374"/>
      <c r="E2702" s="374" t="s">
        <v>12356</v>
      </c>
      <c r="F2702" s="90" t="s">
        <v>12357</v>
      </c>
      <c r="G2702" s="290" t="s">
        <v>12358</v>
      </c>
      <c r="H2702" s="11" t="s">
        <v>12359</v>
      </c>
      <c r="I2702" s="276">
        <v>9.831812612E9</v>
      </c>
      <c r="J2702" s="366" t="s">
        <v>7109</v>
      </c>
      <c r="K2702" s="12"/>
      <c r="L2702" s="12" t="s">
        <v>12360</v>
      </c>
      <c r="M2702" s="11" t="s">
        <v>12361</v>
      </c>
      <c r="N2702" s="5" t="s">
        <v>12362</v>
      </c>
      <c r="O2702" s="5" t="s">
        <v>26</v>
      </c>
      <c r="P2702" s="5" t="s">
        <v>12363</v>
      </c>
      <c r="Q2702" s="15"/>
      <c r="R2702" s="16" t="s">
        <v>634</v>
      </c>
      <c r="S2702" s="15"/>
      <c r="T2702" s="15"/>
      <c r="U2702" s="15"/>
      <c r="V2702" s="15"/>
      <c r="W2702" s="15"/>
      <c r="X2702" s="15"/>
      <c r="Y2702" s="15"/>
      <c r="Z2702" s="15"/>
      <c r="AA2702" s="15"/>
    </row>
    <row r="2703">
      <c r="A2703" s="5" t="s">
        <v>12309</v>
      </c>
      <c r="B2703" s="131" t="s">
        <v>12364</v>
      </c>
      <c r="C2703" s="371" t="s">
        <v>12365</v>
      </c>
      <c r="D2703" s="262"/>
      <c r="E2703" s="262" t="s">
        <v>130</v>
      </c>
      <c r="F2703" s="90" t="s">
        <v>12366</v>
      </c>
      <c r="G2703" s="318" t="s">
        <v>12367</v>
      </c>
      <c r="H2703" s="11" t="s">
        <v>11615</v>
      </c>
      <c r="I2703" s="276">
        <v>9.832033724E9</v>
      </c>
      <c r="J2703" s="11" t="s">
        <v>4008</v>
      </c>
      <c r="K2703" s="12" t="s">
        <v>3305</v>
      </c>
      <c r="L2703" s="13"/>
      <c r="M2703" s="14"/>
      <c r="N2703" s="15"/>
      <c r="O2703" s="5" t="s">
        <v>34</v>
      </c>
      <c r="P2703" s="5" t="s">
        <v>5305</v>
      </c>
      <c r="Q2703" s="15"/>
      <c r="R2703" s="16" t="s">
        <v>28</v>
      </c>
      <c r="S2703" s="15"/>
      <c r="T2703" s="15"/>
      <c r="U2703" s="15"/>
      <c r="V2703" s="15"/>
      <c r="W2703" s="15"/>
      <c r="X2703" s="15"/>
      <c r="Y2703" s="15"/>
      <c r="Z2703" s="15"/>
      <c r="AA2703" s="15"/>
    </row>
    <row r="2704">
      <c r="A2704" s="5" t="s">
        <v>12309</v>
      </c>
      <c r="B2704" s="131" t="s">
        <v>12368</v>
      </c>
      <c r="C2704" s="371" t="s">
        <v>12369</v>
      </c>
      <c r="D2704" s="262"/>
      <c r="E2704" s="262" t="s">
        <v>12370</v>
      </c>
      <c r="F2704" s="90" t="s">
        <v>12247</v>
      </c>
      <c r="G2704" s="318" t="s">
        <v>12371</v>
      </c>
      <c r="H2704" s="11" t="s">
        <v>12372</v>
      </c>
      <c r="I2704" s="276">
        <v>8.975479049E9</v>
      </c>
      <c r="J2704" s="11" t="s">
        <v>12259</v>
      </c>
      <c r="K2704" s="12"/>
      <c r="L2704" s="12">
        <v>23.0</v>
      </c>
      <c r="M2704" s="11" t="s">
        <v>9776</v>
      </c>
      <c r="N2704" s="5" t="s">
        <v>12373</v>
      </c>
      <c r="O2704" s="5" t="s">
        <v>108</v>
      </c>
      <c r="P2704" s="5" t="s">
        <v>12374</v>
      </c>
      <c r="Q2704" s="5" t="s">
        <v>12375</v>
      </c>
      <c r="R2704" s="16" t="s">
        <v>634</v>
      </c>
      <c r="S2704" s="5"/>
      <c r="T2704" s="15"/>
      <c r="U2704" s="15"/>
      <c r="V2704" s="15"/>
      <c r="W2704" s="15"/>
      <c r="X2704" s="15"/>
      <c r="Y2704" s="15"/>
      <c r="Z2704" s="15"/>
      <c r="AA2704" s="15"/>
    </row>
    <row r="2705">
      <c r="A2705" s="5" t="s">
        <v>12309</v>
      </c>
      <c r="B2705" s="131" t="s">
        <v>12376</v>
      </c>
      <c r="C2705" s="97" t="s">
        <v>12377</v>
      </c>
      <c r="D2705" s="262"/>
      <c r="E2705" s="262" t="s">
        <v>12378</v>
      </c>
      <c r="F2705" s="90" t="s">
        <v>12228</v>
      </c>
      <c r="G2705" s="366" t="s">
        <v>12379</v>
      </c>
      <c r="H2705" s="11" t="s">
        <v>44</v>
      </c>
      <c r="I2705" s="276">
        <v>9.083066948E9</v>
      </c>
      <c r="J2705" s="11" t="s">
        <v>12259</v>
      </c>
      <c r="K2705" s="12"/>
      <c r="L2705" s="12">
        <v>18.0</v>
      </c>
      <c r="M2705" s="11" t="s">
        <v>8722</v>
      </c>
      <c r="N2705" s="5" t="s">
        <v>12380</v>
      </c>
      <c r="O2705" s="5" t="s">
        <v>34</v>
      </c>
      <c r="P2705" s="5" t="s">
        <v>6625</v>
      </c>
      <c r="Q2705" s="5" t="s">
        <v>12381</v>
      </c>
      <c r="R2705" s="16" t="s">
        <v>74</v>
      </c>
      <c r="S2705" s="5"/>
      <c r="T2705" s="15"/>
      <c r="U2705" s="15"/>
      <c r="V2705" s="15"/>
      <c r="W2705" s="15"/>
      <c r="X2705" s="15"/>
      <c r="Y2705" s="15"/>
      <c r="Z2705" s="15"/>
      <c r="AA2705" s="15"/>
    </row>
    <row r="2706">
      <c r="A2706" s="5" t="s">
        <v>12382</v>
      </c>
      <c r="B2706" s="131" t="s">
        <v>12383</v>
      </c>
      <c r="C2706" s="40" t="s">
        <v>12384</v>
      </c>
      <c r="D2706" s="11"/>
      <c r="E2706" s="11" t="s">
        <v>12385</v>
      </c>
      <c r="F2706" s="90" t="s">
        <v>12386</v>
      </c>
      <c r="G2706" s="321" t="s">
        <v>12387</v>
      </c>
      <c r="H2706" s="11"/>
      <c r="I2706" s="276">
        <v>6.29017691E9</v>
      </c>
      <c r="J2706" s="11"/>
      <c r="K2706" s="12" t="s">
        <v>12388</v>
      </c>
      <c r="L2706" s="13"/>
      <c r="M2706" s="11" t="s">
        <v>10119</v>
      </c>
      <c r="N2706" s="5" t="s">
        <v>12389</v>
      </c>
      <c r="O2706" s="5" t="s">
        <v>26</v>
      </c>
      <c r="P2706" s="284" t="s">
        <v>12390</v>
      </c>
      <c r="Q2706" s="284" t="s">
        <v>12391</v>
      </c>
      <c r="R2706" s="16" t="s">
        <v>723</v>
      </c>
      <c r="S2706" s="284"/>
      <c r="T2706" s="15"/>
      <c r="U2706" s="15"/>
      <c r="V2706" s="15"/>
      <c r="W2706" s="15"/>
      <c r="X2706" s="15"/>
      <c r="Y2706" s="15"/>
      <c r="Z2706" s="15"/>
      <c r="AA2706" s="15"/>
    </row>
    <row r="2707">
      <c r="A2707" s="5" t="s">
        <v>12382</v>
      </c>
      <c r="B2707" s="131" t="s">
        <v>12392</v>
      </c>
      <c r="C2707" s="97" t="s">
        <v>12393</v>
      </c>
      <c r="D2707" s="262"/>
      <c r="E2707" s="262" t="s">
        <v>1565</v>
      </c>
      <c r="F2707" s="296" t="s">
        <v>12247</v>
      </c>
      <c r="G2707" s="318" t="s">
        <v>12394</v>
      </c>
      <c r="H2707" s="366" t="s">
        <v>12395</v>
      </c>
      <c r="I2707" s="276">
        <v>9.903530662E9</v>
      </c>
      <c r="J2707" s="11" t="s">
        <v>12259</v>
      </c>
      <c r="K2707" s="12" t="s">
        <v>12396</v>
      </c>
      <c r="L2707" s="13"/>
      <c r="M2707" s="11" t="s">
        <v>11867</v>
      </c>
      <c r="N2707" s="5" t="s">
        <v>12397</v>
      </c>
      <c r="O2707" s="5" t="s">
        <v>26</v>
      </c>
      <c r="P2707" s="284" t="s">
        <v>12398</v>
      </c>
      <c r="Q2707" s="5" t="s">
        <v>12399</v>
      </c>
      <c r="R2707" s="16" t="s">
        <v>723</v>
      </c>
      <c r="S2707" s="5"/>
      <c r="T2707" s="15"/>
      <c r="U2707" s="15"/>
      <c r="V2707" s="15"/>
      <c r="W2707" s="15"/>
      <c r="X2707" s="15"/>
      <c r="Y2707" s="15"/>
      <c r="Z2707" s="15"/>
      <c r="AA2707" s="15"/>
    </row>
    <row r="2708">
      <c r="A2708" s="5" t="s">
        <v>12382</v>
      </c>
      <c r="B2708" s="131" t="s">
        <v>12400</v>
      </c>
      <c r="C2708" s="371" t="s">
        <v>12401</v>
      </c>
      <c r="D2708" s="262"/>
      <c r="E2708" s="262" t="s">
        <v>1018</v>
      </c>
      <c r="F2708" s="90" t="s">
        <v>12296</v>
      </c>
      <c r="G2708" s="318" t="s">
        <v>11950</v>
      </c>
      <c r="H2708" s="11" t="s">
        <v>11951</v>
      </c>
      <c r="I2708" s="276">
        <v>7.004698335E9</v>
      </c>
      <c r="J2708" s="11" t="s">
        <v>12402</v>
      </c>
      <c r="K2708" s="12" t="s">
        <v>11569</v>
      </c>
      <c r="L2708" s="13"/>
      <c r="M2708" s="11" t="s">
        <v>10483</v>
      </c>
      <c r="N2708" s="5" t="s">
        <v>12403</v>
      </c>
      <c r="O2708" s="5" t="s">
        <v>26</v>
      </c>
      <c r="P2708" s="284" t="s">
        <v>12404</v>
      </c>
      <c r="Q2708" s="15"/>
      <c r="R2708" s="16" t="s">
        <v>723</v>
      </c>
      <c r="S2708" s="15"/>
      <c r="T2708" s="15"/>
      <c r="U2708" s="15"/>
      <c r="V2708" s="15"/>
      <c r="W2708" s="15"/>
      <c r="X2708" s="15"/>
      <c r="Y2708" s="15"/>
      <c r="Z2708" s="15"/>
      <c r="AA2708" s="15"/>
    </row>
    <row r="2709" ht="30.0" customHeight="1">
      <c r="A2709" s="262" t="s">
        <v>12382</v>
      </c>
      <c r="B2709" s="131" t="s">
        <v>12405</v>
      </c>
      <c r="C2709" s="97" t="s">
        <v>12406</v>
      </c>
      <c r="D2709" s="232"/>
      <c r="E2709" s="232" t="s">
        <v>10754</v>
      </c>
      <c r="F2709" s="90" t="s">
        <v>12228</v>
      </c>
      <c r="G2709" s="318" t="s">
        <v>12407</v>
      </c>
      <c r="H2709" s="11" t="s">
        <v>12408</v>
      </c>
      <c r="I2709" s="276">
        <v>9.051740726E9</v>
      </c>
      <c r="J2709" s="11" t="s">
        <v>12409</v>
      </c>
      <c r="K2709" s="12"/>
      <c r="L2709" s="12">
        <v>35.5</v>
      </c>
      <c r="M2709" s="11" t="s">
        <v>8627</v>
      </c>
      <c r="N2709" s="5" t="s">
        <v>12410</v>
      </c>
      <c r="O2709" s="5" t="s">
        <v>34</v>
      </c>
      <c r="P2709" s="5" t="s">
        <v>12411</v>
      </c>
      <c r="Q2709" s="5" t="s">
        <v>12412</v>
      </c>
      <c r="R2709" s="16" t="s">
        <v>634</v>
      </c>
      <c r="S2709" s="15"/>
      <c r="T2709" s="15"/>
      <c r="U2709" s="15"/>
      <c r="V2709" s="15"/>
      <c r="W2709" s="15"/>
      <c r="X2709" s="15"/>
      <c r="Y2709" s="15"/>
      <c r="Z2709" s="15"/>
      <c r="AA2709" s="15"/>
    </row>
    <row r="2710" ht="48.0" customHeight="1">
      <c r="A2710" s="5" t="s">
        <v>12382</v>
      </c>
      <c r="B2710" s="131" t="s">
        <v>12413</v>
      </c>
      <c r="C2710" s="62" t="s">
        <v>12414</v>
      </c>
      <c r="D2710" s="262"/>
      <c r="E2710" s="262" t="s">
        <v>6042</v>
      </c>
      <c r="F2710" s="90" t="s">
        <v>12415</v>
      </c>
      <c r="G2710" s="318" t="s">
        <v>12416</v>
      </c>
      <c r="H2710" s="11" t="s">
        <v>8781</v>
      </c>
      <c r="I2710" s="276">
        <v>9.836751653E9</v>
      </c>
      <c r="J2710" s="11" t="s">
        <v>12417</v>
      </c>
      <c r="K2710" s="12" t="s">
        <v>12418</v>
      </c>
      <c r="L2710" s="13"/>
      <c r="M2710" s="11" t="s">
        <v>12419</v>
      </c>
      <c r="N2710" s="5" t="s">
        <v>12420</v>
      </c>
      <c r="O2710" s="5" t="s">
        <v>26</v>
      </c>
      <c r="P2710" s="5" t="s">
        <v>12421</v>
      </c>
      <c r="Q2710" s="284" t="s">
        <v>12422</v>
      </c>
      <c r="R2710" s="16" t="s">
        <v>634</v>
      </c>
      <c r="S2710" s="284"/>
      <c r="T2710" s="15"/>
      <c r="U2710" s="15"/>
      <c r="V2710" s="15"/>
      <c r="W2710" s="15"/>
      <c r="X2710" s="15"/>
      <c r="Y2710" s="15"/>
      <c r="Z2710" s="15"/>
      <c r="AA2710" s="15"/>
    </row>
    <row r="2711">
      <c r="A2711" s="5" t="s">
        <v>12382</v>
      </c>
      <c r="B2711" s="131" t="s">
        <v>12423</v>
      </c>
      <c r="C2711" s="371" t="s">
        <v>12424</v>
      </c>
      <c r="D2711" s="262"/>
      <c r="E2711" s="262" t="s">
        <v>167</v>
      </c>
      <c r="F2711" s="90" t="s">
        <v>12247</v>
      </c>
      <c r="G2711" s="318" t="s">
        <v>12425</v>
      </c>
      <c r="H2711" s="11" t="s">
        <v>12426</v>
      </c>
      <c r="I2711" s="276">
        <v>8.238556555E9</v>
      </c>
      <c r="J2711" s="11" t="s">
        <v>12427</v>
      </c>
      <c r="K2711" s="12"/>
      <c r="L2711" s="12">
        <v>23.0</v>
      </c>
      <c r="M2711" s="11" t="s">
        <v>9776</v>
      </c>
      <c r="N2711" s="5" t="s">
        <v>12428</v>
      </c>
      <c r="O2711" s="5" t="s">
        <v>108</v>
      </c>
      <c r="P2711" s="5" t="s">
        <v>12429</v>
      </c>
      <c r="Q2711" s="15"/>
      <c r="R2711" s="16" t="s">
        <v>634</v>
      </c>
      <c r="S2711" s="15"/>
      <c r="T2711" s="15"/>
      <c r="U2711" s="15"/>
      <c r="V2711" s="15"/>
      <c r="W2711" s="15"/>
      <c r="X2711" s="15"/>
      <c r="Y2711" s="15"/>
      <c r="Z2711" s="15"/>
      <c r="AA2711" s="15"/>
    </row>
    <row r="2712">
      <c r="A2712" s="5" t="s">
        <v>12382</v>
      </c>
      <c r="B2712" s="131" t="s">
        <v>12430</v>
      </c>
      <c r="C2712" s="371" t="s">
        <v>12431</v>
      </c>
      <c r="D2712" s="262"/>
      <c r="E2712" s="262" t="s">
        <v>7197</v>
      </c>
      <c r="F2712" s="90" t="s">
        <v>12432</v>
      </c>
      <c r="G2712" s="318" t="s">
        <v>12433</v>
      </c>
      <c r="H2712" s="11" t="s">
        <v>12434</v>
      </c>
      <c r="I2712" s="276">
        <v>9.088877458E9</v>
      </c>
      <c r="J2712" s="11" t="s">
        <v>12435</v>
      </c>
      <c r="K2712" s="12" t="s">
        <v>9706</v>
      </c>
      <c r="L2712" s="13"/>
      <c r="M2712" s="11" t="s">
        <v>9707</v>
      </c>
      <c r="N2712" s="5" t="s">
        <v>12436</v>
      </c>
      <c r="O2712" s="5" t="s">
        <v>26</v>
      </c>
      <c r="P2712" s="284" t="s">
        <v>12437</v>
      </c>
      <c r="Q2712" s="15"/>
      <c r="R2712" s="16" t="s">
        <v>634</v>
      </c>
      <c r="S2712" s="15"/>
      <c r="T2712" s="15"/>
      <c r="U2712" s="15"/>
      <c r="V2712" s="15"/>
      <c r="W2712" s="15"/>
      <c r="X2712" s="15"/>
      <c r="Y2712" s="15"/>
      <c r="Z2712" s="15"/>
      <c r="AA2712" s="15"/>
    </row>
    <row r="2713">
      <c r="A2713" s="5" t="s">
        <v>12382</v>
      </c>
      <c r="B2713" s="131" t="s">
        <v>12438</v>
      </c>
      <c r="C2713" s="371" t="s">
        <v>12439</v>
      </c>
      <c r="D2713" s="262"/>
      <c r="E2713" s="262" t="s">
        <v>2429</v>
      </c>
      <c r="F2713" s="90" t="s">
        <v>12256</v>
      </c>
      <c r="G2713" s="318" t="s">
        <v>12440</v>
      </c>
      <c r="H2713" s="11" t="s">
        <v>12441</v>
      </c>
      <c r="I2713" s="276">
        <v>9.883881988E9</v>
      </c>
      <c r="J2713" s="11" t="s">
        <v>4008</v>
      </c>
      <c r="K2713" s="12" t="s">
        <v>12388</v>
      </c>
      <c r="L2713" s="13"/>
      <c r="M2713" s="11" t="s">
        <v>10119</v>
      </c>
      <c r="N2713" s="5" t="s">
        <v>12442</v>
      </c>
      <c r="O2713" s="5" t="s">
        <v>34</v>
      </c>
      <c r="P2713" s="5" t="s">
        <v>6334</v>
      </c>
      <c r="Q2713" s="15"/>
      <c r="R2713" s="16" t="s">
        <v>634</v>
      </c>
      <c r="S2713" s="15"/>
      <c r="T2713" s="15"/>
      <c r="U2713" s="15"/>
      <c r="V2713" s="15"/>
      <c r="W2713" s="15"/>
      <c r="X2713" s="15"/>
      <c r="Y2713" s="15"/>
      <c r="Z2713" s="15"/>
      <c r="AA2713" s="15"/>
    </row>
    <row r="2714">
      <c r="A2714" s="5" t="s">
        <v>12382</v>
      </c>
      <c r="B2714" s="131" t="s">
        <v>12443</v>
      </c>
      <c r="C2714" s="40" t="s">
        <v>12444</v>
      </c>
      <c r="D2714" s="262"/>
      <c r="E2714" s="262" t="s">
        <v>12445</v>
      </c>
      <c r="F2714" s="90" t="s">
        <v>12228</v>
      </c>
      <c r="G2714" s="290" t="s">
        <v>12446</v>
      </c>
      <c r="H2714" s="11" t="s">
        <v>906</v>
      </c>
      <c r="I2714" s="276">
        <v>9.892806122E9</v>
      </c>
      <c r="J2714" s="11" t="s">
        <v>4008</v>
      </c>
      <c r="K2714" s="12"/>
      <c r="L2714" s="12">
        <v>140.0</v>
      </c>
      <c r="M2714" s="14"/>
      <c r="N2714" s="15"/>
      <c r="O2714" s="5" t="s">
        <v>108</v>
      </c>
      <c r="P2714" s="5" t="s">
        <v>12447</v>
      </c>
      <c r="Q2714" s="15"/>
      <c r="R2714" s="16" t="s">
        <v>723</v>
      </c>
      <c r="S2714" s="15"/>
      <c r="T2714" s="15"/>
      <c r="U2714" s="15"/>
      <c r="V2714" s="15"/>
      <c r="W2714" s="15"/>
      <c r="X2714" s="15"/>
      <c r="Y2714" s="15"/>
      <c r="Z2714" s="15"/>
      <c r="AA2714" s="15"/>
    </row>
    <row r="2715">
      <c r="A2715" s="5" t="s">
        <v>12448</v>
      </c>
      <c r="B2715" s="131" t="s">
        <v>12449</v>
      </c>
      <c r="C2715" s="40" t="s">
        <v>12450</v>
      </c>
      <c r="D2715" s="11"/>
      <c r="E2715" s="11" t="s">
        <v>12451</v>
      </c>
      <c r="F2715" s="90" t="s">
        <v>12452</v>
      </c>
      <c r="G2715" s="290" t="s">
        <v>12453</v>
      </c>
      <c r="H2715" s="11" t="s">
        <v>12454</v>
      </c>
      <c r="I2715" s="276">
        <v>9.223371424E9</v>
      </c>
      <c r="J2715" s="11" t="s">
        <v>4008</v>
      </c>
      <c r="K2715" s="12" t="s">
        <v>8677</v>
      </c>
      <c r="L2715" s="13"/>
      <c r="M2715" s="14"/>
      <c r="N2715" s="15"/>
      <c r="O2715" s="5" t="s">
        <v>108</v>
      </c>
      <c r="P2715" s="15"/>
      <c r="Q2715" s="15"/>
      <c r="R2715" s="16" t="s">
        <v>28</v>
      </c>
      <c r="S2715" s="15"/>
      <c r="T2715" s="15"/>
      <c r="U2715" s="15"/>
      <c r="V2715" s="15"/>
      <c r="W2715" s="15"/>
      <c r="X2715" s="15"/>
      <c r="Y2715" s="15"/>
      <c r="Z2715" s="15"/>
      <c r="AA2715" s="15"/>
    </row>
    <row r="2716">
      <c r="A2716" s="5" t="s">
        <v>12448</v>
      </c>
      <c r="B2716" s="131" t="s">
        <v>12455</v>
      </c>
      <c r="C2716" s="375" t="s">
        <v>12456</v>
      </c>
      <c r="D2716" s="375"/>
      <c r="E2716" s="375" t="s">
        <v>9634</v>
      </c>
      <c r="F2716" s="9">
        <v>15000.0</v>
      </c>
      <c r="G2716" s="290" t="s">
        <v>12457</v>
      </c>
      <c r="H2716" s="11" t="s">
        <v>12458</v>
      </c>
      <c r="I2716" s="276">
        <v>9.925145108E9</v>
      </c>
      <c r="J2716" s="11" t="s">
        <v>4008</v>
      </c>
      <c r="K2716" s="12" t="s">
        <v>8677</v>
      </c>
      <c r="L2716" s="13"/>
      <c r="M2716" s="11" t="s">
        <v>12459</v>
      </c>
      <c r="N2716" s="15"/>
      <c r="O2716" s="5" t="s">
        <v>108</v>
      </c>
      <c r="P2716" s="5" t="s">
        <v>12460</v>
      </c>
      <c r="Q2716" s="15"/>
      <c r="R2716" s="16" t="s">
        <v>28</v>
      </c>
      <c r="S2716" s="15"/>
      <c r="T2716" s="15"/>
      <c r="U2716" s="15"/>
      <c r="V2716" s="15"/>
      <c r="W2716" s="15"/>
      <c r="X2716" s="15"/>
      <c r="Y2716" s="15"/>
      <c r="Z2716" s="15"/>
      <c r="AA2716" s="15"/>
    </row>
    <row r="2717">
      <c r="A2717" s="5" t="s">
        <v>12448</v>
      </c>
      <c r="B2717" s="131" t="s">
        <v>12461</v>
      </c>
      <c r="C2717" s="40" t="s">
        <v>12462</v>
      </c>
      <c r="D2717" s="11"/>
      <c r="E2717" s="11" t="s">
        <v>12463</v>
      </c>
      <c r="F2717" s="90">
        <v>1000.0</v>
      </c>
      <c r="G2717" s="322" t="s">
        <v>12464</v>
      </c>
      <c r="H2717" s="11" t="s">
        <v>99</v>
      </c>
      <c r="I2717" s="276">
        <v>8.658189875E9</v>
      </c>
      <c r="J2717" s="11" t="s">
        <v>12465</v>
      </c>
      <c r="K2717" s="12" t="s">
        <v>8677</v>
      </c>
      <c r="L2717" s="13"/>
      <c r="M2717" s="14"/>
      <c r="N2717" s="15"/>
      <c r="O2717" s="5" t="s">
        <v>26</v>
      </c>
      <c r="P2717" s="15"/>
      <c r="Q2717" s="15"/>
      <c r="R2717" s="16" t="s">
        <v>28</v>
      </c>
      <c r="S2717" s="15"/>
      <c r="T2717" s="15"/>
      <c r="U2717" s="15"/>
      <c r="V2717" s="15"/>
      <c r="W2717" s="15"/>
      <c r="X2717" s="15"/>
      <c r="Y2717" s="15"/>
      <c r="Z2717" s="15"/>
      <c r="AA2717" s="15"/>
    </row>
    <row r="2718">
      <c r="A2718" s="5" t="s">
        <v>12448</v>
      </c>
      <c r="B2718" s="131" t="s">
        <v>12466</v>
      </c>
      <c r="C2718" s="62" t="s">
        <v>12467</v>
      </c>
      <c r="D2718" s="11"/>
      <c r="E2718" s="11" t="s">
        <v>12468</v>
      </c>
      <c r="F2718" s="9">
        <v>10000.0</v>
      </c>
      <c r="G2718" s="290" t="s">
        <v>12313</v>
      </c>
      <c r="H2718" s="11" t="s">
        <v>12469</v>
      </c>
      <c r="I2718" s="276">
        <v>7.907258159E9</v>
      </c>
      <c r="J2718" s="11" t="s">
        <v>12470</v>
      </c>
      <c r="K2718" s="12" t="s">
        <v>2974</v>
      </c>
      <c r="L2718" s="13"/>
      <c r="M2718" s="11" t="s">
        <v>9983</v>
      </c>
      <c r="N2718" s="5" t="s">
        <v>12471</v>
      </c>
      <c r="O2718" s="5" t="s">
        <v>108</v>
      </c>
      <c r="P2718" s="5" t="s">
        <v>12472</v>
      </c>
      <c r="Q2718" s="15"/>
      <c r="R2718" s="16" t="s">
        <v>634</v>
      </c>
      <c r="S2718" s="15"/>
      <c r="T2718" s="15"/>
      <c r="U2718" s="15"/>
      <c r="V2718" s="15"/>
      <c r="W2718" s="15"/>
      <c r="X2718" s="15"/>
      <c r="Y2718" s="15"/>
      <c r="Z2718" s="15"/>
      <c r="AA2718" s="15"/>
    </row>
    <row r="2719">
      <c r="A2719" s="5" t="s">
        <v>12448</v>
      </c>
      <c r="B2719" s="131" t="s">
        <v>12473</v>
      </c>
      <c r="C2719" s="40" t="s">
        <v>12474</v>
      </c>
      <c r="D2719" s="11"/>
      <c r="E2719" s="11" t="s">
        <v>12255</v>
      </c>
      <c r="F2719" s="90">
        <v>2000.0</v>
      </c>
      <c r="G2719" s="290" t="s">
        <v>12475</v>
      </c>
      <c r="H2719" s="11" t="s">
        <v>44</v>
      </c>
      <c r="I2719" s="276">
        <v>9.051715557E9</v>
      </c>
      <c r="J2719" s="11" t="s">
        <v>12476</v>
      </c>
      <c r="K2719" s="12" t="s">
        <v>9511</v>
      </c>
      <c r="L2719" s="13"/>
      <c r="M2719" s="11" t="s">
        <v>7651</v>
      </c>
      <c r="N2719" s="5" t="s">
        <v>12477</v>
      </c>
      <c r="O2719" s="5" t="s">
        <v>34</v>
      </c>
      <c r="P2719" s="5" t="s">
        <v>8466</v>
      </c>
      <c r="Q2719" s="5" t="s">
        <v>777</v>
      </c>
      <c r="R2719" s="16" t="s">
        <v>723</v>
      </c>
      <c r="S2719" s="15"/>
      <c r="T2719" s="15"/>
      <c r="U2719" s="15"/>
      <c r="V2719" s="15"/>
      <c r="W2719" s="15"/>
      <c r="X2719" s="15"/>
      <c r="Y2719" s="15"/>
      <c r="Z2719" s="15"/>
      <c r="AA2719" s="15"/>
    </row>
    <row r="2720">
      <c r="A2720" s="5" t="s">
        <v>12448</v>
      </c>
      <c r="B2720" s="131" t="s">
        <v>12478</v>
      </c>
      <c r="C2720" s="310" t="s">
        <v>12479</v>
      </c>
      <c r="D2720" s="310"/>
      <c r="E2720" s="310" t="s">
        <v>786</v>
      </c>
      <c r="F2720" s="9">
        <v>20000.0</v>
      </c>
      <c r="G2720" s="290" t="s">
        <v>12480</v>
      </c>
      <c r="H2720" s="11" t="s">
        <v>184</v>
      </c>
      <c r="I2720" s="276">
        <v>9.430109E9</v>
      </c>
      <c r="J2720" s="11" t="s">
        <v>12481</v>
      </c>
      <c r="K2720" s="12" t="s">
        <v>4099</v>
      </c>
      <c r="L2720" s="13"/>
      <c r="M2720" s="11" t="s">
        <v>11627</v>
      </c>
      <c r="N2720" s="5" t="s">
        <v>12482</v>
      </c>
      <c r="O2720" s="5" t="s">
        <v>26</v>
      </c>
      <c r="P2720" s="284" t="s">
        <v>12483</v>
      </c>
      <c r="Q2720" s="5" t="s">
        <v>12484</v>
      </c>
      <c r="R2720" s="16" t="s">
        <v>634</v>
      </c>
      <c r="S2720" s="5"/>
      <c r="T2720" s="15"/>
      <c r="U2720" s="15"/>
      <c r="V2720" s="15"/>
      <c r="W2720" s="15"/>
      <c r="X2720" s="15"/>
      <c r="Y2720" s="15"/>
      <c r="Z2720" s="15"/>
      <c r="AA2720" s="15"/>
    </row>
    <row r="2721">
      <c r="A2721" s="5" t="s">
        <v>12448</v>
      </c>
      <c r="B2721" s="131" t="s">
        <v>12485</v>
      </c>
      <c r="C2721" s="62" t="s">
        <v>12486</v>
      </c>
      <c r="D2721" s="11"/>
      <c r="E2721" s="11" t="s">
        <v>5293</v>
      </c>
      <c r="F2721" s="90">
        <v>500.0</v>
      </c>
      <c r="G2721" s="290" t="s">
        <v>12487</v>
      </c>
      <c r="H2721" s="11" t="s">
        <v>44</v>
      </c>
      <c r="I2721" s="276">
        <v>9.830415556E9</v>
      </c>
      <c r="J2721" s="11" t="s">
        <v>4008</v>
      </c>
      <c r="K2721" s="12"/>
      <c r="L2721" s="12">
        <v>78.0</v>
      </c>
      <c r="M2721" s="11" t="s">
        <v>11935</v>
      </c>
      <c r="N2721" s="5" t="s">
        <v>12488</v>
      </c>
      <c r="O2721" s="5" t="s">
        <v>34</v>
      </c>
      <c r="P2721" s="5" t="s">
        <v>12489</v>
      </c>
      <c r="Q2721" s="15"/>
      <c r="R2721" s="16" t="s">
        <v>723</v>
      </c>
      <c r="S2721" s="15"/>
      <c r="T2721" s="15"/>
      <c r="U2721" s="15"/>
      <c r="V2721" s="15"/>
      <c r="W2721" s="15"/>
      <c r="X2721" s="15"/>
      <c r="Y2721" s="15"/>
      <c r="Z2721" s="15"/>
      <c r="AA2721" s="15"/>
    </row>
    <row r="2722">
      <c r="A2722" s="5" t="s">
        <v>12448</v>
      </c>
      <c r="B2722" s="131" t="s">
        <v>12490</v>
      </c>
      <c r="C2722" s="62" t="s">
        <v>12491</v>
      </c>
      <c r="D2722" s="11"/>
      <c r="E2722" s="11" t="s">
        <v>167</v>
      </c>
      <c r="F2722" s="90">
        <v>2500.0</v>
      </c>
      <c r="G2722" s="290" t="s">
        <v>12492</v>
      </c>
      <c r="H2722" s="216" t="s">
        <v>12493</v>
      </c>
      <c r="I2722" s="276">
        <v>9.842233145E9</v>
      </c>
      <c r="J2722" s="11" t="s">
        <v>12494</v>
      </c>
      <c r="K2722" s="12"/>
      <c r="L2722" s="13"/>
      <c r="M2722" s="11" t="s">
        <v>12495</v>
      </c>
      <c r="N2722" s="5" t="s">
        <v>12496</v>
      </c>
      <c r="O2722" s="5" t="s">
        <v>1030</v>
      </c>
      <c r="P2722" s="5" t="s">
        <v>12497</v>
      </c>
      <c r="Q2722" s="15"/>
      <c r="R2722" s="16" t="s">
        <v>634</v>
      </c>
      <c r="S2722" s="15"/>
      <c r="T2722" s="15"/>
      <c r="U2722" s="15"/>
      <c r="V2722" s="15"/>
      <c r="W2722" s="15"/>
      <c r="X2722" s="15"/>
      <c r="Y2722" s="15"/>
      <c r="Z2722" s="15"/>
      <c r="AA2722" s="15"/>
    </row>
    <row r="2723">
      <c r="A2723" s="5" t="s">
        <v>12498</v>
      </c>
      <c r="B2723" s="131" t="s">
        <v>12499</v>
      </c>
      <c r="C2723" s="371" t="s">
        <v>4986</v>
      </c>
      <c r="D2723" s="97"/>
      <c r="E2723" s="97" t="s">
        <v>12500</v>
      </c>
      <c r="F2723" s="90" t="s">
        <v>12501</v>
      </c>
      <c r="G2723" s="318" t="s">
        <v>1580</v>
      </c>
      <c r="H2723" s="11" t="s">
        <v>44</v>
      </c>
      <c r="I2723" s="276">
        <v>8.348059314E9</v>
      </c>
      <c r="J2723" s="11" t="s">
        <v>12502</v>
      </c>
      <c r="K2723" s="12"/>
      <c r="L2723" s="12" t="s">
        <v>12503</v>
      </c>
      <c r="M2723" s="11" t="s">
        <v>8638</v>
      </c>
      <c r="N2723" s="5" t="s">
        <v>12504</v>
      </c>
      <c r="O2723" s="5" t="s">
        <v>26</v>
      </c>
      <c r="P2723" s="5" t="s">
        <v>12505</v>
      </c>
      <c r="Q2723" s="284" t="s">
        <v>12506</v>
      </c>
      <c r="R2723" s="16" t="s">
        <v>723</v>
      </c>
      <c r="S2723" s="5"/>
      <c r="T2723" s="15"/>
      <c r="U2723" s="15"/>
      <c r="V2723" s="15"/>
      <c r="W2723" s="15"/>
      <c r="X2723" s="15"/>
      <c r="Y2723" s="15"/>
      <c r="Z2723" s="15"/>
      <c r="AA2723" s="15"/>
    </row>
    <row r="2724">
      <c r="A2724" s="5" t="s">
        <v>12498</v>
      </c>
      <c r="B2724" s="131" t="s">
        <v>12507</v>
      </c>
      <c r="C2724" s="371" t="s">
        <v>12508</v>
      </c>
      <c r="D2724" s="262"/>
      <c r="E2724" s="262" t="s">
        <v>12509</v>
      </c>
      <c r="F2724" s="90" t="s">
        <v>12510</v>
      </c>
      <c r="G2724" s="318" t="s">
        <v>12511</v>
      </c>
      <c r="H2724" s="11" t="s">
        <v>44</v>
      </c>
      <c r="I2724" s="276">
        <v>9.83135762E9</v>
      </c>
      <c r="J2724" s="366" t="s">
        <v>25</v>
      </c>
      <c r="K2724" s="12"/>
      <c r="L2724" s="13"/>
      <c r="M2724" s="11" t="s">
        <v>0</v>
      </c>
      <c r="N2724" s="15"/>
      <c r="O2724" s="5" t="s">
        <v>26</v>
      </c>
      <c r="P2724" s="15"/>
      <c r="Q2724" s="15"/>
      <c r="R2724" s="16" t="s">
        <v>28</v>
      </c>
      <c r="S2724" s="15"/>
      <c r="T2724" s="15"/>
      <c r="U2724" s="15"/>
      <c r="V2724" s="15"/>
      <c r="W2724" s="15"/>
      <c r="X2724" s="15"/>
      <c r="Y2724" s="15"/>
      <c r="Z2724" s="15"/>
      <c r="AA2724" s="15"/>
    </row>
    <row r="2725">
      <c r="A2725" s="5" t="s">
        <v>12498</v>
      </c>
      <c r="B2725" s="131" t="s">
        <v>12512</v>
      </c>
      <c r="C2725" s="376" t="s">
        <v>12513</v>
      </c>
      <c r="D2725" s="11"/>
      <c r="E2725" s="11" t="s">
        <v>12514</v>
      </c>
      <c r="F2725" s="90" t="s">
        <v>12515</v>
      </c>
      <c r="G2725" s="366" t="s">
        <v>12516</v>
      </c>
      <c r="H2725" s="366" t="s">
        <v>12517</v>
      </c>
      <c r="I2725" s="366">
        <v>8.969222895E9</v>
      </c>
      <c r="J2725" s="11"/>
      <c r="K2725" s="12" t="s">
        <v>12518</v>
      </c>
      <c r="L2725" s="13"/>
      <c r="M2725" s="14"/>
      <c r="N2725" s="15"/>
      <c r="O2725" s="5" t="s">
        <v>10708</v>
      </c>
      <c r="P2725" s="15"/>
      <c r="Q2725" s="15"/>
      <c r="R2725" s="16" t="s">
        <v>28</v>
      </c>
      <c r="S2725" s="15"/>
      <c r="T2725" s="15"/>
      <c r="U2725" s="15"/>
      <c r="V2725" s="15"/>
      <c r="W2725" s="15"/>
      <c r="X2725" s="15"/>
      <c r="Y2725" s="15"/>
      <c r="Z2725" s="15"/>
      <c r="AA2725" s="15"/>
    </row>
    <row r="2726">
      <c r="A2726" s="5" t="s">
        <v>12498</v>
      </c>
      <c r="B2726" s="131" t="s">
        <v>12519</v>
      </c>
      <c r="C2726" s="371" t="s">
        <v>12520</v>
      </c>
      <c r="D2726" s="262"/>
      <c r="E2726" s="262" t="s">
        <v>213</v>
      </c>
      <c r="F2726" s="90" t="s">
        <v>12247</v>
      </c>
      <c r="G2726" s="318" t="s">
        <v>12521</v>
      </c>
      <c r="H2726" s="97" t="s">
        <v>12522</v>
      </c>
      <c r="I2726" s="276">
        <v>8.759655988E9</v>
      </c>
      <c r="J2726" s="366" t="s">
        <v>12523</v>
      </c>
      <c r="K2726" s="12" t="s">
        <v>12032</v>
      </c>
      <c r="L2726" s="13"/>
      <c r="M2726" s="11" t="s">
        <v>9685</v>
      </c>
      <c r="N2726" s="5" t="s">
        <v>12524</v>
      </c>
      <c r="O2726" s="5" t="s">
        <v>34</v>
      </c>
      <c r="P2726" s="5" t="s">
        <v>12525</v>
      </c>
      <c r="Q2726" s="5" t="s">
        <v>8739</v>
      </c>
      <c r="R2726" s="16" t="s">
        <v>723</v>
      </c>
      <c r="S2726" s="15"/>
      <c r="T2726" s="15"/>
      <c r="U2726" s="15"/>
      <c r="V2726" s="15"/>
      <c r="W2726" s="15"/>
      <c r="X2726" s="15"/>
      <c r="Y2726" s="15"/>
      <c r="Z2726" s="15"/>
      <c r="AA2726" s="15"/>
    </row>
    <row r="2727">
      <c r="A2727" s="5" t="s">
        <v>12498</v>
      </c>
      <c r="B2727" s="131" t="s">
        <v>12526</v>
      </c>
      <c r="C2727" s="371" t="s">
        <v>9059</v>
      </c>
      <c r="D2727" s="262"/>
      <c r="E2727" s="262" t="s">
        <v>3729</v>
      </c>
      <c r="F2727" s="90" t="s">
        <v>12320</v>
      </c>
      <c r="G2727" s="318" t="s">
        <v>9060</v>
      </c>
      <c r="H2727" s="97" t="s">
        <v>6228</v>
      </c>
      <c r="I2727" s="276">
        <v>9.830169397E9</v>
      </c>
      <c r="J2727" s="11" t="s">
        <v>7109</v>
      </c>
      <c r="K2727" s="12"/>
      <c r="L2727" s="12">
        <v>6.5</v>
      </c>
      <c r="M2727" s="11" t="s">
        <v>8860</v>
      </c>
      <c r="N2727" s="5" t="s">
        <v>12527</v>
      </c>
      <c r="O2727" s="5" t="s">
        <v>26</v>
      </c>
      <c r="P2727" s="5" t="s">
        <v>12528</v>
      </c>
      <c r="Q2727" s="15"/>
      <c r="R2727" s="16" t="s">
        <v>634</v>
      </c>
      <c r="S2727" s="15"/>
      <c r="T2727" s="15"/>
      <c r="U2727" s="15"/>
      <c r="V2727" s="15"/>
      <c r="W2727" s="15"/>
      <c r="X2727" s="15"/>
      <c r="Y2727" s="15"/>
      <c r="Z2727" s="15"/>
      <c r="AA2727" s="15"/>
    </row>
    <row r="2728">
      <c r="A2728" s="5" t="s">
        <v>12498</v>
      </c>
      <c r="B2728" s="131" t="s">
        <v>12529</v>
      </c>
      <c r="C2728" s="371" t="s">
        <v>12530</v>
      </c>
      <c r="D2728" s="262"/>
      <c r="E2728" s="262" t="s">
        <v>11474</v>
      </c>
      <c r="F2728" s="90" t="s">
        <v>12228</v>
      </c>
      <c r="G2728" s="318" t="s">
        <v>12531</v>
      </c>
      <c r="H2728" s="97" t="s">
        <v>12532</v>
      </c>
      <c r="I2728" s="276">
        <v>9.200334E9</v>
      </c>
      <c r="J2728" s="366" t="s">
        <v>12533</v>
      </c>
      <c r="K2728" s="12"/>
      <c r="L2728" s="12" t="s">
        <v>12534</v>
      </c>
      <c r="M2728" s="11" t="s">
        <v>12535</v>
      </c>
      <c r="N2728" s="5" t="s">
        <v>12536</v>
      </c>
      <c r="O2728" s="5" t="s">
        <v>108</v>
      </c>
      <c r="P2728" s="5" t="s">
        <v>12537</v>
      </c>
      <c r="Q2728" s="15"/>
      <c r="R2728" s="16" t="s">
        <v>634</v>
      </c>
      <c r="S2728" s="15"/>
      <c r="T2728" s="15"/>
      <c r="U2728" s="15"/>
      <c r="V2728" s="15"/>
      <c r="W2728" s="15"/>
      <c r="X2728" s="15"/>
      <c r="Y2728" s="15"/>
      <c r="Z2728" s="15"/>
      <c r="AA2728" s="15"/>
    </row>
    <row r="2729">
      <c r="A2729" s="5" t="s">
        <v>12498</v>
      </c>
      <c r="B2729" s="131" t="s">
        <v>12538</v>
      </c>
      <c r="C2729" s="371" t="s">
        <v>12539</v>
      </c>
      <c r="D2729" s="262"/>
      <c r="E2729" s="262" t="s">
        <v>12540</v>
      </c>
      <c r="F2729" s="90" t="s">
        <v>12541</v>
      </c>
      <c r="G2729" s="318" t="s">
        <v>12542</v>
      </c>
      <c r="H2729" s="11" t="s">
        <v>12517</v>
      </c>
      <c r="I2729" s="276">
        <v>9.832161628E9</v>
      </c>
      <c r="J2729" s="12" t="s">
        <v>4008</v>
      </c>
      <c r="K2729" s="12" t="s">
        <v>8753</v>
      </c>
      <c r="L2729" s="12" t="s">
        <v>12543</v>
      </c>
      <c r="M2729" s="11" t="s">
        <v>8638</v>
      </c>
      <c r="N2729" s="5" t="s">
        <v>12544</v>
      </c>
      <c r="O2729" s="5" t="s">
        <v>26</v>
      </c>
      <c r="P2729" s="5" t="s">
        <v>12545</v>
      </c>
      <c r="Q2729" s="15"/>
      <c r="R2729" s="16" t="s">
        <v>634</v>
      </c>
      <c r="S2729" s="15"/>
      <c r="T2729" s="15"/>
      <c r="U2729" s="15"/>
      <c r="V2729" s="15"/>
      <c r="W2729" s="15"/>
      <c r="X2729" s="15"/>
      <c r="Y2729" s="15"/>
      <c r="Z2729" s="15"/>
      <c r="AA2729" s="15"/>
    </row>
    <row r="2730">
      <c r="A2730" s="5" t="s">
        <v>12498</v>
      </c>
      <c r="B2730" s="131" t="s">
        <v>12546</v>
      </c>
      <c r="C2730" s="371" t="s">
        <v>12547</v>
      </c>
      <c r="D2730" s="262"/>
      <c r="E2730" s="262" t="s">
        <v>5502</v>
      </c>
      <c r="F2730" s="90" t="s">
        <v>12548</v>
      </c>
      <c r="G2730" s="318" t="s">
        <v>12549</v>
      </c>
      <c r="H2730" s="11" t="s">
        <v>12550</v>
      </c>
      <c r="I2730" s="276">
        <v>9.673496875E9</v>
      </c>
      <c r="J2730" s="11" t="s">
        <v>12551</v>
      </c>
      <c r="K2730" s="12"/>
      <c r="L2730" s="12" t="s">
        <v>12552</v>
      </c>
      <c r="M2730" s="11" t="s">
        <v>12553</v>
      </c>
      <c r="N2730" s="5" t="s">
        <v>12554</v>
      </c>
      <c r="O2730" s="5" t="s">
        <v>108</v>
      </c>
      <c r="P2730" s="15"/>
      <c r="Q2730" s="15"/>
      <c r="R2730" s="16" t="s">
        <v>634</v>
      </c>
      <c r="S2730" s="15"/>
      <c r="T2730" s="15"/>
      <c r="U2730" s="15"/>
      <c r="V2730" s="15"/>
      <c r="W2730" s="15"/>
      <c r="X2730" s="15"/>
      <c r="Y2730" s="15"/>
      <c r="Z2730" s="15"/>
      <c r="AA2730" s="15"/>
    </row>
    <row r="2731">
      <c r="A2731" s="5" t="s">
        <v>12498</v>
      </c>
      <c r="B2731" s="131" t="s">
        <v>12555</v>
      </c>
      <c r="C2731" s="371" t="s">
        <v>12556</v>
      </c>
      <c r="D2731" s="11"/>
      <c r="E2731" s="11" t="s">
        <v>344</v>
      </c>
      <c r="F2731" s="90" t="s">
        <v>12557</v>
      </c>
      <c r="G2731" s="318" t="s">
        <v>12558</v>
      </c>
      <c r="H2731" s="11" t="s">
        <v>12559</v>
      </c>
      <c r="I2731" s="276">
        <v>9.833938666E9</v>
      </c>
      <c r="J2731" s="366" t="s">
        <v>25</v>
      </c>
      <c r="K2731" s="12" t="s">
        <v>8677</v>
      </c>
      <c r="L2731" s="13"/>
      <c r="M2731" s="11" t="s">
        <v>12560</v>
      </c>
      <c r="N2731" s="5" t="s">
        <v>12561</v>
      </c>
      <c r="O2731" s="5" t="s">
        <v>108</v>
      </c>
      <c r="P2731" s="5" t="s">
        <v>12562</v>
      </c>
      <c r="Q2731" s="15"/>
      <c r="R2731" s="16" t="s">
        <v>634</v>
      </c>
      <c r="S2731" s="15"/>
      <c r="T2731" s="15"/>
      <c r="U2731" s="15"/>
      <c r="V2731" s="15"/>
      <c r="W2731" s="15"/>
      <c r="X2731" s="15"/>
      <c r="Y2731" s="15"/>
      <c r="Z2731" s="15"/>
      <c r="AA2731" s="15"/>
    </row>
    <row r="2732">
      <c r="A2732" s="5" t="s">
        <v>12498</v>
      </c>
      <c r="B2732" s="131" t="s">
        <v>12563</v>
      </c>
      <c r="C2732" s="371" t="s">
        <v>12564</v>
      </c>
      <c r="D2732" s="262"/>
      <c r="E2732" s="262" t="s">
        <v>7371</v>
      </c>
      <c r="F2732" s="90" t="s">
        <v>12256</v>
      </c>
      <c r="G2732" s="318" t="s">
        <v>9798</v>
      </c>
      <c r="H2732" s="11" t="s">
        <v>44</v>
      </c>
      <c r="I2732" s="276">
        <v>7.980288586E9</v>
      </c>
      <c r="J2732" s="366" t="s">
        <v>7109</v>
      </c>
      <c r="K2732" s="12" t="s">
        <v>3133</v>
      </c>
      <c r="L2732" s="13"/>
      <c r="M2732" s="11" t="s">
        <v>12565</v>
      </c>
      <c r="N2732" s="5" t="s">
        <v>12566</v>
      </c>
      <c r="O2732" s="5" t="s">
        <v>26</v>
      </c>
      <c r="P2732" s="5" t="s">
        <v>12567</v>
      </c>
      <c r="Q2732" s="15"/>
      <c r="R2732" s="16" t="s">
        <v>634</v>
      </c>
      <c r="S2732" s="15"/>
      <c r="T2732" s="15"/>
      <c r="U2732" s="15"/>
      <c r="V2732" s="15"/>
      <c r="W2732" s="15"/>
      <c r="X2732" s="15"/>
      <c r="Y2732" s="15"/>
      <c r="Z2732" s="15"/>
      <c r="AA2732" s="15"/>
    </row>
    <row r="2733">
      <c r="A2733" s="5" t="s">
        <v>12568</v>
      </c>
      <c r="B2733" s="358" t="s">
        <v>12569</v>
      </c>
      <c r="C2733" s="372" t="s">
        <v>12570</v>
      </c>
      <c r="D2733" s="373"/>
      <c r="E2733" s="373" t="s">
        <v>257</v>
      </c>
      <c r="F2733" s="90" t="s">
        <v>12256</v>
      </c>
      <c r="G2733" s="366" t="s">
        <v>12571</v>
      </c>
      <c r="H2733" s="11" t="s">
        <v>12572</v>
      </c>
      <c r="I2733" s="276">
        <v>9.932562108E9</v>
      </c>
      <c r="J2733" s="366" t="s">
        <v>7221</v>
      </c>
      <c r="K2733" s="12"/>
      <c r="L2733" s="12">
        <v>5.5</v>
      </c>
      <c r="M2733" s="11" t="s">
        <v>9918</v>
      </c>
      <c r="N2733" s="5" t="s">
        <v>12573</v>
      </c>
      <c r="O2733" s="5" t="s">
        <v>26</v>
      </c>
      <c r="P2733" s="5" t="s">
        <v>12574</v>
      </c>
      <c r="Q2733" s="15"/>
      <c r="R2733" s="16" t="s">
        <v>634</v>
      </c>
      <c r="S2733" s="15"/>
      <c r="T2733" s="15"/>
      <c r="U2733" s="15"/>
      <c r="V2733" s="15"/>
      <c r="W2733" s="15"/>
      <c r="X2733" s="15"/>
      <c r="Y2733" s="15"/>
      <c r="Z2733" s="15"/>
      <c r="AA2733" s="15"/>
    </row>
    <row r="2734">
      <c r="A2734" s="5" t="s">
        <v>12568</v>
      </c>
      <c r="B2734" s="131" t="s">
        <v>12575</v>
      </c>
      <c r="C2734" s="371" t="s">
        <v>12576</v>
      </c>
      <c r="D2734" s="262"/>
      <c r="E2734" s="262" t="s">
        <v>10216</v>
      </c>
      <c r="F2734" s="90" t="s">
        <v>12577</v>
      </c>
      <c r="G2734" s="318" t="s">
        <v>12578</v>
      </c>
      <c r="H2734" s="11" t="s">
        <v>12579</v>
      </c>
      <c r="I2734" s="276">
        <v>7.742261916E9</v>
      </c>
      <c r="J2734" s="11" t="s">
        <v>12259</v>
      </c>
      <c r="K2734" s="12"/>
      <c r="L2734" s="13"/>
      <c r="M2734" s="11" t="s">
        <v>12580</v>
      </c>
      <c r="N2734" s="5" t="s">
        <v>12581</v>
      </c>
      <c r="O2734" s="5" t="s">
        <v>108</v>
      </c>
      <c r="P2734" s="5" t="s">
        <v>12582</v>
      </c>
      <c r="Q2734" s="15"/>
      <c r="R2734" s="16" t="s">
        <v>634</v>
      </c>
      <c r="S2734" s="15"/>
      <c r="T2734" s="15"/>
      <c r="U2734" s="15"/>
      <c r="V2734" s="15"/>
      <c r="W2734" s="15"/>
      <c r="X2734" s="15"/>
      <c r="Y2734" s="15"/>
      <c r="Z2734" s="15"/>
      <c r="AA2734" s="15"/>
    </row>
    <row r="2735">
      <c r="A2735" s="5" t="s">
        <v>12568</v>
      </c>
      <c r="B2735" s="131" t="s">
        <v>12583</v>
      </c>
      <c r="C2735" s="371" t="s">
        <v>12584</v>
      </c>
      <c r="D2735" s="262"/>
      <c r="E2735" s="262" t="s">
        <v>152</v>
      </c>
      <c r="F2735" s="90" t="s">
        <v>12585</v>
      </c>
      <c r="G2735" s="318" t="s">
        <v>12586</v>
      </c>
      <c r="H2735" s="11" t="s">
        <v>12587</v>
      </c>
      <c r="I2735" s="276">
        <v>8.850962181E9</v>
      </c>
      <c r="J2735" s="366" t="s">
        <v>12588</v>
      </c>
      <c r="K2735" s="12"/>
      <c r="L2735" s="13"/>
      <c r="M2735" s="14"/>
      <c r="N2735" s="15"/>
      <c r="O2735" s="5" t="s">
        <v>108</v>
      </c>
      <c r="P2735" s="5" t="s">
        <v>12589</v>
      </c>
      <c r="Q2735" s="15"/>
      <c r="R2735" s="16" t="s">
        <v>28</v>
      </c>
      <c r="S2735" s="15"/>
      <c r="T2735" s="15"/>
      <c r="U2735" s="15"/>
      <c r="V2735" s="15"/>
      <c r="W2735" s="15"/>
      <c r="X2735" s="15"/>
      <c r="Y2735" s="15"/>
      <c r="Z2735" s="15"/>
      <c r="AA2735" s="15"/>
    </row>
    <row r="2736">
      <c r="A2736" s="5" t="s">
        <v>12568</v>
      </c>
      <c r="B2736" s="131" t="s">
        <v>12590</v>
      </c>
      <c r="C2736" s="371" t="s">
        <v>12591</v>
      </c>
      <c r="D2736" s="11"/>
      <c r="E2736" s="11" t="s">
        <v>12592</v>
      </c>
      <c r="F2736" s="90" t="s">
        <v>12247</v>
      </c>
      <c r="G2736" s="318" t="s">
        <v>12593</v>
      </c>
      <c r="H2736" s="11" t="s">
        <v>12587</v>
      </c>
      <c r="I2736" s="276">
        <v>9.870274046E9</v>
      </c>
      <c r="J2736" s="11" t="s">
        <v>11751</v>
      </c>
      <c r="K2736" s="12"/>
      <c r="L2736" s="13"/>
      <c r="M2736" s="11" t="s">
        <v>12594</v>
      </c>
      <c r="N2736" s="5" t="s">
        <v>12595</v>
      </c>
      <c r="O2736" s="5" t="s">
        <v>108</v>
      </c>
      <c r="P2736" s="15"/>
      <c r="Q2736" s="15"/>
      <c r="R2736" s="16" t="s">
        <v>634</v>
      </c>
      <c r="S2736" s="15"/>
      <c r="T2736" s="15"/>
      <c r="U2736" s="15"/>
      <c r="V2736" s="15"/>
      <c r="W2736" s="15"/>
      <c r="X2736" s="15"/>
      <c r="Y2736" s="15"/>
      <c r="Z2736" s="15"/>
      <c r="AA2736" s="15"/>
    </row>
    <row r="2737">
      <c r="A2737" s="5" t="s">
        <v>12568</v>
      </c>
      <c r="B2737" s="131" t="s">
        <v>12596</v>
      </c>
      <c r="C2737" s="371" t="s">
        <v>12597</v>
      </c>
      <c r="D2737" s="11"/>
      <c r="E2737" s="11" t="s">
        <v>12598</v>
      </c>
      <c r="F2737" s="90" t="s">
        <v>12296</v>
      </c>
      <c r="G2737" s="318" t="s">
        <v>12599</v>
      </c>
      <c r="H2737" s="11" t="s">
        <v>44</v>
      </c>
      <c r="I2737" s="276">
        <v>9.064949364E9</v>
      </c>
      <c r="J2737" s="366" t="s">
        <v>7109</v>
      </c>
      <c r="K2737" s="12" t="s">
        <v>12600</v>
      </c>
      <c r="L2737" s="13"/>
      <c r="M2737" s="11" t="s">
        <v>12601</v>
      </c>
      <c r="N2737" s="5" t="s">
        <v>12602</v>
      </c>
      <c r="O2737" s="5" t="s">
        <v>34</v>
      </c>
      <c r="P2737" s="11" t="s">
        <v>12603</v>
      </c>
      <c r="Q2737" s="5" t="s">
        <v>777</v>
      </c>
      <c r="R2737" s="16" t="s">
        <v>723</v>
      </c>
      <c r="S2737" s="15"/>
      <c r="T2737" s="15"/>
      <c r="U2737" s="15"/>
      <c r="V2737" s="15"/>
      <c r="W2737" s="15"/>
      <c r="X2737" s="15"/>
      <c r="Y2737" s="15"/>
      <c r="Z2737" s="15"/>
      <c r="AA2737" s="15"/>
    </row>
    <row r="2738">
      <c r="A2738" s="5" t="s">
        <v>12568</v>
      </c>
      <c r="B2738" s="131" t="s">
        <v>12604</v>
      </c>
      <c r="C2738" s="371" t="s">
        <v>12605</v>
      </c>
      <c r="D2738" s="11"/>
      <c r="E2738" s="11" t="s">
        <v>10426</v>
      </c>
      <c r="F2738" s="90" t="s">
        <v>12247</v>
      </c>
      <c r="G2738" s="318" t="s">
        <v>12606</v>
      </c>
      <c r="H2738" s="11" t="s">
        <v>12607</v>
      </c>
      <c r="I2738" s="276">
        <v>9.624133868E9</v>
      </c>
      <c r="J2738" s="11" t="s">
        <v>12608</v>
      </c>
      <c r="K2738" s="12"/>
      <c r="L2738" s="12">
        <v>65.0</v>
      </c>
      <c r="M2738" s="11" t="s">
        <v>12609</v>
      </c>
      <c r="N2738" s="5" t="s">
        <v>12610</v>
      </c>
      <c r="O2738" s="5" t="s">
        <v>108</v>
      </c>
      <c r="P2738" s="5" t="s">
        <v>12611</v>
      </c>
      <c r="Q2738" s="15"/>
      <c r="R2738" s="16" t="s">
        <v>634</v>
      </c>
      <c r="S2738" s="15"/>
      <c r="T2738" s="15"/>
      <c r="U2738" s="15"/>
      <c r="V2738" s="15"/>
      <c r="W2738" s="15"/>
      <c r="X2738" s="15"/>
      <c r="Y2738" s="15"/>
      <c r="Z2738" s="15"/>
      <c r="AA2738" s="15"/>
    </row>
    <row r="2739">
      <c r="A2739" s="5" t="s">
        <v>12568</v>
      </c>
      <c r="B2739" s="131" t="s">
        <v>12612</v>
      </c>
      <c r="C2739" s="62" t="s">
        <v>12613</v>
      </c>
      <c r="D2739" s="262"/>
      <c r="E2739" s="262" t="s">
        <v>178</v>
      </c>
      <c r="F2739" s="90" t="s">
        <v>12320</v>
      </c>
      <c r="G2739" s="318" t="s">
        <v>8303</v>
      </c>
      <c r="H2739" s="97" t="s">
        <v>12614</v>
      </c>
      <c r="I2739" s="276">
        <v>9.051398102E9</v>
      </c>
      <c r="J2739" s="11" t="s">
        <v>12259</v>
      </c>
      <c r="K2739" s="12" t="s">
        <v>8542</v>
      </c>
      <c r="L2739" s="13"/>
      <c r="M2739" s="11" t="s">
        <v>7965</v>
      </c>
      <c r="N2739" s="5" t="s">
        <v>12615</v>
      </c>
      <c r="O2739" s="5" t="s">
        <v>26</v>
      </c>
      <c r="P2739" s="5" t="s">
        <v>12616</v>
      </c>
      <c r="Q2739" s="15"/>
      <c r="R2739" s="16" t="s">
        <v>634</v>
      </c>
      <c r="S2739" s="15"/>
      <c r="T2739" s="15"/>
      <c r="U2739" s="15"/>
      <c r="V2739" s="15"/>
      <c r="W2739" s="15"/>
      <c r="X2739" s="15"/>
      <c r="Y2739" s="15"/>
      <c r="Z2739" s="15"/>
      <c r="AA2739" s="15"/>
    </row>
    <row r="2740">
      <c r="A2740" s="5" t="s">
        <v>12568</v>
      </c>
      <c r="B2740" s="131" t="s">
        <v>12617</v>
      </c>
      <c r="C2740" s="371" t="s">
        <v>12618</v>
      </c>
      <c r="D2740" s="366"/>
      <c r="E2740" s="366" t="s">
        <v>12619</v>
      </c>
      <c r="F2740" s="90" t="s">
        <v>12296</v>
      </c>
      <c r="G2740" s="318" t="s">
        <v>12620</v>
      </c>
      <c r="H2740" s="11" t="s">
        <v>12621</v>
      </c>
      <c r="I2740" s="276">
        <v>9.836387893E9</v>
      </c>
      <c r="J2740" s="11" t="s">
        <v>4008</v>
      </c>
      <c r="K2740" s="12" t="s">
        <v>8542</v>
      </c>
      <c r="L2740" s="12" t="s">
        <v>8754</v>
      </c>
      <c r="M2740" s="11" t="s">
        <v>7965</v>
      </c>
      <c r="N2740" s="5" t="s">
        <v>12622</v>
      </c>
      <c r="O2740" s="5" t="s">
        <v>26</v>
      </c>
      <c r="P2740" s="284" t="s">
        <v>12623</v>
      </c>
      <c r="Q2740" s="15"/>
      <c r="R2740" s="16" t="s">
        <v>634</v>
      </c>
      <c r="S2740" s="15"/>
      <c r="T2740" s="15"/>
      <c r="U2740" s="15"/>
      <c r="V2740" s="15"/>
      <c r="W2740" s="15"/>
      <c r="X2740" s="15"/>
      <c r="Y2740" s="15"/>
      <c r="Z2740" s="15"/>
      <c r="AA2740" s="15"/>
    </row>
    <row r="2741">
      <c r="A2741" s="5" t="s">
        <v>12568</v>
      </c>
      <c r="B2741" s="131" t="s">
        <v>12624</v>
      </c>
      <c r="C2741" s="371" t="s">
        <v>12625</v>
      </c>
      <c r="D2741" s="11"/>
      <c r="E2741" s="11" t="s">
        <v>6719</v>
      </c>
      <c r="F2741" s="90" t="s">
        <v>12626</v>
      </c>
      <c r="G2741" s="318" t="s">
        <v>12627</v>
      </c>
      <c r="H2741" s="11" t="s">
        <v>12249</v>
      </c>
      <c r="I2741" s="276">
        <v>8.145044094E9</v>
      </c>
      <c r="J2741" s="11" t="s">
        <v>7109</v>
      </c>
      <c r="K2741" s="12" t="s">
        <v>8677</v>
      </c>
      <c r="L2741" s="13"/>
      <c r="M2741" s="14"/>
      <c r="N2741" s="15"/>
      <c r="O2741" s="5" t="s">
        <v>26</v>
      </c>
      <c r="P2741" s="15"/>
      <c r="Q2741" s="15"/>
      <c r="R2741" s="16" t="s">
        <v>28</v>
      </c>
      <c r="S2741" s="15"/>
      <c r="T2741" s="15"/>
      <c r="U2741" s="15"/>
      <c r="V2741" s="15"/>
      <c r="W2741" s="15"/>
      <c r="X2741" s="15"/>
      <c r="Y2741" s="15"/>
      <c r="Z2741" s="15"/>
      <c r="AA2741" s="15"/>
    </row>
    <row r="2742">
      <c r="A2742" s="5" t="s">
        <v>12568</v>
      </c>
      <c r="B2742" s="131" t="s">
        <v>12628</v>
      </c>
      <c r="C2742" s="62" t="s">
        <v>12629</v>
      </c>
      <c r="D2742" s="262"/>
      <c r="E2742" s="262" t="s">
        <v>22</v>
      </c>
      <c r="F2742" s="90" t="s">
        <v>12247</v>
      </c>
      <c r="G2742" s="318" t="s">
        <v>12630</v>
      </c>
      <c r="H2742" s="11" t="s">
        <v>12631</v>
      </c>
      <c r="I2742" s="276">
        <v>8.918883791E9</v>
      </c>
      <c r="J2742" s="11" t="s">
        <v>12632</v>
      </c>
      <c r="K2742" s="12" t="s">
        <v>9222</v>
      </c>
      <c r="L2742" s="13"/>
      <c r="M2742" s="11" t="s">
        <v>10721</v>
      </c>
      <c r="N2742" s="5" t="s">
        <v>12633</v>
      </c>
      <c r="O2742" s="5" t="s">
        <v>26</v>
      </c>
      <c r="P2742" s="284" t="s">
        <v>12634</v>
      </c>
      <c r="Q2742" s="15"/>
      <c r="R2742" s="16" t="s">
        <v>634</v>
      </c>
      <c r="S2742" s="15"/>
      <c r="T2742" s="15"/>
      <c r="U2742" s="15"/>
      <c r="V2742" s="15"/>
      <c r="W2742" s="15"/>
      <c r="X2742" s="15"/>
      <c r="Y2742" s="15"/>
      <c r="Z2742" s="15"/>
      <c r="AA2742" s="15"/>
    </row>
    <row r="2743">
      <c r="A2743" s="5" t="s">
        <v>12635</v>
      </c>
      <c r="B2743" s="131" t="s">
        <v>12636</v>
      </c>
      <c r="C2743" s="371" t="s">
        <v>12637</v>
      </c>
      <c r="D2743" s="262"/>
      <c r="E2743" s="262" t="s">
        <v>1717</v>
      </c>
      <c r="F2743" s="90" t="s">
        <v>12386</v>
      </c>
      <c r="G2743" s="321"/>
      <c r="H2743" s="11" t="s">
        <v>12638</v>
      </c>
      <c r="I2743" s="276">
        <v>9.987851817E9</v>
      </c>
      <c r="J2743" s="11"/>
      <c r="K2743" s="12" t="s">
        <v>8677</v>
      </c>
      <c r="L2743" s="13"/>
      <c r="M2743" s="11" t="s">
        <v>12639</v>
      </c>
      <c r="N2743" s="15"/>
      <c r="O2743" s="5" t="s">
        <v>108</v>
      </c>
      <c r="P2743" s="5" t="s">
        <v>12640</v>
      </c>
      <c r="Q2743" s="15"/>
      <c r="R2743" s="16" t="s">
        <v>28</v>
      </c>
      <c r="S2743" s="15"/>
      <c r="T2743" s="15"/>
      <c r="U2743" s="15"/>
      <c r="V2743" s="15"/>
      <c r="W2743" s="15"/>
      <c r="X2743" s="15"/>
      <c r="Y2743" s="15"/>
      <c r="Z2743" s="15"/>
      <c r="AA2743" s="15"/>
    </row>
    <row r="2744">
      <c r="A2744" s="5" t="s">
        <v>12635</v>
      </c>
      <c r="B2744" s="131" t="s">
        <v>12641</v>
      </c>
      <c r="C2744" s="40" t="s">
        <v>11362</v>
      </c>
      <c r="D2744" s="40"/>
      <c r="E2744" s="40" t="s">
        <v>1675</v>
      </c>
      <c r="F2744" s="90" t="s">
        <v>8339</v>
      </c>
      <c r="G2744" s="321" t="s">
        <v>12642</v>
      </c>
      <c r="H2744" s="11" t="s">
        <v>2882</v>
      </c>
      <c r="I2744" s="276">
        <v>9.82007378E9</v>
      </c>
      <c r="J2744" s="11" t="s">
        <v>12643</v>
      </c>
      <c r="K2744" s="12" t="s">
        <v>12644</v>
      </c>
      <c r="L2744" s="13"/>
      <c r="M2744" s="11" t="s">
        <v>12645</v>
      </c>
      <c r="N2744" s="5" t="s">
        <v>12646</v>
      </c>
      <c r="O2744" s="5" t="s">
        <v>26</v>
      </c>
      <c r="P2744" s="5" t="s">
        <v>12647</v>
      </c>
      <c r="Q2744" s="15"/>
      <c r="R2744" s="16" t="s">
        <v>634</v>
      </c>
      <c r="S2744" s="15"/>
      <c r="T2744" s="15"/>
      <c r="U2744" s="15"/>
      <c r="V2744" s="15"/>
      <c r="W2744" s="15"/>
      <c r="X2744" s="15"/>
      <c r="Y2744" s="15"/>
      <c r="Z2744" s="15"/>
      <c r="AA2744" s="15"/>
    </row>
    <row r="2745">
      <c r="A2745" s="5" t="s">
        <v>12635</v>
      </c>
      <c r="B2745" s="131" t="s">
        <v>12648</v>
      </c>
      <c r="C2745" s="40"/>
      <c r="D2745" s="11"/>
      <c r="E2745" s="11" t="s">
        <v>222</v>
      </c>
      <c r="F2745" s="90" t="s">
        <v>12649</v>
      </c>
      <c r="G2745" s="321"/>
      <c r="H2745" s="11" t="s">
        <v>12650</v>
      </c>
      <c r="I2745" s="276">
        <v>7.79652042E9</v>
      </c>
      <c r="J2745" s="11"/>
      <c r="K2745" s="12"/>
      <c r="L2745" s="13"/>
      <c r="M2745" s="14"/>
      <c r="N2745" s="15"/>
      <c r="O2745" s="5" t="s">
        <v>108</v>
      </c>
      <c r="P2745" s="15"/>
      <c r="Q2745" s="15"/>
      <c r="R2745" s="16"/>
      <c r="S2745" s="15"/>
      <c r="T2745" s="15"/>
      <c r="U2745" s="15"/>
      <c r="V2745" s="15"/>
      <c r="W2745" s="15"/>
      <c r="X2745" s="15"/>
      <c r="Y2745" s="15"/>
      <c r="Z2745" s="15"/>
      <c r="AA2745" s="15"/>
    </row>
    <row r="2746">
      <c r="A2746" s="5" t="s">
        <v>12635</v>
      </c>
      <c r="B2746" s="131" t="s">
        <v>12651</v>
      </c>
      <c r="C2746" s="62" t="s">
        <v>12652</v>
      </c>
      <c r="D2746" s="11"/>
      <c r="E2746" s="11" t="s">
        <v>12653</v>
      </c>
      <c r="F2746" s="90" t="s">
        <v>12256</v>
      </c>
      <c r="G2746" s="321" t="s">
        <v>12654</v>
      </c>
      <c r="H2746" s="11" t="s">
        <v>12655</v>
      </c>
      <c r="I2746" s="276">
        <v>7.742402329E9</v>
      </c>
      <c r="J2746" s="11" t="s">
        <v>12656</v>
      </c>
      <c r="K2746" s="12" t="s">
        <v>8753</v>
      </c>
      <c r="L2746" s="13"/>
      <c r="M2746" s="14"/>
      <c r="N2746" s="15"/>
      <c r="O2746" s="5" t="s">
        <v>108</v>
      </c>
      <c r="P2746" s="15"/>
      <c r="Q2746" s="15"/>
      <c r="R2746" s="16" t="s">
        <v>28</v>
      </c>
      <c r="S2746" s="15"/>
      <c r="T2746" s="15"/>
      <c r="U2746" s="15"/>
      <c r="V2746" s="15"/>
      <c r="W2746" s="15"/>
      <c r="X2746" s="15"/>
      <c r="Y2746" s="15"/>
      <c r="Z2746" s="15"/>
      <c r="AA2746" s="15"/>
    </row>
    <row r="2747">
      <c r="A2747" s="5" t="s">
        <v>12635</v>
      </c>
      <c r="B2747" s="131" t="s">
        <v>12657</v>
      </c>
      <c r="C2747" s="371" t="s">
        <v>12658</v>
      </c>
      <c r="D2747" s="262"/>
      <c r="E2747" s="262" t="s">
        <v>12659</v>
      </c>
      <c r="F2747" s="90" t="s">
        <v>12205</v>
      </c>
      <c r="G2747" s="318" t="s">
        <v>12660</v>
      </c>
      <c r="H2747" s="11" t="s">
        <v>12587</v>
      </c>
      <c r="I2747" s="276">
        <v>8.668273789E9</v>
      </c>
      <c r="J2747" s="366" t="s">
        <v>12314</v>
      </c>
      <c r="K2747" s="12" t="s">
        <v>8528</v>
      </c>
      <c r="L2747" s="13"/>
      <c r="M2747" s="11" t="s">
        <v>10171</v>
      </c>
      <c r="N2747" s="5" t="s">
        <v>12661</v>
      </c>
      <c r="O2747" s="5" t="s">
        <v>108</v>
      </c>
      <c r="P2747" s="5" t="s">
        <v>12662</v>
      </c>
      <c r="Q2747" s="15"/>
      <c r="R2747" s="16" t="s">
        <v>634</v>
      </c>
      <c r="S2747" s="15"/>
      <c r="T2747" s="15"/>
      <c r="U2747" s="15"/>
      <c r="V2747" s="15"/>
      <c r="W2747" s="15"/>
      <c r="X2747" s="15"/>
      <c r="Y2747" s="15"/>
      <c r="Z2747" s="15"/>
      <c r="AA2747" s="15"/>
    </row>
    <row r="2748">
      <c r="A2748" s="5" t="s">
        <v>12635</v>
      </c>
      <c r="B2748" s="131" t="s">
        <v>12663</v>
      </c>
      <c r="C2748" s="371" t="s">
        <v>12664</v>
      </c>
      <c r="D2748" s="262"/>
      <c r="E2748" s="262" t="s">
        <v>12665</v>
      </c>
      <c r="F2748" s="90" t="s">
        <v>12666</v>
      </c>
      <c r="G2748" s="318" t="s">
        <v>12667</v>
      </c>
      <c r="H2748" s="97" t="s">
        <v>3090</v>
      </c>
      <c r="I2748" s="276">
        <v>9.830391481E9</v>
      </c>
      <c r="J2748" s="377" t="s">
        <v>25</v>
      </c>
      <c r="K2748" s="12"/>
      <c r="L2748" s="13"/>
      <c r="M2748" s="14"/>
      <c r="N2748" s="15"/>
      <c r="O2748" s="5" t="s">
        <v>26</v>
      </c>
      <c r="P2748" s="15"/>
      <c r="Q2748" s="15"/>
      <c r="R2748" s="16" t="s">
        <v>28</v>
      </c>
      <c r="S2748" s="15"/>
      <c r="T2748" s="15"/>
      <c r="U2748" s="15"/>
      <c r="V2748" s="15"/>
      <c r="W2748" s="15"/>
      <c r="X2748" s="15"/>
      <c r="Y2748" s="15"/>
      <c r="Z2748" s="15"/>
      <c r="AA2748" s="15"/>
    </row>
    <row r="2749">
      <c r="A2749" s="5" t="s">
        <v>12635</v>
      </c>
      <c r="B2749" s="131" t="s">
        <v>12668</v>
      </c>
      <c r="C2749" s="371" t="s">
        <v>12669</v>
      </c>
      <c r="D2749" s="262"/>
      <c r="E2749" s="262" t="s">
        <v>189</v>
      </c>
      <c r="F2749" s="90" t="s">
        <v>12312</v>
      </c>
      <c r="G2749" s="366" t="s">
        <v>12670</v>
      </c>
      <c r="H2749" s="366" t="s">
        <v>12671</v>
      </c>
      <c r="I2749" s="276">
        <v>7.8648356E9</v>
      </c>
      <c r="J2749" s="377" t="s">
        <v>12672</v>
      </c>
      <c r="K2749" s="12"/>
      <c r="L2749" s="12">
        <v>7.5</v>
      </c>
      <c r="M2749" s="11" t="s">
        <v>12673</v>
      </c>
      <c r="N2749" s="5" t="s">
        <v>12674</v>
      </c>
      <c r="O2749" s="5" t="s">
        <v>26</v>
      </c>
      <c r="P2749" s="284" t="s">
        <v>12675</v>
      </c>
      <c r="Q2749" s="15"/>
      <c r="R2749" s="16" t="s">
        <v>634</v>
      </c>
      <c r="S2749" s="15"/>
      <c r="T2749" s="15"/>
      <c r="U2749" s="15"/>
      <c r="V2749" s="15"/>
      <c r="W2749" s="15"/>
      <c r="X2749" s="15"/>
      <c r="Y2749" s="15"/>
      <c r="Z2749" s="15"/>
      <c r="AA2749" s="15"/>
    </row>
    <row r="2750" ht="24.75" customHeight="1">
      <c r="A2750" s="5" t="s">
        <v>12635</v>
      </c>
      <c r="B2750" s="131" t="s">
        <v>12676</v>
      </c>
      <c r="C2750" s="371" t="s">
        <v>12677</v>
      </c>
      <c r="D2750" s="262"/>
      <c r="E2750" s="262" t="s">
        <v>222</v>
      </c>
      <c r="F2750" s="90" t="s">
        <v>12678</v>
      </c>
      <c r="G2750" s="318" t="s">
        <v>12679</v>
      </c>
      <c r="H2750" s="97" t="s">
        <v>12680</v>
      </c>
      <c r="I2750" s="276">
        <v>7.893120782E9</v>
      </c>
      <c r="J2750" s="41" t="s">
        <v>25</v>
      </c>
      <c r="K2750" s="12" t="s">
        <v>12681</v>
      </c>
      <c r="L2750" s="13"/>
      <c r="M2750" s="11" t="s">
        <v>12682</v>
      </c>
      <c r="N2750" s="5" t="s">
        <v>12683</v>
      </c>
      <c r="O2750" s="5" t="s">
        <v>26</v>
      </c>
      <c r="P2750" s="284" t="s">
        <v>12684</v>
      </c>
      <c r="Q2750" s="5" t="s">
        <v>12685</v>
      </c>
      <c r="R2750" s="16" t="s">
        <v>723</v>
      </c>
      <c r="S2750" s="5"/>
      <c r="T2750" s="15"/>
      <c r="U2750" s="15"/>
      <c r="V2750" s="15"/>
      <c r="W2750" s="15"/>
      <c r="X2750" s="15"/>
      <c r="Y2750" s="15"/>
      <c r="Z2750" s="15"/>
      <c r="AA2750" s="15"/>
    </row>
    <row r="2751">
      <c r="A2751" s="5" t="s">
        <v>12635</v>
      </c>
      <c r="B2751" s="131" t="s">
        <v>12686</v>
      </c>
      <c r="C2751" s="371" t="s">
        <v>12687</v>
      </c>
      <c r="D2751" s="262"/>
      <c r="E2751" s="262" t="s">
        <v>12688</v>
      </c>
      <c r="F2751" s="90" t="s">
        <v>12247</v>
      </c>
      <c r="G2751" s="318" t="s">
        <v>12689</v>
      </c>
      <c r="H2751" s="11" t="s">
        <v>12690</v>
      </c>
      <c r="I2751" s="276">
        <v>9.154141504E9</v>
      </c>
      <c r="J2751" s="366" t="s">
        <v>12314</v>
      </c>
      <c r="K2751" s="12"/>
      <c r="L2751" s="13"/>
      <c r="M2751" s="14"/>
      <c r="N2751" s="15"/>
      <c r="O2751" s="5" t="s">
        <v>26</v>
      </c>
      <c r="P2751" s="15"/>
      <c r="Q2751" s="15"/>
      <c r="R2751" s="16" t="s">
        <v>28</v>
      </c>
      <c r="S2751" s="15"/>
      <c r="T2751" s="15"/>
      <c r="U2751" s="15"/>
      <c r="V2751" s="15"/>
      <c r="W2751" s="15"/>
      <c r="X2751" s="15"/>
      <c r="Y2751" s="15"/>
      <c r="Z2751" s="15"/>
      <c r="AA2751" s="15"/>
    </row>
    <row r="2752" ht="27.0" customHeight="1">
      <c r="A2752" s="378" t="s">
        <v>12635</v>
      </c>
      <c r="B2752" s="379" t="s">
        <v>12691</v>
      </c>
      <c r="C2752" s="380" t="s">
        <v>12692</v>
      </c>
      <c r="D2752" s="380"/>
      <c r="E2752" s="380" t="s">
        <v>178</v>
      </c>
      <c r="F2752" s="12" t="s">
        <v>12306</v>
      </c>
      <c r="G2752" s="381" t="s">
        <v>12693</v>
      </c>
      <c r="H2752" s="12" t="s">
        <v>12694</v>
      </c>
      <c r="I2752" s="378">
        <v>9.681350688E9</v>
      </c>
      <c r="J2752" s="12" t="s">
        <v>4008</v>
      </c>
      <c r="K2752" s="12"/>
      <c r="L2752" s="12" t="s">
        <v>12695</v>
      </c>
      <c r="M2752" s="12" t="s">
        <v>12696</v>
      </c>
      <c r="N2752" s="378" t="s">
        <v>12697</v>
      </c>
      <c r="O2752" s="378" t="s">
        <v>26</v>
      </c>
      <c r="P2752" s="382" t="s">
        <v>12698</v>
      </c>
      <c r="Q2752" s="383"/>
      <c r="R2752" s="16" t="s">
        <v>634</v>
      </c>
      <c r="S2752" s="383"/>
      <c r="T2752" s="15"/>
      <c r="U2752" s="15"/>
      <c r="V2752" s="15"/>
      <c r="W2752" s="15"/>
      <c r="X2752" s="15"/>
      <c r="Y2752" s="15"/>
      <c r="Z2752" s="15"/>
      <c r="AA2752" s="15"/>
    </row>
    <row r="2753">
      <c r="A2753" s="5" t="s">
        <v>12635</v>
      </c>
      <c r="B2753" s="131" t="s">
        <v>12699</v>
      </c>
      <c r="C2753" s="62" t="s">
        <v>12700</v>
      </c>
      <c r="D2753" s="11"/>
      <c r="E2753" s="11" t="s">
        <v>167</v>
      </c>
      <c r="F2753" s="90" t="s">
        <v>12247</v>
      </c>
      <c r="G2753" s="318" t="s">
        <v>12701</v>
      </c>
      <c r="H2753" s="216" t="s">
        <v>12702</v>
      </c>
      <c r="I2753" s="276">
        <v>9.86720415E9</v>
      </c>
      <c r="J2753" s="11" t="s">
        <v>7109</v>
      </c>
      <c r="K2753" s="12"/>
      <c r="L2753" s="13"/>
      <c r="M2753" s="11" t="s">
        <v>12703</v>
      </c>
      <c r="N2753" s="5" t="s">
        <v>12704</v>
      </c>
      <c r="O2753" s="5" t="s">
        <v>108</v>
      </c>
      <c r="P2753" s="15"/>
      <c r="Q2753" s="15"/>
      <c r="R2753" s="16" t="s">
        <v>634</v>
      </c>
      <c r="S2753" s="15"/>
      <c r="T2753" s="15"/>
      <c r="U2753" s="15"/>
      <c r="V2753" s="15"/>
      <c r="W2753" s="15"/>
      <c r="X2753" s="15"/>
      <c r="Y2753" s="15"/>
      <c r="Z2753" s="15"/>
      <c r="AA2753" s="15"/>
    </row>
    <row r="2754">
      <c r="A2754" s="5" t="s">
        <v>12635</v>
      </c>
      <c r="B2754" s="131" t="s">
        <v>12705</v>
      </c>
      <c r="C2754" s="371" t="s">
        <v>12706</v>
      </c>
      <c r="D2754" s="262"/>
      <c r="E2754" s="262" t="s">
        <v>12707</v>
      </c>
      <c r="F2754" s="90" t="s">
        <v>12256</v>
      </c>
      <c r="G2754" s="318" t="s">
        <v>12708</v>
      </c>
      <c r="H2754" s="11" t="s">
        <v>12709</v>
      </c>
      <c r="I2754" s="276">
        <v>8.511102536E9</v>
      </c>
      <c r="J2754" s="11" t="s">
        <v>7109</v>
      </c>
      <c r="K2754" s="12"/>
      <c r="L2754" s="13"/>
      <c r="M2754" s="11" t="s">
        <v>12710</v>
      </c>
      <c r="N2754" s="5" t="s">
        <v>12711</v>
      </c>
      <c r="O2754" s="5" t="s">
        <v>108</v>
      </c>
      <c r="P2754" s="5" t="s">
        <v>12712</v>
      </c>
      <c r="Q2754" s="15"/>
      <c r="R2754" s="16" t="s">
        <v>634</v>
      </c>
      <c r="S2754" s="15"/>
      <c r="T2754" s="15"/>
      <c r="U2754" s="15"/>
      <c r="V2754" s="15"/>
      <c r="W2754" s="15"/>
      <c r="X2754" s="15"/>
      <c r="Y2754" s="15"/>
      <c r="Z2754" s="15"/>
      <c r="AA2754" s="15"/>
    </row>
    <row r="2755">
      <c r="A2755" s="5" t="s">
        <v>12713</v>
      </c>
      <c r="B2755" s="131" t="s">
        <v>12714</v>
      </c>
      <c r="C2755" s="371" t="s">
        <v>12715</v>
      </c>
      <c r="D2755" s="97"/>
      <c r="E2755" s="97" t="s">
        <v>12716</v>
      </c>
      <c r="F2755" s="90" t="s">
        <v>12228</v>
      </c>
      <c r="G2755" s="318" t="s">
        <v>12717</v>
      </c>
      <c r="H2755" s="11" t="s">
        <v>44</v>
      </c>
      <c r="I2755" s="276">
        <v>9.007735603E9</v>
      </c>
      <c r="J2755" s="377" t="s">
        <v>12718</v>
      </c>
      <c r="K2755" s="12"/>
      <c r="L2755" s="13"/>
      <c r="M2755" s="14"/>
      <c r="N2755" s="15"/>
      <c r="O2755" s="5" t="s">
        <v>26</v>
      </c>
      <c r="P2755" s="15"/>
      <c r="Q2755" s="15"/>
      <c r="R2755" s="16" t="s">
        <v>28</v>
      </c>
      <c r="S2755" s="15"/>
      <c r="T2755" s="15"/>
      <c r="U2755" s="15"/>
      <c r="V2755" s="15"/>
      <c r="W2755" s="15"/>
      <c r="X2755" s="15"/>
      <c r="Y2755" s="15"/>
      <c r="Z2755" s="15"/>
      <c r="AA2755" s="15"/>
    </row>
    <row r="2756">
      <c r="A2756" s="5" t="s">
        <v>12713</v>
      </c>
      <c r="B2756" s="131" t="s">
        <v>12719</v>
      </c>
      <c r="C2756" s="371" t="s">
        <v>12720</v>
      </c>
      <c r="D2756" s="11"/>
      <c r="E2756" s="11" t="s">
        <v>12721</v>
      </c>
      <c r="F2756" s="90" t="s">
        <v>12722</v>
      </c>
      <c r="G2756" s="318" t="s">
        <v>12723</v>
      </c>
      <c r="H2756" s="216" t="s">
        <v>12724</v>
      </c>
      <c r="I2756" s="276">
        <v>8.240707336E9</v>
      </c>
      <c r="J2756" s="41" t="s">
        <v>25</v>
      </c>
      <c r="K2756" s="12"/>
      <c r="L2756" s="13"/>
      <c r="M2756" s="14"/>
      <c r="N2756" s="15"/>
      <c r="O2756" s="5" t="s">
        <v>26</v>
      </c>
      <c r="P2756" s="15"/>
      <c r="Q2756" s="15"/>
      <c r="R2756" s="16" t="s">
        <v>28</v>
      </c>
      <c r="S2756" s="15"/>
      <c r="T2756" s="15"/>
      <c r="U2756" s="15"/>
      <c r="V2756" s="15"/>
      <c r="W2756" s="15"/>
      <c r="X2756" s="15"/>
      <c r="Y2756" s="15"/>
      <c r="Z2756" s="15"/>
      <c r="AA2756" s="15"/>
    </row>
    <row r="2757">
      <c r="A2757" s="5" t="s">
        <v>12713</v>
      </c>
      <c r="B2757" s="131" t="s">
        <v>12725</v>
      </c>
      <c r="C2757" s="40" t="s">
        <v>12726</v>
      </c>
      <c r="D2757" s="11"/>
      <c r="E2757" s="11" t="s">
        <v>841</v>
      </c>
      <c r="F2757" s="90" t="s">
        <v>12205</v>
      </c>
      <c r="G2757" s="318" t="s">
        <v>12727</v>
      </c>
      <c r="H2757" s="11" t="s">
        <v>12728</v>
      </c>
      <c r="I2757" s="276">
        <v>9.831222447E9</v>
      </c>
      <c r="J2757" s="11" t="s">
        <v>4008</v>
      </c>
      <c r="K2757" s="12"/>
      <c r="L2757" s="12">
        <v>6.0</v>
      </c>
      <c r="M2757" s="11" t="s">
        <v>9901</v>
      </c>
      <c r="N2757" s="5" t="s">
        <v>12729</v>
      </c>
      <c r="O2757" s="5" t="s">
        <v>26</v>
      </c>
      <c r="P2757" s="5" t="s">
        <v>453</v>
      </c>
      <c r="Q2757" s="15"/>
      <c r="R2757" s="16" t="s">
        <v>634</v>
      </c>
      <c r="S2757" s="15"/>
      <c r="T2757" s="15"/>
      <c r="U2757" s="15"/>
      <c r="V2757" s="15"/>
      <c r="W2757" s="15"/>
      <c r="X2757" s="15"/>
      <c r="Y2757" s="15"/>
      <c r="Z2757" s="15"/>
      <c r="AA2757" s="15"/>
    </row>
    <row r="2758">
      <c r="A2758" s="5" t="s">
        <v>12713</v>
      </c>
      <c r="B2758" s="131" t="s">
        <v>12730</v>
      </c>
      <c r="C2758" s="40" t="s">
        <v>12731</v>
      </c>
      <c r="D2758" s="11"/>
      <c r="E2758" s="11" t="s">
        <v>12732</v>
      </c>
      <c r="F2758" s="90" t="s">
        <v>12733</v>
      </c>
      <c r="G2758" s="321" t="s">
        <v>12734</v>
      </c>
      <c r="H2758" s="11" t="s">
        <v>131</v>
      </c>
      <c r="I2758" s="276">
        <v>8.76190065E9</v>
      </c>
      <c r="J2758" s="11"/>
      <c r="K2758" s="12"/>
      <c r="L2758" s="13"/>
      <c r="M2758" s="14"/>
      <c r="N2758" s="15"/>
      <c r="O2758" s="5" t="s">
        <v>26</v>
      </c>
      <c r="P2758" s="15"/>
      <c r="Q2758" s="15"/>
      <c r="R2758" s="16" t="s">
        <v>28</v>
      </c>
      <c r="S2758" s="15"/>
      <c r="T2758" s="15"/>
      <c r="U2758" s="15"/>
      <c r="V2758" s="15"/>
      <c r="W2758" s="15"/>
      <c r="X2758" s="15"/>
      <c r="Y2758" s="15"/>
      <c r="Z2758" s="15"/>
      <c r="AA2758" s="15"/>
    </row>
    <row r="2759">
      <c r="A2759" s="5" t="s">
        <v>12713</v>
      </c>
      <c r="B2759" s="131" t="s">
        <v>12735</v>
      </c>
      <c r="C2759" s="371" t="s">
        <v>12736</v>
      </c>
      <c r="D2759" s="262"/>
      <c r="E2759" s="262" t="s">
        <v>167</v>
      </c>
      <c r="F2759" s="90" t="s">
        <v>12205</v>
      </c>
      <c r="G2759" s="369" t="s">
        <v>12737</v>
      </c>
      <c r="H2759" s="11" t="s">
        <v>12587</v>
      </c>
      <c r="I2759" s="276">
        <v>9.372636314E9</v>
      </c>
      <c r="J2759" s="11" t="s">
        <v>12738</v>
      </c>
      <c r="K2759" s="12" t="s">
        <v>11104</v>
      </c>
      <c r="L2759" s="13"/>
      <c r="M2759" s="11" t="s">
        <v>9983</v>
      </c>
      <c r="N2759" s="5" t="s">
        <v>12739</v>
      </c>
      <c r="O2759" s="5" t="s">
        <v>108</v>
      </c>
      <c r="P2759" s="5" t="s">
        <v>12740</v>
      </c>
      <c r="Q2759" s="15"/>
      <c r="R2759" s="16" t="s">
        <v>634</v>
      </c>
      <c r="S2759" s="15"/>
      <c r="T2759" s="15"/>
      <c r="U2759" s="15"/>
      <c r="V2759" s="15"/>
      <c r="W2759" s="15"/>
      <c r="X2759" s="15"/>
      <c r="Y2759" s="15"/>
      <c r="Z2759" s="15"/>
      <c r="AA2759" s="15"/>
    </row>
    <row r="2760">
      <c r="A2760" s="5" t="s">
        <v>12713</v>
      </c>
      <c r="B2760" s="131" t="s">
        <v>12741</v>
      </c>
      <c r="C2760" s="371" t="s">
        <v>12742</v>
      </c>
      <c r="D2760" s="262"/>
      <c r="E2760" s="262" t="s">
        <v>152</v>
      </c>
      <c r="F2760" s="90" t="s">
        <v>12247</v>
      </c>
      <c r="G2760" s="318" t="s">
        <v>12743</v>
      </c>
      <c r="H2760" s="11" t="s">
        <v>12744</v>
      </c>
      <c r="I2760" s="276">
        <v>9.702460925E9</v>
      </c>
      <c r="J2760" s="11" t="s">
        <v>12745</v>
      </c>
      <c r="K2760" s="12" t="s">
        <v>2980</v>
      </c>
      <c r="L2760" s="13"/>
      <c r="M2760" s="11" t="s">
        <v>9776</v>
      </c>
      <c r="N2760" s="5" t="s">
        <v>12746</v>
      </c>
      <c r="O2760" s="5" t="s">
        <v>34</v>
      </c>
      <c r="P2760" s="5" t="s">
        <v>921</v>
      </c>
      <c r="Q2760" s="5" t="s">
        <v>921</v>
      </c>
      <c r="R2760" s="16" t="s">
        <v>723</v>
      </c>
      <c r="S2760" s="15"/>
      <c r="T2760" s="15"/>
      <c r="U2760" s="15"/>
      <c r="V2760" s="15"/>
      <c r="W2760" s="15"/>
      <c r="X2760" s="15"/>
      <c r="Y2760" s="15"/>
      <c r="Z2760" s="15"/>
      <c r="AA2760" s="15"/>
    </row>
    <row r="2761">
      <c r="A2761" s="5" t="s">
        <v>12713</v>
      </c>
      <c r="B2761" s="131" t="s">
        <v>12747</v>
      </c>
      <c r="C2761" s="371" t="s">
        <v>12748</v>
      </c>
      <c r="D2761" s="262"/>
      <c r="E2761" s="262" t="s">
        <v>22</v>
      </c>
      <c r="F2761" s="90" t="s">
        <v>12749</v>
      </c>
      <c r="G2761" s="318" t="s">
        <v>12750</v>
      </c>
      <c r="H2761" s="11" t="s">
        <v>12751</v>
      </c>
      <c r="I2761" s="276">
        <v>9.344550522E9</v>
      </c>
      <c r="J2761" s="11" t="s">
        <v>12632</v>
      </c>
      <c r="K2761" s="12"/>
      <c r="L2761" s="12" t="s">
        <v>12752</v>
      </c>
      <c r="M2761" s="11" t="s">
        <v>10171</v>
      </c>
      <c r="N2761" s="5" t="s">
        <v>12753</v>
      </c>
      <c r="O2761" s="5" t="s">
        <v>108</v>
      </c>
      <c r="P2761" s="15"/>
      <c r="Q2761" s="15"/>
      <c r="R2761" s="16" t="s">
        <v>634</v>
      </c>
      <c r="S2761" s="15"/>
      <c r="T2761" s="15"/>
      <c r="U2761" s="15"/>
      <c r="V2761" s="15"/>
      <c r="W2761" s="15"/>
      <c r="X2761" s="15"/>
      <c r="Y2761" s="15"/>
      <c r="Z2761" s="15"/>
      <c r="AA2761" s="15"/>
    </row>
    <row r="2762">
      <c r="A2762" s="5" t="s">
        <v>12713</v>
      </c>
      <c r="B2762" s="131" t="s">
        <v>12754</v>
      </c>
      <c r="C2762" s="62" t="s">
        <v>12755</v>
      </c>
      <c r="D2762" s="11"/>
      <c r="E2762" s="11" t="s">
        <v>12756</v>
      </c>
      <c r="F2762" s="90" t="s">
        <v>12256</v>
      </c>
      <c r="G2762" s="318" t="s">
        <v>12757</v>
      </c>
      <c r="H2762" s="11" t="s">
        <v>11267</v>
      </c>
      <c r="I2762" s="276">
        <v>9.830140313E9</v>
      </c>
      <c r="J2762" s="11" t="s">
        <v>4008</v>
      </c>
      <c r="K2762" s="12" t="s">
        <v>12758</v>
      </c>
      <c r="L2762" s="13"/>
      <c r="M2762" s="11" t="s">
        <v>12759</v>
      </c>
      <c r="N2762" s="5" t="s">
        <v>12760</v>
      </c>
      <c r="O2762" s="5" t="s">
        <v>26</v>
      </c>
      <c r="P2762" s="5" t="s">
        <v>12761</v>
      </c>
      <c r="Q2762" s="5" t="s">
        <v>12762</v>
      </c>
      <c r="R2762" s="16" t="s">
        <v>634</v>
      </c>
      <c r="S2762" s="5"/>
      <c r="T2762" s="15"/>
      <c r="U2762" s="15"/>
      <c r="V2762" s="15"/>
      <c r="W2762" s="15"/>
      <c r="X2762" s="15"/>
      <c r="Y2762" s="15"/>
      <c r="Z2762" s="15"/>
      <c r="AA2762" s="15"/>
    </row>
    <row r="2763">
      <c r="A2763" s="5" t="s">
        <v>12713</v>
      </c>
      <c r="B2763" s="131" t="s">
        <v>12763</v>
      </c>
      <c r="C2763" s="371" t="s">
        <v>12764</v>
      </c>
      <c r="D2763" s="262"/>
      <c r="E2763" s="262" t="s">
        <v>11581</v>
      </c>
      <c r="F2763" s="90" t="s">
        <v>12765</v>
      </c>
      <c r="G2763" s="321" t="s">
        <v>12766</v>
      </c>
      <c r="H2763" s="97" t="s">
        <v>12767</v>
      </c>
      <c r="I2763" s="276">
        <v>9.775447025E9</v>
      </c>
      <c r="J2763" s="366" t="s">
        <v>3577</v>
      </c>
      <c r="K2763" s="12"/>
      <c r="L2763" s="13"/>
      <c r="M2763" s="14"/>
      <c r="N2763" s="15"/>
      <c r="O2763" s="5" t="s">
        <v>26</v>
      </c>
      <c r="P2763" s="15"/>
      <c r="Q2763" s="15"/>
      <c r="R2763" s="16" t="s">
        <v>28</v>
      </c>
      <c r="S2763" s="15"/>
      <c r="T2763" s="15"/>
      <c r="U2763" s="15"/>
      <c r="V2763" s="15"/>
      <c r="W2763" s="15"/>
      <c r="X2763" s="15"/>
      <c r="Y2763" s="15"/>
      <c r="Z2763" s="15"/>
      <c r="AA2763" s="15"/>
    </row>
    <row r="2764">
      <c r="A2764" s="5" t="s">
        <v>12713</v>
      </c>
      <c r="B2764" s="131" t="s">
        <v>12768</v>
      </c>
      <c r="C2764" s="97" t="s">
        <v>12769</v>
      </c>
      <c r="D2764" s="262"/>
      <c r="E2764" s="262" t="s">
        <v>152</v>
      </c>
      <c r="F2764" s="90" t="s">
        <v>12247</v>
      </c>
      <c r="G2764" s="318" t="s">
        <v>12770</v>
      </c>
      <c r="H2764" s="11" t="s">
        <v>12771</v>
      </c>
      <c r="I2764" s="276">
        <v>9.527082937E9</v>
      </c>
      <c r="J2764" s="11" t="s">
        <v>12745</v>
      </c>
      <c r="K2764" s="12"/>
      <c r="L2764" s="12">
        <v>23.0</v>
      </c>
      <c r="M2764" s="11" t="s">
        <v>9776</v>
      </c>
      <c r="N2764" s="5" t="s">
        <v>12772</v>
      </c>
      <c r="O2764" s="5" t="s">
        <v>34</v>
      </c>
      <c r="P2764" s="5" t="s">
        <v>921</v>
      </c>
      <c r="Q2764" s="5" t="s">
        <v>55</v>
      </c>
      <c r="R2764" s="16" t="s">
        <v>723</v>
      </c>
      <c r="S2764" s="15"/>
      <c r="T2764" s="15"/>
      <c r="U2764" s="15"/>
      <c r="V2764" s="15"/>
      <c r="W2764" s="15"/>
      <c r="X2764" s="15"/>
      <c r="Y2764" s="15"/>
      <c r="Z2764" s="15"/>
      <c r="AA2764" s="15"/>
    </row>
    <row r="2765">
      <c r="A2765" s="5" t="s">
        <v>12713</v>
      </c>
      <c r="B2765" s="131" t="s">
        <v>12773</v>
      </c>
      <c r="C2765" s="62" t="s">
        <v>12774</v>
      </c>
      <c r="D2765" s="11"/>
      <c r="E2765" s="11" t="s">
        <v>12775</v>
      </c>
      <c r="F2765" s="90" t="s">
        <v>12247</v>
      </c>
      <c r="G2765" s="318" t="s">
        <v>12776</v>
      </c>
      <c r="H2765" s="11" t="s">
        <v>12777</v>
      </c>
      <c r="I2765" s="276">
        <v>8.582999657E9</v>
      </c>
      <c r="J2765" s="11" t="s">
        <v>12778</v>
      </c>
      <c r="K2765" s="12" t="s">
        <v>2827</v>
      </c>
      <c r="L2765" s="13"/>
      <c r="M2765" s="11" t="s">
        <v>9719</v>
      </c>
      <c r="N2765" s="5" t="s">
        <v>12779</v>
      </c>
      <c r="O2765" s="5" t="s">
        <v>34</v>
      </c>
      <c r="P2765" s="5" t="s">
        <v>10824</v>
      </c>
      <c r="Q2765" s="15"/>
      <c r="R2765" s="16" t="s">
        <v>723</v>
      </c>
      <c r="S2765" s="15"/>
      <c r="T2765" s="15"/>
      <c r="U2765" s="15"/>
      <c r="V2765" s="15"/>
      <c r="W2765" s="15"/>
      <c r="X2765" s="15"/>
      <c r="Y2765" s="15"/>
      <c r="Z2765" s="15"/>
      <c r="AA2765" s="15"/>
    </row>
    <row r="2766">
      <c r="A2766" s="5" t="s">
        <v>12713</v>
      </c>
      <c r="B2766" s="131" t="s">
        <v>12780</v>
      </c>
      <c r="C2766" s="62" t="s">
        <v>12781</v>
      </c>
      <c r="D2766" s="262"/>
      <c r="E2766" s="262" t="s">
        <v>10426</v>
      </c>
      <c r="F2766" s="90" t="s">
        <v>12256</v>
      </c>
      <c r="G2766" s="318" t="s">
        <v>12782</v>
      </c>
      <c r="H2766" s="11" t="s">
        <v>906</v>
      </c>
      <c r="I2766" s="276">
        <v>9.324000504E9</v>
      </c>
      <c r="J2766" s="11" t="s">
        <v>12783</v>
      </c>
      <c r="K2766" s="12" t="s">
        <v>8753</v>
      </c>
      <c r="L2766" s="13"/>
      <c r="M2766" s="14"/>
      <c r="N2766" s="15"/>
      <c r="O2766" s="5" t="s">
        <v>108</v>
      </c>
      <c r="P2766" s="5" t="s">
        <v>12784</v>
      </c>
      <c r="Q2766" s="5" t="s">
        <v>12785</v>
      </c>
      <c r="R2766" s="16" t="s">
        <v>28</v>
      </c>
      <c r="S2766" s="5"/>
      <c r="T2766" s="15"/>
      <c r="U2766" s="15"/>
      <c r="V2766" s="15"/>
      <c r="W2766" s="15"/>
      <c r="X2766" s="15"/>
      <c r="Y2766" s="15"/>
      <c r="Z2766" s="15"/>
      <c r="AA2766" s="15"/>
    </row>
    <row r="2767">
      <c r="A2767" s="5" t="s">
        <v>12713</v>
      </c>
      <c r="B2767" s="131" t="s">
        <v>12786</v>
      </c>
      <c r="C2767" s="62" t="s">
        <v>12787</v>
      </c>
      <c r="D2767" s="262"/>
      <c r="E2767" s="262" t="s">
        <v>12788</v>
      </c>
      <c r="F2767" s="90" t="s">
        <v>12678</v>
      </c>
      <c r="G2767" s="318" t="s">
        <v>12789</v>
      </c>
      <c r="H2767" s="11" t="s">
        <v>44</v>
      </c>
      <c r="I2767" s="276">
        <v>9.903803104E9</v>
      </c>
      <c r="J2767" s="11" t="s">
        <v>12790</v>
      </c>
      <c r="K2767" s="12"/>
      <c r="L2767" s="13"/>
      <c r="M2767" s="14"/>
      <c r="N2767" s="15"/>
      <c r="O2767" s="5" t="s">
        <v>26</v>
      </c>
      <c r="P2767" s="15"/>
      <c r="Q2767" s="15"/>
      <c r="R2767" s="16" t="s">
        <v>28</v>
      </c>
      <c r="S2767" s="15"/>
      <c r="T2767" s="15"/>
      <c r="U2767" s="15"/>
      <c r="V2767" s="15"/>
      <c r="W2767" s="15"/>
      <c r="X2767" s="15"/>
      <c r="Y2767" s="15"/>
      <c r="Z2767" s="15"/>
      <c r="AA2767" s="15"/>
    </row>
    <row r="2768">
      <c r="A2768" s="5" t="s">
        <v>12791</v>
      </c>
      <c r="B2768" s="131" t="s">
        <v>12792</v>
      </c>
      <c r="C2768" s="371" t="s">
        <v>12793</v>
      </c>
      <c r="D2768" s="262"/>
      <c r="E2768" s="262" t="s">
        <v>12794</v>
      </c>
      <c r="F2768" s="90" t="s">
        <v>12205</v>
      </c>
      <c r="G2768" s="318" t="s">
        <v>12795</v>
      </c>
      <c r="H2768" s="11" t="s">
        <v>12796</v>
      </c>
      <c r="I2768" s="276">
        <v>9.101438485E9</v>
      </c>
      <c r="J2768" s="11" t="s">
        <v>12797</v>
      </c>
      <c r="K2768" s="12" t="s">
        <v>8753</v>
      </c>
      <c r="L2768" s="13"/>
      <c r="M2768" s="14"/>
      <c r="N2768" s="15"/>
      <c r="O2768" s="5" t="s">
        <v>26</v>
      </c>
      <c r="P2768" s="15"/>
      <c r="Q2768" s="15"/>
      <c r="R2768" s="16" t="s">
        <v>28</v>
      </c>
      <c r="S2768" s="15"/>
      <c r="T2768" s="15"/>
      <c r="U2768" s="15"/>
      <c r="V2768" s="15"/>
      <c r="W2768" s="15"/>
      <c r="X2768" s="15"/>
      <c r="Y2768" s="15"/>
      <c r="Z2768" s="15"/>
      <c r="AA2768" s="15"/>
    </row>
    <row r="2769">
      <c r="A2769" s="5" t="s">
        <v>12791</v>
      </c>
      <c r="B2769" s="131" t="s">
        <v>12798</v>
      </c>
      <c r="C2769" s="371" t="s">
        <v>5618</v>
      </c>
      <c r="D2769" s="262"/>
      <c r="E2769" s="262" t="s">
        <v>6027</v>
      </c>
      <c r="F2769" s="90" t="s">
        <v>12296</v>
      </c>
      <c r="G2769" s="318" t="s">
        <v>12799</v>
      </c>
      <c r="H2769" s="216" t="s">
        <v>5671</v>
      </c>
      <c r="I2769" s="276">
        <v>7.202827526E9</v>
      </c>
      <c r="J2769" s="41" t="s">
        <v>25</v>
      </c>
      <c r="K2769" s="12"/>
      <c r="L2769" s="12" t="s">
        <v>12800</v>
      </c>
      <c r="M2769" s="11" t="s">
        <v>12801</v>
      </c>
      <c r="N2769" s="5" t="s">
        <v>12802</v>
      </c>
      <c r="O2769" s="5" t="s">
        <v>108</v>
      </c>
      <c r="P2769" s="5" t="s">
        <v>12803</v>
      </c>
      <c r="Q2769" s="15"/>
      <c r="R2769" s="16" t="s">
        <v>634</v>
      </c>
      <c r="S2769" s="15"/>
      <c r="T2769" s="15"/>
      <c r="U2769" s="15"/>
      <c r="V2769" s="15"/>
      <c r="W2769" s="15"/>
      <c r="X2769" s="15"/>
      <c r="Y2769" s="15"/>
      <c r="Z2769" s="15"/>
      <c r="AA2769" s="15"/>
    </row>
    <row r="2770">
      <c r="A2770" s="5" t="s">
        <v>12791</v>
      </c>
      <c r="B2770" s="131" t="s">
        <v>12804</v>
      </c>
      <c r="C2770" s="371" t="s">
        <v>12805</v>
      </c>
      <c r="D2770" s="262"/>
      <c r="E2770" s="262" t="s">
        <v>116</v>
      </c>
      <c r="F2770" s="90" t="s">
        <v>12247</v>
      </c>
      <c r="G2770" s="318" t="s">
        <v>12806</v>
      </c>
      <c r="H2770" s="11" t="s">
        <v>12807</v>
      </c>
      <c r="I2770" s="276">
        <v>7.989259593E9</v>
      </c>
      <c r="J2770" s="11" t="s">
        <v>12808</v>
      </c>
      <c r="K2770" s="12"/>
      <c r="L2770" s="12">
        <v>83.0</v>
      </c>
      <c r="M2770" s="11" t="s">
        <v>12809</v>
      </c>
      <c r="N2770" s="5" t="s">
        <v>12810</v>
      </c>
      <c r="O2770" s="5" t="s">
        <v>108</v>
      </c>
      <c r="P2770" s="5" t="s">
        <v>12811</v>
      </c>
      <c r="Q2770" s="15"/>
      <c r="R2770" s="16" t="s">
        <v>723</v>
      </c>
      <c r="S2770" s="15"/>
      <c r="T2770" s="15"/>
      <c r="U2770" s="15"/>
      <c r="V2770" s="15"/>
      <c r="W2770" s="15"/>
      <c r="X2770" s="15"/>
      <c r="Y2770" s="15"/>
      <c r="Z2770" s="15"/>
      <c r="AA2770" s="15"/>
    </row>
    <row r="2771">
      <c r="A2771" s="5" t="s">
        <v>12791</v>
      </c>
      <c r="B2771" s="131" t="s">
        <v>12812</v>
      </c>
      <c r="C2771" s="371" t="s">
        <v>12813</v>
      </c>
      <c r="D2771" s="262"/>
      <c r="E2771" s="262" t="s">
        <v>5502</v>
      </c>
      <c r="F2771" s="90" t="s">
        <v>12814</v>
      </c>
      <c r="G2771" s="318" t="s">
        <v>12815</v>
      </c>
      <c r="H2771" s="216" t="s">
        <v>12816</v>
      </c>
      <c r="I2771" s="276">
        <v>9.545455181E9</v>
      </c>
      <c r="J2771" s="11" t="s">
        <v>12817</v>
      </c>
      <c r="K2771" s="12"/>
      <c r="L2771" s="12"/>
      <c r="M2771" s="14"/>
      <c r="N2771" s="15"/>
      <c r="O2771" s="5" t="s">
        <v>34</v>
      </c>
      <c r="P2771" s="5" t="s">
        <v>12818</v>
      </c>
      <c r="Q2771" s="15"/>
      <c r="R2771" s="16" t="s">
        <v>723</v>
      </c>
      <c r="S2771" s="15"/>
      <c r="T2771" s="15"/>
      <c r="U2771" s="15"/>
      <c r="V2771" s="15"/>
      <c r="W2771" s="15"/>
      <c r="X2771" s="15"/>
      <c r="Y2771" s="15"/>
      <c r="Z2771" s="15"/>
      <c r="AA2771" s="15"/>
    </row>
    <row r="2772">
      <c r="A2772" s="5" t="s">
        <v>12791</v>
      </c>
      <c r="B2772" s="131" t="s">
        <v>12819</v>
      </c>
      <c r="C2772" s="40" t="s">
        <v>12820</v>
      </c>
      <c r="D2772" s="262"/>
      <c r="E2772" s="262" t="s">
        <v>12821</v>
      </c>
      <c r="F2772" s="90" t="s">
        <v>12247</v>
      </c>
      <c r="G2772" s="318" t="s">
        <v>12822</v>
      </c>
      <c r="H2772" s="11" t="s">
        <v>44</v>
      </c>
      <c r="I2772" s="276">
        <v>9.7320286E9</v>
      </c>
      <c r="J2772" s="11" t="s">
        <v>12823</v>
      </c>
      <c r="K2772" s="12" t="s">
        <v>12824</v>
      </c>
      <c r="L2772" s="13"/>
      <c r="M2772" s="11" t="s">
        <v>12825</v>
      </c>
      <c r="N2772" s="5" t="s">
        <v>12826</v>
      </c>
      <c r="O2772" s="5" t="s">
        <v>34</v>
      </c>
      <c r="P2772" s="5" t="s">
        <v>727</v>
      </c>
      <c r="Q2772" s="5" t="s">
        <v>2144</v>
      </c>
      <c r="R2772" s="16" t="s">
        <v>723</v>
      </c>
      <c r="S2772" s="5"/>
      <c r="T2772" s="15"/>
      <c r="U2772" s="15"/>
      <c r="V2772" s="15"/>
      <c r="W2772" s="15"/>
      <c r="X2772" s="15"/>
      <c r="Y2772" s="15"/>
      <c r="Z2772" s="15"/>
      <c r="AA2772" s="15"/>
    </row>
    <row r="2773">
      <c r="A2773" s="5" t="s">
        <v>12791</v>
      </c>
      <c r="B2773" s="131" t="s">
        <v>12827</v>
      </c>
      <c r="C2773" s="40" t="s">
        <v>12828</v>
      </c>
      <c r="D2773" s="11"/>
      <c r="E2773" s="11" t="s">
        <v>794</v>
      </c>
      <c r="F2773" s="90" t="s">
        <v>12829</v>
      </c>
      <c r="G2773" s="318" t="s">
        <v>12830</v>
      </c>
      <c r="H2773" s="11" t="s">
        <v>44</v>
      </c>
      <c r="I2773" s="276">
        <v>9.874216936E9</v>
      </c>
      <c r="J2773" s="11" t="s">
        <v>4008</v>
      </c>
      <c r="K2773" s="12"/>
      <c r="L2773" s="12">
        <v>6.0</v>
      </c>
      <c r="M2773" s="11" t="s">
        <v>9901</v>
      </c>
      <c r="N2773" s="5" t="s">
        <v>12831</v>
      </c>
      <c r="O2773" s="5" t="s">
        <v>26</v>
      </c>
      <c r="P2773" s="5" t="s">
        <v>12832</v>
      </c>
      <c r="Q2773" s="15"/>
      <c r="R2773" s="16" t="s">
        <v>634</v>
      </c>
      <c r="S2773" s="15"/>
      <c r="T2773" s="15"/>
      <c r="U2773" s="15"/>
      <c r="V2773" s="15"/>
      <c r="W2773" s="15"/>
      <c r="X2773" s="15"/>
      <c r="Y2773" s="15"/>
      <c r="Z2773" s="15"/>
      <c r="AA2773" s="15"/>
    </row>
    <row r="2774">
      <c r="A2774" s="5" t="s">
        <v>12791</v>
      </c>
      <c r="B2774" s="131" t="s">
        <v>12833</v>
      </c>
      <c r="C2774" s="40" t="s">
        <v>12834</v>
      </c>
      <c r="D2774" s="374"/>
      <c r="E2774" s="374" t="s">
        <v>12835</v>
      </c>
      <c r="F2774" s="90" t="s">
        <v>12678</v>
      </c>
      <c r="G2774" s="318" t="s">
        <v>12836</v>
      </c>
      <c r="H2774" s="11" t="s">
        <v>44</v>
      </c>
      <c r="I2774" s="276">
        <v>9.830090629E9</v>
      </c>
      <c r="J2774" s="41" t="s">
        <v>25</v>
      </c>
      <c r="K2774" s="12" t="s">
        <v>8753</v>
      </c>
      <c r="L2774" s="13"/>
      <c r="M2774" s="14"/>
      <c r="N2774" s="15"/>
      <c r="O2774" s="5" t="s">
        <v>26</v>
      </c>
      <c r="P2774" s="15"/>
      <c r="Q2774" s="15"/>
      <c r="R2774" s="16" t="s">
        <v>28</v>
      </c>
      <c r="S2774" s="15"/>
      <c r="T2774" s="15"/>
      <c r="U2774" s="15"/>
      <c r="V2774" s="15"/>
      <c r="W2774" s="15"/>
      <c r="X2774" s="15"/>
      <c r="Y2774" s="15"/>
      <c r="Z2774" s="15"/>
      <c r="AA2774" s="15"/>
    </row>
    <row r="2775">
      <c r="A2775" s="5" t="s">
        <v>12791</v>
      </c>
      <c r="B2775" s="131" t="s">
        <v>12837</v>
      </c>
      <c r="C2775" s="62" t="s">
        <v>12838</v>
      </c>
      <c r="D2775" s="11"/>
      <c r="E2775" s="11" t="s">
        <v>116</v>
      </c>
      <c r="F2775" s="90" t="s">
        <v>12228</v>
      </c>
      <c r="G2775" s="318" t="s">
        <v>12839</v>
      </c>
      <c r="H2775" s="216" t="s">
        <v>12840</v>
      </c>
      <c r="I2775" s="276">
        <v>8.073070995E9</v>
      </c>
      <c r="J2775" s="11" t="s">
        <v>12841</v>
      </c>
      <c r="K2775" s="12"/>
      <c r="L2775" s="12">
        <v>88.0</v>
      </c>
      <c r="M2775" s="11" t="s">
        <v>10681</v>
      </c>
      <c r="N2775" s="5" t="s">
        <v>12842</v>
      </c>
      <c r="O2775" s="5" t="s">
        <v>108</v>
      </c>
      <c r="P2775" s="15"/>
      <c r="Q2775" s="15"/>
      <c r="R2775" s="16" t="s">
        <v>634</v>
      </c>
      <c r="S2775" s="15"/>
      <c r="T2775" s="15"/>
      <c r="U2775" s="15"/>
      <c r="V2775" s="15"/>
      <c r="W2775" s="15"/>
      <c r="X2775" s="15"/>
      <c r="Y2775" s="15"/>
      <c r="Z2775" s="15"/>
      <c r="AA2775" s="15"/>
    </row>
    <row r="2776">
      <c r="A2776" s="5" t="s">
        <v>12791</v>
      </c>
      <c r="B2776" s="131" t="s">
        <v>12843</v>
      </c>
      <c r="C2776" s="62" t="s">
        <v>12844</v>
      </c>
      <c r="D2776" s="374"/>
      <c r="E2776" s="374" t="s">
        <v>12845</v>
      </c>
      <c r="F2776" s="90" t="s">
        <v>12510</v>
      </c>
      <c r="G2776" s="318" t="s">
        <v>12846</v>
      </c>
      <c r="H2776" s="216" t="s">
        <v>12847</v>
      </c>
      <c r="I2776" s="276">
        <v>9.945680099E9</v>
      </c>
      <c r="J2776" s="41" t="s">
        <v>25</v>
      </c>
      <c r="K2776" s="12" t="s">
        <v>8753</v>
      </c>
      <c r="L2776" s="13"/>
      <c r="M2776" s="14"/>
      <c r="N2776" s="15"/>
      <c r="O2776" s="5" t="s">
        <v>108</v>
      </c>
      <c r="P2776" s="15"/>
      <c r="Q2776" s="15"/>
      <c r="R2776" s="16" t="s">
        <v>28</v>
      </c>
      <c r="S2776" s="15"/>
      <c r="T2776" s="15"/>
      <c r="U2776" s="15"/>
      <c r="V2776" s="15"/>
      <c r="W2776" s="15"/>
      <c r="X2776" s="15"/>
      <c r="Y2776" s="15"/>
      <c r="Z2776" s="15"/>
      <c r="AA2776" s="15"/>
    </row>
    <row r="2777">
      <c r="A2777" s="5" t="s">
        <v>12791</v>
      </c>
      <c r="B2777" s="131" t="s">
        <v>12848</v>
      </c>
      <c r="C2777" s="371" t="s">
        <v>12849</v>
      </c>
      <c r="D2777" s="262"/>
      <c r="E2777" s="262" t="s">
        <v>4884</v>
      </c>
      <c r="F2777" s="90" t="s">
        <v>12850</v>
      </c>
      <c r="G2777" s="318" t="s">
        <v>12851</v>
      </c>
      <c r="H2777" s="216" t="s">
        <v>12852</v>
      </c>
      <c r="I2777" s="276">
        <v>9.323151197E9</v>
      </c>
      <c r="J2777" s="41" t="s">
        <v>25</v>
      </c>
      <c r="K2777" s="12" t="s">
        <v>8753</v>
      </c>
      <c r="L2777" s="13"/>
      <c r="M2777" s="14"/>
      <c r="N2777" s="15"/>
      <c r="O2777" s="5" t="s">
        <v>34</v>
      </c>
      <c r="P2777" s="11" t="s">
        <v>12853</v>
      </c>
      <c r="Q2777" s="5" t="s">
        <v>12854</v>
      </c>
      <c r="R2777" s="16" t="s">
        <v>723</v>
      </c>
      <c r="S2777" s="5"/>
      <c r="T2777" s="15"/>
      <c r="U2777" s="15"/>
      <c r="V2777" s="15"/>
      <c r="W2777" s="15"/>
      <c r="X2777" s="15"/>
      <c r="Y2777" s="15"/>
      <c r="Z2777" s="15"/>
      <c r="AA2777" s="15"/>
    </row>
    <row r="2778" ht="31.5" customHeight="1">
      <c r="A2778" s="5" t="s">
        <v>12791</v>
      </c>
      <c r="B2778" s="131" t="s">
        <v>12855</v>
      </c>
      <c r="C2778" s="371" t="s">
        <v>12856</v>
      </c>
      <c r="D2778" s="262"/>
      <c r="E2778" s="262" t="s">
        <v>4114</v>
      </c>
      <c r="F2778" s="90" t="s">
        <v>12857</v>
      </c>
      <c r="G2778" s="290" t="s">
        <v>12858</v>
      </c>
      <c r="H2778" s="11" t="s">
        <v>12859</v>
      </c>
      <c r="I2778" s="276">
        <v>9.903655923E9</v>
      </c>
      <c r="J2778" s="11" t="s">
        <v>12860</v>
      </c>
      <c r="K2778" s="12" t="s">
        <v>12861</v>
      </c>
      <c r="L2778" s="13"/>
      <c r="M2778" s="11" t="s">
        <v>12862</v>
      </c>
      <c r="N2778" s="5" t="s">
        <v>12863</v>
      </c>
      <c r="O2778" s="5" t="s">
        <v>34</v>
      </c>
      <c r="P2778" s="5" t="s">
        <v>12864</v>
      </c>
      <c r="Q2778" s="15"/>
      <c r="R2778" s="16" t="s">
        <v>723</v>
      </c>
      <c r="S2778" s="15"/>
      <c r="T2778" s="15"/>
      <c r="U2778" s="15"/>
      <c r="V2778" s="15"/>
      <c r="W2778" s="15"/>
      <c r="X2778" s="15"/>
      <c r="Y2778" s="15"/>
      <c r="Z2778" s="15"/>
      <c r="AA2778" s="15"/>
    </row>
    <row r="2779" ht="24.0" customHeight="1">
      <c r="A2779" s="5" t="s">
        <v>12865</v>
      </c>
      <c r="B2779" s="131" t="s">
        <v>12866</v>
      </c>
      <c r="C2779" s="371" t="s">
        <v>12867</v>
      </c>
      <c r="D2779" s="11"/>
      <c r="E2779" s="11" t="s">
        <v>12868</v>
      </c>
      <c r="F2779" s="90" t="s">
        <v>12869</v>
      </c>
      <c r="G2779" s="290" t="s">
        <v>12870</v>
      </c>
      <c r="H2779" s="11" t="s">
        <v>12871</v>
      </c>
      <c r="I2779" s="276">
        <v>9.818034655E9</v>
      </c>
      <c r="J2779" s="11" t="s">
        <v>12872</v>
      </c>
      <c r="K2779" s="12"/>
      <c r="L2779" s="12">
        <v>4.0</v>
      </c>
      <c r="M2779" s="11" t="s">
        <v>12873</v>
      </c>
      <c r="N2779" s="5" t="s">
        <v>12874</v>
      </c>
      <c r="O2779" s="5" t="s">
        <v>34</v>
      </c>
      <c r="P2779" s="5" t="s">
        <v>12875</v>
      </c>
      <c r="Q2779" s="5" t="s">
        <v>12876</v>
      </c>
      <c r="R2779" s="16" t="s">
        <v>723</v>
      </c>
      <c r="S2779" s="5"/>
      <c r="T2779" s="15"/>
      <c r="U2779" s="15"/>
      <c r="V2779" s="15"/>
      <c r="W2779" s="15"/>
      <c r="X2779" s="15"/>
      <c r="Y2779" s="15"/>
      <c r="Z2779" s="15"/>
      <c r="AA2779" s="15"/>
    </row>
    <row r="2780" ht="25.5" customHeight="1">
      <c r="A2780" s="5" t="s">
        <v>12865</v>
      </c>
      <c r="B2780" s="131" t="s">
        <v>12877</v>
      </c>
      <c r="C2780" s="97" t="s">
        <v>12878</v>
      </c>
      <c r="D2780" s="11"/>
      <c r="E2780" s="11" t="s">
        <v>12879</v>
      </c>
      <c r="F2780" s="90" t="s">
        <v>12666</v>
      </c>
      <c r="G2780" s="318" t="s">
        <v>12880</v>
      </c>
      <c r="H2780" s="11" t="s">
        <v>12881</v>
      </c>
      <c r="I2780" s="276">
        <v>8.250970487E9</v>
      </c>
      <c r="J2780" s="11" t="s">
        <v>12882</v>
      </c>
      <c r="K2780" s="12" t="s">
        <v>12883</v>
      </c>
      <c r="L2780" s="13"/>
      <c r="M2780" s="11" t="s">
        <v>9445</v>
      </c>
      <c r="N2780" s="5" t="s">
        <v>12884</v>
      </c>
      <c r="O2780" s="5" t="s">
        <v>26</v>
      </c>
      <c r="P2780" s="351" t="s">
        <v>12885</v>
      </c>
      <c r="Q2780" s="15"/>
      <c r="R2780" s="16" t="s">
        <v>634</v>
      </c>
      <c r="S2780" s="15"/>
      <c r="T2780" s="15"/>
      <c r="U2780" s="15"/>
      <c r="V2780" s="15"/>
      <c r="W2780" s="15"/>
      <c r="X2780" s="15"/>
      <c r="Y2780" s="15"/>
      <c r="Z2780" s="15"/>
      <c r="AA2780" s="15"/>
    </row>
    <row r="2781">
      <c r="A2781" s="5" t="s">
        <v>12865</v>
      </c>
      <c r="B2781" s="131" t="s">
        <v>12886</v>
      </c>
      <c r="C2781" s="371" t="s">
        <v>12887</v>
      </c>
      <c r="D2781" s="262"/>
      <c r="E2781" s="262" t="s">
        <v>156</v>
      </c>
      <c r="F2781" s="90" t="s">
        <v>12247</v>
      </c>
      <c r="G2781" s="318" t="s">
        <v>12888</v>
      </c>
      <c r="H2781" s="11" t="s">
        <v>44</v>
      </c>
      <c r="I2781" s="276">
        <v>9.830723334E9</v>
      </c>
      <c r="J2781" s="41" t="s">
        <v>25</v>
      </c>
      <c r="K2781" s="12" t="s">
        <v>3044</v>
      </c>
      <c r="L2781" s="13"/>
      <c r="M2781" s="11" t="s">
        <v>7651</v>
      </c>
      <c r="N2781" s="5" t="s">
        <v>12889</v>
      </c>
      <c r="O2781" s="5" t="s">
        <v>26</v>
      </c>
      <c r="P2781" s="5" t="s">
        <v>12890</v>
      </c>
      <c r="Q2781" s="15"/>
      <c r="R2781" s="16" t="s">
        <v>634</v>
      </c>
      <c r="S2781" s="15"/>
      <c r="T2781" s="15"/>
      <c r="U2781" s="15"/>
      <c r="V2781" s="15"/>
      <c r="W2781" s="15"/>
      <c r="X2781" s="15"/>
      <c r="Y2781" s="15"/>
      <c r="Z2781" s="15"/>
      <c r="AA2781" s="15"/>
    </row>
    <row r="2782">
      <c r="A2782" s="5" t="s">
        <v>12865</v>
      </c>
      <c r="B2782" s="131" t="s">
        <v>12891</v>
      </c>
      <c r="C2782" s="384" t="s">
        <v>12892</v>
      </c>
      <c r="D2782" s="384"/>
      <c r="E2782" s="384" t="s">
        <v>12893</v>
      </c>
      <c r="F2782" s="90" t="s">
        <v>12894</v>
      </c>
      <c r="G2782" s="385" t="s">
        <v>12895</v>
      </c>
      <c r="H2782" s="11" t="s">
        <v>12896</v>
      </c>
      <c r="I2782" s="386">
        <v>8.910554651E9</v>
      </c>
      <c r="J2782" s="11" t="s">
        <v>12314</v>
      </c>
      <c r="K2782" s="12" t="s">
        <v>3809</v>
      </c>
      <c r="L2782" s="13"/>
      <c r="M2782" s="11" t="s">
        <v>12897</v>
      </c>
      <c r="N2782" s="5" t="s">
        <v>12898</v>
      </c>
      <c r="O2782" s="5" t="s">
        <v>26</v>
      </c>
      <c r="P2782" s="5" t="s">
        <v>27</v>
      </c>
      <c r="Q2782" s="15"/>
      <c r="R2782" s="16" t="s">
        <v>634</v>
      </c>
      <c r="S2782" s="15"/>
      <c r="T2782" s="15"/>
      <c r="U2782" s="15"/>
      <c r="V2782" s="15"/>
      <c r="W2782" s="15"/>
      <c r="X2782" s="15"/>
      <c r="Y2782" s="15"/>
      <c r="Z2782" s="15"/>
      <c r="AA2782" s="15"/>
    </row>
    <row r="2783">
      <c r="A2783" s="5" t="s">
        <v>12865</v>
      </c>
      <c r="B2783" s="131" t="s">
        <v>12899</v>
      </c>
      <c r="C2783" s="371" t="s">
        <v>12764</v>
      </c>
      <c r="D2783" s="262"/>
      <c r="E2783" s="262" t="s">
        <v>11581</v>
      </c>
      <c r="F2783" s="90" t="s">
        <v>12765</v>
      </c>
      <c r="G2783" s="321" t="s">
        <v>12766</v>
      </c>
      <c r="H2783" s="97" t="s">
        <v>12767</v>
      </c>
      <c r="I2783" s="276">
        <v>9.775447025E9</v>
      </c>
      <c r="J2783" s="366" t="s">
        <v>12314</v>
      </c>
      <c r="K2783" s="12"/>
      <c r="L2783" s="13"/>
      <c r="M2783" s="14"/>
      <c r="N2783" s="15"/>
      <c r="O2783" s="5" t="s">
        <v>26</v>
      </c>
      <c r="P2783" s="15"/>
      <c r="Q2783" s="15"/>
      <c r="R2783" s="16" t="s">
        <v>28</v>
      </c>
      <c r="S2783" s="15"/>
      <c r="T2783" s="15"/>
      <c r="U2783" s="15"/>
      <c r="V2783" s="15"/>
      <c r="W2783" s="15"/>
      <c r="X2783" s="15"/>
      <c r="Y2783" s="15"/>
      <c r="Z2783" s="15"/>
      <c r="AA2783" s="15"/>
    </row>
    <row r="2784">
      <c r="A2784" s="5" t="s">
        <v>12865</v>
      </c>
      <c r="B2784" s="131" t="s">
        <v>12900</v>
      </c>
      <c r="C2784" s="97" t="s">
        <v>12901</v>
      </c>
      <c r="D2784" s="366"/>
      <c r="E2784" s="366" t="s">
        <v>12902</v>
      </c>
      <c r="F2784" s="90" t="s">
        <v>12666</v>
      </c>
      <c r="G2784" s="318" t="s">
        <v>12903</v>
      </c>
      <c r="H2784" s="11" t="s">
        <v>44</v>
      </c>
      <c r="I2784" s="276">
        <v>9.475184368E9</v>
      </c>
      <c r="J2784" s="11" t="s">
        <v>12904</v>
      </c>
      <c r="K2784" s="12"/>
      <c r="L2784" s="13"/>
      <c r="M2784" s="14"/>
      <c r="N2784" s="15"/>
      <c r="O2784" s="5" t="s">
        <v>26</v>
      </c>
      <c r="P2784" s="15"/>
      <c r="Q2784" s="15"/>
      <c r="R2784" s="16" t="s">
        <v>28</v>
      </c>
      <c r="S2784" s="15"/>
      <c r="T2784" s="15"/>
      <c r="U2784" s="15"/>
      <c r="V2784" s="15"/>
      <c r="W2784" s="15"/>
      <c r="X2784" s="15"/>
      <c r="Y2784" s="15"/>
      <c r="Z2784" s="15"/>
      <c r="AA2784" s="15"/>
    </row>
    <row r="2785">
      <c r="A2785" s="5" t="s">
        <v>12865</v>
      </c>
      <c r="B2785" s="131" t="s">
        <v>12905</v>
      </c>
      <c r="C2785" s="371" t="s">
        <v>12906</v>
      </c>
      <c r="D2785" s="262"/>
      <c r="E2785" s="262" t="s">
        <v>1182</v>
      </c>
      <c r="F2785" s="90" t="s">
        <v>12907</v>
      </c>
      <c r="G2785" s="318" t="s">
        <v>12908</v>
      </c>
      <c r="H2785" s="11" t="s">
        <v>12909</v>
      </c>
      <c r="I2785" s="276">
        <v>9.735209053E9</v>
      </c>
      <c r="J2785" s="11" t="s">
        <v>12910</v>
      </c>
      <c r="K2785" s="12" t="s">
        <v>12911</v>
      </c>
      <c r="L2785" s="13"/>
      <c r="M2785" s="11" t="s">
        <v>8442</v>
      </c>
      <c r="N2785" s="5" t="s">
        <v>12912</v>
      </c>
      <c r="O2785" s="5" t="s">
        <v>26</v>
      </c>
      <c r="P2785" s="5" t="s">
        <v>12913</v>
      </c>
      <c r="Q2785" s="15"/>
      <c r="R2785" s="16" t="s">
        <v>634</v>
      </c>
      <c r="S2785" s="15"/>
      <c r="T2785" s="15"/>
      <c r="U2785" s="15"/>
      <c r="V2785" s="15"/>
      <c r="W2785" s="15"/>
      <c r="X2785" s="15"/>
      <c r="Y2785" s="15"/>
      <c r="Z2785" s="15"/>
      <c r="AA2785" s="15"/>
    </row>
    <row r="2786" ht="34.5" customHeight="1">
      <c r="A2786" s="5" t="s">
        <v>12865</v>
      </c>
      <c r="B2786" s="131" t="s">
        <v>12914</v>
      </c>
      <c r="C2786" s="40" t="s">
        <v>12915</v>
      </c>
      <c r="D2786" s="11"/>
      <c r="E2786" s="11" t="s">
        <v>2821</v>
      </c>
      <c r="F2786" s="90" t="s">
        <v>12415</v>
      </c>
      <c r="G2786" s="318" t="s">
        <v>12916</v>
      </c>
      <c r="H2786" s="11" t="s">
        <v>44</v>
      </c>
      <c r="I2786" s="276">
        <v>7.908776353E9</v>
      </c>
      <c r="J2786" s="11" t="s">
        <v>12917</v>
      </c>
      <c r="K2786" s="12"/>
      <c r="L2786" s="12" t="s">
        <v>12918</v>
      </c>
      <c r="M2786" s="11" t="s">
        <v>12919</v>
      </c>
      <c r="N2786" s="5" t="s">
        <v>12920</v>
      </c>
      <c r="O2786" s="5" t="s">
        <v>34</v>
      </c>
      <c r="P2786" s="5" t="s">
        <v>12525</v>
      </c>
      <c r="Q2786" s="5" t="s">
        <v>777</v>
      </c>
      <c r="R2786" s="16" t="s">
        <v>723</v>
      </c>
      <c r="S2786" s="15"/>
      <c r="T2786" s="15"/>
      <c r="U2786" s="15"/>
      <c r="V2786" s="15"/>
      <c r="W2786" s="15"/>
      <c r="X2786" s="15"/>
      <c r="Y2786" s="15"/>
      <c r="Z2786" s="15"/>
      <c r="AA2786" s="15"/>
    </row>
    <row r="2787">
      <c r="A2787" s="5" t="s">
        <v>12865</v>
      </c>
      <c r="B2787" s="131" t="s">
        <v>12921</v>
      </c>
      <c r="C2787" s="97" t="s">
        <v>12922</v>
      </c>
      <c r="D2787" s="262"/>
      <c r="E2787" s="262" t="s">
        <v>1749</v>
      </c>
      <c r="F2787" s="90" t="s">
        <v>12541</v>
      </c>
      <c r="G2787" s="318" t="s">
        <v>12923</v>
      </c>
      <c r="H2787" s="11" t="s">
        <v>12924</v>
      </c>
      <c r="I2787" s="276">
        <v>7.797184678E9</v>
      </c>
      <c r="J2787" s="11" t="s">
        <v>12910</v>
      </c>
      <c r="K2787" s="12"/>
      <c r="L2787" s="12">
        <v>51.0</v>
      </c>
      <c r="M2787" s="11" t="s">
        <v>9147</v>
      </c>
      <c r="N2787" s="5" t="s">
        <v>12925</v>
      </c>
      <c r="O2787" s="5" t="s">
        <v>34</v>
      </c>
      <c r="P2787" s="5" t="s">
        <v>12864</v>
      </c>
      <c r="Q2787" s="5" t="s">
        <v>5305</v>
      </c>
      <c r="R2787" s="16" t="s">
        <v>723</v>
      </c>
      <c r="S2787" s="5"/>
      <c r="T2787" s="15"/>
      <c r="U2787" s="15"/>
      <c r="V2787" s="15"/>
      <c r="W2787" s="15"/>
      <c r="X2787" s="15"/>
      <c r="Y2787" s="15"/>
      <c r="Z2787" s="15"/>
      <c r="AA2787" s="15"/>
    </row>
    <row r="2788">
      <c r="A2788" s="5" t="s">
        <v>12865</v>
      </c>
      <c r="B2788" s="131" t="s">
        <v>12926</v>
      </c>
      <c r="C2788" s="371" t="s">
        <v>12927</v>
      </c>
      <c r="D2788" s="262"/>
      <c r="E2788" s="262" t="s">
        <v>9050</v>
      </c>
      <c r="F2788" s="90" t="s">
        <v>12247</v>
      </c>
      <c r="G2788" s="318" t="s">
        <v>12928</v>
      </c>
      <c r="H2788" s="11" t="s">
        <v>44</v>
      </c>
      <c r="I2788" s="276">
        <v>9.830925627E9</v>
      </c>
      <c r="J2788" s="11" t="s">
        <v>4008</v>
      </c>
      <c r="K2788" s="12"/>
      <c r="L2788" s="12">
        <v>840.0</v>
      </c>
      <c r="M2788" s="11" t="s">
        <v>12929</v>
      </c>
      <c r="N2788" s="5" t="s">
        <v>12930</v>
      </c>
      <c r="O2788" s="5" t="s">
        <v>26</v>
      </c>
      <c r="P2788" s="387" t="s">
        <v>12931</v>
      </c>
      <c r="Q2788" s="15"/>
      <c r="R2788" s="16" t="s">
        <v>634</v>
      </c>
      <c r="S2788" s="15"/>
      <c r="T2788" s="15"/>
      <c r="U2788" s="15"/>
      <c r="V2788" s="15"/>
      <c r="W2788" s="15"/>
      <c r="X2788" s="15"/>
      <c r="Y2788" s="15"/>
      <c r="Z2788" s="15"/>
      <c r="AA2788" s="15"/>
    </row>
    <row r="2789">
      <c r="A2789" s="5" t="s">
        <v>12932</v>
      </c>
      <c r="B2789" s="131" t="s">
        <v>12933</v>
      </c>
      <c r="C2789" s="371" t="s">
        <v>12934</v>
      </c>
      <c r="D2789" s="262"/>
      <c r="E2789" s="262" t="s">
        <v>2429</v>
      </c>
      <c r="F2789" s="90" t="s">
        <v>12935</v>
      </c>
      <c r="G2789" s="318" t="s">
        <v>12936</v>
      </c>
      <c r="H2789" s="97" t="s">
        <v>12937</v>
      </c>
      <c r="I2789" s="276">
        <v>9.820658496E9</v>
      </c>
      <c r="J2789" s="41" t="s">
        <v>25</v>
      </c>
      <c r="K2789" s="12" t="s">
        <v>8677</v>
      </c>
      <c r="L2789" s="13"/>
      <c r="M2789" s="14"/>
      <c r="N2789" s="15"/>
      <c r="O2789" s="5" t="s">
        <v>34</v>
      </c>
      <c r="P2789" s="387" t="s">
        <v>55</v>
      </c>
      <c r="Q2789" s="15"/>
      <c r="R2789" s="16" t="s">
        <v>723</v>
      </c>
      <c r="S2789" s="15"/>
      <c r="T2789" s="15"/>
      <c r="U2789" s="15"/>
      <c r="V2789" s="15"/>
      <c r="W2789" s="15"/>
      <c r="X2789" s="15"/>
      <c r="Y2789" s="15"/>
      <c r="Z2789" s="15"/>
      <c r="AA2789" s="15"/>
    </row>
    <row r="2790">
      <c r="A2790" s="5" t="s">
        <v>12932</v>
      </c>
      <c r="B2790" s="131" t="s">
        <v>12938</v>
      </c>
      <c r="C2790" s="97" t="s">
        <v>12939</v>
      </c>
      <c r="D2790" s="262"/>
      <c r="E2790" s="262" t="s">
        <v>12940</v>
      </c>
      <c r="F2790" s="90" t="s">
        <v>12247</v>
      </c>
      <c r="G2790" s="318" t="s">
        <v>12941</v>
      </c>
      <c r="H2790" s="97" t="s">
        <v>12942</v>
      </c>
      <c r="I2790" s="276">
        <v>9.64521927E9</v>
      </c>
      <c r="J2790" s="11" t="s">
        <v>12745</v>
      </c>
      <c r="K2790" s="12" t="s">
        <v>2980</v>
      </c>
      <c r="L2790" s="13"/>
      <c r="M2790" s="11" t="s">
        <v>9776</v>
      </c>
      <c r="N2790" s="5" t="s">
        <v>12943</v>
      </c>
      <c r="O2790" s="5" t="s">
        <v>34</v>
      </c>
      <c r="P2790" s="5" t="s">
        <v>55</v>
      </c>
      <c r="Q2790" s="15"/>
      <c r="R2790" s="16" t="s">
        <v>723</v>
      </c>
      <c r="S2790" s="15"/>
      <c r="T2790" s="15"/>
      <c r="U2790" s="15"/>
      <c r="V2790" s="15"/>
      <c r="W2790" s="15"/>
      <c r="X2790" s="15"/>
      <c r="Y2790" s="15"/>
      <c r="Z2790" s="15"/>
      <c r="AA2790" s="15"/>
    </row>
    <row r="2791">
      <c r="A2791" s="5" t="s">
        <v>12932</v>
      </c>
      <c r="B2791" s="131" t="s">
        <v>12944</v>
      </c>
      <c r="C2791" s="371" t="s">
        <v>12945</v>
      </c>
      <c r="D2791" s="262"/>
      <c r="E2791" s="262" t="s">
        <v>841</v>
      </c>
      <c r="F2791" s="90" t="s">
        <v>12296</v>
      </c>
      <c r="G2791" s="318" t="s">
        <v>12946</v>
      </c>
      <c r="H2791" s="97" t="s">
        <v>12947</v>
      </c>
      <c r="I2791" s="276">
        <v>8.33584027E9</v>
      </c>
      <c r="J2791" s="11" t="s">
        <v>4008</v>
      </c>
      <c r="K2791" s="12" t="s">
        <v>6071</v>
      </c>
      <c r="L2791" s="13"/>
      <c r="M2791" s="11" t="s">
        <v>9901</v>
      </c>
      <c r="N2791" s="5" t="s">
        <v>12948</v>
      </c>
      <c r="O2791" s="5" t="s">
        <v>26</v>
      </c>
      <c r="P2791" s="5" t="s">
        <v>453</v>
      </c>
      <c r="Q2791" s="15"/>
      <c r="R2791" s="16" t="s">
        <v>634</v>
      </c>
      <c r="S2791" s="15"/>
      <c r="T2791" s="15"/>
      <c r="U2791" s="15"/>
      <c r="V2791" s="15"/>
      <c r="W2791" s="15"/>
      <c r="X2791" s="15"/>
      <c r="Y2791" s="15"/>
      <c r="Z2791" s="15"/>
      <c r="AA2791" s="15"/>
    </row>
    <row r="2792">
      <c r="A2792" s="5" t="s">
        <v>12949</v>
      </c>
      <c r="B2792" s="131" t="s">
        <v>12950</v>
      </c>
      <c r="C2792" s="371" t="s">
        <v>12951</v>
      </c>
      <c r="D2792" s="11"/>
      <c r="E2792" s="11" t="s">
        <v>6760</v>
      </c>
      <c r="F2792" s="90" t="s">
        <v>12952</v>
      </c>
      <c r="G2792" s="318" t="s">
        <v>12953</v>
      </c>
      <c r="H2792" s="97" t="s">
        <v>12954</v>
      </c>
      <c r="I2792" s="276">
        <v>9.448630904E9</v>
      </c>
      <c r="J2792" s="11" t="s">
        <v>12910</v>
      </c>
      <c r="K2792" s="12" t="s">
        <v>6123</v>
      </c>
      <c r="L2792" s="13"/>
      <c r="M2792" s="11" t="s">
        <v>12955</v>
      </c>
      <c r="N2792" s="5" t="s">
        <v>12956</v>
      </c>
      <c r="O2792" s="5" t="s">
        <v>108</v>
      </c>
      <c r="P2792" s="15"/>
      <c r="Q2792" s="15"/>
      <c r="R2792" s="16" t="s">
        <v>634</v>
      </c>
      <c r="S2792" s="15"/>
      <c r="T2792" s="15"/>
      <c r="U2792" s="15"/>
      <c r="V2792" s="15"/>
      <c r="W2792" s="15"/>
      <c r="X2792" s="15"/>
      <c r="Y2792" s="15"/>
      <c r="Z2792" s="15"/>
      <c r="AA2792" s="15"/>
    </row>
    <row r="2793">
      <c r="A2793" s="5" t="s">
        <v>12949</v>
      </c>
      <c r="B2793" s="131" t="s">
        <v>12957</v>
      </c>
      <c r="C2793" s="97" t="s">
        <v>12958</v>
      </c>
      <c r="D2793" s="11"/>
      <c r="E2793" s="11" t="s">
        <v>9283</v>
      </c>
      <c r="F2793" s="90" t="s">
        <v>12959</v>
      </c>
      <c r="G2793" s="318" t="s">
        <v>12960</v>
      </c>
      <c r="H2793" s="11" t="s">
        <v>44</v>
      </c>
      <c r="I2793" s="276">
        <v>8.01791733E9</v>
      </c>
      <c r="J2793" s="11" t="s">
        <v>12961</v>
      </c>
      <c r="K2793" s="12" t="s">
        <v>890</v>
      </c>
      <c r="L2793" s="13"/>
      <c r="M2793" s="14"/>
      <c r="N2793" s="5" t="s">
        <v>12962</v>
      </c>
      <c r="O2793" s="5" t="s">
        <v>34</v>
      </c>
      <c r="P2793" s="5" t="s">
        <v>12963</v>
      </c>
      <c r="Q2793" s="15"/>
      <c r="R2793" s="16" t="s">
        <v>634</v>
      </c>
      <c r="S2793" s="15"/>
      <c r="T2793" s="15"/>
      <c r="U2793" s="15"/>
      <c r="V2793" s="15"/>
      <c r="W2793" s="15"/>
      <c r="X2793" s="15"/>
      <c r="Y2793" s="15"/>
      <c r="Z2793" s="15"/>
      <c r="AA2793" s="15"/>
    </row>
    <row r="2794" ht="22.5" customHeight="1">
      <c r="A2794" s="5" t="s">
        <v>12949</v>
      </c>
      <c r="B2794" s="131" t="s">
        <v>12964</v>
      </c>
      <c r="C2794" s="371" t="s">
        <v>12965</v>
      </c>
      <c r="D2794" s="262"/>
      <c r="E2794" s="262" t="s">
        <v>2576</v>
      </c>
      <c r="F2794" s="90" t="s">
        <v>12966</v>
      </c>
      <c r="G2794" s="318" t="s">
        <v>12967</v>
      </c>
      <c r="H2794" s="97" t="s">
        <v>12968</v>
      </c>
      <c r="I2794" s="276">
        <v>9.593842777E9</v>
      </c>
      <c r="J2794" s="11" t="s">
        <v>4008</v>
      </c>
      <c r="K2794" s="12" t="s">
        <v>12969</v>
      </c>
      <c r="L2794" s="13"/>
      <c r="M2794" s="11" t="s">
        <v>7820</v>
      </c>
      <c r="N2794" s="5" t="s">
        <v>12970</v>
      </c>
      <c r="O2794" s="5" t="s">
        <v>26</v>
      </c>
      <c r="P2794" s="5" t="s">
        <v>453</v>
      </c>
      <c r="Q2794" s="15"/>
      <c r="R2794" s="16" t="s">
        <v>634</v>
      </c>
      <c r="S2794" s="15"/>
      <c r="T2794" s="15"/>
      <c r="U2794" s="15"/>
      <c r="V2794" s="15"/>
      <c r="W2794" s="15"/>
      <c r="X2794" s="15"/>
      <c r="Y2794" s="15"/>
      <c r="Z2794" s="15"/>
      <c r="AA2794" s="15"/>
    </row>
    <row r="2795">
      <c r="A2795" s="5" t="s">
        <v>12949</v>
      </c>
      <c r="B2795" s="131" t="s">
        <v>12971</v>
      </c>
      <c r="C2795" s="97" t="s">
        <v>4065</v>
      </c>
      <c r="D2795" s="11"/>
      <c r="E2795" s="11" t="s">
        <v>6027</v>
      </c>
      <c r="F2795" s="90" t="s">
        <v>12972</v>
      </c>
      <c r="G2795" s="318" t="s">
        <v>12973</v>
      </c>
      <c r="H2795" s="11" t="s">
        <v>8781</v>
      </c>
      <c r="I2795" s="276">
        <v>9.830175616E9</v>
      </c>
      <c r="J2795" s="11" t="s">
        <v>4008</v>
      </c>
      <c r="K2795" s="12"/>
      <c r="L2795" s="13"/>
      <c r="M2795" s="14"/>
      <c r="N2795" s="15"/>
      <c r="O2795" s="5" t="s">
        <v>26</v>
      </c>
      <c r="P2795" s="15"/>
      <c r="Q2795" s="15"/>
      <c r="R2795" s="16" t="s">
        <v>28</v>
      </c>
      <c r="S2795" s="15"/>
      <c r="T2795" s="15"/>
      <c r="U2795" s="15"/>
      <c r="V2795" s="15"/>
      <c r="W2795" s="15"/>
      <c r="X2795" s="15"/>
      <c r="Y2795" s="15"/>
      <c r="Z2795" s="15"/>
      <c r="AA2795" s="15"/>
    </row>
    <row r="2796">
      <c r="A2796" s="5" t="s">
        <v>12949</v>
      </c>
      <c r="B2796" s="131" t="s">
        <v>12974</v>
      </c>
      <c r="C2796" s="97" t="s">
        <v>12975</v>
      </c>
      <c r="D2796" s="262"/>
      <c r="E2796" s="262" t="s">
        <v>130</v>
      </c>
      <c r="F2796" s="90" t="s">
        <v>12976</v>
      </c>
      <c r="G2796" s="318" t="s">
        <v>12977</v>
      </c>
      <c r="H2796" s="97" t="s">
        <v>232</v>
      </c>
      <c r="I2796" s="276">
        <v>8.766414151E9</v>
      </c>
      <c r="J2796" s="11" t="s">
        <v>12978</v>
      </c>
      <c r="K2796" s="12"/>
      <c r="L2796" s="12" t="s">
        <v>12979</v>
      </c>
      <c r="M2796" s="14"/>
      <c r="N2796" s="15"/>
      <c r="O2796" s="5" t="s">
        <v>108</v>
      </c>
      <c r="P2796" s="5" t="s">
        <v>12980</v>
      </c>
      <c r="Q2796" s="15"/>
      <c r="R2796" s="16" t="s">
        <v>723</v>
      </c>
      <c r="S2796" s="15"/>
      <c r="T2796" s="15"/>
      <c r="U2796" s="15"/>
      <c r="V2796" s="15"/>
      <c r="W2796" s="15"/>
      <c r="X2796" s="15"/>
      <c r="Y2796" s="15"/>
      <c r="Z2796" s="15"/>
      <c r="AA2796" s="15"/>
    </row>
    <row r="2797">
      <c r="A2797" s="5" t="s">
        <v>12949</v>
      </c>
      <c r="B2797" s="131" t="s">
        <v>12981</v>
      </c>
      <c r="C2797" s="371" t="s">
        <v>12982</v>
      </c>
      <c r="D2797" s="262"/>
      <c r="E2797" s="262" t="s">
        <v>152</v>
      </c>
      <c r="F2797" s="90" t="s">
        <v>12247</v>
      </c>
      <c r="G2797" s="318" t="s">
        <v>12983</v>
      </c>
      <c r="H2797" s="97" t="s">
        <v>12984</v>
      </c>
      <c r="I2797" s="276">
        <v>9.689421506E9</v>
      </c>
      <c r="J2797" s="41" t="s">
        <v>25</v>
      </c>
      <c r="K2797" s="12" t="s">
        <v>11726</v>
      </c>
      <c r="L2797" s="13"/>
      <c r="M2797" s="11" t="s">
        <v>7718</v>
      </c>
      <c r="N2797" s="5" t="s">
        <v>12985</v>
      </c>
      <c r="O2797" s="5" t="s">
        <v>34</v>
      </c>
      <c r="P2797" s="5" t="s">
        <v>921</v>
      </c>
      <c r="Q2797" s="15"/>
      <c r="R2797" s="16" t="s">
        <v>723</v>
      </c>
      <c r="S2797" s="15"/>
      <c r="T2797" s="15"/>
      <c r="U2797" s="15"/>
      <c r="V2797" s="15"/>
      <c r="W2797" s="15"/>
      <c r="X2797" s="15"/>
      <c r="Y2797" s="15"/>
      <c r="Z2797" s="15"/>
      <c r="AA2797" s="15"/>
    </row>
    <row r="2798">
      <c r="A2798" s="5" t="s">
        <v>12949</v>
      </c>
      <c r="B2798" s="131" t="s">
        <v>12986</v>
      </c>
      <c r="C2798" s="371" t="s">
        <v>12987</v>
      </c>
      <c r="D2798" s="262"/>
      <c r="E2798" s="262" t="s">
        <v>11430</v>
      </c>
      <c r="F2798" s="90" t="s">
        <v>12228</v>
      </c>
      <c r="G2798" s="318" t="s">
        <v>12988</v>
      </c>
      <c r="H2798" s="11" t="s">
        <v>44</v>
      </c>
      <c r="I2798" s="276">
        <v>9.674293946E9</v>
      </c>
      <c r="J2798" s="11" t="s">
        <v>4008</v>
      </c>
      <c r="K2798" s="12" t="s">
        <v>8528</v>
      </c>
      <c r="L2798" s="13"/>
      <c r="M2798" s="11" t="s">
        <v>10171</v>
      </c>
      <c r="N2798" s="5" t="s">
        <v>12989</v>
      </c>
      <c r="O2798" s="5" t="s">
        <v>26</v>
      </c>
      <c r="P2798" s="5" t="s">
        <v>12990</v>
      </c>
      <c r="Q2798" s="15"/>
      <c r="R2798" s="16" t="s">
        <v>634</v>
      </c>
      <c r="S2798" s="15"/>
      <c r="T2798" s="15"/>
      <c r="U2798" s="15"/>
      <c r="V2798" s="15"/>
      <c r="W2798" s="15"/>
      <c r="X2798" s="15"/>
      <c r="Y2798" s="15"/>
      <c r="Z2798" s="15"/>
      <c r="AA2798" s="15"/>
    </row>
    <row r="2799">
      <c r="A2799" s="5" t="s">
        <v>12949</v>
      </c>
      <c r="B2799" s="131" t="s">
        <v>12991</v>
      </c>
      <c r="C2799" s="371" t="s">
        <v>12992</v>
      </c>
      <c r="D2799" s="262"/>
      <c r="E2799" s="262" t="s">
        <v>9109</v>
      </c>
      <c r="F2799" s="90" t="s">
        <v>12228</v>
      </c>
      <c r="G2799" s="318" t="s">
        <v>12993</v>
      </c>
      <c r="H2799" s="11" t="s">
        <v>12994</v>
      </c>
      <c r="I2799" s="276">
        <v>9.733000165E9</v>
      </c>
      <c r="J2799" s="11" t="s">
        <v>12995</v>
      </c>
      <c r="K2799" s="12"/>
      <c r="L2799" s="12">
        <v>16.0</v>
      </c>
      <c r="M2799" s="14"/>
      <c r="N2799" s="15"/>
      <c r="O2799" s="5" t="s">
        <v>34</v>
      </c>
      <c r="P2799" s="5" t="s">
        <v>12996</v>
      </c>
      <c r="Q2799" s="15"/>
      <c r="R2799" s="16" t="s">
        <v>723</v>
      </c>
      <c r="S2799" s="15"/>
      <c r="T2799" s="15"/>
      <c r="U2799" s="15"/>
      <c r="V2799" s="15"/>
      <c r="W2799" s="15"/>
      <c r="X2799" s="15"/>
      <c r="Y2799" s="15"/>
      <c r="Z2799" s="15"/>
      <c r="AA2799" s="15"/>
    </row>
    <row r="2800">
      <c r="A2800" s="5" t="s">
        <v>12949</v>
      </c>
      <c r="B2800" s="131" t="s">
        <v>12997</v>
      </c>
      <c r="C2800" s="371" t="s">
        <v>12998</v>
      </c>
      <c r="D2800" s="262"/>
      <c r="E2800" s="262" t="s">
        <v>3073</v>
      </c>
      <c r="F2800" s="90" t="s">
        <v>12999</v>
      </c>
      <c r="G2800" s="315" t="s">
        <v>13000</v>
      </c>
      <c r="H2800" s="97" t="s">
        <v>13001</v>
      </c>
      <c r="I2800" s="276">
        <v>9.820999099E9</v>
      </c>
      <c r="J2800" s="97" t="s">
        <v>13002</v>
      </c>
      <c r="K2800" s="12"/>
      <c r="L2800" s="13"/>
      <c r="M2800" s="11" t="s">
        <v>13003</v>
      </c>
      <c r="N2800" s="5" t="s">
        <v>13004</v>
      </c>
      <c r="O2800" s="5" t="s">
        <v>108</v>
      </c>
      <c r="P2800" s="5" t="s">
        <v>13005</v>
      </c>
      <c r="Q2800" s="5" t="s">
        <v>13006</v>
      </c>
      <c r="R2800" s="16" t="s">
        <v>634</v>
      </c>
      <c r="S2800" s="5"/>
      <c r="T2800" s="15"/>
      <c r="U2800" s="15"/>
      <c r="V2800" s="15"/>
      <c r="W2800" s="15"/>
      <c r="X2800" s="15"/>
      <c r="Y2800" s="15"/>
      <c r="Z2800" s="15"/>
      <c r="AA2800" s="15"/>
    </row>
    <row r="2801">
      <c r="A2801" s="5" t="s">
        <v>12949</v>
      </c>
      <c r="B2801" s="131" t="s">
        <v>13007</v>
      </c>
      <c r="C2801" s="371" t="s">
        <v>13008</v>
      </c>
      <c r="D2801" s="11"/>
      <c r="E2801" s="11" t="s">
        <v>13009</v>
      </c>
      <c r="F2801" s="90" t="s">
        <v>12247</v>
      </c>
      <c r="G2801" s="318" t="s">
        <v>1645</v>
      </c>
      <c r="H2801" s="97" t="s">
        <v>44</v>
      </c>
      <c r="I2801" s="276">
        <v>7.980545339E9</v>
      </c>
      <c r="J2801" s="366" t="s">
        <v>12314</v>
      </c>
      <c r="K2801" s="12" t="s">
        <v>8677</v>
      </c>
      <c r="L2801" s="13"/>
      <c r="M2801" s="14"/>
      <c r="N2801" s="15"/>
      <c r="O2801" s="5" t="s">
        <v>26</v>
      </c>
      <c r="P2801" s="15"/>
      <c r="Q2801" s="15"/>
      <c r="R2801" s="16" t="s">
        <v>28</v>
      </c>
      <c r="S2801" s="15"/>
      <c r="T2801" s="15"/>
      <c r="U2801" s="15"/>
      <c r="V2801" s="15"/>
      <c r="W2801" s="15"/>
      <c r="X2801" s="15"/>
      <c r="Y2801" s="15"/>
      <c r="Z2801" s="15"/>
      <c r="AA2801" s="15"/>
    </row>
    <row r="2802">
      <c r="A2802" s="5" t="s">
        <v>12949</v>
      </c>
      <c r="B2802" s="131" t="s">
        <v>13010</v>
      </c>
      <c r="C2802" s="371" t="s">
        <v>12263</v>
      </c>
      <c r="D2802" s="262"/>
      <c r="E2802" s="262" t="s">
        <v>6275</v>
      </c>
      <c r="F2802" s="90" t="s">
        <v>13011</v>
      </c>
      <c r="G2802" s="318" t="s">
        <v>13012</v>
      </c>
      <c r="H2802" s="97" t="s">
        <v>44</v>
      </c>
      <c r="I2802" s="276">
        <v>9.230472207E9</v>
      </c>
      <c r="J2802" s="41" t="s">
        <v>25</v>
      </c>
      <c r="K2802" s="12"/>
      <c r="L2802" s="13"/>
      <c r="M2802" s="14"/>
      <c r="N2802" s="15"/>
      <c r="O2802" s="5" t="s">
        <v>26</v>
      </c>
      <c r="P2802" s="15"/>
      <c r="Q2802" s="15"/>
      <c r="R2802" s="16" t="s">
        <v>28</v>
      </c>
      <c r="S2802" s="15"/>
      <c r="T2802" s="15"/>
      <c r="U2802" s="15"/>
      <c r="V2802" s="15"/>
      <c r="W2802" s="15"/>
      <c r="X2802" s="15"/>
      <c r="Y2802" s="15"/>
      <c r="Z2802" s="15"/>
      <c r="AA2802" s="15"/>
    </row>
    <row r="2803">
      <c r="A2803" s="5" t="s">
        <v>12949</v>
      </c>
      <c r="B2803" s="131" t="s">
        <v>13013</v>
      </c>
      <c r="C2803" s="371" t="s">
        <v>13014</v>
      </c>
      <c r="D2803" s="262"/>
      <c r="E2803" s="262" t="s">
        <v>13015</v>
      </c>
      <c r="F2803" s="90" t="s">
        <v>12247</v>
      </c>
      <c r="G2803" s="318" t="s">
        <v>13016</v>
      </c>
      <c r="H2803" s="11" t="s">
        <v>13017</v>
      </c>
      <c r="I2803" s="276">
        <v>7.003530843E9</v>
      </c>
      <c r="J2803" s="366" t="s">
        <v>12314</v>
      </c>
      <c r="K2803" s="12" t="s">
        <v>8753</v>
      </c>
      <c r="L2803" s="11" t="s">
        <v>7820</v>
      </c>
      <c r="M2803" s="14"/>
      <c r="N2803" s="15"/>
      <c r="O2803" s="5" t="s">
        <v>26</v>
      </c>
      <c r="P2803" s="284" t="s">
        <v>4563</v>
      </c>
      <c r="Q2803" s="15"/>
      <c r="R2803" s="16" t="s">
        <v>28</v>
      </c>
      <c r="S2803" s="15"/>
      <c r="T2803" s="15"/>
      <c r="U2803" s="15"/>
      <c r="V2803" s="15"/>
      <c r="W2803" s="15"/>
      <c r="X2803" s="15"/>
      <c r="Y2803" s="15"/>
      <c r="Z2803" s="15"/>
      <c r="AA2803" s="15"/>
    </row>
    <row r="2804">
      <c r="A2804" s="5" t="s">
        <v>12949</v>
      </c>
      <c r="B2804" s="131" t="s">
        <v>13018</v>
      </c>
      <c r="C2804" s="371" t="s">
        <v>13019</v>
      </c>
      <c r="D2804" s="262"/>
      <c r="E2804" s="262" t="s">
        <v>13020</v>
      </c>
      <c r="F2804" s="90" t="s">
        <v>12296</v>
      </c>
      <c r="G2804" s="318" t="s">
        <v>13021</v>
      </c>
      <c r="H2804" s="11" t="s">
        <v>44</v>
      </c>
      <c r="I2804" s="276">
        <v>8.910614178E9</v>
      </c>
      <c r="J2804" s="11" t="s">
        <v>13022</v>
      </c>
      <c r="K2804" s="12" t="s">
        <v>12969</v>
      </c>
      <c r="L2804" s="13"/>
      <c r="M2804" s="312"/>
      <c r="N2804" s="5" t="s">
        <v>13023</v>
      </c>
      <c r="O2804" s="5" t="s">
        <v>34</v>
      </c>
      <c r="P2804" s="5" t="s">
        <v>727</v>
      </c>
      <c r="Q2804" s="5" t="s">
        <v>2983</v>
      </c>
      <c r="R2804" s="16" t="s">
        <v>723</v>
      </c>
      <c r="S2804" s="5"/>
      <c r="T2804" s="15"/>
      <c r="U2804" s="15"/>
      <c r="V2804" s="15"/>
      <c r="W2804" s="15"/>
      <c r="X2804" s="15"/>
      <c r="Y2804" s="15"/>
      <c r="Z2804" s="15"/>
      <c r="AA2804" s="15"/>
    </row>
    <row r="2805">
      <c r="A2805" s="5" t="s">
        <v>12949</v>
      </c>
      <c r="B2805" s="131" t="s">
        <v>13024</v>
      </c>
      <c r="C2805" s="371" t="s">
        <v>13025</v>
      </c>
      <c r="D2805" s="262"/>
      <c r="E2805" s="262" t="s">
        <v>222</v>
      </c>
      <c r="F2805" s="90" t="s">
        <v>12256</v>
      </c>
      <c r="G2805" s="318" t="s">
        <v>13026</v>
      </c>
      <c r="H2805" s="97" t="s">
        <v>11881</v>
      </c>
      <c r="I2805" s="276">
        <v>9.830161418E9</v>
      </c>
      <c r="J2805" s="11" t="s">
        <v>13022</v>
      </c>
      <c r="K2805" s="12" t="s">
        <v>12681</v>
      </c>
      <c r="L2805" s="13"/>
      <c r="M2805" s="11" t="s">
        <v>12682</v>
      </c>
      <c r="N2805" s="5" t="s">
        <v>13027</v>
      </c>
      <c r="O2805" s="5" t="s">
        <v>34</v>
      </c>
      <c r="P2805" s="5" t="s">
        <v>727</v>
      </c>
      <c r="Q2805" s="5" t="s">
        <v>8739</v>
      </c>
      <c r="R2805" s="16" t="s">
        <v>723</v>
      </c>
      <c r="S2805" s="5"/>
      <c r="T2805" s="15"/>
      <c r="U2805" s="15"/>
      <c r="V2805" s="15"/>
      <c r="W2805" s="15"/>
      <c r="X2805" s="15"/>
      <c r="Y2805" s="15"/>
      <c r="Z2805" s="15"/>
      <c r="AA2805" s="15"/>
    </row>
    <row r="2806">
      <c r="A2806" s="5" t="s">
        <v>12949</v>
      </c>
      <c r="B2806" s="131" t="s">
        <v>13028</v>
      </c>
      <c r="C2806" s="371" t="s">
        <v>13029</v>
      </c>
      <c r="D2806" s="262"/>
      <c r="E2806" s="262" t="s">
        <v>3634</v>
      </c>
      <c r="F2806" s="90" t="s">
        <v>12197</v>
      </c>
      <c r="G2806" s="318" t="s">
        <v>13030</v>
      </c>
      <c r="H2806" s="97" t="s">
        <v>13031</v>
      </c>
      <c r="I2806" s="276">
        <v>7.735277943E9</v>
      </c>
      <c r="J2806" s="366" t="s">
        <v>12314</v>
      </c>
      <c r="K2806" s="12" t="s">
        <v>13032</v>
      </c>
      <c r="L2806" s="13"/>
      <c r="M2806" s="11" t="s">
        <v>12862</v>
      </c>
      <c r="N2806" s="5" t="s">
        <v>13033</v>
      </c>
      <c r="O2806" s="5" t="s">
        <v>34</v>
      </c>
      <c r="P2806" s="5" t="s">
        <v>10824</v>
      </c>
      <c r="Q2806" s="15"/>
      <c r="R2806" s="16" t="s">
        <v>723</v>
      </c>
      <c r="S2806" s="15"/>
      <c r="T2806" s="15"/>
      <c r="U2806" s="15"/>
      <c r="V2806" s="15"/>
      <c r="W2806" s="15"/>
      <c r="X2806" s="15"/>
      <c r="Y2806" s="15"/>
      <c r="Z2806" s="15"/>
      <c r="AA2806" s="15"/>
    </row>
    <row r="2807">
      <c r="A2807" s="5" t="s">
        <v>12949</v>
      </c>
      <c r="B2807" s="131" t="s">
        <v>13034</v>
      </c>
      <c r="C2807" s="371" t="s">
        <v>13035</v>
      </c>
      <c r="D2807" s="262"/>
      <c r="E2807" s="262" t="s">
        <v>213</v>
      </c>
      <c r="F2807" s="90" t="s">
        <v>12228</v>
      </c>
      <c r="G2807" s="318" t="s">
        <v>13036</v>
      </c>
      <c r="H2807" s="97" t="s">
        <v>13037</v>
      </c>
      <c r="I2807" s="276">
        <v>9.830797445E9</v>
      </c>
      <c r="J2807" s="41" t="s">
        <v>25</v>
      </c>
      <c r="K2807" s="12" t="s">
        <v>8528</v>
      </c>
      <c r="L2807" s="13"/>
      <c r="M2807" s="11" t="s">
        <v>10171</v>
      </c>
      <c r="N2807" s="5" t="s">
        <v>13038</v>
      </c>
      <c r="O2807" s="5" t="s">
        <v>26</v>
      </c>
      <c r="P2807" s="5" t="s">
        <v>13039</v>
      </c>
      <c r="Q2807" s="15"/>
      <c r="R2807" s="16" t="s">
        <v>634</v>
      </c>
      <c r="S2807" s="15"/>
      <c r="T2807" s="15"/>
      <c r="U2807" s="15"/>
      <c r="V2807" s="15"/>
      <c r="W2807" s="15"/>
      <c r="X2807" s="15"/>
      <c r="Y2807" s="15"/>
      <c r="Z2807" s="15"/>
      <c r="AA2807" s="15"/>
    </row>
    <row r="2808">
      <c r="A2808" s="5" t="s">
        <v>13040</v>
      </c>
      <c r="B2808" s="131" t="s">
        <v>13041</v>
      </c>
      <c r="C2808" s="371" t="s">
        <v>13042</v>
      </c>
      <c r="D2808" s="262"/>
      <c r="E2808" s="262" t="s">
        <v>13043</v>
      </c>
      <c r="F2808" s="90" t="s">
        <v>12228</v>
      </c>
      <c r="G2808" s="157" t="s">
        <v>13044</v>
      </c>
      <c r="H2808" s="97" t="s">
        <v>13045</v>
      </c>
      <c r="I2808" s="276">
        <v>7.67750826E9</v>
      </c>
      <c r="J2808" s="11"/>
      <c r="K2808" s="12"/>
      <c r="L2808" s="12">
        <v>75.0</v>
      </c>
      <c r="M2808" s="11" t="s">
        <v>12825</v>
      </c>
      <c r="N2808" s="5" t="s">
        <v>13046</v>
      </c>
      <c r="O2808" s="5" t="s">
        <v>26</v>
      </c>
      <c r="P2808" s="367" t="s">
        <v>13047</v>
      </c>
      <c r="Q2808" s="15"/>
      <c r="R2808" s="16" t="s">
        <v>634</v>
      </c>
      <c r="S2808" s="15"/>
      <c r="T2808" s="15"/>
      <c r="U2808" s="15"/>
      <c r="V2808" s="15"/>
      <c r="W2808" s="15"/>
      <c r="X2808" s="15"/>
      <c r="Y2808" s="15"/>
      <c r="Z2808" s="15"/>
      <c r="AA2808" s="15"/>
    </row>
    <row r="2809">
      <c r="A2809" s="5" t="s">
        <v>13040</v>
      </c>
      <c r="B2809" s="131" t="s">
        <v>13048</v>
      </c>
      <c r="C2809" s="371" t="s">
        <v>13049</v>
      </c>
      <c r="D2809" s="262"/>
      <c r="E2809" s="262" t="s">
        <v>1373</v>
      </c>
      <c r="F2809" s="90" t="s">
        <v>13050</v>
      </c>
      <c r="G2809" s="318" t="s">
        <v>13051</v>
      </c>
      <c r="H2809" s="97" t="s">
        <v>13052</v>
      </c>
      <c r="I2809" s="276">
        <v>8.016581356E9</v>
      </c>
      <c r="J2809" s="11" t="s">
        <v>13053</v>
      </c>
      <c r="K2809" s="12" t="s">
        <v>2974</v>
      </c>
      <c r="L2809" s="12">
        <v>17.0</v>
      </c>
      <c r="M2809" s="11" t="s">
        <v>7904</v>
      </c>
      <c r="N2809" s="5" t="s">
        <v>13054</v>
      </c>
      <c r="O2809" s="5" t="s">
        <v>34</v>
      </c>
      <c r="P2809" s="5" t="s">
        <v>1384</v>
      </c>
      <c r="Q2809" s="5" t="s">
        <v>13055</v>
      </c>
      <c r="R2809" s="16" t="s">
        <v>551</v>
      </c>
      <c r="S2809" s="5"/>
      <c r="T2809" s="15"/>
      <c r="U2809" s="15"/>
      <c r="V2809" s="15"/>
      <c r="W2809" s="15"/>
      <c r="X2809" s="15"/>
      <c r="Y2809" s="15"/>
      <c r="Z2809" s="15"/>
      <c r="AA2809" s="15"/>
    </row>
    <row r="2810">
      <c r="A2810" s="5" t="s">
        <v>13040</v>
      </c>
      <c r="B2810" s="131" t="s">
        <v>13056</v>
      </c>
      <c r="C2810" s="371" t="s">
        <v>13057</v>
      </c>
      <c r="D2810" s="262"/>
      <c r="E2810" s="262" t="s">
        <v>13058</v>
      </c>
      <c r="F2810" s="90" t="s">
        <v>12228</v>
      </c>
      <c r="G2810" s="318" t="s">
        <v>13059</v>
      </c>
      <c r="H2810" s="11" t="s">
        <v>12631</v>
      </c>
      <c r="I2810" s="276">
        <v>8.158030011E9</v>
      </c>
      <c r="J2810" s="11" t="s">
        <v>4008</v>
      </c>
      <c r="K2810" s="12" t="s">
        <v>8570</v>
      </c>
      <c r="L2810" s="13"/>
      <c r="M2810" s="11" t="s">
        <v>7904</v>
      </c>
      <c r="N2810" s="5" t="s">
        <v>13060</v>
      </c>
      <c r="O2810" s="5" t="s">
        <v>34</v>
      </c>
      <c r="P2810" s="5" t="s">
        <v>1384</v>
      </c>
      <c r="Q2810" s="5" t="s">
        <v>55</v>
      </c>
      <c r="R2810" s="16" t="s">
        <v>723</v>
      </c>
      <c r="S2810" s="15"/>
      <c r="T2810" s="15"/>
      <c r="U2810" s="15"/>
      <c r="V2810" s="15"/>
      <c r="W2810" s="15"/>
      <c r="X2810" s="15"/>
      <c r="Y2810" s="15"/>
      <c r="Z2810" s="15"/>
      <c r="AA2810" s="15"/>
    </row>
    <row r="2811">
      <c r="A2811" s="5" t="s">
        <v>13040</v>
      </c>
      <c r="B2811" s="131" t="s">
        <v>13061</v>
      </c>
      <c r="C2811" s="97" t="s">
        <v>10990</v>
      </c>
      <c r="D2811" s="262"/>
      <c r="E2811" s="262" t="s">
        <v>7694</v>
      </c>
      <c r="F2811" s="90" t="s">
        <v>12541</v>
      </c>
      <c r="G2811" s="318" t="s">
        <v>10992</v>
      </c>
      <c r="H2811" s="11" t="s">
        <v>44</v>
      </c>
      <c r="I2811" s="276">
        <v>9.12394405E9</v>
      </c>
      <c r="J2811" s="11" t="s">
        <v>4008</v>
      </c>
      <c r="K2811" s="12" t="s">
        <v>4681</v>
      </c>
      <c r="L2811" s="13"/>
      <c r="M2811" s="11" t="s">
        <v>9918</v>
      </c>
      <c r="N2811" s="5" t="s">
        <v>13062</v>
      </c>
      <c r="O2811" s="5" t="s">
        <v>26</v>
      </c>
      <c r="P2811" s="367" t="s">
        <v>13063</v>
      </c>
      <c r="Q2811" s="5" t="s">
        <v>453</v>
      </c>
      <c r="R2811" s="16" t="s">
        <v>634</v>
      </c>
      <c r="S2811" s="5"/>
      <c r="T2811" s="15"/>
      <c r="U2811" s="15"/>
      <c r="V2811" s="15"/>
      <c r="W2811" s="15"/>
      <c r="X2811" s="15"/>
      <c r="Y2811" s="15"/>
      <c r="Z2811" s="15"/>
      <c r="AA2811" s="15"/>
    </row>
    <row r="2812">
      <c r="A2812" s="5" t="s">
        <v>13040</v>
      </c>
      <c r="B2812" s="131" t="s">
        <v>13064</v>
      </c>
      <c r="C2812" s="371" t="s">
        <v>13065</v>
      </c>
      <c r="D2812" s="11"/>
      <c r="E2812" s="11" t="s">
        <v>13066</v>
      </c>
      <c r="F2812" s="90" t="s">
        <v>13067</v>
      </c>
      <c r="G2812" s="318" t="s">
        <v>13068</v>
      </c>
      <c r="H2812" s="11" t="s">
        <v>13069</v>
      </c>
      <c r="I2812" s="276">
        <v>9.56426175E9</v>
      </c>
      <c r="J2812" s="11" t="s">
        <v>13053</v>
      </c>
      <c r="K2812" s="12"/>
      <c r="L2812" s="12" t="s">
        <v>13070</v>
      </c>
      <c r="M2812" s="11" t="s">
        <v>13071</v>
      </c>
      <c r="N2812" s="5" t="s">
        <v>13072</v>
      </c>
      <c r="O2812" s="5" t="s">
        <v>34</v>
      </c>
      <c r="P2812" s="11" t="s">
        <v>13073</v>
      </c>
      <c r="Q2812" s="5" t="s">
        <v>55</v>
      </c>
      <c r="R2812" s="16" t="s">
        <v>723</v>
      </c>
      <c r="S2812" s="5"/>
      <c r="T2812" s="15"/>
      <c r="U2812" s="15"/>
      <c r="V2812" s="15"/>
      <c r="W2812" s="15"/>
      <c r="X2812" s="15"/>
      <c r="Y2812" s="15"/>
      <c r="Z2812" s="15"/>
      <c r="AA2812" s="15"/>
    </row>
    <row r="2813">
      <c r="A2813" s="5" t="s">
        <v>13040</v>
      </c>
      <c r="B2813" s="131" t="s">
        <v>13074</v>
      </c>
      <c r="C2813" s="371" t="s">
        <v>13075</v>
      </c>
      <c r="D2813" s="11"/>
      <c r="E2813" s="11" t="s">
        <v>13076</v>
      </c>
      <c r="F2813" s="90" t="s">
        <v>13077</v>
      </c>
      <c r="G2813" s="318" t="s">
        <v>13078</v>
      </c>
      <c r="H2813" s="11" t="s">
        <v>13079</v>
      </c>
      <c r="I2813" s="276" t="s">
        <v>13080</v>
      </c>
      <c r="J2813" s="366" t="s">
        <v>13081</v>
      </c>
      <c r="K2813" s="12" t="s">
        <v>13082</v>
      </c>
      <c r="L2813" s="13"/>
      <c r="M2813" s="11" t="s">
        <v>13083</v>
      </c>
      <c r="N2813" s="5" t="s">
        <v>13084</v>
      </c>
      <c r="O2813" s="5" t="s">
        <v>10708</v>
      </c>
      <c r="P2813" s="15"/>
      <c r="Q2813" s="15"/>
      <c r="R2813" s="16" t="s">
        <v>634</v>
      </c>
      <c r="S2813" s="15"/>
      <c r="T2813" s="15"/>
      <c r="U2813" s="15"/>
      <c r="V2813" s="15"/>
      <c r="W2813" s="15"/>
      <c r="X2813" s="15"/>
      <c r="Y2813" s="15"/>
      <c r="Z2813" s="15"/>
      <c r="AA2813" s="15"/>
    </row>
    <row r="2814">
      <c r="A2814" s="5" t="s">
        <v>13040</v>
      </c>
      <c r="B2814" s="131" t="s">
        <v>13085</v>
      </c>
      <c r="C2814" s="371" t="s">
        <v>13086</v>
      </c>
      <c r="D2814" s="262"/>
      <c r="E2814" s="262" t="s">
        <v>12868</v>
      </c>
      <c r="F2814" s="90" t="s">
        <v>13087</v>
      </c>
      <c r="G2814" s="366" t="s">
        <v>8193</v>
      </c>
      <c r="H2814" s="97" t="s">
        <v>13088</v>
      </c>
      <c r="I2814" s="276">
        <v>9.881055815E9</v>
      </c>
      <c r="J2814" s="11" t="s">
        <v>13089</v>
      </c>
      <c r="K2814" s="12" t="s">
        <v>12969</v>
      </c>
      <c r="L2814" s="12">
        <v>3.5</v>
      </c>
      <c r="M2814" s="11" t="s">
        <v>13090</v>
      </c>
      <c r="N2814" s="5" t="s">
        <v>13091</v>
      </c>
      <c r="O2814" s="5" t="s">
        <v>34</v>
      </c>
      <c r="P2814" s="5" t="s">
        <v>727</v>
      </c>
      <c r="Q2814" s="5" t="s">
        <v>2983</v>
      </c>
      <c r="R2814" s="16" t="s">
        <v>723</v>
      </c>
      <c r="S2814" s="5"/>
      <c r="T2814" s="15"/>
      <c r="U2814" s="15"/>
      <c r="V2814" s="15"/>
      <c r="W2814" s="15"/>
      <c r="X2814" s="15"/>
      <c r="Y2814" s="15"/>
      <c r="Z2814" s="15"/>
      <c r="AA2814" s="15"/>
    </row>
    <row r="2815">
      <c r="A2815" s="5" t="s">
        <v>13040</v>
      </c>
      <c r="B2815" s="131" t="s">
        <v>13092</v>
      </c>
      <c r="C2815" s="371" t="s">
        <v>13093</v>
      </c>
      <c r="D2815" s="262"/>
      <c r="E2815" s="262" t="s">
        <v>152</v>
      </c>
      <c r="F2815" s="90" t="s">
        <v>12205</v>
      </c>
      <c r="G2815" s="318" t="s">
        <v>13094</v>
      </c>
      <c r="H2815" s="97" t="s">
        <v>12751</v>
      </c>
      <c r="I2815" s="276">
        <v>8.07220947E9</v>
      </c>
      <c r="J2815" s="366" t="s">
        <v>12745</v>
      </c>
      <c r="K2815" s="12"/>
      <c r="L2815" s="12">
        <v>23.0</v>
      </c>
      <c r="M2815" s="11" t="s">
        <v>9776</v>
      </c>
      <c r="N2815" s="5" t="s">
        <v>13095</v>
      </c>
      <c r="O2815" s="5" t="s">
        <v>34</v>
      </c>
      <c r="P2815" s="5" t="s">
        <v>921</v>
      </c>
      <c r="Q2815" s="15"/>
      <c r="R2815" s="16" t="s">
        <v>723</v>
      </c>
      <c r="S2815" s="15"/>
      <c r="T2815" s="15"/>
      <c r="U2815" s="15"/>
      <c r="V2815" s="15"/>
      <c r="W2815" s="15"/>
      <c r="X2815" s="15"/>
      <c r="Y2815" s="15"/>
      <c r="Z2815" s="15"/>
      <c r="AA2815" s="15"/>
    </row>
    <row r="2816">
      <c r="A2816" s="5" t="s">
        <v>13040</v>
      </c>
      <c r="B2816" s="131" t="s">
        <v>13096</v>
      </c>
      <c r="C2816" s="371" t="s">
        <v>13097</v>
      </c>
      <c r="D2816" s="262"/>
      <c r="E2816" s="262" t="s">
        <v>3165</v>
      </c>
      <c r="F2816" s="90" t="s">
        <v>12205</v>
      </c>
      <c r="G2816" s="318" t="s">
        <v>13098</v>
      </c>
      <c r="H2816" s="97" t="s">
        <v>2882</v>
      </c>
      <c r="I2816" s="276">
        <v>7.988579934E9</v>
      </c>
      <c r="J2816" s="11" t="s">
        <v>13053</v>
      </c>
      <c r="K2816" s="12"/>
      <c r="L2816" s="12">
        <v>85.0</v>
      </c>
      <c r="M2816" s="11" t="s">
        <v>13099</v>
      </c>
      <c r="N2816" s="5" t="s">
        <v>13100</v>
      </c>
      <c r="O2816" s="5" t="s">
        <v>34</v>
      </c>
      <c r="P2816" s="5" t="s">
        <v>8466</v>
      </c>
      <c r="Q2816" s="5" t="s">
        <v>777</v>
      </c>
      <c r="R2816" s="16" t="s">
        <v>634</v>
      </c>
      <c r="S2816" s="15"/>
      <c r="T2816" s="15"/>
      <c r="U2816" s="15"/>
      <c r="V2816" s="15"/>
      <c r="W2816" s="15"/>
      <c r="X2816" s="15"/>
      <c r="Y2816" s="15"/>
      <c r="Z2816" s="15"/>
      <c r="AA2816" s="15"/>
    </row>
    <row r="2817">
      <c r="A2817" s="5" t="s">
        <v>13040</v>
      </c>
      <c r="B2817" s="131" t="s">
        <v>13101</v>
      </c>
      <c r="C2817" s="371" t="s">
        <v>13102</v>
      </c>
      <c r="D2817" s="262"/>
      <c r="E2817" s="262" t="s">
        <v>5756</v>
      </c>
      <c r="F2817" s="90" t="s">
        <v>13103</v>
      </c>
      <c r="G2817" s="318" t="s">
        <v>13104</v>
      </c>
      <c r="H2817" s="11" t="s">
        <v>44</v>
      </c>
      <c r="I2817" s="276">
        <v>9.007576666E9</v>
      </c>
      <c r="J2817" s="41" t="s">
        <v>25</v>
      </c>
      <c r="K2817" s="12"/>
      <c r="L2817" s="12">
        <v>12.0</v>
      </c>
      <c r="M2817" s="11" t="s">
        <v>9685</v>
      </c>
      <c r="N2817" s="5" t="s">
        <v>13105</v>
      </c>
      <c r="O2817" s="5" t="s">
        <v>26</v>
      </c>
      <c r="P2817" s="367" t="s">
        <v>13106</v>
      </c>
      <c r="Q2817" s="15"/>
      <c r="R2817" s="16" t="s">
        <v>723</v>
      </c>
      <c r="S2817" s="15"/>
      <c r="T2817" s="15"/>
      <c r="U2817" s="15"/>
      <c r="V2817" s="15"/>
      <c r="W2817" s="15"/>
      <c r="X2817" s="15"/>
      <c r="Y2817" s="15"/>
      <c r="Z2817" s="15"/>
      <c r="AA2817" s="15"/>
    </row>
    <row r="2818">
      <c r="A2818" s="5" t="s">
        <v>13040</v>
      </c>
      <c r="B2818" s="131" t="s">
        <v>13107</v>
      </c>
      <c r="C2818" s="371" t="s">
        <v>13108</v>
      </c>
      <c r="D2818" s="262"/>
      <c r="E2818" s="262" t="s">
        <v>13109</v>
      </c>
      <c r="F2818" s="90" t="s">
        <v>12247</v>
      </c>
      <c r="G2818" s="318" t="s">
        <v>13110</v>
      </c>
      <c r="H2818" s="97" t="s">
        <v>13111</v>
      </c>
      <c r="I2818" s="276">
        <v>9.836059305E9</v>
      </c>
      <c r="J2818" s="11" t="s">
        <v>4008</v>
      </c>
      <c r="K2818" s="12" t="s">
        <v>8753</v>
      </c>
      <c r="L2818" s="13"/>
      <c r="M2818" s="14"/>
      <c r="N2818" s="15"/>
      <c r="O2818" s="5" t="s">
        <v>26</v>
      </c>
      <c r="P2818" s="15"/>
      <c r="Q2818" s="15"/>
      <c r="R2818" s="16" t="s">
        <v>28</v>
      </c>
      <c r="S2818" s="15"/>
      <c r="T2818" s="15"/>
      <c r="U2818" s="15"/>
      <c r="V2818" s="15"/>
      <c r="W2818" s="15"/>
      <c r="X2818" s="15"/>
      <c r="Y2818" s="15"/>
      <c r="Z2818" s="15"/>
      <c r="AA2818" s="15"/>
    </row>
    <row r="2819">
      <c r="A2819" s="5" t="s">
        <v>13112</v>
      </c>
      <c r="B2819" s="131" t="s">
        <v>13113</v>
      </c>
      <c r="C2819" s="371" t="s">
        <v>13114</v>
      </c>
      <c r="D2819" s="11"/>
      <c r="E2819" s="11" t="s">
        <v>841</v>
      </c>
      <c r="F2819" s="90" t="s">
        <v>12197</v>
      </c>
      <c r="G2819" s="318" t="s">
        <v>13115</v>
      </c>
      <c r="H2819" s="11" t="s">
        <v>13116</v>
      </c>
      <c r="I2819" s="276">
        <v>8.641816538E9</v>
      </c>
      <c r="J2819" s="11" t="s">
        <v>4008</v>
      </c>
      <c r="K2819" s="12" t="s">
        <v>13117</v>
      </c>
      <c r="L2819" s="13"/>
      <c r="M2819" s="11" t="s">
        <v>9034</v>
      </c>
      <c r="N2819" s="5" t="s">
        <v>13118</v>
      </c>
      <c r="O2819" s="5" t="s">
        <v>26</v>
      </c>
      <c r="P2819" s="5" t="s">
        <v>453</v>
      </c>
      <c r="Q2819" s="15"/>
      <c r="R2819" s="16" t="s">
        <v>634</v>
      </c>
      <c r="S2819" s="15"/>
      <c r="T2819" s="15"/>
      <c r="U2819" s="15"/>
      <c r="V2819" s="15"/>
      <c r="W2819" s="15"/>
      <c r="X2819" s="15"/>
      <c r="Y2819" s="15"/>
      <c r="Z2819" s="15"/>
      <c r="AA2819" s="15"/>
    </row>
    <row r="2820">
      <c r="A2820" s="5" t="s">
        <v>13112</v>
      </c>
      <c r="B2820" s="131" t="s">
        <v>13119</v>
      </c>
      <c r="C2820" s="97" t="s">
        <v>13120</v>
      </c>
      <c r="D2820" s="262"/>
      <c r="E2820" s="262" t="s">
        <v>9050</v>
      </c>
      <c r="F2820" s="90" t="s">
        <v>13121</v>
      </c>
      <c r="G2820" s="318" t="s">
        <v>13122</v>
      </c>
      <c r="H2820" s="97" t="s">
        <v>13123</v>
      </c>
      <c r="I2820" s="276">
        <v>9.546673405E9</v>
      </c>
      <c r="J2820" s="366" t="s">
        <v>12314</v>
      </c>
      <c r="K2820" s="12" t="s">
        <v>8677</v>
      </c>
      <c r="L2820" s="12">
        <v>960.0</v>
      </c>
      <c r="M2820" s="11" t="s">
        <v>13124</v>
      </c>
      <c r="N2820" s="5" t="s">
        <v>13125</v>
      </c>
      <c r="O2820" s="5" t="s">
        <v>108</v>
      </c>
      <c r="P2820" s="5" t="s">
        <v>13126</v>
      </c>
      <c r="Q2820" s="11" t="s">
        <v>13127</v>
      </c>
      <c r="R2820" s="16" t="s">
        <v>634</v>
      </c>
      <c r="S2820" s="11"/>
      <c r="T2820" s="15"/>
      <c r="U2820" s="15"/>
      <c r="V2820" s="15"/>
      <c r="W2820" s="15"/>
      <c r="X2820" s="15"/>
      <c r="Y2820" s="15"/>
      <c r="Z2820" s="15"/>
      <c r="AA2820" s="15"/>
    </row>
    <row r="2821">
      <c r="A2821" s="5" t="s">
        <v>13112</v>
      </c>
      <c r="B2821" s="131" t="s">
        <v>13128</v>
      </c>
      <c r="C2821" s="371" t="s">
        <v>13129</v>
      </c>
      <c r="D2821" s="262"/>
      <c r="E2821" s="262" t="s">
        <v>10332</v>
      </c>
      <c r="F2821" s="90" t="s">
        <v>13121</v>
      </c>
      <c r="G2821" s="366" t="s">
        <v>13130</v>
      </c>
      <c r="H2821" s="11" t="s">
        <v>44</v>
      </c>
      <c r="I2821" s="276">
        <v>9.733058288E9</v>
      </c>
      <c r="J2821" s="366" t="s">
        <v>12314</v>
      </c>
      <c r="K2821" s="12" t="s">
        <v>13131</v>
      </c>
      <c r="L2821" s="12">
        <v>245.0</v>
      </c>
      <c r="M2821" s="11" t="s">
        <v>13132</v>
      </c>
      <c r="N2821" s="5" t="s">
        <v>13133</v>
      </c>
      <c r="O2821" s="5" t="s">
        <v>34</v>
      </c>
      <c r="P2821" s="5" t="s">
        <v>13134</v>
      </c>
      <c r="Q2821" s="15"/>
      <c r="R2821" s="16" t="s">
        <v>723</v>
      </c>
      <c r="S2821" s="15"/>
      <c r="T2821" s="15"/>
      <c r="U2821" s="15"/>
      <c r="V2821" s="15"/>
      <c r="W2821" s="15"/>
      <c r="X2821" s="15"/>
      <c r="Y2821" s="15"/>
      <c r="Z2821" s="15"/>
      <c r="AA2821" s="15"/>
    </row>
    <row r="2822">
      <c r="A2822" s="5" t="s">
        <v>13112</v>
      </c>
      <c r="B2822" s="131" t="s">
        <v>13135</v>
      </c>
      <c r="C2822" s="371" t="s">
        <v>13136</v>
      </c>
      <c r="D2822" s="262"/>
      <c r="E2822" s="262" t="s">
        <v>116</v>
      </c>
      <c r="F2822" s="90" t="s">
        <v>12829</v>
      </c>
      <c r="G2822" s="318" t="s">
        <v>13137</v>
      </c>
      <c r="H2822" s="97" t="s">
        <v>13138</v>
      </c>
      <c r="I2822" s="276">
        <v>6.372978378E9</v>
      </c>
      <c r="J2822" s="41" t="s">
        <v>25</v>
      </c>
      <c r="K2822" s="12" t="s">
        <v>13139</v>
      </c>
      <c r="L2822" s="13"/>
      <c r="M2822" s="14"/>
      <c r="N2822" s="15"/>
      <c r="O2822" s="5" t="s">
        <v>108</v>
      </c>
      <c r="P2822" s="5" t="s">
        <v>13140</v>
      </c>
      <c r="Q2822" s="15"/>
      <c r="R2822" s="16" t="s">
        <v>723</v>
      </c>
      <c r="S2822" s="15"/>
      <c r="T2822" s="15"/>
      <c r="U2822" s="15"/>
      <c r="V2822" s="15"/>
      <c r="W2822" s="15"/>
      <c r="X2822" s="15"/>
      <c r="Y2822" s="15"/>
      <c r="Z2822" s="15"/>
      <c r="AA2822" s="15"/>
    </row>
    <row r="2823">
      <c r="A2823" s="5" t="s">
        <v>13112</v>
      </c>
      <c r="B2823" s="131" t="s">
        <v>13141</v>
      </c>
      <c r="C2823" s="388" t="s">
        <v>13142</v>
      </c>
      <c r="D2823" s="389"/>
      <c r="E2823" s="389" t="s">
        <v>12659</v>
      </c>
      <c r="F2823" s="148" t="s">
        <v>12205</v>
      </c>
      <c r="G2823" s="390" t="s">
        <v>13143</v>
      </c>
      <c r="H2823" s="149" t="s">
        <v>7784</v>
      </c>
      <c r="I2823" s="391">
        <v>9.594005969E9</v>
      </c>
      <c r="J2823" s="41" t="s">
        <v>25</v>
      </c>
      <c r="K2823" s="12"/>
      <c r="L2823" s="13"/>
      <c r="M2823" s="14"/>
      <c r="N2823" s="15"/>
      <c r="O2823" s="5" t="s">
        <v>108</v>
      </c>
      <c r="P2823" s="5" t="s">
        <v>13144</v>
      </c>
      <c r="Q2823" s="15"/>
      <c r="R2823" s="16" t="s">
        <v>28</v>
      </c>
      <c r="S2823" s="15"/>
      <c r="T2823" s="15"/>
      <c r="U2823" s="15"/>
      <c r="V2823" s="15"/>
      <c r="W2823" s="15"/>
      <c r="X2823" s="15"/>
      <c r="Y2823" s="15"/>
      <c r="Z2823" s="15"/>
      <c r="AA2823" s="15"/>
    </row>
    <row r="2824">
      <c r="A2824" s="5" t="s">
        <v>13145</v>
      </c>
      <c r="B2824" s="131" t="s">
        <v>13146</v>
      </c>
      <c r="C2824" s="62" t="s">
        <v>13147</v>
      </c>
      <c r="D2824" s="11"/>
      <c r="E2824" s="11" t="s">
        <v>841</v>
      </c>
      <c r="F2824" s="90" t="s">
        <v>12296</v>
      </c>
      <c r="G2824" s="318" t="s">
        <v>13148</v>
      </c>
      <c r="H2824" s="11" t="s">
        <v>44</v>
      </c>
      <c r="I2824" s="276">
        <v>9.830304982E9</v>
      </c>
      <c r="J2824" s="41" t="s">
        <v>25</v>
      </c>
      <c r="K2824" s="12"/>
      <c r="L2824" s="12">
        <v>6.5</v>
      </c>
      <c r="M2824" s="11" t="s">
        <v>8860</v>
      </c>
      <c r="N2824" s="5" t="s">
        <v>13149</v>
      </c>
      <c r="O2824" s="5" t="s">
        <v>26</v>
      </c>
      <c r="P2824" s="5" t="s">
        <v>13150</v>
      </c>
      <c r="Q2824" s="15"/>
      <c r="R2824" s="16" t="s">
        <v>723</v>
      </c>
      <c r="S2824" s="15"/>
      <c r="T2824" s="15"/>
      <c r="U2824" s="15"/>
      <c r="V2824" s="15"/>
      <c r="W2824" s="15"/>
      <c r="X2824" s="15"/>
      <c r="Y2824" s="15"/>
      <c r="Z2824" s="15"/>
      <c r="AA2824" s="15"/>
    </row>
    <row r="2825">
      <c r="A2825" s="5" t="s">
        <v>13145</v>
      </c>
      <c r="B2825" s="131" t="s">
        <v>13151</v>
      </c>
      <c r="C2825" s="97" t="s">
        <v>13152</v>
      </c>
      <c r="D2825" s="262"/>
      <c r="E2825" s="262" t="s">
        <v>523</v>
      </c>
      <c r="F2825" s="90" t="s">
        <v>12205</v>
      </c>
      <c r="G2825" s="318" t="s">
        <v>13148</v>
      </c>
      <c r="H2825" s="11" t="s">
        <v>13153</v>
      </c>
      <c r="I2825" s="276">
        <v>7.278845053E9</v>
      </c>
      <c r="J2825" s="366" t="s">
        <v>13154</v>
      </c>
      <c r="K2825" s="12"/>
      <c r="L2825" s="12" t="s">
        <v>13155</v>
      </c>
      <c r="M2825" s="11" t="s">
        <v>9901</v>
      </c>
      <c r="N2825" s="5" t="s">
        <v>13156</v>
      </c>
      <c r="O2825" s="5" t="s">
        <v>26</v>
      </c>
      <c r="P2825" s="5" t="s">
        <v>13157</v>
      </c>
      <c r="Q2825" s="15"/>
      <c r="R2825" s="16" t="s">
        <v>723</v>
      </c>
      <c r="S2825" s="15"/>
      <c r="T2825" s="15"/>
      <c r="U2825" s="15"/>
      <c r="V2825" s="15"/>
      <c r="W2825" s="15"/>
      <c r="X2825" s="15"/>
      <c r="Y2825" s="15"/>
      <c r="Z2825" s="15"/>
      <c r="AA2825" s="15"/>
    </row>
    <row r="2826">
      <c r="A2826" s="5" t="s">
        <v>13145</v>
      </c>
      <c r="B2826" s="131" t="s">
        <v>13158</v>
      </c>
      <c r="C2826" s="371" t="s">
        <v>13159</v>
      </c>
      <c r="D2826" s="262"/>
      <c r="E2826" s="262" t="s">
        <v>1509</v>
      </c>
      <c r="F2826" s="90" t="s">
        <v>12296</v>
      </c>
      <c r="G2826" s="366" t="s">
        <v>13160</v>
      </c>
      <c r="H2826" s="97" t="s">
        <v>13161</v>
      </c>
      <c r="I2826" s="276">
        <v>9.820703572E9</v>
      </c>
      <c r="J2826" s="11" t="s">
        <v>13162</v>
      </c>
      <c r="K2826" s="12" t="s">
        <v>8753</v>
      </c>
      <c r="L2826" s="13"/>
      <c r="M2826" s="11" t="s">
        <v>13163</v>
      </c>
      <c r="N2826" s="15"/>
      <c r="O2826" s="5" t="s">
        <v>108</v>
      </c>
      <c r="P2826" s="15"/>
      <c r="Q2826" s="15"/>
      <c r="R2826" s="16" t="s">
        <v>28</v>
      </c>
      <c r="S2826" s="15"/>
      <c r="T2826" s="15"/>
      <c r="U2826" s="15"/>
      <c r="V2826" s="15"/>
      <c r="W2826" s="15"/>
      <c r="X2826" s="15"/>
      <c r="Y2826" s="15"/>
      <c r="Z2826" s="15"/>
      <c r="AA2826" s="15"/>
    </row>
    <row r="2827">
      <c r="A2827" s="5" t="s">
        <v>13145</v>
      </c>
      <c r="B2827" s="131" t="s">
        <v>13164</v>
      </c>
      <c r="C2827" s="371" t="s">
        <v>13165</v>
      </c>
      <c r="D2827" s="262"/>
      <c r="E2827" s="262" t="s">
        <v>13166</v>
      </c>
      <c r="F2827" s="90" t="s">
        <v>13167</v>
      </c>
      <c r="G2827" s="318" t="s">
        <v>13168</v>
      </c>
      <c r="H2827" s="97" t="s">
        <v>13169</v>
      </c>
      <c r="I2827" s="276">
        <v>9.730229577E9</v>
      </c>
      <c r="J2827" s="11" t="s">
        <v>3577</v>
      </c>
      <c r="K2827" s="12"/>
      <c r="L2827" s="12">
        <v>4.5</v>
      </c>
      <c r="M2827" s="11" t="s">
        <v>13170</v>
      </c>
      <c r="N2827" s="5" t="s">
        <v>13171</v>
      </c>
      <c r="O2827" s="5" t="s">
        <v>34</v>
      </c>
      <c r="P2827" s="5" t="s">
        <v>727</v>
      </c>
      <c r="Q2827" s="5" t="s">
        <v>727</v>
      </c>
      <c r="R2827" s="16" t="s">
        <v>723</v>
      </c>
      <c r="S2827" s="5"/>
      <c r="T2827" s="15"/>
      <c r="U2827" s="15"/>
      <c r="V2827" s="15"/>
      <c r="W2827" s="15"/>
      <c r="X2827" s="15"/>
      <c r="Y2827" s="15"/>
      <c r="Z2827" s="15"/>
      <c r="AA2827" s="15"/>
    </row>
    <row r="2828">
      <c r="A2828" s="5" t="s">
        <v>13145</v>
      </c>
      <c r="B2828" s="131" t="s">
        <v>13172</v>
      </c>
      <c r="C2828" s="371" t="s">
        <v>13173</v>
      </c>
      <c r="D2828" s="262"/>
      <c r="E2828" s="262" t="s">
        <v>13174</v>
      </c>
      <c r="F2828" s="90" t="s">
        <v>8282</v>
      </c>
      <c r="G2828" s="318" t="s">
        <v>13175</v>
      </c>
      <c r="H2828" s="97" t="s">
        <v>13176</v>
      </c>
      <c r="I2828" s="276">
        <v>9.860091918E9</v>
      </c>
      <c r="J2828" s="366" t="s">
        <v>12314</v>
      </c>
      <c r="K2828" s="12" t="s">
        <v>8753</v>
      </c>
      <c r="L2828" s="13"/>
      <c r="M2828" s="14"/>
      <c r="N2828" s="15"/>
      <c r="O2828" s="5" t="s">
        <v>34</v>
      </c>
      <c r="P2828" s="15"/>
      <c r="Q2828" s="15"/>
      <c r="R2828" s="16" t="s">
        <v>28</v>
      </c>
      <c r="S2828" s="15"/>
      <c r="T2828" s="15"/>
      <c r="U2828" s="15"/>
      <c r="V2828" s="15"/>
      <c r="W2828" s="15"/>
      <c r="X2828" s="15"/>
      <c r="Y2828" s="15"/>
      <c r="Z2828" s="15"/>
      <c r="AA2828" s="15"/>
    </row>
    <row r="2829">
      <c r="A2829" s="5" t="s">
        <v>13145</v>
      </c>
      <c r="B2829" s="131" t="s">
        <v>13177</v>
      </c>
      <c r="C2829" s="97" t="s">
        <v>13178</v>
      </c>
      <c r="D2829" s="262"/>
      <c r="E2829" s="262" t="s">
        <v>3926</v>
      </c>
      <c r="F2829" s="90" t="s">
        <v>12296</v>
      </c>
      <c r="G2829" s="318" t="s">
        <v>13179</v>
      </c>
      <c r="H2829" s="97" t="s">
        <v>13180</v>
      </c>
      <c r="I2829" s="276">
        <v>8.885899074E9</v>
      </c>
      <c r="J2829" s="366" t="s">
        <v>12314</v>
      </c>
      <c r="K2829" s="12" t="s">
        <v>13181</v>
      </c>
      <c r="L2829" s="13"/>
      <c r="M2829" s="11" t="s">
        <v>11859</v>
      </c>
      <c r="N2829" s="5" t="s">
        <v>13182</v>
      </c>
      <c r="O2829" s="5" t="s">
        <v>108</v>
      </c>
      <c r="P2829" s="5" t="s">
        <v>13183</v>
      </c>
      <c r="Q2829" s="15"/>
      <c r="R2829" s="16" t="s">
        <v>634</v>
      </c>
      <c r="S2829" s="15"/>
      <c r="T2829" s="15"/>
      <c r="U2829" s="15"/>
      <c r="V2829" s="15"/>
      <c r="W2829" s="15"/>
      <c r="X2829" s="15"/>
      <c r="Y2829" s="15"/>
      <c r="Z2829" s="15"/>
      <c r="AA2829" s="15"/>
    </row>
    <row r="2830">
      <c r="A2830" s="5" t="s">
        <v>13145</v>
      </c>
      <c r="B2830" s="131" t="s">
        <v>13184</v>
      </c>
      <c r="C2830" s="371" t="s">
        <v>13185</v>
      </c>
      <c r="D2830" s="262"/>
      <c r="E2830" s="262" t="s">
        <v>130</v>
      </c>
      <c r="F2830" s="90" t="s">
        <v>12256</v>
      </c>
      <c r="G2830" s="318" t="s">
        <v>13186</v>
      </c>
      <c r="H2830" s="11" t="s">
        <v>13187</v>
      </c>
      <c r="I2830" s="276">
        <v>9.819624857E9</v>
      </c>
      <c r="J2830" s="11" t="s">
        <v>8737</v>
      </c>
      <c r="K2830" s="12" t="s">
        <v>9222</v>
      </c>
      <c r="L2830" s="13"/>
      <c r="M2830" s="11" t="s">
        <v>10721</v>
      </c>
      <c r="N2830" s="5" t="s">
        <v>13188</v>
      </c>
      <c r="O2830" s="5" t="s">
        <v>108</v>
      </c>
      <c r="P2830" s="15"/>
      <c r="Q2830" s="15"/>
      <c r="R2830" s="16" t="s">
        <v>634</v>
      </c>
      <c r="S2830" s="15"/>
      <c r="T2830" s="15"/>
      <c r="U2830" s="15"/>
      <c r="V2830" s="15"/>
      <c r="W2830" s="15"/>
      <c r="X2830" s="15"/>
      <c r="Y2830" s="15"/>
      <c r="Z2830" s="15"/>
      <c r="AA2830" s="15"/>
    </row>
    <row r="2831">
      <c r="A2831" s="5" t="s">
        <v>13145</v>
      </c>
      <c r="B2831" s="131" t="s">
        <v>13189</v>
      </c>
      <c r="C2831" s="149" t="s">
        <v>474</v>
      </c>
      <c r="D2831" s="389"/>
      <c r="E2831" s="389" t="s">
        <v>13190</v>
      </c>
      <c r="F2831" s="148" t="s">
        <v>12541</v>
      </c>
      <c r="G2831" s="392" t="s">
        <v>13191</v>
      </c>
      <c r="H2831" s="146" t="s">
        <v>906</v>
      </c>
      <c r="I2831" s="391">
        <v>9.653307349E9</v>
      </c>
      <c r="J2831" s="11" t="s">
        <v>12910</v>
      </c>
      <c r="K2831" s="12" t="s">
        <v>9222</v>
      </c>
      <c r="L2831" s="13"/>
      <c r="M2831" s="11" t="s">
        <v>10721</v>
      </c>
      <c r="N2831" s="5" t="s">
        <v>13192</v>
      </c>
      <c r="O2831" s="5" t="s">
        <v>108</v>
      </c>
      <c r="P2831" s="5" t="s">
        <v>13193</v>
      </c>
      <c r="Q2831" s="15"/>
      <c r="R2831" s="16" t="s">
        <v>634</v>
      </c>
      <c r="S2831" s="15"/>
      <c r="T2831" s="15"/>
      <c r="U2831" s="15"/>
      <c r="V2831" s="15"/>
      <c r="W2831" s="15"/>
      <c r="X2831" s="15"/>
      <c r="Y2831" s="15"/>
      <c r="Z2831" s="15"/>
      <c r="AA2831" s="15"/>
    </row>
    <row r="2832">
      <c r="A2832" s="5" t="s">
        <v>13145</v>
      </c>
      <c r="B2832" s="131" t="s">
        <v>13194</v>
      </c>
      <c r="C2832" s="371" t="s">
        <v>13195</v>
      </c>
      <c r="D2832" s="262"/>
      <c r="E2832" s="262" t="s">
        <v>13196</v>
      </c>
      <c r="F2832" s="90" t="s">
        <v>12247</v>
      </c>
      <c r="G2832" s="318" t="s">
        <v>13197</v>
      </c>
      <c r="H2832" s="97" t="s">
        <v>6149</v>
      </c>
      <c r="I2832" s="276">
        <v>9.830027576E9</v>
      </c>
      <c r="J2832" s="366" t="s">
        <v>12314</v>
      </c>
      <c r="K2832" s="12"/>
      <c r="L2832" s="12">
        <v>35.0</v>
      </c>
      <c r="M2832" s="11" t="s">
        <v>6155</v>
      </c>
      <c r="N2832" s="5" t="s">
        <v>13198</v>
      </c>
      <c r="O2832" s="5" t="s">
        <v>34</v>
      </c>
      <c r="P2832" s="5" t="s">
        <v>13199</v>
      </c>
      <c r="Q2832" s="5" t="s">
        <v>10257</v>
      </c>
      <c r="R2832" s="16" t="s">
        <v>74</v>
      </c>
      <c r="S2832" s="5"/>
      <c r="T2832" s="15"/>
      <c r="U2832" s="15"/>
      <c r="V2832" s="15"/>
      <c r="W2832" s="15"/>
      <c r="X2832" s="15"/>
      <c r="Y2832" s="15"/>
      <c r="Z2832" s="15"/>
      <c r="AA2832" s="15"/>
    </row>
    <row r="2833">
      <c r="A2833" s="5" t="s">
        <v>13145</v>
      </c>
      <c r="B2833" s="131" t="s">
        <v>13200</v>
      </c>
      <c r="C2833" s="371" t="s">
        <v>13201</v>
      </c>
      <c r="D2833" s="262"/>
      <c r="E2833" s="262" t="s">
        <v>152</v>
      </c>
      <c r="F2833" s="90" t="s">
        <v>13202</v>
      </c>
      <c r="G2833" s="318" t="s">
        <v>13203</v>
      </c>
      <c r="H2833" s="97" t="s">
        <v>13204</v>
      </c>
      <c r="I2833" s="276">
        <v>9.831192035E9</v>
      </c>
      <c r="J2833" s="11" t="s">
        <v>4008</v>
      </c>
      <c r="K2833" s="12"/>
      <c r="L2833" s="12">
        <v>18.5</v>
      </c>
      <c r="M2833" s="11" t="s">
        <v>13205</v>
      </c>
      <c r="N2833" s="5" t="s">
        <v>13206</v>
      </c>
      <c r="O2833" s="5" t="s">
        <v>34</v>
      </c>
      <c r="P2833" s="5" t="s">
        <v>13207</v>
      </c>
      <c r="Q2833" s="5" t="s">
        <v>13208</v>
      </c>
      <c r="R2833" s="16" t="s">
        <v>723</v>
      </c>
      <c r="S2833" s="5"/>
      <c r="T2833" s="15"/>
      <c r="U2833" s="15"/>
      <c r="V2833" s="15"/>
      <c r="W2833" s="15"/>
      <c r="X2833" s="15"/>
      <c r="Y2833" s="15"/>
      <c r="Z2833" s="15"/>
      <c r="AA2833" s="15"/>
    </row>
    <row r="2834">
      <c r="A2834" s="5" t="s">
        <v>13145</v>
      </c>
      <c r="B2834" s="131" t="s">
        <v>13209</v>
      </c>
      <c r="C2834" s="371" t="s">
        <v>13210</v>
      </c>
      <c r="D2834" s="262"/>
      <c r="E2834" s="262" t="s">
        <v>13211</v>
      </c>
      <c r="F2834" s="90" t="s">
        <v>12285</v>
      </c>
      <c r="G2834" s="318" t="s">
        <v>13212</v>
      </c>
      <c r="H2834" s="97" t="s">
        <v>13213</v>
      </c>
      <c r="I2834" s="276">
        <v>9.3518765E9</v>
      </c>
      <c r="J2834" s="11" t="s">
        <v>4008</v>
      </c>
      <c r="K2834" s="12"/>
      <c r="L2834" s="13"/>
      <c r="M2834" s="14"/>
      <c r="N2834" s="15"/>
      <c r="O2834" s="5" t="s">
        <v>26</v>
      </c>
      <c r="P2834" s="15"/>
      <c r="Q2834" s="15"/>
      <c r="R2834" s="16" t="s">
        <v>28</v>
      </c>
      <c r="S2834" s="15"/>
      <c r="T2834" s="15"/>
      <c r="U2834" s="15"/>
      <c r="V2834" s="15"/>
      <c r="W2834" s="15"/>
      <c r="X2834" s="15"/>
      <c r="Y2834" s="15"/>
      <c r="Z2834" s="15"/>
      <c r="AA2834" s="15"/>
    </row>
    <row r="2835">
      <c r="A2835" s="5" t="s">
        <v>13145</v>
      </c>
      <c r="B2835" s="131" t="s">
        <v>13214</v>
      </c>
      <c r="C2835" s="371" t="s">
        <v>13215</v>
      </c>
      <c r="D2835" s="262"/>
      <c r="E2835" s="262" t="s">
        <v>152</v>
      </c>
      <c r="F2835" s="90" t="s">
        <v>12320</v>
      </c>
      <c r="G2835" s="318" t="s">
        <v>13216</v>
      </c>
      <c r="H2835" s="97" t="s">
        <v>13217</v>
      </c>
      <c r="I2835" s="276">
        <v>9.993979485E9</v>
      </c>
      <c r="J2835" s="41" t="s">
        <v>25</v>
      </c>
      <c r="K2835" s="12"/>
      <c r="L2835" s="12">
        <v>23.0</v>
      </c>
      <c r="M2835" s="11" t="s">
        <v>9776</v>
      </c>
      <c r="N2835" s="15"/>
      <c r="O2835" s="5" t="s">
        <v>34</v>
      </c>
      <c r="P2835" s="5" t="s">
        <v>13218</v>
      </c>
      <c r="Q2835" s="15"/>
      <c r="R2835" s="16" t="s">
        <v>723</v>
      </c>
      <c r="S2835" s="15"/>
      <c r="T2835" s="15"/>
      <c r="U2835" s="15"/>
      <c r="V2835" s="15"/>
      <c r="W2835" s="15"/>
      <c r="X2835" s="15"/>
      <c r="Y2835" s="15"/>
      <c r="Z2835" s="15"/>
      <c r="AA2835" s="15"/>
    </row>
    <row r="2836">
      <c r="A2836" s="5" t="s">
        <v>13145</v>
      </c>
      <c r="B2836" s="131" t="s">
        <v>13219</v>
      </c>
      <c r="C2836" s="371" t="s">
        <v>13220</v>
      </c>
      <c r="D2836" s="262"/>
      <c r="E2836" s="262" t="s">
        <v>9050</v>
      </c>
      <c r="F2836" s="90" t="s">
        <v>12972</v>
      </c>
      <c r="G2836" s="318" t="s">
        <v>9795</v>
      </c>
      <c r="H2836" s="11" t="s">
        <v>44</v>
      </c>
      <c r="I2836" s="276">
        <v>8.250918574E9</v>
      </c>
      <c r="J2836" s="11" t="s">
        <v>4008</v>
      </c>
      <c r="K2836" s="12" t="s">
        <v>8677</v>
      </c>
      <c r="L2836" s="12">
        <v>1000.0</v>
      </c>
      <c r="M2836" s="11" t="s">
        <v>13221</v>
      </c>
      <c r="N2836" s="5" t="s">
        <v>13222</v>
      </c>
      <c r="O2836" s="5" t="s">
        <v>26</v>
      </c>
      <c r="P2836" s="286" t="s">
        <v>13223</v>
      </c>
      <c r="Q2836" s="5" t="s">
        <v>13224</v>
      </c>
      <c r="R2836" s="16" t="s">
        <v>634</v>
      </c>
      <c r="S2836" s="5"/>
      <c r="T2836" s="15"/>
      <c r="U2836" s="15"/>
      <c r="V2836" s="15"/>
      <c r="W2836" s="15"/>
      <c r="X2836" s="15"/>
      <c r="Y2836" s="15"/>
      <c r="Z2836" s="15"/>
      <c r="AA2836" s="15"/>
    </row>
    <row r="2837">
      <c r="A2837" s="5" t="s">
        <v>13225</v>
      </c>
      <c r="B2837" s="131" t="s">
        <v>13226</v>
      </c>
      <c r="C2837" s="97" t="s">
        <v>13227</v>
      </c>
      <c r="D2837" s="262"/>
      <c r="E2837" s="262" t="s">
        <v>13228</v>
      </c>
      <c r="F2837" s="90" t="s">
        <v>13229</v>
      </c>
      <c r="G2837" s="318" t="s">
        <v>13230</v>
      </c>
      <c r="H2837" s="366" t="s">
        <v>13231</v>
      </c>
      <c r="I2837" s="276">
        <v>9.333699224E9</v>
      </c>
      <c r="J2837" s="11" t="s">
        <v>4008</v>
      </c>
      <c r="K2837" s="12"/>
      <c r="L2837" s="13"/>
      <c r="M2837" s="14"/>
      <c r="N2837" s="15"/>
      <c r="O2837" s="5" t="s">
        <v>26</v>
      </c>
      <c r="P2837" s="393"/>
      <c r="Q2837" s="15"/>
      <c r="R2837" s="16" t="s">
        <v>28</v>
      </c>
      <c r="S2837" s="15"/>
      <c r="T2837" s="15"/>
      <c r="U2837" s="15"/>
      <c r="V2837" s="15"/>
      <c r="W2837" s="15"/>
      <c r="X2837" s="15"/>
      <c r="Y2837" s="15"/>
      <c r="Z2837" s="15"/>
      <c r="AA2837" s="15"/>
    </row>
    <row r="2838">
      <c r="A2838" s="5" t="s">
        <v>13225</v>
      </c>
      <c r="B2838" s="131" t="s">
        <v>13232</v>
      </c>
      <c r="C2838" s="371" t="s">
        <v>13233</v>
      </c>
      <c r="D2838" s="262"/>
      <c r="E2838" s="262" t="s">
        <v>13234</v>
      </c>
      <c r="F2838" s="90" t="s">
        <v>12857</v>
      </c>
      <c r="G2838" s="318" t="s">
        <v>13235</v>
      </c>
      <c r="H2838" s="97" t="s">
        <v>44</v>
      </c>
      <c r="I2838" s="276">
        <v>9.831842409E9</v>
      </c>
      <c r="J2838" s="11" t="s">
        <v>4008</v>
      </c>
      <c r="K2838" s="12"/>
      <c r="L2838" s="13"/>
      <c r="M2838" s="11" t="s">
        <v>13236</v>
      </c>
      <c r="N2838" s="15"/>
      <c r="O2838" s="5" t="s">
        <v>26</v>
      </c>
      <c r="P2838" s="5" t="s">
        <v>1619</v>
      </c>
      <c r="Q2838" s="15"/>
      <c r="R2838" s="16" t="s">
        <v>28</v>
      </c>
      <c r="S2838" s="15"/>
      <c r="T2838" s="15"/>
      <c r="U2838" s="15"/>
      <c r="V2838" s="15"/>
      <c r="W2838" s="15"/>
      <c r="X2838" s="15"/>
      <c r="Y2838" s="15"/>
      <c r="Z2838" s="15"/>
      <c r="AA2838" s="15"/>
    </row>
    <row r="2839">
      <c r="A2839" s="5" t="s">
        <v>13225</v>
      </c>
      <c r="B2839" s="131" t="s">
        <v>13237</v>
      </c>
      <c r="C2839" s="371" t="s">
        <v>13238</v>
      </c>
      <c r="D2839" s="262"/>
      <c r="E2839" s="262" t="s">
        <v>4192</v>
      </c>
      <c r="F2839" s="90" t="s">
        <v>12935</v>
      </c>
      <c r="G2839" s="318" t="s">
        <v>13239</v>
      </c>
      <c r="H2839" s="97" t="s">
        <v>13240</v>
      </c>
      <c r="I2839" s="276">
        <v>9.897162382E9</v>
      </c>
      <c r="J2839" s="11" t="s">
        <v>4008</v>
      </c>
      <c r="K2839" s="12" t="s">
        <v>8528</v>
      </c>
      <c r="L2839" s="13"/>
      <c r="M2839" s="11" t="s">
        <v>10171</v>
      </c>
      <c r="N2839" s="5" t="s">
        <v>13241</v>
      </c>
      <c r="O2839" s="5" t="s">
        <v>108</v>
      </c>
      <c r="P2839" s="15"/>
      <c r="Q2839" s="15"/>
      <c r="R2839" s="16" t="s">
        <v>634</v>
      </c>
      <c r="S2839" s="15"/>
      <c r="T2839" s="15"/>
      <c r="U2839" s="15"/>
      <c r="V2839" s="15"/>
      <c r="W2839" s="15"/>
      <c r="X2839" s="15"/>
      <c r="Y2839" s="15"/>
      <c r="Z2839" s="15"/>
      <c r="AA2839" s="15"/>
    </row>
    <row r="2840">
      <c r="A2840" s="5" t="s">
        <v>13225</v>
      </c>
      <c r="B2840" s="131" t="s">
        <v>13242</v>
      </c>
      <c r="C2840" s="371" t="s">
        <v>13243</v>
      </c>
      <c r="D2840" s="262"/>
      <c r="E2840" s="262" t="s">
        <v>13244</v>
      </c>
      <c r="F2840" s="90" t="s">
        <v>13245</v>
      </c>
      <c r="G2840" s="318" t="s">
        <v>13246</v>
      </c>
      <c r="H2840" s="97" t="s">
        <v>13247</v>
      </c>
      <c r="I2840" s="276">
        <v>9.835124612E9</v>
      </c>
      <c r="J2840" s="366" t="s">
        <v>12314</v>
      </c>
      <c r="K2840" s="12"/>
      <c r="L2840" s="12" t="s">
        <v>13248</v>
      </c>
      <c r="M2840" s="11" t="s">
        <v>13249</v>
      </c>
      <c r="N2840" s="5" t="s">
        <v>13250</v>
      </c>
      <c r="O2840" s="5" t="s">
        <v>26</v>
      </c>
      <c r="P2840" s="15"/>
      <c r="Q2840" s="15"/>
      <c r="R2840" s="16" t="s">
        <v>634</v>
      </c>
      <c r="S2840" s="15"/>
      <c r="T2840" s="15"/>
      <c r="U2840" s="15"/>
      <c r="V2840" s="15"/>
      <c r="W2840" s="15"/>
      <c r="X2840" s="15"/>
      <c r="Y2840" s="15"/>
      <c r="Z2840" s="15"/>
      <c r="AA2840" s="15"/>
    </row>
    <row r="2841">
      <c r="A2841" s="5" t="s">
        <v>13225</v>
      </c>
      <c r="B2841" s="131" t="s">
        <v>13251</v>
      </c>
      <c r="C2841" s="40" t="s">
        <v>13252</v>
      </c>
      <c r="D2841" s="11"/>
      <c r="E2841" s="11" t="s">
        <v>13253</v>
      </c>
      <c r="F2841" s="90" t="s">
        <v>12228</v>
      </c>
      <c r="G2841" s="321" t="s">
        <v>13254</v>
      </c>
      <c r="H2841" s="11" t="s">
        <v>13255</v>
      </c>
      <c r="I2841" s="276">
        <v>7.001019933E9</v>
      </c>
      <c r="J2841" s="11"/>
      <c r="K2841" s="12"/>
      <c r="L2841" s="12">
        <v>92.0</v>
      </c>
      <c r="M2841" s="11" t="s">
        <v>8399</v>
      </c>
      <c r="N2841" s="5" t="s">
        <v>13256</v>
      </c>
      <c r="O2841" s="5" t="s">
        <v>26</v>
      </c>
      <c r="P2841" s="394" t="s">
        <v>13257</v>
      </c>
      <c r="Q2841" s="15"/>
      <c r="R2841" s="16" t="s">
        <v>723</v>
      </c>
      <c r="S2841" s="15"/>
      <c r="T2841" s="15"/>
      <c r="U2841" s="15"/>
      <c r="V2841" s="15"/>
      <c r="W2841" s="15"/>
      <c r="X2841" s="15"/>
      <c r="Y2841" s="15"/>
      <c r="Z2841" s="15"/>
      <c r="AA2841" s="15"/>
    </row>
    <row r="2842">
      <c r="A2842" s="5" t="s">
        <v>13225</v>
      </c>
      <c r="B2842" s="131" t="s">
        <v>13258</v>
      </c>
      <c r="C2842" s="388" t="s">
        <v>13259</v>
      </c>
      <c r="D2842" s="395"/>
      <c r="E2842" s="395" t="s">
        <v>13260</v>
      </c>
      <c r="F2842" s="148" t="s">
        <v>12829</v>
      </c>
      <c r="G2842" s="390" t="s">
        <v>13261</v>
      </c>
      <c r="H2842" s="149" t="s">
        <v>13262</v>
      </c>
      <c r="I2842" s="391">
        <v>9.251497833E9</v>
      </c>
      <c r="J2842" s="396" t="s">
        <v>25</v>
      </c>
      <c r="K2842" s="12"/>
      <c r="L2842" s="13"/>
      <c r="M2842" s="11" t="s">
        <v>13263</v>
      </c>
      <c r="N2842" s="5" t="s">
        <v>13264</v>
      </c>
      <c r="O2842" s="5" t="s">
        <v>108</v>
      </c>
      <c r="P2842" s="387" t="s">
        <v>13265</v>
      </c>
      <c r="Q2842" s="5" t="s">
        <v>13266</v>
      </c>
      <c r="R2842" s="16" t="s">
        <v>634</v>
      </c>
      <c r="S2842" s="5"/>
      <c r="T2842" s="15"/>
      <c r="U2842" s="15"/>
      <c r="V2842" s="15"/>
      <c r="W2842" s="15"/>
      <c r="X2842" s="15"/>
      <c r="Y2842" s="15"/>
      <c r="Z2842" s="15"/>
      <c r="AA2842" s="15"/>
    </row>
    <row r="2843">
      <c r="A2843" s="5" t="s">
        <v>13225</v>
      </c>
      <c r="B2843" s="131" t="s">
        <v>13267</v>
      </c>
      <c r="C2843" s="97" t="s">
        <v>13268</v>
      </c>
      <c r="D2843" s="367"/>
      <c r="E2843" s="367" t="s">
        <v>13269</v>
      </c>
      <c r="F2843" s="90" t="s">
        <v>12228</v>
      </c>
      <c r="G2843" s="318" t="s">
        <v>13270</v>
      </c>
      <c r="H2843" s="11" t="s">
        <v>13271</v>
      </c>
      <c r="I2843" s="276">
        <v>8.777035726E9</v>
      </c>
      <c r="J2843" s="11" t="s">
        <v>13272</v>
      </c>
      <c r="K2843" s="12"/>
      <c r="L2843" s="12">
        <v>56.0</v>
      </c>
      <c r="M2843" s="11" t="s">
        <v>9177</v>
      </c>
      <c r="N2843" s="5" t="s">
        <v>13273</v>
      </c>
      <c r="O2843" s="5" t="s">
        <v>34</v>
      </c>
      <c r="P2843" s="5" t="s">
        <v>13274</v>
      </c>
      <c r="Q2843" s="5" t="s">
        <v>13275</v>
      </c>
      <c r="R2843" s="16" t="s">
        <v>723</v>
      </c>
      <c r="S2843" s="5"/>
      <c r="T2843" s="15"/>
      <c r="U2843" s="15"/>
      <c r="V2843" s="15"/>
      <c r="W2843" s="15"/>
      <c r="X2843" s="15"/>
      <c r="Y2843" s="15"/>
      <c r="Z2843" s="15"/>
      <c r="AA2843" s="15"/>
    </row>
    <row r="2844">
      <c r="A2844" s="5" t="s">
        <v>13225</v>
      </c>
      <c r="B2844" s="131" t="s">
        <v>13276</v>
      </c>
      <c r="C2844" s="97" t="s">
        <v>13277</v>
      </c>
      <c r="D2844" s="262"/>
      <c r="E2844" s="262" t="s">
        <v>13278</v>
      </c>
      <c r="F2844" s="90" t="s">
        <v>13279</v>
      </c>
      <c r="G2844" s="318" t="s">
        <v>13280</v>
      </c>
      <c r="H2844" s="11" t="s">
        <v>13281</v>
      </c>
      <c r="I2844" s="276">
        <v>8.668351028E9</v>
      </c>
      <c r="J2844" s="11" t="s">
        <v>12910</v>
      </c>
      <c r="K2844" s="12"/>
      <c r="L2844" s="12" t="s">
        <v>6123</v>
      </c>
      <c r="M2844" s="11" t="s">
        <v>12955</v>
      </c>
      <c r="N2844" s="5" t="s">
        <v>13282</v>
      </c>
      <c r="O2844" s="5" t="s">
        <v>108</v>
      </c>
      <c r="P2844" s="15"/>
      <c r="Q2844" s="15"/>
      <c r="R2844" s="16" t="s">
        <v>634</v>
      </c>
      <c r="S2844" s="15"/>
      <c r="T2844" s="15"/>
      <c r="U2844" s="15"/>
      <c r="V2844" s="15"/>
      <c r="W2844" s="15"/>
      <c r="X2844" s="15"/>
      <c r="Y2844" s="15"/>
      <c r="Z2844" s="15"/>
      <c r="AA2844" s="15"/>
    </row>
    <row r="2845">
      <c r="A2845" s="5" t="s">
        <v>13225</v>
      </c>
      <c r="B2845" s="354" t="s">
        <v>13283</v>
      </c>
      <c r="C2845" s="62" t="s">
        <v>13284</v>
      </c>
      <c r="D2845" s="40"/>
      <c r="E2845" s="40" t="s">
        <v>13285</v>
      </c>
      <c r="F2845" s="90" t="s">
        <v>13286</v>
      </c>
      <c r="G2845" s="321" t="s">
        <v>13287</v>
      </c>
      <c r="H2845" s="11" t="s">
        <v>13288</v>
      </c>
      <c r="I2845" s="276">
        <v>9.062845896E9</v>
      </c>
      <c r="J2845" s="11"/>
      <c r="K2845" s="12" t="s">
        <v>13289</v>
      </c>
      <c r="L2845" s="13"/>
      <c r="M2845" s="11" t="s">
        <v>13290</v>
      </c>
      <c r="N2845" s="5" t="s">
        <v>13291</v>
      </c>
      <c r="O2845" s="5" t="s">
        <v>26</v>
      </c>
      <c r="P2845" s="5" t="s">
        <v>13292</v>
      </c>
      <c r="Q2845" s="5" t="s">
        <v>13293</v>
      </c>
      <c r="R2845" s="16" t="s">
        <v>723</v>
      </c>
      <c r="S2845" s="5"/>
      <c r="T2845" s="15"/>
      <c r="U2845" s="15"/>
      <c r="V2845" s="15"/>
      <c r="W2845" s="15"/>
      <c r="X2845" s="15"/>
      <c r="Y2845" s="15"/>
      <c r="Z2845" s="15"/>
      <c r="AA2845" s="15"/>
    </row>
    <row r="2846">
      <c r="A2846" s="5" t="s">
        <v>13225</v>
      </c>
      <c r="B2846" s="131" t="s">
        <v>13294</v>
      </c>
      <c r="C2846" s="232" t="s">
        <v>13295</v>
      </c>
      <c r="D2846" s="11"/>
      <c r="E2846" s="11" t="s">
        <v>9283</v>
      </c>
      <c r="F2846" s="90" t="s">
        <v>12959</v>
      </c>
      <c r="G2846" s="321" t="s">
        <v>13296</v>
      </c>
      <c r="H2846" s="11"/>
      <c r="I2846" s="276">
        <v>9.163906225E9</v>
      </c>
      <c r="J2846" s="11"/>
      <c r="K2846" s="12" t="s">
        <v>2974</v>
      </c>
      <c r="L2846" s="13"/>
      <c r="M2846" s="11" t="s">
        <v>9983</v>
      </c>
      <c r="N2846" s="5" t="s">
        <v>13297</v>
      </c>
      <c r="O2846" s="5" t="s">
        <v>26</v>
      </c>
      <c r="P2846" s="5" t="s">
        <v>13298</v>
      </c>
      <c r="Q2846" s="15"/>
      <c r="R2846" s="16" t="s">
        <v>634</v>
      </c>
      <c r="S2846" s="15"/>
      <c r="T2846" s="15"/>
      <c r="U2846" s="15"/>
      <c r="V2846" s="15"/>
      <c r="W2846" s="15"/>
      <c r="X2846" s="15"/>
      <c r="Y2846" s="15"/>
      <c r="Z2846" s="15"/>
      <c r="AA2846" s="15"/>
    </row>
    <row r="2847">
      <c r="A2847" s="5" t="s">
        <v>13225</v>
      </c>
      <c r="B2847" s="131" t="s">
        <v>13299</v>
      </c>
      <c r="C2847" s="371" t="s">
        <v>13259</v>
      </c>
      <c r="D2847" s="97"/>
      <c r="E2847" s="97" t="s">
        <v>1749</v>
      </c>
      <c r="F2847" s="90" t="s">
        <v>12829</v>
      </c>
      <c r="G2847" s="318" t="s">
        <v>13261</v>
      </c>
      <c r="H2847" s="11" t="s">
        <v>13300</v>
      </c>
      <c r="I2847" s="276">
        <v>9.251497833E9</v>
      </c>
      <c r="J2847" s="41" t="s">
        <v>25</v>
      </c>
      <c r="K2847" s="12"/>
      <c r="L2847" s="12">
        <v>65.0</v>
      </c>
      <c r="M2847" s="11" t="s">
        <v>9719</v>
      </c>
      <c r="N2847" s="5" t="s">
        <v>13301</v>
      </c>
      <c r="O2847" s="5" t="s">
        <v>34</v>
      </c>
      <c r="P2847" s="5" t="s">
        <v>727</v>
      </c>
      <c r="Q2847" s="15"/>
      <c r="R2847" s="16" t="s">
        <v>634</v>
      </c>
      <c r="S2847" s="15"/>
      <c r="T2847" s="15"/>
      <c r="U2847" s="15"/>
      <c r="V2847" s="15"/>
      <c r="W2847" s="15"/>
      <c r="X2847" s="15"/>
      <c r="Y2847" s="15"/>
      <c r="Z2847" s="15"/>
      <c r="AA2847" s="15"/>
    </row>
    <row r="2848">
      <c r="A2848" s="5" t="s">
        <v>13225</v>
      </c>
      <c r="B2848" s="131" t="s">
        <v>13302</v>
      </c>
      <c r="C2848" s="371" t="s">
        <v>13303</v>
      </c>
      <c r="D2848" s="262"/>
      <c r="E2848" s="262" t="s">
        <v>13304</v>
      </c>
      <c r="F2848" s="90" t="s">
        <v>12247</v>
      </c>
      <c r="G2848" s="318" t="s">
        <v>13305</v>
      </c>
      <c r="H2848" s="11" t="s">
        <v>13306</v>
      </c>
      <c r="I2848" s="276">
        <v>8.983877777E9</v>
      </c>
      <c r="J2848" s="11" t="s">
        <v>4008</v>
      </c>
      <c r="K2848" s="12"/>
      <c r="L2848" s="12">
        <v>87.0</v>
      </c>
      <c r="M2848" s="11" t="s">
        <v>13307</v>
      </c>
      <c r="N2848" s="5" t="s">
        <v>13308</v>
      </c>
      <c r="O2848" s="5" t="s">
        <v>108</v>
      </c>
      <c r="P2848" s="15"/>
      <c r="Q2848" s="15"/>
      <c r="R2848" s="16" t="s">
        <v>634</v>
      </c>
      <c r="S2848" s="15"/>
      <c r="T2848" s="15"/>
      <c r="U2848" s="15"/>
      <c r="V2848" s="15"/>
      <c r="W2848" s="15"/>
      <c r="X2848" s="15"/>
      <c r="Y2848" s="15"/>
      <c r="Z2848" s="15"/>
      <c r="AA2848" s="15"/>
    </row>
    <row r="2849">
      <c r="A2849" s="5" t="s">
        <v>13225</v>
      </c>
      <c r="B2849" s="131" t="s">
        <v>13309</v>
      </c>
      <c r="C2849" s="149" t="s">
        <v>13310</v>
      </c>
      <c r="D2849" s="389"/>
      <c r="E2849" s="389" t="s">
        <v>13311</v>
      </c>
      <c r="F2849" s="148" t="s">
        <v>12256</v>
      </c>
      <c r="G2849" s="390" t="s">
        <v>13312</v>
      </c>
      <c r="H2849" s="146" t="s">
        <v>906</v>
      </c>
      <c r="I2849" s="391">
        <v>9.619394809E9</v>
      </c>
      <c r="J2849" s="396" t="s">
        <v>25</v>
      </c>
      <c r="K2849" s="12" t="s">
        <v>8677</v>
      </c>
      <c r="L2849" s="13"/>
      <c r="M2849" s="11" t="s">
        <v>13313</v>
      </c>
      <c r="N2849" s="5" t="s">
        <v>13314</v>
      </c>
      <c r="O2849" s="5" t="s">
        <v>34</v>
      </c>
      <c r="P2849" s="5" t="s">
        <v>13315</v>
      </c>
      <c r="Q2849" s="5" t="s">
        <v>13316</v>
      </c>
      <c r="R2849" s="16" t="s">
        <v>634</v>
      </c>
      <c r="S2849" s="5"/>
      <c r="T2849" s="15"/>
      <c r="U2849" s="15"/>
      <c r="V2849" s="15"/>
      <c r="W2849" s="15"/>
      <c r="X2849" s="15"/>
      <c r="Y2849" s="15"/>
      <c r="Z2849" s="15"/>
      <c r="AA2849" s="15"/>
    </row>
    <row r="2850">
      <c r="A2850" s="5" t="s">
        <v>13225</v>
      </c>
      <c r="B2850" s="131" t="s">
        <v>13317</v>
      </c>
      <c r="C2850" s="371" t="s">
        <v>13318</v>
      </c>
      <c r="D2850" s="262"/>
      <c r="E2850" s="262" t="s">
        <v>8617</v>
      </c>
      <c r="F2850" s="90" t="s">
        <v>12247</v>
      </c>
      <c r="G2850" s="318" t="s">
        <v>13319</v>
      </c>
      <c r="H2850" s="97" t="s">
        <v>13320</v>
      </c>
      <c r="I2850" s="276">
        <v>9.873894849E9</v>
      </c>
      <c r="J2850" s="41" t="s">
        <v>25</v>
      </c>
      <c r="K2850" s="12" t="s">
        <v>8677</v>
      </c>
      <c r="L2850" s="13"/>
      <c r="M2850" s="14"/>
      <c r="N2850" s="15"/>
      <c r="O2850" s="5" t="s">
        <v>26</v>
      </c>
      <c r="P2850" s="15"/>
      <c r="Q2850" s="15"/>
      <c r="R2850" s="16" t="s">
        <v>28</v>
      </c>
      <c r="S2850" s="15"/>
      <c r="T2850" s="15"/>
      <c r="U2850" s="15"/>
      <c r="V2850" s="15"/>
      <c r="W2850" s="15"/>
      <c r="X2850" s="15"/>
      <c r="Y2850" s="15"/>
      <c r="Z2850" s="15"/>
      <c r="AA2850" s="15"/>
    </row>
    <row r="2851">
      <c r="A2851" s="5" t="s">
        <v>13225</v>
      </c>
      <c r="B2851" s="131" t="s">
        <v>13321</v>
      </c>
      <c r="C2851" s="371" t="s">
        <v>13322</v>
      </c>
      <c r="D2851" s="262"/>
      <c r="E2851" s="262" t="s">
        <v>6760</v>
      </c>
      <c r="F2851" s="90" t="s">
        <v>12247</v>
      </c>
      <c r="G2851" s="318" t="s">
        <v>13323</v>
      </c>
      <c r="H2851" s="11" t="s">
        <v>906</v>
      </c>
      <c r="I2851" s="276">
        <v>7.666486665E9</v>
      </c>
      <c r="J2851" s="11" t="s">
        <v>12910</v>
      </c>
      <c r="K2851" s="12" t="s">
        <v>8754</v>
      </c>
      <c r="L2851" s="13"/>
      <c r="M2851" s="14"/>
      <c r="N2851" s="15"/>
      <c r="O2851" s="5" t="s">
        <v>108</v>
      </c>
      <c r="P2851" s="15"/>
      <c r="Q2851" s="15"/>
      <c r="R2851" s="16" t="s">
        <v>28</v>
      </c>
      <c r="S2851" s="15"/>
      <c r="T2851" s="15"/>
      <c r="U2851" s="15"/>
      <c r="V2851" s="15"/>
      <c r="W2851" s="15"/>
      <c r="X2851" s="15"/>
      <c r="Y2851" s="15"/>
      <c r="Z2851" s="15"/>
      <c r="AA2851" s="15"/>
    </row>
    <row r="2852">
      <c r="A2852" s="5" t="s">
        <v>13225</v>
      </c>
      <c r="B2852" s="131" t="s">
        <v>13324</v>
      </c>
      <c r="C2852" s="371" t="s">
        <v>13325</v>
      </c>
      <c r="D2852" s="262"/>
      <c r="E2852" s="262" t="s">
        <v>130</v>
      </c>
      <c r="F2852" s="90" t="s">
        <v>12228</v>
      </c>
      <c r="G2852" s="318" t="s">
        <v>13326</v>
      </c>
      <c r="H2852" s="11" t="s">
        <v>13327</v>
      </c>
      <c r="I2852" s="276">
        <v>7.768848248E9</v>
      </c>
      <c r="J2852" s="11" t="s">
        <v>4008</v>
      </c>
      <c r="K2852" s="12" t="s">
        <v>10206</v>
      </c>
      <c r="L2852" s="13"/>
      <c r="M2852" s="11" t="s">
        <v>9742</v>
      </c>
      <c r="N2852" s="5" t="s">
        <v>13328</v>
      </c>
      <c r="O2852" s="5" t="s">
        <v>108</v>
      </c>
      <c r="P2852" s="15"/>
      <c r="Q2852" s="15"/>
      <c r="R2852" s="16" t="s">
        <v>634</v>
      </c>
      <c r="S2852" s="15"/>
      <c r="T2852" s="15"/>
      <c r="U2852" s="15"/>
      <c r="V2852" s="15"/>
      <c r="W2852" s="15"/>
      <c r="X2852" s="15"/>
      <c r="Y2852" s="15"/>
      <c r="Z2852" s="15"/>
      <c r="AA2852" s="15"/>
    </row>
    <row r="2853">
      <c r="A2853" s="5" t="s">
        <v>13225</v>
      </c>
      <c r="B2853" s="131" t="s">
        <v>13329</v>
      </c>
      <c r="C2853" s="371" t="s">
        <v>13330</v>
      </c>
      <c r="D2853" s="262"/>
      <c r="E2853" s="262" t="s">
        <v>13331</v>
      </c>
      <c r="F2853" s="90" t="s">
        <v>12285</v>
      </c>
      <c r="G2853" s="318" t="s">
        <v>13332</v>
      </c>
      <c r="H2853" s="97" t="s">
        <v>44</v>
      </c>
      <c r="I2853" s="276">
        <v>8.017205907E9</v>
      </c>
      <c r="J2853" s="41" t="s">
        <v>25</v>
      </c>
      <c r="K2853" s="12"/>
      <c r="L2853" s="12" t="s">
        <v>13333</v>
      </c>
      <c r="M2853" s="11" t="s">
        <v>13334</v>
      </c>
      <c r="N2853" s="5" t="s">
        <v>13335</v>
      </c>
      <c r="O2853" s="5" t="s">
        <v>34</v>
      </c>
      <c r="P2853" s="11" t="s">
        <v>13336</v>
      </c>
      <c r="Q2853" s="15"/>
      <c r="R2853" s="16" t="s">
        <v>634</v>
      </c>
      <c r="S2853" s="15"/>
      <c r="T2853" s="15"/>
      <c r="U2853" s="15"/>
      <c r="V2853" s="15"/>
      <c r="W2853" s="15"/>
      <c r="X2853" s="15"/>
      <c r="Y2853" s="15"/>
      <c r="Z2853" s="15"/>
      <c r="AA2853" s="15"/>
    </row>
    <row r="2854">
      <c r="A2854" s="5" t="s">
        <v>13225</v>
      </c>
      <c r="B2854" s="131" t="s">
        <v>13337</v>
      </c>
      <c r="C2854" s="371" t="s">
        <v>13338</v>
      </c>
      <c r="D2854" s="262"/>
      <c r="E2854" s="262" t="s">
        <v>13339</v>
      </c>
      <c r="F2854" s="90" t="s">
        <v>12247</v>
      </c>
      <c r="G2854" s="318" t="s">
        <v>13340</v>
      </c>
      <c r="H2854" s="97" t="s">
        <v>13341</v>
      </c>
      <c r="I2854" s="276">
        <v>9.830795946E9</v>
      </c>
      <c r="J2854" s="11" t="s">
        <v>4008</v>
      </c>
      <c r="K2854" s="12"/>
      <c r="L2854" s="12">
        <v>96.0</v>
      </c>
      <c r="M2854" s="11" t="s">
        <v>12759</v>
      </c>
      <c r="N2854" s="5" t="s">
        <v>13342</v>
      </c>
      <c r="O2854" s="5" t="s">
        <v>26</v>
      </c>
      <c r="P2854" s="367" t="s">
        <v>13343</v>
      </c>
      <c r="Q2854" s="5" t="s">
        <v>9251</v>
      </c>
      <c r="R2854" s="16" t="s">
        <v>723</v>
      </c>
      <c r="S2854" s="5"/>
      <c r="T2854" s="15"/>
      <c r="U2854" s="15"/>
      <c r="V2854" s="15"/>
      <c r="W2854" s="15"/>
      <c r="X2854" s="15"/>
      <c r="Y2854" s="15"/>
      <c r="Z2854" s="15"/>
      <c r="AA2854" s="15"/>
    </row>
    <row r="2855">
      <c r="A2855" s="5" t="s">
        <v>13225</v>
      </c>
      <c r="B2855" s="131" t="s">
        <v>13344</v>
      </c>
      <c r="C2855" s="371" t="s">
        <v>13345</v>
      </c>
      <c r="D2855" s="262"/>
      <c r="E2855" s="262" t="s">
        <v>13346</v>
      </c>
      <c r="F2855" s="90" t="s">
        <v>13347</v>
      </c>
      <c r="G2855" s="318" t="s">
        <v>13348</v>
      </c>
      <c r="H2855" s="97" t="s">
        <v>3090</v>
      </c>
      <c r="I2855" s="276">
        <v>9.836772206E9</v>
      </c>
      <c r="J2855" s="41" t="s">
        <v>25</v>
      </c>
      <c r="K2855" s="12" t="s">
        <v>13349</v>
      </c>
      <c r="L2855" s="13"/>
      <c r="M2855" s="11" t="s">
        <v>13350</v>
      </c>
      <c r="N2855" s="5" t="s">
        <v>13351</v>
      </c>
      <c r="O2855" s="5" t="s">
        <v>26</v>
      </c>
      <c r="P2855" s="5" t="s">
        <v>13352</v>
      </c>
      <c r="Q2855" s="15"/>
      <c r="R2855" s="16" t="s">
        <v>634</v>
      </c>
      <c r="S2855" s="15"/>
      <c r="T2855" s="15"/>
      <c r="U2855" s="15"/>
      <c r="V2855" s="15"/>
      <c r="W2855" s="15"/>
      <c r="X2855" s="15"/>
      <c r="Y2855" s="15"/>
      <c r="Z2855" s="15"/>
      <c r="AA2855" s="15"/>
    </row>
    <row r="2856">
      <c r="A2856" s="5" t="s">
        <v>13225</v>
      </c>
      <c r="B2856" s="131" t="s">
        <v>13353</v>
      </c>
      <c r="C2856" s="371" t="s">
        <v>13354</v>
      </c>
      <c r="D2856" s="262"/>
      <c r="E2856" s="262" t="s">
        <v>1018</v>
      </c>
      <c r="F2856" s="90" t="s">
        <v>12247</v>
      </c>
      <c r="G2856" s="318" t="s">
        <v>13355</v>
      </c>
      <c r="H2856" s="97" t="s">
        <v>13356</v>
      </c>
      <c r="I2856" s="276">
        <v>7.97545003E9</v>
      </c>
      <c r="J2856" s="41" t="s">
        <v>25</v>
      </c>
      <c r="K2856" s="12" t="s">
        <v>13289</v>
      </c>
      <c r="L2856" s="13"/>
      <c r="M2856" s="11" t="s">
        <v>13290</v>
      </c>
      <c r="N2856" s="5" t="s">
        <v>13357</v>
      </c>
      <c r="O2856" s="5" t="s">
        <v>108</v>
      </c>
      <c r="P2856" s="15"/>
      <c r="Q2856" s="15"/>
      <c r="R2856" s="16" t="s">
        <v>634</v>
      </c>
      <c r="S2856" s="15"/>
      <c r="T2856" s="15"/>
      <c r="U2856" s="15"/>
      <c r="V2856" s="15"/>
      <c r="W2856" s="15"/>
      <c r="X2856" s="15"/>
      <c r="Y2856" s="15"/>
      <c r="Z2856" s="15"/>
      <c r="AA2856" s="15"/>
    </row>
    <row r="2857">
      <c r="A2857" s="5" t="s">
        <v>13358</v>
      </c>
      <c r="B2857" s="131" t="s">
        <v>13359</v>
      </c>
      <c r="C2857" s="40" t="s">
        <v>13360</v>
      </c>
      <c r="D2857" s="11"/>
      <c r="E2857" s="11"/>
      <c r="F2857" s="90" t="s">
        <v>13361</v>
      </c>
      <c r="G2857" s="321"/>
      <c r="H2857" s="11" t="s">
        <v>519</v>
      </c>
      <c r="I2857" s="276">
        <v>8.15489924E9</v>
      </c>
      <c r="J2857" s="11"/>
      <c r="K2857" s="12" t="s">
        <v>13362</v>
      </c>
      <c r="L2857" s="13"/>
      <c r="M2857" s="14"/>
      <c r="N2857" s="15"/>
      <c r="O2857" s="5" t="s">
        <v>26</v>
      </c>
      <c r="P2857" s="15"/>
      <c r="Q2857" s="15"/>
      <c r="R2857" s="16" t="s">
        <v>28</v>
      </c>
      <c r="S2857" s="15"/>
      <c r="T2857" s="15"/>
      <c r="U2857" s="15"/>
      <c r="V2857" s="15"/>
      <c r="W2857" s="15"/>
      <c r="X2857" s="15"/>
      <c r="Y2857" s="15"/>
      <c r="Z2857" s="15"/>
      <c r="AA2857" s="15"/>
    </row>
    <row r="2858">
      <c r="A2858" s="5" t="s">
        <v>13358</v>
      </c>
      <c r="B2858" s="131" t="s">
        <v>13363</v>
      </c>
      <c r="C2858" s="62" t="s">
        <v>13364</v>
      </c>
      <c r="D2858" s="11"/>
      <c r="E2858" s="11" t="s">
        <v>3165</v>
      </c>
      <c r="F2858" s="90" t="s">
        <v>13365</v>
      </c>
      <c r="G2858" s="321" t="s">
        <v>13366</v>
      </c>
      <c r="H2858" s="11" t="s">
        <v>44</v>
      </c>
      <c r="I2858" s="276">
        <v>8.276000008E9</v>
      </c>
      <c r="J2858" s="11"/>
      <c r="K2858" s="12"/>
      <c r="L2858" s="12">
        <v>92.0</v>
      </c>
      <c r="M2858" s="11" t="s">
        <v>8399</v>
      </c>
      <c r="N2858" s="5" t="s">
        <v>13367</v>
      </c>
      <c r="O2858" s="5" t="s">
        <v>26</v>
      </c>
      <c r="P2858" s="5" t="s">
        <v>13368</v>
      </c>
      <c r="Q2858" s="15"/>
      <c r="R2858" s="16" t="s">
        <v>634</v>
      </c>
      <c r="S2858" s="15"/>
      <c r="T2858" s="15"/>
      <c r="U2858" s="15"/>
      <c r="V2858" s="15"/>
      <c r="W2858" s="15"/>
      <c r="X2858" s="15"/>
      <c r="Y2858" s="15"/>
      <c r="Z2858" s="15"/>
      <c r="AA2858" s="15"/>
    </row>
    <row r="2859">
      <c r="A2859" s="5" t="s">
        <v>13358</v>
      </c>
      <c r="B2859" s="131" t="s">
        <v>13369</v>
      </c>
      <c r="C2859" s="62" t="s">
        <v>13370</v>
      </c>
      <c r="D2859" s="11"/>
      <c r="E2859" s="11" t="s">
        <v>4229</v>
      </c>
      <c r="F2859" s="90" t="s">
        <v>13371</v>
      </c>
      <c r="G2859" s="321" t="s">
        <v>13372</v>
      </c>
      <c r="H2859" s="11"/>
      <c r="I2859" s="276">
        <v>9.830242784E9</v>
      </c>
      <c r="J2859" s="11"/>
      <c r="K2859" s="12" t="s">
        <v>13373</v>
      </c>
      <c r="L2859" s="13"/>
      <c r="M2859" s="11" t="s">
        <v>11016</v>
      </c>
      <c r="N2859" s="5" t="s">
        <v>13374</v>
      </c>
      <c r="O2859" s="5" t="s">
        <v>26</v>
      </c>
      <c r="P2859" s="5" t="s">
        <v>13375</v>
      </c>
      <c r="Q2859" s="15"/>
      <c r="R2859" s="16" t="s">
        <v>723</v>
      </c>
      <c r="S2859" s="15"/>
      <c r="T2859" s="15"/>
      <c r="U2859" s="15"/>
      <c r="V2859" s="15"/>
      <c r="W2859" s="15"/>
      <c r="X2859" s="15"/>
      <c r="Y2859" s="15"/>
      <c r="Z2859" s="15"/>
      <c r="AA2859" s="15"/>
    </row>
    <row r="2860">
      <c r="A2860" s="5" t="s">
        <v>13358</v>
      </c>
      <c r="B2860" s="131" t="s">
        <v>13376</v>
      </c>
      <c r="C2860" s="371" t="s">
        <v>13377</v>
      </c>
      <c r="D2860" s="262"/>
      <c r="E2860" s="262" t="s">
        <v>10622</v>
      </c>
      <c r="F2860" s="90" t="s">
        <v>12247</v>
      </c>
      <c r="G2860" s="318" t="s">
        <v>13378</v>
      </c>
      <c r="H2860" s="11" t="s">
        <v>13379</v>
      </c>
      <c r="I2860" s="276">
        <v>9.224690252E9</v>
      </c>
      <c r="J2860" s="11" t="s">
        <v>4008</v>
      </c>
      <c r="K2860" s="12" t="s">
        <v>13380</v>
      </c>
      <c r="L2860" s="13"/>
      <c r="M2860" s="11" t="s">
        <v>13381</v>
      </c>
      <c r="N2860" s="5" t="s">
        <v>13382</v>
      </c>
      <c r="O2860" s="5" t="s">
        <v>108</v>
      </c>
      <c r="P2860" s="5" t="s">
        <v>13383</v>
      </c>
      <c r="Q2860" s="15"/>
      <c r="R2860" s="16" t="s">
        <v>634</v>
      </c>
      <c r="S2860" s="15"/>
      <c r="T2860" s="15"/>
      <c r="U2860" s="15"/>
      <c r="V2860" s="15"/>
      <c r="W2860" s="15"/>
      <c r="X2860" s="15"/>
      <c r="Y2860" s="15"/>
      <c r="Z2860" s="15"/>
      <c r="AA2860" s="15"/>
    </row>
    <row r="2861">
      <c r="A2861" s="5" t="s">
        <v>13358</v>
      </c>
      <c r="B2861" s="131" t="s">
        <v>13384</v>
      </c>
      <c r="C2861" s="371" t="s">
        <v>13385</v>
      </c>
      <c r="D2861" s="223"/>
      <c r="E2861" s="223" t="s">
        <v>13386</v>
      </c>
      <c r="F2861" s="90" t="s">
        <v>12256</v>
      </c>
      <c r="G2861" s="318" t="s">
        <v>13387</v>
      </c>
      <c r="H2861" s="97" t="s">
        <v>13388</v>
      </c>
      <c r="I2861" s="276">
        <v>9.830145607E9</v>
      </c>
      <c r="J2861" s="97" t="s">
        <v>25</v>
      </c>
      <c r="K2861" s="12" t="s">
        <v>8677</v>
      </c>
      <c r="L2861" s="13"/>
      <c r="M2861" s="14"/>
      <c r="N2861" s="15"/>
      <c r="O2861" s="5" t="s">
        <v>26</v>
      </c>
      <c r="P2861" s="15"/>
      <c r="Q2861" s="15"/>
      <c r="R2861" s="16" t="s">
        <v>28</v>
      </c>
      <c r="S2861" s="15"/>
      <c r="T2861" s="15"/>
      <c r="U2861" s="15"/>
      <c r="V2861" s="15"/>
      <c r="W2861" s="15"/>
      <c r="X2861" s="15"/>
      <c r="Y2861" s="15"/>
      <c r="Z2861" s="15"/>
      <c r="AA2861" s="15"/>
    </row>
    <row r="2862">
      <c r="A2862" s="5" t="s">
        <v>13358</v>
      </c>
      <c r="B2862" s="131" t="s">
        <v>13389</v>
      </c>
      <c r="C2862" s="371" t="s">
        <v>13390</v>
      </c>
      <c r="D2862" s="262"/>
      <c r="E2862" s="262" t="s">
        <v>77</v>
      </c>
      <c r="F2862" s="90" t="s">
        <v>12296</v>
      </c>
      <c r="G2862" s="318" t="s">
        <v>13391</v>
      </c>
      <c r="H2862" s="97" t="s">
        <v>13392</v>
      </c>
      <c r="I2862" s="276">
        <v>9.951488855E9</v>
      </c>
      <c r="J2862" s="11" t="s">
        <v>4008</v>
      </c>
      <c r="K2862" s="12" t="s">
        <v>8677</v>
      </c>
      <c r="L2862" s="13"/>
      <c r="M2862" s="14"/>
      <c r="N2862" s="15"/>
      <c r="O2862" s="5" t="s">
        <v>108</v>
      </c>
      <c r="P2862" s="15"/>
      <c r="Q2862" s="15"/>
      <c r="R2862" s="16" t="s">
        <v>28</v>
      </c>
      <c r="S2862" s="15"/>
      <c r="T2862" s="15"/>
      <c r="U2862" s="15"/>
      <c r="V2862" s="15"/>
      <c r="W2862" s="15"/>
      <c r="X2862" s="15"/>
      <c r="Y2862" s="15"/>
      <c r="Z2862" s="15"/>
      <c r="AA2862" s="15"/>
    </row>
    <row r="2863">
      <c r="A2863" s="5" t="s">
        <v>13358</v>
      </c>
      <c r="B2863" s="131" t="s">
        <v>13393</v>
      </c>
      <c r="C2863" s="97" t="s">
        <v>10204</v>
      </c>
      <c r="D2863" s="262"/>
      <c r="E2863" s="262" t="s">
        <v>130</v>
      </c>
      <c r="F2863" s="90" t="s">
        <v>12256</v>
      </c>
      <c r="G2863" s="318" t="s">
        <v>10205</v>
      </c>
      <c r="H2863" s="11" t="s">
        <v>13394</v>
      </c>
      <c r="I2863" s="276">
        <v>8.668421496E9</v>
      </c>
      <c r="J2863" s="11" t="s">
        <v>4008</v>
      </c>
      <c r="K2863" s="12"/>
      <c r="L2863" s="13"/>
      <c r="M2863" s="14"/>
      <c r="N2863" s="15"/>
      <c r="O2863" s="5" t="s">
        <v>108</v>
      </c>
      <c r="P2863" s="15"/>
      <c r="Q2863" s="15"/>
      <c r="R2863" s="16" t="s">
        <v>28</v>
      </c>
      <c r="S2863" s="15"/>
      <c r="T2863" s="15"/>
      <c r="U2863" s="15"/>
      <c r="V2863" s="15"/>
      <c r="W2863" s="15"/>
      <c r="X2863" s="15"/>
      <c r="Y2863" s="15"/>
      <c r="Z2863" s="15"/>
      <c r="AA2863" s="15"/>
    </row>
    <row r="2864">
      <c r="A2864" s="5" t="s">
        <v>13358</v>
      </c>
      <c r="B2864" s="131" t="s">
        <v>13395</v>
      </c>
      <c r="C2864" s="97" t="s">
        <v>13396</v>
      </c>
      <c r="D2864" s="262"/>
      <c r="E2864" s="262" t="s">
        <v>465</v>
      </c>
      <c r="F2864" s="90" t="s">
        <v>12247</v>
      </c>
      <c r="G2864" s="318" t="s">
        <v>13397</v>
      </c>
      <c r="H2864" s="97" t="s">
        <v>13398</v>
      </c>
      <c r="I2864" s="276">
        <v>7.356092347E9</v>
      </c>
      <c r="J2864" s="217" t="s">
        <v>12314</v>
      </c>
      <c r="K2864" s="12"/>
      <c r="L2864" s="13"/>
      <c r="M2864" s="14"/>
      <c r="N2864" s="15"/>
      <c r="O2864" s="5" t="s">
        <v>34</v>
      </c>
      <c r="P2864" s="15"/>
      <c r="Q2864" s="15"/>
      <c r="R2864" s="16" t="s">
        <v>28</v>
      </c>
      <c r="S2864" s="15"/>
      <c r="T2864" s="15"/>
      <c r="U2864" s="15"/>
      <c r="V2864" s="15"/>
      <c r="W2864" s="15"/>
      <c r="X2864" s="15"/>
      <c r="Y2864" s="15"/>
      <c r="Z2864" s="15"/>
      <c r="AA2864" s="15"/>
    </row>
    <row r="2865">
      <c r="A2865" s="5" t="s">
        <v>13358</v>
      </c>
      <c r="B2865" s="131" t="s">
        <v>13399</v>
      </c>
      <c r="C2865" s="388" t="s">
        <v>13400</v>
      </c>
      <c r="D2865" s="389"/>
      <c r="E2865" s="389" t="s">
        <v>207</v>
      </c>
      <c r="F2865" s="148" t="s">
        <v>12678</v>
      </c>
      <c r="G2865" s="390" t="s">
        <v>13401</v>
      </c>
      <c r="H2865" s="149" t="s">
        <v>13402</v>
      </c>
      <c r="I2865" s="391">
        <v>9.025828603E9</v>
      </c>
      <c r="J2865" s="97" t="s">
        <v>25</v>
      </c>
      <c r="K2865" s="12"/>
      <c r="L2865" s="13"/>
      <c r="M2865" s="14"/>
      <c r="N2865" s="15"/>
      <c r="O2865" s="5" t="s">
        <v>108</v>
      </c>
      <c r="P2865" s="5" t="s">
        <v>13403</v>
      </c>
      <c r="Q2865" s="5" t="s">
        <v>13404</v>
      </c>
      <c r="R2865" s="16" t="s">
        <v>28</v>
      </c>
      <c r="S2865" s="5"/>
      <c r="T2865" s="15"/>
      <c r="U2865" s="15"/>
      <c r="V2865" s="15"/>
      <c r="W2865" s="15"/>
      <c r="X2865" s="15"/>
      <c r="Y2865" s="15"/>
      <c r="Z2865" s="15"/>
      <c r="AA2865" s="15"/>
    </row>
    <row r="2866">
      <c r="A2866" s="5" t="s">
        <v>13358</v>
      </c>
      <c r="B2866" s="131" t="s">
        <v>13405</v>
      </c>
      <c r="C2866" s="371" t="s">
        <v>13406</v>
      </c>
      <c r="D2866" s="11"/>
      <c r="E2866" s="11" t="s">
        <v>9634</v>
      </c>
      <c r="F2866" s="90" t="s">
        <v>13407</v>
      </c>
      <c r="G2866" s="318" t="s">
        <v>13408</v>
      </c>
      <c r="H2866" s="11" t="s">
        <v>44</v>
      </c>
      <c r="I2866" s="276">
        <v>8.29285355E8</v>
      </c>
      <c r="J2866" s="11" t="s">
        <v>4008</v>
      </c>
      <c r="K2866" s="12" t="s">
        <v>8570</v>
      </c>
      <c r="L2866" s="13"/>
      <c r="M2866" s="11" t="s">
        <v>7904</v>
      </c>
      <c r="N2866" s="5" t="s">
        <v>13409</v>
      </c>
      <c r="O2866" s="5" t="s">
        <v>26</v>
      </c>
      <c r="P2866" s="5" t="s">
        <v>13410</v>
      </c>
      <c r="Q2866" s="15"/>
      <c r="R2866" s="16" t="s">
        <v>634</v>
      </c>
      <c r="S2866" s="15"/>
      <c r="T2866" s="15"/>
      <c r="U2866" s="15"/>
      <c r="V2866" s="15"/>
      <c r="W2866" s="15"/>
      <c r="X2866" s="15"/>
      <c r="Y2866" s="15"/>
      <c r="Z2866" s="15"/>
      <c r="AA2866" s="15"/>
    </row>
    <row r="2867">
      <c r="A2867" s="5" t="s">
        <v>13358</v>
      </c>
      <c r="B2867" s="397" t="s">
        <v>0</v>
      </c>
      <c r="C2867" s="371" t="s">
        <v>13411</v>
      </c>
      <c r="D2867" s="262"/>
      <c r="E2867" s="262" t="s">
        <v>1565</v>
      </c>
      <c r="F2867" s="90" t="s">
        <v>12205</v>
      </c>
      <c r="G2867" s="318" t="s">
        <v>13412</v>
      </c>
      <c r="H2867" s="97" t="s">
        <v>13413</v>
      </c>
      <c r="I2867" s="276">
        <v>9.831999518E9</v>
      </c>
      <c r="J2867" s="97" t="s">
        <v>25</v>
      </c>
      <c r="K2867" s="12" t="s">
        <v>2980</v>
      </c>
      <c r="L2867" s="13"/>
      <c r="M2867" s="11" t="s">
        <v>9776</v>
      </c>
      <c r="N2867" s="5" t="s">
        <v>13414</v>
      </c>
      <c r="O2867" s="5" t="s">
        <v>26</v>
      </c>
      <c r="P2867" s="5" t="s">
        <v>27</v>
      </c>
      <c r="Q2867" s="15"/>
      <c r="R2867" s="16" t="s">
        <v>634</v>
      </c>
      <c r="S2867" s="15"/>
      <c r="T2867" s="15"/>
      <c r="U2867" s="15"/>
      <c r="V2867" s="15"/>
      <c r="W2867" s="15"/>
      <c r="X2867" s="15"/>
      <c r="Y2867" s="15"/>
      <c r="Z2867" s="15"/>
      <c r="AA2867" s="15"/>
    </row>
    <row r="2868">
      <c r="A2868" s="5" t="s">
        <v>13358</v>
      </c>
      <c r="B2868" s="131" t="s">
        <v>13415</v>
      </c>
      <c r="C2868" s="97" t="s">
        <v>13416</v>
      </c>
      <c r="D2868" s="262"/>
      <c r="E2868" s="262" t="s">
        <v>116</v>
      </c>
      <c r="F2868" s="90" t="s">
        <v>12205</v>
      </c>
      <c r="G2868" s="318" t="s">
        <v>13417</v>
      </c>
      <c r="H2868" s="97" t="s">
        <v>13418</v>
      </c>
      <c r="I2868" s="276">
        <v>8.210559916E9</v>
      </c>
      <c r="J2868" s="97" t="s">
        <v>25</v>
      </c>
      <c r="K2868" s="12" t="s">
        <v>13419</v>
      </c>
      <c r="L2868" s="13"/>
      <c r="M2868" s="11" t="s">
        <v>12809</v>
      </c>
      <c r="N2868" s="5" t="s">
        <v>13420</v>
      </c>
      <c r="O2868" s="5" t="s">
        <v>108</v>
      </c>
      <c r="P2868" s="5" t="s">
        <v>13421</v>
      </c>
      <c r="Q2868" s="5" t="s">
        <v>13422</v>
      </c>
      <c r="R2868" s="16" t="s">
        <v>723</v>
      </c>
      <c r="S2868" s="5"/>
      <c r="T2868" s="15"/>
      <c r="U2868" s="15"/>
      <c r="V2868" s="15"/>
      <c r="W2868" s="15"/>
      <c r="X2868" s="15"/>
      <c r="Y2868" s="15"/>
      <c r="Z2868" s="15"/>
      <c r="AA2868" s="15"/>
    </row>
    <row r="2869">
      <c r="A2869" s="5" t="s">
        <v>13423</v>
      </c>
      <c r="B2869" s="131" t="s">
        <v>13424</v>
      </c>
      <c r="C2869" s="371" t="s">
        <v>13425</v>
      </c>
      <c r="D2869" s="262"/>
      <c r="E2869" s="262" t="s">
        <v>167</v>
      </c>
      <c r="F2869" s="90" t="s">
        <v>12247</v>
      </c>
      <c r="G2869" s="318" t="s">
        <v>13426</v>
      </c>
      <c r="H2869" s="11" t="s">
        <v>9359</v>
      </c>
      <c r="I2869" s="276">
        <v>9.849793817E9</v>
      </c>
      <c r="J2869" s="97" t="s">
        <v>25</v>
      </c>
      <c r="K2869" s="12" t="s">
        <v>3044</v>
      </c>
      <c r="L2869" s="13"/>
      <c r="M2869" s="11" t="s">
        <v>7651</v>
      </c>
      <c r="N2869" s="5" t="s">
        <v>13427</v>
      </c>
      <c r="O2869" s="5" t="s">
        <v>108</v>
      </c>
      <c r="P2869" s="5" t="s">
        <v>13428</v>
      </c>
      <c r="Q2869" s="5" t="s">
        <v>13429</v>
      </c>
      <c r="R2869" s="16" t="s">
        <v>723</v>
      </c>
      <c r="S2869" s="5"/>
      <c r="T2869" s="15"/>
      <c r="U2869" s="15"/>
      <c r="V2869" s="15"/>
      <c r="W2869" s="15"/>
      <c r="X2869" s="15"/>
      <c r="Y2869" s="15"/>
      <c r="Z2869" s="15"/>
      <c r="AA2869" s="15"/>
    </row>
    <row r="2870">
      <c r="A2870" s="5" t="s">
        <v>13423</v>
      </c>
      <c r="B2870" s="131" t="s">
        <v>13430</v>
      </c>
      <c r="C2870" s="97" t="s">
        <v>13431</v>
      </c>
      <c r="D2870" s="262"/>
      <c r="E2870" s="262" t="s">
        <v>207</v>
      </c>
      <c r="F2870" s="90" t="s">
        <v>12197</v>
      </c>
      <c r="G2870" s="318" t="s">
        <v>13432</v>
      </c>
      <c r="H2870" s="11" t="s">
        <v>906</v>
      </c>
      <c r="I2870" s="276">
        <v>8.779941705E9</v>
      </c>
      <c r="J2870" s="11" t="s">
        <v>13433</v>
      </c>
      <c r="K2870" s="12"/>
      <c r="L2870" s="13"/>
      <c r="M2870" s="14"/>
      <c r="N2870" s="15"/>
      <c r="O2870" s="5" t="s">
        <v>108</v>
      </c>
      <c r="P2870" s="15"/>
      <c r="Q2870" s="15"/>
      <c r="R2870" s="16" t="s">
        <v>28</v>
      </c>
      <c r="S2870" s="15"/>
      <c r="T2870" s="15"/>
      <c r="U2870" s="15"/>
      <c r="V2870" s="15"/>
      <c r="W2870" s="15"/>
      <c r="X2870" s="15"/>
      <c r="Y2870" s="15"/>
      <c r="Z2870" s="15"/>
      <c r="AA2870" s="15"/>
    </row>
    <row r="2871">
      <c r="A2871" s="5" t="s">
        <v>13423</v>
      </c>
      <c r="B2871" s="131" t="s">
        <v>13434</v>
      </c>
      <c r="C2871" s="371" t="s">
        <v>13435</v>
      </c>
      <c r="D2871" s="262"/>
      <c r="E2871" s="262" t="s">
        <v>13436</v>
      </c>
      <c r="F2871" s="90" t="s">
        <v>12296</v>
      </c>
      <c r="G2871" s="318" t="s">
        <v>13437</v>
      </c>
      <c r="H2871" s="11" t="s">
        <v>13438</v>
      </c>
      <c r="I2871" s="276">
        <v>7.039595477E9</v>
      </c>
      <c r="J2871" s="11" t="s">
        <v>13439</v>
      </c>
      <c r="K2871" s="12"/>
      <c r="L2871" s="13"/>
      <c r="M2871" s="14"/>
      <c r="N2871" s="15"/>
      <c r="O2871" s="5" t="s">
        <v>108</v>
      </c>
      <c r="P2871" s="15"/>
      <c r="Q2871" s="15"/>
      <c r="R2871" s="16" t="s">
        <v>28</v>
      </c>
      <c r="S2871" s="15"/>
      <c r="T2871" s="15"/>
      <c r="U2871" s="15"/>
      <c r="V2871" s="15"/>
      <c r="W2871" s="15"/>
      <c r="X2871" s="15"/>
      <c r="Y2871" s="15"/>
      <c r="Z2871" s="15"/>
      <c r="AA2871" s="15"/>
    </row>
    <row r="2872">
      <c r="A2872" s="5" t="s">
        <v>13423</v>
      </c>
      <c r="B2872" s="131" t="s">
        <v>13440</v>
      </c>
      <c r="C2872" s="97" t="s">
        <v>5456</v>
      </c>
      <c r="D2872" s="262"/>
      <c r="E2872" s="262" t="s">
        <v>5502</v>
      </c>
      <c r="F2872" s="90" t="s">
        <v>13441</v>
      </c>
      <c r="G2872" s="318" t="s">
        <v>13442</v>
      </c>
      <c r="H2872" s="11" t="s">
        <v>13443</v>
      </c>
      <c r="I2872" s="276">
        <v>9.559951101E9</v>
      </c>
      <c r="J2872" s="11" t="s">
        <v>4008</v>
      </c>
      <c r="K2872" s="12"/>
      <c r="L2872" s="12" t="s">
        <v>13444</v>
      </c>
      <c r="M2872" s="11" t="s">
        <v>13445</v>
      </c>
      <c r="N2872" s="5" t="s">
        <v>13446</v>
      </c>
      <c r="O2872" s="5" t="s">
        <v>34</v>
      </c>
      <c r="P2872" s="5" t="s">
        <v>55</v>
      </c>
      <c r="Q2872" s="5" t="s">
        <v>2983</v>
      </c>
      <c r="R2872" s="16" t="s">
        <v>723</v>
      </c>
      <c r="S2872" s="5"/>
      <c r="T2872" s="15"/>
      <c r="U2872" s="15"/>
      <c r="V2872" s="15"/>
      <c r="W2872" s="15"/>
      <c r="X2872" s="15"/>
      <c r="Y2872" s="15"/>
      <c r="Z2872" s="15"/>
      <c r="AA2872" s="15"/>
    </row>
    <row r="2873">
      <c r="A2873" s="5" t="s">
        <v>13423</v>
      </c>
      <c r="B2873" s="131" t="s">
        <v>13447</v>
      </c>
      <c r="C2873" s="371" t="s">
        <v>13390</v>
      </c>
      <c r="D2873" s="262"/>
      <c r="E2873" s="262" t="s">
        <v>1520</v>
      </c>
      <c r="F2873" s="90" t="s">
        <v>12296</v>
      </c>
      <c r="G2873" s="318" t="s">
        <v>13391</v>
      </c>
      <c r="H2873" s="97" t="s">
        <v>13392</v>
      </c>
      <c r="I2873" s="276">
        <v>9.951488855E9</v>
      </c>
      <c r="J2873" s="11" t="s">
        <v>4008</v>
      </c>
      <c r="K2873" s="12" t="s">
        <v>11726</v>
      </c>
      <c r="L2873" s="13"/>
      <c r="M2873" s="11"/>
      <c r="N2873" s="15"/>
      <c r="O2873" s="5" t="s">
        <v>26</v>
      </c>
      <c r="P2873" s="15"/>
      <c r="Q2873" s="15"/>
      <c r="R2873" s="16" t="s">
        <v>28</v>
      </c>
      <c r="S2873" s="15"/>
      <c r="T2873" s="15"/>
      <c r="U2873" s="15"/>
      <c r="V2873" s="15"/>
      <c r="W2873" s="15"/>
      <c r="X2873" s="15"/>
      <c r="Y2873" s="15"/>
      <c r="Z2873" s="15"/>
      <c r="AA2873" s="15"/>
    </row>
    <row r="2874">
      <c r="A2874" s="5" t="s">
        <v>13423</v>
      </c>
      <c r="B2874" s="131" t="s">
        <v>13448</v>
      </c>
      <c r="C2874" s="62" t="s">
        <v>13449</v>
      </c>
      <c r="D2874" s="361"/>
      <c r="E2874" s="361" t="s">
        <v>523</v>
      </c>
      <c r="F2874" s="90" t="s">
        <v>13450</v>
      </c>
      <c r="G2874" s="321" t="s">
        <v>13451</v>
      </c>
      <c r="H2874" s="11" t="s">
        <v>13452</v>
      </c>
      <c r="I2874" s="276">
        <v>8.272944699E9</v>
      </c>
      <c r="J2874" s="11" t="s">
        <v>13272</v>
      </c>
      <c r="K2874" s="12" t="s">
        <v>13453</v>
      </c>
      <c r="L2874" s="13"/>
      <c r="M2874" s="11" t="s">
        <v>13454</v>
      </c>
      <c r="N2874" s="5" t="s">
        <v>13455</v>
      </c>
      <c r="O2874" s="5" t="s">
        <v>26</v>
      </c>
      <c r="P2874" s="5" t="s">
        <v>6894</v>
      </c>
      <c r="Q2874" s="15"/>
      <c r="R2874" s="16" t="s">
        <v>634</v>
      </c>
      <c r="S2874" s="15"/>
      <c r="T2874" s="15"/>
      <c r="U2874" s="15"/>
      <c r="V2874" s="15"/>
      <c r="W2874" s="15"/>
      <c r="X2874" s="15"/>
      <c r="Y2874" s="15"/>
      <c r="Z2874" s="15"/>
      <c r="AA2874" s="15"/>
    </row>
    <row r="2875">
      <c r="A2875" s="5" t="s">
        <v>13423</v>
      </c>
      <c r="B2875" s="131" t="s">
        <v>13456</v>
      </c>
      <c r="C2875" s="40" t="s">
        <v>13457</v>
      </c>
      <c r="D2875" s="262"/>
      <c r="E2875" s="262" t="s">
        <v>576</v>
      </c>
      <c r="F2875" s="90" t="s">
        <v>13458</v>
      </c>
      <c r="G2875" s="318" t="s">
        <v>13459</v>
      </c>
      <c r="H2875" s="11" t="s">
        <v>44</v>
      </c>
      <c r="I2875" s="276">
        <v>6.289789863E9</v>
      </c>
      <c r="J2875" s="11" t="s">
        <v>4008</v>
      </c>
      <c r="K2875" s="12" t="s">
        <v>13460</v>
      </c>
      <c r="L2875" s="13"/>
      <c r="M2875" s="11" t="s">
        <v>13461</v>
      </c>
      <c r="N2875" s="5" t="s">
        <v>13462</v>
      </c>
      <c r="O2875" s="5" t="s">
        <v>26</v>
      </c>
      <c r="P2875" s="367" t="s">
        <v>13463</v>
      </c>
      <c r="Q2875" s="367" t="s">
        <v>13464</v>
      </c>
      <c r="R2875" s="16" t="s">
        <v>634</v>
      </c>
      <c r="S2875" s="367"/>
      <c r="T2875" s="15"/>
      <c r="U2875" s="15"/>
      <c r="V2875" s="15"/>
      <c r="W2875" s="15"/>
      <c r="X2875" s="15"/>
      <c r="Y2875" s="15"/>
      <c r="Z2875" s="15"/>
      <c r="AA2875" s="15"/>
    </row>
    <row r="2876">
      <c r="A2876" s="5" t="s">
        <v>13423</v>
      </c>
      <c r="B2876" s="232" t="s">
        <v>13465</v>
      </c>
      <c r="C2876" s="40" t="s">
        <v>12110</v>
      </c>
      <c r="D2876" s="11"/>
      <c r="E2876" s="11" t="s">
        <v>156</v>
      </c>
      <c r="F2876" s="90" t="s">
        <v>12247</v>
      </c>
      <c r="G2876" s="321"/>
      <c r="H2876" s="11" t="s">
        <v>13466</v>
      </c>
      <c r="I2876" s="276">
        <v>9.836683006E9</v>
      </c>
      <c r="J2876" s="97" t="s">
        <v>25</v>
      </c>
      <c r="K2876" s="12"/>
      <c r="L2876" s="12">
        <v>6.5</v>
      </c>
      <c r="M2876" s="14"/>
      <c r="N2876" s="15"/>
      <c r="O2876" s="5" t="s">
        <v>10708</v>
      </c>
      <c r="P2876" s="15"/>
      <c r="Q2876" s="15"/>
      <c r="R2876" s="16"/>
      <c r="S2876" s="15"/>
      <c r="T2876" s="15"/>
      <c r="U2876" s="15"/>
      <c r="V2876" s="15"/>
      <c r="W2876" s="15"/>
      <c r="X2876" s="15"/>
      <c r="Y2876" s="15"/>
      <c r="Z2876" s="15"/>
      <c r="AA2876" s="15"/>
    </row>
    <row r="2877">
      <c r="A2877" s="5" t="s">
        <v>13467</v>
      </c>
      <c r="B2877" s="131" t="s">
        <v>13468</v>
      </c>
      <c r="C2877" s="371" t="s">
        <v>13469</v>
      </c>
      <c r="D2877" s="262"/>
      <c r="E2877" s="262" t="s">
        <v>2813</v>
      </c>
      <c r="F2877" s="90" t="s">
        <v>12228</v>
      </c>
      <c r="G2877" s="318" t="s">
        <v>13470</v>
      </c>
      <c r="H2877" s="97" t="s">
        <v>11480</v>
      </c>
      <c r="I2877" s="276">
        <v>9.339570428E9</v>
      </c>
      <c r="J2877" s="398" t="s">
        <v>12314</v>
      </c>
      <c r="K2877" s="12" t="s">
        <v>3984</v>
      </c>
      <c r="L2877" s="13"/>
      <c r="M2877" s="11" t="s">
        <v>11788</v>
      </c>
      <c r="N2877" s="5" t="s">
        <v>13471</v>
      </c>
      <c r="O2877" s="5" t="s">
        <v>26</v>
      </c>
      <c r="P2877" s="387" t="s">
        <v>13472</v>
      </c>
      <c r="Q2877" s="15"/>
      <c r="R2877" s="16" t="s">
        <v>634</v>
      </c>
      <c r="S2877" s="15"/>
      <c r="T2877" s="15"/>
      <c r="U2877" s="15"/>
      <c r="V2877" s="15"/>
      <c r="W2877" s="15"/>
      <c r="X2877" s="15"/>
      <c r="Y2877" s="15"/>
      <c r="Z2877" s="15"/>
      <c r="AA2877" s="15"/>
    </row>
    <row r="2878">
      <c r="A2878" s="5" t="s">
        <v>13467</v>
      </c>
      <c r="B2878" s="131" t="s">
        <v>13473</v>
      </c>
      <c r="C2878" s="371" t="s">
        <v>13474</v>
      </c>
      <c r="D2878" s="262"/>
      <c r="E2878" s="262" t="s">
        <v>13475</v>
      </c>
      <c r="F2878" s="90" t="s">
        <v>12256</v>
      </c>
      <c r="G2878" s="318" t="s">
        <v>13476</v>
      </c>
      <c r="H2878" s="11" t="s">
        <v>13477</v>
      </c>
      <c r="I2878" s="276">
        <v>8.779134978E9</v>
      </c>
      <c r="J2878" s="97" t="s">
        <v>25</v>
      </c>
      <c r="K2878" s="12"/>
      <c r="L2878" s="12">
        <v>6.5</v>
      </c>
      <c r="M2878" s="11" t="s">
        <v>13478</v>
      </c>
      <c r="N2878" s="5" t="s">
        <v>13479</v>
      </c>
      <c r="O2878" s="5" t="s">
        <v>108</v>
      </c>
      <c r="P2878" s="399"/>
      <c r="Q2878" s="15"/>
      <c r="R2878" s="16" t="s">
        <v>634</v>
      </c>
      <c r="S2878" s="15"/>
      <c r="T2878" s="15"/>
      <c r="U2878" s="15"/>
      <c r="V2878" s="15"/>
      <c r="W2878" s="15"/>
      <c r="X2878" s="15"/>
      <c r="Y2878" s="15"/>
      <c r="Z2878" s="15"/>
      <c r="AA2878" s="15"/>
    </row>
    <row r="2879">
      <c r="A2879" s="5" t="s">
        <v>13467</v>
      </c>
      <c r="B2879" s="131" t="s">
        <v>13480</v>
      </c>
      <c r="C2879" s="97" t="s">
        <v>13481</v>
      </c>
      <c r="D2879" s="262"/>
      <c r="E2879" s="262" t="s">
        <v>10377</v>
      </c>
      <c r="F2879" s="400" t="s">
        <v>13482</v>
      </c>
      <c r="G2879" s="318" t="s">
        <v>13483</v>
      </c>
      <c r="H2879" s="11" t="s">
        <v>906</v>
      </c>
      <c r="I2879" s="276">
        <v>9.77363653E9</v>
      </c>
      <c r="J2879" s="97" t="s">
        <v>25</v>
      </c>
      <c r="K2879" s="12"/>
      <c r="L2879" s="12">
        <v>3.0</v>
      </c>
      <c r="M2879" s="11" t="s">
        <v>13484</v>
      </c>
      <c r="N2879" s="5" t="s">
        <v>13485</v>
      </c>
      <c r="O2879" s="5" t="s">
        <v>108</v>
      </c>
      <c r="P2879" s="15"/>
      <c r="Q2879" s="15"/>
      <c r="R2879" s="16" t="s">
        <v>634</v>
      </c>
      <c r="S2879" s="15"/>
      <c r="T2879" s="15"/>
      <c r="U2879" s="15"/>
      <c r="V2879" s="15"/>
      <c r="W2879" s="15"/>
      <c r="X2879" s="15"/>
      <c r="Y2879" s="15"/>
      <c r="Z2879" s="15"/>
      <c r="AA2879" s="15"/>
    </row>
    <row r="2880">
      <c r="A2880" s="5" t="s">
        <v>13467</v>
      </c>
      <c r="B2880" s="131" t="s">
        <v>13486</v>
      </c>
      <c r="C2880" s="371" t="s">
        <v>13487</v>
      </c>
      <c r="D2880" s="262"/>
      <c r="E2880" s="262" t="s">
        <v>13488</v>
      </c>
      <c r="F2880" s="400" t="s">
        <v>13489</v>
      </c>
      <c r="G2880" s="318" t="s">
        <v>13490</v>
      </c>
      <c r="H2880" s="11" t="s">
        <v>13491</v>
      </c>
      <c r="I2880" s="276">
        <v>9.163999568E9</v>
      </c>
      <c r="J2880" s="97" t="s">
        <v>25</v>
      </c>
      <c r="K2880" s="12"/>
      <c r="L2880" s="13"/>
      <c r="M2880" s="14"/>
      <c r="N2880" s="15"/>
      <c r="O2880" s="5" t="s">
        <v>26</v>
      </c>
      <c r="P2880" s="15"/>
      <c r="Q2880" s="15"/>
      <c r="R2880" s="16" t="s">
        <v>28</v>
      </c>
      <c r="S2880" s="15"/>
      <c r="T2880" s="15"/>
      <c r="U2880" s="15"/>
      <c r="V2880" s="15"/>
      <c r="W2880" s="15"/>
      <c r="X2880" s="15"/>
      <c r="Y2880" s="15"/>
      <c r="Z2880" s="15"/>
      <c r="AA2880" s="15"/>
    </row>
    <row r="2881">
      <c r="A2881" s="5" t="s">
        <v>13467</v>
      </c>
      <c r="B2881" s="131" t="s">
        <v>13492</v>
      </c>
      <c r="C2881" s="97" t="s">
        <v>13493</v>
      </c>
      <c r="D2881" s="262"/>
      <c r="E2881" s="262" t="s">
        <v>10377</v>
      </c>
      <c r="F2881" s="400" t="s">
        <v>13482</v>
      </c>
      <c r="G2881" s="318" t="s">
        <v>13494</v>
      </c>
      <c r="H2881" s="97" t="s">
        <v>13495</v>
      </c>
      <c r="I2881" s="276">
        <v>9.8675308E9</v>
      </c>
      <c r="J2881" s="97" t="s">
        <v>25</v>
      </c>
      <c r="K2881" s="12"/>
      <c r="L2881" s="12" t="s">
        <v>13496</v>
      </c>
      <c r="M2881" s="11" t="s">
        <v>13484</v>
      </c>
      <c r="N2881" s="5" t="s">
        <v>13497</v>
      </c>
      <c r="O2881" s="5" t="s">
        <v>108</v>
      </c>
      <c r="P2881" s="15"/>
      <c r="Q2881" s="15"/>
      <c r="R2881" s="16" t="s">
        <v>634</v>
      </c>
      <c r="S2881" s="15"/>
      <c r="T2881" s="15"/>
      <c r="U2881" s="15"/>
      <c r="V2881" s="15"/>
      <c r="W2881" s="15"/>
      <c r="X2881" s="15"/>
      <c r="Y2881" s="15"/>
      <c r="Z2881" s="15"/>
      <c r="AA2881" s="15"/>
    </row>
    <row r="2882">
      <c r="A2882" s="5" t="s">
        <v>13467</v>
      </c>
      <c r="B2882" s="131" t="s">
        <v>13498</v>
      </c>
      <c r="C2882" s="40" t="s">
        <v>13499</v>
      </c>
      <c r="D2882" s="11"/>
      <c r="E2882" s="11" t="s">
        <v>13500</v>
      </c>
      <c r="F2882" s="90" t="s">
        <v>13501</v>
      </c>
      <c r="G2882" s="321" t="s">
        <v>13502</v>
      </c>
      <c r="H2882" s="11" t="s">
        <v>184</v>
      </c>
      <c r="I2882" s="276">
        <v>8.404842993E9</v>
      </c>
      <c r="J2882" s="11"/>
      <c r="K2882" s="12" t="s">
        <v>13503</v>
      </c>
      <c r="L2882" s="12" t="s">
        <v>13504</v>
      </c>
      <c r="M2882" s="332" t="s">
        <v>13504</v>
      </c>
      <c r="N2882" s="5" t="s">
        <v>13505</v>
      </c>
      <c r="O2882" s="5" t="s">
        <v>34</v>
      </c>
      <c r="P2882" s="5" t="s">
        <v>8466</v>
      </c>
      <c r="Q2882" s="5" t="s">
        <v>55</v>
      </c>
      <c r="R2882" s="16" t="s">
        <v>723</v>
      </c>
      <c r="S2882" s="15"/>
      <c r="T2882" s="15"/>
      <c r="U2882" s="15"/>
      <c r="V2882" s="15"/>
      <c r="W2882" s="15"/>
      <c r="X2882" s="15"/>
      <c r="Y2882" s="15"/>
      <c r="Z2882" s="15"/>
      <c r="AA2882" s="15"/>
    </row>
    <row r="2883">
      <c r="A2883" s="5" t="s">
        <v>13467</v>
      </c>
      <c r="B2883" s="131" t="s">
        <v>13506</v>
      </c>
      <c r="C2883" s="371" t="s">
        <v>13507</v>
      </c>
      <c r="D2883" s="262"/>
      <c r="E2883" s="262" t="s">
        <v>8931</v>
      </c>
      <c r="F2883" s="90" t="s">
        <v>12247</v>
      </c>
      <c r="G2883" s="318" t="s">
        <v>13508</v>
      </c>
      <c r="H2883" s="11" t="s">
        <v>13509</v>
      </c>
      <c r="I2883" s="276">
        <v>9.561384849E9</v>
      </c>
      <c r="J2883" s="97" t="s">
        <v>25</v>
      </c>
      <c r="K2883" s="12"/>
      <c r="L2883" s="13"/>
      <c r="M2883" s="14"/>
      <c r="N2883" s="15"/>
      <c r="O2883" s="5" t="s">
        <v>108</v>
      </c>
      <c r="P2883" s="15"/>
      <c r="Q2883" s="15"/>
      <c r="R2883" s="16" t="s">
        <v>28</v>
      </c>
      <c r="S2883" s="15"/>
      <c r="T2883" s="15"/>
      <c r="U2883" s="15"/>
      <c r="V2883" s="15"/>
      <c r="W2883" s="15"/>
      <c r="X2883" s="15"/>
      <c r="Y2883" s="15"/>
      <c r="Z2883" s="15"/>
      <c r="AA2883" s="15"/>
    </row>
    <row r="2884">
      <c r="A2884" s="5" t="s">
        <v>13467</v>
      </c>
      <c r="B2884" s="131" t="s">
        <v>13510</v>
      </c>
      <c r="C2884" s="371" t="s">
        <v>13511</v>
      </c>
      <c r="D2884" s="11"/>
      <c r="E2884" s="11" t="s">
        <v>13512</v>
      </c>
      <c r="F2884" s="90" t="s">
        <v>13513</v>
      </c>
      <c r="G2884" s="318" t="s">
        <v>13514</v>
      </c>
      <c r="H2884" s="97" t="s">
        <v>13515</v>
      </c>
      <c r="I2884" s="276">
        <v>7.00389159E9</v>
      </c>
      <c r="J2884" s="11" t="s">
        <v>13272</v>
      </c>
      <c r="K2884" s="12" t="s">
        <v>13516</v>
      </c>
      <c r="L2884" s="13"/>
      <c r="M2884" s="14"/>
      <c r="N2884" s="15"/>
      <c r="O2884" s="5" t="s">
        <v>34</v>
      </c>
      <c r="P2884" s="5" t="s">
        <v>2144</v>
      </c>
      <c r="Q2884" s="15"/>
      <c r="R2884" s="16" t="s">
        <v>28</v>
      </c>
      <c r="S2884" s="15"/>
      <c r="T2884" s="15"/>
      <c r="U2884" s="15"/>
      <c r="V2884" s="15"/>
      <c r="W2884" s="15"/>
      <c r="X2884" s="15"/>
      <c r="Y2884" s="15"/>
      <c r="Z2884" s="15"/>
      <c r="AA2884" s="15"/>
    </row>
    <row r="2885">
      <c r="A2885" s="5" t="s">
        <v>13467</v>
      </c>
      <c r="B2885" s="131" t="s">
        <v>13517</v>
      </c>
      <c r="C2885" s="97" t="s">
        <v>13518</v>
      </c>
      <c r="D2885" s="262"/>
      <c r="E2885" s="262" t="s">
        <v>13519</v>
      </c>
      <c r="F2885" s="90" t="s">
        <v>12256</v>
      </c>
      <c r="G2885" s="318" t="s">
        <v>13520</v>
      </c>
      <c r="H2885" s="11" t="s">
        <v>99</v>
      </c>
      <c r="I2885" s="276">
        <v>7.853825389E9</v>
      </c>
      <c r="J2885" s="11" t="s">
        <v>4008</v>
      </c>
      <c r="K2885" s="12" t="s">
        <v>12969</v>
      </c>
      <c r="L2885" s="13"/>
      <c r="M2885" s="11" t="s">
        <v>7820</v>
      </c>
      <c r="N2885" s="5" t="s">
        <v>13521</v>
      </c>
      <c r="O2885" s="5" t="s">
        <v>108</v>
      </c>
      <c r="P2885" s="5" t="s">
        <v>13522</v>
      </c>
      <c r="Q2885" s="15"/>
      <c r="R2885" s="16" t="s">
        <v>634</v>
      </c>
      <c r="S2885" s="15"/>
      <c r="T2885" s="15"/>
      <c r="U2885" s="15"/>
      <c r="V2885" s="15"/>
      <c r="W2885" s="15"/>
      <c r="X2885" s="15"/>
      <c r="Y2885" s="15"/>
      <c r="Z2885" s="15"/>
      <c r="AA2885" s="15"/>
    </row>
    <row r="2886">
      <c r="A2886" s="5" t="s">
        <v>13467</v>
      </c>
      <c r="B2886" s="131" t="s">
        <v>13523</v>
      </c>
      <c r="C2886" s="97" t="s">
        <v>13524</v>
      </c>
      <c r="D2886" s="11"/>
      <c r="E2886" s="11" t="s">
        <v>13525</v>
      </c>
      <c r="F2886" s="90" t="s">
        <v>13121</v>
      </c>
      <c r="G2886" s="318" t="s">
        <v>13526</v>
      </c>
      <c r="H2886" s="11" t="s">
        <v>44</v>
      </c>
      <c r="I2886" s="276">
        <v>9.073324434E9</v>
      </c>
      <c r="J2886" s="11" t="s">
        <v>13081</v>
      </c>
      <c r="K2886" s="12" t="s">
        <v>8677</v>
      </c>
      <c r="L2886" s="13"/>
      <c r="M2886" s="14"/>
      <c r="N2886" s="15"/>
      <c r="O2886" s="5" t="s">
        <v>34</v>
      </c>
      <c r="P2886" s="5" t="s">
        <v>13527</v>
      </c>
      <c r="Q2886" s="15"/>
      <c r="R2886" s="16" t="s">
        <v>723</v>
      </c>
      <c r="S2886" s="15"/>
      <c r="T2886" s="15"/>
      <c r="U2886" s="15"/>
      <c r="V2886" s="15"/>
      <c r="W2886" s="15"/>
      <c r="X2886" s="15"/>
      <c r="Y2886" s="15"/>
      <c r="Z2886" s="15"/>
      <c r="AA2886" s="15"/>
    </row>
    <row r="2887">
      <c r="A2887" s="5" t="s">
        <v>13467</v>
      </c>
      <c r="B2887" s="131" t="s">
        <v>13528</v>
      </c>
      <c r="C2887" s="371" t="s">
        <v>13529</v>
      </c>
      <c r="D2887" s="262"/>
      <c r="E2887" s="262" t="s">
        <v>568</v>
      </c>
      <c r="F2887" s="90" t="s">
        <v>12256</v>
      </c>
      <c r="G2887" s="318" t="s">
        <v>4815</v>
      </c>
      <c r="H2887" s="11" t="s">
        <v>13530</v>
      </c>
      <c r="I2887" s="276">
        <v>9.33421781E9</v>
      </c>
      <c r="J2887" s="11" t="s">
        <v>13531</v>
      </c>
      <c r="K2887" s="12" t="s">
        <v>8570</v>
      </c>
      <c r="L2887" s="13"/>
      <c r="M2887" s="11" t="s">
        <v>7904</v>
      </c>
      <c r="N2887" s="5" t="s">
        <v>13532</v>
      </c>
      <c r="O2887" s="5" t="s">
        <v>26</v>
      </c>
      <c r="P2887" s="5" t="s">
        <v>13533</v>
      </c>
      <c r="Q2887" s="15"/>
      <c r="R2887" s="16" t="s">
        <v>634</v>
      </c>
      <c r="S2887" s="15"/>
      <c r="T2887" s="15"/>
      <c r="U2887" s="15"/>
      <c r="V2887" s="15"/>
      <c r="W2887" s="15"/>
      <c r="X2887" s="15"/>
      <c r="Y2887" s="15"/>
      <c r="Z2887" s="15"/>
      <c r="AA2887" s="15"/>
    </row>
    <row r="2888">
      <c r="A2888" s="5" t="s">
        <v>13467</v>
      </c>
      <c r="B2888" s="131" t="s">
        <v>13534</v>
      </c>
      <c r="C2888" s="40" t="s">
        <v>13535</v>
      </c>
      <c r="D2888" s="11"/>
      <c r="E2888" s="11" t="s">
        <v>8590</v>
      </c>
      <c r="F2888" s="90" t="s">
        <v>12247</v>
      </c>
      <c r="G2888" s="401" t="s">
        <v>13536</v>
      </c>
      <c r="H2888" s="11" t="s">
        <v>906</v>
      </c>
      <c r="I2888" s="276">
        <v>9.506860196E9</v>
      </c>
      <c r="J2888" s="11"/>
      <c r="K2888" s="12"/>
      <c r="L2888" s="13"/>
      <c r="M2888" s="11" t="s">
        <v>13537</v>
      </c>
      <c r="N2888" s="5" t="s">
        <v>13538</v>
      </c>
      <c r="O2888" s="5" t="s">
        <v>108</v>
      </c>
      <c r="P2888" s="5" t="s">
        <v>13539</v>
      </c>
      <c r="Q2888" s="15"/>
      <c r="R2888" s="16" t="s">
        <v>634</v>
      </c>
      <c r="S2888" s="15"/>
      <c r="T2888" s="15"/>
      <c r="U2888" s="15"/>
      <c r="V2888" s="15"/>
      <c r="W2888" s="15"/>
      <c r="X2888" s="15"/>
      <c r="Y2888" s="15"/>
      <c r="Z2888" s="15"/>
      <c r="AA2888" s="15"/>
    </row>
    <row r="2889">
      <c r="A2889" s="5" t="s">
        <v>13467</v>
      </c>
      <c r="B2889" s="131" t="s">
        <v>13540</v>
      </c>
      <c r="C2889" s="40" t="s">
        <v>2125</v>
      </c>
      <c r="D2889" s="11"/>
      <c r="E2889" s="11" t="s">
        <v>13541</v>
      </c>
      <c r="F2889" s="90" t="s">
        <v>12247</v>
      </c>
      <c r="G2889" s="321"/>
      <c r="H2889" s="11" t="s">
        <v>78</v>
      </c>
      <c r="I2889" s="276">
        <v>9.03103951E9</v>
      </c>
      <c r="J2889" s="11"/>
      <c r="K2889" s="12"/>
      <c r="L2889" s="12" t="s">
        <v>13542</v>
      </c>
      <c r="M2889" s="14"/>
      <c r="N2889" s="15"/>
      <c r="O2889" s="5" t="s">
        <v>10708</v>
      </c>
      <c r="P2889" s="15"/>
      <c r="Q2889" s="15"/>
      <c r="R2889" s="16"/>
      <c r="S2889" s="15"/>
      <c r="T2889" s="15"/>
      <c r="U2889" s="15"/>
      <c r="V2889" s="15"/>
      <c r="W2889" s="15"/>
      <c r="X2889" s="15"/>
      <c r="Y2889" s="15"/>
      <c r="Z2889" s="15"/>
      <c r="AA2889" s="15"/>
    </row>
    <row r="2890">
      <c r="A2890" s="5" t="s">
        <v>13467</v>
      </c>
      <c r="B2890" s="131" t="s">
        <v>13543</v>
      </c>
      <c r="C2890" s="40" t="s">
        <v>13544</v>
      </c>
      <c r="D2890" s="11"/>
      <c r="E2890" s="11" t="s">
        <v>1675</v>
      </c>
      <c r="F2890" s="90" t="s">
        <v>13365</v>
      </c>
      <c r="G2890" s="321" t="s">
        <v>13545</v>
      </c>
      <c r="H2890" s="11" t="s">
        <v>906</v>
      </c>
      <c r="I2890" s="276">
        <v>8.104989897E9</v>
      </c>
      <c r="J2890" s="11"/>
      <c r="K2890" s="12" t="s">
        <v>13546</v>
      </c>
      <c r="L2890" s="13"/>
      <c r="M2890" s="11" t="s">
        <v>13547</v>
      </c>
      <c r="N2890" s="5" t="s">
        <v>13548</v>
      </c>
      <c r="O2890" s="5" t="s">
        <v>26</v>
      </c>
      <c r="P2890" s="5" t="s">
        <v>13549</v>
      </c>
      <c r="Q2890" s="5" t="s">
        <v>13550</v>
      </c>
      <c r="R2890" s="16" t="s">
        <v>634</v>
      </c>
      <c r="S2890" s="5"/>
      <c r="T2890" s="15"/>
      <c r="U2890" s="15"/>
      <c r="V2890" s="15"/>
      <c r="W2890" s="15"/>
      <c r="X2890" s="15"/>
      <c r="Y2890" s="15"/>
      <c r="Z2890" s="15"/>
      <c r="AA2890" s="15"/>
    </row>
    <row r="2891">
      <c r="A2891" s="5" t="s">
        <v>13467</v>
      </c>
      <c r="B2891" s="131" t="s">
        <v>13551</v>
      </c>
      <c r="C2891" s="62" t="s">
        <v>13552</v>
      </c>
      <c r="D2891" s="11"/>
      <c r="E2891" s="11" t="s">
        <v>4853</v>
      </c>
      <c r="F2891" s="90" t="s">
        <v>12306</v>
      </c>
      <c r="G2891" s="321" t="s">
        <v>13553</v>
      </c>
      <c r="H2891" s="11" t="s">
        <v>906</v>
      </c>
      <c r="I2891" s="276">
        <v>9.16329071E9</v>
      </c>
      <c r="J2891" s="11"/>
      <c r="K2891" s="12"/>
      <c r="L2891" s="13"/>
      <c r="M2891" s="14"/>
      <c r="N2891" s="15"/>
      <c r="O2891" s="5" t="s">
        <v>108</v>
      </c>
      <c r="P2891" s="5" t="s">
        <v>13554</v>
      </c>
      <c r="Q2891" s="15"/>
      <c r="R2891" s="16" t="s">
        <v>28</v>
      </c>
      <c r="S2891" s="15"/>
      <c r="T2891" s="15"/>
      <c r="U2891" s="15"/>
      <c r="V2891" s="15"/>
      <c r="W2891" s="15"/>
      <c r="X2891" s="15"/>
      <c r="Y2891" s="15"/>
      <c r="Z2891" s="15"/>
      <c r="AA2891" s="15"/>
    </row>
    <row r="2892">
      <c r="A2892" s="5" t="s">
        <v>13467</v>
      </c>
      <c r="B2892" s="131" t="s">
        <v>13555</v>
      </c>
      <c r="C2892" s="371" t="s">
        <v>13556</v>
      </c>
      <c r="D2892" s="262"/>
      <c r="E2892" s="262" t="s">
        <v>13557</v>
      </c>
      <c r="F2892" s="90" t="s">
        <v>12256</v>
      </c>
      <c r="G2892" s="321" t="s">
        <v>13558</v>
      </c>
      <c r="H2892" s="97" t="s">
        <v>13559</v>
      </c>
      <c r="I2892" s="276">
        <v>9.001981043E9</v>
      </c>
      <c r="J2892" s="97" t="s">
        <v>25</v>
      </c>
      <c r="K2892" s="12"/>
      <c r="L2892" s="13"/>
      <c r="M2892" s="11" t="s">
        <v>13560</v>
      </c>
      <c r="N2892" s="5" t="s">
        <v>13561</v>
      </c>
      <c r="O2892" s="5" t="s">
        <v>108</v>
      </c>
      <c r="P2892" s="5" t="s">
        <v>13562</v>
      </c>
      <c r="Q2892" s="15"/>
      <c r="R2892" s="16" t="s">
        <v>634</v>
      </c>
      <c r="S2892" s="15"/>
      <c r="T2892" s="15"/>
      <c r="U2892" s="15"/>
      <c r="V2892" s="15"/>
      <c r="W2892" s="15"/>
      <c r="X2892" s="15"/>
      <c r="Y2892" s="15"/>
      <c r="Z2892" s="15"/>
      <c r="AA2892" s="15"/>
    </row>
    <row r="2893">
      <c r="A2893" s="5" t="s">
        <v>13467</v>
      </c>
      <c r="B2893" s="131" t="s">
        <v>13563</v>
      </c>
      <c r="C2893" s="40" t="s">
        <v>13564</v>
      </c>
      <c r="D2893" s="11"/>
      <c r="E2893" s="11" t="s">
        <v>13565</v>
      </c>
      <c r="F2893" s="90" t="s">
        <v>12501</v>
      </c>
      <c r="G2893" s="321"/>
      <c r="H2893" s="11" t="s">
        <v>13566</v>
      </c>
      <c r="I2893" s="276">
        <v>8.349794963E9</v>
      </c>
      <c r="J2893" s="11"/>
      <c r="K2893" s="12"/>
      <c r="L2893" s="12" t="s">
        <v>13567</v>
      </c>
      <c r="M2893" s="14"/>
      <c r="N2893" s="15"/>
      <c r="O2893" s="5" t="s">
        <v>108</v>
      </c>
      <c r="P2893" s="5" t="s">
        <v>13568</v>
      </c>
      <c r="Q2893" s="15"/>
      <c r="R2893" s="16"/>
      <c r="S2893" s="15"/>
      <c r="T2893" s="15"/>
      <c r="U2893" s="15"/>
      <c r="V2893" s="15"/>
      <c r="W2893" s="15"/>
      <c r="X2893" s="15"/>
      <c r="Y2893" s="15"/>
      <c r="Z2893" s="15"/>
      <c r="AA2893" s="15"/>
    </row>
    <row r="2894">
      <c r="A2894" s="5" t="s">
        <v>13467</v>
      </c>
      <c r="B2894" s="131" t="s">
        <v>13569</v>
      </c>
      <c r="C2894" s="371" t="s">
        <v>2988</v>
      </c>
      <c r="D2894" s="262"/>
      <c r="E2894" s="262" t="s">
        <v>13557</v>
      </c>
      <c r="F2894" s="90" t="s">
        <v>12296</v>
      </c>
      <c r="G2894" s="318" t="s">
        <v>2989</v>
      </c>
      <c r="H2894" s="97" t="s">
        <v>13570</v>
      </c>
      <c r="I2894" s="276">
        <v>9.331024606E9</v>
      </c>
      <c r="J2894" s="11" t="s">
        <v>4008</v>
      </c>
      <c r="K2894" s="12" t="s">
        <v>8753</v>
      </c>
      <c r="L2894" s="13"/>
      <c r="M2894" s="14"/>
      <c r="N2894" s="15"/>
      <c r="O2894" s="5" t="s">
        <v>26</v>
      </c>
      <c r="P2894" s="15"/>
      <c r="Q2894" s="15"/>
      <c r="R2894" s="16" t="s">
        <v>28</v>
      </c>
      <c r="S2894" s="15"/>
      <c r="T2894" s="15"/>
      <c r="U2894" s="15"/>
      <c r="V2894" s="15"/>
      <c r="W2894" s="15"/>
      <c r="X2894" s="15"/>
      <c r="Y2894" s="15"/>
      <c r="Z2894" s="15"/>
      <c r="AA2894" s="15"/>
    </row>
    <row r="2895">
      <c r="A2895" s="5" t="s">
        <v>13467</v>
      </c>
      <c r="B2895" s="131" t="s">
        <v>13571</v>
      </c>
      <c r="C2895" s="97" t="s">
        <v>13572</v>
      </c>
      <c r="D2895" s="262"/>
      <c r="E2895" s="262" t="s">
        <v>1579</v>
      </c>
      <c r="F2895" s="90" t="s">
        <v>13573</v>
      </c>
      <c r="G2895" s="318" t="s">
        <v>13574</v>
      </c>
      <c r="H2895" s="11" t="s">
        <v>13575</v>
      </c>
      <c r="I2895" s="276">
        <v>9.153146072E9</v>
      </c>
      <c r="J2895" s="97" t="s">
        <v>25</v>
      </c>
      <c r="K2895" s="12" t="s">
        <v>2947</v>
      </c>
      <c r="L2895" s="13"/>
      <c r="M2895" s="11" t="s">
        <v>9104</v>
      </c>
      <c r="N2895" s="5" t="s">
        <v>13576</v>
      </c>
      <c r="O2895" s="5" t="s">
        <v>26</v>
      </c>
      <c r="P2895" s="5" t="s">
        <v>13577</v>
      </c>
      <c r="Q2895" s="15"/>
      <c r="R2895" s="16" t="s">
        <v>723</v>
      </c>
      <c r="S2895" s="15"/>
      <c r="T2895" s="15"/>
      <c r="U2895" s="15"/>
      <c r="V2895" s="15"/>
      <c r="W2895" s="15"/>
      <c r="X2895" s="15"/>
      <c r="Y2895" s="15"/>
      <c r="Z2895" s="15"/>
      <c r="AA2895" s="15"/>
    </row>
    <row r="2896">
      <c r="A2896" s="5" t="s">
        <v>13467</v>
      </c>
      <c r="B2896" s="131" t="s">
        <v>13578</v>
      </c>
      <c r="C2896" s="371" t="s">
        <v>13579</v>
      </c>
      <c r="D2896" s="262"/>
      <c r="E2896" s="262" t="s">
        <v>9283</v>
      </c>
      <c r="F2896" s="90" t="s">
        <v>12296</v>
      </c>
      <c r="G2896" s="318" t="s">
        <v>13580</v>
      </c>
      <c r="H2896" s="11" t="s">
        <v>11359</v>
      </c>
      <c r="I2896" s="276">
        <v>9.322314131E9</v>
      </c>
      <c r="J2896" s="11" t="s">
        <v>4008</v>
      </c>
      <c r="K2896" s="12" t="s">
        <v>8753</v>
      </c>
      <c r="L2896" s="13"/>
      <c r="M2896" s="11" t="s">
        <v>8638</v>
      </c>
      <c r="N2896" s="5" t="s">
        <v>13581</v>
      </c>
      <c r="O2896" s="5" t="s">
        <v>34</v>
      </c>
      <c r="P2896" s="15"/>
      <c r="Q2896" s="15"/>
      <c r="R2896" s="16" t="s">
        <v>28</v>
      </c>
      <c r="S2896" s="15"/>
      <c r="T2896" s="15"/>
      <c r="U2896" s="15"/>
      <c r="V2896" s="15"/>
      <c r="W2896" s="15"/>
      <c r="X2896" s="15"/>
      <c r="Y2896" s="15"/>
      <c r="Z2896" s="15"/>
      <c r="AA2896" s="15"/>
    </row>
    <row r="2897">
      <c r="A2897" s="5" t="s">
        <v>13582</v>
      </c>
      <c r="B2897" s="131" t="s">
        <v>13583</v>
      </c>
      <c r="C2897" s="371" t="s">
        <v>13584</v>
      </c>
      <c r="D2897" s="262"/>
      <c r="E2897" s="262" t="s">
        <v>240</v>
      </c>
      <c r="F2897" s="90" t="s">
        <v>12666</v>
      </c>
      <c r="G2897" s="318" t="s">
        <v>13585</v>
      </c>
      <c r="H2897" s="97" t="s">
        <v>13586</v>
      </c>
      <c r="I2897" s="276">
        <v>9.535074954E9</v>
      </c>
      <c r="J2897" s="97" t="s">
        <v>25</v>
      </c>
      <c r="K2897" s="12" t="s">
        <v>12861</v>
      </c>
      <c r="L2897" s="13"/>
      <c r="M2897" s="11" t="s">
        <v>12862</v>
      </c>
      <c r="N2897" s="5" t="s">
        <v>13587</v>
      </c>
      <c r="O2897" s="5" t="s">
        <v>26</v>
      </c>
      <c r="P2897" s="5" t="s">
        <v>13588</v>
      </c>
      <c r="Q2897" s="15"/>
      <c r="R2897" s="16" t="s">
        <v>634</v>
      </c>
      <c r="S2897" s="15"/>
      <c r="T2897" s="15"/>
      <c r="U2897" s="15"/>
      <c r="V2897" s="15"/>
      <c r="W2897" s="15"/>
      <c r="X2897" s="15"/>
      <c r="Y2897" s="15"/>
      <c r="Z2897" s="15"/>
      <c r="AA2897" s="15"/>
    </row>
    <row r="2898">
      <c r="A2898" s="5" t="s">
        <v>13582</v>
      </c>
      <c r="B2898" s="131" t="s">
        <v>13589</v>
      </c>
      <c r="C2898" s="62" t="s">
        <v>13590</v>
      </c>
      <c r="D2898" s="262"/>
      <c r="E2898" s="262" t="s">
        <v>11430</v>
      </c>
      <c r="F2898" s="90" t="s">
        <v>13591</v>
      </c>
      <c r="G2898" s="401" t="s">
        <v>13592</v>
      </c>
      <c r="H2898" s="401" t="s">
        <v>13593</v>
      </c>
      <c r="I2898" s="276">
        <v>9.05123339E9</v>
      </c>
      <c r="J2898" s="11" t="s">
        <v>4008</v>
      </c>
      <c r="K2898" s="12" t="s">
        <v>8528</v>
      </c>
      <c r="L2898" s="13"/>
      <c r="M2898" s="11" t="s">
        <v>10171</v>
      </c>
      <c r="N2898" s="5" t="s">
        <v>13594</v>
      </c>
      <c r="O2898" s="5" t="s">
        <v>26</v>
      </c>
      <c r="P2898" s="5" t="s">
        <v>13595</v>
      </c>
      <c r="Q2898" s="15"/>
      <c r="R2898" s="16" t="s">
        <v>723</v>
      </c>
      <c r="S2898" s="15"/>
      <c r="T2898" s="15"/>
      <c r="U2898" s="15"/>
      <c r="V2898" s="15"/>
      <c r="W2898" s="15"/>
      <c r="X2898" s="15"/>
      <c r="Y2898" s="15"/>
      <c r="Z2898" s="15"/>
      <c r="AA2898" s="15"/>
    </row>
    <row r="2899">
      <c r="A2899" s="5" t="s">
        <v>13582</v>
      </c>
      <c r="B2899" s="131" t="s">
        <v>13596</v>
      </c>
      <c r="C2899" s="371" t="s">
        <v>13597</v>
      </c>
      <c r="D2899" s="262"/>
      <c r="E2899" s="262" t="s">
        <v>3341</v>
      </c>
      <c r="F2899" s="90" t="s">
        <v>12327</v>
      </c>
      <c r="G2899" s="318" t="s">
        <v>13598</v>
      </c>
      <c r="H2899" s="97" t="s">
        <v>13599</v>
      </c>
      <c r="I2899" s="276">
        <v>8.076913559E9</v>
      </c>
      <c r="J2899" s="11" t="s">
        <v>4008</v>
      </c>
      <c r="K2899" s="12"/>
      <c r="L2899" s="13"/>
      <c r="M2899" s="11" t="s">
        <v>13600</v>
      </c>
      <c r="N2899" s="15"/>
      <c r="O2899" s="5" t="s">
        <v>108</v>
      </c>
      <c r="P2899" s="5" t="s">
        <v>13601</v>
      </c>
      <c r="Q2899" s="15"/>
      <c r="R2899" s="16" t="s">
        <v>28</v>
      </c>
      <c r="S2899" s="15"/>
      <c r="T2899" s="15"/>
      <c r="U2899" s="15"/>
      <c r="V2899" s="15"/>
      <c r="W2899" s="15"/>
      <c r="X2899" s="15"/>
      <c r="Y2899" s="15"/>
      <c r="Z2899" s="15"/>
      <c r="AA2899" s="15"/>
    </row>
    <row r="2900">
      <c r="A2900" s="5" t="s">
        <v>13582</v>
      </c>
      <c r="B2900" s="131" t="s">
        <v>13602</v>
      </c>
      <c r="C2900" s="371" t="s">
        <v>13603</v>
      </c>
      <c r="D2900" s="262"/>
      <c r="E2900" s="262" t="s">
        <v>894</v>
      </c>
      <c r="F2900" s="90" t="s">
        <v>12256</v>
      </c>
      <c r="G2900" s="318" t="s">
        <v>13604</v>
      </c>
      <c r="H2900" s="97" t="s">
        <v>13605</v>
      </c>
      <c r="I2900" s="276">
        <v>9.800031949E9</v>
      </c>
      <c r="J2900" s="97" t="s">
        <v>25</v>
      </c>
      <c r="K2900" s="12" t="s">
        <v>13460</v>
      </c>
      <c r="L2900" s="13"/>
      <c r="M2900" s="11" t="s">
        <v>13461</v>
      </c>
      <c r="N2900" s="5" t="s">
        <v>13606</v>
      </c>
      <c r="O2900" s="5" t="s">
        <v>26</v>
      </c>
      <c r="P2900" s="401" t="s">
        <v>13607</v>
      </c>
      <c r="Q2900" s="401" t="s">
        <v>13608</v>
      </c>
      <c r="R2900" s="16" t="s">
        <v>634</v>
      </c>
      <c r="S2900" s="401"/>
      <c r="T2900" s="15"/>
      <c r="U2900" s="15"/>
      <c r="V2900" s="15"/>
      <c r="W2900" s="15"/>
      <c r="X2900" s="15"/>
      <c r="Y2900" s="15"/>
      <c r="Z2900" s="15"/>
      <c r="AA2900" s="15"/>
    </row>
    <row r="2901">
      <c r="A2901" s="5" t="s">
        <v>13582</v>
      </c>
      <c r="B2901" s="131" t="s">
        <v>13609</v>
      </c>
      <c r="C2901" s="62" t="s">
        <v>13610</v>
      </c>
      <c r="D2901" s="11"/>
      <c r="E2901" s="11" t="s">
        <v>152</v>
      </c>
      <c r="F2901" s="90" t="s">
        <v>12285</v>
      </c>
      <c r="G2901" s="318" t="s">
        <v>13611</v>
      </c>
      <c r="H2901" s="97" t="s">
        <v>13612</v>
      </c>
      <c r="I2901" s="276">
        <v>8.082627755E9</v>
      </c>
      <c r="J2901" s="11" t="s">
        <v>4008</v>
      </c>
      <c r="K2901" s="12" t="s">
        <v>9039</v>
      </c>
      <c r="L2901" s="13"/>
      <c r="M2901" s="11" t="s">
        <v>9875</v>
      </c>
      <c r="N2901" s="5" t="s">
        <v>13613</v>
      </c>
      <c r="O2901" s="5" t="s">
        <v>108</v>
      </c>
      <c r="P2901" s="15"/>
      <c r="Q2901" s="15"/>
      <c r="R2901" s="16" t="s">
        <v>634</v>
      </c>
      <c r="S2901" s="15"/>
      <c r="T2901" s="15"/>
      <c r="U2901" s="15"/>
      <c r="V2901" s="15"/>
      <c r="W2901" s="15"/>
      <c r="X2901" s="15"/>
      <c r="Y2901" s="15"/>
      <c r="Z2901" s="15"/>
      <c r="AA2901" s="15"/>
    </row>
    <row r="2902">
      <c r="A2902" s="5" t="s">
        <v>13582</v>
      </c>
      <c r="B2902" s="131" t="s">
        <v>13614</v>
      </c>
      <c r="C2902" s="97" t="s">
        <v>13615</v>
      </c>
      <c r="D2902" s="262"/>
      <c r="E2902" s="262" t="s">
        <v>10377</v>
      </c>
      <c r="F2902" s="400" t="s">
        <v>13616</v>
      </c>
      <c r="G2902" s="321" t="s">
        <v>13617</v>
      </c>
      <c r="H2902" s="97" t="s">
        <v>13618</v>
      </c>
      <c r="I2902" s="276">
        <v>9.324538481E9</v>
      </c>
      <c r="J2902" s="97" t="s">
        <v>25</v>
      </c>
      <c r="K2902" s="12" t="s">
        <v>8753</v>
      </c>
      <c r="L2902" s="13"/>
      <c r="M2902" s="14"/>
      <c r="N2902" s="15"/>
      <c r="O2902" s="5" t="s">
        <v>108</v>
      </c>
      <c r="P2902" s="15"/>
      <c r="Q2902" s="15"/>
      <c r="R2902" s="16" t="s">
        <v>28</v>
      </c>
      <c r="S2902" s="15"/>
      <c r="T2902" s="15"/>
      <c r="U2902" s="15"/>
      <c r="V2902" s="15"/>
      <c r="W2902" s="15"/>
      <c r="X2902" s="15"/>
      <c r="Y2902" s="15"/>
      <c r="Z2902" s="15"/>
      <c r="AA2902" s="15"/>
    </row>
    <row r="2903">
      <c r="A2903" s="5" t="s">
        <v>13582</v>
      </c>
      <c r="B2903" s="131" t="s">
        <v>13619</v>
      </c>
      <c r="C2903" s="40" t="s">
        <v>13620</v>
      </c>
      <c r="D2903" s="11"/>
      <c r="E2903" s="11" t="s">
        <v>1230</v>
      </c>
      <c r="F2903" s="90" t="s">
        <v>12541</v>
      </c>
      <c r="G2903" s="401" t="s">
        <v>13621</v>
      </c>
      <c r="H2903" s="11" t="s">
        <v>12517</v>
      </c>
      <c r="I2903" s="276">
        <v>8.340647098E9</v>
      </c>
      <c r="J2903" s="11" t="s">
        <v>4008</v>
      </c>
      <c r="K2903" s="12" t="s">
        <v>4681</v>
      </c>
      <c r="L2903" s="13"/>
      <c r="M2903" s="11" t="s">
        <v>9918</v>
      </c>
      <c r="N2903" s="5" t="s">
        <v>13622</v>
      </c>
      <c r="O2903" s="5" t="s">
        <v>26</v>
      </c>
      <c r="P2903" s="352" t="s">
        <v>9251</v>
      </c>
      <c r="Q2903" s="15"/>
      <c r="R2903" s="402" t="s">
        <v>723</v>
      </c>
      <c r="S2903" s="15"/>
      <c r="T2903" s="15"/>
      <c r="U2903" s="15"/>
      <c r="V2903" s="15"/>
      <c r="W2903" s="15"/>
      <c r="X2903" s="15"/>
      <c r="Y2903" s="15"/>
      <c r="Z2903" s="15"/>
      <c r="AA2903" s="15"/>
    </row>
    <row r="2904">
      <c r="A2904" s="5" t="s">
        <v>13582</v>
      </c>
      <c r="B2904" s="131" t="s">
        <v>13623</v>
      </c>
      <c r="C2904" s="371" t="s">
        <v>13624</v>
      </c>
      <c r="D2904" s="11"/>
      <c r="E2904" s="11" t="s">
        <v>2402</v>
      </c>
      <c r="F2904" s="90" t="s">
        <v>13625</v>
      </c>
      <c r="G2904" s="318" t="s">
        <v>13626</v>
      </c>
      <c r="H2904" s="97" t="s">
        <v>44</v>
      </c>
      <c r="I2904" s="276">
        <v>7.9800068E9</v>
      </c>
      <c r="J2904" s="11" t="s">
        <v>4008</v>
      </c>
      <c r="K2904" s="12"/>
      <c r="L2904" s="12">
        <v>60.0</v>
      </c>
      <c r="M2904" s="11" t="s">
        <v>11569</v>
      </c>
      <c r="N2904" s="5" t="s">
        <v>13627</v>
      </c>
      <c r="O2904" s="5" t="s">
        <v>34</v>
      </c>
      <c r="P2904" s="5" t="s">
        <v>13628</v>
      </c>
      <c r="Q2904" s="5" t="s">
        <v>777</v>
      </c>
      <c r="R2904" s="16" t="s">
        <v>723</v>
      </c>
      <c r="S2904" s="15"/>
      <c r="T2904" s="15"/>
      <c r="U2904" s="15"/>
      <c r="V2904" s="15"/>
      <c r="W2904" s="15"/>
      <c r="X2904" s="15"/>
      <c r="Y2904" s="15"/>
      <c r="Z2904" s="15"/>
      <c r="AA2904" s="15"/>
    </row>
    <row r="2905">
      <c r="A2905" s="5" t="s">
        <v>13582</v>
      </c>
      <c r="B2905" s="131" t="s">
        <v>13629</v>
      </c>
      <c r="C2905" s="97" t="s">
        <v>13630</v>
      </c>
      <c r="D2905" s="262"/>
      <c r="E2905" s="262" t="s">
        <v>13631</v>
      </c>
      <c r="F2905" s="90" t="s">
        <v>13121</v>
      </c>
      <c r="G2905" s="318" t="s">
        <v>13632</v>
      </c>
      <c r="H2905" s="97" t="s">
        <v>184</v>
      </c>
      <c r="I2905" s="276">
        <v>8.210845573E9</v>
      </c>
      <c r="J2905" s="97" t="s">
        <v>25</v>
      </c>
      <c r="K2905" s="12"/>
      <c r="L2905" s="12">
        <v>235.0</v>
      </c>
      <c r="M2905" s="11" t="s">
        <v>10200</v>
      </c>
      <c r="N2905" s="5" t="s">
        <v>13633</v>
      </c>
      <c r="O2905" s="5" t="s">
        <v>34</v>
      </c>
      <c r="P2905" s="5" t="s">
        <v>13634</v>
      </c>
      <c r="Q2905" s="15"/>
      <c r="R2905" s="16" t="s">
        <v>634</v>
      </c>
      <c r="S2905" s="15"/>
      <c r="T2905" s="15"/>
      <c r="U2905" s="15"/>
      <c r="V2905" s="15"/>
      <c r="W2905" s="15"/>
      <c r="X2905" s="15"/>
      <c r="Y2905" s="15"/>
      <c r="Z2905" s="15"/>
      <c r="AA2905" s="15"/>
    </row>
    <row r="2906">
      <c r="A2906" s="5" t="s">
        <v>13635</v>
      </c>
      <c r="B2906" s="131" t="s">
        <v>13636</v>
      </c>
      <c r="C2906" s="371" t="s">
        <v>13637</v>
      </c>
      <c r="D2906" s="262"/>
      <c r="E2906" s="262" t="s">
        <v>92</v>
      </c>
      <c r="F2906" s="90" t="s">
        <v>12247</v>
      </c>
      <c r="G2906" s="318" t="s">
        <v>13638</v>
      </c>
      <c r="H2906" s="97" t="s">
        <v>3688</v>
      </c>
      <c r="I2906" s="276">
        <v>9.224014077E9</v>
      </c>
      <c r="J2906" s="11" t="s">
        <v>4008</v>
      </c>
      <c r="K2906" s="12"/>
      <c r="L2906" s="12">
        <v>93.0</v>
      </c>
      <c r="M2906" s="11" t="s">
        <v>8162</v>
      </c>
      <c r="N2906" s="5" t="s">
        <v>13639</v>
      </c>
      <c r="O2906" s="5" t="s">
        <v>108</v>
      </c>
      <c r="P2906" s="15"/>
      <c r="Q2906" s="15"/>
      <c r="R2906" s="16" t="s">
        <v>634</v>
      </c>
      <c r="S2906" s="15"/>
      <c r="T2906" s="15"/>
      <c r="U2906" s="15"/>
      <c r="V2906" s="15"/>
      <c r="W2906" s="15"/>
      <c r="X2906" s="15"/>
      <c r="Y2906" s="15"/>
      <c r="Z2906" s="15"/>
      <c r="AA2906" s="15"/>
    </row>
    <row r="2907">
      <c r="A2907" s="5" t="s">
        <v>13635</v>
      </c>
      <c r="B2907" s="131" t="s">
        <v>13640</v>
      </c>
      <c r="C2907" s="40" t="s">
        <v>13641</v>
      </c>
      <c r="D2907" s="11"/>
      <c r="E2907" s="11" t="s">
        <v>152</v>
      </c>
      <c r="F2907" s="90" t="s">
        <v>12857</v>
      </c>
      <c r="G2907" s="318" t="s">
        <v>13642</v>
      </c>
      <c r="H2907" s="11" t="s">
        <v>13643</v>
      </c>
      <c r="I2907" s="276">
        <v>8.420362709E9</v>
      </c>
      <c r="J2907" s="11" t="s">
        <v>13644</v>
      </c>
      <c r="K2907" s="12"/>
      <c r="L2907" s="12">
        <v>20.0</v>
      </c>
      <c r="M2907" s="11" t="s">
        <v>9983</v>
      </c>
      <c r="N2907" s="5" t="s">
        <v>13645</v>
      </c>
      <c r="O2907" s="5" t="s">
        <v>34</v>
      </c>
      <c r="P2907" s="5" t="s">
        <v>13646</v>
      </c>
      <c r="Q2907" s="15"/>
      <c r="R2907" s="16" t="s">
        <v>634</v>
      </c>
      <c r="S2907" s="15"/>
      <c r="T2907" s="15"/>
      <c r="U2907" s="15"/>
      <c r="V2907" s="15"/>
      <c r="W2907" s="15"/>
      <c r="X2907" s="15"/>
      <c r="Y2907" s="15"/>
      <c r="Z2907" s="15"/>
      <c r="AA2907" s="15"/>
    </row>
    <row r="2908">
      <c r="A2908" s="5" t="s">
        <v>13635</v>
      </c>
      <c r="B2908" s="131" t="s">
        <v>13647</v>
      </c>
      <c r="C2908" s="403" t="s">
        <v>13648</v>
      </c>
      <c r="D2908" s="389"/>
      <c r="E2908" s="389" t="s">
        <v>12688</v>
      </c>
      <c r="F2908" s="148" t="s">
        <v>12228</v>
      </c>
      <c r="G2908" s="390" t="s">
        <v>10386</v>
      </c>
      <c r="H2908" s="149" t="s">
        <v>13649</v>
      </c>
      <c r="I2908" s="391">
        <v>9.820188549E9</v>
      </c>
      <c r="J2908" s="11" t="s">
        <v>10933</v>
      </c>
      <c r="K2908" s="12"/>
      <c r="L2908" s="12" t="s">
        <v>13650</v>
      </c>
      <c r="M2908" s="11" t="s">
        <v>13651</v>
      </c>
      <c r="N2908" s="5" t="s">
        <v>13652</v>
      </c>
      <c r="O2908" s="5" t="s">
        <v>108</v>
      </c>
      <c r="P2908" s="5" t="s">
        <v>13653</v>
      </c>
      <c r="Q2908" s="5" t="s">
        <v>13654</v>
      </c>
      <c r="R2908" s="16" t="s">
        <v>634</v>
      </c>
      <c r="S2908" s="5"/>
      <c r="T2908" s="15"/>
      <c r="U2908" s="15"/>
      <c r="V2908" s="15"/>
      <c r="W2908" s="15"/>
      <c r="X2908" s="15"/>
      <c r="Y2908" s="15"/>
      <c r="Z2908" s="15"/>
      <c r="AA2908" s="15"/>
    </row>
    <row r="2909">
      <c r="A2909" s="5" t="s">
        <v>13635</v>
      </c>
      <c r="B2909" s="131" t="s">
        <v>13655</v>
      </c>
      <c r="C2909" s="371" t="s">
        <v>13656</v>
      </c>
      <c r="D2909" s="262"/>
      <c r="E2909" s="262" t="s">
        <v>13657</v>
      </c>
      <c r="F2909" s="90" t="s">
        <v>13458</v>
      </c>
      <c r="G2909" s="318" t="s">
        <v>13658</v>
      </c>
      <c r="H2909" s="97" t="s">
        <v>13659</v>
      </c>
      <c r="I2909" s="276">
        <v>7.699067536E9</v>
      </c>
      <c r="J2909" s="404" t="s">
        <v>12643</v>
      </c>
      <c r="K2909" s="12"/>
      <c r="L2909" s="12">
        <v>7.0</v>
      </c>
      <c r="M2909" s="11" t="s">
        <v>7965</v>
      </c>
      <c r="N2909" s="5" t="s">
        <v>13660</v>
      </c>
      <c r="O2909" s="5" t="s">
        <v>26</v>
      </c>
      <c r="P2909" s="401" t="s">
        <v>13661</v>
      </c>
      <c r="Q2909" s="15"/>
      <c r="R2909" s="16" t="s">
        <v>723</v>
      </c>
      <c r="S2909" s="15"/>
      <c r="T2909" s="15"/>
      <c r="U2909" s="15"/>
      <c r="V2909" s="15"/>
      <c r="W2909" s="15"/>
      <c r="X2909" s="15"/>
      <c r="Y2909" s="15"/>
      <c r="Z2909" s="15"/>
      <c r="AA2909" s="15"/>
    </row>
    <row r="2910">
      <c r="A2910" s="5" t="s">
        <v>13635</v>
      </c>
      <c r="B2910" s="131" t="s">
        <v>13662</v>
      </c>
      <c r="C2910" s="62" t="s">
        <v>13663</v>
      </c>
      <c r="D2910" s="40"/>
      <c r="E2910" s="40" t="s">
        <v>43</v>
      </c>
      <c r="F2910" s="296" t="s">
        <v>12850</v>
      </c>
      <c r="G2910" s="321" t="s">
        <v>13664</v>
      </c>
      <c r="H2910" s="11" t="s">
        <v>13665</v>
      </c>
      <c r="I2910" s="276">
        <v>9.437347453E9</v>
      </c>
      <c r="J2910" s="11"/>
      <c r="K2910" s="12"/>
      <c r="L2910" s="12" t="s">
        <v>13666</v>
      </c>
      <c r="M2910" s="11" t="s">
        <v>11202</v>
      </c>
      <c r="N2910" s="5" t="s">
        <v>13667</v>
      </c>
      <c r="O2910" s="5" t="s">
        <v>26</v>
      </c>
      <c r="P2910" s="5" t="s">
        <v>10040</v>
      </c>
      <c r="Q2910" s="5" t="s">
        <v>13668</v>
      </c>
      <c r="R2910" s="16" t="s">
        <v>634</v>
      </c>
      <c r="S2910" s="5"/>
      <c r="T2910" s="15"/>
      <c r="U2910" s="15"/>
      <c r="V2910" s="15"/>
      <c r="W2910" s="15"/>
      <c r="X2910" s="15"/>
      <c r="Y2910" s="15"/>
      <c r="Z2910" s="15"/>
      <c r="AA2910" s="15"/>
    </row>
    <row r="2911">
      <c r="A2911" s="5" t="s">
        <v>13635</v>
      </c>
      <c r="B2911" s="131" t="s">
        <v>13669</v>
      </c>
      <c r="C2911" s="371" t="s">
        <v>13670</v>
      </c>
      <c r="D2911" s="262"/>
      <c r="E2911" s="262" t="s">
        <v>13671</v>
      </c>
      <c r="F2911" s="90" t="s">
        <v>12765</v>
      </c>
      <c r="G2911" s="318" t="s">
        <v>13672</v>
      </c>
      <c r="H2911" s="97" t="s">
        <v>13673</v>
      </c>
      <c r="I2911" s="276">
        <v>9.903990228E9</v>
      </c>
      <c r="J2911" s="97" t="s">
        <v>25</v>
      </c>
      <c r="K2911" s="12"/>
      <c r="L2911" s="13"/>
      <c r="M2911" s="14"/>
      <c r="N2911" s="15"/>
      <c r="O2911" s="5" t="s">
        <v>26</v>
      </c>
      <c r="P2911" s="15"/>
      <c r="Q2911" s="15"/>
      <c r="R2911" s="16" t="s">
        <v>28</v>
      </c>
      <c r="S2911" s="15"/>
      <c r="T2911" s="15"/>
      <c r="U2911" s="15"/>
      <c r="V2911" s="15"/>
      <c r="W2911" s="15"/>
      <c r="X2911" s="15"/>
      <c r="Y2911" s="15"/>
      <c r="Z2911" s="15"/>
      <c r="AA2911" s="15"/>
    </row>
    <row r="2912">
      <c r="A2912" s="5" t="s">
        <v>13635</v>
      </c>
      <c r="B2912" s="131" t="s">
        <v>13674</v>
      </c>
      <c r="C2912" s="62" t="s">
        <v>13675</v>
      </c>
      <c r="D2912" s="401"/>
      <c r="E2912" s="401" t="s">
        <v>13676</v>
      </c>
      <c r="F2912" s="90" t="s">
        <v>12256</v>
      </c>
      <c r="G2912" s="321" t="s">
        <v>13677</v>
      </c>
      <c r="H2912" s="11"/>
      <c r="I2912" s="276">
        <v>7.439197376E9</v>
      </c>
      <c r="J2912" s="11"/>
      <c r="K2912" s="12"/>
      <c r="L2912" s="12">
        <v>450.0</v>
      </c>
      <c r="M2912" s="11" t="s">
        <v>13678</v>
      </c>
      <c r="N2912" s="5" t="s">
        <v>13679</v>
      </c>
      <c r="O2912" s="5" t="s">
        <v>26</v>
      </c>
      <c r="P2912" s="401" t="s">
        <v>13680</v>
      </c>
      <c r="Q2912" s="401"/>
      <c r="R2912" s="16" t="s">
        <v>634</v>
      </c>
      <c r="S2912" s="401"/>
      <c r="T2912" s="15"/>
      <c r="U2912" s="15"/>
      <c r="V2912" s="15"/>
      <c r="W2912" s="15"/>
      <c r="X2912" s="15"/>
      <c r="Y2912" s="15"/>
      <c r="Z2912" s="15"/>
      <c r="AA2912" s="15"/>
    </row>
    <row r="2913">
      <c r="A2913" s="5" t="s">
        <v>13635</v>
      </c>
      <c r="B2913" s="131" t="s">
        <v>13681</v>
      </c>
      <c r="C2913" s="371" t="s">
        <v>13682</v>
      </c>
      <c r="D2913" s="262"/>
      <c r="E2913" s="262" t="s">
        <v>178</v>
      </c>
      <c r="F2913" s="90" t="s">
        <v>12666</v>
      </c>
      <c r="G2913" s="401" t="s">
        <v>13683</v>
      </c>
      <c r="H2913" s="11" t="s">
        <v>11424</v>
      </c>
      <c r="I2913" s="276">
        <v>9.831204333E9</v>
      </c>
      <c r="J2913" s="11" t="s">
        <v>4008</v>
      </c>
      <c r="K2913" s="12" t="s">
        <v>4681</v>
      </c>
      <c r="L2913" s="13"/>
      <c r="M2913" s="11" t="s">
        <v>9918</v>
      </c>
      <c r="N2913" s="5" t="s">
        <v>13684</v>
      </c>
      <c r="O2913" s="5" t="s">
        <v>26</v>
      </c>
      <c r="P2913" s="5" t="s">
        <v>27</v>
      </c>
      <c r="Q2913" s="15"/>
      <c r="R2913" s="16" t="s">
        <v>634</v>
      </c>
      <c r="S2913" s="15"/>
      <c r="T2913" s="15"/>
      <c r="U2913" s="15"/>
      <c r="V2913" s="15"/>
      <c r="W2913" s="15"/>
      <c r="X2913" s="15"/>
      <c r="Y2913" s="15"/>
      <c r="Z2913" s="15"/>
      <c r="AA2913" s="15"/>
    </row>
    <row r="2914">
      <c r="A2914" s="5" t="s">
        <v>13635</v>
      </c>
      <c r="B2914" s="131" t="s">
        <v>13685</v>
      </c>
      <c r="C2914" s="371" t="s">
        <v>13686</v>
      </c>
      <c r="D2914" s="262"/>
      <c r="E2914" s="262" t="s">
        <v>13687</v>
      </c>
      <c r="F2914" s="90" t="s">
        <v>13688</v>
      </c>
      <c r="G2914" s="318" t="s">
        <v>13689</v>
      </c>
      <c r="H2914" s="97" t="s">
        <v>13690</v>
      </c>
      <c r="I2914" s="283" t="s">
        <v>13691</v>
      </c>
      <c r="J2914" s="404" t="s">
        <v>12643</v>
      </c>
      <c r="K2914" s="12" t="s">
        <v>8677</v>
      </c>
      <c r="L2914" s="12" t="s">
        <v>13692</v>
      </c>
      <c r="M2914" s="11" t="s">
        <v>9177</v>
      </c>
      <c r="N2914" s="5" t="s">
        <v>13693</v>
      </c>
      <c r="O2914" s="5" t="s">
        <v>108</v>
      </c>
      <c r="P2914" s="5" t="s">
        <v>13694</v>
      </c>
      <c r="Q2914" s="15"/>
      <c r="R2914" s="16" t="s">
        <v>634</v>
      </c>
      <c r="S2914" s="15"/>
      <c r="T2914" s="15"/>
      <c r="U2914" s="15"/>
      <c r="V2914" s="15"/>
      <c r="W2914" s="15"/>
      <c r="X2914" s="15"/>
      <c r="Y2914" s="15"/>
      <c r="Z2914" s="15"/>
      <c r="AA2914" s="15"/>
    </row>
    <row r="2915">
      <c r="A2915" s="5" t="s">
        <v>13635</v>
      </c>
      <c r="B2915" s="131" t="s">
        <v>13695</v>
      </c>
      <c r="C2915" s="97" t="s">
        <v>2610</v>
      </c>
      <c r="D2915" s="262"/>
      <c r="E2915" s="262" t="s">
        <v>1230</v>
      </c>
      <c r="F2915" s="90" t="s">
        <v>12541</v>
      </c>
      <c r="G2915" s="318" t="s">
        <v>13621</v>
      </c>
      <c r="H2915" s="97" t="s">
        <v>13696</v>
      </c>
      <c r="I2915" s="276">
        <v>9.886098843E9</v>
      </c>
      <c r="J2915" s="11" t="s">
        <v>4008</v>
      </c>
      <c r="K2915" s="12" t="s">
        <v>8677</v>
      </c>
      <c r="L2915" s="12">
        <v>1.5</v>
      </c>
      <c r="M2915" s="11" t="s">
        <v>13697</v>
      </c>
      <c r="N2915" s="15"/>
      <c r="O2915" s="5" t="s">
        <v>108</v>
      </c>
      <c r="P2915" s="5" t="s">
        <v>13698</v>
      </c>
      <c r="Q2915" s="15"/>
      <c r="R2915" s="16" t="s">
        <v>28</v>
      </c>
      <c r="S2915" s="15"/>
      <c r="T2915" s="15"/>
      <c r="U2915" s="15"/>
      <c r="V2915" s="15"/>
      <c r="W2915" s="15"/>
      <c r="X2915" s="15"/>
      <c r="Y2915" s="15"/>
      <c r="Z2915" s="15"/>
      <c r="AA2915" s="15"/>
    </row>
    <row r="2916">
      <c r="A2916" s="5" t="s">
        <v>13635</v>
      </c>
      <c r="B2916" s="131" t="s">
        <v>13699</v>
      </c>
      <c r="C2916" s="371" t="s">
        <v>13700</v>
      </c>
      <c r="D2916" s="262"/>
      <c r="E2916" s="262" t="s">
        <v>152</v>
      </c>
      <c r="F2916" s="90" t="s">
        <v>12247</v>
      </c>
      <c r="G2916" s="318" t="s">
        <v>13701</v>
      </c>
      <c r="H2916" s="97" t="s">
        <v>13702</v>
      </c>
      <c r="I2916" s="276">
        <v>8.421324883E9</v>
      </c>
      <c r="J2916" s="11" t="s">
        <v>12632</v>
      </c>
      <c r="K2916" s="12"/>
      <c r="L2916" s="12">
        <v>23.0</v>
      </c>
      <c r="M2916" s="11" t="s">
        <v>9776</v>
      </c>
      <c r="N2916" s="5" t="s">
        <v>13703</v>
      </c>
      <c r="O2916" s="5" t="s">
        <v>34</v>
      </c>
      <c r="P2916" s="5" t="s">
        <v>13704</v>
      </c>
      <c r="Q2916" s="5" t="s">
        <v>921</v>
      </c>
      <c r="R2916" s="16" t="s">
        <v>723</v>
      </c>
      <c r="S2916" s="5"/>
      <c r="T2916" s="15"/>
      <c r="U2916" s="15"/>
      <c r="V2916" s="15"/>
      <c r="W2916" s="15"/>
      <c r="X2916" s="15"/>
      <c r="Y2916" s="15"/>
      <c r="Z2916" s="15"/>
      <c r="AA2916" s="15"/>
    </row>
    <row r="2917">
      <c r="A2917" s="5" t="s">
        <v>13635</v>
      </c>
      <c r="B2917" s="131" t="s">
        <v>13705</v>
      </c>
      <c r="C2917" s="371" t="s">
        <v>13706</v>
      </c>
      <c r="D2917" s="262"/>
      <c r="E2917" s="262" t="s">
        <v>13707</v>
      </c>
      <c r="F2917" s="90" t="s">
        <v>12541</v>
      </c>
      <c r="G2917" s="318" t="s">
        <v>10992</v>
      </c>
      <c r="H2917" s="11" t="s">
        <v>44</v>
      </c>
      <c r="I2917" s="276">
        <v>9.12394405E9</v>
      </c>
      <c r="J2917" s="11" t="s">
        <v>4008</v>
      </c>
      <c r="K2917" s="12"/>
      <c r="L2917" s="13"/>
      <c r="M2917" s="14"/>
      <c r="N2917" s="15"/>
      <c r="O2917" s="5" t="s">
        <v>26</v>
      </c>
      <c r="P2917" s="15"/>
      <c r="Q2917" s="15"/>
      <c r="R2917" s="16" t="s">
        <v>28</v>
      </c>
      <c r="S2917" s="15"/>
      <c r="T2917" s="15"/>
      <c r="U2917" s="15"/>
      <c r="V2917" s="15"/>
      <c r="W2917" s="15"/>
      <c r="X2917" s="15"/>
      <c r="Y2917" s="15"/>
      <c r="Z2917" s="15"/>
      <c r="AA2917" s="15"/>
    </row>
    <row r="2918">
      <c r="A2918" s="5" t="s">
        <v>13708</v>
      </c>
      <c r="B2918" s="131" t="s">
        <v>13709</v>
      </c>
      <c r="C2918" s="371" t="s">
        <v>13710</v>
      </c>
      <c r="D2918" s="11"/>
      <c r="E2918" s="11" t="s">
        <v>1230</v>
      </c>
      <c r="F2918" s="90" t="s">
        <v>12327</v>
      </c>
      <c r="G2918" s="318" t="s">
        <v>13711</v>
      </c>
      <c r="H2918" s="97" t="s">
        <v>12517</v>
      </c>
      <c r="I2918" s="401">
        <v>7.001206923E9</v>
      </c>
      <c r="J2918" s="11" t="s">
        <v>4008</v>
      </c>
      <c r="K2918" s="12" t="s">
        <v>4681</v>
      </c>
      <c r="L2918" s="13"/>
      <c r="M2918" s="11" t="s">
        <v>9918</v>
      </c>
      <c r="N2918" s="5" t="s">
        <v>13712</v>
      </c>
      <c r="O2918" s="5" t="s">
        <v>26</v>
      </c>
      <c r="P2918" s="5" t="s">
        <v>2632</v>
      </c>
      <c r="Q2918" s="15"/>
      <c r="R2918" s="16" t="s">
        <v>634</v>
      </c>
      <c r="S2918" s="15"/>
      <c r="T2918" s="15"/>
      <c r="U2918" s="15"/>
      <c r="V2918" s="15"/>
      <c r="W2918" s="15"/>
      <c r="X2918" s="15"/>
      <c r="Y2918" s="15"/>
      <c r="Z2918" s="15"/>
      <c r="AA2918" s="15"/>
    </row>
    <row r="2919">
      <c r="A2919" s="5" t="s">
        <v>13708</v>
      </c>
      <c r="B2919" s="131" t="s">
        <v>13713</v>
      </c>
      <c r="C2919" s="97" t="s">
        <v>13714</v>
      </c>
      <c r="D2919" s="262"/>
      <c r="E2919" s="262" t="s">
        <v>13715</v>
      </c>
      <c r="F2919" s="90" t="s">
        <v>13716</v>
      </c>
      <c r="G2919" s="401" t="s">
        <v>13717</v>
      </c>
      <c r="H2919" s="11" t="s">
        <v>906</v>
      </c>
      <c r="I2919" s="401">
        <v>9.869006978E9</v>
      </c>
      <c r="J2919" s="11" t="s">
        <v>4008</v>
      </c>
      <c r="K2919" s="12" t="s">
        <v>8677</v>
      </c>
      <c r="L2919" s="13"/>
      <c r="M2919" s="14"/>
      <c r="N2919" s="15"/>
      <c r="O2919" s="5" t="s">
        <v>34</v>
      </c>
      <c r="P2919" s="5" t="s">
        <v>13527</v>
      </c>
      <c r="Q2919" s="15"/>
      <c r="R2919" s="16" t="s">
        <v>723</v>
      </c>
      <c r="S2919" s="15"/>
      <c r="T2919" s="15"/>
      <c r="U2919" s="15"/>
      <c r="V2919" s="15"/>
      <c r="W2919" s="15"/>
      <c r="X2919" s="15"/>
      <c r="Y2919" s="15"/>
      <c r="Z2919" s="15"/>
      <c r="AA2919" s="15"/>
    </row>
    <row r="2920">
      <c r="A2920" s="5" t="s">
        <v>13708</v>
      </c>
      <c r="B2920" s="131" t="s">
        <v>13718</v>
      </c>
      <c r="C2920" s="97" t="s">
        <v>13719</v>
      </c>
      <c r="D2920" s="262"/>
      <c r="E2920" s="262" t="s">
        <v>4507</v>
      </c>
      <c r="F2920" s="90" t="s">
        <v>12935</v>
      </c>
      <c r="G2920" s="318" t="s">
        <v>13720</v>
      </c>
      <c r="H2920" s="11" t="s">
        <v>13649</v>
      </c>
      <c r="I2920" s="315">
        <v>9.322290335E9</v>
      </c>
      <c r="J2920" s="11" t="s">
        <v>4008</v>
      </c>
      <c r="K2920" s="12"/>
      <c r="L2920" s="13"/>
      <c r="M2920" s="14"/>
      <c r="N2920" s="15"/>
      <c r="O2920" s="5" t="s">
        <v>108</v>
      </c>
      <c r="P2920" s="5" t="s">
        <v>13721</v>
      </c>
      <c r="Q2920" s="15"/>
      <c r="R2920" s="16" t="s">
        <v>723</v>
      </c>
      <c r="S2920" s="15"/>
      <c r="T2920" s="15"/>
      <c r="U2920" s="15"/>
      <c r="V2920" s="15"/>
      <c r="W2920" s="15"/>
      <c r="X2920" s="15"/>
      <c r="Y2920" s="15"/>
      <c r="Z2920" s="15"/>
      <c r="AA2920" s="15"/>
    </row>
    <row r="2921">
      <c r="A2921" s="5" t="s">
        <v>13708</v>
      </c>
      <c r="B2921" s="131" t="s">
        <v>13722</v>
      </c>
      <c r="C2921" s="40" t="s">
        <v>7093</v>
      </c>
      <c r="D2921" s="11"/>
      <c r="E2921" s="11" t="s">
        <v>13723</v>
      </c>
      <c r="F2921" s="90" t="s">
        <v>13724</v>
      </c>
      <c r="G2921" s="321" t="s">
        <v>13725</v>
      </c>
      <c r="H2921" s="11" t="s">
        <v>422</v>
      </c>
      <c r="I2921" s="283" t="s">
        <v>13726</v>
      </c>
      <c r="J2921" s="11" t="s">
        <v>13727</v>
      </c>
      <c r="K2921" s="12"/>
      <c r="L2921" s="13"/>
      <c r="M2921" s="11" t="s">
        <v>13728</v>
      </c>
      <c r="N2921" s="5" t="s">
        <v>13729</v>
      </c>
      <c r="O2921" s="5" t="s">
        <v>34</v>
      </c>
      <c r="P2921" s="5" t="s">
        <v>13730</v>
      </c>
      <c r="Q2921" s="5" t="s">
        <v>13731</v>
      </c>
      <c r="R2921" s="16" t="s">
        <v>634</v>
      </c>
      <c r="S2921" s="5"/>
      <c r="T2921" s="15"/>
      <c r="U2921" s="15"/>
      <c r="V2921" s="15"/>
      <c r="W2921" s="15"/>
      <c r="X2921" s="15"/>
      <c r="Y2921" s="15"/>
      <c r="Z2921" s="15"/>
      <c r="AA2921" s="15"/>
    </row>
    <row r="2922">
      <c r="A2922" s="5" t="s">
        <v>13708</v>
      </c>
      <c r="B2922" s="131" t="s">
        <v>13732</v>
      </c>
      <c r="C2922" s="62" t="s">
        <v>13733</v>
      </c>
      <c r="D2922" s="11"/>
      <c r="E2922" s="11" t="s">
        <v>13734</v>
      </c>
      <c r="F2922" s="90" t="s">
        <v>13735</v>
      </c>
      <c r="G2922" s="321" t="s">
        <v>13736</v>
      </c>
      <c r="H2922" s="11" t="s">
        <v>12777</v>
      </c>
      <c r="I2922" s="276">
        <v>6.28473369E8</v>
      </c>
      <c r="J2922" s="11" t="s">
        <v>13272</v>
      </c>
      <c r="K2922" s="12" t="s">
        <v>13737</v>
      </c>
      <c r="L2922" s="12">
        <v>58.0</v>
      </c>
      <c r="M2922" s="11" t="s">
        <v>9879</v>
      </c>
      <c r="N2922" s="5" t="s">
        <v>13738</v>
      </c>
      <c r="O2922" s="5" t="s">
        <v>10708</v>
      </c>
      <c r="P2922" s="11" t="s">
        <v>13739</v>
      </c>
      <c r="Q2922" s="15"/>
      <c r="R2922" s="16" t="s">
        <v>634</v>
      </c>
      <c r="S2922" s="15"/>
      <c r="T2922" s="15"/>
      <c r="U2922" s="15"/>
      <c r="V2922" s="15"/>
      <c r="W2922" s="15"/>
      <c r="X2922" s="15"/>
      <c r="Y2922" s="15"/>
      <c r="Z2922" s="15"/>
      <c r="AA2922" s="15"/>
    </row>
    <row r="2923">
      <c r="A2923" s="5" t="s">
        <v>13708</v>
      </c>
      <c r="B2923" s="131" t="s">
        <v>13740</v>
      </c>
      <c r="C2923" s="40" t="s">
        <v>13741</v>
      </c>
      <c r="D2923" s="11"/>
      <c r="E2923" s="11" t="s">
        <v>13742</v>
      </c>
      <c r="F2923" s="90" t="s">
        <v>13743</v>
      </c>
      <c r="G2923" s="321" t="s">
        <v>13744</v>
      </c>
      <c r="H2923" s="11"/>
      <c r="I2923" s="276">
        <v>9.64718234E9</v>
      </c>
      <c r="J2923" s="11"/>
      <c r="K2923" s="12" t="s">
        <v>13745</v>
      </c>
      <c r="L2923" s="13"/>
      <c r="M2923" s="11" t="s">
        <v>8860</v>
      </c>
      <c r="N2923" s="5" t="s">
        <v>13746</v>
      </c>
      <c r="O2923" s="5" t="s">
        <v>26</v>
      </c>
      <c r="P2923" s="387" t="s">
        <v>13747</v>
      </c>
      <c r="Q2923" s="15"/>
      <c r="R2923" s="16" t="s">
        <v>634</v>
      </c>
      <c r="S2923" s="15"/>
      <c r="T2923" s="15"/>
      <c r="U2923" s="15"/>
      <c r="V2923" s="15"/>
      <c r="W2923" s="15"/>
      <c r="X2923" s="15"/>
      <c r="Y2923" s="15"/>
      <c r="Z2923" s="15"/>
      <c r="AA2923" s="15"/>
    </row>
    <row r="2924">
      <c r="A2924" s="5" t="s">
        <v>13708</v>
      </c>
      <c r="B2924" s="131" t="s">
        <v>13748</v>
      </c>
      <c r="C2924" s="371" t="s">
        <v>13749</v>
      </c>
      <c r="D2924" s="262"/>
      <c r="E2924" s="262" t="s">
        <v>2335</v>
      </c>
      <c r="F2924" s="90" t="s">
        <v>12850</v>
      </c>
      <c r="G2924" s="318" t="s">
        <v>13750</v>
      </c>
      <c r="H2924" s="97" t="s">
        <v>12134</v>
      </c>
      <c r="I2924" s="276">
        <v>9.820297437E9</v>
      </c>
      <c r="J2924" s="11" t="s">
        <v>4008</v>
      </c>
      <c r="K2924" s="12"/>
      <c r="L2924" s="13"/>
      <c r="M2924" s="14"/>
      <c r="N2924" s="15"/>
      <c r="O2924" s="5" t="s">
        <v>26</v>
      </c>
      <c r="P2924" s="399"/>
      <c r="Q2924" s="15"/>
      <c r="R2924" s="16" t="s">
        <v>28</v>
      </c>
      <c r="S2924" s="15"/>
      <c r="T2924" s="15"/>
      <c r="U2924" s="15"/>
      <c r="V2924" s="15"/>
      <c r="W2924" s="15"/>
      <c r="X2924" s="15"/>
      <c r="Y2924" s="15"/>
      <c r="Z2924" s="15"/>
      <c r="AA2924" s="15"/>
    </row>
    <row r="2925">
      <c r="A2925" s="5" t="s">
        <v>13708</v>
      </c>
      <c r="B2925" s="131" t="s">
        <v>13751</v>
      </c>
      <c r="C2925" s="40" t="s">
        <v>13752</v>
      </c>
      <c r="D2925" s="404"/>
      <c r="E2925" s="404" t="s">
        <v>13753</v>
      </c>
      <c r="F2925" s="90" t="s">
        <v>13754</v>
      </c>
      <c r="G2925" s="321" t="s">
        <v>13755</v>
      </c>
      <c r="H2925" s="11" t="s">
        <v>13756</v>
      </c>
      <c r="I2925" s="276">
        <v>9.748401863E9</v>
      </c>
      <c r="J2925" s="404" t="s">
        <v>12643</v>
      </c>
      <c r="K2925" s="12" t="s">
        <v>13373</v>
      </c>
      <c r="L2925" s="13"/>
      <c r="M2925" s="11" t="s">
        <v>11016</v>
      </c>
      <c r="N2925" s="5" t="s">
        <v>13757</v>
      </c>
      <c r="O2925" s="5" t="s">
        <v>10708</v>
      </c>
      <c r="P2925" s="5" t="s">
        <v>13758</v>
      </c>
      <c r="Q2925" s="401" t="s">
        <v>921</v>
      </c>
      <c r="R2925" s="16" t="s">
        <v>723</v>
      </c>
      <c r="S2925" s="401"/>
      <c r="T2925" s="15"/>
      <c r="U2925" s="15"/>
      <c r="V2925" s="15"/>
      <c r="W2925" s="15"/>
      <c r="X2925" s="15"/>
      <c r="Y2925" s="15"/>
      <c r="Z2925" s="15"/>
      <c r="AA2925" s="15"/>
    </row>
    <row r="2926">
      <c r="A2926" s="5" t="s">
        <v>13708</v>
      </c>
      <c r="B2926" s="131" t="s">
        <v>13759</v>
      </c>
      <c r="C2926" s="371" t="s">
        <v>13760</v>
      </c>
      <c r="D2926" s="262"/>
      <c r="E2926" s="262" t="s">
        <v>130</v>
      </c>
      <c r="F2926" s="90" t="s">
        <v>13761</v>
      </c>
      <c r="G2926" s="318" t="s">
        <v>13762</v>
      </c>
      <c r="H2926" s="11" t="s">
        <v>13763</v>
      </c>
      <c r="I2926" s="276">
        <v>9.960894457E9</v>
      </c>
      <c r="J2926" s="11" t="s">
        <v>4008</v>
      </c>
      <c r="K2926" s="12" t="s">
        <v>8528</v>
      </c>
      <c r="L2926" s="13"/>
      <c r="M2926" s="11" t="s">
        <v>13764</v>
      </c>
      <c r="N2926" s="15"/>
      <c r="O2926" s="5" t="s">
        <v>26</v>
      </c>
      <c r="P2926" s="5" t="s">
        <v>13765</v>
      </c>
      <c r="Q2926" s="15"/>
      <c r="R2926" s="16" t="s">
        <v>723</v>
      </c>
      <c r="S2926" s="15"/>
      <c r="T2926" s="15"/>
      <c r="U2926" s="15"/>
      <c r="V2926" s="15"/>
      <c r="W2926" s="15"/>
      <c r="X2926" s="15"/>
      <c r="Y2926" s="15"/>
      <c r="Z2926" s="15"/>
      <c r="AA2926" s="15"/>
    </row>
    <row r="2927">
      <c r="A2927" s="5" t="s">
        <v>13766</v>
      </c>
      <c r="B2927" s="131" t="s">
        <v>13767</v>
      </c>
      <c r="C2927" s="62" t="s">
        <v>13768</v>
      </c>
      <c r="D2927" s="11"/>
      <c r="E2927" s="11" t="s">
        <v>13769</v>
      </c>
      <c r="F2927" s="90" t="s">
        <v>12510</v>
      </c>
      <c r="G2927" s="321" t="s">
        <v>13770</v>
      </c>
      <c r="H2927" s="11"/>
      <c r="I2927" s="276">
        <v>9.825023225E9</v>
      </c>
      <c r="J2927" s="11"/>
      <c r="K2927" s="12" t="s">
        <v>8677</v>
      </c>
      <c r="L2927" s="13"/>
      <c r="M2927" s="14"/>
      <c r="N2927" s="15"/>
      <c r="O2927" s="5" t="s">
        <v>108</v>
      </c>
      <c r="P2927" s="15"/>
      <c r="Q2927" s="15"/>
      <c r="R2927" s="16"/>
      <c r="S2927" s="15"/>
      <c r="T2927" s="15"/>
      <c r="U2927" s="15"/>
      <c r="V2927" s="15"/>
      <c r="W2927" s="15"/>
      <c r="X2927" s="15"/>
      <c r="Y2927" s="15"/>
      <c r="Z2927" s="15"/>
      <c r="AA2927" s="15"/>
    </row>
    <row r="2928">
      <c r="A2928" s="5" t="s">
        <v>13766</v>
      </c>
      <c r="B2928" s="131" t="s">
        <v>13771</v>
      </c>
      <c r="C2928" s="371" t="s">
        <v>13772</v>
      </c>
      <c r="D2928" s="262"/>
      <c r="E2928" s="262" t="s">
        <v>841</v>
      </c>
      <c r="F2928" s="90" t="s">
        <v>12247</v>
      </c>
      <c r="G2928" s="318" t="s">
        <v>13773</v>
      </c>
      <c r="H2928" s="11" t="s">
        <v>44</v>
      </c>
      <c r="I2928" s="276">
        <v>6.291593657E9</v>
      </c>
      <c r="J2928" s="11" t="s">
        <v>4008</v>
      </c>
      <c r="K2928" s="12" t="s">
        <v>2951</v>
      </c>
      <c r="L2928" s="13"/>
      <c r="M2928" s="11" t="s">
        <v>8860</v>
      </c>
      <c r="N2928" s="5" t="s">
        <v>13774</v>
      </c>
      <c r="O2928" s="5" t="s">
        <v>26</v>
      </c>
      <c r="P2928" s="5" t="s">
        <v>4563</v>
      </c>
      <c r="Q2928" s="401" t="s">
        <v>13775</v>
      </c>
      <c r="R2928" s="16" t="s">
        <v>634</v>
      </c>
      <c r="S2928" s="401"/>
      <c r="T2928" s="15"/>
      <c r="U2928" s="15"/>
      <c r="V2928" s="15"/>
      <c r="W2928" s="15"/>
      <c r="X2928" s="15"/>
      <c r="Y2928" s="15"/>
      <c r="Z2928" s="15"/>
      <c r="AA2928" s="15"/>
    </row>
    <row r="2929">
      <c r="A2929" s="5" t="s">
        <v>13766</v>
      </c>
      <c r="B2929" s="131" t="s">
        <v>13776</v>
      </c>
      <c r="C2929" s="97" t="s">
        <v>13777</v>
      </c>
      <c r="D2929" s="262"/>
      <c r="E2929" s="262" t="s">
        <v>13778</v>
      </c>
      <c r="F2929" s="90" t="s">
        <v>13761</v>
      </c>
      <c r="G2929" s="318" t="s">
        <v>13779</v>
      </c>
      <c r="H2929" s="11" t="s">
        <v>13780</v>
      </c>
      <c r="I2929" s="276">
        <v>9.010346476E9</v>
      </c>
      <c r="J2929" s="11" t="s">
        <v>12643</v>
      </c>
      <c r="K2929" s="12" t="s">
        <v>13781</v>
      </c>
      <c r="L2929" s="13"/>
      <c r="M2929" s="11" t="s">
        <v>13782</v>
      </c>
      <c r="N2929" s="5" t="s">
        <v>13783</v>
      </c>
      <c r="O2929" s="5" t="s">
        <v>34</v>
      </c>
      <c r="P2929" s="5" t="s">
        <v>13784</v>
      </c>
      <c r="Q2929" s="5" t="s">
        <v>727</v>
      </c>
      <c r="R2929" s="16" t="s">
        <v>723</v>
      </c>
      <c r="S2929" s="5"/>
      <c r="T2929" s="15"/>
      <c r="U2929" s="15"/>
      <c r="V2929" s="15"/>
      <c r="W2929" s="15"/>
      <c r="X2929" s="15"/>
      <c r="Y2929" s="15"/>
      <c r="Z2929" s="15"/>
      <c r="AA2929" s="15"/>
    </row>
    <row r="2930">
      <c r="A2930" s="5" t="s">
        <v>13766</v>
      </c>
      <c r="B2930" s="131" t="s">
        <v>13785</v>
      </c>
      <c r="C2930" s="371" t="s">
        <v>13786</v>
      </c>
      <c r="D2930" s="262"/>
      <c r="E2930" s="262" t="s">
        <v>9226</v>
      </c>
      <c r="F2930" s="90" t="s">
        <v>12678</v>
      </c>
      <c r="G2930" s="318" t="s">
        <v>13787</v>
      </c>
      <c r="H2930" s="11" t="s">
        <v>13788</v>
      </c>
      <c r="I2930" s="276">
        <v>9.925204398E9</v>
      </c>
      <c r="J2930" s="11" t="s">
        <v>4008</v>
      </c>
      <c r="K2930" s="12" t="s">
        <v>8677</v>
      </c>
      <c r="L2930" s="12" t="s">
        <v>13789</v>
      </c>
      <c r="M2930" s="11" t="s">
        <v>10955</v>
      </c>
      <c r="N2930" s="5" t="s">
        <v>13790</v>
      </c>
      <c r="O2930" s="5" t="s">
        <v>26</v>
      </c>
      <c r="P2930" s="60" t="s">
        <v>13791</v>
      </c>
      <c r="Q2930" s="15"/>
      <c r="R2930" s="16" t="s">
        <v>634</v>
      </c>
      <c r="S2930" s="15"/>
      <c r="T2930" s="15"/>
      <c r="U2930" s="15"/>
      <c r="V2930" s="15"/>
      <c r="W2930" s="15"/>
      <c r="X2930" s="15"/>
      <c r="Y2930" s="15"/>
      <c r="Z2930" s="15"/>
      <c r="AA2930" s="15"/>
    </row>
    <row r="2931">
      <c r="A2931" s="5" t="s">
        <v>13766</v>
      </c>
      <c r="B2931" s="131" t="s">
        <v>13792</v>
      </c>
      <c r="C2931" s="97" t="s">
        <v>13793</v>
      </c>
      <c r="D2931" s="262"/>
      <c r="E2931" s="262" t="s">
        <v>31</v>
      </c>
      <c r="F2931" s="90" t="s">
        <v>12966</v>
      </c>
      <c r="G2931" s="318" t="s">
        <v>13794</v>
      </c>
      <c r="H2931" s="11" t="s">
        <v>13795</v>
      </c>
      <c r="I2931" s="276">
        <v>7.001678484E9</v>
      </c>
      <c r="J2931" s="11" t="s">
        <v>4008</v>
      </c>
      <c r="K2931" s="12" t="s">
        <v>3100</v>
      </c>
      <c r="L2931" s="13"/>
      <c r="M2931" s="11" t="s">
        <v>11202</v>
      </c>
      <c r="N2931" s="5" t="s">
        <v>13796</v>
      </c>
      <c r="O2931" s="5" t="s">
        <v>26</v>
      </c>
      <c r="P2931" s="60" t="s">
        <v>2537</v>
      </c>
      <c r="Q2931" s="401" t="s">
        <v>13797</v>
      </c>
      <c r="R2931" s="16" t="s">
        <v>634</v>
      </c>
      <c r="S2931" s="401"/>
      <c r="T2931" s="15"/>
      <c r="U2931" s="15"/>
      <c r="V2931" s="15"/>
      <c r="W2931" s="15"/>
      <c r="X2931" s="15"/>
      <c r="Y2931" s="15"/>
      <c r="Z2931" s="15"/>
      <c r="AA2931" s="15"/>
    </row>
    <row r="2932">
      <c r="A2932" s="5" t="s">
        <v>13766</v>
      </c>
      <c r="B2932" s="131" t="s">
        <v>13798</v>
      </c>
      <c r="C2932" s="97" t="s">
        <v>13799</v>
      </c>
      <c r="D2932" s="405"/>
      <c r="E2932" s="405" t="s">
        <v>13800</v>
      </c>
      <c r="F2932" s="90" t="s">
        <v>13801</v>
      </c>
      <c r="G2932" s="318" t="s">
        <v>11475</v>
      </c>
      <c r="H2932" s="11" t="s">
        <v>13802</v>
      </c>
      <c r="I2932" s="276">
        <v>6.295332214E9</v>
      </c>
      <c r="J2932" s="11" t="s">
        <v>4008</v>
      </c>
      <c r="K2932" s="12" t="s">
        <v>13803</v>
      </c>
      <c r="L2932" s="13"/>
      <c r="M2932" s="11" t="s">
        <v>13804</v>
      </c>
      <c r="N2932" s="5" t="s">
        <v>13805</v>
      </c>
      <c r="O2932" s="5" t="s">
        <v>26</v>
      </c>
      <c r="P2932" s="394" t="s">
        <v>13806</v>
      </c>
      <c r="Q2932" s="15"/>
      <c r="R2932" s="16" t="s">
        <v>634</v>
      </c>
      <c r="S2932" s="15"/>
      <c r="T2932" s="15"/>
      <c r="U2932" s="15"/>
      <c r="V2932" s="15"/>
      <c r="W2932" s="15"/>
      <c r="X2932" s="15"/>
      <c r="Y2932" s="15"/>
      <c r="Z2932" s="15"/>
      <c r="AA2932" s="15"/>
    </row>
    <row r="2933">
      <c r="A2933" s="5" t="s">
        <v>13766</v>
      </c>
      <c r="B2933" s="131" t="s">
        <v>13807</v>
      </c>
      <c r="C2933" s="371" t="s">
        <v>13808</v>
      </c>
      <c r="D2933" s="262"/>
      <c r="E2933" s="262" t="s">
        <v>13809</v>
      </c>
      <c r="F2933" s="90" t="s">
        <v>12247</v>
      </c>
      <c r="G2933" s="318" t="s">
        <v>13810</v>
      </c>
      <c r="H2933" s="11" t="s">
        <v>13811</v>
      </c>
      <c r="I2933" s="276">
        <v>9.821472323E9</v>
      </c>
      <c r="J2933" s="11" t="s">
        <v>4008</v>
      </c>
      <c r="K2933" s="12" t="s">
        <v>8677</v>
      </c>
      <c r="L2933" s="12" t="s">
        <v>13812</v>
      </c>
      <c r="M2933" s="11" t="s">
        <v>13813</v>
      </c>
      <c r="N2933" s="5" t="s">
        <v>13703</v>
      </c>
      <c r="O2933" s="5" t="s">
        <v>34</v>
      </c>
      <c r="P2933" s="399"/>
      <c r="Q2933" s="11" t="s">
        <v>13814</v>
      </c>
      <c r="R2933" s="16" t="s">
        <v>723</v>
      </c>
      <c r="S2933" s="11"/>
      <c r="T2933" s="15"/>
      <c r="U2933" s="15"/>
      <c r="V2933" s="15"/>
      <c r="W2933" s="15"/>
      <c r="X2933" s="15"/>
      <c r="Y2933" s="15"/>
      <c r="Z2933" s="15"/>
      <c r="AA2933" s="15"/>
    </row>
    <row r="2934">
      <c r="A2934" s="5" t="s">
        <v>13766</v>
      </c>
      <c r="B2934" s="131" t="s">
        <v>13815</v>
      </c>
      <c r="C2934" s="62" t="s">
        <v>13816</v>
      </c>
      <c r="D2934" s="406"/>
      <c r="E2934" s="406" t="s">
        <v>22</v>
      </c>
      <c r="F2934" s="90" t="s">
        <v>12678</v>
      </c>
      <c r="G2934" s="401" t="s">
        <v>13817</v>
      </c>
      <c r="H2934" s="11" t="s">
        <v>495</v>
      </c>
      <c r="I2934" s="276">
        <v>7.980001364E9</v>
      </c>
      <c r="J2934" s="11" t="s">
        <v>4008</v>
      </c>
      <c r="K2934" s="12" t="s">
        <v>8677</v>
      </c>
      <c r="L2934" s="12" t="s">
        <v>13818</v>
      </c>
      <c r="M2934" s="11" t="s">
        <v>9742</v>
      </c>
      <c r="N2934" s="5" t="s">
        <v>13819</v>
      </c>
      <c r="O2934" s="5" t="s">
        <v>26</v>
      </c>
      <c r="P2934" s="15"/>
      <c r="Q2934" s="15"/>
      <c r="R2934" s="16" t="s">
        <v>634</v>
      </c>
      <c r="S2934" s="15"/>
      <c r="T2934" s="15"/>
      <c r="U2934" s="15"/>
      <c r="V2934" s="15"/>
      <c r="W2934" s="15"/>
      <c r="X2934" s="15"/>
      <c r="Y2934" s="15"/>
      <c r="Z2934" s="15"/>
      <c r="AA2934" s="15"/>
    </row>
    <row r="2935">
      <c r="A2935" s="5" t="s">
        <v>13766</v>
      </c>
      <c r="B2935" s="131" t="s">
        <v>13820</v>
      </c>
      <c r="C2935" s="40" t="s">
        <v>13821</v>
      </c>
      <c r="D2935" s="11"/>
      <c r="E2935" s="11" t="s">
        <v>22</v>
      </c>
      <c r="F2935" s="90" t="s">
        <v>12228</v>
      </c>
      <c r="G2935" s="401" t="s">
        <v>13822</v>
      </c>
      <c r="H2935" s="11" t="s">
        <v>13823</v>
      </c>
      <c r="I2935" s="276">
        <v>9.830152786E9</v>
      </c>
      <c r="J2935" s="11" t="s">
        <v>4008</v>
      </c>
      <c r="K2935" s="12" t="s">
        <v>8677</v>
      </c>
      <c r="L2935" s="12" t="s">
        <v>13824</v>
      </c>
      <c r="M2935" s="11" t="s">
        <v>6155</v>
      </c>
      <c r="N2935" s="5" t="s">
        <v>13825</v>
      </c>
      <c r="O2935" s="5" t="s">
        <v>26</v>
      </c>
      <c r="P2935" s="15"/>
      <c r="Q2935" s="15"/>
      <c r="R2935" s="16" t="s">
        <v>634</v>
      </c>
      <c r="S2935" s="15"/>
      <c r="T2935" s="15"/>
      <c r="U2935" s="15"/>
      <c r="V2935" s="15"/>
      <c r="W2935" s="15"/>
      <c r="X2935" s="15"/>
      <c r="Y2935" s="15"/>
      <c r="Z2935" s="15"/>
      <c r="AA2935" s="15"/>
    </row>
    <row r="2936">
      <c r="A2936" s="5" t="s">
        <v>13766</v>
      </c>
      <c r="B2936" s="131" t="s">
        <v>13826</v>
      </c>
      <c r="C2936" s="62" t="s">
        <v>13827</v>
      </c>
      <c r="D2936" s="11"/>
      <c r="E2936" s="11" t="s">
        <v>13828</v>
      </c>
      <c r="F2936" s="90" t="s">
        <v>13829</v>
      </c>
      <c r="G2936" s="321" t="s">
        <v>13830</v>
      </c>
      <c r="H2936" s="11" t="s">
        <v>13831</v>
      </c>
      <c r="I2936" s="276">
        <v>9.879349253E9</v>
      </c>
      <c r="J2936" s="11" t="s">
        <v>4008</v>
      </c>
      <c r="K2936" s="12" t="s">
        <v>8677</v>
      </c>
      <c r="L2936" s="12" t="s">
        <v>13832</v>
      </c>
      <c r="M2936" s="11" t="s">
        <v>11016</v>
      </c>
      <c r="N2936" s="5" t="s">
        <v>13833</v>
      </c>
      <c r="O2936" s="5" t="s">
        <v>108</v>
      </c>
      <c r="P2936" s="5" t="s">
        <v>13834</v>
      </c>
      <c r="Q2936" s="5" t="s">
        <v>13835</v>
      </c>
      <c r="R2936" s="16" t="s">
        <v>634</v>
      </c>
      <c r="S2936" s="5"/>
      <c r="T2936" s="15"/>
      <c r="U2936" s="15"/>
      <c r="V2936" s="15"/>
      <c r="W2936" s="15"/>
      <c r="X2936" s="15"/>
      <c r="Y2936" s="15"/>
      <c r="Z2936" s="15"/>
      <c r="AA2936" s="15"/>
    </row>
    <row r="2937">
      <c r="A2937" s="5" t="s">
        <v>13766</v>
      </c>
      <c r="B2937" s="131" t="s">
        <v>13836</v>
      </c>
      <c r="C2937" s="97" t="s">
        <v>13837</v>
      </c>
      <c r="D2937" s="11"/>
      <c r="E2937" s="11" t="s">
        <v>12879</v>
      </c>
      <c r="F2937" s="90" t="s">
        <v>12501</v>
      </c>
      <c r="G2937" s="318" t="s">
        <v>13838</v>
      </c>
      <c r="H2937" s="11" t="s">
        <v>13839</v>
      </c>
      <c r="I2937" s="276">
        <v>9.153583737E9</v>
      </c>
      <c r="J2937" s="11" t="s">
        <v>4008</v>
      </c>
      <c r="K2937" s="12"/>
      <c r="L2937" s="13"/>
      <c r="M2937" s="14"/>
      <c r="N2937" s="15"/>
      <c r="O2937" s="5" t="s">
        <v>26</v>
      </c>
      <c r="P2937" s="15"/>
      <c r="Q2937" s="15"/>
      <c r="R2937" s="16" t="s">
        <v>28</v>
      </c>
      <c r="S2937" s="15"/>
      <c r="T2937" s="15"/>
      <c r="U2937" s="15"/>
      <c r="V2937" s="15"/>
      <c r="W2937" s="15"/>
      <c r="X2937" s="15"/>
      <c r="Y2937" s="15"/>
      <c r="Z2937" s="15"/>
      <c r="AA2937" s="15"/>
    </row>
    <row r="2938">
      <c r="A2938" s="5" t="s">
        <v>13766</v>
      </c>
      <c r="B2938" s="131" t="s">
        <v>13840</v>
      </c>
      <c r="C2938" s="40" t="s">
        <v>13841</v>
      </c>
      <c r="D2938" s="11"/>
      <c r="E2938" s="11" t="s">
        <v>841</v>
      </c>
      <c r="F2938" s="90" t="s">
        <v>12256</v>
      </c>
      <c r="G2938" s="318" t="s">
        <v>13842</v>
      </c>
      <c r="H2938" s="11" t="s">
        <v>13843</v>
      </c>
      <c r="I2938" s="276">
        <v>9.002399159E9</v>
      </c>
      <c r="J2938" s="11" t="s">
        <v>4008</v>
      </c>
      <c r="K2938" s="12" t="s">
        <v>6071</v>
      </c>
      <c r="L2938" s="13"/>
      <c r="M2938" s="11" t="s">
        <v>9901</v>
      </c>
      <c r="N2938" s="5" t="s">
        <v>13844</v>
      </c>
      <c r="O2938" s="5" t="s">
        <v>26</v>
      </c>
      <c r="P2938" s="15"/>
      <c r="Q2938" s="15"/>
      <c r="R2938" s="16" t="s">
        <v>634</v>
      </c>
      <c r="S2938" s="15"/>
      <c r="T2938" s="15"/>
      <c r="U2938" s="15"/>
      <c r="V2938" s="15"/>
      <c r="W2938" s="15"/>
      <c r="X2938" s="15"/>
      <c r="Y2938" s="15"/>
      <c r="Z2938" s="15"/>
      <c r="AA2938" s="15"/>
    </row>
    <row r="2939">
      <c r="A2939" s="5" t="s">
        <v>13766</v>
      </c>
      <c r="B2939" s="131" t="s">
        <v>13845</v>
      </c>
      <c r="C2939" s="40" t="s">
        <v>13846</v>
      </c>
      <c r="D2939" s="11"/>
      <c r="E2939" s="11" t="s">
        <v>1373</v>
      </c>
      <c r="F2939" s="90">
        <v>5000.0</v>
      </c>
      <c r="G2939" s="318" t="s">
        <v>13847</v>
      </c>
      <c r="H2939" s="11" t="s">
        <v>4514</v>
      </c>
      <c r="I2939" s="276">
        <v>9.854167057E9</v>
      </c>
      <c r="J2939" s="11" t="s">
        <v>13848</v>
      </c>
      <c r="K2939" s="12" t="s">
        <v>8570</v>
      </c>
      <c r="L2939" s="12">
        <v>16.0</v>
      </c>
      <c r="M2939" s="11" t="s">
        <v>10342</v>
      </c>
      <c r="N2939" s="5" t="s">
        <v>13849</v>
      </c>
      <c r="O2939" s="5" t="s">
        <v>34</v>
      </c>
      <c r="P2939" s="5" t="s">
        <v>13784</v>
      </c>
      <c r="Q2939" s="5" t="s">
        <v>777</v>
      </c>
      <c r="R2939" s="16" t="s">
        <v>634</v>
      </c>
      <c r="S2939" s="15"/>
      <c r="T2939" s="15"/>
      <c r="U2939" s="15"/>
      <c r="V2939" s="15"/>
      <c r="W2939" s="15"/>
      <c r="X2939" s="15"/>
      <c r="Y2939" s="15"/>
      <c r="Z2939" s="15"/>
      <c r="AA2939" s="15"/>
    </row>
    <row r="2940">
      <c r="A2940" s="5" t="s">
        <v>13766</v>
      </c>
      <c r="B2940" s="131" t="s">
        <v>13850</v>
      </c>
      <c r="C2940" s="371" t="s">
        <v>13851</v>
      </c>
      <c r="D2940" s="262"/>
      <c r="E2940" s="262" t="s">
        <v>1320</v>
      </c>
      <c r="F2940" s="90" t="s">
        <v>12256</v>
      </c>
      <c r="G2940" s="318" t="s">
        <v>13852</v>
      </c>
      <c r="H2940" s="97" t="s">
        <v>13853</v>
      </c>
      <c r="I2940" s="315">
        <v>9.836647539E9</v>
      </c>
      <c r="J2940" s="11" t="s">
        <v>25</v>
      </c>
      <c r="K2940" s="12" t="s">
        <v>13854</v>
      </c>
      <c r="L2940" s="13"/>
      <c r="M2940" s="11" t="s">
        <v>10440</v>
      </c>
      <c r="N2940" s="5" t="s">
        <v>13855</v>
      </c>
      <c r="O2940" s="5" t="s">
        <v>26</v>
      </c>
      <c r="P2940" s="5" t="s">
        <v>13856</v>
      </c>
      <c r="Q2940" s="5" t="s">
        <v>13857</v>
      </c>
      <c r="R2940" s="16" t="s">
        <v>634</v>
      </c>
      <c r="S2940" s="5"/>
      <c r="T2940" s="15"/>
      <c r="U2940" s="15"/>
      <c r="V2940" s="15"/>
      <c r="W2940" s="15"/>
      <c r="X2940" s="15"/>
      <c r="Y2940" s="15"/>
      <c r="Z2940" s="15"/>
      <c r="AA2940" s="15"/>
    </row>
    <row r="2941">
      <c r="A2941" s="5" t="s">
        <v>13766</v>
      </c>
      <c r="B2941" s="131" t="s">
        <v>13858</v>
      </c>
      <c r="C2941" s="40"/>
      <c r="D2941" s="11"/>
      <c r="E2941" s="11" t="s">
        <v>13859</v>
      </c>
      <c r="F2941" s="90" t="s">
        <v>13860</v>
      </c>
      <c r="G2941" s="321"/>
      <c r="H2941" s="11"/>
      <c r="I2941" s="276">
        <v>9.824895566E9</v>
      </c>
      <c r="J2941" s="11"/>
      <c r="K2941" s="12" t="s">
        <v>13861</v>
      </c>
      <c r="L2941" s="13"/>
      <c r="M2941" s="14"/>
      <c r="N2941" s="15"/>
      <c r="O2941" s="5" t="s">
        <v>26</v>
      </c>
      <c r="P2941" s="15"/>
      <c r="Q2941" s="15"/>
      <c r="R2941" s="16"/>
      <c r="S2941" s="15"/>
      <c r="T2941" s="15"/>
      <c r="U2941" s="15"/>
      <c r="V2941" s="15"/>
      <c r="W2941" s="15"/>
      <c r="X2941" s="15"/>
      <c r="Y2941" s="15"/>
      <c r="Z2941" s="15"/>
      <c r="AA2941" s="15"/>
    </row>
    <row r="2942">
      <c r="A2942" s="5" t="s">
        <v>13766</v>
      </c>
      <c r="B2942" s="131" t="s">
        <v>13862</v>
      </c>
      <c r="C2942" s="40"/>
      <c r="D2942" s="11"/>
      <c r="E2942" s="11" t="s">
        <v>10377</v>
      </c>
      <c r="F2942" s="90" t="s">
        <v>13863</v>
      </c>
      <c r="G2942" s="321"/>
      <c r="H2942" s="11"/>
      <c r="I2942" s="276">
        <v>8.07098558E8</v>
      </c>
      <c r="J2942" s="11"/>
      <c r="K2942" s="12"/>
      <c r="L2942" s="13"/>
      <c r="M2942" s="14"/>
      <c r="N2942" s="15"/>
      <c r="O2942" s="5" t="s">
        <v>13864</v>
      </c>
      <c r="P2942" s="15"/>
      <c r="Q2942" s="15"/>
      <c r="R2942" s="16"/>
      <c r="S2942" s="15"/>
      <c r="T2942" s="15"/>
      <c r="U2942" s="15"/>
      <c r="V2942" s="15"/>
      <c r="W2942" s="15"/>
      <c r="X2942" s="15"/>
      <c r="Y2942" s="15"/>
      <c r="Z2942" s="15"/>
      <c r="AA2942" s="15"/>
    </row>
    <row r="2943">
      <c r="A2943" s="5" t="s">
        <v>13766</v>
      </c>
      <c r="B2943" s="131" t="s">
        <v>13865</v>
      </c>
      <c r="C2943" s="40"/>
      <c r="D2943" s="11"/>
      <c r="E2943" s="11" t="s">
        <v>13866</v>
      </c>
      <c r="F2943" s="90"/>
      <c r="G2943" s="321"/>
      <c r="H2943" s="11" t="s">
        <v>13867</v>
      </c>
      <c r="I2943" s="276">
        <v>8.500687144E9</v>
      </c>
      <c r="J2943" s="11"/>
      <c r="K2943" s="12"/>
      <c r="L2943" s="13"/>
      <c r="M2943" s="14"/>
      <c r="N2943" s="15"/>
      <c r="O2943" s="5" t="s">
        <v>108</v>
      </c>
      <c r="P2943" s="5" t="s">
        <v>0</v>
      </c>
      <c r="Q2943" s="5" t="s">
        <v>13868</v>
      </c>
      <c r="R2943" s="16"/>
      <c r="S2943" s="5"/>
      <c r="T2943" s="15"/>
      <c r="U2943" s="15"/>
      <c r="V2943" s="15"/>
      <c r="W2943" s="15"/>
      <c r="X2943" s="15"/>
      <c r="Y2943" s="15"/>
      <c r="Z2943" s="15"/>
      <c r="AA2943" s="15"/>
    </row>
    <row r="2944">
      <c r="A2944" s="5" t="s">
        <v>13869</v>
      </c>
      <c r="B2944" s="131" t="s">
        <v>13870</v>
      </c>
      <c r="C2944" s="40" t="s">
        <v>13871</v>
      </c>
      <c r="D2944" s="11"/>
      <c r="E2944" s="11" t="s">
        <v>5293</v>
      </c>
      <c r="F2944" s="90" t="s">
        <v>13872</v>
      </c>
      <c r="G2944" s="318" t="s">
        <v>13873</v>
      </c>
      <c r="H2944" s="97" t="s">
        <v>13874</v>
      </c>
      <c r="I2944" s="276">
        <v>9.373116814E9</v>
      </c>
      <c r="J2944" s="11" t="s">
        <v>12643</v>
      </c>
      <c r="K2944" s="12"/>
      <c r="L2944" s="12" t="s">
        <v>13875</v>
      </c>
      <c r="M2944" s="11" t="s">
        <v>13876</v>
      </c>
      <c r="N2944" s="5" t="s">
        <v>13877</v>
      </c>
      <c r="O2944" s="5" t="s">
        <v>108</v>
      </c>
      <c r="P2944" s="15"/>
      <c r="Q2944" s="15"/>
      <c r="R2944" s="16" t="s">
        <v>634</v>
      </c>
      <c r="S2944" s="15"/>
      <c r="T2944" s="15"/>
      <c r="U2944" s="15"/>
      <c r="V2944" s="15"/>
      <c r="W2944" s="15"/>
      <c r="X2944" s="15"/>
      <c r="Y2944" s="15"/>
      <c r="Z2944" s="15"/>
      <c r="AA2944" s="15"/>
    </row>
    <row r="2945">
      <c r="A2945" s="5" t="s">
        <v>13869</v>
      </c>
      <c r="B2945" s="131" t="s">
        <v>13878</v>
      </c>
      <c r="C2945" s="40" t="s">
        <v>13879</v>
      </c>
      <c r="D2945" s="11"/>
      <c r="E2945" s="11" t="s">
        <v>13880</v>
      </c>
      <c r="F2945" s="90" t="s">
        <v>12501</v>
      </c>
      <c r="G2945" s="321" t="s">
        <v>13881</v>
      </c>
      <c r="H2945" s="11" t="s">
        <v>977</v>
      </c>
      <c r="I2945" s="276">
        <v>9.334803908E9</v>
      </c>
      <c r="J2945" s="11"/>
      <c r="K2945" s="12" t="s">
        <v>8677</v>
      </c>
      <c r="L2945" s="13"/>
      <c r="M2945" s="14"/>
      <c r="N2945" s="15"/>
      <c r="O2945" s="5" t="s">
        <v>26</v>
      </c>
      <c r="P2945" s="15"/>
      <c r="Q2945" s="15"/>
      <c r="R2945" s="16" t="s">
        <v>28</v>
      </c>
      <c r="S2945" s="15"/>
      <c r="T2945" s="15"/>
      <c r="U2945" s="15"/>
      <c r="V2945" s="15"/>
      <c r="W2945" s="15"/>
      <c r="X2945" s="15"/>
      <c r="Y2945" s="15"/>
      <c r="Z2945" s="15"/>
      <c r="AA2945" s="15"/>
    </row>
    <row r="2946">
      <c r="A2946" s="5" t="s">
        <v>13869</v>
      </c>
      <c r="B2946" s="131" t="s">
        <v>13882</v>
      </c>
      <c r="C2946" s="62" t="s">
        <v>13883</v>
      </c>
      <c r="D2946" s="11"/>
      <c r="E2946" s="11" t="s">
        <v>13884</v>
      </c>
      <c r="F2946" s="90">
        <v>1000.0</v>
      </c>
      <c r="G2946" s="321"/>
      <c r="H2946" s="11" t="s">
        <v>13885</v>
      </c>
      <c r="I2946" s="276">
        <v>9.931144262E9</v>
      </c>
      <c r="J2946" s="11"/>
      <c r="K2946" s="12"/>
      <c r="L2946" s="13"/>
      <c r="M2946" s="14"/>
      <c r="N2946" s="15"/>
      <c r="O2946" s="5" t="s">
        <v>26</v>
      </c>
      <c r="P2946" s="401" t="s">
        <v>13886</v>
      </c>
      <c r="Q2946" s="15"/>
      <c r="R2946" s="16" t="s">
        <v>723</v>
      </c>
      <c r="S2946" s="15"/>
      <c r="T2946" s="15"/>
      <c r="U2946" s="15"/>
      <c r="V2946" s="15"/>
      <c r="W2946" s="15"/>
      <c r="X2946" s="15"/>
      <c r="Y2946" s="15"/>
      <c r="Z2946" s="15"/>
      <c r="AA2946" s="15"/>
    </row>
    <row r="2947">
      <c r="A2947" s="5" t="s">
        <v>13869</v>
      </c>
      <c r="B2947" s="131" t="s">
        <v>13887</v>
      </c>
      <c r="C2947" s="40" t="s">
        <v>13888</v>
      </c>
      <c r="D2947" s="11"/>
      <c r="E2947" s="11" t="s">
        <v>13889</v>
      </c>
      <c r="F2947" s="90" t="s">
        <v>13890</v>
      </c>
      <c r="G2947" s="321"/>
      <c r="H2947" s="11"/>
      <c r="I2947" s="276">
        <v>7.9800068E9</v>
      </c>
      <c r="J2947" s="11"/>
      <c r="K2947" s="12" t="s">
        <v>13891</v>
      </c>
      <c r="L2947" s="13"/>
      <c r="M2947" s="14"/>
      <c r="N2947" s="15"/>
      <c r="O2947" s="5" t="s">
        <v>26</v>
      </c>
      <c r="P2947" s="5" t="s">
        <v>13892</v>
      </c>
      <c r="Q2947" s="15"/>
      <c r="R2947" s="16" t="s">
        <v>28</v>
      </c>
      <c r="S2947" s="15"/>
      <c r="T2947" s="15"/>
      <c r="U2947" s="15"/>
      <c r="V2947" s="15"/>
      <c r="W2947" s="15"/>
      <c r="X2947" s="15"/>
      <c r="Y2947" s="15"/>
      <c r="Z2947" s="15"/>
      <c r="AA2947" s="15"/>
    </row>
    <row r="2948">
      <c r="A2948" s="5" t="s">
        <v>13869</v>
      </c>
      <c r="B2948" s="131" t="s">
        <v>13893</v>
      </c>
      <c r="C2948" s="62" t="s">
        <v>13894</v>
      </c>
      <c r="D2948" s="11"/>
      <c r="E2948" s="11" t="s">
        <v>12775</v>
      </c>
      <c r="F2948" s="90" t="s">
        <v>13895</v>
      </c>
      <c r="G2948" s="381" t="s">
        <v>13896</v>
      </c>
      <c r="H2948" s="11" t="s">
        <v>13897</v>
      </c>
      <c r="I2948" s="276">
        <v>9.80432939E9</v>
      </c>
      <c r="J2948" s="11" t="s">
        <v>4008</v>
      </c>
      <c r="K2948" s="12"/>
      <c r="L2948" s="13"/>
      <c r="M2948" s="14"/>
      <c r="N2948" s="15"/>
      <c r="O2948" s="5" t="s">
        <v>10708</v>
      </c>
      <c r="P2948" s="15"/>
      <c r="Q2948" s="15"/>
      <c r="R2948" s="16" t="s">
        <v>28</v>
      </c>
      <c r="S2948" s="15"/>
      <c r="T2948" s="15"/>
      <c r="U2948" s="15"/>
      <c r="V2948" s="15"/>
      <c r="W2948" s="15"/>
      <c r="X2948" s="15"/>
      <c r="Y2948" s="15"/>
      <c r="Z2948" s="15"/>
      <c r="AA2948" s="15"/>
    </row>
    <row r="2949">
      <c r="A2949" s="5" t="s">
        <v>13869</v>
      </c>
      <c r="B2949" s="131" t="s">
        <v>13898</v>
      </c>
      <c r="C2949" s="40" t="s">
        <v>13899</v>
      </c>
      <c r="D2949" s="40"/>
      <c r="E2949" s="40" t="s">
        <v>189</v>
      </c>
      <c r="F2949" s="9">
        <v>50000.0</v>
      </c>
      <c r="G2949" s="321" t="s">
        <v>13900</v>
      </c>
      <c r="H2949" s="11" t="s">
        <v>13901</v>
      </c>
      <c r="I2949" s="276">
        <v>9.392903606E9</v>
      </c>
      <c r="J2949" s="11"/>
      <c r="K2949" s="12"/>
      <c r="L2949" s="12">
        <v>3.5</v>
      </c>
      <c r="M2949" s="11" t="s">
        <v>13902</v>
      </c>
      <c r="N2949" s="5" t="s">
        <v>13903</v>
      </c>
      <c r="O2949" s="5" t="s">
        <v>10708</v>
      </c>
      <c r="P2949" s="5" t="s">
        <v>13904</v>
      </c>
      <c r="Q2949" s="15"/>
      <c r="R2949" s="16" t="s">
        <v>634</v>
      </c>
      <c r="S2949" s="15"/>
      <c r="T2949" s="15"/>
      <c r="U2949" s="15"/>
      <c r="V2949" s="15"/>
      <c r="W2949" s="15"/>
      <c r="X2949" s="15"/>
      <c r="Y2949" s="15"/>
      <c r="Z2949" s="15"/>
      <c r="AA2949" s="15"/>
    </row>
    <row r="2950">
      <c r="A2950" s="5" t="s">
        <v>13869</v>
      </c>
      <c r="B2950" s="131" t="s">
        <v>13905</v>
      </c>
      <c r="C2950" s="62" t="s">
        <v>13906</v>
      </c>
      <c r="D2950" s="11"/>
      <c r="E2950" s="11" t="s">
        <v>178</v>
      </c>
      <c r="F2950" s="90">
        <v>7000.0</v>
      </c>
      <c r="G2950" s="407" t="s">
        <v>13907</v>
      </c>
      <c r="H2950" s="11" t="s">
        <v>44</v>
      </c>
      <c r="I2950" s="276">
        <v>9.239241683E9</v>
      </c>
      <c r="J2950" s="11" t="s">
        <v>4008</v>
      </c>
      <c r="K2950" s="12"/>
      <c r="L2950" s="13"/>
      <c r="M2950" s="14"/>
      <c r="N2950" s="15"/>
      <c r="O2950" s="5" t="s">
        <v>26</v>
      </c>
      <c r="P2950" s="5" t="s">
        <v>13908</v>
      </c>
      <c r="Q2950" s="401" t="s">
        <v>13909</v>
      </c>
      <c r="R2950" s="16" t="s">
        <v>28</v>
      </c>
      <c r="S2950" s="401"/>
      <c r="T2950" s="15"/>
      <c r="U2950" s="15"/>
      <c r="V2950" s="15"/>
      <c r="W2950" s="15"/>
      <c r="X2950" s="15"/>
      <c r="Y2950" s="15"/>
      <c r="Z2950" s="15"/>
      <c r="AA2950" s="15"/>
    </row>
    <row r="2951">
      <c r="A2951" s="5" t="s">
        <v>13869</v>
      </c>
      <c r="B2951" s="131" t="s">
        <v>13910</v>
      </c>
      <c r="C2951" s="62" t="s">
        <v>13911</v>
      </c>
      <c r="D2951" s="11"/>
      <c r="E2951" s="11" t="s">
        <v>13912</v>
      </c>
      <c r="F2951" s="90" t="s">
        <v>13913</v>
      </c>
      <c r="G2951" s="321"/>
      <c r="H2951" s="11" t="s">
        <v>13914</v>
      </c>
      <c r="I2951" s="276">
        <v>6.295952108E9</v>
      </c>
      <c r="J2951" s="11" t="s">
        <v>12643</v>
      </c>
      <c r="K2951" s="12" t="s">
        <v>13915</v>
      </c>
      <c r="L2951" s="13"/>
      <c r="M2951" s="14"/>
      <c r="N2951" s="15"/>
      <c r="O2951" s="5" t="s">
        <v>10708</v>
      </c>
      <c r="P2951" s="5" t="s">
        <v>11251</v>
      </c>
      <c r="Q2951" s="5" t="s">
        <v>13916</v>
      </c>
      <c r="R2951" s="16" t="s">
        <v>723</v>
      </c>
      <c r="S2951" s="5"/>
      <c r="T2951" s="15"/>
      <c r="U2951" s="15"/>
      <c r="V2951" s="15"/>
      <c r="W2951" s="15"/>
      <c r="X2951" s="15"/>
      <c r="Y2951" s="15"/>
      <c r="Z2951" s="15"/>
      <c r="AA2951" s="15"/>
    </row>
    <row r="2952">
      <c r="A2952" s="5" t="s">
        <v>13869</v>
      </c>
      <c r="B2952" s="131" t="s">
        <v>13917</v>
      </c>
      <c r="C2952" s="40" t="s">
        <v>13918</v>
      </c>
      <c r="D2952" s="11"/>
      <c r="E2952" s="11" t="s">
        <v>13919</v>
      </c>
      <c r="F2952" s="90">
        <v>200.0</v>
      </c>
      <c r="G2952" s="321" t="s">
        <v>8852</v>
      </c>
      <c r="H2952" s="11" t="s">
        <v>7615</v>
      </c>
      <c r="I2952" s="276">
        <v>8.481971906E9</v>
      </c>
      <c r="J2952" s="11"/>
      <c r="K2952" s="12"/>
      <c r="L2952" s="12" t="s">
        <v>13920</v>
      </c>
      <c r="M2952" s="11" t="s">
        <v>13921</v>
      </c>
      <c r="N2952" s="5" t="s">
        <v>13922</v>
      </c>
      <c r="O2952" s="5" t="s">
        <v>10708</v>
      </c>
      <c r="P2952" s="5" t="s">
        <v>11251</v>
      </c>
      <c r="Q2952" s="5" t="s">
        <v>13923</v>
      </c>
      <c r="R2952" s="16" t="s">
        <v>723</v>
      </c>
      <c r="S2952" s="5"/>
      <c r="T2952" s="15"/>
      <c r="U2952" s="15"/>
      <c r="V2952" s="15"/>
      <c r="W2952" s="15"/>
      <c r="X2952" s="15"/>
      <c r="Y2952" s="15"/>
      <c r="Z2952" s="15"/>
      <c r="AA2952" s="15"/>
    </row>
    <row r="2953">
      <c r="A2953" s="5" t="s">
        <v>13869</v>
      </c>
      <c r="B2953" s="131" t="s">
        <v>13924</v>
      </c>
      <c r="C2953" s="40" t="s">
        <v>13925</v>
      </c>
      <c r="D2953" s="11"/>
      <c r="E2953" s="11" t="s">
        <v>0</v>
      </c>
      <c r="F2953" s="9" t="s">
        <v>13926</v>
      </c>
      <c r="G2953" s="381" t="s">
        <v>13927</v>
      </c>
      <c r="H2953" s="97" t="s">
        <v>13928</v>
      </c>
      <c r="I2953" s="276">
        <v>9.681137627E9</v>
      </c>
      <c r="J2953" s="11" t="s">
        <v>25</v>
      </c>
      <c r="K2953" s="12" t="s">
        <v>8677</v>
      </c>
      <c r="L2953" s="12" t="s">
        <v>13929</v>
      </c>
      <c r="M2953" s="332" t="s">
        <v>13930</v>
      </c>
      <c r="N2953" s="5" t="s">
        <v>13931</v>
      </c>
      <c r="O2953" s="5" t="s">
        <v>34</v>
      </c>
      <c r="P2953" s="5" t="s">
        <v>2983</v>
      </c>
      <c r="Q2953" s="5" t="s">
        <v>921</v>
      </c>
      <c r="R2953" s="16" t="s">
        <v>723</v>
      </c>
      <c r="S2953" s="5"/>
      <c r="T2953" s="15"/>
      <c r="U2953" s="15"/>
      <c r="V2953" s="15"/>
      <c r="W2953" s="15"/>
      <c r="X2953" s="15"/>
      <c r="Y2953" s="15"/>
      <c r="Z2953" s="15"/>
      <c r="AA2953" s="15"/>
    </row>
    <row r="2954">
      <c r="A2954" s="5" t="s">
        <v>13869</v>
      </c>
      <c r="B2954" s="131" t="s">
        <v>13932</v>
      </c>
      <c r="C2954" s="62" t="s">
        <v>13933</v>
      </c>
      <c r="D2954" s="11"/>
      <c r="E2954" s="11" t="s">
        <v>13934</v>
      </c>
      <c r="F2954" s="90">
        <v>1000.0</v>
      </c>
      <c r="G2954" s="381" t="s">
        <v>13935</v>
      </c>
      <c r="H2954" s="11" t="s">
        <v>13936</v>
      </c>
      <c r="I2954" s="276">
        <v>7.979900465E9</v>
      </c>
      <c r="J2954" s="11" t="s">
        <v>13272</v>
      </c>
      <c r="K2954" s="12" t="s">
        <v>8677</v>
      </c>
      <c r="L2954" s="12" t="s">
        <v>13937</v>
      </c>
      <c r="M2954" s="11" t="s">
        <v>13938</v>
      </c>
      <c r="N2954" s="5" t="s">
        <v>13939</v>
      </c>
      <c r="O2954" s="5" t="s">
        <v>34</v>
      </c>
      <c r="P2954" s="5" t="s">
        <v>13940</v>
      </c>
      <c r="Q2954" s="5" t="s">
        <v>13941</v>
      </c>
      <c r="R2954" s="16" t="s">
        <v>723</v>
      </c>
      <c r="S2954" s="5"/>
      <c r="T2954" s="15"/>
      <c r="U2954" s="15"/>
      <c r="V2954" s="15"/>
      <c r="W2954" s="15"/>
      <c r="X2954" s="15"/>
      <c r="Y2954" s="15"/>
      <c r="Z2954" s="15"/>
      <c r="AA2954" s="15"/>
    </row>
    <row r="2955">
      <c r="A2955" s="5" t="s">
        <v>13869</v>
      </c>
      <c r="B2955" s="131" t="s">
        <v>13942</v>
      </c>
      <c r="C2955" s="40" t="s">
        <v>13943</v>
      </c>
      <c r="D2955" s="11"/>
      <c r="E2955" s="11" t="s">
        <v>13944</v>
      </c>
      <c r="F2955" s="90">
        <v>1000.0</v>
      </c>
      <c r="G2955" s="321" t="s">
        <v>13945</v>
      </c>
      <c r="H2955" s="11" t="s">
        <v>13946</v>
      </c>
      <c r="I2955" s="276">
        <v>9.143404141E9</v>
      </c>
      <c r="J2955" s="11" t="s">
        <v>10933</v>
      </c>
      <c r="K2955" s="12" t="s">
        <v>8677</v>
      </c>
      <c r="L2955" s="13"/>
      <c r="M2955" s="14"/>
      <c r="N2955" s="15"/>
      <c r="O2955" s="5" t="s">
        <v>26</v>
      </c>
      <c r="P2955" s="15"/>
      <c r="Q2955" s="15"/>
      <c r="R2955" s="16" t="s">
        <v>28</v>
      </c>
      <c r="S2955" s="15"/>
      <c r="T2955" s="15"/>
      <c r="U2955" s="15"/>
      <c r="V2955" s="15"/>
      <c r="W2955" s="15"/>
      <c r="X2955" s="15"/>
      <c r="Y2955" s="15"/>
      <c r="Z2955" s="15"/>
      <c r="AA2955" s="15"/>
    </row>
    <row r="2956">
      <c r="A2956" s="5" t="s">
        <v>13869</v>
      </c>
      <c r="B2956" s="131" t="s">
        <v>13947</v>
      </c>
      <c r="C2956" s="62" t="s">
        <v>13948</v>
      </c>
      <c r="D2956" s="11"/>
      <c r="E2956" s="11" t="s">
        <v>178</v>
      </c>
      <c r="F2956" s="90">
        <v>5000.0</v>
      </c>
      <c r="G2956" s="381" t="s">
        <v>13949</v>
      </c>
      <c r="H2956" s="11" t="s">
        <v>44</v>
      </c>
      <c r="I2956" s="276">
        <v>9.239241683E9</v>
      </c>
      <c r="J2956" s="11"/>
      <c r="K2956" s="12" t="s">
        <v>2951</v>
      </c>
      <c r="L2956" s="13"/>
      <c r="M2956" s="11" t="s">
        <v>8860</v>
      </c>
      <c r="N2956" s="5" t="s">
        <v>13950</v>
      </c>
      <c r="O2956" s="5" t="s">
        <v>26</v>
      </c>
      <c r="P2956" s="5" t="s">
        <v>13951</v>
      </c>
      <c r="Q2956" s="5" t="s">
        <v>13952</v>
      </c>
      <c r="R2956" s="16" t="s">
        <v>634</v>
      </c>
      <c r="S2956" s="5"/>
      <c r="T2956" s="15"/>
      <c r="U2956" s="15"/>
      <c r="V2956" s="15"/>
      <c r="W2956" s="15"/>
      <c r="X2956" s="15"/>
      <c r="Y2956" s="15"/>
      <c r="Z2956" s="15"/>
      <c r="AA2956" s="15"/>
    </row>
    <row r="2957">
      <c r="A2957" s="5" t="s">
        <v>13869</v>
      </c>
      <c r="B2957" s="131" t="s">
        <v>13953</v>
      </c>
      <c r="C2957" s="40" t="s">
        <v>13954</v>
      </c>
      <c r="D2957" s="11"/>
      <c r="E2957" s="11" t="s">
        <v>5226</v>
      </c>
      <c r="F2957" s="90">
        <v>1000.0</v>
      </c>
      <c r="G2957" s="381" t="s">
        <v>13955</v>
      </c>
      <c r="H2957" s="11" t="s">
        <v>3861</v>
      </c>
      <c r="I2957" s="276">
        <v>9.637371015E9</v>
      </c>
      <c r="J2957" s="11" t="s">
        <v>13956</v>
      </c>
      <c r="K2957" s="12" t="s">
        <v>8753</v>
      </c>
      <c r="L2957" s="13"/>
      <c r="M2957" s="11" t="s">
        <v>13957</v>
      </c>
      <c r="N2957" s="5" t="s">
        <v>13958</v>
      </c>
      <c r="O2957" s="5" t="s">
        <v>108</v>
      </c>
      <c r="P2957" s="5" t="s">
        <v>10248</v>
      </c>
      <c r="Q2957" s="15"/>
      <c r="R2957" s="16" t="s">
        <v>634</v>
      </c>
      <c r="S2957" s="15"/>
      <c r="T2957" s="15"/>
      <c r="U2957" s="15"/>
      <c r="V2957" s="15"/>
      <c r="W2957" s="15"/>
      <c r="X2957" s="15"/>
      <c r="Y2957" s="15"/>
      <c r="Z2957" s="15"/>
      <c r="AA2957" s="15"/>
    </row>
    <row r="2958">
      <c r="A2958" s="5" t="s">
        <v>13959</v>
      </c>
      <c r="B2958" s="131" t="s">
        <v>13960</v>
      </c>
      <c r="C2958" s="40" t="s">
        <v>13961</v>
      </c>
      <c r="D2958" s="11"/>
      <c r="E2958" s="11" t="s">
        <v>6783</v>
      </c>
      <c r="F2958" s="90">
        <v>250.0</v>
      </c>
      <c r="G2958" s="321"/>
      <c r="H2958" s="11" t="s">
        <v>44</v>
      </c>
      <c r="I2958" s="276">
        <v>8.981043982E9</v>
      </c>
      <c r="J2958" s="11"/>
      <c r="K2958" s="12">
        <v>35.0</v>
      </c>
      <c r="L2958" s="13"/>
      <c r="M2958" s="11" t="s">
        <v>13962</v>
      </c>
      <c r="N2958" s="15"/>
      <c r="O2958" s="5" t="s">
        <v>13963</v>
      </c>
      <c r="P2958" s="5" t="s">
        <v>8241</v>
      </c>
      <c r="Q2958" s="15"/>
      <c r="R2958" s="16"/>
      <c r="S2958" s="15"/>
      <c r="T2958" s="15"/>
      <c r="U2958" s="15"/>
      <c r="V2958" s="15"/>
      <c r="W2958" s="15"/>
      <c r="X2958" s="15"/>
      <c r="Y2958" s="15"/>
      <c r="Z2958" s="15"/>
      <c r="AA2958" s="15"/>
    </row>
    <row r="2959">
      <c r="A2959" s="5" t="s">
        <v>13959</v>
      </c>
      <c r="B2959" s="131" t="s">
        <v>13964</v>
      </c>
      <c r="C2959" s="40" t="s">
        <v>13965</v>
      </c>
      <c r="D2959" s="11"/>
      <c r="E2959" s="11" t="s">
        <v>501</v>
      </c>
      <c r="F2959" s="90">
        <v>1000.0</v>
      </c>
      <c r="G2959" s="321" t="s">
        <v>13966</v>
      </c>
      <c r="H2959" s="11"/>
      <c r="I2959" s="276">
        <v>7.205051722E9</v>
      </c>
      <c r="J2959" s="11"/>
      <c r="K2959" s="12" t="s">
        <v>13967</v>
      </c>
      <c r="L2959" s="13"/>
      <c r="M2959" s="11" t="s">
        <v>11502</v>
      </c>
      <c r="N2959" s="5" t="s">
        <v>13968</v>
      </c>
      <c r="O2959" s="5" t="s">
        <v>26</v>
      </c>
      <c r="P2959" s="5" t="s">
        <v>13969</v>
      </c>
      <c r="Q2959" s="15"/>
      <c r="R2959" s="16" t="s">
        <v>723</v>
      </c>
      <c r="S2959" s="15"/>
      <c r="T2959" s="15"/>
      <c r="U2959" s="15"/>
      <c r="V2959" s="15"/>
      <c r="W2959" s="15"/>
      <c r="X2959" s="15"/>
      <c r="Y2959" s="15"/>
      <c r="Z2959" s="15"/>
      <c r="AA2959" s="15"/>
    </row>
    <row r="2960">
      <c r="A2960" s="5" t="s">
        <v>13959</v>
      </c>
      <c r="B2960" s="131" t="s">
        <v>13970</v>
      </c>
      <c r="C2960" s="40" t="s">
        <v>13971</v>
      </c>
      <c r="D2960" s="11"/>
      <c r="E2960" s="11" t="s">
        <v>13972</v>
      </c>
      <c r="F2960" s="90">
        <v>5000.0</v>
      </c>
      <c r="G2960" s="321" t="s">
        <v>13973</v>
      </c>
      <c r="H2960" s="11" t="s">
        <v>44</v>
      </c>
      <c r="I2960" s="276">
        <v>9.674868651E9</v>
      </c>
      <c r="J2960" s="11" t="s">
        <v>10933</v>
      </c>
      <c r="K2960" s="12" t="s">
        <v>8677</v>
      </c>
      <c r="L2960" s="13"/>
      <c r="M2960" s="14"/>
      <c r="N2960" s="15"/>
      <c r="O2960" s="5" t="s">
        <v>108</v>
      </c>
      <c r="P2960" s="15"/>
      <c r="Q2960" s="15"/>
      <c r="R2960" s="16" t="s">
        <v>28</v>
      </c>
      <c r="S2960" s="15"/>
      <c r="T2960" s="15"/>
      <c r="U2960" s="15"/>
      <c r="V2960" s="15"/>
      <c r="W2960" s="15"/>
      <c r="X2960" s="15"/>
      <c r="Y2960" s="15"/>
      <c r="Z2960" s="15"/>
      <c r="AA2960" s="15"/>
    </row>
    <row r="2961">
      <c r="A2961" s="5" t="s">
        <v>13959</v>
      </c>
      <c r="B2961" s="131" t="s">
        <v>13974</v>
      </c>
      <c r="C2961" s="40" t="s">
        <v>13975</v>
      </c>
      <c r="D2961" s="11"/>
      <c r="E2961" s="11" t="s">
        <v>152</v>
      </c>
      <c r="F2961" s="90">
        <v>1000.0</v>
      </c>
      <c r="G2961" s="381" t="s">
        <v>13976</v>
      </c>
      <c r="H2961" s="11" t="s">
        <v>99</v>
      </c>
      <c r="I2961" s="276">
        <v>9.090691149E9</v>
      </c>
      <c r="J2961" s="11" t="s">
        <v>13644</v>
      </c>
      <c r="K2961" s="12">
        <v>24.0</v>
      </c>
      <c r="L2961" s="12">
        <v>24.0</v>
      </c>
      <c r="M2961" s="11" t="s">
        <v>11262</v>
      </c>
      <c r="N2961" s="5" t="s">
        <v>13977</v>
      </c>
      <c r="O2961" s="5" t="s">
        <v>26</v>
      </c>
      <c r="P2961" s="5" t="s">
        <v>13978</v>
      </c>
      <c r="Q2961" s="5" t="s">
        <v>13979</v>
      </c>
      <c r="R2961" s="16" t="s">
        <v>723</v>
      </c>
      <c r="S2961" s="5"/>
      <c r="T2961" s="15"/>
      <c r="U2961" s="15"/>
      <c r="V2961" s="15"/>
      <c r="W2961" s="15"/>
      <c r="X2961" s="15"/>
      <c r="Y2961" s="15"/>
      <c r="Z2961" s="15"/>
      <c r="AA2961" s="15"/>
    </row>
    <row r="2962">
      <c r="A2962" s="5" t="s">
        <v>13959</v>
      </c>
      <c r="B2962" s="6" t="s">
        <v>13980</v>
      </c>
      <c r="C2962" s="40" t="s">
        <v>4709</v>
      </c>
      <c r="D2962" s="367"/>
      <c r="E2962" s="367" t="s">
        <v>13981</v>
      </c>
      <c r="F2962" s="90">
        <v>100.0</v>
      </c>
      <c r="G2962" s="321" t="s">
        <v>13982</v>
      </c>
      <c r="H2962" s="11" t="s">
        <v>44</v>
      </c>
      <c r="I2962" s="276">
        <v>6.202102508E9</v>
      </c>
      <c r="J2962" s="11"/>
      <c r="K2962" s="12" t="s">
        <v>13983</v>
      </c>
      <c r="L2962" s="13"/>
      <c r="M2962" s="14"/>
      <c r="N2962" s="15"/>
      <c r="O2962" s="5" t="s">
        <v>26</v>
      </c>
      <c r="P2962" s="15"/>
      <c r="Q2962" s="15"/>
      <c r="R2962" s="16" t="s">
        <v>28</v>
      </c>
      <c r="S2962" s="15"/>
      <c r="T2962" s="15"/>
      <c r="U2962" s="15"/>
      <c r="V2962" s="15"/>
      <c r="W2962" s="15"/>
      <c r="X2962" s="15"/>
      <c r="Y2962" s="15"/>
      <c r="Z2962" s="15"/>
      <c r="AA2962" s="15"/>
    </row>
    <row r="2963">
      <c r="A2963" s="5" t="s">
        <v>13959</v>
      </c>
      <c r="B2963" s="131" t="s">
        <v>13984</v>
      </c>
      <c r="C2963" s="40" t="s">
        <v>13985</v>
      </c>
      <c r="D2963" s="40"/>
      <c r="E2963" s="40" t="s">
        <v>13986</v>
      </c>
      <c r="F2963" s="90">
        <v>20000.0</v>
      </c>
      <c r="G2963" s="321" t="s">
        <v>13987</v>
      </c>
      <c r="H2963" s="11" t="s">
        <v>44</v>
      </c>
      <c r="I2963" s="276">
        <v>8.017997511E9</v>
      </c>
      <c r="J2963" s="11" t="s">
        <v>12643</v>
      </c>
      <c r="K2963" s="12"/>
      <c r="L2963" s="12">
        <v>6.0</v>
      </c>
      <c r="M2963" s="14"/>
      <c r="N2963" s="15"/>
      <c r="O2963" s="5" t="s">
        <v>26</v>
      </c>
      <c r="P2963" s="5" t="s">
        <v>13988</v>
      </c>
      <c r="Q2963" s="5" t="s">
        <v>1899</v>
      </c>
      <c r="R2963" s="16" t="s">
        <v>28</v>
      </c>
      <c r="S2963" s="5"/>
      <c r="T2963" s="15"/>
      <c r="U2963" s="15"/>
      <c r="V2963" s="15"/>
      <c r="W2963" s="15"/>
      <c r="X2963" s="15"/>
      <c r="Y2963" s="15"/>
      <c r="Z2963" s="15"/>
      <c r="AA2963" s="15"/>
    </row>
    <row r="2964">
      <c r="A2964" s="5" t="s">
        <v>13959</v>
      </c>
      <c r="B2964" s="131" t="s">
        <v>13989</v>
      </c>
      <c r="C2964" s="40" t="s">
        <v>12867</v>
      </c>
      <c r="D2964" s="11"/>
      <c r="E2964" s="11" t="s">
        <v>10135</v>
      </c>
      <c r="F2964" s="90">
        <v>2000.0</v>
      </c>
      <c r="G2964" s="321" t="s">
        <v>13990</v>
      </c>
      <c r="H2964" s="11" t="s">
        <v>44</v>
      </c>
      <c r="I2964" s="276">
        <v>9.231486173E9</v>
      </c>
      <c r="J2964" s="11" t="s">
        <v>12643</v>
      </c>
      <c r="K2964" s="12" t="s">
        <v>8677</v>
      </c>
      <c r="L2964" s="12">
        <v>840.0</v>
      </c>
      <c r="M2964" s="14"/>
      <c r="N2964" s="15"/>
      <c r="O2964" s="5" t="s">
        <v>26</v>
      </c>
      <c r="P2964" s="15"/>
      <c r="Q2964" s="15"/>
      <c r="R2964" s="16" t="s">
        <v>28</v>
      </c>
      <c r="S2964" s="15"/>
      <c r="T2964" s="15"/>
      <c r="U2964" s="15"/>
      <c r="V2964" s="15"/>
      <c r="W2964" s="15"/>
      <c r="X2964" s="15"/>
      <c r="Y2964" s="15"/>
      <c r="Z2964" s="15"/>
      <c r="AA2964" s="15"/>
    </row>
    <row r="2965">
      <c r="A2965" s="5" t="s">
        <v>13959</v>
      </c>
      <c r="B2965" s="131" t="s">
        <v>13991</v>
      </c>
      <c r="C2965" s="62" t="s">
        <v>13992</v>
      </c>
      <c r="D2965" s="11"/>
      <c r="E2965" s="11" t="s">
        <v>152</v>
      </c>
      <c r="F2965" s="90">
        <v>2000.0</v>
      </c>
      <c r="G2965" s="321" t="s">
        <v>13993</v>
      </c>
      <c r="H2965" s="11" t="s">
        <v>13994</v>
      </c>
      <c r="I2965" s="276">
        <v>9.689421506E9</v>
      </c>
      <c r="J2965" s="11" t="s">
        <v>4008</v>
      </c>
      <c r="K2965" s="12" t="s">
        <v>2980</v>
      </c>
      <c r="L2965" s="13"/>
      <c r="M2965" s="11" t="s">
        <v>9776</v>
      </c>
      <c r="N2965" s="5" t="s">
        <v>13995</v>
      </c>
      <c r="O2965" s="5" t="s">
        <v>108</v>
      </c>
      <c r="P2965" s="5" t="s">
        <v>13996</v>
      </c>
      <c r="Q2965" s="15"/>
      <c r="R2965" s="16" t="s">
        <v>634</v>
      </c>
      <c r="S2965" s="15"/>
      <c r="T2965" s="15"/>
      <c r="U2965" s="15"/>
      <c r="V2965" s="15"/>
      <c r="W2965" s="15"/>
      <c r="X2965" s="15"/>
      <c r="Y2965" s="15"/>
      <c r="Z2965" s="15"/>
      <c r="AA2965" s="15"/>
    </row>
    <row r="2966">
      <c r="A2966" s="5" t="s">
        <v>13959</v>
      </c>
      <c r="B2966" s="131" t="s">
        <v>13997</v>
      </c>
      <c r="C2966" s="62" t="s">
        <v>13998</v>
      </c>
      <c r="D2966" s="11"/>
      <c r="E2966" s="11" t="s">
        <v>116</v>
      </c>
      <c r="F2966" s="90">
        <v>100.0</v>
      </c>
      <c r="G2966" s="321" t="s">
        <v>13999</v>
      </c>
      <c r="H2966" s="11" t="s">
        <v>14000</v>
      </c>
      <c r="I2966" s="276">
        <v>8.669036308E9</v>
      </c>
      <c r="J2966" s="11" t="s">
        <v>4008</v>
      </c>
      <c r="K2966" s="12" t="s">
        <v>8677</v>
      </c>
      <c r="L2966" s="13"/>
      <c r="M2966" s="11" t="s">
        <v>14001</v>
      </c>
      <c r="N2966" s="15"/>
      <c r="O2966" s="5" t="s">
        <v>108</v>
      </c>
      <c r="P2966" s="5" t="s">
        <v>14002</v>
      </c>
      <c r="Q2966" s="15"/>
      <c r="R2966" s="16" t="s">
        <v>28</v>
      </c>
      <c r="S2966" s="15"/>
      <c r="T2966" s="15"/>
      <c r="U2966" s="15"/>
      <c r="V2966" s="15"/>
      <c r="W2966" s="15"/>
      <c r="X2966" s="15"/>
      <c r="Y2966" s="15"/>
      <c r="Z2966" s="15"/>
      <c r="AA2966" s="15"/>
    </row>
    <row r="2967">
      <c r="A2967" s="5" t="s">
        <v>13959</v>
      </c>
      <c r="B2967" s="131" t="s">
        <v>14003</v>
      </c>
      <c r="C2967" s="40" t="s">
        <v>14004</v>
      </c>
      <c r="D2967" s="11"/>
      <c r="E2967" s="11" t="s">
        <v>8931</v>
      </c>
      <c r="F2967" s="90">
        <v>200.0</v>
      </c>
      <c r="G2967" s="321" t="s">
        <v>14005</v>
      </c>
      <c r="H2967" s="11" t="s">
        <v>14006</v>
      </c>
      <c r="I2967" s="276">
        <v>8.78905264E9</v>
      </c>
      <c r="J2967" s="11" t="s">
        <v>12135</v>
      </c>
      <c r="K2967" s="12" t="s">
        <v>8677</v>
      </c>
      <c r="L2967" s="13"/>
      <c r="M2967" s="14"/>
      <c r="N2967" s="15"/>
      <c r="O2967" s="408" t="s">
        <v>10708</v>
      </c>
      <c r="P2967" s="15"/>
      <c r="Q2967" s="15"/>
      <c r="R2967" s="16" t="s">
        <v>28</v>
      </c>
      <c r="S2967" s="15"/>
      <c r="T2967" s="15"/>
      <c r="U2967" s="15"/>
      <c r="V2967" s="15"/>
      <c r="W2967" s="15"/>
      <c r="X2967" s="15"/>
      <c r="Y2967" s="15"/>
      <c r="Z2967" s="15"/>
      <c r="AA2967" s="15"/>
    </row>
    <row r="2968">
      <c r="A2968" s="5" t="s">
        <v>13959</v>
      </c>
      <c r="B2968" s="131" t="s">
        <v>14007</v>
      </c>
      <c r="C2968" s="97" t="s">
        <v>14008</v>
      </c>
      <c r="D2968" s="409"/>
      <c r="E2968" s="409" t="s">
        <v>14009</v>
      </c>
      <c r="F2968" s="90">
        <v>10000.0</v>
      </c>
      <c r="G2968" s="381" t="s">
        <v>14010</v>
      </c>
      <c r="H2968" s="97" t="s">
        <v>44</v>
      </c>
      <c r="I2968" s="157">
        <v>9.557756313E9</v>
      </c>
      <c r="J2968" s="11" t="s">
        <v>25</v>
      </c>
      <c r="K2968" s="12"/>
      <c r="L2968" s="12" t="s">
        <v>14011</v>
      </c>
      <c r="M2968" s="11" t="s">
        <v>14012</v>
      </c>
      <c r="N2968" s="5" t="s">
        <v>14013</v>
      </c>
      <c r="O2968" s="5" t="s">
        <v>34</v>
      </c>
      <c r="P2968" s="5" t="s">
        <v>1853</v>
      </c>
      <c r="Q2968" s="5" t="s">
        <v>14014</v>
      </c>
      <c r="R2968" s="16" t="s">
        <v>723</v>
      </c>
      <c r="S2968" s="5"/>
      <c r="T2968" s="15"/>
      <c r="U2968" s="15"/>
      <c r="V2968" s="15"/>
      <c r="W2968" s="15"/>
      <c r="X2968" s="15"/>
      <c r="Y2968" s="15"/>
      <c r="Z2968" s="15"/>
      <c r="AA2968" s="15"/>
    </row>
    <row r="2969">
      <c r="A2969" s="352" t="s">
        <v>13959</v>
      </c>
      <c r="B2969" s="131" t="s">
        <v>14015</v>
      </c>
      <c r="C2969" s="40" t="s">
        <v>14016</v>
      </c>
      <c r="D2969" s="11"/>
      <c r="E2969" s="11" t="s">
        <v>14017</v>
      </c>
      <c r="F2969" s="90" t="s">
        <v>14018</v>
      </c>
      <c r="G2969" s="321" t="s">
        <v>14019</v>
      </c>
      <c r="H2969" s="11"/>
      <c r="I2969" s="283" t="s">
        <v>14020</v>
      </c>
      <c r="J2969" s="11"/>
      <c r="K2969" s="12" t="s">
        <v>14021</v>
      </c>
      <c r="L2969" s="13"/>
      <c r="M2969" s="332" t="s">
        <v>14022</v>
      </c>
      <c r="N2969" s="5" t="s">
        <v>14023</v>
      </c>
      <c r="O2969" s="5" t="s">
        <v>26</v>
      </c>
      <c r="P2969" s="5" t="s">
        <v>8132</v>
      </c>
      <c r="Q2969" s="5" t="s">
        <v>14024</v>
      </c>
      <c r="R2969" s="16" t="s">
        <v>723</v>
      </c>
      <c r="S2969" s="5"/>
      <c r="T2969" s="15"/>
      <c r="U2969" s="15"/>
      <c r="V2969" s="15"/>
      <c r="W2969" s="15"/>
      <c r="X2969" s="15"/>
      <c r="Y2969" s="15"/>
      <c r="Z2969" s="15"/>
      <c r="AA2969" s="15"/>
    </row>
    <row r="2970">
      <c r="A2970" s="5" t="s">
        <v>13959</v>
      </c>
      <c r="B2970" s="354" t="s">
        <v>14025</v>
      </c>
      <c r="C2970" s="62" t="s">
        <v>13511</v>
      </c>
      <c r="D2970" s="11"/>
      <c r="E2970" s="11" t="s">
        <v>14026</v>
      </c>
      <c r="F2970" s="90" t="s">
        <v>14027</v>
      </c>
      <c r="G2970" s="321" t="s">
        <v>14028</v>
      </c>
      <c r="H2970" s="11" t="s">
        <v>13515</v>
      </c>
      <c r="I2970" s="276">
        <v>7.00389159E9</v>
      </c>
      <c r="J2970" s="11" t="s">
        <v>13272</v>
      </c>
      <c r="K2970" s="12" t="s">
        <v>14029</v>
      </c>
      <c r="L2970" s="13"/>
      <c r="M2970" s="11" t="s">
        <v>14030</v>
      </c>
      <c r="N2970" s="5" t="s">
        <v>14031</v>
      </c>
      <c r="O2970" s="5" t="s">
        <v>26</v>
      </c>
      <c r="P2970" s="401" t="s">
        <v>14032</v>
      </c>
      <c r="Q2970" s="15"/>
      <c r="R2970" s="16" t="s">
        <v>634</v>
      </c>
      <c r="S2970" s="15"/>
      <c r="T2970" s="15"/>
      <c r="U2970" s="15"/>
      <c r="V2970" s="15"/>
      <c r="W2970" s="15"/>
      <c r="X2970" s="15"/>
      <c r="Y2970" s="15"/>
      <c r="Z2970" s="15"/>
      <c r="AA2970" s="15"/>
    </row>
    <row r="2971">
      <c r="A2971" s="5" t="s">
        <v>13959</v>
      </c>
      <c r="B2971" s="131" t="s">
        <v>14033</v>
      </c>
      <c r="C2971" s="40" t="s">
        <v>14034</v>
      </c>
      <c r="D2971" s="11"/>
      <c r="E2971" s="11" t="s">
        <v>14035</v>
      </c>
      <c r="F2971" s="90">
        <v>10000.0</v>
      </c>
      <c r="G2971" s="321" t="s">
        <v>14036</v>
      </c>
      <c r="H2971" s="11" t="s">
        <v>5627</v>
      </c>
      <c r="I2971" s="276">
        <v>9.830892016E9</v>
      </c>
      <c r="J2971" s="11" t="s">
        <v>4008</v>
      </c>
      <c r="K2971" s="12" t="s">
        <v>8528</v>
      </c>
      <c r="L2971" s="13"/>
      <c r="M2971" s="11" t="s">
        <v>10171</v>
      </c>
      <c r="N2971" s="5" t="s">
        <v>14037</v>
      </c>
      <c r="O2971" s="5" t="s">
        <v>26</v>
      </c>
      <c r="P2971" s="351" t="s">
        <v>14038</v>
      </c>
      <c r="Q2971" s="15"/>
      <c r="R2971" s="16" t="s">
        <v>634</v>
      </c>
      <c r="S2971" s="15"/>
      <c r="T2971" s="15"/>
      <c r="U2971" s="15"/>
      <c r="V2971" s="15"/>
      <c r="W2971" s="15"/>
      <c r="X2971" s="15"/>
      <c r="Y2971" s="15"/>
      <c r="Z2971" s="15"/>
      <c r="AA2971" s="15"/>
    </row>
    <row r="2972">
      <c r="A2972" s="352" t="s">
        <v>13959</v>
      </c>
      <c r="B2972" s="354" t="s">
        <v>14039</v>
      </c>
      <c r="C2972" s="40" t="s">
        <v>14040</v>
      </c>
      <c r="D2972" s="40"/>
      <c r="E2972" s="40" t="s">
        <v>14041</v>
      </c>
      <c r="F2972" s="296">
        <v>2000.0</v>
      </c>
      <c r="G2972" s="381" t="s">
        <v>14042</v>
      </c>
      <c r="H2972" s="40" t="s">
        <v>11480</v>
      </c>
      <c r="I2972" s="410">
        <v>9.230510634E9</v>
      </c>
      <c r="J2972" s="40" t="s">
        <v>4008</v>
      </c>
      <c r="K2972" s="12" t="s">
        <v>11818</v>
      </c>
      <c r="L2972" s="13"/>
      <c r="M2972" s="11" t="s">
        <v>11819</v>
      </c>
      <c r="N2972" s="5" t="s">
        <v>14043</v>
      </c>
      <c r="O2972" s="5" t="s">
        <v>26</v>
      </c>
      <c r="P2972" s="401" t="s">
        <v>14044</v>
      </c>
      <c r="Q2972" s="5" t="s">
        <v>453</v>
      </c>
      <c r="R2972" s="16" t="s">
        <v>723</v>
      </c>
      <c r="S2972" s="5"/>
      <c r="T2972" s="15"/>
      <c r="U2972" s="15"/>
      <c r="V2972" s="15"/>
      <c r="W2972" s="15"/>
      <c r="X2972" s="15"/>
      <c r="Y2972" s="15"/>
      <c r="Z2972" s="15"/>
      <c r="AA2972" s="15"/>
    </row>
    <row r="2973">
      <c r="A2973" s="5" t="s">
        <v>13959</v>
      </c>
      <c r="B2973" s="131" t="s">
        <v>14045</v>
      </c>
      <c r="C2973" s="62" t="s">
        <v>14046</v>
      </c>
      <c r="D2973" s="11"/>
      <c r="E2973" s="11" t="s">
        <v>14047</v>
      </c>
      <c r="F2973" s="90" t="s">
        <v>14048</v>
      </c>
      <c r="G2973" s="411" t="s">
        <v>14049</v>
      </c>
      <c r="H2973" s="11" t="s">
        <v>14050</v>
      </c>
      <c r="I2973" s="276">
        <v>9.735190572E9</v>
      </c>
      <c r="J2973" s="11" t="s">
        <v>13272</v>
      </c>
      <c r="K2973" s="12" t="s">
        <v>14051</v>
      </c>
      <c r="L2973" s="13"/>
      <c r="M2973" s="11" t="s">
        <v>14052</v>
      </c>
      <c r="N2973" s="5" t="s">
        <v>14053</v>
      </c>
      <c r="O2973" s="5" t="s">
        <v>34</v>
      </c>
      <c r="P2973" s="5" t="s">
        <v>13941</v>
      </c>
      <c r="Q2973" s="5" t="s">
        <v>921</v>
      </c>
      <c r="R2973" s="16" t="s">
        <v>723</v>
      </c>
      <c r="S2973" s="5"/>
      <c r="T2973" s="15"/>
      <c r="U2973" s="15"/>
      <c r="V2973" s="15"/>
      <c r="W2973" s="15"/>
      <c r="X2973" s="15"/>
      <c r="Y2973" s="15"/>
      <c r="Z2973" s="15"/>
      <c r="AA2973" s="15"/>
    </row>
    <row r="2974">
      <c r="A2974" s="5" t="s">
        <v>13959</v>
      </c>
      <c r="B2974" s="131" t="s">
        <v>14045</v>
      </c>
      <c r="C2974" s="40" t="s">
        <v>14054</v>
      </c>
      <c r="D2974" s="11"/>
      <c r="E2974" s="11" t="s">
        <v>5293</v>
      </c>
      <c r="F2974" s="90">
        <v>4000.0</v>
      </c>
      <c r="G2974" s="381" t="s">
        <v>14055</v>
      </c>
      <c r="H2974" s="11" t="s">
        <v>13413</v>
      </c>
      <c r="I2974" s="283" t="s">
        <v>14056</v>
      </c>
      <c r="J2974" s="11" t="s">
        <v>14057</v>
      </c>
      <c r="K2974" s="12" t="s">
        <v>8753</v>
      </c>
      <c r="L2974" s="13"/>
      <c r="M2974" s="14"/>
      <c r="N2974" s="15"/>
      <c r="O2974" s="5" t="s">
        <v>26</v>
      </c>
      <c r="P2974" s="5" t="s">
        <v>14058</v>
      </c>
      <c r="Q2974" s="15"/>
      <c r="R2974" s="16" t="s">
        <v>28</v>
      </c>
      <c r="S2974" s="15"/>
      <c r="T2974" s="15"/>
      <c r="U2974" s="15"/>
      <c r="V2974" s="15"/>
      <c r="W2974" s="15"/>
      <c r="X2974" s="15"/>
      <c r="Y2974" s="15"/>
      <c r="Z2974" s="15"/>
      <c r="AA2974" s="15"/>
    </row>
    <row r="2975">
      <c r="A2975" s="5" t="s">
        <v>13959</v>
      </c>
      <c r="B2975" s="131" t="s">
        <v>14059</v>
      </c>
      <c r="C2975" s="40" t="s">
        <v>14060</v>
      </c>
      <c r="D2975" s="11"/>
      <c r="E2975" s="11" t="s">
        <v>189</v>
      </c>
      <c r="F2975" s="90">
        <v>7000.0</v>
      </c>
      <c r="G2975" s="381" t="s">
        <v>14061</v>
      </c>
      <c r="H2975" s="11" t="s">
        <v>1107</v>
      </c>
      <c r="I2975" s="276">
        <v>9.933475093E9</v>
      </c>
      <c r="J2975" s="11" t="s">
        <v>25</v>
      </c>
      <c r="K2975" s="13"/>
      <c r="L2975" s="12">
        <v>4.0</v>
      </c>
      <c r="M2975" s="11" t="s">
        <v>10566</v>
      </c>
      <c r="N2975" s="5" t="s">
        <v>14062</v>
      </c>
      <c r="O2975" s="5" t="s">
        <v>26</v>
      </c>
      <c r="P2975" s="401" t="s">
        <v>14063</v>
      </c>
      <c r="Q2975" s="15"/>
      <c r="R2975" s="16" t="s">
        <v>634</v>
      </c>
      <c r="S2975" s="15"/>
      <c r="T2975" s="15"/>
      <c r="U2975" s="15"/>
      <c r="V2975" s="15"/>
      <c r="W2975" s="15"/>
      <c r="X2975" s="15"/>
      <c r="Y2975" s="15"/>
      <c r="Z2975" s="15"/>
      <c r="AA2975" s="15"/>
    </row>
    <row r="2976">
      <c r="A2976" s="5" t="s">
        <v>13959</v>
      </c>
      <c r="B2976" s="131" t="s">
        <v>14064</v>
      </c>
      <c r="C2976" s="62" t="s">
        <v>14065</v>
      </c>
      <c r="D2976" s="40"/>
      <c r="E2976" s="40" t="s">
        <v>3764</v>
      </c>
      <c r="F2976" s="90">
        <v>500.0</v>
      </c>
      <c r="G2976" s="321" t="s">
        <v>14066</v>
      </c>
      <c r="H2976" s="11" t="s">
        <v>14067</v>
      </c>
      <c r="I2976" s="276">
        <v>9.476199899E9</v>
      </c>
      <c r="J2976" s="11" t="s">
        <v>14068</v>
      </c>
      <c r="K2976" s="12" t="s">
        <v>14069</v>
      </c>
      <c r="L2976" s="13"/>
      <c r="M2976" s="11" t="s">
        <v>14070</v>
      </c>
      <c r="N2976" s="5" t="s">
        <v>14071</v>
      </c>
      <c r="O2976" s="5" t="s">
        <v>34</v>
      </c>
      <c r="P2976" s="11" t="s">
        <v>14072</v>
      </c>
      <c r="Q2976" s="5" t="s">
        <v>14073</v>
      </c>
      <c r="R2976" s="16" t="s">
        <v>551</v>
      </c>
      <c r="S2976" s="5"/>
      <c r="T2976" s="15"/>
      <c r="U2976" s="15"/>
      <c r="V2976" s="15"/>
      <c r="W2976" s="15"/>
      <c r="X2976" s="15"/>
      <c r="Y2976" s="15"/>
      <c r="Z2976" s="15"/>
      <c r="AA2976" s="15"/>
    </row>
    <row r="2977">
      <c r="A2977" s="5" t="s">
        <v>13959</v>
      </c>
      <c r="B2977" s="131" t="s">
        <v>14074</v>
      </c>
      <c r="C2977" s="62" t="s">
        <v>14075</v>
      </c>
      <c r="D2977" s="11"/>
      <c r="E2977" s="11" t="s">
        <v>3193</v>
      </c>
      <c r="F2977" s="90">
        <v>5000.0</v>
      </c>
      <c r="G2977" s="381" t="s">
        <v>11415</v>
      </c>
      <c r="H2977" s="11" t="s">
        <v>14076</v>
      </c>
      <c r="I2977" s="276">
        <v>8.981216145E9</v>
      </c>
      <c r="J2977" s="11" t="s">
        <v>25</v>
      </c>
      <c r="K2977" s="12" t="s">
        <v>13460</v>
      </c>
      <c r="L2977" s="13"/>
      <c r="M2977" s="11" t="s">
        <v>13461</v>
      </c>
      <c r="N2977" s="5" t="s">
        <v>14077</v>
      </c>
      <c r="O2977" s="5" t="s">
        <v>26</v>
      </c>
      <c r="P2977" s="15"/>
      <c r="Q2977" s="15"/>
      <c r="R2977" s="16" t="s">
        <v>28</v>
      </c>
      <c r="S2977" s="15"/>
      <c r="T2977" s="15"/>
      <c r="U2977" s="15"/>
      <c r="V2977" s="15"/>
      <c r="W2977" s="15"/>
      <c r="X2977" s="15"/>
      <c r="Y2977" s="15"/>
      <c r="Z2977" s="15"/>
      <c r="AA2977" s="15"/>
    </row>
    <row r="2978">
      <c r="A2978" s="5" t="s">
        <v>13959</v>
      </c>
      <c r="B2978" s="131" t="s">
        <v>14078</v>
      </c>
      <c r="C2978" s="62" t="s">
        <v>14079</v>
      </c>
      <c r="D2978" s="11"/>
      <c r="E2978" s="11" t="s">
        <v>14080</v>
      </c>
      <c r="F2978" s="90">
        <v>5000.0</v>
      </c>
      <c r="G2978" s="381" t="s">
        <v>14081</v>
      </c>
      <c r="H2978" s="11" t="s">
        <v>11810</v>
      </c>
      <c r="I2978" s="283" t="s">
        <v>14082</v>
      </c>
      <c r="J2978" s="11" t="s">
        <v>25</v>
      </c>
      <c r="K2978" s="12" t="s">
        <v>8677</v>
      </c>
      <c r="L2978" s="13"/>
      <c r="M2978" s="14"/>
      <c r="N2978" s="15"/>
      <c r="O2978" s="5" t="s">
        <v>26</v>
      </c>
      <c r="P2978" s="5" t="s">
        <v>14058</v>
      </c>
      <c r="Q2978" s="15"/>
      <c r="R2978" s="16" t="s">
        <v>28</v>
      </c>
      <c r="S2978" s="15"/>
      <c r="T2978" s="15"/>
      <c r="U2978" s="15"/>
      <c r="V2978" s="15"/>
      <c r="W2978" s="15"/>
      <c r="X2978" s="15"/>
      <c r="Y2978" s="15"/>
      <c r="Z2978" s="15"/>
      <c r="AA2978" s="15"/>
    </row>
    <row r="2979">
      <c r="A2979" s="5" t="s">
        <v>13959</v>
      </c>
      <c r="B2979" s="131" t="s">
        <v>14083</v>
      </c>
      <c r="C2979" s="40" t="s">
        <v>14084</v>
      </c>
      <c r="D2979" s="11"/>
      <c r="E2979" s="11" t="s">
        <v>5502</v>
      </c>
      <c r="F2979" s="90">
        <v>2000.0</v>
      </c>
      <c r="G2979" s="381" t="s">
        <v>14085</v>
      </c>
      <c r="H2979" s="11" t="s">
        <v>7220</v>
      </c>
      <c r="I2979" s="276">
        <v>9.763445381E9</v>
      </c>
      <c r="J2979" s="11" t="s">
        <v>25</v>
      </c>
      <c r="K2979" s="12" t="s">
        <v>14086</v>
      </c>
      <c r="L2979" s="13"/>
      <c r="M2979" s="11" t="s">
        <v>14087</v>
      </c>
      <c r="N2979" s="5" t="s">
        <v>14088</v>
      </c>
      <c r="O2979" s="5" t="s">
        <v>108</v>
      </c>
      <c r="P2979" s="5" t="s">
        <v>1751</v>
      </c>
      <c r="Q2979" s="15"/>
      <c r="R2979" s="16" t="s">
        <v>634</v>
      </c>
      <c r="S2979" s="15"/>
      <c r="T2979" s="15"/>
      <c r="U2979" s="15"/>
      <c r="V2979" s="15"/>
      <c r="W2979" s="15"/>
      <c r="X2979" s="15"/>
      <c r="Y2979" s="15"/>
      <c r="Z2979" s="15"/>
      <c r="AA2979" s="15"/>
    </row>
    <row r="2980">
      <c r="A2980" s="5" t="s">
        <v>13959</v>
      </c>
      <c r="B2980" s="131" t="s">
        <v>14089</v>
      </c>
      <c r="C2980" s="40" t="s">
        <v>14090</v>
      </c>
      <c r="D2980" s="11"/>
      <c r="E2980" s="11" t="s">
        <v>5502</v>
      </c>
      <c r="F2980" s="90">
        <v>1000.0</v>
      </c>
      <c r="G2980" s="381" t="s">
        <v>14091</v>
      </c>
      <c r="H2980" s="11" t="s">
        <v>930</v>
      </c>
      <c r="I2980" s="276">
        <v>9.121382904E9</v>
      </c>
      <c r="J2980" s="11" t="s">
        <v>25</v>
      </c>
      <c r="K2980" s="12" t="s">
        <v>14092</v>
      </c>
      <c r="L2980" s="13"/>
      <c r="M2980" s="11" t="s">
        <v>14093</v>
      </c>
      <c r="N2980" s="5" t="s">
        <v>14094</v>
      </c>
      <c r="O2980" s="5" t="s">
        <v>108</v>
      </c>
      <c r="P2980" s="15"/>
      <c r="Q2980" s="15"/>
      <c r="R2980" s="16" t="s">
        <v>634</v>
      </c>
      <c r="S2980" s="15"/>
      <c r="T2980" s="15"/>
      <c r="U2980" s="15"/>
      <c r="V2980" s="15"/>
      <c r="W2980" s="15"/>
      <c r="X2980" s="15"/>
      <c r="Y2980" s="15"/>
      <c r="Z2980" s="15"/>
      <c r="AA2980" s="15"/>
    </row>
    <row r="2981">
      <c r="A2981" s="5" t="s">
        <v>14095</v>
      </c>
      <c r="B2981" s="131" t="s">
        <v>14096</v>
      </c>
      <c r="C2981" s="40" t="s">
        <v>14097</v>
      </c>
      <c r="D2981" s="11"/>
      <c r="E2981" s="11" t="s">
        <v>10426</v>
      </c>
      <c r="F2981" s="9">
        <v>10000.0</v>
      </c>
      <c r="G2981" s="412" t="s">
        <v>14098</v>
      </c>
      <c r="H2981" s="11" t="s">
        <v>14099</v>
      </c>
      <c r="I2981" s="276">
        <v>9.426319201E9</v>
      </c>
      <c r="J2981" s="11" t="s">
        <v>25</v>
      </c>
      <c r="K2981" s="12"/>
      <c r="L2981" s="13"/>
      <c r="M2981" s="11" t="s">
        <v>14100</v>
      </c>
      <c r="N2981" s="15"/>
      <c r="O2981" s="5" t="s">
        <v>108</v>
      </c>
      <c r="P2981" s="5" t="s">
        <v>10248</v>
      </c>
      <c r="Q2981" s="5" t="s">
        <v>14101</v>
      </c>
      <c r="R2981" s="16" t="s">
        <v>634</v>
      </c>
      <c r="S2981" s="5"/>
      <c r="T2981" s="15"/>
      <c r="U2981" s="15"/>
      <c r="V2981" s="15"/>
      <c r="W2981" s="15"/>
      <c r="X2981" s="15"/>
      <c r="Y2981" s="15"/>
      <c r="Z2981" s="15"/>
      <c r="AA2981" s="15"/>
    </row>
    <row r="2982">
      <c r="A2982" s="5" t="s">
        <v>14095</v>
      </c>
      <c r="B2982" s="131" t="s">
        <v>14102</v>
      </c>
      <c r="C2982" s="40" t="s">
        <v>14103</v>
      </c>
      <c r="D2982" s="11"/>
      <c r="E2982" s="11" t="s">
        <v>22</v>
      </c>
      <c r="F2982" s="90">
        <v>2500.0</v>
      </c>
      <c r="G2982" s="321" t="s">
        <v>14104</v>
      </c>
      <c r="H2982" s="11" t="s">
        <v>14105</v>
      </c>
      <c r="I2982" s="276">
        <v>6.296199034E9</v>
      </c>
      <c r="J2982" s="11" t="s">
        <v>4008</v>
      </c>
      <c r="K2982" s="12" t="s">
        <v>8677</v>
      </c>
      <c r="L2982" s="13"/>
      <c r="M2982" s="14"/>
      <c r="N2982" s="15"/>
      <c r="O2982" s="5" t="s">
        <v>26</v>
      </c>
      <c r="P2982" s="15"/>
      <c r="Q2982" s="15"/>
      <c r="R2982" s="16" t="s">
        <v>28</v>
      </c>
      <c r="S2982" s="15"/>
      <c r="T2982" s="15"/>
      <c r="U2982" s="15"/>
      <c r="V2982" s="15"/>
      <c r="W2982" s="15"/>
      <c r="X2982" s="15"/>
      <c r="Y2982" s="15"/>
      <c r="Z2982" s="15"/>
      <c r="AA2982" s="15"/>
    </row>
    <row r="2983">
      <c r="A2983" s="5" t="s">
        <v>14095</v>
      </c>
      <c r="B2983" s="413" t="s">
        <v>14106</v>
      </c>
      <c r="C2983" s="414" t="s">
        <v>9059</v>
      </c>
      <c r="D2983" s="415"/>
      <c r="E2983" s="415" t="s">
        <v>794</v>
      </c>
      <c r="F2983" s="416">
        <v>1500.0</v>
      </c>
      <c r="G2983" s="412" t="s">
        <v>9060</v>
      </c>
      <c r="H2983" s="415" t="s">
        <v>14076</v>
      </c>
      <c r="I2983" s="417">
        <v>9.830169397E9</v>
      </c>
      <c r="J2983" s="415" t="s">
        <v>25</v>
      </c>
      <c r="K2983" s="418" t="s">
        <v>8354</v>
      </c>
      <c r="L2983" s="13">
        <v>7.0</v>
      </c>
      <c r="M2983" s="14" t="s">
        <v>7965</v>
      </c>
      <c r="N2983" s="15" t="s">
        <v>14107</v>
      </c>
      <c r="O2983" s="408" t="s">
        <v>26</v>
      </c>
      <c r="P2983" s="5" t="s">
        <v>3287</v>
      </c>
      <c r="Q2983" s="15"/>
      <c r="R2983" s="16" t="s">
        <v>634</v>
      </c>
      <c r="S2983" s="15"/>
      <c r="T2983" s="15"/>
      <c r="U2983" s="15"/>
      <c r="V2983" s="15"/>
      <c r="W2983" s="15"/>
      <c r="X2983" s="15"/>
      <c r="Y2983" s="15"/>
      <c r="Z2983" s="15"/>
      <c r="AA2983" s="15"/>
    </row>
    <row r="2984">
      <c r="A2984" s="5" t="s">
        <v>14095</v>
      </c>
      <c r="B2984" s="413" t="s">
        <v>14108</v>
      </c>
      <c r="C2984" s="414" t="s">
        <v>14109</v>
      </c>
      <c r="D2984" s="415"/>
      <c r="E2984" s="415" t="s">
        <v>5293</v>
      </c>
      <c r="F2984" s="416">
        <v>1000.0</v>
      </c>
      <c r="G2984" s="412" t="s">
        <v>14110</v>
      </c>
      <c r="H2984" s="415" t="s">
        <v>1461</v>
      </c>
      <c r="I2984" s="417">
        <v>9.79991943E9</v>
      </c>
      <c r="J2984" s="415" t="s">
        <v>14057</v>
      </c>
      <c r="K2984" s="418" t="s">
        <v>8677</v>
      </c>
      <c r="L2984" s="13">
        <v>72.0</v>
      </c>
      <c r="M2984" s="5" t="s">
        <v>10476</v>
      </c>
      <c r="N2984" s="5" t="s">
        <v>14111</v>
      </c>
      <c r="O2984" s="408" t="s">
        <v>108</v>
      </c>
      <c r="P2984" s="15"/>
      <c r="Q2984" s="15"/>
      <c r="R2984" s="16" t="s">
        <v>634</v>
      </c>
      <c r="S2984" s="15"/>
      <c r="T2984" s="15"/>
      <c r="U2984" s="15"/>
      <c r="V2984" s="15"/>
      <c r="W2984" s="15"/>
      <c r="X2984" s="15"/>
      <c r="Y2984" s="15"/>
      <c r="Z2984" s="15"/>
      <c r="AA2984" s="15"/>
    </row>
    <row r="2985">
      <c r="A2985" s="5" t="s">
        <v>14095</v>
      </c>
      <c r="B2985" s="413" t="s">
        <v>14112</v>
      </c>
      <c r="C2985" s="414" t="s">
        <v>14113</v>
      </c>
      <c r="D2985" s="415"/>
      <c r="E2985" s="415" t="s">
        <v>7371</v>
      </c>
      <c r="F2985" s="416">
        <v>500.0</v>
      </c>
      <c r="G2985" s="412" t="s">
        <v>14114</v>
      </c>
      <c r="H2985" s="415" t="s">
        <v>44</v>
      </c>
      <c r="I2985" s="417">
        <v>9.831240439E9</v>
      </c>
      <c r="J2985" s="11" t="s">
        <v>14115</v>
      </c>
      <c r="K2985" s="418" t="s">
        <v>14116</v>
      </c>
      <c r="L2985" s="383"/>
      <c r="M2985" s="14" t="s">
        <v>14117</v>
      </c>
      <c r="N2985" s="15" t="s">
        <v>14118</v>
      </c>
      <c r="O2985" s="408" t="s">
        <v>14119</v>
      </c>
      <c r="P2985" s="15"/>
      <c r="Q2985" s="15"/>
      <c r="R2985" s="16" t="s">
        <v>634</v>
      </c>
      <c r="S2985" s="15"/>
      <c r="T2985" s="15"/>
      <c r="U2985" s="15"/>
      <c r="V2985" s="15"/>
      <c r="W2985" s="15"/>
      <c r="X2985" s="15"/>
      <c r="Y2985" s="15"/>
      <c r="Z2985" s="15"/>
      <c r="AA2985" s="15"/>
    </row>
    <row r="2986">
      <c r="A2986" s="5" t="s">
        <v>14095</v>
      </c>
      <c r="B2986" s="413" t="s">
        <v>14120</v>
      </c>
      <c r="C2986" s="419" t="s">
        <v>14121</v>
      </c>
      <c r="D2986" s="415"/>
      <c r="E2986" s="415" t="s">
        <v>152</v>
      </c>
      <c r="F2986" s="420">
        <v>500000.0</v>
      </c>
      <c r="G2986" s="412" t="s">
        <v>14122</v>
      </c>
      <c r="H2986" s="415" t="s">
        <v>4766</v>
      </c>
      <c r="I2986" s="417">
        <v>9.832886368E9</v>
      </c>
      <c r="J2986" s="415" t="s">
        <v>4008</v>
      </c>
      <c r="K2986" s="418" t="s">
        <v>2974</v>
      </c>
      <c r="L2986" s="13">
        <v>18.0</v>
      </c>
      <c r="M2986" s="14" t="s">
        <v>8722</v>
      </c>
      <c r="N2986" s="15" t="s">
        <v>14123</v>
      </c>
      <c r="O2986" s="408" t="s">
        <v>26</v>
      </c>
      <c r="P2986" s="401" t="s">
        <v>14124</v>
      </c>
      <c r="Q2986" s="15"/>
      <c r="R2986" s="16" t="s">
        <v>723</v>
      </c>
      <c r="S2986" s="15"/>
      <c r="T2986" s="15"/>
      <c r="U2986" s="15"/>
      <c r="V2986" s="15"/>
      <c r="W2986" s="15"/>
      <c r="X2986" s="15"/>
      <c r="Y2986" s="15"/>
      <c r="Z2986" s="15"/>
      <c r="AA2986" s="15"/>
    </row>
    <row r="2987">
      <c r="A2987" s="5" t="s">
        <v>14095</v>
      </c>
      <c r="B2987" s="413" t="s">
        <v>14125</v>
      </c>
      <c r="C2987" s="419" t="s">
        <v>14126</v>
      </c>
      <c r="D2987" s="415"/>
      <c r="E2987" s="415" t="s">
        <v>3918</v>
      </c>
      <c r="F2987" s="416">
        <v>500.0</v>
      </c>
      <c r="G2987" s="412" t="s">
        <v>14127</v>
      </c>
      <c r="H2987" s="415" t="s">
        <v>13379</v>
      </c>
      <c r="I2987" s="417">
        <v>9.323287563E9</v>
      </c>
      <c r="J2987" s="415" t="s">
        <v>25</v>
      </c>
      <c r="K2987" s="418" t="s">
        <v>8800</v>
      </c>
      <c r="L2987" s="13"/>
      <c r="M2987" s="11" t="s">
        <v>6155</v>
      </c>
      <c r="N2987" s="5" t="s">
        <v>14128</v>
      </c>
      <c r="O2987" s="5" t="s">
        <v>108</v>
      </c>
      <c r="P2987" s="15"/>
      <c r="Q2987" s="15"/>
      <c r="R2987" s="16" t="s">
        <v>634</v>
      </c>
      <c r="S2987" s="15"/>
      <c r="T2987" s="15"/>
      <c r="U2987" s="15"/>
      <c r="V2987" s="15"/>
      <c r="W2987" s="15"/>
      <c r="X2987" s="15"/>
      <c r="Y2987" s="15"/>
      <c r="Z2987" s="15"/>
      <c r="AA2987" s="15"/>
    </row>
    <row r="2988">
      <c r="A2988" s="5" t="s">
        <v>14095</v>
      </c>
      <c r="B2988" s="413" t="s">
        <v>14129</v>
      </c>
      <c r="C2988" s="414" t="s">
        <v>14130</v>
      </c>
      <c r="D2988" s="415"/>
      <c r="E2988" s="415" t="s">
        <v>92</v>
      </c>
      <c r="F2988" s="416">
        <v>100.0</v>
      </c>
      <c r="G2988" s="412" t="s">
        <v>14131</v>
      </c>
      <c r="H2988" s="415" t="s">
        <v>906</v>
      </c>
      <c r="I2988" s="417">
        <v>8.877288344E9</v>
      </c>
      <c r="J2988" s="415" t="s">
        <v>25</v>
      </c>
      <c r="K2988" s="418" t="s">
        <v>14132</v>
      </c>
      <c r="L2988" s="13">
        <v>105.0</v>
      </c>
      <c r="M2988" s="14" t="s">
        <v>14133</v>
      </c>
      <c r="N2988" s="15" t="s">
        <v>14134</v>
      </c>
      <c r="O2988" s="408" t="s">
        <v>10708</v>
      </c>
      <c r="P2988" s="5" t="s">
        <v>2983</v>
      </c>
      <c r="Q2988" s="15"/>
      <c r="R2988" s="16" t="s">
        <v>634</v>
      </c>
      <c r="S2988" s="15"/>
      <c r="T2988" s="15"/>
      <c r="U2988" s="15"/>
      <c r="V2988" s="15"/>
      <c r="W2988" s="15"/>
      <c r="X2988" s="15"/>
      <c r="Y2988" s="15"/>
      <c r="Z2988" s="15"/>
      <c r="AA2988" s="15"/>
    </row>
    <row r="2989">
      <c r="A2989" s="5" t="s">
        <v>14095</v>
      </c>
      <c r="B2989" s="131" t="s">
        <v>14135</v>
      </c>
      <c r="C2989" s="40" t="s">
        <v>14136</v>
      </c>
      <c r="D2989" s="11"/>
      <c r="E2989" s="11" t="s">
        <v>14137</v>
      </c>
      <c r="F2989" s="90">
        <v>2000.0</v>
      </c>
      <c r="G2989" s="321" t="s">
        <v>14138</v>
      </c>
      <c r="H2989" s="11" t="s">
        <v>495</v>
      </c>
      <c r="I2989" s="276">
        <v>8.210218982E9</v>
      </c>
      <c r="J2989" s="11" t="s">
        <v>4008</v>
      </c>
      <c r="K2989" s="12" t="s">
        <v>9170</v>
      </c>
      <c r="L2989" s="13"/>
      <c r="M2989" s="14"/>
      <c r="N2989" s="15"/>
      <c r="O2989" s="5" t="s">
        <v>26</v>
      </c>
      <c r="P2989" s="401" t="s">
        <v>14139</v>
      </c>
      <c r="Q2989" s="15"/>
      <c r="R2989" s="16" t="s">
        <v>723</v>
      </c>
      <c r="S2989" s="15"/>
      <c r="T2989" s="15"/>
      <c r="U2989" s="15"/>
      <c r="V2989" s="15"/>
      <c r="W2989" s="15"/>
      <c r="X2989" s="15"/>
      <c r="Y2989" s="15"/>
      <c r="Z2989" s="15"/>
      <c r="AA2989" s="15"/>
    </row>
    <row r="2990">
      <c r="A2990" s="5" t="s">
        <v>14095</v>
      </c>
      <c r="B2990" s="413" t="s">
        <v>14140</v>
      </c>
      <c r="C2990" s="419" t="s">
        <v>14141</v>
      </c>
      <c r="D2990" s="415"/>
      <c r="E2990" s="415" t="s">
        <v>53</v>
      </c>
      <c r="F2990" s="416">
        <v>4000.0</v>
      </c>
      <c r="G2990" s="412" t="s">
        <v>14142</v>
      </c>
      <c r="H2990" s="415" t="s">
        <v>14143</v>
      </c>
      <c r="I2990" s="417">
        <v>7.064726225E9</v>
      </c>
      <c r="J2990" s="415" t="s">
        <v>14144</v>
      </c>
      <c r="K2990" s="13" t="s">
        <v>13460</v>
      </c>
      <c r="L2990" s="13">
        <v>10.0</v>
      </c>
      <c r="M2990" s="14" t="s">
        <v>8348</v>
      </c>
      <c r="N2990" s="15" t="s">
        <v>14145</v>
      </c>
      <c r="O2990" s="408" t="s">
        <v>26</v>
      </c>
      <c r="P2990" s="5" t="s">
        <v>14146</v>
      </c>
      <c r="Q2990" s="15"/>
      <c r="R2990" s="16" t="s">
        <v>634</v>
      </c>
      <c r="S2990" s="15"/>
      <c r="T2990" s="15"/>
      <c r="U2990" s="15"/>
      <c r="V2990" s="15"/>
      <c r="W2990" s="15"/>
      <c r="X2990" s="15"/>
      <c r="Y2990" s="15"/>
      <c r="Z2990" s="15"/>
      <c r="AA2990" s="15"/>
    </row>
    <row r="2991">
      <c r="A2991" s="5" t="s">
        <v>14095</v>
      </c>
      <c r="B2991" s="413" t="s">
        <v>14147</v>
      </c>
      <c r="C2991" s="419" t="s">
        <v>14148</v>
      </c>
      <c r="D2991" s="415"/>
      <c r="E2991" s="415" t="s">
        <v>1018</v>
      </c>
      <c r="F2991" s="420">
        <v>20000.0</v>
      </c>
      <c r="G2991" s="412" t="s">
        <v>14149</v>
      </c>
      <c r="H2991" s="415" t="s">
        <v>519</v>
      </c>
      <c r="I2991" s="417">
        <v>9.879883335E9</v>
      </c>
      <c r="J2991" s="415" t="s">
        <v>8787</v>
      </c>
      <c r="K2991" s="12" t="s">
        <v>8677</v>
      </c>
      <c r="L2991" s="13"/>
      <c r="M2991" s="11" t="s">
        <v>14150</v>
      </c>
      <c r="N2991" s="15"/>
      <c r="O2991" s="5" t="s">
        <v>108</v>
      </c>
      <c r="P2991" s="5" t="s">
        <v>14151</v>
      </c>
      <c r="Q2991" s="5" t="s">
        <v>14152</v>
      </c>
      <c r="R2991" s="16" t="s">
        <v>28</v>
      </c>
      <c r="S2991" s="5"/>
      <c r="T2991" s="15"/>
      <c r="U2991" s="15"/>
      <c r="V2991" s="15"/>
      <c r="W2991" s="15"/>
      <c r="X2991" s="15"/>
      <c r="Y2991" s="15"/>
      <c r="Z2991" s="15"/>
      <c r="AA2991" s="15"/>
    </row>
    <row r="2992">
      <c r="A2992" s="5" t="s">
        <v>14095</v>
      </c>
      <c r="B2992" s="413" t="s">
        <v>14153</v>
      </c>
      <c r="C2992" s="414" t="s">
        <v>14154</v>
      </c>
      <c r="D2992" s="415"/>
      <c r="E2992" s="415" t="s">
        <v>116</v>
      </c>
      <c r="F2992" s="90">
        <v>2600.0</v>
      </c>
      <c r="G2992" s="412" t="s">
        <v>14155</v>
      </c>
      <c r="H2992" s="11" t="s">
        <v>14156</v>
      </c>
      <c r="I2992" s="276">
        <v>9.890212282E9</v>
      </c>
      <c r="J2992" s="11" t="s">
        <v>25</v>
      </c>
      <c r="K2992" s="12" t="s">
        <v>14157</v>
      </c>
      <c r="L2992" s="13"/>
      <c r="M2992" s="11" t="s">
        <v>13099</v>
      </c>
      <c r="N2992" s="15" t="s">
        <v>14158</v>
      </c>
      <c r="O2992" s="408" t="s">
        <v>108</v>
      </c>
      <c r="P2992" s="5" t="s">
        <v>14159</v>
      </c>
      <c r="Q2992" s="15"/>
      <c r="R2992" s="16" t="s">
        <v>634</v>
      </c>
      <c r="S2992" s="15"/>
      <c r="T2992" s="15"/>
      <c r="U2992" s="15"/>
      <c r="V2992" s="15"/>
      <c r="W2992" s="15"/>
      <c r="X2992" s="15"/>
      <c r="Y2992" s="15"/>
      <c r="Z2992" s="15"/>
      <c r="AA2992" s="15"/>
    </row>
    <row r="2993">
      <c r="A2993" s="5" t="s">
        <v>14160</v>
      </c>
      <c r="B2993" s="131" t="s">
        <v>14161</v>
      </c>
      <c r="C2993" s="40" t="s">
        <v>14162</v>
      </c>
      <c r="D2993" s="11"/>
      <c r="E2993" s="11" t="s">
        <v>152</v>
      </c>
      <c r="F2993" s="90">
        <v>200.0</v>
      </c>
      <c r="G2993" s="321"/>
      <c r="H2993" s="11" t="s">
        <v>49</v>
      </c>
      <c r="I2993" s="276">
        <v>9.732509681E9</v>
      </c>
      <c r="J2993" s="11" t="s">
        <v>4008</v>
      </c>
      <c r="K2993" s="12" t="s">
        <v>9039</v>
      </c>
      <c r="L2993" s="13"/>
      <c r="M2993" s="14"/>
      <c r="N2993" s="15"/>
      <c r="O2993" s="5" t="s">
        <v>14163</v>
      </c>
      <c r="P2993" s="5" t="s">
        <v>14164</v>
      </c>
      <c r="Q2993" s="15"/>
      <c r="R2993" s="16"/>
      <c r="S2993" s="15"/>
      <c r="T2993" s="15"/>
      <c r="U2993" s="15"/>
      <c r="V2993" s="15"/>
      <c r="W2993" s="15"/>
      <c r="X2993" s="15"/>
      <c r="Y2993" s="15"/>
      <c r="Z2993" s="15"/>
      <c r="AA2993" s="15"/>
    </row>
    <row r="2994">
      <c r="A2994" s="352" t="s">
        <v>14160</v>
      </c>
      <c r="B2994" s="131" t="s">
        <v>14165</v>
      </c>
      <c r="C2994" s="40" t="s">
        <v>14166</v>
      </c>
      <c r="D2994" s="11"/>
      <c r="E2994" s="11" t="s">
        <v>14167</v>
      </c>
      <c r="F2994" s="90" t="s">
        <v>14168</v>
      </c>
      <c r="G2994" s="321"/>
      <c r="H2994" s="11" t="s">
        <v>14169</v>
      </c>
      <c r="I2994" s="276"/>
      <c r="J2994" s="11" t="s">
        <v>14170</v>
      </c>
      <c r="K2994" s="12"/>
      <c r="L2994" s="12"/>
      <c r="M2994" s="11" t="s">
        <v>14171</v>
      </c>
      <c r="N2994" s="5" t="s">
        <v>14172</v>
      </c>
      <c r="O2994" s="5" t="s">
        <v>34</v>
      </c>
      <c r="P2994" s="5" t="s">
        <v>14173</v>
      </c>
      <c r="Q2994" s="5" t="s">
        <v>2144</v>
      </c>
      <c r="R2994" s="16" t="s">
        <v>723</v>
      </c>
      <c r="S2994" s="5"/>
      <c r="T2994" s="15"/>
      <c r="U2994" s="15"/>
      <c r="V2994" s="15"/>
      <c r="W2994" s="15"/>
      <c r="X2994" s="15"/>
      <c r="Y2994" s="15"/>
      <c r="Z2994" s="15"/>
      <c r="AA2994" s="15"/>
    </row>
    <row r="2995">
      <c r="A2995" s="5" t="s">
        <v>14160</v>
      </c>
      <c r="B2995" s="131" t="s">
        <v>14174</v>
      </c>
      <c r="C2995" s="40" t="s">
        <v>14175</v>
      </c>
      <c r="D2995" s="11"/>
      <c r="E2995" s="11" t="s">
        <v>207</v>
      </c>
      <c r="F2995" s="421">
        <v>20000.0</v>
      </c>
      <c r="G2995" s="321"/>
      <c r="H2995" s="11" t="s">
        <v>44</v>
      </c>
      <c r="I2995" s="276"/>
      <c r="J2995" s="11" t="s">
        <v>8737</v>
      </c>
      <c r="K2995" s="13"/>
      <c r="L2995" s="13"/>
      <c r="M2995" s="14"/>
      <c r="N2995" s="15"/>
      <c r="O2995" s="5" t="s">
        <v>26</v>
      </c>
      <c r="P2995" s="5" t="s">
        <v>14176</v>
      </c>
      <c r="Q2995" s="15"/>
      <c r="R2995" s="422"/>
      <c r="S2995" s="15"/>
      <c r="T2995" s="15"/>
      <c r="U2995" s="15"/>
      <c r="V2995" s="15"/>
      <c r="W2995" s="15"/>
      <c r="X2995" s="15"/>
      <c r="Y2995" s="15"/>
      <c r="Z2995" s="15"/>
      <c r="AA2995" s="15"/>
    </row>
    <row r="2996">
      <c r="A2996" s="5" t="s">
        <v>14160</v>
      </c>
      <c r="B2996" s="131" t="s">
        <v>14177</v>
      </c>
      <c r="C2996" s="40" t="s">
        <v>2041</v>
      </c>
      <c r="D2996" s="11"/>
      <c r="E2996" s="11" t="s">
        <v>14178</v>
      </c>
      <c r="F2996" s="90" t="s">
        <v>14179</v>
      </c>
      <c r="G2996" s="321"/>
      <c r="H2996" s="11" t="s">
        <v>44</v>
      </c>
      <c r="I2996" s="276"/>
      <c r="J2996" s="11" t="s">
        <v>14170</v>
      </c>
      <c r="K2996" s="12"/>
      <c r="L2996" s="12"/>
      <c r="M2996" s="11" t="s">
        <v>14180</v>
      </c>
      <c r="N2996" s="5" t="s">
        <v>14181</v>
      </c>
      <c r="O2996" s="5" t="s">
        <v>14119</v>
      </c>
      <c r="P2996" s="15"/>
      <c r="Q2996" s="15"/>
      <c r="R2996" s="16"/>
      <c r="S2996" s="15"/>
      <c r="T2996" s="15"/>
      <c r="U2996" s="15"/>
      <c r="V2996" s="15"/>
      <c r="W2996" s="15"/>
      <c r="X2996" s="15"/>
      <c r="Y2996" s="15"/>
      <c r="Z2996" s="15"/>
      <c r="AA2996" s="15"/>
    </row>
    <row r="2997">
      <c r="A2997" s="5" t="s">
        <v>14160</v>
      </c>
      <c r="B2997" s="131" t="s">
        <v>14182</v>
      </c>
      <c r="C2997" s="40" t="s">
        <v>14183</v>
      </c>
      <c r="D2997" s="11"/>
      <c r="E2997" s="11" t="s">
        <v>794</v>
      </c>
      <c r="F2997" s="9">
        <v>10000.0</v>
      </c>
      <c r="G2997" s="321"/>
      <c r="H2997" s="11" t="s">
        <v>44</v>
      </c>
      <c r="I2997" s="276"/>
      <c r="J2997" s="11" t="s">
        <v>25</v>
      </c>
      <c r="K2997" s="12"/>
      <c r="L2997" s="12"/>
      <c r="M2997" s="11" t="s">
        <v>9918</v>
      </c>
      <c r="N2997" s="5" t="s">
        <v>14184</v>
      </c>
      <c r="O2997" s="5" t="s">
        <v>26</v>
      </c>
      <c r="P2997" s="5" t="s">
        <v>14185</v>
      </c>
      <c r="Q2997" s="15"/>
      <c r="R2997" s="16" t="s">
        <v>723</v>
      </c>
      <c r="S2997" s="15"/>
      <c r="T2997" s="15"/>
      <c r="U2997" s="15"/>
      <c r="V2997" s="15"/>
      <c r="W2997" s="15"/>
      <c r="X2997" s="15"/>
      <c r="Y2997" s="15"/>
      <c r="Z2997" s="15"/>
      <c r="AA2997" s="15"/>
    </row>
    <row r="2998">
      <c r="A2998" s="5" t="s">
        <v>14160</v>
      </c>
      <c r="B2998" s="131" t="s">
        <v>14186</v>
      </c>
      <c r="C2998" s="40" t="s">
        <v>14187</v>
      </c>
      <c r="D2998" s="11"/>
      <c r="E2998" s="11" t="s">
        <v>5502</v>
      </c>
      <c r="F2998" s="9">
        <v>10000.0</v>
      </c>
      <c r="G2998" s="321"/>
      <c r="H2998" s="11" t="s">
        <v>14188</v>
      </c>
      <c r="I2998" s="276"/>
      <c r="J2998" s="11" t="s">
        <v>4008</v>
      </c>
      <c r="K2998" s="12"/>
      <c r="L2998" s="12"/>
      <c r="M2998" s="11" t="s">
        <v>14189</v>
      </c>
      <c r="N2998" s="5" t="s">
        <v>14190</v>
      </c>
      <c r="O2998" s="5" t="s">
        <v>108</v>
      </c>
      <c r="P2998" s="15"/>
      <c r="Q2998" s="15"/>
      <c r="R2998" s="16"/>
      <c r="S2998" s="15"/>
      <c r="T2998" s="15"/>
      <c r="U2998" s="15"/>
      <c r="V2998" s="15"/>
      <c r="W2998" s="15"/>
      <c r="X2998" s="15"/>
      <c r="Y2998" s="15"/>
      <c r="Z2998" s="15"/>
      <c r="AA2998" s="15"/>
    </row>
    <row r="2999">
      <c r="A2999" s="5" t="s">
        <v>14160</v>
      </c>
      <c r="B2999" s="131" t="s">
        <v>14191</v>
      </c>
      <c r="C2999" s="40" t="s">
        <v>14192</v>
      </c>
      <c r="D2999" s="11"/>
      <c r="E2999" s="11" t="s">
        <v>152</v>
      </c>
      <c r="F2999" s="9">
        <v>30000.0</v>
      </c>
      <c r="G2999" s="321"/>
      <c r="H2999" s="11" t="s">
        <v>99</v>
      </c>
      <c r="I2999" s="423"/>
      <c r="J2999" s="14"/>
      <c r="K2999" s="12"/>
      <c r="L2999" s="12"/>
      <c r="M2999" s="11" t="s">
        <v>10768</v>
      </c>
      <c r="N2999" s="5" t="s">
        <v>14193</v>
      </c>
      <c r="O2999" s="5" t="s">
        <v>26</v>
      </c>
      <c r="P2999" s="5" t="s">
        <v>14194</v>
      </c>
      <c r="Q2999" s="15"/>
      <c r="R2999" s="16" t="s">
        <v>723</v>
      </c>
      <c r="S2999" s="15"/>
      <c r="T2999" s="15"/>
      <c r="U2999" s="15"/>
      <c r="V2999" s="15"/>
      <c r="W2999" s="15"/>
      <c r="X2999" s="15"/>
      <c r="Y2999" s="15"/>
      <c r="Z2999" s="15"/>
      <c r="AA2999" s="15"/>
    </row>
    <row r="3000">
      <c r="A3000" s="5" t="s">
        <v>14160</v>
      </c>
      <c r="B3000" s="131" t="s">
        <v>14195</v>
      </c>
      <c r="C3000" s="40" t="s">
        <v>11602</v>
      </c>
      <c r="D3000" s="11"/>
      <c r="E3000" s="11" t="s">
        <v>207</v>
      </c>
      <c r="F3000" s="90">
        <v>5000.0</v>
      </c>
      <c r="G3000" s="321"/>
      <c r="H3000" s="11" t="s">
        <v>44</v>
      </c>
      <c r="I3000" s="276"/>
      <c r="J3000" s="11" t="s">
        <v>25</v>
      </c>
      <c r="K3000" s="13"/>
      <c r="L3000" s="13"/>
      <c r="M3000" s="14"/>
      <c r="N3000" s="15"/>
      <c r="O3000" s="5" t="s">
        <v>26</v>
      </c>
      <c r="P3000" s="15"/>
      <c r="Q3000" s="15"/>
      <c r="R3000" s="422"/>
      <c r="S3000" s="15"/>
      <c r="T3000" s="15"/>
      <c r="U3000" s="15"/>
      <c r="V3000" s="15"/>
      <c r="W3000" s="15"/>
      <c r="X3000" s="15"/>
      <c r="Y3000" s="15"/>
      <c r="Z3000" s="15"/>
      <c r="AA3000" s="15"/>
    </row>
    <row r="3001">
      <c r="A3001" s="5" t="s">
        <v>14160</v>
      </c>
      <c r="B3001" s="131" t="s">
        <v>14196</v>
      </c>
      <c r="C3001" s="40" t="s">
        <v>14197</v>
      </c>
      <c r="D3001" s="11"/>
      <c r="E3001" s="11" t="s">
        <v>14198</v>
      </c>
      <c r="F3001" s="90">
        <v>1000.0</v>
      </c>
      <c r="G3001" s="321"/>
      <c r="H3001" s="11" t="s">
        <v>44</v>
      </c>
      <c r="I3001" s="276"/>
      <c r="J3001" s="11" t="s">
        <v>4008</v>
      </c>
      <c r="K3001" s="13"/>
      <c r="L3001" s="12">
        <v>23.0</v>
      </c>
      <c r="M3001" s="14"/>
      <c r="N3001" s="15"/>
      <c r="O3001" s="5" t="s">
        <v>26</v>
      </c>
      <c r="P3001" s="5" t="s">
        <v>14199</v>
      </c>
      <c r="Q3001" s="15"/>
      <c r="R3001" s="16" t="s">
        <v>723</v>
      </c>
      <c r="S3001" s="15"/>
      <c r="T3001" s="15"/>
      <c r="U3001" s="15"/>
      <c r="V3001" s="15"/>
      <c r="W3001" s="15"/>
      <c r="X3001" s="15"/>
      <c r="Y3001" s="15"/>
      <c r="Z3001" s="15"/>
      <c r="AA3001" s="15"/>
    </row>
    <row r="3002">
      <c r="A3002" s="5" t="s">
        <v>14160</v>
      </c>
      <c r="B3002" s="131" t="s">
        <v>14200</v>
      </c>
      <c r="C3002" s="40" t="s">
        <v>14201</v>
      </c>
      <c r="D3002" s="11"/>
      <c r="E3002" s="11" t="s">
        <v>794</v>
      </c>
      <c r="F3002" s="90">
        <v>2000.0</v>
      </c>
      <c r="G3002" s="321"/>
      <c r="H3002" s="11" t="s">
        <v>44</v>
      </c>
      <c r="I3002" s="276"/>
      <c r="J3002" s="11" t="s">
        <v>4008</v>
      </c>
      <c r="K3002" s="12"/>
      <c r="L3002" s="12"/>
      <c r="M3002" s="11" t="s">
        <v>7965</v>
      </c>
      <c r="N3002" s="5" t="s">
        <v>14202</v>
      </c>
      <c r="O3002" s="5" t="s">
        <v>34</v>
      </c>
      <c r="P3002" s="11" t="s">
        <v>14203</v>
      </c>
      <c r="Q3002" s="5" t="s">
        <v>55</v>
      </c>
      <c r="R3002" s="16" t="s">
        <v>723</v>
      </c>
      <c r="S3002" s="5"/>
      <c r="T3002" s="15"/>
      <c r="U3002" s="15"/>
      <c r="V3002" s="15"/>
      <c r="W3002" s="15"/>
      <c r="X3002" s="15"/>
      <c r="Y3002" s="15"/>
      <c r="Z3002" s="15"/>
      <c r="AA3002" s="15"/>
    </row>
    <row r="3003">
      <c r="A3003" s="5" t="s">
        <v>14160</v>
      </c>
      <c r="B3003" s="131" t="s">
        <v>14204</v>
      </c>
      <c r="C3003" s="40" t="s">
        <v>14205</v>
      </c>
      <c r="D3003" s="11"/>
      <c r="E3003" s="11" t="s">
        <v>11414</v>
      </c>
      <c r="F3003" s="90">
        <v>1000.0</v>
      </c>
      <c r="G3003" s="321"/>
      <c r="H3003" s="11" t="s">
        <v>14206</v>
      </c>
      <c r="I3003" s="276"/>
      <c r="J3003" s="11" t="s">
        <v>14207</v>
      </c>
      <c r="K3003" s="13"/>
      <c r="L3003" s="13"/>
      <c r="M3003" s="14"/>
      <c r="N3003" s="15"/>
      <c r="O3003" s="5" t="s">
        <v>108</v>
      </c>
      <c r="P3003" s="5" t="s">
        <v>14208</v>
      </c>
      <c r="Q3003" s="15"/>
      <c r="R3003" s="422"/>
      <c r="S3003" s="15"/>
      <c r="T3003" s="15"/>
      <c r="U3003" s="15"/>
      <c r="V3003" s="15"/>
      <c r="W3003" s="15"/>
      <c r="X3003" s="15"/>
      <c r="Y3003" s="15"/>
      <c r="Z3003" s="15"/>
      <c r="AA3003" s="15"/>
    </row>
    <row r="3004">
      <c r="A3004" s="5" t="s">
        <v>14160</v>
      </c>
      <c r="B3004" s="131" t="s">
        <v>14209</v>
      </c>
      <c r="C3004" s="40" t="s">
        <v>14210</v>
      </c>
      <c r="D3004" s="11"/>
      <c r="E3004" s="11" t="s">
        <v>152</v>
      </c>
      <c r="F3004" s="90">
        <v>1000.0</v>
      </c>
      <c r="G3004" s="321"/>
      <c r="H3004" s="11" t="s">
        <v>906</v>
      </c>
      <c r="I3004" s="276"/>
      <c r="J3004" s="11" t="s">
        <v>12632</v>
      </c>
      <c r="K3004" s="12"/>
      <c r="L3004" s="12"/>
      <c r="M3004" s="11" t="s">
        <v>10768</v>
      </c>
      <c r="N3004" s="5" t="s">
        <v>14211</v>
      </c>
      <c r="O3004" s="5" t="s">
        <v>108</v>
      </c>
      <c r="P3004" s="5" t="s">
        <v>14212</v>
      </c>
      <c r="Q3004" s="15"/>
      <c r="R3004" s="422"/>
      <c r="S3004" s="15"/>
      <c r="T3004" s="15"/>
      <c r="U3004" s="15"/>
      <c r="V3004" s="15"/>
      <c r="W3004" s="15"/>
      <c r="X3004" s="15"/>
      <c r="Y3004" s="15"/>
      <c r="Z3004" s="15"/>
      <c r="AA3004" s="15"/>
    </row>
    <row r="3005">
      <c r="A3005" s="5" t="s">
        <v>14160</v>
      </c>
      <c r="B3005" s="131" t="s">
        <v>14213</v>
      </c>
      <c r="C3005" s="40" t="s">
        <v>14214</v>
      </c>
      <c r="D3005" s="11"/>
      <c r="E3005" s="11" t="s">
        <v>14215</v>
      </c>
      <c r="F3005" s="90" t="s">
        <v>14216</v>
      </c>
      <c r="G3005" s="321"/>
      <c r="H3005" s="11" t="s">
        <v>44</v>
      </c>
      <c r="I3005" s="276"/>
      <c r="J3005" s="11" t="s">
        <v>14217</v>
      </c>
      <c r="K3005" s="12"/>
      <c r="L3005" s="12"/>
      <c r="M3005" s="11" t="s">
        <v>14218</v>
      </c>
      <c r="N3005" s="5" t="s">
        <v>14219</v>
      </c>
      <c r="O3005" s="5" t="s">
        <v>26</v>
      </c>
      <c r="P3005" s="15"/>
      <c r="Q3005" s="15"/>
      <c r="R3005" s="422"/>
      <c r="S3005" s="15"/>
      <c r="T3005" s="15"/>
      <c r="U3005" s="15"/>
      <c r="V3005" s="15"/>
      <c r="W3005" s="15"/>
      <c r="X3005" s="15"/>
      <c r="Y3005" s="15"/>
      <c r="Z3005" s="15"/>
      <c r="AA3005" s="15"/>
    </row>
    <row r="3006">
      <c r="A3006" s="5" t="s">
        <v>14220</v>
      </c>
      <c r="B3006" s="354" t="s">
        <v>14221</v>
      </c>
      <c r="C3006" s="40" t="s">
        <v>14222</v>
      </c>
      <c r="D3006" s="40"/>
      <c r="E3006" s="40" t="s">
        <v>4096</v>
      </c>
      <c r="F3006" s="296">
        <v>5000.0</v>
      </c>
      <c r="G3006" s="321"/>
      <c r="H3006" s="11" t="s">
        <v>184</v>
      </c>
      <c r="I3006" s="276"/>
      <c r="J3006" s="11" t="s">
        <v>14223</v>
      </c>
      <c r="K3006" s="12"/>
      <c r="L3006" s="12"/>
      <c r="M3006" s="11" t="s">
        <v>9587</v>
      </c>
      <c r="N3006" s="5" t="s">
        <v>14224</v>
      </c>
      <c r="O3006" s="352" t="s">
        <v>26</v>
      </c>
      <c r="P3006" s="5" t="s">
        <v>2983</v>
      </c>
      <c r="Q3006" s="5" t="s">
        <v>2983</v>
      </c>
      <c r="R3006" s="16" t="s">
        <v>723</v>
      </c>
      <c r="S3006" s="5"/>
      <c r="T3006" s="15"/>
      <c r="U3006" s="15"/>
      <c r="V3006" s="15"/>
      <c r="W3006" s="15"/>
      <c r="X3006" s="15"/>
      <c r="Y3006" s="15"/>
      <c r="Z3006" s="15"/>
      <c r="AA3006" s="15"/>
    </row>
    <row r="3007">
      <c r="A3007" s="5" t="s">
        <v>14220</v>
      </c>
      <c r="B3007" s="131" t="s">
        <v>14225</v>
      </c>
      <c r="C3007" s="40" t="s">
        <v>14226</v>
      </c>
      <c r="D3007" s="11"/>
      <c r="E3007" s="11" t="s">
        <v>4240</v>
      </c>
      <c r="F3007" s="90">
        <v>1000.0</v>
      </c>
      <c r="G3007" s="321"/>
      <c r="H3007" s="11" t="s">
        <v>906</v>
      </c>
      <c r="I3007" s="276"/>
      <c r="J3007" s="11" t="s">
        <v>25</v>
      </c>
      <c r="K3007" s="12"/>
      <c r="L3007" s="12"/>
      <c r="M3007" s="11" t="s">
        <v>9034</v>
      </c>
      <c r="N3007" s="5" t="s">
        <v>14227</v>
      </c>
      <c r="O3007" s="5" t="s">
        <v>108</v>
      </c>
      <c r="P3007" s="15"/>
      <c r="Q3007" s="15"/>
      <c r="R3007" s="422"/>
      <c r="S3007" s="15"/>
      <c r="T3007" s="15"/>
      <c r="U3007" s="15"/>
      <c r="V3007" s="15"/>
      <c r="W3007" s="15"/>
      <c r="X3007" s="15"/>
      <c r="Y3007" s="15"/>
      <c r="Z3007" s="15"/>
      <c r="AA3007" s="15"/>
    </row>
    <row r="3008">
      <c r="A3008" s="5" t="s">
        <v>14220</v>
      </c>
      <c r="B3008" s="131" t="s">
        <v>14228</v>
      </c>
      <c r="C3008" s="40" t="s">
        <v>14229</v>
      </c>
      <c r="D3008" s="11"/>
      <c r="E3008" s="11" t="s">
        <v>207</v>
      </c>
      <c r="F3008" s="9">
        <v>10000.0</v>
      </c>
      <c r="G3008" s="321"/>
      <c r="H3008" s="11" t="s">
        <v>268</v>
      </c>
      <c r="I3008" s="276"/>
      <c r="J3008" s="11" t="s">
        <v>8737</v>
      </c>
      <c r="K3008" s="13"/>
      <c r="L3008" s="13"/>
      <c r="M3008" s="14"/>
      <c r="N3008" s="15"/>
      <c r="O3008" s="5" t="s">
        <v>26</v>
      </c>
      <c r="P3008" s="15"/>
      <c r="Q3008" s="15"/>
      <c r="R3008" s="422"/>
      <c r="S3008" s="15"/>
      <c r="T3008" s="15"/>
      <c r="U3008" s="15"/>
      <c r="V3008" s="15"/>
      <c r="W3008" s="15"/>
      <c r="X3008" s="15"/>
      <c r="Y3008" s="15"/>
      <c r="Z3008" s="15"/>
      <c r="AA3008" s="15"/>
    </row>
    <row r="3009">
      <c r="A3009" s="352" t="s">
        <v>14220</v>
      </c>
      <c r="B3009" s="131" t="s">
        <v>14230</v>
      </c>
      <c r="C3009" s="40" t="s">
        <v>14231</v>
      </c>
      <c r="D3009" s="11"/>
      <c r="E3009" s="11" t="s">
        <v>444</v>
      </c>
      <c r="F3009" s="90">
        <v>200.0</v>
      </c>
      <c r="G3009" s="321"/>
      <c r="H3009" s="11" t="s">
        <v>14232</v>
      </c>
      <c r="I3009" s="276"/>
      <c r="J3009" s="11" t="s">
        <v>25</v>
      </c>
      <c r="K3009" s="12"/>
      <c r="L3009" s="12"/>
      <c r="M3009" s="11" t="s">
        <v>9776</v>
      </c>
      <c r="N3009" s="5" t="s">
        <v>14233</v>
      </c>
      <c r="O3009" s="5" t="s">
        <v>14119</v>
      </c>
      <c r="P3009" s="15"/>
      <c r="Q3009" s="5" t="s">
        <v>14234</v>
      </c>
      <c r="R3009" s="16" t="s">
        <v>723</v>
      </c>
      <c r="S3009" s="5"/>
      <c r="T3009" s="15"/>
      <c r="U3009" s="15"/>
      <c r="V3009" s="15"/>
      <c r="W3009" s="15"/>
      <c r="X3009" s="15"/>
      <c r="Y3009" s="15"/>
      <c r="Z3009" s="15"/>
      <c r="AA3009" s="15"/>
    </row>
    <row r="3010">
      <c r="A3010" s="5" t="s">
        <v>14220</v>
      </c>
      <c r="B3010" s="131" t="s">
        <v>14235</v>
      </c>
      <c r="C3010" s="40" t="s">
        <v>14236</v>
      </c>
      <c r="D3010" s="11"/>
      <c r="E3010" s="11" t="s">
        <v>167</v>
      </c>
      <c r="F3010" s="9">
        <v>250000.0</v>
      </c>
      <c r="G3010" s="321"/>
      <c r="H3010" s="11" t="s">
        <v>1029</v>
      </c>
      <c r="I3010" s="276"/>
      <c r="J3010" s="11" t="s">
        <v>12259</v>
      </c>
      <c r="K3010" s="12"/>
      <c r="L3010" s="12"/>
      <c r="M3010" s="11" t="s">
        <v>9949</v>
      </c>
      <c r="N3010" s="5" t="s">
        <v>14237</v>
      </c>
      <c r="O3010" s="5" t="s">
        <v>108</v>
      </c>
      <c r="P3010" s="15"/>
      <c r="Q3010" s="15"/>
      <c r="R3010" s="422"/>
      <c r="S3010" s="15"/>
      <c r="T3010" s="15"/>
      <c r="U3010" s="15"/>
      <c r="V3010" s="15"/>
      <c r="W3010" s="15"/>
      <c r="X3010" s="15"/>
      <c r="Y3010" s="15"/>
      <c r="Z3010" s="15"/>
      <c r="AA3010" s="15"/>
    </row>
    <row r="3011">
      <c r="A3011" s="5" t="s">
        <v>14220</v>
      </c>
      <c r="B3011" s="131" t="s">
        <v>14238</v>
      </c>
      <c r="C3011" s="62" t="s">
        <v>14239</v>
      </c>
      <c r="D3011" s="11"/>
      <c r="E3011" s="11" t="s">
        <v>189</v>
      </c>
      <c r="F3011" s="90">
        <v>2500.0</v>
      </c>
      <c r="G3011" s="321"/>
      <c r="H3011" s="11" t="s">
        <v>44</v>
      </c>
      <c r="I3011" s="276"/>
      <c r="J3011" s="11" t="s">
        <v>25</v>
      </c>
      <c r="K3011" s="12"/>
      <c r="L3011" s="12"/>
      <c r="M3011" s="11" t="s">
        <v>9034</v>
      </c>
      <c r="N3011" s="5" t="s">
        <v>14240</v>
      </c>
      <c r="O3011" s="5" t="s">
        <v>26</v>
      </c>
      <c r="P3011" s="284" t="s">
        <v>14241</v>
      </c>
      <c r="Q3011" s="15"/>
      <c r="R3011" s="422"/>
      <c r="S3011" s="15"/>
      <c r="T3011" s="15"/>
      <c r="U3011" s="15"/>
      <c r="V3011" s="15"/>
      <c r="W3011" s="15"/>
      <c r="X3011" s="15"/>
      <c r="Y3011" s="15"/>
      <c r="Z3011" s="15"/>
      <c r="AA3011" s="15"/>
    </row>
    <row r="3012">
      <c r="A3012" s="5" t="s">
        <v>14220</v>
      </c>
      <c r="B3012" s="354" t="s">
        <v>14242</v>
      </c>
      <c r="C3012" s="62" t="s">
        <v>14243</v>
      </c>
      <c r="D3012" s="40"/>
      <c r="E3012" s="40" t="s">
        <v>4096</v>
      </c>
      <c r="F3012" s="90">
        <v>1000.0</v>
      </c>
      <c r="G3012" s="321"/>
      <c r="H3012" s="11" t="s">
        <v>44</v>
      </c>
      <c r="I3012" s="276"/>
      <c r="J3012" s="11" t="s">
        <v>4008</v>
      </c>
      <c r="K3012" s="12"/>
      <c r="L3012" s="12"/>
      <c r="M3012" s="11" t="s">
        <v>9707</v>
      </c>
      <c r="N3012" s="5" t="s">
        <v>14244</v>
      </c>
      <c r="O3012" s="5" t="s">
        <v>26</v>
      </c>
      <c r="P3012" s="367" t="s">
        <v>14245</v>
      </c>
      <c r="Q3012" s="401" t="s">
        <v>14246</v>
      </c>
      <c r="R3012" s="16" t="s">
        <v>723</v>
      </c>
      <c r="S3012" s="401"/>
      <c r="T3012" s="15"/>
      <c r="U3012" s="15"/>
      <c r="V3012" s="15"/>
      <c r="W3012" s="15"/>
      <c r="X3012" s="15"/>
      <c r="Y3012" s="15"/>
      <c r="Z3012" s="15"/>
      <c r="AA3012" s="15"/>
    </row>
    <row r="3013">
      <c r="A3013" s="5" t="s">
        <v>14220</v>
      </c>
      <c r="B3013" s="397" t="s">
        <v>8754</v>
      </c>
      <c r="C3013" s="40" t="s">
        <v>14247</v>
      </c>
      <c r="D3013" s="11"/>
      <c r="E3013" s="11" t="s">
        <v>7197</v>
      </c>
      <c r="F3013" s="90">
        <v>2500.0</v>
      </c>
      <c r="G3013" s="321"/>
      <c r="H3013" s="11" t="s">
        <v>158</v>
      </c>
      <c r="I3013" s="276"/>
      <c r="J3013" s="11" t="s">
        <v>4008</v>
      </c>
      <c r="K3013" s="12"/>
      <c r="L3013" s="12"/>
      <c r="M3013" s="11" t="s">
        <v>9587</v>
      </c>
      <c r="N3013" s="5" t="s">
        <v>14248</v>
      </c>
      <c r="O3013" s="5" t="s">
        <v>26</v>
      </c>
      <c r="P3013" s="5" t="s">
        <v>8132</v>
      </c>
      <c r="Q3013" s="15"/>
      <c r="R3013" s="422"/>
      <c r="S3013" s="15"/>
      <c r="T3013" s="15"/>
      <c r="U3013" s="15"/>
      <c r="V3013" s="15"/>
      <c r="W3013" s="15"/>
      <c r="X3013" s="15"/>
      <c r="Y3013" s="15"/>
      <c r="Z3013" s="15"/>
      <c r="AA3013" s="15"/>
    </row>
    <row r="3014">
      <c r="A3014" s="5" t="s">
        <v>14220</v>
      </c>
      <c r="B3014" s="131" t="s">
        <v>14249</v>
      </c>
      <c r="C3014" s="40" t="s">
        <v>14250</v>
      </c>
      <c r="D3014" s="11"/>
      <c r="E3014" s="11" t="s">
        <v>92</v>
      </c>
      <c r="F3014" s="9">
        <v>100000.0</v>
      </c>
      <c r="G3014" s="321"/>
      <c r="H3014" s="11" t="s">
        <v>13438</v>
      </c>
      <c r="I3014" s="276"/>
      <c r="J3014" s="11" t="s">
        <v>4008</v>
      </c>
      <c r="K3014" s="12"/>
      <c r="L3014" s="12"/>
      <c r="M3014" s="11" t="s">
        <v>13099</v>
      </c>
      <c r="N3014" s="5" t="s">
        <v>14251</v>
      </c>
      <c r="O3014" s="5" t="s">
        <v>108</v>
      </c>
      <c r="P3014" s="15"/>
      <c r="Q3014" s="15"/>
      <c r="R3014" s="422"/>
      <c r="S3014" s="15"/>
      <c r="T3014" s="15"/>
      <c r="U3014" s="15"/>
      <c r="V3014" s="15"/>
      <c r="W3014" s="15"/>
      <c r="X3014" s="15"/>
      <c r="Y3014" s="15"/>
      <c r="Z3014" s="15"/>
      <c r="AA3014" s="15"/>
    </row>
    <row r="3015">
      <c r="A3015" s="5" t="s">
        <v>14220</v>
      </c>
      <c r="B3015" s="131" t="s">
        <v>14252</v>
      </c>
      <c r="C3015" s="40" t="s">
        <v>14253</v>
      </c>
      <c r="D3015" s="11"/>
      <c r="E3015" s="11" t="s">
        <v>5502</v>
      </c>
      <c r="F3015" s="90">
        <v>1000.0</v>
      </c>
      <c r="G3015" s="321"/>
      <c r="H3015" s="11" t="s">
        <v>13649</v>
      </c>
      <c r="I3015" s="276"/>
      <c r="J3015" s="11" t="s">
        <v>4008</v>
      </c>
      <c r="K3015" s="13"/>
      <c r="L3015" s="13"/>
      <c r="M3015" s="14"/>
      <c r="N3015" s="15"/>
      <c r="O3015" s="5" t="s">
        <v>108</v>
      </c>
      <c r="P3015" s="5" t="s">
        <v>14254</v>
      </c>
      <c r="Q3015" s="15"/>
      <c r="R3015" s="422"/>
      <c r="S3015" s="15"/>
      <c r="T3015" s="15"/>
      <c r="U3015" s="15"/>
      <c r="V3015" s="15"/>
      <c r="W3015" s="15"/>
      <c r="X3015" s="15"/>
      <c r="Y3015" s="15"/>
      <c r="Z3015" s="15"/>
      <c r="AA3015" s="15"/>
    </row>
    <row r="3016">
      <c r="A3016" s="5" t="s">
        <v>14220</v>
      </c>
      <c r="B3016" s="131" t="s">
        <v>14255</v>
      </c>
      <c r="C3016" s="40" t="s">
        <v>14256</v>
      </c>
      <c r="D3016" s="11"/>
      <c r="E3016" s="11" t="s">
        <v>189</v>
      </c>
      <c r="F3016" s="9">
        <v>150000.0</v>
      </c>
      <c r="G3016" s="321"/>
      <c r="H3016" s="11" t="s">
        <v>906</v>
      </c>
      <c r="I3016" s="276"/>
      <c r="J3016" s="11" t="s">
        <v>7221</v>
      </c>
      <c r="K3016" s="13"/>
      <c r="L3016" s="13"/>
      <c r="M3016" s="14"/>
      <c r="N3016" s="15"/>
      <c r="O3016" s="5" t="s">
        <v>108</v>
      </c>
      <c r="P3016" s="15"/>
      <c r="Q3016" s="15"/>
      <c r="R3016" s="422"/>
      <c r="S3016" s="15"/>
      <c r="T3016" s="15"/>
      <c r="U3016" s="15"/>
      <c r="V3016" s="15"/>
      <c r="W3016" s="15"/>
      <c r="X3016" s="15"/>
      <c r="Y3016" s="15"/>
      <c r="Z3016" s="15"/>
      <c r="AA3016" s="15"/>
    </row>
    <row r="3017">
      <c r="A3017" s="5" t="s">
        <v>14220</v>
      </c>
      <c r="B3017" s="131" t="s">
        <v>14257</v>
      </c>
      <c r="C3017" s="40" t="s">
        <v>14258</v>
      </c>
      <c r="D3017" s="11"/>
      <c r="E3017" s="11" t="s">
        <v>576</v>
      </c>
      <c r="F3017" s="9">
        <v>50000.0</v>
      </c>
      <c r="G3017" s="321"/>
      <c r="H3017" s="11" t="s">
        <v>44</v>
      </c>
      <c r="I3017" s="276"/>
      <c r="J3017" s="11" t="s">
        <v>4008</v>
      </c>
      <c r="K3017" s="13"/>
      <c r="L3017" s="13"/>
      <c r="M3017" s="14"/>
      <c r="N3017" s="15"/>
      <c r="O3017" s="5" t="s">
        <v>26</v>
      </c>
      <c r="P3017" s="15"/>
      <c r="Q3017" s="15"/>
      <c r="R3017" s="422"/>
      <c r="S3017" s="15"/>
      <c r="T3017" s="15"/>
      <c r="U3017" s="15"/>
      <c r="V3017" s="15"/>
      <c r="W3017" s="15"/>
      <c r="X3017" s="15"/>
      <c r="Y3017" s="15"/>
      <c r="Z3017" s="15"/>
      <c r="AA3017" s="15"/>
    </row>
    <row r="3018">
      <c r="A3018" s="5" t="s">
        <v>14220</v>
      </c>
      <c r="B3018" s="131" t="s">
        <v>14259</v>
      </c>
      <c r="C3018" s="40" t="s">
        <v>14260</v>
      </c>
      <c r="D3018" s="11"/>
      <c r="E3018" s="11" t="s">
        <v>14261</v>
      </c>
      <c r="F3018" s="9">
        <v>10000.0</v>
      </c>
      <c r="G3018" s="321"/>
      <c r="H3018" s="11" t="s">
        <v>906</v>
      </c>
      <c r="I3018" s="276"/>
      <c r="J3018" s="11" t="s">
        <v>14262</v>
      </c>
      <c r="K3018" s="13"/>
      <c r="L3018" s="13"/>
      <c r="M3018" s="14"/>
      <c r="N3018" s="15"/>
      <c r="O3018" s="5" t="s">
        <v>108</v>
      </c>
      <c r="P3018" s="15"/>
      <c r="Q3018" s="15"/>
      <c r="R3018" s="422"/>
      <c r="S3018" s="15"/>
      <c r="T3018" s="15"/>
      <c r="U3018" s="15"/>
      <c r="V3018" s="15"/>
      <c r="W3018" s="15"/>
      <c r="X3018" s="15"/>
      <c r="Y3018" s="15"/>
      <c r="Z3018" s="15"/>
      <c r="AA3018" s="15"/>
    </row>
    <row r="3019">
      <c r="A3019" s="5" t="s">
        <v>14220</v>
      </c>
      <c r="B3019" s="131" t="s">
        <v>14263</v>
      </c>
      <c r="C3019" s="40" t="s">
        <v>14264</v>
      </c>
      <c r="D3019" s="11"/>
      <c r="E3019" s="11" t="s">
        <v>53</v>
      </c>
      <c r="F3019" s="90">
        <v>2000.0</v>
      </c>
      <c r="G3019" s="321"/>
      <c r="H3019" s="11" t="s">
        <v>184</v>
      </c>
      <c r="I3019" s="276"/>
      <c r="J3019" s="11" t="s">
        <v>4008</v>
      </c>
      <c r="K3019" s="12"/>
      <c r="L3019" s="12"/>
      <c r="M3019" s="11" t="s">
        <v>13461</v>
      </c>
      <c r="N3019" s="5" t="s">
        <v>14265</v>
      </c>
      <c r="O3019" s="5" t="s">
        <v>26</v>
      </c>
      <c r="P3019" s="15"/>
      <c r="Q3019" s="15"/>
      <c r="R3019" s="422"/>
      <c r="S3019" s="15"/>
      <c r="T3019" s="15"/>
      <c r="U3019" s="15"/>
      <c r="V3019" s="15"/>
      <c r="W3019" s="15"/>
      <c r="X3019" s="15"/>
      <c r="Y3019" s="15"/>
      <c r="Z3019" s="15"/>
      <c r="AA3019" s="15"/>
    </row>
    <row r="3020">
      <c r="A3020" s="5" t="s">
        <v>14220</v>
      </c>
      <c r="B3020" s="131" t="s">
        <v>14266</v>
      </c>
      <c r="C3020" s="62" t="s">
        <v>14267</v>
      </c>
      <c r="D3020" s="11"/>
      <c r="E3020" s="11" t="s">
        <v>6421</v>
      </c>
      <c r="F3020" s="90">
        <v>500.0</v>
      </c>
      <c r="G3020" s="321"/>
      <c r="H3020" s="11" t="s">
        <v>11750</v>
      </c>
      <c r="I3020" s="276"/>
      <c r="J3020" s="11" t="s">
        <v>25</v>
      </c>
      <c r="K3020" s="12"/>
      <c r="L3020" s="12"/>
      <c r="M3020" s="11" t="s">
        <v>9445</v>
      </c>
      <c r="N3020" s="5" t="s">
        <v>14268</v>
      </c>
      <c r="O3020" s="5" t="s">
        <v>14119</v>
      </c>
      <c r="P3020" s="15"/>
      <c r="Q3020" s="15"/>
      <c r="R3020" s="422"/>
      <c r="S3020" s="15"/>
      <c r="T3020" s="15"/>
      <c r="U3020" s="15"/>
      <c r="V3020" s="15"/>
      <c r="W3020" s="15"/>
      <c r="X3020" s="15"/>
      <c r="Y3020" s="15"/>
      <c r="Z3020" s="15"/>
      <c r="AA3020" s="15"/>
    </row>
    <row r="3021">
      <c r="A3021" s="5" t="s">
        <v>14220</v>
      </c>
      <c r="B3021" s="131" t="s">
        <v>14269</v>
      </c>
      <c r="C3021" s="62" t="s">
        <v>14270</v>
      </c>
      <c r="D3021" s="11"/>
      <c r="E3021" s="11" t="s">
        <v>207</v>
      </c>
      <c r="F3021" s="90">
        <v>1000.0</v>
      </c>
      <c r="G3021" s="321"/>
      <c r="H3021" s="11" t="s">
        <v>13379</v>
      </c>
      <c r="I3021" s="276"/>
      <c r="J3021" s="11" t="s">
        <v>25</v>
      </c>
      <c r="K3021" s="12"/>
      <c r="L3021" s="12"/>
      <c r="M3021" s="11" t="s">
        <v>8348</v>
      </c>
      <c r="N3021" s="5" t="s">
        <v>14271</v>
      </c>
      <c r="O3021" s="5" t="s">
        <v>108</v>
      </c>
      <c r="P3021" s="15"/>
      <c r="Q3021" s="15"/>
      <c r="R3021" s="422"/>
      <c r="S3021" s="15"/>
      <c r="T3021" s="15"/>
      <c r="U3021" s="15"/>
      <c r="V3021" s="15"/>
      <c r="W3021" s="15"/>
      <c r="X3021" s="15"/>
      <c r="Y3021" s="15"/>
      <c r="Z3021" s="15"/>
      <c r="AA3021" s="15"/>
    </row>
    <row r="3022">
      <c r="A3022" s="5" t="s">
        <v>14220</v>
      </c>
      <c r="B3022" s="131" t="s">
        <v>14272</v>
      </c>
      <c r="C3022" s="40" t="s">
        <v>14273</v>
      </c>
      <c r="D3022" s="11"/>
      <c r="E3022" s="11" t="s">
        <v>444</v>
      </c>
      <c r="F3022" s="90">
        <v>200.0</v>
      </c>
      <c r="G3022" s="321"/>
      <c r="H3022" s="11" t="s">
        <v>14274</v>
      </c>
      <c r="I3022" s="276"/>
      <c r="J3022" s="11" t="s">
        <v>25</v>
      </c>
      <c r="K3022" s="12"/>
      <c r="L3022" s="12"/>
      <c r="M3022" s="11" t="s">
        <v>7718</v>
      </c>
      <c r="N3022" s="5" t="s">
        <v>14275</v>
      </c>
      <c r="O3022" s="5" t="s">
        <v>14119</v>
      </c>
      <c r="P3022" s="15"/>
      <c r="Q3022" s="15"/>
      <c r="R3022" s="422"/>
      <c r="S3022" s="15"/>
      <c r="T3022" s="15"/>
      <c r="U3022" s="15"/>
      <c r="V3022" s="15"/>
      <c r="W3022" s="15"/>
      <c r="X3022" s="15"/>
      <c r="Y3022" s="15"/>
      <c r="Z3022" s="15"/>
      <c r="AA3022" s="15"/>
    </row>
    <row r="3023">
      <c r="A3023" s="5" t="s">
        <v>14220</v>
      </c>
      <c r="B3023" s="131" t="s">
        <v>14276</v>
      </c>
      <c r="C3023" s="40" t="s">
        <v>14277</v>
      </c>
      <c r="D3023" s="11"/>
      <c r="E3023" s="11" t="s">
        <v>10123</v>
      </c>
      <c r="F3023" s="90">
        <v>1000.0</v>
      </c>
      <c r="G3023" s="321"/>
      <c r="H3023" s="11" t="s">
        <v>107</v>
      </c>
      <c r="I3023" s="276"/>
      <c r="J3023" s="11" t="s">
        <v>4008</v>
      </c>
      <c r="K3023" s="12"/>
      <c r="L3023" s="12"/>
      <c r="M3023" s="11" t="s">
        <v>11819</v>
      </c>
      <c r="N3023" s="5" t="s">
        <v>14278</v>
      </c>
      <c r="O3023" s="5" t="s">
        <v>108</v>
      </c>
      <c r="P3023" s="15"/>
      <c r="Q3023" s="15"/>
      <c r="R3023" s="422"/>
      <c r="S3023" s="15"/>
      <c r="T3023" s="15"/>
      <c r="U3023" s="15"/>
      <c r="V3023" s="15"/>
      <c r="W3023" s="15"/>
      <c r="X3023" s="15"/>
      <c r="Y3023" s="15"/>
      <c r="Z3023" s="15"/>
      <c r="AA3023" s="15"/>
    </row>
    <row r="3024">
      <c r="A3024" s="5" t="s">
        <v>14220</v>
      </c>
      <c r="B3024" s="131" t="s">
        <v>14279</v>
      </c>
      <c r="C3024" s="40" t="s">
        <v>14280</v>
      </c>
      <c r="D3024" s="11"/>
      <c r="E3024" s="11" t="s">
        <v>4171</v>
      </c>
      <c r="F3024" s="90">
        <v>5000.0</v>
      </c>
      <c r="G3024" s="321"/>
      <c r="H3024" s="11" t="s">
        <v>2734</v>
      </c>
      <c r="I3024" s="276"/>
      <c r="J3024" s="11" t="s">
        <v>25</v>
      </c>
      <c r="K3024" s="12"/>
      <c r="L3024" s="12"/>
      <c r="M3024" s="11" t="s">
        <v>12184</v>
      </c>
      <c r="N3024" s="5" t="s">
        <v>14281</v>
      </c>
      <c r="O3024" s="5" t="s">
        <v>26</v>
      </c>
      <c r="P3024" s="5" t="s">
        <v>14282</v>
      </c>
      <c r="Q3024" s="15"/>
      <c r="R3024" s="16" t="s">
        <v>723</v>
      </c>
      <c r="S3024" s="15"/>
      <c r="T3024" s="15"/>
      <c r="U3024" s="15"/>
      <c r="V3024" s="15"/>
      <c r="W3024" s="15"/>
      <c r="X3024" s="15"/>
      <c r="Y3024" s="15"/>
      <c r="Z3024" s="15"/>
      <c r="AA3024" s="15"/>
    </row>
    <row r="3025">
      <c r="A3025" s="5" t="s">
        <v>14220</v>
      </c>
      <c r="B3025" s="131" t="s">
        <v>14283</v>
      </c>
      <c r="C3025" s="62" t="s">
        <v>14284</v>
      </c>
      <c r="D3025" s="11"/>
      <c r="E3025" s="11" t="s">
        <v>14285</v>
      </c>
      <c r="F3025" s="90">
        <v>1000.0</v>
      </c>
      <c r="G3025" s="321"/>
      <c r="H3025" s="11" t="s">
        <v>44</v>
      </c>
      <c r="I3025" s="276"/>
      <c r="J3025" s="11" t="s">
        <v>14286</v>
      </c>
      <c r="K3025" s="13"/>
      <c r="L3025" s="13"/>
      <c r="M3025" s="14"/>
      <c r="N3025" s="15"/>
      <c r="O3025" s="5" t="s">
        <v>26</v>
      </c>
      <c r="P3025" s="15"/>
      <c r="Q3025" s="15"/>
      <c r="R3025" s="422"/>
      <c r="S3025" s="15"/>
      <c r="T3025" s="15"/>
      <c r="U3025" s="15"/>
      <c r="V3025" s="15"/>
      <c r="W3025" s="15"/>
      <c r="X3025" s="15"/>
      <c r="Y3025" s="15"/>
      <c r="Z3025" s="15"/>
      <c r="AA3025" s="15"/>
    </row>
    <row r="3026">
      <c r="A3026" s="5" t="s">
        <v>14287</v>
      </c>
      <c r="B3026" s="131" t="s">
        <v>14288</v>
      </c>
      <c r="C3026" s="40" t="s">
        <v>14289</v>
      </c>
      <c r="D3026" s="11"/>
      <c r="E3026" s="11" t="s">
        <v>9611</v>
      </c>
      <c r="F3026" s="90">
        <v>200.0</v>
      </c>
      <c r="G3026" s="321"/>
      <c r="H3026" s="11" t="s">
        <v>14290</v>
      </c>
      <c r="I3026" s="276"/>
      <c r="J3026" s="11" t="s">
        <v>25</v>
      </c>
      <c r="K3026" s="13"/>
      <c r="L3026" s="13"/>
      <c r="M3026" s="14"/>
      <c r="N3026" s="15"/>
      <c r="O3026" s="5" t="s">
        <v>14119</v>
      </c>
      <c r="P3026" s="15"/>
      <c r="Q3026" s="15"/>
      <c r="R3026" s="422"/>
      <c r="S3026" s="15"/>
      <c r="T3026" s="15"/>
      <c r="U3026" s="15"/>
      <c r="V3026" s="15"/>
      <c r="W3026" s="15"/>
      <c r="X3026" s="15"/>
      <c r="Y3026" s="15"/>
      <c r="Z3026" s="15"/>
      <c r="AA3026" s="15"/>
    </row>
    <row r="3027">
      <c r="A3027" s="5" t="s">
        <v>14287</v>
      </c>
      <c r="B3027" s="131" t="s">
        <v>14291</v>
      </c>
      <c r="C3027" s="40" t="s">
        <v>14292</v>
      </c>
      <c r="D3027" s="11"/>
      <c r="E3027" s="11" t="s">
        <v>22</v>
      </c>
      <c r="F3027" s="90">
        <v>1000.0</v>
      </c>
      <c r="G3027" s="321"/>
      <c r="H3027" s="11" t="s">
        <v>44</v>
      </c>
      <c r="I3027" s="276"/>
      <c r="J3027" s="11" t="s">
        <v>25</v>
      </c>
      <c r="K3027" s="13"/>
      <c r="L3027" s="13"/>
      <c r="M3027" s="14"/>
      <c r="N3027" s="15"/>
      <c r="O3027" s="5" t="s">
        <v>26</v>
      </c>
      <c r="P3027" s="15"/>
      <c r="Q3027" s="15"/>
      <c r="R3027" s="422"/>
      <c r="S3027" s="15"/>
      <c r="T3027" s="15"/>
      <c r="U3027" s="15"/>
      <c r="V3027" s="15"/>
      <c r="W3027" s="15"/>
      <c r="X3027" s="15"/>
      <c r="Y3027" s="15"/>
      <c r="Z3027" s="15"/>
      <c r="AA3027" s="15"/>
    </row>
    <row r="3028">
      <c r="A3028" s="5" t="s">
        <v>14287</v>
      </c>
      <c r="B3028" s="131" t="s">
        <v>14293</v>
      </c>
      <c r="C3028" s="40" t="s">
        <v>14294</v>
      </c>
      <c r="D3028" s="11"/>
      <c r="E3028" s="11" t="s">
        <v>14295</v>
      </c>
      <c r="F3028" s="90">
        <v>200.0</v>
      </c>
      <c r="G3028" s="321"/>
      <c r="H3028" s="11" t="s">
        <v>14296</v>
      </c>
      <c r="I3028" s="423"/>
      <c r="J3028" s="14"/>
      <c r="K3028" s="13"/>
      <c r="L3028" s="13"/>
      <c r="M3028" s="14"/>
      <c r="N3028" s="15"/>
      <c r="O3028" s="5" t="s">
        <v>14119</v>
      </c>
      <c r="P3028" s="15"/>
      <c r="Q3028" s="15"/>
      <c r="R3028" s="422"/>
      <c r="S3028" s="15"/>
      <c r="T3028" s="15"/>
      <c r="U3028" s="15"/>
      <c r="V3028" s="15"/>
      <c r="W3028" s="15"/>
      <c r="X3028" s="15"/>
      <c r="Y3028" s="15"/>
      <c r="Z3028" s="15"/>
      <c r="AA3028" s="15"/>
    </row>
    <row r="3029">
      <c r="A3029" s="352" t="s">
        <v>14287</v>
      </c>
      <c r="B3029" s="131" t="s">
        <v>14297</v>
      </c>
      <c r="C3029" s="40" t="s">
        <v>14298</v>
      </c>
      <c r="D3029" s="11"/>
      <c r="E3029" s="11" t="s">
        <v>213</v>
      </c>
      <c r="F3029" s="9">
        <v>150000.0</v>
      </c>
      <c r="G3029" s="321"/>
      <c r="H3029" s="11" t="s">
        <v>44</v>
      </c>
      <c r="I3029" s="276"/>
      <c r="J3029" s="11" t="s">
        <v>25</v>
      </c>
      <c r="K3029" s="13"/>
      <c r="L3029" s="13"/>
      <c r="M3029" s="14"/>
      <c r="N3029" s="15"/>
      <c r="O3029" s="5" t="s">
        <v>26</v>
      </c>
      <c r="P3029" s="15"/>
      <c r="Q3029" s="15"/>
      <c r="R3029" s="422"/>
      <c r="S3029" s="15"/>
      <c r="T3029" s="15"/>
      <c r="U3029" s="15"/>
      <c r="V3029" s="15"/>
      <c r="W3029" s="15"/>
      <c r="X3029" s="15"/>
      <c r="Y3029" s="15"/>
      <c r="Z3029" s="15"/>
      <c r="AA3029" s="15"/>
    </row>
    <row r="3030">
      <c r="A3030" s="5" t="s">
        <v>14287</v>
      </c>
      <c r="B3030" s="131" t="s">
        <v>14299</v>
      </c>
      <c r="C3030" s="40" t="s">
        <v>14300</v>
      </c>
      <c r="D3030" s="11"/>
      <c r="E3030" s="11" t="s">
        <v>189</v>
      </c>
      <c r="F3030" s="90">
        <v>5000.0</v>
      </c>
      <c r="G3030" s="321"/>
      <c r="H3030" s="11" t="s">
        <v>44</v>
      </c>
      <c r="I3030" s="276"/>
      <c r="J3030" s="11" t="s">
        <v>7221</v>
      </c>
      <c r="K3030" s="12"/>
      <c r="L3030" s="12"/>
      <c r="M3030" s="11" t="s">
        <v>9034</v>
      </c>
      <c r="N3030" s="5" t="s">
        <v>14301</v>
      </c>
      <c r="O3030" s="5" t="s">
        <v>26</v>
      </c>
      <c r="P3030" s="401" t="s">
        <v>13856</v>
      </c>
      <c r="Q3030" s="15"/>
      <c r="R3030" s="422"/>
      <c r="S3030" s="15"/>
      <c r="T3030" s="15"/>
      <c r="U3030" s="15"/>
      <c r="V3030" s="15"/>
      <c r="W3030" s="15"/>
      <c r="X3030" s="15"/>
      <c r="Y3030" s="15"/>
      <c r="Z3030" s="15"/>
      <c r="AA3030" s="15"/>
    </row>
    <row r="3031">
      <c r="A3031" s="5" t="s">
        <v>14287</v>
      </c>
      <c r="B3031" s="131" t="s">
        <v>14302</v>
      </c>
      <c r="C3031" s="40" t="s">
        <v>14303</v>
      </c>
      <c r="D3031" s="11"/>
      <c r="E3031" s="11" t="s">
        <v>3391</v>
      </c>
      <c r="F3031" s="90">
        <v>2000.0</v>
      </c>
      <c r="G3031" s="321"/>
      <c r="H3031" s="11" t="s">
        <v>14304</v>
      </c>
      <c r="I3031" s="276"/>
      <c r="J3031" s="11" t="s">
        <v>4008</v>
      </c>
      <c r="K3031" s="12"/>
      <c r="L3031" s="12"/>
      <c r="M3031" s="11" t="s">
        <v>11020</v>
      </c>
      <c r="N3031" s="5" t="s">
        <v>14305</v>
      </c>
      <c r="O3031" s="5" t="s">
        <v>108</v>
      </c>
      <c r="P3031" s="15"/>
      <c r="Q3031" s="15"/>
      <c r="R3031" s="422"/>
      <c r="S3031" s="15"/>
      <c r="T3031" s="15"/>
      <c r="U3031" s="15"/>
      <c r="V3031" s="15"/>
      <c r="W3031" s="15"/>
      <c r="X3031" s="15"/>
      <c r="Y3031" s="15"/>
      <c r="Z3031" s="15"/>
      <c r="AA3031" s="15"/>
    </row>
    <row r="3032">
      <c r="A3032" s="5" t="s">
        <v>14287</v>
      </c>
      <c r="B3032" s="131" t="s">
        <v>14306</v>
      </c>
      <c r="C3032" s="40" t="s">
        <v>14307</v>
      </c>
      <c r="D3032" s="11"/>
      <c r="E3032" s="11" t="s">
        <v>1749</v>
      </c>
      <c r="F3032" s="90">
        <v>150.0</v>
      </c>
      <c r="G3032" s="321"/>
      <c r="H3032" s="11" t="s">
        <v>44</v>
      </c>
      <c r="I3032" s="276"/>
      <c r="J3032" s="11" t="s">
        <v>25</v>
      </c>
      <c r="K3032" s="12"/>
      <c r="L3032" s="12"/>
      <c r="M3032" s="11" t="s">
        <v>10362</v>
      </c>
      <c r="N3032" s="15"/>
      <c r="O3032" s="5" t="s">
        <v>14119</v>
      </c>
      <c r="P3032" s="15"/>
      <c r="Q3032" s="15"/>
      <c r="R3032" s="422"/>
      <c r="S3032" s="15"/>
      <c r="T3032" s="15"/>
      <c r="U3032" s="15"/>
      <c r="V3032" s="15"/>
      <c r="W3032" s="15"/>
      <c r="X3032" s="15"/>
      <c r="Y3032" s="15"/>
      <c r="Z3032" s="15"/>
      <c r="AA3032" s="15"/>
    </row>
    <row r="3033">
      <c r="A3033" s="5" t="s">
        <v>14287</v>
      </c>
      <c r="B3033" s="131" t="s">
        <v>14308</v>
      </c>
      <c r="C3033" s="40" t="s">
        <v>14309</v>
      </c>
      <c r="D3033" s="11"/>
      <c r="E3033" s="11" t="s">
        <v>14310</v>
      </c>
      <c r="F3033" s="90">
        <v>2000.0</v>
      </c>
      <c r="G3033" s="321"/>
      <c r="H3033" s="11" t="s">
        <v>14311</v>
      </c>
      <c r="I3033" s="423"/>
      <c r="J3033" s="14"/>
      <c r="K3033" s="12"/>
      <c r="L3033" s="12"/>
      <c r="M3033" s="11" t="s">
        <v>13445</v>
      </c>
      <c r="N3033" s="5" t="s">
        <v>14312</v>
      </c>
      <c r="O3033" s="5" t="s">
        <v>108</v>
      </c>
      <c r="P3033" s="5" t="s">
        <v>14254</v>
      </c>
      <c r="Q3033" s="15"/>
      <c r="R3033" s="422"/>
      <c r="S3033" s="15"/>
      <c r="T3033" s="15"/>
      <c r="U3033" s="15"/>
      <c r="V3033" s="15"/>
      <c r="W3033" s="15"/>
      <c r="X3033" s="15"/>
      <c r="Y3033" s="15"/>
      <c r="Z3033" s="15"/>
      <c r="AA3033" s="15"/>
    </row>
    <row r="3034">
      <c r="A3034" s="5" t="s">
        <v>14287</v>
      </c>
      <c r="B3034" s="131" t="s">
        <v>14313</v>
      </c>
      <c r="C3034" s="40" t="s">
        <v>14314</v>
      </c>
      <c r="D3034" s="11"/>
      <c r="E3034" s="11" t="s">
        <v>116</v>
      </c>
      <c r="F3034" s="90">
        <v>100.0</v>
      </c>
      <c r="G3034" s="321"/>
      <c r="H3034" s="11" t="s">
        <v>906</v>
      </c>
      <c r="I3034" s="276"/>
      <c r="J3034" s="11" t="s">
        <v>4008</v>
      </c>
      <c r="K3034" s="12"/>
      <c r="L3034" s="12"/>
      <c r="M3034" s="11" t="s">
        <v>7928</v>
      </c>
      <c r="N3034" s="5" t="s">
        <v>14315</v>
      </c>
      <c r="O3034" s="5" t="s">
        <v>14119</v>
      </c>
      <c r="P3034" s="15"/>
      <c r="Q3034" s="15"/>
      <c r="R3034" s="422"/>
      <c r="S3034" s="15"/>
      <c r="T3034" s="15"/>
      <c r="U3034" s="15"/>
      <c r="V3034" s="15"/>
      <c r="W3034" s="15"/>
      <c r="X3034" s="15"/>
      <c r="Y3034" s="15"/>
      <c r="Z3034" s="15"/>
      <c r="AA3034" s="15"/>
    </row>
    <row r="3035">
      <c r="A3035" s="5" t="s">
        <v>14287</v>
      </c>
      <c r="B3035" s="131" t="s">
        <v>14316</v>
      </c>
      <c r="C3035" s="40" t="s">
        <v>14317</v>
      </c>
      <c r="D3035" s="11"/>
      <c r="E3035" s="11" t="s">
        <v>794</v>
      </c>
      <c r="F3035" s="9">
        <v>10000.0</v>
      </c>
      <c r="G3035" s="321"/>
      <c r="H3035" s="11" t="s">
        <v>49</v>
      </c>
      <c r="I3035" s="423"/>
      <c r="J3035" s="14"/>
      <c r="K3035" s="12"/>
      <c r="L3035" s="12"/>
      <c r="M3035" s="11" t="s">
        <v>7651</v>
      </c>
      <c r="N3035" s="5" t="s">
        <v>14318</v>
      </c>
      <c r="O3035" s="5" t="s">
        <v>34</v>
      </c>
      <c r="P3035" s="5" t="s">
        <v>727</v>
      </c>
      <c r="Q3035" s="5" t="s">
        <v>2983</v>
      </c>
      <c r="R3035" s="16" t="s">
        <v>723</v>
      </c>
      <c r="S3035" s="5"/>
      <c r="T3035" s="15"/>
      <c r="U3035" s="15"/>
      <c r="V3035" s="15"/>
      <c r="W3035" s="15"/>
      <c r="X3035" s="15"/>
      <c r="Y3035" s="15"/>
      <c r="Z3035" s="15"/>
      <c r="AA3035" s="15"/>
    </row>
    <row r="3036">
      <c r="A3036" s="5" t="s">
        <v>14287</v>
      </c>
      <c r="B3036" s="131" t="s">
        <v>14319</v>
      </c>
      <c r="C3036" s="40" t="s">
        <v>14320</v>
      </c>
      <c r="D3036" s="11"/>
      <c r="E3036" s="11" t="s">
        <v>14321</v>
      </c>
      <c r="F3036" s="90">
        <v>1000.0</v>
      </c>
      <c r="G3036" s="321"/>
      <c r="H3036" s="11" t="s">
        <v>3122</v>
      </c>
      <c r="I3036" s="423"/>
      <c r="J3036" s="14"/>
      <c r="K3036" s="12"/>
      <c r="L3036" s="12"/>
      <c r="M3036" s="11" t="s">
        <v>8860</v>
      </c>
      <c r="N3036" s="5" t="s">
        <v>14322</v>
      </c>
      <c r="O3036" s="5" t="s">
        <v>26</v>
      </c>
      <c r="P3036" s="97" t="s">
        <v>14323</v>
      </c>
      <c r="Q3036" s="15"/>
      <c r="R3036" s="422"/>
      <c r="S3036" s="15"/>
      <c r="T3036" s="15"/>
      <c r="U3036" s="15"/>
      <c r="V3036" s="15"/>
      <c r="W3036" s="15"/>
      <c r="X3036" s="15"/>
      <c r="Y3036" s="15"/>
      <c r="Z3036" s="15"/>
      <c r="AA3036" s="15"/>
    </row>
    <row r="3037">
      <c r="A3037" s="5" t="s">
        <v>14287</v>
      </c>
      <c r="B3037" s="131" t="s">
        <v>14324</v>
      </c>
      <c r="C3037" s="40" t="s">
        <v>14325</v>
      </c>
      <c r="D3037" s="11"/>
      <c r="E3037" s="11" t="s">
        <v>13981</v>
      </c>
      <c r="F3037" s="9">
        <v>25000.0</v>
      </c>
      <c r="G3037" s="321"/>
      <c r="H3037" s="11" t="s">
        <v>14326</v>
      </c>
      <c r="I3037" s="276"/>
      <c r="J3037" s="11" t="s">
        <v>4008</v>
      </c>
      <c r="K3037" s="13"/>
      <c r="L3037" s="13"/>
      <c r="M3037" s="14"/>
      <c r="N3037" s="15"/>
      <c r="O3037" s="5" t="s">
        <v>108</v>
      </c>
      <c r="P3037" s="15"/>
      <c r="Q3037" s="15"/>
      <c r="R3037" s="422"/>
      <c r="S3037" s="15"/>
      <c r="T3037" s="15"/>
      <c r="U3037" s="15"/>
      <c r="V3037" s="15"/>
      <c r="W3037" s="15"/>
      <c r="X3037" s="15"/>
      <c r="Y3037" s="15"/>
      <c r="Z3037" s="15"/>
      <c r="AA3037" s="15"/>
    </row>
    <row r="3038">
      <c r="A3038" s="5" t="s">
        <v>14287</v>
      </c>
      <c r="B3038" s="397" t="s">
        <v>0</v>
      </c>
      <c r="C3038" s="40" t="s">
        <v>14327</v>
      </c>
      <c r="D3038" s="11"/>
      <c r="E3038" s="11" t="s">
        <v>7868</v>
      </c>
      <c r="F3038" s="90">
        <v>1000.0</v>
      </c>
      <c r="G3038" s="321"/>
      <c r="H3038" s="11" t="s">
        <v>44</v>
      </c>
      <c r="I3038" s="276"/>
      <c r="J3038" s="11" t="s">
        <v>4008</v>
      </c>
      <c r="K3038" s="12"/>
      <c r="L3038" s="12"/>
      <c r="M3038" s="11" t="s">
        <v>14328</v>
      </c>
      <c r="N3038" s="5" t="s">
        <v>14329</v>
      </c>
      <c r="O3038" s="5" t="s">
        <v>26</v>
      </c>
      <c r="P3038" s="15"/>
      <c r="Q3038" s="15"/>
      <c r="R3038" s="422"/>
      <c r="S3038" s="15"/>
      <c r="T3038" s="15"/>
      <c r="U3038" s="15"/>
      <c r="V3038" s="15"/>
      <c r="W3038" s="15"/>
      <c r="X3038" s="15"/>
      <c r="Y3038" s="15"/>
      <c r="Z3038" s="15"/>
      <c r="AA3038" s="15"/>
    </row>
    <row r="3039">
      <c r="A3039" s="5" t="s">
        <v>14287</v>
      </c>
      <c r="B3039" s="131" t="s">
        <v>14330</v>
      </c>
      <c r="C3039" s="40" t="s">
        <v>14331</v>
      </c>
      <c r="D3039" s="11"/>
      <c r="E3039" s="11" t="s">
        <v>6421</v>
      </c>
      <c r="F3039" s="90">
        <v>500.0</v>
      </c>
      <c r="G3039" s="321"/>
      <c r="H3039" s="11" t="s">
        <v>44</v>
      </c>
      <c r="I3039" s="276"/>
      <c r="J3039" s="11" t="s">
        <v>4008</v>
      </c>
      <c r="K3039" s="13"/>
      <c r="L3039" s="13"/>
      <c r="M3039" s="14"/>
      <c r="N3039" s="15"/>
      <c r="O3039" s="5" t="s">
        <v>14119</v>
      </c>
      <c r="P3039" s="15"/>
      <c r="Q3039" s="15"/>
      <c r="R3039" s="422"/>
      <c r="S3039" s="15"/>
      <c r="T3039" s="15"/>
      <c r="U3039" s="15"/>
      <c r="V3039" s="15"/>
      <c r="W3039" s="15"/>
      <c r="X3039" s="15"/>
      <c r="Y3039" s="15"/>
      <c r="Z3039" s="15"/>
      <c r="AA3039" s="15"/>
    </row>
    <row r="3040">
      <c r="A3040" s="5" t="s">
        <v>14287</v>
      </c>
      <c r="B3040" s="131" t="s">
        <v>14332</v>
      </c>
      <c r="C3040" s="40" t="s">
        <v>14333</v>
      </c>
      <c r="D3040" s="11"/>
      <c r="E3040" s="11" t="s">
        <v>13331</v>
      </c>
      <c r="F3040" s="90">
        <v>1000.0</v>
      </c>
      <c r="G3040" s="321"/>
      <c r="H3040" s="11" t="s">
        <v>11267</v>
      </c>
      <c r="I3040" s="276"/>
      <c r="J3040" s="11" t="s">
        <v>25</v>
      </c>
      <c r="K3040" s="13"/>
      <c r="L3040" s="13"/>
      <c r="M3040" s="14"/>
      <c r="N3040" s="15"/>
      <c r="O3040" s="5" t="s">
        <v>26</v>
      </c>
      <c r="P3040" s="15"/>
      <c r="Q3040" s="15"/>
      <c r="R3040" s="422"/>
      <c r="S3040" s="15"/>
      <c r="T3040" s="15"/>
      <c r="U3040" s="15"/>
      <c r="V3040" s="15"/>
      <c r="W3040" s="15"/>
      <c r="X3040" s="15"/>
      <c r="Y3040" s="15"/>
      <c r="Z3040" s="15"/>
      <c r="AA3040" s="15"/>
    </row>
    <row r="3041">
      <c r="A3041" s="5" t="s">
        <v>14334</v>
      </c>
      <c r="B3041" s="131" t="s">
        <v>14335</v>
      </c>
      <c r="C3041" s="40" t="s">
        <v>14336</v>
      </c>
      <c r="D3041" s="11"/>
      <c r="E3041" s="11" t="s">
        <v>53</v>
      </c>
      <c r="F3041" s="90">
        <v>5000.0</v>
      </c>
      <c r="G3041" s="321"/>
      <c r="H3041" s="11" t="s">
        <v>14337</v>
      </c>
      <c r="I3041" s="276"/>
      <c r="J3041" s="11" t="s">
        <v>4008</v>
      </c>
      <c r="K3041" s="13"/>
      <c r="L3041" s="13"/>
      <c r="M3041" s="14"/>
      <c r="N3041" s="15"/>
      <c r="O3041" s="5" t="s">
        <v>1030</v>
      </c>
      <c r="P3041" s="15"/>
      <c r="Q3041" s="15"/>
      <c r="R3041" s="422"/>
      <c r="S3041" s="15"/>
      <c r="T3041" s="15"/>
      <c r="U3041" s="15"/>
      <c r="V3041" s="15"/>
      <c r="W3041" s="15"/>
      <c r="X3041" s="15"/>
      <c r="Y3041" s="15"/>
      <c r="Z3041" s="15"/>
      <c r="AA3041" s="15"/>
    </row>
    <row r="3042">
      <c r="A3042" s="5" t="s">
        <v>14334</v>
      </c>
      <c r="B3042" s="131" t="s">
        <v>14338</v>
      </c>
      <c r="C3042" s="40" t="s">
        <v>14339</v>
      </c>
      <c r="D3042" s="11"/>
      <c r="E3042" s="11" t="s">
        <v>14340</v>
      </c>
      <c r="F3042" s="90">
        <v>1000.0</v>
      </c>
      <c r="G3042" s="321"/>
      <c r="H3042" s="11" t="s">
        <v>14341</v>
      </c>
      <c r="I3042" s="276"/>
      <c r="J3042" s="11" t="s">
        <v>14342</v>
      </c>
      <c r="K3042" s="13"/>
      <c r="L3042" s="13"/>
      <c r="M3042" s="14"/>
      <c r="N3042" s="15"/>
      <c r="O3042" s="5" t="s">
        <v>108</v>
      </c>
      <c r="P3042" s="15"/>
      <c r="Q3042" s="15"/>
      <c r="R3042" s="422"/>
      <c r="S3042" s="15"/>
      <c r="T3042" s="15"/>
      <c r="U3042" s="15"/>
      <c r="V3042" s="15"/>
      <c r="W3042" s="15"/>
      <c r="X3042" s="15"/>
      <c r="Y3042" s="15"/>
      <c r="Z3042" s="15"/>
      <c r="AA3042" s="15"/>
    </row>
    <row r="3043">
      <c r="A3043" s="352" t="s">
        <v>14334</v>
      </c>
      <c r="B3043" s="131" t="s">
        <v>14343</v>
      </c>
      <c r="C3043" s="40" t="s">
        <v>14344</v>
      </c>
      <c r="D3043" s="11"/>
      <c r="E3043" s="11" t="s">
        <v>1749</v>
      </c>
      <c r="F3043" s="90">
        <v>5000.0</v>
      </c>
      <c r="G3043" s="321"/>
      <c r="H3043" s="11" t="s">
        <v>44</v>
      </c>
      <c r="I3043" s="276"/>
      <c r="J3043" s="11" t="s">
        <v>25</v>
      </c>
      <c r="K3043" s="12"/>
      <c r="L3043" s="12"/>
      <c r="M3043" s="11" t="s">
        <v>14345</v>
      </c>
      <c r="N3043" s="5" t="s">
        <v>14346</v>
      </c>
      <c r="O3043" s="5" t="s">
        <v>26</v>
      </c>
      <c r="P3043" s="15"/>
      <c r="Q3043" s="15"/>
      <c r="R3043" s="422"/>
      <c r="S3043" s="15"/>
      <c r="T3043" s="15"/>
      <c r="U3043" s="15"/>
      <c r="V3043" s="15"/>
      <c r="W3043" s="15"/>
      <c r="X3043" s="15"/>
      <c r="Y3043" s="15"/>
      <c r="Z3043" s="15"/>
      <c r="AA3043" s="15"/>
    </row>
    <row r="3044">
      <c r="A3044" s="5" t="s">
        <v>14334</v>
      </c>
      <c r="B3044" s="131" t="s">
        <v>14347</v>
      </c>
      <c r="C3044" s="40" t="s">
        <v>14348</v>
      </c>
      <c r="D3044" s="11"/>
      <c r="E3044" s="11" t="s">
        <v>202</v>
      </c>
      <c r="F3044" s="9">
        <v>500000.0</v>
      </c>
      <c r="G3044" s="321"/>
      <c r="H3044" s="11" t="s">
        <v>44</v>
      </c>
      <c r="I3044" s="276"/>
      <c r="J3044" s="11" t="s">
        <v>4008</v>
      </c>
      <c r="K3044" s="13"/>
      <c r="L3044" s="13"/>
      <c r="M3044" s="14"/>
      <c r="N3044" s="15"/>
      <c r="O3044" s="5" t="s">
        <v>26</v>
      </c>
      <c r="P3044" s="15"/>
      <c r="Q3044" s="15"/>
      <c r="R3044" s="422"/>
      <c r="S3044" s="15"/>
      <c r="T3044" s="15"/>
      <c r="U3044" s="15"/>
      <c r="V3044" s="15"/>
      <c r="W3044" s="15"/>
      <c r="X3044" s="15"/>
      <c r="Y3044" s="15"/>
      <c r="Z3044" s="15"/>
      <c r="AA3044" s="15"/>
    </row>
    <row r="3045">
      <c r="A3045" s="5" t="s">
        <v>14334</v>
      </c>
      <c r="B3045" s="131" t="s">
        <v>14349</v>
      </c>
      <c r="C3045" s="40" t="s">
        <v>14350</v>
      </c>
      <c r="D3045" s="11"/>
      <c r="E3045" s="11" t="s">
        <v>753</v>
      </c>
      <c r="F3045" s="9">
        <v>10000.0</v>
      </c>
      <c r="G3045" s="321"/>
      <c r="H3045" s="11" t="s">
        <v>14351</v>
      </c>
      <c r="I3045" s="276"/>
      <c r="J3045" s="11" t="s">
        <v>4008</v>
      </c>
      <c r="K3045" s="12"/>
      <c r="L3045" s="12"/>
      <c r="M3045" s="11" t="s">
        <v>11202</v>
      </c>
      <c r="N3045" s="5" t="s">
        <v>14352</v>
      </c>
      <c r="O3045" s="5" t="s">
        <v>108</v>
      </c>
      <c r="P3045" s="15"/>
      <c r="Q3045" s="15"/>
      <c r="R3045" s="422"/>
      <c r="S3045" s="15"/>
      <c r="T3045" s="15"/>
      <c r="U3045" s="15"/>
      <c r="V3045" s="15"/>
      <c r="W3045" s="15"/>
      <c r="X3045" s="15"/>
      <c r="Y3045" s="15"/>
      <c r="Z3045" s="15"/>
      <c r="AA3045" s="15"/>
    </row>
    <row r="3046">
      <c r="A3046" s="5" t="s">
        <v>14334</v>
      </c>
      <c r="B3046" s="131" t="s">
        <v>14353</v>
      </c>
      <c r="C3046" s="40" t="s">
        <v>14354</v>
      </c>
      <c r="D3046" s="11"/>
      <c r="E3046" s="11" t="s">
        <v>7188</v>
      </c>
      <c r="F3046" s="90">
        <v>2000.0</v>
      </c>
      <c r="G3046" s="321"/>
      <c r="H3046" s="11" t="s">
        <v>14355</v>
      </c>
      <c r="I3046" s="276"/>
      <c r="J3046" s="11" t="s">
        <v>7221</v>
      </c>
      <c r="K3046" s="13"/>
      <c r="L3046" s="13"/>
      <c r="M3046" s="14"/>
      <c r="N3046" s="15"/>
      <c r="O3046" s="5" t="s">
        <v>26</v>
      </c>
      <c r="P3046" s="15"/>
      <c r="Q3046" s="15"/>
      <c r="R3046" s="422"/>
      <c r="S3046" s="15"/>
      <c r="T3046" s="15"/>
      <c r="U3046" s="15"/>
      <c r="V3046" s="15"/>
      <c r="W3046" s="15"/>
      <c r="X3046" s="15"/>
      <c r="Y3046" s="15"/>
      <c r="Z3046" s="15"/>
      <c r="AA3046" s="15"/>
    </row>
    <row r="3047">
      <c r="A3047" s="5" t="s">
        <v>14334</v>
      </c>
      <c r="B3047" s="131" t="s">
        <v>14356</v>
      </c>
      <c r="C3047" s="40" t="s">
        <v>14357</v>
      </c>
      <c r="D3047" s="11"/>
      <c r="E3047" s="11" t="s">
        <v>14358</v>
      </c>
      <c r="F3047" s="90" t="s">
        <v>14359</v>
      </c>
      <c r="G3047" s="321"/>
      <c r="H3047" s="11" t="s">
        <v>44</v>
      </c>
      <c r="I3047" s="276"/>
      <c r="J3047" s="11" t="s">
        <v>8737</v>
      </c>
      <c r="K3047" s="12"/>
      <c r="L3047" s="12"/>
      <c r="M3047" s="11" t="s">
        <v>14360</v>
      </c>
      <c r="N3047" s="5" t="s">
        <v>14361</v>
      </c>
      <c r="O3047" s="5" t="s">
        <v>34</v>
      </c>
      <c r="P3047" s="5" t="s">
        <v>777</v>
      </c>
      <c r="Q3047" s="15"/>
      <c r="R3047" s="16" t="s">
        <v>723</v>
      </c>
      <c r="S3047" s="15"/>
      <c r="T3047" s="15"/>
      <c r="U3047" s="15"/>
      <c r="V3047" s="15"/>
      <c r="W3047" s="15"/>
      <c r="X3047" s="15"/>
      <c r="Y3047" s="15"/>
      <c r="Z3047" s="15"/>
      <c r="AA3047" s="15"/>
    </row>
    <row r="3048">
      <c r="A3048" s="5" t="s">
        <v>14334</v>
      </c>
      <c r="B3048" s="131" t="s">
        <v>14362</v>
      </c>
      <c r="C3048" s="40" t="s">
        <v>14363</v>
      </c>
      <c r="D3048" s="11"/>
      <c r="E3048" s="11" t="s">
        <v>2821</v>
      </c>
      <c r="F3048" s="90">
        <v>500.0</v>
      </c>
      <c r="G3048" s="321"/>
      <c r="H3048" s="11" t="s">
        <v>99</v>
      </c>
      <c r="I3048" s="276"/>
      <c r="J3048" s="11" t="s">
        <v>14364</v>
      </c>
      <c r="K3048" s="12"/>
      <c r="L3048" s="12"/>
      <c r="M3048" s="11" t="s">
        <v>14365</v>
      </c>
      <c r="N3048" s="5" t="s">
        <v>14366</v>
      </c>
      <c r="O3048" s="5" t="s">
        <v>34</v>
      </c>
      <c r="P3048" s="15"/>
      <c r="Q3048" s="5" t="s">
        <v>2983</v>
      </c>
      <c r="R3048" s="16" t="s">
        <v>723</v>
      </c>
      <c r="S3048" s="5"/>
      <c r="T3048" s="15"/>
      <c r="U3048" s="15"/>
      <c r="V3048" s="15"/>
      <c r="W3048" s="15"/>
      <c r="X3048" s="15"/>
      <c r="Y3048" s="15"/>
      <c r="Z3048" s="15"/>
      <c r="AA3048" s="15"/>
    </row>
    <row r="3049">
      <c r="A3049" s="5" t="s">
        <v>14334</v>
      </c>
      <c r="B3049" s="131" t="s">
        <v>14367</v>
      </c>
      <c r="C3049" s="40" t="s">
        <v>14368</v>
      </c>
      <c r="D3049" s="11"/>
      <c r="E3049" s="11" t="s">
        <v>10491</v>
      </c>
      <c r="F3049" s="9">
        <v>25000.0</v>
      </c>
      <c r="G3049" s="321"/>
      <c r="H3049" s="11" t="s">
        <v>8781</v>
      </c>
      <c r="I3049" s="276"/>
      <c r="J3049" s="11" t="s">
        <v>4008</v>
      </c>
      <c r="K3049" s="12"/>
      <c r="L3049" s="12"/>
      <c r="M3049" s="11" t="s">
        <v>11139</v>
      </c>
      <c r="N3049" s="5" t="s">
        <v>14369</v>
      </c>
      <c r="O3049" s="5" t="s">
        <v>26</v>
      </c>
      <c r="P3049" s="15"/>
      <c r="Q3049" s="15"/>
      <c r="R3049" s="422"/>
      <c r="S3049" s="15"/>
      <c r="T3049" s="15"/>
      <c r="U3049" s="15"/>
      <c r="V3049" s="15"/>
      <c r="W3049" s="15"/>
      <c r="X3049" s="15"/>
      <c r="Y3049" s="15"/>
      <c r="Z3049" s="15"/>
      <c r="AA3049" s="15"/>
    </row>
    <row r="3050">
      <c r="A3050" s="5" t="s">
        <v>14334</v>
      </c>
      <c r="B3050" s="131" t="s">
        <v>14370</v>
      </c>
      <c r="C3050" s="40" t="s">
        <v>14371</v>
      </c>
      <c r="D3050" s="11"/>
      <c r="E3050" s="11" t="s">
        <v>14372</v>
      </c>
      <c r="F3050" s="90">
        <v>1000.0</v>
      </c>
      <c r="G3050" s="321"/>
      <c r="H3050" s="11" t="s">
        <v>906</v>
      </c>
      <c r="I3050" s="276"/>
      <c r="J3050" s="11" t="s">
        <v>25</v>
      </c>
      <c r="K3050" s="13"/>
      <c r="L3050" s="13"/>
      <c r="M3050" s="14"/>
      <c r="N3050" s="15"/>
      <c r="O3050" s="5" t="s">
        <v>108</v>
      </c>
      <c r="P3050" s="15"/>
      <c r="Q3050" s="15"/>
      <c r="R3050" s="422"/>
      <c r="S3050" s="15"/>
      <c r="T3050" s="15"/>
      <c r="U3050" s="15"/>
      <c r="V3050" s="15"/>
      <c r="W3050" s="15"/>
      <c r="X3050" s="15"/>
      <c r="Y3050" s="15"/>
      <c r="Z3050" s="15"/>
      <c r="AA3050" s="15"/>
    </row>
    <row r="3051">
      <c r="A3051" s="352" t="s">
        <v>14334</v>
      </c>
      <c r="B3051" s="131" t="s">
        <v>14373</v>
      </c>
      <c r="C3051" s="62" t="s">
        <v>14374</v>
      </c>
      <c r="D3051" s="11"/>
      <c r="E3051" s="11" t="s">
        <v>92</v>
      </c>
      <c r="F3051" s="90">
        <v>100.0</v>
      </c>
      <c r="G3051" s="321"/>
      <c r="H3051" s="11" t="s">
        <v>14375</v>
      </c>
      <c r="I3051" s="276"/>
      <c r="J3051" s="11" t="s">
        <v>4008</v>
      </c>
      <c r="K3051" s="12"/>
      <c r="L3051" s="12"/>
      <c r="M3051" s="11" t="s">
        <v>10090</v>
      </c>
      <c r="N3051" s="5" t="s">
        <v>14376</v>
      </c>
      <c r="O3051" s="5" t="s">
        <v>14119</v>
      </c>
      <c r="P3051" s="15"/>
      <c r="Q3051" s="15"/>
      <c r="R3051" s="422"/>
      <c r="S3051" s="15"/>
      <c r="T3051" s="15"/>
      <c r="U3051" s="15"/>
      <c r="V3051" s="15"/>
      <c r="W3051" s="15"/>
      <c r="X3051" s="15"/>
      <c r="Y3051" s="15"/>
      <c r="Z3051" s="15"/>
      <c r="AA3051" s="15"/>
    </row>
    <row r="3052">
      <c r="A3052" s="5" t="s">
        <v>14334</v>
      </c>
      <c r="B3052" s="131" t="s">
        <v>14377</v>
      </c>
      <c r="C3052" s="40" t="s">
        <v>14378</v>
      </c>
      <c r="D3052" s="11"/>
      <c r="E3052" s="11" t="s">
        <v>222</v>
      </c>
      <c r="F3052" s="90">
        <v>3000.0</v>
      </c>
      <c r="G3052" s="321"/>
      <c r="H3052" s="11" t="s">
        <v>44</v>
      </c>
      <c r="I3052" s="276"/>
      <c r="J3052" s="11" t="s">
        <v>25</v>
      </c>
      <c r="K3052" s="12"/>
      <c r="L3052" s="12"/>
      <c r="M3052" s="11" t="s">
        <v>11202</v>
      </c>
      <c r="N3052" s="5" t="s">
        <v>14379</v>
      </c>
      <c r="O3052" s="5" t="s">
        <v>26</v>
      </c>
      <c r="P3052" s="15"/>
      <c r="Q3052" s="15"/>
      <c r="R3052" s="422"/>
      <c r="S3052" s="15"/>
      <c r="T3052" s="15"/>
      <c r="U3052" s="15"/>
      <c r="V3052" s="15"/>
      <c r="W3052" s="15"/>
      <c r="X3052" s="15"/>
      <c r="Y3052" s="15"/>
      <c r="Z3052" s="15"/>
      <c r="AA3052" s="15"/>
    </row>
    <row r="3053">
      <c r="A3053" s="5" t="s">
        <v>14380</v>
      </c>
      <c r="B3053" s="131" t="s">
        <v>14381</v>
      </c>
      <c r="C3053" s="40" t="s">
        <v>14382</v>
      </c>
      <c r="D3053" s="11"/>
      <c r="E3053" s="11" t="s">
        <v>22</v>
      </c>
      <c r="F3053" s="9">
        <v>10000.0</v>
      </c>
      <c r="G3053" s="321"/>
      <c r="H3053" s="11" t="s">
        <v>11175</v>
      </c>
      <c r="I3053" s="423"/>
      <c r="J3053" s="14"/>
      <c r="K3053" s="13"/>
      <c r="L3053" s="13"/>
      <c r="M3053" s="14"/>
      <c r="N3053" s="15"/>
      <c r="O3053" s="5" t="s">
        <v>26</v>
      </c>
      <c r="P3053" s="15"/>
      <c r="Q3053" s="15"/>
      <c r="R3053" s="422"/>
      <c r="S3053" s="15"/>
      <c r="T3053" s="15"/>
      <c r="U3053" s="15"/>
      <c r="V3053" s="15"/>
      <c r="W3053" s="15"/>
      <c r="X3053" s="15"/>
      <c r="Y3053" s="15"/>
      <c r="Z3053" s="15"/>
      <c r="AA3053" s="15"/>
    </row>
    <row r="3054">
      <c r="A3054" s="5" t="s">
        <v>14380</v>
      </c>
      <c r="B3054" s="131" t="s">
        <v>14383</v>
      </c>
      <c r="C3054" s="40" t="s">
        <v>14384</v>
      </c>
      <c r="D3054" s="11"/>
      <c r="E3054" s="11" t="s">
        <v>14385</v>
      </c>
      <c r="F3054" s="90">
        <v>1000.0</v>
      </c>
      <c r="G3054" s="321"/>
      <c r="H3054" s="11" t="s">
        <v>13936</v>
      </c>
      <c r="I3054" s="276"/>
      <c r="J3054" s="11" t="s">
        <v>8773</v>
      </c>
      <c r="K3054" s="12"/>
      <c r="L3054" s="12"/>
      <c r="M3054" s="11" t="s">
        <v>14386</v>
      </c>
      <c r="N3054" s="5" t="s">
        <v>14387</v>
      </c>
      <c r="O3054" s="5" t="s">
        <v>26</v>
      </c>
      <c r="P3054" s="15"/>
      <c r="Q3054" s="15"/>
      <c r="R3054" s="422"/>
      <c r="S3054" s="15"/>
      <c r="T3054" s="15"/>
      <c r="U3054" s="15"/>
      <c r="V3054" s="15"/>
      <c r="W3054" s="15"/>
      <c r="X3054" s="15"/>
      <c r="Y3054" s="15"/>
      <c r="Z3054" s="15"/>
      <c r="AA3054" s="15"/>
    </row>
    <row r="3055">
      <c r="A3055" s="5" t="s">
        <v>14380</v>
      </c>
      <c r="B3055" s="131" t="s">
        <v>14388</v>
      </c>
      <c r="C3055" s="40" t="s">
        <v>14389</v>
      </c>
      <c r="D3055" s="11"/>
      <c r="E3055" s="11" t="s">
        <v>5502</v>
      </c>
      <c r="F3055" s="90" t="s">
        <v>14390</v>
      </c>
      <c r="G3055" s="321"/>
      <c r="H3055" s="11" t="s">
        <v>14391</v>
      </c>
      <c r="I3055" s="276"/>
      <c r="J3055" s="11" t="s">
        <v>25</v>
      </c>
      <c r="K3055" s="12"/>
      <c r="L3055" s="12"/>
      <c r="M3055" s="11" t="s">
        <v>14392</v>
      </c>
      <c r="N3055" s="5" t="s">
        <v>14393</v>
      </c>
      <c r="O3055" s="5" t="s">
        <v>108</v>
      </c>
      <c r="P3055" s="5" t="s">
        <v>14394</v>
      </c>
      <c r="Q3055" s="15"/>
      <c r="R3055" s="16" t="s">
        <v>723</v>
      </c>
      <c r="S3055" s="15"/>
      <c r="T3055" s="15"/>
      <c r="U3055" s="15"/>
      <c r="V3055" s="15"/>
      <c r="W3055" s="15"/>
      <c r="X3055" s="15"/>
      <c r="Y3055" s="15"/>
      <c r="Z3055" s="15"/>
      <c r="AA3055" s="15"/>
    </row>
    <row r="3056">
      <c r="A3056" s="5" t="s">
        <v>14380</v>
      </c>
      <c r="B3056" s="131" t="s">
        <v>14395</v>
      </c>
      <c r="C3056" s="40" t="s">
        <v>10519</v>
      </c>
      <c r="D3056" s="11"/>
      <c r="E3056" s="11" t="s">
        <v>14396</v>
      </c>
      <c r="F3056" s="90">
        <v>500.0</v>
      </c>
      <c r="G3056" s="321"/>
      <c r="H3056" s="11" t="s">
        <v>14397</v>
      </c>
      <c r="I3056" s="276"/>
      <c r="J3056" s="11" t="s">
        <v>25</v>
      </c>
      <c r="K3056" s="13"/>
      <c r="L3056" s="13"/>
      <c r="M3056" s="14"/>
      <c r="N3056" s="15"/>
      <c r="O3056" s="5" t="s">
        <v>14119</v>
      </c>
      <c r="P3056" s="15"/>
      <c r="Q3056" s="15"/>
      <c r="R3056" s="422"/>
      <c r="S3056" s="15"/>
      <c r="T3056" s="15"/>
      <c r="U3056" s="15"/>
      <c r="V3056" s="15"/>
      <c r="W3056" s="15"/>
      <c r="X3056" s="15"/>
      <c r="Y3056" s="15"/>
      <c r="Z3056" s="15"/>
      <c r="AA3056" s="15"/>
    </row>
    <row r="3057">
      <c r="A3057" s="5" t="s">
        <v>14380</v>
      </c>
      <c r="B3057" s="131" t="s">
        <v>14398</v>
      </c>
      <c r="C3057" s="40" t="s">
        <v>10942</v>
      </c>
      <c r="D3057" s="11"/>
      <c r="E3057" s="11" t="s">
        <v>14399</v>
      </c>
      <c r="F3057" s="90">
        <v>500.0</v>
      </c>
      <c r="G3057" s="321"/>
      <c r="H3057" s="11" t="s">
        <v>8781</v>
      </c>
      <c r="I3057" s="276"/>
      <c r="J3057" s="11" t="s">
        <v>4008</v>
      </c>
      <c r="K3057" s="12"/>
      <c r="L3057" s="12"/>
      <c r="M3057" s="11" t="s">
        <v>14400</v>
      </c>
      <c r="N3057" s="5" t="s">
        <v>14401</v>
      </c>
      <c r="O3057" s="5" t="s">
        <v>14119</v>
      </c>
      <c r="P3057" s="15"/>
      <c r="Q3057" s="15"/>
      <c r="R3057" s="422"/>
      <c r="S3057" s="15"/>
      <c r="T3057" s="15"/>
      <c r="U3057" s="15"/>
      <c r="V3057" s="15"/>
      <c r="W3057" s="15"/>
      <c r="X3057" s="15"/>
      <c r="Y3057" s="15"/>
      <c r="Z3057" s="15"/>
      <c r="AA3057" s="15"/>
    </row>
    <row r="3058">
      <c r="A3058" s="5" t="s">
        <v>14380</v>
      </c>
      <c r="B3058" s="131" t="s">
        <v>14402</v>
      </c>
      <c r="C3058" s="40" t="s">
        <v>14403</v>
      </c>
      <c r="D3058" s="11"/>
      <c r="E3058" s="11" t="s">
        <v>5965</v>
      </c>
      <c r="F3058" s="90">
        <v>5000.0</v>
      </c>
      <c r="G3058" s="321"/>
      <c r="H3058" s="11" t="s">
        <v>8781</v>
      </c>
      <c r="I3058" s="276"/>
      <c r="J3058" s="11" t="s">
        <v>14404</v>
      </c>
      <c r="K3058" s="13"/>
      <c r="L3058" s="13"/>
      <c r="M3058" s="14"/>
      <c r="N3058" s="15"/>
      <c r="O3058" s="5" t="s">
        <v>26</v>
      </c>
      <c r="P3058" s="15"/>
      <c r="Q3058" s="15"/>
      <c r="R3058" s="422"/>
      <c r="S3058" s="15"/>
      <c r="T3058" s="15"/>
      <c r="U3058" s="15"/>
      <c r="V3058" s="15"/>
      <c r="W3058" s="15"/>
      <c r="X3058" s="15"/>
      <c r="Y3058" s="15"/>
      <c r="Z3058" s="15"/>
      <c r="AA3058" s="15"/>
    </row>
    <row r="3059">
      <c r="A3059" s="352" t="s">
        <v>14380</v>
      </c>
      <c r="B3059" s="131" t="s">
        <v>14405</v>
      </c>
      <c r="C3059" s="40" t="s">
        <v>14406</v>
      </c>
      <c r="D3059" s="11"/>
      <c r="E3059" s="11" t="s">
        <v>14407</v>
      </c>
      <c r="F3059" s="90">
        <v>5000.0</v>
      </c>
      <c r="G3059" s="321"/>
      <c r="H3059" s="11" t="s">
        <v>555</v>
      </c>
      <c r="I3059" s="423"/>
      <c r="J3059" s="14"/>
      <c r="K3059" s="12"/>
      <c r="L3059" s="12"/>
      <c r="M3059" s="11" t="s">
        <v>10760</v>
      </c>
      <c r="N3059" s="5" t="s">
        <v>14408</v>
      </c>
      <c r="O3059" s="5" t="s">
        <v>14409</v>
      </c>
      <c r="P3059" s="15"/>
      <c r="Q3059" s="15"/>
      <c r="R3059" s="422"/>
      <c r="S3059" s="15"/>
      <c r="T3059" s="15"/>
      <c r="U3059" s="15"/>
      <c r="V3059" s="15"/>
      <c r="W3059" s="15"/>
      <c r="X3059" s="15"/>
      <c r="Y3059" s="15"/>
      <c r="Z3059" s="15"/>
      <c r="AA3059" s="15"/>
    </row>
    <row r="3060">
      <c r="A3060" s="5" t="s">
        <v>14380</v>
      </c>
      <c r="B3060" s="131" t="s">
        <v>14410</v>
      </c>
      <c r="C3060" s="62" t="s">
        <v>14411</v>
      </c>
      <c r="D3060" s="11"/>
      <c r="E3060" s="11" t="s">
        <v>213</v>
      </c>
      <c r="F3060" s="9">
        <v>200000.0</v>
      </c>
      <c r="G3060" s="321"/>
      <c r="H3060" s="11" t="s">
        <v>14412</v>
      </c>
      <c r="I3060" s="276"/>
      <c r="J3060" s="11" t="s">
        <v>25</v>
      </c>
      <c r="K3060" s="12"/>
      <c r="L3060" s="12"/>
      <c r="M3060" s="11" t="s">
        <v>9983</v>
      </c>
      <c r="N3060" s="5" t="s">
        <v>14413</v>
      </c>
      <c r="O3060" s="5" t="s">
        <v>108</v>
      </c>
      <c r="P3060" s="15"/>
      <c r="Q3060" s="15"/>
      <c r="R3060" s="422"/>
      <c r="S3060" s="15"/>
      <c r="T3060" s="15"/>
      <c r="U3060" s="15"/>
      <c r="V3060" s="15"/>
      <c r="W3060" s="15"/>
      <c r="X3060" s="15"/>
      <c r="Y3060" s="15"/>
      <c r="Z3060" s="15"/>
      <c r="AA3060" s="15"/>
    </row>
    <row r="3061">
      <c r="A3061" s="5" t="s">
        <v>14380</v>
      </c>
      <c r="B3061" s="131" t="s">
        <v>14414</v>
      </c>
      <c r="C3061" s="40" t="s">
        <v>14415</v>
      </c>
      <c r="D3061" s="11"/>
      <c r="E3061" s="11" t="s">
        <v>14416</v>
      </c>
      <c r="F3061" s="9">
        <v>15000.0</v>
      </c>
      <c r="G3061" s="321"/>
      <c r="H3061" s="11" t="s">
        <v>44</v>
      </c>
      <c r="I3061" s="276"/>
      <c r="J3061" s="11" t="s">
        <v>4008</v>
      </c>
      <c r="K3061" s="12"/>
      <c r="L3061" s="12"/>
      <c r="M3061" s="11" t="s">
        <v>14417</v>
      </c>
      <c r="N3061" s="5" t="s">
        <v>14418</v>
      </c>
      <c r="O3061" s="5" t="s">
        <v>26</v>
      </c>
      <c r="P3061" s="15"/>
      <c r="Q3061" s="15"/>
      <c r="R3061" s="422"/>
      <c r="S3061" s="15"/>
      <c r="T3061" s="15"/>
      <c r="U3061" s="15"/>
      <c r="V3061" s="15"/>
      <c r="W3061" s="15"/>
      <c r="X3061" s="15"/>
      <c r="Y3061" s="15"/>
      <c r="Z3061" s="15"/>
      <c r="AA3061" s="15"/>
    </row>
    <row r="3062">
      <c r="A3062" s="5" t="s">
        <v>14380</v>
      </c>
      <c r="B3062" s="131" t="s">
        <v>14419</v>
      </c>
      <c r="C3062" s="40" t="s">
        <v>14420</v>
      </c>
      <c r="D3062" s="11"/>
      <c r="E3062" s="11" t="s">
        <v>14421</v>
      </c>
      <c r="F3062" s="9">
        <v>10000.0</v>
      </c>
      <c r="G3062" s="321"/>
      <c r="H3062" s="11" t="s">
        <v>14422</v>
      </c>
      <c r="I3062" s="276"/>
      <c r="J3062" s="11" t="s">
        <v>4008</v>
      </c>
      <c r="K3062" s="12"/>
      <c r="L3062" s="12"/>
      <c r="M3062" s="11" t="s">
        <v>14386</v>
      </c>
      <c r="N3062" s="5" t="s">
        <v>14423</v>
      </c>
      <c r="O3062" s="5" t="s">
        <v>108</v>
      </c>
      <c r="P3062" s="15"/>
      <c r="Q3062" s="15"/>
      <c r="R3062" s="422"/>
      <c r="S3062" s="15"/>
      <c r="T3062" s="15"/>
      <c r="U3062" s="15"/>
      <c r="V3062" s="15"/>
      <c r="W3062" s="15"/>
      <c r="X3062" s="15"/>
      <c r="Y3062" s="15"/>
      <c r="Z3062" s="15"/>
      <c r="AA3062" s="15"/>
    </row>
    <row r="3063">
      <c r="A3063" s="5" t="s">
        <v>14380</v>
      </c>
      <c r="B3063" s="131" t="s">
        <v>14424</v>
      </c>
      <c r="C3063" s="40" t="s">
        <v>14425</v>
      </c>
      <c r="D3063" s="11"/>
      <c r="E3063" s="11" t="s">
        <v>3926</v>
      </c>
      <c r="F3063" s="90">
        <v>2000.0</v>
      </c>
      <c r="G3063" s="321"/>
      <c r="H3063" s="11" t="s">
        <v>519</v>
      </c>
      <c r="I3063" s="276"/>
      <c r="J3063" s="11" t="s">
        <v>25</v>
      </c>
      <c r="K3063" s="12"/>
      <c r="L3063" s="12"/>
      <c r="M3063" s="11" t="s">
        <v>14426</v>
      </c>
      <c r="N3063" s="5" t="s">
        <v>14427</v>
      </c>
      <c r="O3063" s="5" t="s">
        <v>108</v>
      </c>
      <c r="P3063" s="15"/>
      <c r="Q3063" s="15"/>
      <c r="R3063" s="422"/>
      <c r="S3063" s="15"/>
      <c r="T3063" s="15"/>
      <c r="U3063" s="15"/>
      <c r="V3063" s="15"/>
      <c r="W3063" s="15"/>
      <c r="X3063" s="15"/>
      <c r="Y3063" s="15"/>
      <c r="Z3063" s="15"/>
      <c r="AA3063" s="15"/>
    </row>
    <row r="3064">
      <c r="A3064" s="5" t="s">
        <v>14380</v>
      </c>
      <c r="B3064" s="131" t="s">
        <v>14428</v>
      </c>
      <c r="C3064" s="40" t="s">
        <v>14429</v>
      </c>
      <c r="D3064" s="11"/>
      <c r="E3064" s="11" t="s">
        <v>152</v>
      </c>
      <c r="F3064" s="90">
        <v>1000.0</v>
      </c>
      <c r="G3064" s="321"/>
      <c r="H3064" s="11" t="s">
        <v>14430</v>
      </c>
      <c r="I3064" s="276"/>
      <c r="J3064" s="11" t="s">
        <v>13644</v>
      </c>
      <c r="K3064" s="12"/>
      <c r="L3064" s="12"/>
      <c r="M3064" s="11" t="s">
        <v>9875</v>
      </c>
      <c r="N3064" s="5" t="s">
        <v>14431</v>
      </c>
      <c r="O3064" s="5" t="s">
        <v>34</v>
      </c>
      <c r="P3064" s="15"/>
      <c r="Q3064" s="15"/>
      <c r="R3064" s="422"/>
      <c r="S3064" s="15"/>
      <c r="T3064" s="15"/>
      <c r="U3064" s="15"/>
      <c r="V3064" s="15"/>
      <c r="W3064" s="15"/>
      <c r="X3064" s="15"/>
      <c r="Y3064" s="15"/>
      <c r="Z3064" s="15"/>
      <c r="AA3064" s="15"/>
    </row>
    <row r="3065">
      <c r="A3065" s="5" t="s">
        <v>14380</v>
      </c>
      <c r="B3065" s="131" t="s">
        <v>14432</v>
      </c>
      <c r="C3065" s="40" t="s">
        <v>14433</v>
      </c>
      <c r="D3065" s="11"/>
      <c r="E3065" s="11" t="s">
        <v>77</v>
      </c>
      <c r="F3065" s="90">
        <v>1000.0</v>
      </c>
      <c r="G3065" s="321"/>
      <c r="H3065" s="11" t="s">
        <v>1337</v>
      </c>
      <c r="I3065" s="276"/>
      <c r="J3065" s="11" t="s">
        <v>25</v>
      </c>
      <c r="K3065" s="12"/>
      <c r="L3065" s="12"/>
      <c r="M3065" s="11" t="s">
        <v>7651</v>
      </c>
      <c r="N3065" s="5" t="s">
        <v>9126</v>
      </c>
      <c r="O3065" s="5" t="s">
        <v>26</v>
      </c>
      <c r="P3065" s="15"/>
      <c r="Q3065" s="15"/>
      <c r="R3065" s="422"/>
      <c r="S3065" s="15"/>
      <c r="T3065" s="15"/>
      <c r="U3065" s="15"/>
      <c r="V3065" s="15"/>
      <c r="W3065" s="15"/>
      <c r="X3065" s="15"/>
      <c r="Y3065" s="15"/>
      <c r="Z3065" s="15"/>
      <c r="AA3065" s="15"/>
    </row>
    <row r="3066">
      <c r="A3066" s="5" t="s">
        <v>14380</v>
      </c>
      <c r="B3066" s="131" t="s">
        <v>14434</v>
      </c>
      <c r="C3066" s="40" t="s">
        <v>14435</v>
      </c>
      <c r="D3066" s="11"/>
      <c r="E3066" s="11" t="s">
        <v>14436</v>
      </c>
      <c r="F3066" s="90">
        <v>1000.0</v>
      </c>
      <c r="G3066" s="321"/>
      <c r="H3066" s="11" t="s">
        <v>11267</v>
      </c>
      <c r="I3066" s="276"/>
      <c r="J3066" s="11" t="s">
        <v>25</v>
      </c>
      <c r="K3066" s="13"/>
      <c r="L3066" s="13"/>
      <c r="M3066" s="14"/>
      <c r="N3066" s="15"/>
      <c r="O3066" s="5" t="s">
        <v>26</v>
      </c>
      <c r="P3066" s="15"/>
      <c r="Q3066" s="15"/>
      <c r="R3066" s="422"/>
      <c r="S3066" s="15"/>
      <c r="T3066" s="15"/>
      <c r="U3066" s="15"/>
      <c r="V3066" s="15"/>
      <c r="W3066" s="15"/>
      <c r="X3066" s="15"/>
      <c r="Y3066" s="15"/>
      <c r="Z3066" s="15"/>
      <c r="AA3066" s="15"/>
    </row>
    <row r="3067">
      <c r="A3067" s="5" t="s">
        <v>14380</v>
      </c>
      <c r="B3067" s="131" t="s">
        <v>14437</v>
      </c>
      <c r="C3067" s="40" t="s">
        <v>14438</v>
      </c>
      <c r="D3067" s="11"/>
      <c r="E3067" s="11" t="s">
        <v>130</v>
      </c>
      <c r="F3067" s="90">
        <v>2000.0</v>
      </c>
      <c r="G3067" s="321"/>
      <c r="H3067" s="11" t="s">
        <v>14439</v>
      </c>
      <c r="I3067" s="276"/>
      <c r="J3067" s="11" t="s">
        <v>8737</v>
      </c>
      <c r="K3067" s="12"/>
      <c r="L3067" s="12"/>
      <c r="M3067" s="11" t="s">
        <v>9742</v>
      </c>
      <c r="N3067" s="5" t="s">
        <v>14440</v>
      </c>
      <c r="O3067" s="5" t="s">
        <v>108</v>
      </c>
      <c r="P3067" s="15"/>
      <c r="Q3067" s="15"/>
      <c r="R3067" s="422"/>
      <c r="S3067" s="15"/>
      <c r="T3067" s="15"/>
      <c r="U3067" s="15"/>
      <c r="V3067" s="15"/>
      <c r="W3067" s="15"/>
      <c r="X3067" s="15"/>
      <c r="Y3067" s="15"/>
      <c r="Z3067" s="15"/>
      <c r="AA3067" s="15"/>
    </row>
    <row r="3068">
      <c r="A3068" s="5" t="s">
        <v>14380</v>
      </c>
      <c r="B3068" s="131" t="s">
        <v>14441</v>
      </c>
      <c r="C3068" s="40" t="s">
        <v>14442</v>
      </c>
      <c r="D3068" s="11"/>
      <c r="E3068" s="11" t="s">
        <v>5293</v>
      </c>
      <c r="F3068" s="90">
        <v>1000.0</v>
      </c>
      <c r="G3068" s="321"/>
      <c r="H3068" s="11" t="s">
        <v>8781</v>
      </c>
      <c r="I3068" s="276"/>
      <c r="J3068" s="11" t="s">
        <v>4008</v>
      </c>
      <c r="K3068" s="13"/>
      <c r="L3068" s="13"/>
      <c r="M3068" s="14"/>
      <c r="N3068" s="15"/>
      <c r="O3068" s="5" t="s">
        <v>26</v>
      </c>
      <c r="P3068" s="15"/>
      <c r="Q3068" s="15"/>
      <c r="R3068" s="422"/>
      <c r="S3068" s="15"/>
      <c r="T3068" s="15"/>
      <c r="U3068" s="15"/>
      <c r="V3068" s="15"/>
      <c r="W3068" s="15"/>
      <c r="X3068" s="15"/>
      <c r="Y3068" s="15"/>
      <c r="Z3068" s="15"/>
      <c r="AA3068" s="15"/>
    </row>
    <row r="3069">
      <c r="A3069" s="5" t="s">
        <v>14380</v>
      </c>
      <c r="B3069" s="131" t="s">
        <v>14443</v>
      </c>
      <c r="C3069" s="40" t="s">
        <v>14444</v>
      </c>
      <c r="D3069" s="11"/>
      <c r="E3069" s="11" t="s">
        <v>794</v>
      </c>
      <c r="F3069" s="90">
        <v>1000.0</v>
      </c>
      <c r="G3069" s="321"/>
      <c r="H3069" s="11" t="s">
        <v>44</v>
      </c>
      <c r="I3069" s="276"/>
      <c r="J3069" s="11" t="s">
        <v>25</v>
      </c>
      <c r="K3069" s="12"/>
      <c r="L3069" s="12"/>
      <c r="M3069" s="11" t="s">
        <v>7965</v>
      </c>
      <c r="N3069" s="5" t="s">
        <v>14445</v>
      </c>
      <c r="O3069" s="5" t="s">
        <v>26</v>
      </c>
      <c r="P3069" s="15"/>
      <c r="Q3069" s="15"/>
      <c r="R3069" s="422"/>
      <c r="S3069" s="15"/>
      <c r="T3069" s="15"/>
      <c r="U3069" s="15"/>
      <c r="V3069" s="15"/>
      <c r="W3069" s="15"/>
      <c r="X3069" s="15"/>
      <c r="Y3069" s="15"/>
      <c r="Z3069" s="15"/>
      <c r="AA3069" s="15"/>
    </row>
    <row r="3070">
      <c r="A3070" s="5" t="s">
        <v>14380</v>
      </c>
      <c r="B3070" s="131" t="s">
        <v>14446</v>
      </c>
      <c r="C3070" s="40" t="s">
        <v>14447</v>
      </c>
      <c r="D3070" s="11"/>
      <c r="E3070" s="11" t="s">
        <v>794</v>
      </c>
      <c r="F3070" s="9">
        <v>20000.0</v>
      </c>
      <c r="G3070" s="321"/>
      <c r="H3070" s="11" t="s">
        <v>44</v>
      </c>
      <c r="I3070" s="276"/>
      <c r="J3070" s="11" t="s">
        <v>25</v>
      </c>
      <c r="K3070" s="12"/>
      <c r="L3070" s="12"/>
      <c r="M3070" s="11" t="s">
        <v>8860</v>
      </c>
      <c r="N3070" s="5" t="s">
        <v>14448</v>
      </c>
      <c r="O3070" s="5" t="s">
        <v>26</v>
      </c>
      <c r="P3070" s="15"/>
      <c r="Q3070" s="15"/>
      <c r="R3070" s="422"/>
      <c r="S3070" s="15"/>
      <c r="T3070" s="15"/>
      <c r="U3070" s="15"/>
      <c r="V3070" s="15"/>
      <c r="W3070" s="15"/>
      <c r="X3070" s="15"/>
      <c r="Y3070" s="15"/>
      <c r="Z3070" s="15"/>
      <c r="AA3070" s="15"/>
    </row>
    <row r="3071">
      <c r="A3071" s="5" t="s">
        <v>14380</v>
      </c>
      <c r="B3071" s="131" t="s">
        <v>14449</v>
      </c>
      <c r="C3071" s="62" t="s">
        <v>14450</v>
      </c>
      <c r="D3071" s="11"/>
      <c r="E3071" s="11" t="s">
        <v>4096</v>
      </c>
      <c r="F3071" s="90">
        <v>1500.0</v>
      </c>
      <c r="G3071" s="321"/>
      <c r="H3071" s="11" t="s">
        <v>11530</v>
      </c>
      <c r="I3071" s="276"/>
      <c r="J3071" s="11" t="s">
        <v>4008</v>
      </c>
      <c r="K3071" s="12"/>
      <c r="L3071" s="12"/>
      <c r="M3071" s="11" t="s">
        <v>9587</v>
      </c>
      <c r="N3071" s="5" t="s">
        <v>14451</v>
      </c>
      <c r="O3071" s="5" t="s">
        <v>26</v>
      </c>
      <c r="P3071" s="15"/>
      <c r="Q3071" s="15"/>
      <c r="R3071" s="422"/>
      <c r="S3071" s="15"/>
      <c r="T3071" s="15"/>
      <c r="U3071" s="15"/>
      <c r="V3071" s="15"/>
      <c r="W3071" s="15"/>
      <c r="X3071" s="15"/>
      <c r="Y3071" s="15"/>
      <c r="Z3071" s="15"/>
      <c r="AA3071" s="15"/>
    </row>
    <row r="3072">
      <c r="A3072" s="5" t="s">
        <v>14380</v>
      </c>
      <c r="B3072" s="131" t="s">
        <v>14452</v>
      </c>
      <c r="C3072" s="40" t="s">
        <v>14453</v>
      </c>
      <c r="D3072" s="11"/>
      <c r="E3072" s="11" t="s">
        <v>10433</v>
      </c>
      <c r="F3072" s="90">
        <v>100.0</v>
      </c>
      <c r="G3072" s="321"/>
      <c r="H3072" s="11" t="s">
        <v>14454</v>
      </c>
      <c r="I3072" s="276"/>
      <c r="J3072" s="11" t="s">
        <v>25</v>
      </c>
      <c r="K3072" s="13"/>
      <c r="L3072" s="13"/>
      <c r="M3072" s="14"/>
      <c r="N3072" s="15"/>
      <c r="O3072" s="5" t="s">
        <v>14119</v>
      </c>
      <c r="P3072" s="15"/>
      <c r="Q3072" s="15"/>
      <c r="R3072" s="422"/>
      <c r="S3072" s="15"/>
      <c r="T3072" s="15"/>
      <c r="U3072" s="15"/>
      <c r="V3072" s="15"/>
      <c r="W3072" s="15"/>
      <c r="X3072" s="15"/>
      <c r="Y3072" s="15"/>
      <c r="Z3072" s="15"/>
      <c r="AA3072" s="15"/>
    </row>
    <row r="3073">
      <c r="A3073" s="352" t="s">
        <v>14380</v>
      </c>
      <c r="B3073" s="131" t="s">
        <v>14455</v>
      </c>
      <c r="C3073" s="40" t="s">
        <v>14456</v>
      </c>
      <c r="D3073" s="11"/>
      <c r="E3073" s="11" t="s">
        <v>9109</v>
      </c>
      <c r="F3073" s="90">
        <v>5000.0</v>
      </c>
      <c r="G3073" s="321"/>
      <c r="H3073" s="11" t="s">
        <v>14457</v>
      </c>
      <c r="I3073" s="276"/>
      <c r="J3073" s="11" t="s">
        <v>4008</v>
      </c>
      <c r="K3073" s="12"/>
      <c r="L3073" s="12"/>
      <c r="M3073" s="11" t="s">
        <v>14458</v>
      </c>
      <c r="N3073" s="5" t="s">
        <v>14459</v>
      </c>
      <c r="O3073" s="5" t="s">
        <v>26</v>
      </c>
      <c r="P3073" s="15"/>
      <c r="Q3073" s="15"/>
      <c r="R3073" s="422"/>
      <c r="S3073" s="15"/>
      <c r="T3073" s="15"/>
      <c r="U3073" s="15"/>
      <c r="V3073" s="15"/>
      <c r="W3073" s="15"/>
      <c r="X3073" s="15"/>
      <c r="Y3073" s="15"/>
      <c r="Z3073" s="15"/>
      <c r="AA3073" s="15"/>
    </row>
    <row r="3074">
      <c r="A3074" s="5" t="s">
        <v>14380</v>
      </c>
      <c r="B3074" s="131" t="s">
        <v>14460</v>
      </c>
      <c r="C3074" s="40" t="s">
        <v>14461</v>
      </c>
      <c r="D3074" s="11"/>
      <c r="E3074" s="11" t="s">
        <v>10426</v>
      </c>
      <c r="F3074" s="90">
        <v>5000.0</v>
      </c>
      <c r="G3074" s="321"/>
      <c r="H3074" s="11" t="s">
        <v>14462</v>
      </c>
      <c r="I3074" s="276"/>
      <c r="J3074" s="11" t="s">
        <v>4008</v>
      </c>
      <c r="K3074" s="12"/>
      <c r="L3074" s="12"/>
      <c r="M3074" s="11" t="s">
        <v>14463</v>
      </c>
      <c r="N3074" s="5" t="s">
        <v>14464</v>
      </c>
      <c r="O3074" s="5" t="s">
        <v>1030</v>
      </c>
      <c r="P3074" s="15"/>
      <c r="Q3074" s="15"/>
      <c r="R3074" s="422"/>
      <c r="S3074" s="15"/>
      <c r="T3074" s="15"/>
      <c r="U3074" s="15"/>
      <c r="V3074" s="15"/>
      <c r="W3074" s="15"/>
      <c r="X3074" s="15"/>
      <c r="Y3074" s="15"/>
      <c r="Z3074" s="15"/>
      <c r="AA3074" s="15"/>
    </row>
    <row r="3075">
      <c r="A3075" s="5" t="s">
        <v>14380</v>
      </c>
      <c r="B3075" s="131" t="s">
        <v>14465</v>
      </c>
      <c r="C3075" s="424" t="s">
        <v>14466</v>
      </c>
      <c r="D3075" s="11"/>
      <c r="E3075" s="11" t="s">
        <v>207</v>
      </c>
      <c r="F3075" s="90">
        <v>8000.0</v>
      </c>
      <c r="G3075" s="321"/>
      <c r="H3075" s="11" t="s">
        <v>12134</v>
      </c>
      <c r="I3075" s="276"/>
      <c r="J3075" s="11" t="s">
        <v>8737</v>
      </c>
      <c r="K3075" s="13"/>
      <c r="L3075" s="13"/>
      <c r="M3075" s="14"/>
      <c r="N3075" s="15"/>
      <c r="O3075" s="5" t="s">
        <v>108</v>
      </c>
      <c r="P3075" s="15"/>
      <c r="Q3075" s="15"/>
      <c r="R3075" s="422"/>
      <c r="S3075" s="15"/>
      <c r="T3075" s="15"/>
      <c r="U3075" s="15"/>
      <c r="V3075" s="15"/>
      <c r="W3075" s="15"/>
      <c r="X3075" s="15"/>
      <c r="Y3075" s="15"/>
      <c r="Z3075" s="15"/>
      <c r="AA3075" s="15"/>
    </row>
    <row r="3076">
      <c r="A3076" s="5" t="s">
        <v>14380</v>
      </c>
      <c r="B3076" s="131" t="s">
        <v>14467</v>
      </c>
      <c r="C3076" s="62" t="s">
        <v>14468</v>
      </c>
      <c r="D3076" s="11"/>
      <c r="E3076" s="11" t="s">
        <v>8779</v>
      </c>
      <c r="F3076" s="9">
        <v>10000.0</v>
      </c>
      <c r="G3076" s="321"/>
      <c r="H3076" s="11" t="s">
        <v>14469</v>
      </c>
      <c r="I3076" s="276"/>
      <c r="J3076" s="11" t="s">
        <v>4008</v>
      </c>
      <c r="K3076" s="12"/>
      <c r="L3076" s="12"/>
      <c r="M3076" s="11" t="s">
        <v>6155</v>
      </c>
      <c r="N3076" s="5" t="s">
        <v>14470</v>
      </c>
      <c r="O3076" s="5" t="s">
        <v>108</v>
      </c>
      <c r="P3076" s="15"/>
      <c r="Q3076" s="15"/>
      <c r="R3076" s="422"/>
      <c r="S3076" s="15"/>
      <c r="T3076" s="15"/>
      <c r="U3076" s="15"/>
      <c r="V3076" s="15"/>
      <c r="W3076" s="15"/>
      <c r="X3076" s="15"/>
      <c r="Y3076" s="15"/>
      <c r="Z3076" s="15"/>
      <c r="AA3076" s="15"/>
    </row>
    <row r="3077">
      <c r="A3077" s="5" t="s">
        <v>14471</v>
      </c>
      <c r="B3077" s="131" t="s">
        <v>14472</v>
      </c>
      <c r="C3077" s="40" t="s">
        <v>14473</v>
      </c>
      <c r="D3077" s="11"/>
      <c r="E3077" s="11" t="s">
        <v>152</v>
      </c>
      <c r="F3077" s="90">
        <v>1000.0</v>
      </c>
      <c r="G3077" s="321"/>
      <c r="H3077" s="11" t="s">
        <v>14474</v>
      </c>
      <c r="I3077" s="276"/>
      <c r="J3077" s="11" t="s">
        <v>14475</v>
      </c>
      <c r="K3077" s="12"/>
      <c r="L3077" s="12"/>
      <c r="M3077" s="11" t="s">
        <v>11262</v>
      </c>
      <c r="N3077" s="5" t="s">
        <v>14476</v>
      </c>
      <c r="O3077" s="5" t="s">
        <v>26</v>
      </c>
      <c r="P3077" s="15"/>
      <c r="Q3077" s="15"/>
      <c r="R3077" s="422"/>
      <c r="S3077" s="15"/>
      <c r="T3077" s="15"/>
      <c r="U3077" s="15"/>
      <c r="V3077" s="15"/>
      <c r="W3077" s="15"/>
      <c r="X3077" s="15"/>
      <c r="Y3077" s="15"/>
      <c r="Z3077" s="15"/>
      <c r="AA3077" s="15"/>
    </row>
    <row r="3078">
      <c r="A3078" s="5" t="s">
        <v>14471</v>
      </c>
      <c r="B3078" s="131" t="s">
        <v>14477</v>
      </c>
      <c r="C3078" s="40" t="s">
        <v>14478</v>
      </c>
      <c r="D3078" s="11"/>
      <c r="E3078" s="11" t="s">
        <v>167</v>
      </c>
      <c r="F3078" s="9">
        <v>250000.0</v>
      </c>
      <c r="G3078" s="321"/>
      <c r="H3078" s="11" t="s">
        <v>735</v>
      </c>
      <c r="I3078" s="276"/>
      <c r="J3078" s="11" t="s">
        <v>12259</v>
      </c>
      <c r="K3078" s="12"/>
      <c r="L3078" s="12"/>
      <c r="M3078" s="11" t="s">
        <v>7965</v>
      </c>
      <c r="N3078" s="5" t="s">
        <v>14479</v>
      </c>
      <c r="O3078" s="5" t="s">
        <v>26</v>
      </c>
      <c r="P3078" s="15"/>
      <c r="Q3078" s="15"/>
      <c r="R3078" s="422"/>
      <c r="S3078" s="15"/>
      <c r="T3078" s="15"/>
      <c r="U3078" s="15"/>
      <c r="V3078" s="15"/>
      <c r="W3078" s="15"/>
      <c r="X3078" s="15"/>
      <c r="Y3078" s="15"/>
      <c r="Z3078" s="15"/>
      <c r="AA3078" s="15"/>
    </row>
    <row r="3079">
      <c r="A3079" s="352" t="s">
        <v>14471</v>
      </c>
      <c r="B3079" s="131" t="s">
        <v>14480</v>
      </c>
      <c r="C3079" s="40" t="s">
        <v>14481</v>
      </c>
      <c r="D3079" s="11"/>
      <c r="E3079" s="11" t="s">
        <v>523</v>
      </c>
      <c r="F3079" s="9">
        <v>20000.0</v>
      </c>
      <c r="G3079" s="321"/>
      <c r="H3079" s="11" t="s">
        <v>1691</v>
      </c>
      <c r="I3079" s="276"/>
      <c r="J3079" s="11" t="s">
        <v>25</v>
      </c>
      <c r="K3079" s="12"/>
      <c r="L3079" s="12"/>
      <c r="M3079" s="11" t="s">
        <v>9901</v>
      </c>
      <c r="N3079" s="5" t="s">
        <v>14482</v>
      </c>
      <c r="O3079" s="5" t="s">
        <v>26</v>
      </c>
      <c r="P3079" s="15"/>
      <c r="Q3079" s="15"/>
      <c r="R3079" s="422"/>
      <c r="S3079" s="15"/>
      <c r="T3079" s="15"/>
      <c r="U3079" s="15"/>
      <c r="V3079" s="15"/>
      <c r="W3079" s="15"/>
      <c r="X3079" s="15"/>
      <c r="Y3079" s="15"/>
      <c r="Z3079" s="15"/>
      <c r="AA3079" s="15"/>
    </row>
    <row r="3080">
      <c r="A3080" s="5" t="s">
        <v>14471</v>
      </c>
      <c r="B3080" s="131" t="s">
        <v>14483</v>
      </c>
      <c r="C3080" s="40" t="s">
        <v>14484</v>
      </c>
      <c r="D3080" s="11"/>
      <c r="E3080" s="11" t="s">
        <v>1565</v>
      </c>
      <c r="F3080" s="90">
        <v>8000.0</v>
      </c>
      <c r="G3080" s="321"/>
      <c r="H3080" s="11" t="s">
        <v>14485</v>
      </c>
      <c r="I3080" s="276"/>
      <c r="J3080" s="11" t="s">
        <v>25</v>
      </c>
      <c r="K3080" s="12"/>
      <c r="L3080" s="12"/>
      <c r="M3080" s="11" t="s">
        <v>9298</v>
      </c>
      <c r="N3080" s="5" t="s">
        <v>14486</v>
      </c>
      <c r="O3080" s="5" t="s">
        <v>26</v>
      </c>
      <c r="P3080" s="15"/>
      <c r="Q3080" s="15"/>
      <c r="R3080" s="422"/>
      <c r="S3080" s="15"/>
      <c r="T3080" s="15"/>
      <c r="U3080" s="15"/>
      <c r="V3080" s="15"/>
      <c r="W3080" s="15"/>
      <c r="X3080" s="15"/>
      <c r="Y3080" s="15"/>
      <c r="Z3080" s="15"/>
      <c r="AA3080" s="15"/>
    </row>
    <row r="3081">
      <c r="A3081" s="5" t="s">
        <v>14471</v>
      </c>
      <c r="B3081" s="131" t="s">
        <v>14487</v>
      </c>
      <c r="C3081" s="40" t="s">
        <v>14488</v>
      </c>
      <c r="D3081" s="11"/>
      <c r="E3081" s="11" t="s">
        <v>207</v>
      </c>
      <c r="F3081" s="90">
        <v>200.0</v>
      </c>
      <c r="G3081" s="321"/>
      <c r="H3081" s="11" t="s">
        <v>44</v>
      </c>
      <c r="I3081" s="276"/>
      <c r="J3081" s="11" t="s">
        <v>25</v>
      </c>
      <c r="K3081" s="13"/>
      <c r="L3081" s="13"/>
      <c r="M3081" s="14"/>
      <c r="N3081" s="15"/>
      <c r="O3081" s="5" t="s">
        <v>14119</v>
      </c>
      <c r="P3081" s="15"/>
      <c r="Q3081" s="15"/>
      <c r="R3081" s="422"/>
      <c r="S3081" s="15"/>
      <c r="T3081" s="15"/>
      <c r="U3081" s="15"/>
      <c r="V3081" s="15"/>
      <c r="W3081" s="15"/>
      <c r="X3081" s="15"/>
      <c r="Y3081" s="15"/>
      <c r="Z3081" s="15"/>
      <c r="AA3081" s="15"/>
    </row>
    <row r="3082">
      <c r="A3082" s="5" t="s">
        <v>14471</v>
      </c>
      <c r="B3082" s="131" t="s">
        <v>14489</v>
      </c>
      <c r="C3082" s="40" t="s">
        <v>14490</v>
      </c>
      <c r="D3082" s="11"/>
      <c r="E3082" s="11" t="s">
        <v>7700</v>
      </c>
      <c r="F3082" s="9">
        <v>20000.0</v>
      </c>
      <c r="G3082" s="321"/>
      <c r="H3082" s="11" t="s">
        <v>14491</v>
      </c>
      <c r="I3082" s="276"/>
      <c r="J3082" s="11" t="s">
        <v>25</v>
      </c>
      <c r="K3082" s="13"/>
      <c r="L3082" s="13"/>
      <c r="M3082" s="14"/>
      <c r="N3082" s="15"/>
      <c r="O3082" s="5" t="s">
        <v>108</v>
      </c>
      <c r="P3082" s="15"/>
      <c r="Q3082" s="15"/>
      <c r="R3082" s="422"/>
      <c r="S3082" s="15"/>
      <c r="T3082" s="15"/>
      <c r="U3082" s="15"/>
      <c r="V3082" s="15"/>
      <c r="W3082" s="15"/>
      <c r="X3082" s="15"/>
      <c r="Y3082" s="15"/>
      <c r="Z3082" s="15"/>
      <c r="AA3082" s="15"/>
    </row>
    <row r="3083">
      <c r="A3083" s="5" t="s">
        <v>14471</v>
      </c>
      <c r="B3083" s="131" t="s">
        <v>14492</v>
      </c>
      <c r="C3083" s="40" t="s">
        <v>14493</v>
      </c>
      <c r="D3083" s="11"/>
      <c r="E3083" s="11" t="s">
        <v>12255</v>
      </c>
      <c r="F3083" s="90">
        <v>100.0</v>
      </c>
      <c r="G3083" s="321"/>
      <c r="H3083" s="11" t="s">
        <v>44</v>
      </c>
      <c r="I3083" s="276"/>
      <c r="J3083" s="11" t="s">
        <v>25</v>
      </c>
      <c r="K3083" s="12"/>
      <c r="L3083" s="12"/>
      <c r="M3083" s="11" t="s">
        <v>9983</v>
      </c>
      <c r="N3083" s="5" t="s">
        <v>14494</v>
      </c>
      <c r="O3083" s="5" t="s">
        <v>14119</v>
      </c>
      <c r="P3083" s="15"/>
      <c r="Q3083" s="15"/>
      <c r="R3083" s="422"/>
      <c r="S3083" s="15"/>
      <c r="T3083" s="15"/>
      <c r="U3083" s="15"/>
      <c r="V3083" s="15"/>
      <c r="W3083" s="15"/>
      <c r="X3083" s="15"/>
      <c r="Y3083" s="15"/>
      <c r="Z3083" s="15"/>
      <c r="AA3083" s="15"/>
    </row>
    <row r="3084">
      <c r="A3084" s="5" t="s">
        <v>14471</v>
      </c>
      <c r="B3084" s="131" t="s">
        <v>14495</v>
      </c>
      <c r="C3084" s="40" t="s">
        <v>14496</v>
      </c>
      <c r="D3084" s="11"/>
      <c r="E3084" s="11" t="s">
        <v>9682</v>
      </c>
      <c r="F3084" s="90">
        <v>1000.0</v>
      </c>
      <c r="G3084" s="321"/>
      <c r="H3084" s="11" t="s">
        <v>14497</v>
      </c>
      <c r="I3084" s="276"/>
      <c r="J3084" s="11" t="s">
        <v>4008</v>
      </c>
      <c r="K3084" s="13"/>
      <c r="L3084" s="13"/>
      <c r="M3084" s="14"/>
      <c r="N3084" s="15"/>
      <c r="O3084" s="5" t="s">
        <v>26</v>
      </c>
      <c r="P3084" s="15"/>
      <c r="Q3084" s="15"/>
      <c r="R3084" s="422"/>
      <c r="S3084" s="15"/>
      <c r="T3084" s="15"/>
      <c r="U3084" s="15"/>
      <c r="V3084" s="15"/>
      <c r="W3084" s="15"/>
      <c r="X3084" s="15"/>
      <c r="Y3084" s="15"/>
      <c r="Z3084" s="15"/>
      <c r="AA3084" s="15"/>
    </row>
    <row r="3085">
      <c r="A3085" s="5" t="s">
        <v>14471</v>
      </c>
      <c r="B3085" s="131" t="s">
        <v>14498</v>
      </c>
      <c r="C3085" s="40" t="s">
        <v>14499</v>
      </c>
      <c r="D3085" s="11"/>
      <c r="E3085" s="11" t="s">
        <v>6405</v>
      </c>
      <c r="F3085" s="9">
        <v>40000.0</v>
      </c>
      <c r="G3085" s="321"/>
      <c r="H3085" s="11" t="s">
        <v>44</v>
      </c>
      <c r="I3085" s="423"/>
      <c r="J3085" s="14"/>
      <c r="K3085" s="13"/>
      <c r="L3085" s="13"/>
      <c r="M3085" s="14"/>
      <c r="N3085" s="15"/>
      <c r="O3085" s="5" t="s">
        <v>26</v>
      </c>
      <c r="P3085" s="15"/>
      <c r="Q3085" s="15"/>
      <c r="R3085" s="422"/>
      <c r="S3085" s="15"/>
      <c r="T3085" s="15"/>
      <c r="U3085" s="15"/>
      <c r="V3085" s="15"/>
      <c r="W3085" s="15"/>
      <c r="X3085" s="15"/>
      <c r="Y3085" s="15"/>
      <c r="Z3085" s="15"/>
      <c r="AA3085" s="15"/>
    </row>
    <row r="3086">
      <c r="A3086" s="5" t="s">
        <v>14471</v>
      </c>
      <c r="B3086" s="131" t="s">
        <v>14500</v>
      </c>
      <c r="C3086" s="40" t="s">
        <v>14501</v>
      </c>
      <c r="D3086" s="11"/>
      <c r="E3086" s="11" t="s">
        <v>14502</v>
      </c>
      <c r="F3086" s="9">
        <v>100000.0</v>
      </c>
      <c r="G3086" s="321"/>
      <c r="H3086" s="11" t="s">
        <v>906</v>
      </c>
      <c r="I3086" s="276"/>
      <c r="J3086" s="11" t="s">
        <v>25</v>
      </c>
      <c r="K3086" s="13"/>
      <c r="L3086" s="13"/>
      <c r="M3086" s="14"/>
      <c r="N3086" s="15"/>
      <c r="O3086" s="5" t="s">
        <v>108</v>
      </c>
      <c r="P3086" s="15"/>
      <c r="Q3086" s="15"/>
      <c r="R3086" s="422"/>
      <c r="S3086" s="15"/>
      <c r="T3086" s="15"/>
      <c r="U3086" s="15"/>
      <c r="V3086" s="15"/>
      <c r="W3086" s="15"/>
      <c r="X3086" s="15"/>
      <c r="Y3086" s="15"/>
      <c r="Z3086" s="15"/>
      <c r="AA3086" s="15"/>
    </row>
    <row r="3087">
      <c r="A3087" s="5" t="s">
        <v>14471</v>
      </c>
      <c r="B3087" s="131" t="s">
        <v>14503</v>
      </c>
      <c r="C3087" s="40" t="s">
        <v>14504</v>
      </c>
      <c r="D3087" s="11"/>
      <c r="E3087" s="11" t="s">
        <v>2813</v>
      </c>
      <c r="F3087" s="90">
        <v>5000.0</v>
      </c>
      <c r="G3087" s="321"/>
      <c r="H3087" s="11" t="s">
        <v>449</v>
      </c>
      <c r="I3087" s="276"/>
      <c r="J3087" s="11" t="s">
        <v>4008</v>
      </c>
      <c r="K3087" s="12"/>
      <c r="L3087" s="12"/>
      <c r="M3087" s="11" t="s">
        <v>8348</v>
      </c>
      <c r="N3087" s="5" t="s">
        <v>14505</v>
      </c>
      <c r="O3087" s="5" t="s">
        <v>26</v>
      </c>
      <c r="P3087" s="15"/>
      <c r="Q3087" s="15"/>
      <c r="R3087" s="422"/>
      <c r="S3087" s="15"/>
      <c r="T3087" s="15"/>
      <c r="U3087" s="15"/>
      <c r="V3087" s="15"/>
      <c r="W3087" s="15"/>
      <c r="X3087" s="15"/>
      <c r="Y3087" s="15"/>
      <c r="Z3087" s="15"/>
      <c r="AA3087" s="15"/>
    </row>
    <row r="3088">
      <c r="A3088" s="5" t="s">
        <v>14471</v>
      </c>
      <c r="B3088" s="131" t="s">
        <v>14506</v>
      </c>
      <c r="C3088" s="40" t="s">
        <v>14507</v>
      </c>
      <c r="D3088" s="11"/>
      <c r="E3088" s="11" t="s">
        <v>14508</v>
      </c>
      <c r="F3088" s="9">
        <v>10000.0</v>
      </c>
      <c r="G3088" s="321"/>
      <c r="H3088" s="11" t="s">
        <v>44</v>
      </c>
      <c r="I3088" s="276"/>
      <c r="J3088" s="11" t="s">
        <v>25</v>
      </c>
      <c r="K3088" s="12"/>
      <c r="L3088" s="12"/>
      <c r="M3088" s="11" t="s">
        <v>9949</v>
      </c>
      <c r="N3088" s="5" t="s">
        <v>14509</v>
      </c>
      <c r="O3088" s="5" t="s">
        <v>26</v>
      </c>
      <c r="P3088" s="15"/>
      <c r="Q3088" s="15"/>
      <c r="R3088" s="422"/>
      <c r="S3088" s="15"/>
      <c r="T3088" s="15"/>
      <c r="U3088" s="15"/>
      <c r="V3088" s="15"/>
      <c r="W3088" s="15"/>
      <c r="X3088" s="15"/>
      <c r="Y3088" s="15"/>
      <c r="Z3088" s="15"/>
      <c r="AA3088" s="15"/>
    </row>
    <row r="3089">
      <c r="A3089" s="5" t="s">
        <v>14471</v>
      </c>
      <c r="B3089" s="131" t="s">
        <v>14510</v>
      </c>
      <c r="C3089" s="40" t="s">
        <v>14511</v>
      </c>
      <c r="D3089" s="11"/>
      <c r="E3089" s="11" t="s">
        <v>152</v>
      </c>
      <c r="F3089" s="90">
        <v>5000.0</v>
      </c>
      <c r="G3089" s="321"/>
      <c r="H3089" s="11" t="s">
        <v>617</v>
      </c>
      <c r="I3089" s="276"/>
      <c r="J3089" s="11" t="s">
        <v>4008</v>
      </c>
      <c r="K3089" s="13"/>
      <c r="L3089" s="13"/>
      <c r="M3089" s="14"/>
      <c r="N3089" s="15"/>
      <c r="O3089" s="5" t="s">
        <v>108</v>
      </c>
      <c r="P3089" s="15"/>
      <c r="Q3089" s="15"/>
      <c r="R3089" s="422"/>
      <c r="S3089" s="15"/>
      <c r="T3089" s="15"/>
      <c r="U3089" s="15"/>
      <c r="V3089" s="15"/>
      <c r="W3089" s="15"/>
      <c r="X3089" s="15"/>
      <c r="Y3089" s="15"/>
      <c r="Z3089" s="15"/>
      <c r="AA3089" s="15"/>
    </row>
    <row r="3090">
      <c r="A3090" s="5" t="s">
        <v>14471</v>
      </c>
      <c r="B3090" s="131" t="s">
        <v>14512</v>
      </c>
      <c r="C3090" s="40" t="s">
        <v>14513</v>
      </c>
      <c r="D3090" s="11"/>
      <c r="E3090" s="11" t="s">
        <v>14385</v>
      </c>
      <c r="F3090" s="90">
        <v>3000.0</v>
      </c>
      <c r="G3090" s="321"/>
      <c r="H3090" s="11" t="s">
        <v>12134</v>
      </c>
      <c r="I3090" s="276"/>
      <c r="J3090" s="11" t="s">
        <v>25</v>
      </c>
      <c r="K3090" s="12"/>
      <c r="L3090" s="12"/>
      <c r="M3090" s="11" t="s">
        <v>14514</v>
      </c>
      <c r="N3090" s="5" t="s">
        <v>14515</v>
      </c>
      <c r="O3090" s="5" t="s">
        <v>1030</v>
      </c>
      <c r="P3090" s="11" t="s">
        <v>14516</v>
      </c>
      <c r="Q3090" s="15"/>
      <c r="R3090" s="422"/>
      <c r="S3090" s="15"/>
      <c r="T3090" s="15"/>
      <c r="U3090" s="15"/>
      <c r="V3090" s="15"/>
      <c r="W3090" s="15"/>
      <c r="X3090" s="15"/>
      <c r="Y3090" s="15"/>
      <c r="Z3090" s="15"/>
      <c r="AA3090" s="15"/>
    </row>
    <row r="3091">
      <c r="A3091" s="5" t="s">
        <v>14471</v>
      </c>
      <c r="B3091" s="131" t="s">
        <v>14517</v>
      </c>
      <c r="C3091" s="40" t="s">
        <v>14518</v>
      </c>
      <c r="D3091" s="11"/>
      <c r="E3091" s="11" t="s">
        <v>652</v>
      </c>
      <c r="F3091" s="90">
        <v>100.0</v>
      </c>
      <c r="G3091" s="321"/>
      <c r="H3091" s="11" t="s">
        <v>44</v>
      </c>
      <c r="I3091" s="276"/>
      <c r="J3091" s="11" t="s">
        <v>25</v>
      </c>
      <c r="K3091" s="13"/>
      <c r="L3091" s="13"/>
      <c r="M3091" s="14"/>
      <c r="N3091" s="15"/>
      <c r="O3091" s="5" t="s">
        <v>14119</v>
      </c>
      <c r="P3091" s="15"/>
      <c r="Q3091" s="15"/>
      <c r="R3091" s="422"/>
      <c r="S3091" s="15"/>
      <c r="T3091" s="15"/>
      <c r="U3091" s="15"/>
      <c r="V3091" s="15"/>
      <c r="W3091" s="15"/>
      <c r="X3091" s="15"/>
      <c r="Y3091" s="15"/>
      <c r="Z3091" s="15"/>
      <c r="AA3091" s="15"/>
    </row>
    <row r="3092">
      <c r="A3092" s="5" t="s">
        <v>14471</v>
      </c>
      <c r="B3092" s="131" t="s">
        <v>14519</v>
      </c>
      <c r="C3092" s="40" t="s">
        <v>8119</v>
      </c>
      <c r="D3092" s="11"/>
      <c r="E3092" s="11" t="s">
        <v>1309</v>
      </c>
      <c r="F3092" s="90">
        <v>1000.0</v>
      </c>
      <c r="G3092" s="321"/>
      <c r="H3092" s="11" t="s">
        <v>906</v>
      </c>
      <c r="I3092" s="276"/>
      <c r="J3092" s="11" t="s">
        <v>25</v>
      </c>
      <c r="K3092" s="13"/>
      <c r="L3092" s="13"/>
      <c r="M3092" s="14"/>
      <c r="N3092" s="15"/>
      <c r="O3092" s="5" t="s">
        <v>1030</v>
      </c>
      <c r="P3092" s="15"/>
      <c r="Q3092" s="15"/>
      <c r="R3092" s="422"/>
      <c r="S3092" s="15"/>
      <c r="T3092" s="15"/>
      <c r="U3092" s="15"/>
      <c r="V3092" s="15"/>
      <c r="W3092" s="15"/>
      <c r="X3092" s="15"/>
      <c r="Y3092" s="15"/>
      <c r="Z3092" s="15"/>
      <c r="AA3092" s="15"/>
    </row>
    <row r="3093">
      <c r="A3093" s="5" t="s">
        <v>14471</v>
      </c>
      <c r="B3093" s="131" t="s">
        <v>14520</v>
      </c>
      <c r="C3093" s="40" t="s">
        <v>14521</v>
      </c>
      <c r="D3093" s="11"/>
      <c r="E3093" s="11" t="s">
        <v>794</v>
      </c>
      <c r="F3093" s="90">
        <v>1000.0</v>
      </c>
      <c r="G3093" s="321"/>
      <c r="H3093" s="11" t="s">
        <v>44</v>
      </c>
      <c r="I3093" s="276"/>
      <c r="J3093" s="11" t="s">
        <v>25</v>
      </c>
      <c r="K3093" s="13"/>
      <c r="L3093" s="13"/>
      <c r="M3093" s="14"/>
      <c r="N3093" s="15"/>
      <c r="O3093" s="5" t="s">
        <v>26</v>
      </c>
      <c r="P3093" s="15"/>
      <c r="Q3093" s="15"/>
      <c r="R3093" s="422"/>
      <c r="S3093" s="15"/>
      <c r="T3093" s="15"/>
      <c r="U3093" s="15"/>
      <c r="V3093" s="15"/>
      <c r="W3093" s="15"/>
      <c r="X3093" s="15"/>
      <c r="Y3093" s="15"/>
      <c r="Z3093" s="15"/>
      <c r="AA3093" s="15"/>
    </row>
    <row r="3094">
      <c r="A3094" s="5" t="s">
        <v>14471</v>
      </c>
      <c r="B3094" s="131" t="s">
        <v>14522</v>
      </c>
      <c r="C3094" s="40" t="s">
        <v>14523</v>
      </c>
      <c r="D3094" s="11"/>
      <c r="E3094" s="11" t="s">
        <v>207</v>
      </c>
      <c r="F3094" s="9">
        <v>10000.0</v>
      </c>
      <c r="G3094" s="321"/>
      <c r="H3094" s="11" t="s">
        <v>14524</v>
      </c>
      <c r="I3094" s="276"/>
      <c r="J3094" s="11" t="s">
        <v>8737</v>
      </c>
      <c r="K3094" s="12"/>
      <c r="L3094" s="12"/>
      <c r="M3094" s="11" t="s">
        <v>9649</v>
      </c>
      <c r="N3094" s="11" t="s">
        <v>14525</v>
      </c>
      <c r="O3094" s="5" t="s">
        <v>34</v>
      </c>
      <c r="P3094" s="5" t="s">
        <v>10092</v>
      </c>
      <c r="Q3094" s="15"/>
      <c r="R3094" s="422"/>
      <c r="S3094" s="15"/>
      <c r="T3094" s="15"/>
      <c r="U3094" s="15"/>
      <c r="V3094" s="15"/>
      <c r="W3094" s="15"/>
      <c r="X3094" s="15"/>
      <c r="Y3094" s="15"/>
      <c r="Z3094" s="15"/>
      <c r="AA3094" s="15"/>
    </row>
    <row r="3095">
      <c r="A3095" s="5" t="s">
        <v>14471</v>
      </c>
      <c r="B3095" s="131" t="s">
        <v>14526</v>
      </c>
      <c r="C3095" s="40" t="s">
        <v>14527</v>
      </c>
      <c r="D3095" s="11"/>
      <c r="E3095" s="11" t="s">
        <v>4507</v>
      </c>
      <c r="F3095" s="90">
        <v>2000.0</v>
      </c>
      <c r="G3095" s="321"/>
      <c r="H3095" s="11" t="s">
        <v>44</v>
      </c>
      <c r="I3095" s="276"/>
      <c r="J3095" s="11" t="s">
        <v>4008</v>
      </c>
      <c r="K3095" s="12"/>
      <c r="L3095" s="12"/>
      <c r="M3095" s="11" t="s">
        <v>9901</v>
      </c>
      <c r="N3095" s="5" t="s">
        <v>14528</v>
      </c>
      <c r="O3095" s="5" t="s">
        <v>26</v>
      </c>
      <c r="P3095" s="15"/>
      <c r="Q3095" s="15"/>
      <c r="R3095" s="422"/>
      <c r="S3095" s="15"/>
      <c r="T3095" s="15"/>
      <c r="U3095" s="15"/>
      <c r="V3095" s="15"/>
      <c r="W3095" s="15"/>
      <c r="X3095" s="15"/>
      <c r="Y3095" s="15"/>
      <c r="Z3095" s="15"/>
      <c r="AA3095" s="15"/>
    </row>
    <row r="3096">
      <c r="A3096" s="5" t="s">
        <v>14471</v>
      </c>
      <c r="B3096" s="131" t="s">
        <v>14529</v>
      </c>
      <c r="C3096" s="40" t="s">
        <v>3173</v>
      </c>
      <c r="D3096" s="11"/>
      <c r="E3096" s="11" t="s">
        <v>1230</v>
      </c>
      <c r="F3096" s="9">
        <v>500000.0</v>
      </c>
      <c r="G3096" s="321"/>
      <c r="H3096" s="11" t="s">
        <v>14530</v>
      </c>
      <c r="I3096" s="276"/>
      <c r="J3096" s="11" t="s">
        <v>25</v>
      </c>
      <c r="K3096" s="13"/>
      <c r="L3096" s="13"/>
      <c r="M3096" s="14"/>
      <c r="N3096" s="15"/>
      <c r="O3096" s="5" t="s">
        <v>108</v>
      </c>
      <c r="P3096" s="15"/>
      <c r="Q3096" s="15"/>
      <c r="R3096" s="422"/>
      <c r="S3096" s="15"/>
      <c r="T3096" s="15"/>
      <c r="U3096" s="15"/>
      <c r="V3096" s="15"/>
      <c r="W3096" s="15"/>
      <c r="X3096" s="15"/>
      <c r="Y3096" s="15"/>
      <c r="Z3096" s="15"/>
      <c r="AA3096" s="15"/>
    </row>
    <row r="3097">
      <c r="A3097" s="5" t="s">
        <v>14471</v>
      </c>
      <c r="B3097" s="131" t="s">
        <v>14531</v>
      </c>
      <c r="C3097" s="40" t="s">
        <v>11413</v>
      </c>
      <c r="D3097" s="11"/>
      <c r="E3097" s="11" t="s">
        <v>14532</v>
      </c>
      <c r="F3097" s="9">
        <v>10000.0</v>
      </c>
      <c r="G3097" s="321"/>
      <c r="H3097" s="11" t="s">
        <v>8781</v>
      </c>
      <c r="I3097" s="276"/>
      <c r="J3097" s="11" t="s">
        <v>4008</v>
      </c>
      <c r="K3097" s="13"/>
      <c r="L3097" s="13"/>
      <c r="M3097" s="14"/>
      <c r="N3097" s="15"/>
      <c r="O3097" s="5" t="s">
        <v>26</v>
      </c>
      <c r="P3097" s="15"/>
      <c r="Q3097" s="15"/>
      <c r="R3097" s="422"/>
      <c r="S3097" s="15"/>
      <c r="T3097" s="15"/>
      <c r="U3097" s="15"/>
      <c r="V3097" s="15"/>
      <c r="W3097" s="15"/>
      <c r="X3097" s="15"/>
      <c r="Y3097" s="15"/>
      <c r="Z3097" s="15"/>
      <c r="AA3097" s="15"/>
    </row>
    <row r="3098">
      <c r="A3098" s="5" t="s">
        <v>14471</v>
      </c>
      <c r="B3098" s="131" t="s">
        <v>14533</v>
      </c>
      <c r="C3098" s="40" t="s">
        <v>4709</v>
      </c>
      <c r="D3098" s="11"/>
      <c r="E3098" s="11" t="s">
        <v>152</v>
      </c>
      <c r="F3098" s="90">
        <v>3000.0</v>
      </c>
      <c r="G3098" s="321"/>
      <c r="H3098" s="11" t="s">
        <v>14534</v>
      </c>
      <c r="I3098" s="276"/>
      <c r="J3098" s="11" t="s">
        <v>25</v>
      </c>
      <c r="K3098" s="12"/>
      <c r="L3098" s="12"/>
      <c r="M3098" s="11" t="s">
        <v>7718</v>
      </c>
      <c r="N3098" s="5" t="s">
        <v>14535</v>
      </c>
      <c r="O3098" s="5" t="s">
        <v>108</v>
      </c>
      <c r="P3098" s="15"/>
      <c r="Q3098" s="15"/>
      <c r="R3098" s="16" t="s">
        <v>723</v>
      </c>
      <c r="S3098" s="15"/>
      <c r="T3098" s="15"/>
      <c r="U3098" s="15"/>
      <c r="V3098" s="15"/>
      <c r="W3098" s="15"/>
      <c r="X3098" s="15"/>
      <c r="Y3098" s="15"/>
      <c r="Z3098" s="15"/>
      <c r="AA3098" s="15"/>
    </row>
    <row r="3099">
      <c r="A3099" s="5" t="s">
        <v>14471</v>
      </c>
      <c r="B3099" s="131" t="s">
        <v>14536</v>
      </c>
      <c r="C3099" s="40" t="s">
        <v>14537</v>
      </c>
      <c r="D3099" s="11"/>
      <c r="E3099" s="11" t="s">
        <v>14538</v>
      </c>
      <c r="F3099" s="9">
        <v>10000.0</v>
      </c>
      <c r="G3099" s="321"/>
      <c r="H3099" s="11" t="s">
        <v>14539</v>
      </c>
      <c r="I3099" s="276"/>
      <c r="J3099" s="11" t="s">
        <v>25</v>
      </c>
      <c r="K3099" s="13"/>
      <c r="L3099" s="13"/>
      <c r="M3099" s="14"/>
      <c r="N3099" s="15"/>
      <c r="O3099" s="5" t="s">
        <v>26</v>
      </c>
      <c r="P3099" s="15"/>
      <c r="Q3099" s="15"/>
      <c r="R3099" s="422"/>
      <c r="S3099" s="15"/>
      <c r="T3099" s="15"/>
      <c r="U3099" s="15"/>
      <c r="V3099" s="15"/>
      <c r="W3099" s="15"/>
      <c r="X3099" s="15"/>
      <c r="Y3099" s="15"/>
      <c r="Z3099" s="15"/>
      <c r="AA3099" s="15"/>
    </row>
    <row r="3100">
      <c r="A3100" s="5" t="s">
        <v>14471</v>
      </c>
      <c r="B3100" s="131" t="s">
        <v>14540</v>
      </c>
      <c r="C3100" s="40" t="s">
        <v>14541</v>
      </c>
      <c r="D3100" s="11"/>
      <c r="E3100" s="11" t="s">
        <v>152</v>
      </c>
      <c r="F3100" s="9">
        <v>25000.0</v>
      </c>
      <c r="G3100" s="321"/>
      <c r="H3100" s="11" t="s">
        <v>3861</v>
      </c>
      <c r="I3100" s="276"/>
      <c r="J3100" s="11" t="s">
        <v>25</v>
      </c>
      <c r="K3100" s="12"/>
      <c r="L3100" s="12"/>
      <c r="M3100" s="11" t="s">
        <v>9983</v>
      </c>
      <c r="N3100" s="5" t="s">
        <v>14542</v>
      </c>
      <c r="O3100" s="5" t="s">
        <v>108</v>
      </c>
      <c r="P3100" s="5" t="s">
        <v>921</v>
      </c>
      <c r="Q3100" s="15"/>
      <c r="R3100" s="16" t="s">
        <v>723</v>
      </c>
      <c r="S3100" s="15"/>
      <c r="T3100" s="15"/>
      <c r="U3100" s="15"/>
      <c r="V3100" s="15"/>
      <c r="W3100" s="15"/>
      <c r="X3100" s="15"/>
      <c r="Y3100" s="15"/>
      <c r="Z3100" s="15"/>
      <c r="AA3100" s="15"/>
    </row>
    <row r="3101">
      <c r="A3101" s="5" t="s">
        <v>14471</v>
      </c>
      <c r="B3101" s="131" t="s">
        <v>14543</v>
      </c>
      <c r="C3101" s="40" t="s">
        <v>13741</v>
      </c>
      <c r="D3101" s="11"/>
      <c r="E3101" s="11" t="s">
        <v>6027</v>
      </c>
      <c r="F3101" s="90">
        <v>1000.0</v>
      </c>
      <c r="G3101" s="321"/>
      <c r="H3101" s="11" t="s">
        <v>14544</v>
      </c>
      <c r="I3101" s="276"/>
      <c r="J3101" s="11" t="s">
        <v>25</v>
      </c>
      <c r="K3101" s="13"/>
      <c r="L3101" s="13"/>
      <c r="M3101" s="14"/>
      <c r="N3101" s="15"/>
      <c r="O3101" s="5" t="s">
        <v>26</v>
      </c>
      <c r="P3101" s="15"/>
      <c r="Q3101" s="15"/>
      <c r="R3101" s="422"/>
      <c r="S3101" s="15"/>
      <c r="T3101" s="15"/>
      <c r="U3101" s="15"/>
      <c r="V3101" s="15"/>
      <c r="W3101" s="15"/>
      <c r="X3101" s="15"/>
      <c r="Y3101" s="15"/>
      <c r="Z3101" s="15"/>
      <c r="AA3101" s="15"/>
    </row>
    <row r="3102">
      <c r="A3102" s="5" t="s">
        <v>14471</v>
      </c>
      <c r="B3102" s="131" t="s">
        <v>14545</v>
      </c>
      <c r="C3102" s="40" t="s">
        <v>14546</v>
      </c>
      <c r="D3102" s="11"/>
      <c r="E3102" s="11" t="s">
        <v>5293</v>
      </c>
      <c r="F3102" s="90">
        <v>1000.0</v>
      </c>
      <c r="G3102" s="321"/>
      <c r="H3102" s="11" t="s">
        <v>906</v>
      </c>
      <c r="I3102" s="276"/>
      <c r="J3102" s="11" t="s">
        <v>4008</v>
      </c>
      <c r="K3102" s="13"/>
      <c r="L3102" s="13"/>
      <c r="M3102" s="14"/>
      <c r="N3102" s="15"/>
      <c r="O3102" s="5" t="s">
        <v>108</v>
      </c>
      <c r="P3102" s="15"/>
      <c r="Q3102" s="15"/>
      <c r="R3102" s="422"/>
      <c r="S3102" s="15"/>
      <c r="T3102" s="15"/>
      <c r="U3102" s="15"/>
      <c r="V3102" s="15"/>
      <c r="W3102" s="15"/>
      <c r="X3102" s="15"/>
      <c r="Y3102" s="15"/>
      <c r="Z3102" s="15"/>
      <c r="AA3102" s="15"/>
    </row>
    <row r="3103">
      <c r="A3103" s="352" t="s">
        <v>14547</v>
      </c>
      <c r="B3103" s="131" t="s">
        <v>14548</v>
      </c>
      <c r="C3103" s="40" t="s">
        <v>14549</v>
      </c>
      <c r="D3103" s="11"/>
      <c r="E3103" s="11" t="s">
        <v>14550</v>
      </c>
      <c r="F3103" s="90" t="s">
        <v>14551</v>
      </c>
      <c r="G3103" s="321"/>
      <c r="H3103" s="11" t="s">
        <v>44</v>
      </c>
      <c r="I3103" s="276"/>
      <c r="J3103" s="11" t="s">
        <v>4008</v>
      </c>
      <c r="K3103" s="12"/>
      <c r="L3103" s="12"/>
      <c r="M3103" s="11" t="s">
        <v>14552</v>
      </c>
      <c r="N3103" s="5" t="s">
        <v>14553</v>
      </c>
      <c r="O3103" s="5" t="s">
        <v>14119</v>
      </c>
      <c r="P3103" s="15"/>
      <c r="Q3103" s="15"/>
      <c r="R3103" s="422"/>
      <c r="S3103" s="15"/>
      <c r="T3103" s="15"/>
      <c r="U3103" s="15"/>
      <c r="V3103" s="15"/>
      <c r="W3103" s="15"/>
      <c r="X3103" s="15"/>
      <c r="Y3103" s="15"/>
      <c r="Z3103" s="15"/>
      <c r="AA3103" s="15"/>
    </row>
    <row r="3104">
      <c r="A3104" s="5" t="s">
        <v>14547</v>
      </c>
      <c r="B3104" s="131" t="s">
        <v>14554</v>
      </c>
      <c r="C3104" s="40" t="s">
        <v>14555</v>
      </c>
      <c r="D3104" s="11"/>
      <c r="E3104" s="11" t="s">
        <v>11748</v>
      </c>
      <c r="F3104" s="9">
        <v>20000.0</v>
      </c>
      <c r="G3104" s="321"/>
      <c r="H3104" s="11" t="s">
        <v>906</v>
      </c>
      <c r="I3104" s="276"/>
      <c r="J3104" s="11" t="s">
        <v>25</v>
      </c>
      <c r="K3104" s="12"/>
      <c r="L3104" s="12"/>
      <c r="M3104" s="11" t="s">
        <v>9742</v>
      </c>
      <c r="N3104" s="5" t="s">
        <v>14556</v>
      </c>
      <c r="O3104" s="5" t="s">
        <v>108</v>
      </c>
      <c r="P3104" s="15"/>
      <c r="Q3104" s="15"/>
      <c r="R3104" s="422"/>
      <c r="S3104" s="15"/>
      <c r="T3104" s="15"/>
      <c r="U3104" s="15"/>
      <c r="V3104" s="15"/>
      <c r="W3104" s="15"/>
      <c r="X3104" s="15"/>
      <c r="Y3104" s="15"/>
      <c r="Z3104" s="15"/>
      <c r="AA3104" s="15"/>
    </row>
    <row r="3105">
      <c r="A3105" s="5" t="s">
        <v>14547</v>
      </c>
      <c r="B3105" s="131" t="s">
        <v>14557</v>
      </c>
      <c r="C3105" s="40" t="s">
        <v>14558</v>
      </c>
      <c r="D3105" s="11"/>
      <c r="E3105" s="11" t="s">
        <v>167</v>
      </c>
      <c r="F3105" s="90">
        <v>2000.0</v>
      </c>
      <c r="G3105" s="321"/>
      <c r="H3105" s="11" t="s">
        <v>2070</v>
      </c>
      <c r="I3105" s="276"/>
      <c r="J3105" s="11" t="s">
        <v>4008</v>
      </c>
      <c r="K3105" s="12"/>
      <c r="L3105" s="12"/>
      <c r="M3105" s="11" t="s">
        <v>9034</v>
      </c>
      <c r="N3105" s="5" t="s">
        <v>14559</v>
      </c>
      <c r="O3105" s="5" t="s">
        <v>108</v>
      </c>
      <c r="P3105" s="15"/>
      <c r="Q3105" s="15"/>
      <c r="R3105" s="422"/>
      <c r="S3105" s="15"/>
      <c r="T3105" s="15"/>
      <c r="U3105" s="15"/>
      <c r="V3105" s="15"/>
      <c r="W3105" s="15"/>
      <c r="X3105" s="15"/>
      <c r="Y3105" s="15"/>
      <c r="Z3105" s="15"/>
      <c r="AA3105" s="15"/>
    </row>
    <row r="3106">
      <c r="A3106" s="5" t="s">
        <v>14547</v>
      </c>
      <c r="B3106" s="131" t="s">
        <v>14560</v>
      </c>
      <c r="C3106" s="40" t="s">
        <v>14561</v>
      </c>
      <c r="D3106" s="11"/>
      <c r="E3106" s="11" t="s">
        <v>5259</v>
      </c>
      <c r="F3106" s="90">
        <v>800.0</v>
      </c>
      <c r="G3106" s="321"/>
      <c r="H3106" s="11" t="s">
        <v>14562</v>
      </c>
      <c r="I3106" s="276"/>
      <c r="J3106" s="11" t="s">
        <v>14563</v>
      </c>
      <c r="K3106" s="13"/>
      <c r="L3106" s="13"/>
      <c r="M3106" s="14"/>
      <c r="N3106" s="15"/>
      <c r="O3106" s="5" t="s">
        <v>108</v>
      </c>
      <c r="P3106" s="15"/>
      <c r="Q3106" s="15"/>
      <c r="R3106" s="422"/>
      <c r="S3106" s="15"/>
      <c r="T3106" s="15"/>
      <c r="U3106" s="15"/>
      <c r="V3106" s="15"/>
      <c r="W3106" s="15"/>
      <c r="X3106" s="15"/>
      <c r="Y3106" s="15"/>
      <c r="Z3106" s="15"/>
      <c r="AA3106" s="15"/>
    </row>
    <row r="3107">
      <c r="A3107" s="5" t="s">
        <v>14547</v>
      </c>
      <c r="B3107" s="131" t="s">
        <v>14564</v>
      </c>
      <c r="C3107" s="40" t="s">
        <v>14565</v>
      </c>
      <c r="D3107" s="11"/>
      <c r="E3107" s="11" t="s">
        <v>116</v>
      </c>
      <c r="F3107" s="90">
        <v>1000.0</v>
      </c>
      <c r="G3107" s="321"/>
      <c r="H3107" s="11" t="s">
        <v>14566</v>
      </c>
      <c r="I3107" s="276"/>
      <c r="J3107" s="11" t="s">
        <v>4008</v>
      </c>
      <c r="K3107" s="12"/>
      <c r="L3107" s="12"/>
      <c r="M3107" s="11" t="s">
        <v>7928</v>
      </c>
      <c r="N3107" s="5" t="s">
        <v>14567</v>
      </c>
      <c r="O3107" s="5" t="s">
        <v>108</v>
      </c>
      <c r="P3107" s="15"/>
      <c r="Q3107" s="15"/>
      <c r="R3107" s="422"/>
      <c r="S3107" s="15"/>
      <c r="T3107" s="15"/>
      <c r="U3107" s="15"/>
      <c r="V3107" s="15"/>
      <c r="W3107" s="15"/>
      <c r="X3107" s="15"/>
      <c r="Y3107" s="15"/>
      <c r="Z3107" s="15"/>
      <c r="AA3107" s="15"/>
    </row>
    <row r="3108">
      <c r="A3108" s="5" t="s">
        <v>14547</v>
      </c>
      <c r="B3108" s="131" t="s">
        <v>14568</v>
      </c>
      <c r="C3108" s="40" t="s">
        <v>14569</v>
      </c>
      <c r="D3108" s="11"/>
      <c r="E3108" s="11" t="s">
        <v>794</v>
      </c>
      <c r="F3108" s="9">
        <v>10000.0</v>
      </c>
      <c r="G3108" s="321"/>
      <c r="H3108" s="11" t="s">
        <v>44</v>
      </c>
      <c r="I3108" s="276"/>
      <c r="J3108" s="11" t="s">
        <v>25</v>
      </c>
      <c r="K3108" s="12"/>
      <c r="L3108" s="12"/>
      <c r="M3108" s="11" t="s">
        <v>8860</v>
      </c>
      <c r="N3108" s="5" t="s">
        <v>14570</v>
      </c>
      <c r="O3108" s="5" t="s">
        <v>26</v>
      </c>
      <c r="P3108" s="15"/>
      <c r="Q3108" s="15"/>
      <c r="R3108" s="422"/>
      <c r="S3108" s="15"/>
      <c r="T3108" s="15"/>
      <c r="U3108" s="15"/>
      <c r="V3108" s="15"/>
      <c r="W3108" s="15"/>
      <c r="X3108" s="15"/>
      <c r="Y3108" s="15"/>
      <c r="Z3108" s="15"/>
      <c r="AA3108" s="15"/>
    </row>
    <row r="3109">
      <c r="A3109" s="5" t="s">
        <v>14547</v>
      </c>
      <c r="B3109" s="131" t="s">
        <v>14571</v>
      </c>
      <c r="C3109" s="40" t="s">
        <v>14572</v>
      </c>
      <c r="D3109" s="11"/>
      <c r="E3109" s="11" t="s">
        <v>14573</v>
      </c>
      <c r="F3109" s="90">
        <v>2000.0</v>
      </c>
      <c r="G3109" s="321"/>
      <c r="H3109" s="11" t="s">
        <v>14574</v>
      </c>
      <c r="I3109" s="276"/>
      <c r="J3109" s="11" t="s">
        <v>25</v>
      </c>
      <c r="K3109" s="13"/>
      <c r="L3109" s="13"/>
      <c r="M3109" s="14"/>
      <c r="N3109" s="15"/>
      <c r="O3109" s="5" t="s">
        <v>26</v>
      </c>
      <c r="P3109" s="15"/>
      <c r="Q3109" s="15"/>
      <c r="R3109" s="422"/>
      <c r="S3109" s="15"/>
      <c r="T3109" s="15"/>
      <c r="U3109" s="15"/>
      <c r="V3109" s="15"/>
      <c r="W3109" s="15"/>
      <c r="X3109" s="15"/>
      <c r="Y3109" s="15"/>
      <c r="Z3109" s="15"/>
      <c r="AA3109" s="15"/>
    </row>
    <row r="3110">
      <c r="A3110" s="5" t="s">
        <v>14547</v>
      </c>
      <c r="B3110" s="131" t="s">
        <v>14575</v>
      </c>
      <c r="C3110" s="40" t="s">
        <v>14576</v>
      </c>
      <c r="D3110" s="11"/>
      <c r="E3110" s="11" t="s">
        <v>152</v>
      </c>
      <c r="F3110" s="90">
        <v>200.0</v>
      </c>
      <c r="G3110" s="321"/>
      <c r="H3110" s="11" t="s">
        <v>13612</v>
      </c>
      <c r="I3110" s="276"/>
      <c r="J3110" s="11" t="s">
        <v>25</v>
      </c>
      <c r="K3110" s="12"/>
      <c r="L3110" s="12"/>
      <c r="M3110" s="11" t="s">
        <v>9776</v>
      </c>
      <c r="N3110" s="5" t="s">
        <v>14577</v>
      </c>
      <c r="O3110" s="5" t="s">
        <v>14119</v>
      </c>
      <c r="P3110" s="15"/>
      <c r="Q3110" s="15"/>
      <c r="R3110" s="422"/>
      <c r="S3110" s="15"/>
      <c r="T3110" s="15"/>
      <c r="U3110" s="15"/>
      <c r="V3110" s="15"/>
      <c r="W3110" s="15"/>
      <c r="X3110" s="15"/>
      <c r="Y3110" s="15"/>
      <c r="Z3110" s="15"/>
      <c r="AA3110" s="15"/>
    </row>
    <row r="3111">
      <c r="A3111" s="5" t="s">
        <v>14547</v>
      </c>
      <c r="B3111" s="131" t="s">
        <v>14578</v>
      </c>
      <c r="C3111" s="40" t="s">
        <v>14579</v>
      </c>
      <c r="D3111" s="11"/>
      <c r="E3111" s="11" t="s">
        <v>14580</v>
      </c>
      <c r="F3111" s="90">
        <v>1500.0</v>
      </c>
      <c r="G3111" s="321"/>
      <c r="H3111" s="11" t="s">
        <v>12434</v>
      </c>
      <c r="I3111" s="276"/>
      <c r="J3111" s="11" t="s">
        <v>4008</v>
      </c>
      <c r="K3111" s="12"/>
      <c r="L3111" s="12"/>
      <c r="M3111" s="11" t="s">
        <v>13205</v>
      </c>
      <c r="N3111" s="5" t="s">
        <v>14581</v>
      </c>
      <c r="O3111" s="5" t="s">
        <v>26</v>
      </c>
      <c r="P3111" s="15"/>
      <c r="Q3111" s="15"/>
      <c r="R3111" s="422"/>
      <c r="S3111" s="15"/>
      <c r="T3111" s="15"/>
      <c r="U3111" s="15"/>
      <c r="V3111" s="15"/>
      <c r="W3111" s="15"/>
      <c r="X3111" s="15"/>
      <c r="Y3111" s="15"/>
      <c r="Z3111" s="15"/>
      <c r="AA3111" s="15"/>
    </row>
    <row r="3112">
      <c r="A3112" s="5" t="s">
        <v>14547</v>
      </c>
      <c r="B3112" s="131" t="s">
        <v>14582</v>
      </c>
      <c r="C3112" s="40" t="s">
        <v>14583</v>
      </c>
      <c r="D3112" s="11"/>
      <c r="E3112" s="11" t="s">
        <v>9050</v>
      </c>
      <c r="F3112" s="90">
        <v>500.0</v>
      </c>
      <c r="G3112" s="321"/>
      <c r="H3112" s="11" t="s">
        <v>14584</v>
      </c>
      <c r="I3112" s="276"/>
      <c r="J3112" s="11" t="s">
        <v>4008</v>
      </c>
      <c r="K3112" s="12"/>
      <c r="L3112" s="12"/>
      <c r="M3112" s="11" t="s">
        <v>14552</v>
      </c>
      <c r="N3112" s="5" t="s">
        <v>14585</v>
      </c>
      <c r="O3112" s="5" t="s">
        <v>14119</v>
      </c>
      <c r="P3112" s="15"/>
      <c r="Q3112" s="15"/>
      <c r="R3112" s="422"/>
      <c r="S3112" s="15"/>
      <c r="T3112" s="15"/>
      <c r="U3112" s="15"/>
      <c r="V3112" s="15"/>
      <c r="W3112" s="15"/>
      <c r="X3112" s="15"/>
      <c r="Y3112" s="15"/>
      <c r="Z3112" s="15"/>
      <c r="AA3112" s="15"/>
    </row>
    <row r="3113">
      <c r="A3113" s="352" t="s">
        <v>14586</v>
      </c>
      <c r="B3113" s="131" t="s">
        <v>14587</v>
      </c>
      <c r="C3113" s="40" t="s">
        <v>14588</v>
      </c>
      <c r="D3113" s="11"/>
      <c r="E3113" s="11" t="s">
        <v>14589</v>
      </c>
      <c r="F3113" s="90">
        <v>1000.0</v>
      </c>
      <c r="G3113" s="321"/>
      <c r="H3113" s="11" t="s">
        <v>3861</v>
      </c>
      <c r="I3113" s="276"/>
      <c r="J3113" s="11" t="s">
        <v>25</v>
      </c>
      <c r="K3113" s="12"/>
      <c r="L3113" s="12"/>
      <c r="M3113" s="11" t="s">
        <v>14590</v>
      </c>
      <c r="N3113" s="5" t="s">
        <v>14591</v>
      </c>
      <c r="O3113" s="5" t="s">
        <v>108</v>
      </c>
      <c r="P3113" s="15"/>
      <c r="Q3113" s="15"/>
      <c r="R3113" s="422"/>
      <c r="S3113" s="15"/>
      <c r="T3113" s="15"/>
      <c r="U3113" s="15"/>
      <c r="V3113" s="15"/>
      <c r="W3113" s="15"/>
      <c r="X3113" s="15"/>
      <c r="Y3113" s="15"/>
      <c r="Z3113" s="15"/>
      <c r="AA3113" s="15"/>
    </row>
    <row r="3114">
      <c r="A3114" s="5" t="s">
        <v>14586</v>
      </c>
      <c r="B3114" s="131" t="s">
        <v>14592</v>
      </c>
      <c r="C3114" s="40" t="s">
        <v>14593</v>
      </c>
      <c r="D3114" s="11"/>
      <c r="E3114" s="11" t="s">
        <v>152</v>
      </c>
      <c r="F3114" s="90">
        <v>500.0</v>
      </c>
      <c r="G3114" s="321"/>
      <c r="H3114" s="11" t="s">
        <v>44</v>
      </c>
      <c r="I3114" s="276"/>
      <c r="J3114" s="11" t="s">
        <v>13644</v>
      </c>
      <c r="K3114" s="12"/>
      <c r="L3114" s="12"/>
      <c r="M3114" s="11" t="s">
        <v>11262</v>
      </c>
      <c r="N3114" s="5" t="s">
        <v>14594</v>
      </c>
      <c r="O3114" s="5" t="s">
        <v>14119</v>
      </c>
      <c r="P3114" s="15"/>
      <c r="Q3114" s="15"/>
      <c r="R3114" s="422"/>
      <c r="S3114" s="15"/>
      <c r="T3114" s="15"/>
      <c r="U3114" s="15"/>
      <c r="V3114" s="15"/>
      <c r="W3114" s="15"/>
      <c r="X3114" s="15"/>
      <c r="Y3114" s="15"/>
      <c r="Z3114" s="15"/>
      <c r="AA3114" s="15"/>
    </row>
    <row r="3115">
      <c r="A3115" s="5" t="s">
        <v>14586</v>
      </c>
      <c r="B3115" s="131" t="s">
        <v>14595</v>
      </c>
      <c r="C3115" s="40" t="s">
        <v>14596</v>
      </c>
      <c r="D3115" s="11"/>
      <c r="E3115" s="11" t="s">
        <v>1749</v>
      </c>
      <c r="F3115" s="90">
        <v>1000.0</v>
      </c>
      <c r="G3115" s="321"/>
      <c r="H3115" s="11" t="s">
        <v>44</v>
      </c>
      <c r="I3115" s="276"/>
      <c r="J3115" s="11" t="s">
        <v>25</v>
      </c>
      <c r="K3115" s="12"/>
      <c r="L3115" s="12"/>
      <c r="M3115" s="11" t="s">
        <v>10483</v>
      </c>
      <c r="N3115" s="5" t="s">
        <v>14597</v>
      </c>
      <c r="O3115" s="5" t="s">
        <v>26</v>
      </c>
      <c r="P3115" s="15"/>
      <c r="Q3115" s="15"/>
      <c r="R3115" s="422"/>
      <c r="S3115" s="15"/>
      <c r="T3115" s="15"/>
      <c r="U3115" s="15"/>
      <c r="V3115" s="15"/>
      <c r="W3115" s="15"/>
      <c r="X3115" s="15"/>
      <c r="Y3115" s="15"/>
      <c r="Z3115" s="15"/>
      <c r="AA3115" s="15"/>
    </row>
    <row r="3116">
      <c r="A3116" s="5" t="s">
        <v>14586</v>
      </c>
      <c r="B3116" s="131" t="s">
        <v>14598</v>
      </c>
      <c r="C3116" s="40" t="s">
        <v>3212</v>
      </c>
      <c r="D3116" s="11"/>
      <c r="E3116" s="11" t="s">
        <v>3341</v>
      </c>
      <c r="F3116" s="9">
        <v>20000.0</v>
      </c>
      <c r="G3116" s="321"/>
      <c r="H3116" s="11" t="s">
        <v>14599</v>
      </c>
      <c r="I3116" s="276"/>
      <c r="J3116" s="11" t="s">
        <v>8737</v>
      </c>
      <c r="K3116" s="12"/>
      <c r="L3116" s="12"/>
      <c r="M3116" s="11" t="s">
        <v>9685</v>
      </c>
      <c r="N3116" s="5" t="s">
        <v>14600</v>
      </c>
      <c r="O3116" s="5" t="s">
        <v>108</v>
      </c>
      <c r="P3116" s="15"/>
      <c r="Q3116" s="15"/>
      <c r="R3116" s="422"/>
      <c r="S3116" s="15"/>
      <c r="T3116" s="15"/>
      <c r="U3116" s="15"/>
      <c r="V3116" s="15"/>
      <c r="W3116" s="15"/>
      <c r="X3116" s="15"/>
      <c r="Y3116" s="15"/>
      <c r="Z3116" s="15"/>
      <c r="AA3116" s="15"/>
    </row>
    <row r="3117">
      <c r="A3117" s="5" t="s">
        <v>14586</v>
      </c>
      <c r="B3117" s="131" t="s">
        <v>14601</v>
      </c>
      <c r="C3117" s="40" t="s">
        <v>14572</v>
      </c>
      <c r="D3117" s="425"/>
      <c r="E3117" s="425" t="s">
        <v>3341</v>
      </c>
      <c r="F3117" s="90">
        <v>100.0</v>
      </c>
      <c r="G3117" s="321"/>
      <c r="H3117" s="11" t="s">
        <v>14574</v>
      </c>
      <c r="I3117" s="276"/>
      <c r="J3117" s="11" t="s">
        <v>25</v>
      </c>
      <c r="K3117" s="12"/>
      <c r="L3117" s="12"/>
      <c r="M3117" s="11" t="s">
        <v>9587</v>
      </c>
      <c r="N3117" s="5" t="s">
        <v>14602</v>
      </c>
      <c r="O3117" s="5" t="s">
        <v>14119</v>
      </c>
      <c r="P3117" s="15"/>
      <c r="Q3117" s="15"/>
      <c r="R3117" s="422"/>
      <c r="S3117" s="15"/>
      <c r="T3117" s="15"/>
      <c r="U3117" s="15"/>
      <c r="V3117" s="15"/>
      <c r="W3117" s="15"/>
      <c r="X3117" s="15"/>
      <c r="Y3117" s="15"/>
      <c r="Z3117" s="15"/>
      <c r="AA3117" s="15"/>
    </row>
    <row r="3118">
      <c r="A3118" s="5" t="s">
        <v>14586</v>
      </c>
      <c r="B3118" s="131" t="s">
        <v>14603</v>
      </c>
      <c r="C3118" s="40" t="s">
        <v>14604</v>
      </c>
      <c r="D3118" s="11"/>
      <c r="E3118" s="11" t="s">
        <v>794</v>
      </c>
      <c r="F3118" s="90">
        <v>1000.0</v>
      </c>
      <c r="G3118" s="321"/>
      <c r="H3118" s="11" t="s">
        <v>44</v>
      </c>
      <c r="I3118" s="423"/>
      <c r="J3118" s="14"/>
      <c r="K3118" s="12"/>
      <c r="L3118" s="12"/>
      <c r="M3118" s="11" t="s">
        <v>7651</v>
      </c>
      <c r="N3118" s="5" t="s">
        <v>14605</v>
      </c>
      <c r="O3118" s="5" t="s">
        <v>26</v>
      </c>
      <c r="P3118" s="15"/>
      <c r="Q3118" s="15"/>
      <c r="R3118" s="422"/>
      <c r="S3118" s="15"/>
      <c r="T3118" s="15"/>
      <c r="U3118" s="15"/>
      <c r="V3118" s="15"/>
      <c r="W3118" s="15"/>
      <c r="X3118" s="15"/>
      <c r="Y3118" s="15"/>
      <c r="Z3118" s="15"/>
      <c r="AA3118" s="15"/>
    </row>
    <row r="3119">
      <c r="A3119" s="5" t="s">
        <v>14586</v>
      </c>
      <c r="B3119" s="131" t="s">
        <v>14606</v>
      </c>
      <c r="C3119" s="40" t="s">
        <v>10057</v>
      </c>
      <c r="D3119" s="11"/>
      <c r="E3119" s="11" t="s">
        <v>14607</v>
      </c>
      <c r="F3119" s="9">
        <v>10000.0</v>
      </c>
      <c r="G3119" s="321"/>
      <c r="H3119" s="11" t="s">
        <v>44</v>
      </c>
      <c r="I3119" s="276"/>
      <c r="J3119" s="11" t="s">
        <v>14608</v>
      </c>
      <c r="K3119" s="12"/>
      <c r="L3119" s="12"/>
      <c r="M3119" s="11" t="s">
        <v>8399</v>
      </c>
      <c r="N3119" s="5" t="s">
        <v>14609</v>
      </c>
      <c r="O3119" s="5" t="s">
        <v>34</v>
      </c>
      <c r="P3119" s="15"/>
      <c r="Q3119" s="15"/>
      <c r="R3119" s="422"/>
      <c r="S3119" s="15"/>
      <c r="T3119" s="15"/>
      <c r="U3119" s="15"/>
      <c r="V3119" s="15"/>
      <c r="W3119" s="15"/>
      <c r="X3119" s="15"/>
      <c r="Y3119" s="15"/>
      <c r="Z3119" s="15"/>
      <c r="AA3119" s="15"/>
    </row>
    <row r="3120">
      <c r="A3120" s="5" t="s">
        <v>14586</v>
      </c>
      <c r="B3120" s="131" t="s">
        <v>14610</v>
      </c>
      <c r="C3120" s="40" t="s">
        <v>14611</v>
      </c>
      <c r="D3120" s="11"/>
      <c r="E3120" s="11" t="s">
        <v>178</v>
      </c>
      <c r="F3120" s="90">
        <v>1000.0</v>
      </c>
      <c r="G3120" s="321"/>
      <c r="H3120" s="11" t="s">
        <v>14469</v>
      </c>
      <c r="I3120" s="276"/>
      <c r="J3120" s="11" t="s">
        <v>4008</v>
      </c>
      <c r="K3120" s="12"/>
      <c r="L3120" s="12"/>
      <c r="M3120" s="11" t="s">
        <v>7884</v>
      </c>
      <c r="N3120" s="5" t="s">
        <v>14612</v>
      </c>
      <c r="O3120" s="5" t="s">
        <v>108</v>
      </c>
      <c r="P3120" s="15"/>
      <c r="Q3120" s="15"/>
      <c r="R3120" s="422"/>
      <c r="S3120" s="15"/>
      <c r="T3120" s="15"/>
      <c r="U3120" s="15"/>
      <c r="V3120" s="15"/>
      <c r="W3120" s="15"/>
      <c r="X3120" s="15"/>
      <c r="Y3120" s="15"/>
      <c r="Z3120" s="15"/>
      <c r="AA3120" s="15"/>
    </row>
    <row r="3121">
      <c r="A3121" s="5" t="s">
        <v>14586</v>
      </c>
      <c r="B3121" s="131" t="s">
        <v>14613</v>
      </c>
      <c r="C3121" s="40" t="s">
        <v>14614</v>
      </c>
      <c r="D3121" s="11"/>
      <c r="E3121" s="11" t="s">
        <v>14615</v>
      </c>
      <c r="F3121" s="90">
        <v>500.0</v>
      </c>
      <c r="G3121" s="321"/>
      <c r="H3121" s="11" t="s">
        <v>14616</v>
      </c>
      <c r="I3121" s="276"/>
      <c r="J3121" s="11" t="s">
        <v>14342</v>
      </c>
      <c r="K3121" s="13"/>
      <c r="L3121" s="13"/>
      <c r="M3121" s="14"/>
      <c r="N3121" s="15"/>
      <c r="O3121" s="5" t="s">
        <v>14119</v>
      </c>
      <c r="P3121" s="15"/>
      <c r="Q3121" s="15"/>
      <c r="R3121" s="422"/>
      <c r="S3121" s="15"/>
      <c r="T3121" s="15"/>
      <c r="U3121" s="15"/>
      <c r="V3121" s="15"/>
      <c r="W3121" s="15"/>
      <c r="X3121" s="15"/>
      <c r="Y3121" s="15"/>
      <c r="Z3121" s="15"/>
      <c r="AA3121" s="15"/>
    </row>
    <row r="3122">
      <c r="A3122" s="5" t="s">
        <v>14586</v>
      </c>
      <c r="B3122" s="131" t="s">
        <v>14617</v>
      </c>
      <c r="C3122" s="40" t="s">
        <v>14618</v>
      </c>
      <c r="D3122" s="11"/>
      <c r="E3122" s="11" t="s">
        <v>14619</v>
      </c>
      <c r="F3122" s="90">
        <v>400.0</v>
      </c>
      <c r="G3122" s="321"/>
      <c r="H3122" s="11" t="s">
        <v>44</v>
      </c>
      <c r="I3122" s="276"/>
      <c r="J3122" s="11" t="s">
        <v>4008</v>
      </c>
      <c r="K3122" s="13"/>
      <c r="L3122" s="13"/>
      <c r="M3122" s="14"/>
      <c r="N3122" s="15"/>
      <c r="O3122" s="5" t="s">
        <v>14119</v>
      </c>
      <c r="P3122" s="15"/>
      <c r="Q3122" s="15"/>
      <c r="R3122" s="422"/>
      <c r="S3122" s="15"/>
      <c r="T3122" s="15"/>
      <c r="U3122" s="15"/>
      <c r="V3122" s="15"/>
      <c r="W3122" s="15"/>
      <c r="X3122" s="15"/>
      <c r="Y3122" s="15"/>
      <c r="Z3122" s="15"/>
      <c r="AA3122" s="15"/>
    </row>
    <row r="3123">
      <c r="A3123" s="5" t="s">
        <v>14620</v>
      </c>
      <c r="B3123" s="131" t="s">
        <v>14621</v>
      </c>
      <c r="C3123" s="40" t="s">
        <v>14622</v>
      </c>
      <c r="D3123" s="11"/>
      <c r="E3123" s="11" t="s">
        <v>14167</v>
      </c>
      <c r="F3123" s="90" t="s">
        <v>14623</v>
      </c>
      <c r="G3123" s="321"/>
      <c r="H3123" s="11" t="s">
        <v>49</v>
      </c>
      <c r="I3123" s="276"/>
      <c r="J3123" s="11" t="s">
        <v>14624</v>
      </c>
      <c r="K3123" s="12"/>
      <c r="L3123" s="12"/>
      <c r="M3123" s="11" t="s">
        <v>14625</v>
      </c>
      <c r="N3123" s="5" t="s">
        <v>14626</v>
      </c>
      <c r="O3123" s="5" t="s">
        <v>26</v>
      </c>
      <c r="P3123" s="15"/>
      <c r="Q3123" s="15"/>
      <c r="R3123" s="422"/>
      <c r="S3123" s="15"/>
      <c r="T3123" s="15"/>
      <c r="U3123" s="15"/>
      <c r="V3123" s="15"/>
      <c r="W3123" s="15"/>
      <c r="X3123" s="15"/>
      <c r="Y3123" s="15"/>
      <c r="Z3123" s="15"/>
      <c r="AA3123" s="15"/>
    </row>
    <row r="3124">
      <c r="A3124" s="5" t="s">
        <v>14620</v>
      </c>
      <c r="B3124" s="131" t="s">
        <v>14627</v>
      </c>
      <c r="C3124" s="40" t="s">
        <v>14628</v>
      </c>
      <c r="D3124" s="11"/>
      <c r="E3124" s="11" t="s">
        <v>794</v>
      </c>
      <c r="F3124" s="90">
        <v>1000.0</v>
      </c>
      <c r="G3124" s="321"/>
      <c r="H3124" s="11" t="s">
        <v>99</v>
      </c>
      <c r="I3124" s="276"/>
      <c r="J3124" s="11" t="s">
        <v>4008</v>
      </c>
      <c r="K3124" s="12"/>
      <c r="L3124" s="12"/>
      <c r="M3124" s="11" t="s">
        <v>9034</v>
      </c>
      <c r="N3124" s="5" t="s">
        <v>14629</v>
      </c>
      <c r="O3124" s="5" t="s">
        <v>26</v>
      </c>
      <c r="P3124" s="15"/>
      <c r="Q3124" s="15"/>
      <c r="R3124" s="422"/>
      <c r="S3124" s="15"/>
      <c r="T3124" s="15"/>
      <c r="U3124" s="15"/>
      <c r="V3124" s="15"/>
      <c r="W3124" s="15"/>
      <c r="X3124" s="15"/>
      <c r="Y3124" s="15"/>
      <c r="Z3124" s="15"/>
      <c r="AA3124" s="15"/>
    </row>
    <row r="3125">
      <c r="A3125" s="352" t="s">
        <v>14620</v>
      </c>
      <c r="B3125" s="131" t="s">
        <v>14630</v>
      </c>
      <c r="C3125" s="40" t="s">
        <v>14504</v>
      </c>
      <c r="D3125" s="11"/>
      <c r="E3125" s="11" t="s">
        <v>2813</v>
      </c>
      <c r="F3125" s="90">
        <v>5000.0</v>
      </c>
      <c r="G3125" s="321"/>
      <c r="H3125" s="11" t="s">
        <v>14631</v>
      </c>
      <c r="I3125" s="276"/>
      <c r="J3125" s="11" t="s">
        <v>4008</v>
      </c>
      <c r="K3125" s="12"/>
      <c r="L3125" s="12"/>
      <c r="M3125" s="11" t="s">
        <v>9445</v>
      </c>
      <c r="N3125" s="5" t="s">
        <v>14632</v>
      </c>
      <c r="O3125" s="5" t="s">
        <v>26</v>
      </c>
      <c r="P3125" s="15"/>
      <c r="Q3125" s="15"/>
      <c r="R3125" s="422"/>
      <c r="S3125" s="15"/>
      <c r="T3125" s="15"/>
      <c r="U3125" s="15"/>
      <c r="V3125" s="15"/>
      <c r="W3125" s="15"/>
      <c r="X3125" s="15"/>
      <c r="Y3125" s="15"/>
      <c r="Z3125" s="15"/>
      <c r="AA3125" s="15"/>
    </row>
    <row r="3126">
      <c r="A3126" s="5" t="s">
        <v>14620</v>
      </c>
      <c r="B3126" s="131" t="s">
        <v>14633</v>
      </c>
      <c r="C3126" s="40" t="s">
        <v>14634</v>
      </c>
      <c r="D3126" s="11"/>
      <c r="E3126" s="11" t="s">
        <v>14635</v>
      </c>
      <c r="F3126" s="9">
        <v>15000.0</v>
      </c>
      <c r="G3126" s="321"/>
      <c r="H3126" s="11" t="s">
        <v>1696</v>
      </c>
      <c r="I3126" s="276"/>
      <c r="J3126" s="11" t="s">
        <v>25</v>
      </c>
      <c r="K3126" s="13"/>
      <c r="L3126" s="13"/>
      <c r="M3126" s="14"/>
      <c r="N3126" s="15"/>
      <c r="O3126" s="5" t="s">
        <v>108</v>
      </c>
      <c r="P3126" s="15"/>
      <c r="Q3126" s="15"/>
      <c r="R3126" s="422"/>
      <c r="S3126" s="15"/>
      <c r="T3126" s="15"/>
      <c r="U3126" s="15"/>
      <c r="V3126" s="15"/>
      <c r="W3126" s="15"/>
      <c r="X3126" s="15"/>
      <c r="Y3126" s="15"/>
      <c r="Z3126" s="15"/>
      <c r="AA3126" s="15"/>
    </row>
    <row r="3127">
      <c r="A3127" s="5" t="s">
        <v>14620</v>
      </c>
      <c r="B3127" s="131" t="s">
        <v>14636</v>
      </c>
      <c r="C3127" s="40" t="s">
        <v>14637</v>
      </c>
      <c r="D3127" s="11"/>
      <c r="E3127" s="11" t="s">
        <v>5502</v>
      </c>
      <c r="F3127" s="9">
        <v>10000.0</v>
      </c>
      <c r="G3127" s="321"/>
      <c r="H3127" s="11" t="s">
        <v>906</v>
      </c>
      <c r="I3127" s="423"/>
      <c r="J3127" s="14"/>
      <c r="K3127" s="12"/>
      <c r="L3127" s="12"/>
      <c r="M3127" s="11" t="s">
        <v>14392</v>
      </c>
      <c r="N3127" s="5" t="s">
        <v>14638</v>
      </c>
      <c r="O3127" s="5" t="s">
        <v>108</v>
      </c>
      <c r="P3127" s="15"/>
      <c r="Q3127" s="15"/>
      <c r="R3127" s="422"/>
      <c r="S3127" s="15"/>
      <c r="T3127" s="15"/>
      <c r="U3127" s="15"/>
      <c r="V3127" s="15"/>
      <c r="W3127" s="15"/>
      <c r="X3127" s="15"/>
      <c r="Y3127" s="15"/>
      <c r="Z3127" s="15"/>
      <c r="AA3127" s="15"/>
    </row>
    <row r="3128">
      <c r="A3128" s="5" t="s">
        <v>14620</v>
      </c>
      <c r="B3128" s="131" t="s">
        <v>14639</v>
      </c>
      <c r="C3128" s="40" t="s">
        <v>14640</v>
      </c>
      <c r="D3128" s="11"/>
      <c r="E3128" s="11" t="s">
        <v>11939</v>
      </c>
      <c r="F3128" s="90">
        <v>1000.0</v>
      </c>
      <c r="G3128" s="321"/>
      <c r="H3128" s="11" t="s">
        <v>99</v>
      </c>
      <c r="I3128" s="423"/>
      <c r="J3128" s="14"/>
      <c r="K3128" s="12"/>
      <c r="L3128" s="12"/>
      <c r="M3128" s="11" t="s">
        <v>14641</v>
      </c>
      <c r="N3128" s="5" t="s">
        <v>14642</v>
      </c>
      <c r="O3128" s="5" t="s">
        <v>26</v>
      </c>
      <c r="P3128" s="15"/>
      <c r="Q3128" s="15"/>
      <c r="R3128" s="422"/>
      <c r="S3128" s="15"/>
      <c r="T3128" s="15"/>
      <c r="U3128" s="15"/>
      <c r="V3128" s="15"/>
      <c r="W3128" s="15"/>
      <c r="X3128" s="15"/>
      <c r="Y3128" s="15"/>
      <c r="Z3128" s="15"/>
      <c r="AA3128" s="15"/>
    </row>
    <row r="3129">
      <c r="A3129" s="5" t="s">
        <v>14620</v>
      </c>
      <c r="B3129" s="131" t="s">
        <v>14643</v>
      </c>
      <c r="C3129" s="40" t="s">
        <v>14644</v>
      </c>
      <c r="D3129" s="11"/>
      <c r="E3129" s="11" t="s">
        <v>189</v>
      </c>
      <c r="F3129" s="90">
        <v>100.0</v>
      </c>
      <c r="G3129" s="321"/>
      <c r="H3129" s="11" t="s">
        <v>14645</v>
      </c>
      <c r="I3129" s="276"/>
      <c r="J3129" s="11" t="s">
        <v>7221</v>
      </c>
      <c r="K3129" s="12"/>
      <c r="L3129" s="12"/>
      <c r="M3129" s="11" t="s">
        <v>9983</v>
      </c>
      <c r="N3129" s="5" t="s">
        <v>14646</v>
      </c>
      <c r="O3129" s="5" t="s">
        <v>14119</v>
      </c>
      <c r="P3129" s="15"/>
      <c r="Q3129" s="15"/>
      <c r="R3129" s="422"/>
      <c r="S3129" s="15"/>
      <c r="T3129" s="15"/>
      <c r="U3129" s="15"/>
      <c r="V3129" s="15"/>
      <c r="W3129" s="15"/>
      <c r="X3129" s="15"/>
      <c r="Y3129" s="15"/>
      <c r="Z3129" s="15"/>
      <c r="AA3129" s="15"/>
    </row>
    <row r="3130">
      <c r="A3130" s="5" t="s">
        <v>14620</v>
      </c>
      <c r="B3130" s="131" t="s">
        <v>14647</v>
      </c>
      <c r="C3130" s="40" t="s">
        <v>14648</v>
      </c>
      <c r="D3130" s="11"/>
      <c r="E3130" s="11" t="s">
        <v>9050</v>
      </c>
      <c r="F3130" s="90">
        <v>1000.0</v>
      </c>
      <c r="G3130" s="321"/>
      <c r="H3130" s="11" t="s">
        <v>14649</v>
      </c>
      <c r="I3130" s="276"/>
      <c r="J3130" s="11" t="s">
        <v>25</v>
      </c>
      <c r="K3130" s="12"/>
      <c r="L3130" s="12"/>
      <c r="M3130" s="11" t="s">
        <v>14650</v>
      </c>
      <c r="N3130" s="5" t="s">
        <v>14651</v>
      </c>
      <c r="O3130" s="5" t="s">
        <v>108</v>
      </c>
      <c r="P3130" s="15"/>
      <c r="Q3130" s="15"/>
      <c r="R3130" s="422"/>
      <c r="S3130" s="15"/>
      <c r="T3130" s="15"/>
      <c r="U3130" s="15"/>
      <c r="V3130" s="15"/>
      <c r="W3130" s="15"/>
      <c r="X3130" s="15"/>
      <c r="Y3130" s="15"/>
      <c r="Z3130" s="15"/>
      <c r="AA3130" s="15"/>
    </row>
    <row r="3131">
      <c r="A3131" s="5" t="s">
        <v>14620</v>
      </c>
      <c r="B3131" s="131" t="s">
        <v>14652</v>
      </c>
      <c r="C3131" s="40" t="s">
        <v>14653</v>
      </c>
      <c r="D3131" s="11"/>
      <c r="E3131" s="11" t="s">
        <v>14654</v>
      </c>
      <c r="F3131" s="90" t="s">
        <v>14655</v>
      </c>
      <c r="G3131" s="321"/>
      <c r="H3131" s="11" t="s">
        <v>14656</v>
      </c>
      <c r="I3131" s="276"/>
      <c r="J3131" s="11" t="s">
        <v>9874</v>
      </c>
      <c r="K3131" s="12"/>
      <c r="L3131" s="12"/>
      <c r="M3131" s="11" t="s">
        <v>14657</v>
      </c>
      <c r="N3131" s="5" t="s">
        <v>14658</v>
      </c>
      <c r="O3131" s="5" t="s">
        <v>14119</v>
      </c>
      <c r="P3131" s="15"/>
      <c r="Q3131" s="15"/>
      <c r="R3131" s="422"/>
      <c r="S3131" s="15"/>
      <c r="T3131" s="15"/>
      <c r="U3131" s="15"/>
      <c r="V3131" s="15"/>
      <c r="W3131" s="15"/>
      <c r="X3131" s="15"/>
      <c r="Y3131" s="15"/>
      <c r="Z3131" s="15"/>
      <c r="AA3131" s="15"/>
    </row>
    <row r="3132">
      <c r="A3132" s="5" t="s">
        <v>14620</v>
      </c>
      <c r="B3132" s="131" t="s">
        <v>14659</v>
      </c>
      <c r="C3132" s="40" t="s">
        <v>14660</v>
      </c>
      <c r="D3132" s="11"/>
      <c r="E3132" s="11" t="s">
        <v>9226</v>
      </c>
      <c r="F3132" s="9">
        <v>200000.0</v>
      </c>
      <c r="G3132" s="321"/>
      <c r="H3132" s="11" t="s">
        <v>930</v>
      </c>
      <c r="I3132" s="276"/>
      <c r="J3132" s="11" t="s">
        <v>4008</v>
      </c>
      <c r="K3132" s="13"/>
      <c r="L3132" s="13"/>
      <c r="M3132" s="14"/>
      <c r="N3132" s="15"/>
      <c r="O3132" s="5" t="s">
        <v>108</v>
      </c>
      <c r="P3132" s="15"/>
      <c r="Q3132" s="15"/>
      <c r="R3132" s="422"/>
      <c r="S3132" s="15"/>
      <c r="T3132" s="15"/>
      <c r="U3132" s="15"/>
      <c r="V3132" s="15"/>
      <c r="W3132" s="15"/>
      <c r="X3132" s="15"/>
      <c r="Y3132" s="15"/>
      <c r="Z3132" s="15"/>
      <c r="AA3132" s="15"/>
    </row>
    <row r="3133">
      <c r="A3133" s="5" t="s">
        <v>14620</v>
      </c>
      <c r="B3133" s="131" t="s">
        <v>14661</v>
      </c>
      <c r="C3133" s="40" t="s">
        <v>14662</v>
      </c>
      <c r="D3133" s="11"/>
      <c r="E3133" s="11" t="s">
        <v>207</v>
      </c>
      <c r="F3133" s="90">
        <v>6250.0</v>
      </c>
      <c r="G3133" s="321"/>
      <c r="H3133" s="11" t="s">
        <v>906</v>
      </c>
      <c r="I3133" s="276"/>
      <c r="J3133" s="11" t="s">
        <v>14663</v>
      </c>
      <c r="K3133" s="12"/>
      <c r="L3133" s="12"/>
      <c r="M3133" s="11" t="s">
        <v>9949</v>
      </c>
      <c r="N3133" s="5" t="s">
        <v>14664</v>
      </c>
      <c r="O3133" s="5" t="s">
        <v>108</v>
      </c>
      <c r="P3133" s="15"/>
      <c r="Q3133" s="15"/>
      <c r="R3133" s="422"/>
      <c r="S3133" s="15"/>
      <c r="T3133" s="15"/>
      <c r="U3133" s="15"/>
      <c r="V3133" s="15"/>
      <c r="W3133" s="15"/>
      <c r="X3133" s="15"/>
      <c r="Y3133" s="15"/>
      <c r="Z3133" s="15"/>
      <c r="AA3133" s="15"/>
    </row>
    <row r="3134">
      <c r="A3134" s="5" t="s">
        <v>14665</v>
      </c>
      <c r="B3134" s="131" t="s">
        <v>14666</v>
      </c>
      <c r="C3134" s="40" t="s">
        <v>14667</v>
      </c>
      <c r="D3134" s="11"/>
      <c r="E3134" s="11" t="s">
        <v>9283</v>
      </c>
      <c r="F3134" s="90">
        <v>150.0</v>
      </c>
      <c r="G3134" s="321"/>
      <c r="H3134" s="11" t="s">
        <v>44</v>
      </c>
      <c r="I3134" s="423"/>
      <c r="J3134" s="14"/>
      <c r="K3134" s="12"/>
      <c r="L3134" s="12"/>
      <c r="M3134" s="11" t="s">
        <v>9298</v>
      </c>
      <c r="N3134" s="5" t="s">
        <v>14668</v>
      </c>
      <c r="O3134" s="5" t="s">
        <v>14119</v>
      </c>
      <c r="P3134" s="15"/>
      <c r="Q3134" s="15"/>
      <c r="R3134" s="422"/>
      <c r="S3134" s="15"/>
      <c r="T3134" s="15"/>
      <c r="U3134" s="15"/>
      <c r="V3134" s="15"/>
      <c r="W3134" s="15"/>
      <c r="X3134" s="15"/>
      <c r="Y3134" s="15"/>
      <c r="Z3134" s="15"/>
      <c r="AA3134" s="15"/>
    </row>
    <row r="3135">
      <c r="A3135" s="5" t="s">
        <v>14665</v>
      </c>
      <c r="B3135" s="131" t="s">
        <v>14669</v>
      </c>
      <c r="C3135" s="40" t="s">
        <v>14670</v>
      </c>
      <c r="D3135" s="11"/>
      <c r="E3135" s="11" t="s">
        <v>7897</v>
      </c>
      <c r="F3135" s="9">
        <v>20000.0</v>
      </c>
      <c r="G3135" s="321"/>
      <c r="H3135" s="11" t="s">
        <v>3167</v>
      </c>
      <c r="I3135" s="423"/>
      <c r="J3135" s="14"/>
      <c r="K3135" s="12"/>
      <c r="L3135" s="12"/>
      <c r="M3135" s="11" t="s">
        <v>7718</v>
      </c>
      <c r="N3135" s="5" t="s">
        <v>14671</v>
      </c>
      <c r="O3135" s="5" t="s">
        <v>26</v>
      </c>
      <c r="P3135" s="15"/>
      <c r="Q3135" s="15"/>
      <c r="R3135" s="422"/>
      <c r="S3135" s="15"/>
      <c r="T3135" s="15"/>
      <c r="U3135" s="15"/>
      <c r="V3135" s="15"/>
      <c r="W3135" s="15"/>
      <c r="X3135" s="15"/>
      <c r="Y3135" s="15"/>
      <c r="Z3135" s="15"/>
      <c r="AA3135" s="15"/>
    </row>
    <row r="3136">
      <c r="A3136" s="5" t="s">
        <v>14665</v>
      </c>
      <c r="B3136" s="131" t="s">
        <v>14672</v>
      </c>
      <c r="C3136" s="40" t="s">
        <v>14673</v>
      </c>
      <c r="D3136" s="11"/>
      <c r="E3136" s="11" t="s">
        <v>794</v>
      </c>
      <c r="F3136" s="90">
        <v>500.0</v>
      </c>
      <c r="G3136" s="321"/>
      <c r="H3136" s="11" t="s">
        <v>44</v>
      </c>
      <c r="I3136" s="276"/>
      <c r="J3136" s="11" t="s">
        <v>25</v>
      </c>
      <c r="K3136" s="12"/>
      <c r="L3136" s="12"/>
      <c r="M3136" s="11" t="s">
        <v>9949</v>
      </c>
      <c r="N3136" s="5" t="s">
        <v>14674</v>
      </c>
      <c r="O3136" s="5" t="s">
        <v>14119</v>
      </c>
      <c r="P3136" s="15"/>
      <c r="Q3136" s="15"/>
      <c r="R3136" s="422"/>
      <c r="S3136" s="15"/>
      <c r="T3136" s="15"/>
      <c r="U3136" s="15"/>
      <c r="V3136" s="15"/>
      <c r="W3136" s="15"/>
      <c r="X3136" s="15"/>
      <c r="Y3136" s="15"/>
      <c r="Z3136" s="15"/>
      <c r="AA3136" s="15"/>
    </row>
    <row r="3137">
      <c r="A3137" s="5" t="s">
        <v>14665</v>
      </c>
      <c r="B3137" s="131" t="s">
        <v>14675</v>
      </c>
      <c r="C3137" s="40" t="s">
        <v>14676</v>
      </c>
      <c r="D3137" s="11"/>
      <c r="E3137" s="11" t="s">
        <v>14677</v>
      </c>
      <c r="F3137" s="90">
        <v>200.0</v>
      </c>
      <c r="G3137" s="321"/>
      <c r="H3137" s="11" t="s">
        <v>11371</v>
      </c>
      <c r="I3137" s="276"/>
      <c r="J3137" s="11" t="s">
        <v>25</v>
      </c>
      <c r="K3137" s="12"/>
      <c r="L3137" s="12"/>
      <c r="M3137" s="11" t="s">
        <v>12955</v>
      </c>
      <c r="N3137" s="5" t="s">
        <v>14678</v>
      </c>
      <c r="O3137" s="5" t="s">
        <v>14119</v>
      </c>
      <c r="P3137" s="15"/>
      <c r="Q3137" s="15"/>
      <c r="R3137" s="422"/>
      <c r="S3137" s="15"/>
      <c r="T3137" s="15"/>
      <c r="U3137" s="15"/>
      <c r="V3137" s="15"/>
      <c r="W3137" s="15"/>
      <c r="X3137" s="15"/>
      <c r="Y3137" s="15"/>
      <c r="Z3137" s="15"/>
      <c r="AA3137" s="15"/>
    </row>
    <row r="3138">
      <c r="A3138" s="5" t="s">
        <v>14665</v>
      </c>
      <c r="B3138" s="131" t="s">
        <v>14679</v>
      </c>
      <c r="C3138" s="40" t="s">
        <v>14680</v>
      </c>
      <c r="D3138" s="11"/>
      <c r="E3138" s="11" t="s">
        <v>4567</v>
      </c>
      <c r="F3138" s="90">
        <v>300.0</v>
      </c>
      <c r="G3138" s="321"/>
      <c r="H3138" s="11" t="s">
        <v>14681</v>
      </c>
      <c r="I3138" s="276"/>
      <c r="J3138" s="11" t="s">
        <v>4008</v>
      </c>
      <c r="K3138" s="12"/>
      <c r="L3138" s="12"/>
      <c r="M3138" s="11" t="s">
        <v>9497</v>
      </c>
      <c r="N3138" s="5" t="s">
        <v>14682</v>
      </c>
      <c r="O3138" s="5" t="s">
        <v>14119</v>
      </c>
      <c r="P3138" s="15"/>
      <c r="Q3138" s="15"/>
      <c r="R3138" s="422"/>
      <c r="S3138" s="15"/>
      <c r="T3138" s="15"/>
      <c r="U3138" s="15"/>
      <c r="V3138" s="15"/>
      <c r="W3138" s="15"/>
      <c r="X3138" s="15"/>
      <c r="Y3138" s="15"/>
      <c r="Z3138" s="15"/>
      <c r="AA3138" s="15"/>
    </row>
    <row r="3139">
      <c r="A3139" s="5" t="s">
        <v>14665</v>
      </c>
      <c r="B3139" s="131" t="s">
        <v>14683</v>
      </c>
      <c r="C3139" s="40" t="s">
        <v>14684</v>
      </c>
      <c r="D3139" s="11"/>
      <c r="E3139" s="11" t="s">
        <v>130</v>
      </c>
      <c r="F3139" s="9">
        <v>10000.0</v>
      </c>
      <c r="G3139" s="321"/>
      <c r="H3139" s="11" t="s">
        <v>3844</v>
      </c>
      <c r="I3139" s="276"/>
      <c r="J3139" s="11" t="s">
        <v>25</v>
      </c>
      <c r="K3139" s="12"/>
      <c r="L3139" s="12"/>
      <c r="M3139" s="11" t="s">
        <v>10171</v>
      </c>
      <c r="N3139" s="5" t="s">
        <v>14685</v>
      </c>
      <c r="O3139" s="5" t="s">
        <v>108</v>
      </c>
      <c r="P3139" s="15"/>
      <c r="Q3139" s="15"/>
      <c r="R3139" s="422"/>
      <c r="S3139" s="15"/>
      <c r="T3139" s="15"/>
      <c r="U3139" s="15"/>
      <c r="V3139" s="15"/>
      <c r="W3139" s="15"/>
      <c r="X3139" s="15"/>
      <c r="Y3139" s="15"/>
      <c r="Z3139" s="15"/>
      <c r="AA3139" s="15"/>
    </row>
    <row r="3140">
      <c r="A3140" s="5" t="s">
        <v>14665</v>
      </c>
      <c r="B3140" s="131" t="s">
        <v>14686</v>
      </c>
      <c r="C3140" s="40" t="s">
        <v>14687</v>
      </c>
      <c r="D3140" s="11"/>
      <c r="E3140" s="11" t="s">
        <v>9109</v>
      </c>
      <c r="F3140" s="90">
        <v>100.0</v>
      </c>
      <c r="G3140" s="321"/>
      <c r="H3140" s="11" t="s">
        <v>44</v>
      </c>
      <c r="I3140" s="276"/>
      <c r="J3140" s="11" t="s">
        <v>25</v>
      </c>
      <c r="K3140" s="12"/>
      <c r="L3140" s="12"/>
      <c r="M3140" s="11" t="s">
        <v>9587</v>
      </c>
      <c r="N3140" s="5" t="s">
        <v>14688</v>
      </c>
      <c r="O3140" s="5" t="s">
        <v>14119</v>
      </c>
      <c r="P3140" s="15"/>
      <c r="Q3140" s="15"/>
      <c r="R3140" s="422"/>
      <c r="S3140" s="15"/>
      <c r="T3140" s="15"/>
      <c r="U3140" s="15"/>
      <c r="V3140" s="15"/>
      <c r="W3140" s="15"/>
      <c r="X3140" s="15"/>
      <c r="Y3140" s="15"/>
      <c r="Z3140" s="15"/>
      <c r="AA3140" s="15"/>
    </row>
    <row r="3141">
      <c r="A3141" s="5" t="s">
        <v>14665</v>
      </c>
      <c r="B3141" s="131" t="s">
        <v>14689</v>
      </c>
      <c r="C3141" s="40" t="s">
        <v>14690</v>
      </c>
      <c r="D3141" s="11"/>
      <c r="E3141" s="11" t="s">
        <v>14589</v>
      </c>
      <c r="F3141" s="90">
        <v>1000.0</v>
      </c>
      <c r="G3141" s="321"/>
      <c r="H3141" s="11" t="s">
        <v>14691</v>
      </c>
      <c r="I3141" s="423"/>
      <c r="J3141" s="14"/>
      <c r="K3141" s="12"/>
      <c r="L3141" s="12"/>
      <c r="M3141" s="11" t="s">
        <v>14590</v>
      </c>
      <c r="N3141" s="5" t="s">
        <v>14692</v>
      </c>
      <c r="O3141" s="5" t="s">
        <v>108</v>
      </c>
      <c r="P3141" s="15"/>
      <c r="Q3141" s="15"/>
      <c r="R3141" s="422"/>
      <c r="S3141" s="15"/>
      <c r="T3141" s="15"/>
      <c r="U3141" s="15"/>
      <c r="V3141" s="15"/>
      <c r="W3141" s="15"/>
      <c r="X3141" s="15"/>
      <c r="Y3141" s="15"/>
      <c r="Z3141" s="15"/>
      <c r="AA3141" s="15"/>
    </row>
    <row r="3142">
      <c r="A3142" s="5" t="s">
        <v>14665</v>
      </c>
      <c r="B3142" s="131" t="s">
        <v>14693</v>
      </c>
      <c r="C3142" s="40" t="s">
        <v>14694</v>
      </c>
      <c r="D3142" s="11"/>
      <c r="E3142" s="11" t="s">
        <v>14695</v>
      </c>
      <c r="F3142" s="90">
        <v>4000.0</v>
      </c>
      <c r="G3142" s="321"/>
      <c r="H3142" s="11" t="s">
        <v>13491</v>
      </c>
      <c r="I3142" s="276"/>
      <c r="J3142" s="11" t="s">
        <v>4008</v>
      </c>
      <c r="K3142" s="12"/>
      <c r="L3142" s="12"/>
      <c r="M3142" s="11" t="s">
        <v>7965</v>
      </c>
      <c r="N3142" s="5" t="s">
        <v>14696</v>
      </c>
      <c r="O3142" s="5" t="s">
        <v>26</v>
      </c>
      <c r="P3142" s="15"/>
      <c r="Q3142" s="15"/>
      <c r="R3142" s="422"/>
      <c r="S3142" s="15"/>
      <c r="T3142" s="15"/>
      <c r="U3142" s="15"/>
      <c r="V3142" s="15"/>
      <c r="W3142" s="15"/>
      <c r="X3142" s="15"/>
      <c r="Y3142" s="15"/>
      <c r="Z3142" s="15"/>
      <c r="AA3142" s="15"/>
    </row>
    <row r="3143">
      <c r="A3143" s="5" t="s">
        <v>14665</v>
      </c>
      <c r="B3143" s="131" t="s">
        <v>14697</v>
      </c>
      <c r="C3143" s="40" t="s">
        <v>14698</v>
      </c>
      <c r="D3143" s="11"/>
      <c r="E3143" s="11" t="s">
        <v>13934</v>
      </c>
      <c r="F3143" s="90">
        <v>1000.0</v>
      </c>
      <c r="G3143" s="321"/>
      <c r="H3143" s="11" t="s">
        <v>14699</v>
      </c>
      <c r="I3143" s="276"/>
      <c r="J3143" s="11" t="s">
        <v>10820</v>
      </c>
      <c r="K3143" s="12"/>
      <c r="L3143" s="12"/>
      <c r="M3143" s="11" t="s">
        <v>12024</v>
      </c>
      <c r="N3143" s="5" t="s">
        <v>14700</v>
      </c>
      <c r="O3143" s="5" t="s">
        <v>108</v>
      </c>
      <c r="P3143" s="15"/>
      <c r="Q3143" s="15"/>
      <c r="R3143" s="422"/>
      <c r="S3143" s="15"/>
      <c r="T3143" s="15"/>
      <c r="U3143" s="15"/>
      <c r="V3143" s="15"/>
      <c r="W3143" s="15"/>
      <c r="X3143" s="15"/>
      <c r="Y3143" s="15"/>
      <c r="Z3143" s="15"/>
      <c r="AA3143" s="15"/>
    </row>
    <row r="3144">
      <c r="A3144" s="5" t="s">
        <v>14665</v>
      </c>
      <c r="B3144" s="131" t="s">
        <v>14701</v>
      </c>
      <c r="C3144" s="40" t="s">
        <v>14702</v>
      </c>
      <c r="D3144" s="11"/>
      <c r="E3144" s="11" t="s">
        <v>207</v>
      </c>
      <c r="F3144" s="9">
        <v>50000.0</v>
      </c>
      <c r="G3144" s="321"/>
      <c r="H3144" s="11" t="s">
        <v>495</v>
      </c>
      <c r="I3144" s="276"/>
      <c r="J3144" s="11" t="s">
        <v>25</v>
      </c>
      <c r="K3144" s="12"/>
      <c r="L3144" s="12"/>
      <c r="M3144" s="11" t="s">
        <v>9445</v>
      </c>
      <c r="N3144" s="5" t="s">
        <v>14703</v>
      </c>
      <c r="O3144" s="5" t="s">
        <v>26</v>
      </c>
      <c r="P3144" s="15"/>
      <c r="Q3144" s="15"/>
      <c r="R3144" s="422"/>
      <c r="S3144" s="15"/>
      <c r="T3144" s="15"/>
      <c r="U3144" s="15"/>
      <c r="V3144" s="15"/>
      <c r="W3144" s="15"/>
      <c r="X3144" s="15"/>
      <c r="Y3144" s="15"/>
      <c r="Z3144" s="15"/>
      <c r="AA3144" s="15"/>
    </row>
    <row r="3145">
      <c r="A3145" s="5" t="s">
        <v>14665</v>
      </c>
      <c r="B3145" s="131" t="s">
        <v>14704</v>
      </c>
      <c r="C3145" s="40" t="s">
        <v>14705</v>
      </c>
      <c r="D3145" s="11"/>
      <c r="E3145" s="11" t="s">
        <v>14706</v>
      </c>
      <c r="F3145" s="90">
        <v>300.0</v>
      </c>
      <c r="G3145" s="321"/>
      <c r="H3145" s="11" t="s">
        <v>8781</v>
      </c>
      <c r="I3145" s="276"/>
      <c r="J3145" s="11" t="s">
        <v>4008</v>
      </c>
      <c r="K3145" s="13"/>
      <c r="L3145" s="13"/>
      <c r="M3145" s="14"/>
      <c r="N3145" s="15"/>
      <c r="O3145" s="5" t="s">
        <v>14119</v>
      </c>
      <c r="P3145" s="15"/>
      <c r="Q3145" s="15"/>
      <c r="R3145" s="422"/>
      <c r="S3145" s="15"/>
      <c r="T3145" s="15"/>
      <c r="U3145" s="15"/>
      <c r="V3145" s="15"/>
      <c r="W3145" s="15"/>
      <c r="X3145" s="15"/>
      <c r="Y3145" s="15"/>
      <c r="Z3145" s="15"/>
      <c r="AA3145" s="15"/>
    </row>
    <row r="3146">
      <c r="A3146" s="5" t="s">
        <v>14665</v>
      </c>
      <c r="B3146" s="131" t="s">
        <v>14707</v>
      </c>
      <c r="C3146" s="40" t="s">
        <v>14708</v>
      </c>
      <c r="D3146" s="11"/>
      <c r="E3146" s="11" t="s">
        <v>794</v>
      </c>
      <c r="F3146" s="90">
        <v>2000.0</v>
      </c>
      <c r="G3146" s="321"/>
      <c r="H3146" s="11" t="s">
        <v>44</v>
      </c>
      <c r="I3146" s="276"/>
      <c r="J3146" s="11" t="s">
        <v>25</v>
      </c>
      <c r="K3146" s="12"/>
      <c r="L3146" s="12"/>
      <c r="M3146" s="11" t="s">
        <v>8860</v>
      </c>
      <c r="N3146" s="5" t="s">
        <v>14709</v>
      </c>
      <c r="O3146" s="5" t="s">
        <v>26</v>
      </c>
      <c r="P3146" s="15"/>
      <c r="Q3146" s="15"/>
      <c r="R3146" s="422"/>
      <c r="S3146" s="15"/>
      <c r="T3146" s="15"/>
      <c r="U3146" s="15"/>
      <c r="V3146" s="15"/>
      <c r="W3146" s="15"/>
      <c r="X3146" s="15"/>
      <c r="Y3146" s="15"/>
      <c r="Z3146" s="15"/>
      <c r="AA3146" s="15"/>
    </row>
    <row r="3147">
      <c r="A3147" s="5" t="s">
        <v>14665</v>
      </c>
      <c r="B3147" s="131" t="s">
        <v>14710</v>
      </c>
      <c r="C3147" s="40" t="s">
        <v>14711</v>
      </c>
      <c r="D3147" s="11"/>
      <c r="E3147" s="11" t="s">
        <v>9462</v>
      </c>
      <c r="F3147" s="90">
        <v>100.0</v>
      </c>
      <c r="G3147" s="321"/>
      <c r="H3147" s="11" t="s">
        <v>44</v>
      </c>
      <c r="I3147" s="276"/>
      <c r="J3147" s="11" t="s">
        <v>8773</v>
      </c>
      <c r="K3147" s="13"/>
      <c r="L3147" s="13"/>
      <c r="M3147" s="14"/>
      <c r="N3147" s="15"/>
      <c r="O3147" s="5" t="s">
        <v>14119</v>
      </c>
      <c r="P3147" s="15"/>
      <c r="Q3147" s="15"/>
      <c r="R3147" s="422"/>
      <c r="S3147" s="15"/>
      <c r="T3147" s="15"/>
      <c r="U3147" s="15"/>
      <c r="V3147" s="15"/>
      <c r="W3147" s="15"/>
      <c r="X3147" s="15"/>
      <c r="Y3147" s="15"/>
      <c r="Z3147" s="15"/>
      <c r="AA3147" s="15"/>
    </row>
    <row r="3148">
      <c r="A3148" s="352" t="s">
        <v>14712</v>
      </c>
      <c r="B3148" s="131" t="s">
        <v>14713</v>
      </c>
      <c r="C3148" s="40" t="s">
        <v>14714</v>
      </c>
      <c r="D3148" s="11"/>
      <c r="E3148" s="11" t="s">
        <v>116</v>
      </c>
      <c r="F3148" s="90">
        <v>1000.0</v>
      </c>
      <c r="G3148" s="321"/>
      <c r="H3148" s="11" t="s">
        <v>14715</v>
      </c>
      <c r="I3148" s="276"/>
      <c r="J3148" s="11" t="s">
        <v>4008</v>
      </c>
      <c r="K3148" s="12"/>
      <c r="L3148" s="12"/>
      <c r="M3148" s="11" t="s">
        <v>7928</v>
      </c>
      <c r="N3148" s="5" t="s">
        <v>14716</v>
      </c>
      <c r="O3148" s="5" t="s">
        <v>108</v>
      </c>
      <c r="P3148" s="15"/>
      <c r="Q3148" s="15"/>
      <c r="R3148" s="422"/>
      <c r="S3148" s="15"/>
      <c r="T3148" s="15"/>
      <c r="U3148" s="15"/>
      <c r="V3148" s="15"/>
      <c r="W3148" s="15"/>
      <c r="X3148" s="15"/>
      <c r="Y3148" s="15"/>
      <c r="Z3148" s="15"/>
      <c r="AA3148" s="15"/>
    </row>
    <row r="3149">
      <c r="A3149" s="5" t="s">
        <v>14712</v>
      </c>
      <c r="B3149" s="131" t="s">
        <v>14717</v>
      </c>
      <c r="C3149" s="40" t="s">
        <v>14718</v>
      </c>
      <c r="D3149" s="11"/>
      <c r="E3149" s="11" t="s">
        <v>14719</v>
      </c>
      <c r="F3149" s="90">
        <v>200.0</v>
      </c>
      <c r="G3149" s="321"/>
      <c r="H3149" s="11" t="s">
        <v>8781</v>
      </c>
      <c r="I3149" s="276"/>
      <c r="J3149" s="11" t="s">
        <v>4008</v>
      </c>
      <c r="K3149" s="12"/>
      <c r="L3149" s="12"/>
      <c r="M3149" s="11" t="s">
        <v>10483</v>
      </c>
      <c r="N3149" s="5" t="s">
        <v>14720</v>
      </c>
      <c r="O3149" s="5" t="s">
        <v>14119</v>
      </c>
      <c r="P3149" s="15"/>
      <c r="Q3149" s="15"/>
      <c r="R3149" s="422"/>
      <c r="S3149" s="15"/>
      <c r="T3149" s="15"/>
      <c r="U3149" s="15"/>
      <c r="V3149" s="15"/>
      <c r="W3149" s="15"/>
      <c r="X3149" s="15"/>
      <c r="Y3149" s="15"/>
      <c r="Z3149" s="15"/>
      <c r="AA3149" s="15"/>
    </row>
    <row r="3150">
      <c r="A3150" s="5" t="s">
        <v>14712</v>
      </c>
      <c r="B3150" s="131" t="s">
        <v>14721</v>
      </c>
      <c r="C3150" s="40" t="s">
        <v>14722</v>
      </c>
      <c r="D3150" s="11"/>
      <c r="E3150" s="11" t="s">
        <v>213</v>
      </c>
      <c r="F3150" s="90">
        <v>3000.0</v>
      </c>
      <c r="G3150" s="321"/>
      <c r="H3150" s="11" t="s">
        <v>14723</v>
      </c>
      <c r="I3150" s="276"/>
      <c r="J3150" s="11" t="s">
        <v>25</v>
      </c>
      <c r="K3150" s="12"/>
      <c r="L3150" s="12"/>
      <c r="M3150" s="11" t="s">
        <v>10171</v>
      </c>
      <c r="N3150" s="5" t="s">
        <v>14724</v>
      </c>
      <c r="O3150" s="5" t="s">
        <v>26</v>
      </c>
      <c r="P3150" s="15"/>
      <c r="Q3150" s="15"/>
      <c r="R3150" s="422"/>
      <c r="S3150" s="15"/>
      <c r="T3150" s="15"/>
      <c r="U3150" s="15"/>
      <c r="V3150" s="15"/>
      <c r="W3150" s="15"/>
      <c r="X3150" s="15"/>
      <c r="Y3150" s="15"/>
      <c r="Z3150" s="15"/>
      <c r="AA3150" s="15"/>
    </row>
    <row r="3151">
      <c r="A3151" s="5" t="s">
        <v>14712</v>
      </c>
      <c r="B3151" s="131" t="s">
        <v>14725</v>
      </c>
      <c r="C3151" s="40" t="s">
        <v>14726</v>
      </c>
      <c r="D3151" s="11"/>
      <c r="E3151" s="11" t="s">
        <v>14727</v>
      </c>
      <c r="F3151" s="90">
        <v>500.0</v>
      </c>
      <c r="G3151" s="321"/>
      <c r="H3151" s="11" t="s">
        <v>99</v>
      </c>
      <c r="I3151" s="423"/>
      <c r="J3151" s="14"/>
      <c r="K3151" s="12"/>
      <c r="L3151" s="12"/>
      <c r="M3151" s="11" t="s">
        <v>14386</v>
      </c>
      <c r="N3151" s="5" t="s">
        <v>14728</v>
      </c>
      <c r="O3151" s="5" t="s">
        <v>14119</v>
      </c>
      <c r="P3151" s="15"/>
      <c r="Q3151" s="15"/>
      <c r="R3151" s="422"/>
      <c r="S3151" s="15"/>
      <c r="T3151" s="15"/>
      <c r="U3151" s="15"/>
      <c r="V3151" s="15"/>
      <c r="W3151" s="15"/>
      <c r="X3151" s="15"/>
      <c r="Y3151" s="15"/>
      <c r="Z3151" s="15"/>
      <c r="AA3151" s="15"/>
    </row>
    <row r="3152">
      <c r="A3152" s="5" t="s">
        <v>14712</v>
      </c>
      <c r="B3152" s="131" t="s">
        <v>14729</v>
      </c>
      <c r="C3152" s="40" t="s">
        <v>14730</v>
      </c>
      <c r="D3152" s="11"/>
      <c r="E3152" s="11" t="s">
        <v>3165</v>
      </c>
      <c r="F3152" s="90">
        <v>50.0</v>
      </c>
      <c r="G3152" s="321"/>
      <c r="H3152" s="11" t="s">
        <v>44</v>
      </c>
      <c r="I3152" s="276"/>
      <c r="J3152" s="11" t="s">
        <v>25</v>
      </c>
      <c r="K3152" s="13"/>
      <c r="L3152" s="13"/>
      <c r="M3152" s="14"/>
      <c r="N3152" s="15"/>
      <c r="O3152" s="5" t="s">
        <v>14119</v>
      </c>
      <c r="P3152" s="15"/>
      <c r="Q3152" s="15"/>
      <c r="R3152" s="422"/>
      <c r="S3152" s="15"/>
      <c r="T3152" s="15"/>
      <c r="U3152" s="15"/>
      <c r="V3152" s="15"/>
      <c r="W3152" s="15"/>
      <c r="X3152" s="15"/>
      <c r="Y3152" s="15"/>
      <c r="Z3152" s="15"/>
      <c r="AA3152" s="15"/>
    </row>
    <row r="3153">
      <c r="A3153" s="5" t="s">
        <v>14712</v>
      </c>
      <c r="B3153" s="131" t="s">
        <v>14731</v>
      </c>
      <c r="C3153" s="40" t="s">
        <v>14732</v>
      </c>
      <c r="D3153" s="11"/>
      <c r="E3153" s="11" t="s">
        <v>2647</v>
      </c>
      <c r="F3153" s="9">
        <v>500000.0</v>
      </c>
      <c r="G3153" s="321"/>
      <c r="H3153" s="11" t="s">
        <v>13649</v>
      </c>
      <c r="I3153" s="276"/>
      <c r="J3153" s="11" t="s">
        <v>4008</v>
      </c>
      <c r="K3153" s="13"/>
      <c r="L3153" s="13"/>
      <c r="M3153" s="14"/>
      <c r="N3153" s="15"/>
      <c r="O3153" s="5" t="s">
        <v>108</v>
      </c>
      <c r="P3153" s="15"/>
      <c r="Q3153" s="15"/>
      <c r="R3153" s="422"/>
      <c r="S3153" s="15"/>
      <c r="T3153" s="15"/>
      <c r="U3153" s="15"/>
      <c r="V3153" s="15"/>
      <c r="W3153" s="15"/>
      <c r="X3153" s="15"/>
      <c r="Y3153" s="15"/>
      <c r="Z3153" s="15"/>
      <c r="AA3153" s="15"/>
    </row>
    <row r="3154">
      <c r="A3154" s="5" t="s">
        <v>14712</v>
      </c>
      <c r="B3154" s="131" t="s">
        <v>14733</v>
      </c>
      <c r="C3154" s="40" t="s">
        <v>14734</v>
      </c>
      <c r="D3154" s="11"/>
      <c r="E3154" s="11" t="s">
        <v>9109</v>
      </c>
      <c r="F3154" s="90">
        <v>750.0</v>
      </c>
      <c r="G3154" s="321"/>
      <c r="H3154" s="11" t="s">
        <v>8347</v>
      </c>
      <c r="I3154" s="276"/>
      <c r="J3154" s="11" t="s">
        <v>4008</v>
      </c>
      <c r="K3154" s="12"/>
      <c r="L3154" s="12"/>
      <c r="M3154" s="11" t="s">
        <v>7718</v>
      </c>
      <c r="N3154" s="5" t="s">
        <v>14735</v>
      </c>
      <c r="O3154" s="5" t="s">
        <v>26</v>
      </c>
      <c r="P3154" s="15"/>
      <c r="Q3154" s="15"/>
      <c r="R3154" s="422"/>
      <c r="S3154" s="15"/>
      <c r="T3154" s="15"/>
      <c r="U3154" s="15"/>
      <c r="V3154" s="15"/>
      <c r="W3154" s="15"/>
      <c r="X3154" s="15"/>
      <c r="Y3154" s="15"/>
      <c r="Z3154" s="15"/>
      <c r="AA3154" s="15"/>
    </row>
    <row r="3155">
      <c r="A3155" s="5" t="s">
        <v>14712</v>
      </c>
      <c r="B3155" s="131" t="s">
        <v>14736</v>
      </c>
      <c r="C3155" s="40" t="s">
        <v>14737</v>
      </c>
      <c r="D3155" s="11"/>
      <c r="E3155" s="11" t="s">
        <v>14738</v>
      </c>
      <c r="F3155" s="9">
        <v>15000.0</v>
      </c>
      <c r="G3155" s="321"/>
      <c r="H3155" s="11" t="s">
        <v>14739</v>
      </c>
      <c r="I3155" s="276"/>
      <c r="J3155" s="11" t="s">
        <v>25</v>
      </c>
      <c r="K3155" s="12"/>
      <c r="L3155" s="12"/>
      <c r="M3155" s="11" t="s">
        <v>9918</v>
      </c>
      <c r="N3155" s="5" t="s">
        <v>14740</v>
      </c>
      <c r="O3155" s="5" t="s">
        <v>108</v>
      </c>
      <c r="P3155" s="15"/>
      <c r="Q3155" s="15"/>
      <c r="R3155" s="422"/>
      <c r="S3155" s="15"/>
      <c r="T3155" s="15"/>
      <c r="U3155" s="15"/>
      <c r="V3155" s="15"/>
      <c r="W3155" s="15"/>
      <c r="X3155" s="15"/>
      <c r="Y3155" s="15"/>
      <c r="Z3155" s="15"/>
      <c r="AA3155" s="15"/>
    </row>
    <row r="3156">
      <c r="A3156" s="5" t="s">
        <v>14712</v>
      </c>
      <c r="B3156" s="131" t="s">
        <v>14741</v>
      </c>
      <c r="C3156" s="40" t="s">
        <v>14742</v>
      </c>
      <c r="D3156" s="11"/>
      <c r="E3156" s="11" t="s">
        <v>213</v>
      </c>
      <c r="F3156" s="9">
        <v>200000.0</v>
      </c>
      <c r="G3156" s="321"/>
      <c r="H3156" s="11" t="s">
        <v>44</v>
      </c>
      <c r="I3156" s="276"/>
      <c r="J3156" s="11" t="s">
        <v>4008</v>
      </c>
      <c r="K3156" s="13"/>
      <c r="L3156" s="13"/>
      <c r="M3156" s="14"/>
      <c r="N3156" s="15"/>
      <c r="O3156" s="5" t="s">
        <v>26</v>
      </c>
      <c r="P3156" s="15"/>
      <c r="Q3156" s="15"/>
      <c r="R3156" s="422"/>
      <c r="S3156" s="15"/>
      <c r="T3156" s="15"/>
      <c r="U3156" s="15"/>
      <c r="V3156" s="15"/>
      <c r="W3156" s="15"/>
      <c r="X3156" s="15"/>
      <c r="Y3156" s="15"/>
      <c r="Z3156" s="15"/>
      <c r="AA3156" s="15"/>
    </row>
    <row r="3157">
      <c r="A3157" s="5" t="s">
        <v>14712</v>
      </c>
      <c r="B3157" s="131" t="s">
        <v>14743</v>
      </c>
      <c r="C3157" s="40" t="s">
        <v>14744</v>
      </c>
      <c r="D3157" s="11"/>
      <c r="E3157" s="11" t="s">
        <v>3262</v>
      </c>
      <c r="F3157" s="9">
        <v>30000.0</v>
      </c>
      <c r="G3157" s="321"/>
      <c r="H3157" s="11" t="s">
        <v>44</v>
      </c>
      <c r="I3157" s="276"/>
      <c r="J3157" s="11" t="s">
        <v>25</v>
      </c>
      <c r="K3157" s="13"/>
      <c r="L3157" s="13"/>
      <c r="M3157" s="14"/>
      <c r="N3157" s="15"/>
      <c r="O3157" s="5" t="s">
        <v>26</v>
      </c>
      <c r="P3157" s="15"/>
      <c r="Q3157" s="15"/>
      <c r="R3157" s="422"/>
      <c r="S3157" s="15"/>
      <c r="T3157" s="15"/>
      <c r="U3157" s="15"/>
      <c r="V3157" s="15"/>
      <c r="W3157" s="15"/>
      <c r="X3157" s="15"/>
      <c r="Y3157" s="15"/>
      <c r="Z3157" s="15"/>
      <c r="AA3157" s="15"/>
    </row>
    <row r="3158">
      <c r="A3158" s="5" t="s">
        <v>14712</v>
      </c>
      <c r="B3158" s="131" t="s">
        <v>14745</v>
      </c>
      <c r="C3158" s="40" t="s">
        <v>14746</v>
      </c>
      <c r="D3158" s="11"/>
      <c r="E3158" s="11" t="s">
        <v>1280</v>
      </c>
      <c r="F3158" s="90">
        <v>1000.0</v>
      </c>
      <c r="G3158" s="321"/>
      <c r="H3158" s="11" t="s">
        <v>1029</v>
      </c>
      <c r="I3158" s="276"/>
      <c r="J3158" s="11" t="s">
        <v>7990</v>
      </c>
      <c r="K3158" s="12"/>
      <c r="L3158" s="12"/>
      <c r="M3158" s="11" t="s">
        <v>8722</v>
      </c>
      <c r="N3158" s="5" t="s">
        <v>14747</v>
      </c>
      <c r="O3158" s="5" t="s">
        <v>108</v>
      </c>
      <c r="P3158" s="15"/>
      <c r="Q3158" s="15"/>
      <c r="R3158" s="422"/>
      <c r="S3158" s="15"/>
      <c r="T3158" s="15"/>
      <c r="U3158" s="15"/>
      <c r="V3158" s="15"/>
      <c r="W3158" s="15"/>
      <c r="X3158" s="15"/>
      <c r="Y3158" s="15"/>
      <c r="Z3158" s="15"/>
      <c r="AA3158" s="15"/>
    </row>
    <row r="3159">
      <c r="A3159" s="5" t="s">
        <v>14712</v>
      </c>
      <c r="B3159" s="131" t="s">
        <v>14748</v>
      </c>
      <c r="C3159" s="40" t="s">
        <v>14749</v>
      </c>
      <c r="D3159" s="11"/>
      <c r="E3159" s="11" t="s">
        <v>3165</v>
      </c>
      <c r="F3159" s="90">
        <v>2000.0</v>
      </c>
      <c r="G3159" s="321"/>
      <c r="H3159" s="11" t="s">
        <v>14750</v>
      </c>
      <c r="I3159" s="423"/>
      <c r="J3159" s="14"/>
      <c r="K3159" s="13"/>
      <c r="L3159" s="13"/>
      <c r="M3159" s="14"/>
      <c r="N3159" s="15"/>
      <c r="O3159" s="5" t="s">
        <v>26</v>
      </c>
      <c r="P3159" s="15"/>
      <c r="Q3159" s="15"/>
      <c r="R3159" s="422"/>
      <c r="S3159" s="15"/>
      <c r="T3159" s="15"/>
      <c r="U3159" s="15"/>
      <c r="V3159" s="15"/>
      <c r="W3159" s="15"/>
      <c r="X3159" s="15"/>
      <c r="Y3159" s="15"/>
      <c r="Z3159" s="15"/>
      <c r="AA3159" s="15"/>
    </row>
    <row r="3160">
      <c r="A3160" s="5" t="s">
        <v>14751</v>
      </c>
      <c r="B3160" s="131" t="s">
        <v>14752</v>
      </c>
      <c r="C3160" s="40" t="s">
        <v>14753</v>
      </c>
      <c r="D3160" s="11"/>
      <c r="E3160" s="11" t="s">
        <v>116</v>
      </c>
      <c r="F3160" s="90">
        <v>500.0</v>
      </c>
      <c r="G3160" s="321"/>
      <c r="H3160" s="11" t="s">
        <v>3861</v>
      </c>
      <c r="I3160" s="276"/>
      <c r="J3160" s="11" t="s">
        <v>25</v>
      </c>
      <c r="K3160" s="12"/>
      <c r="L3160" s="12"/>
      <c r="M3160" s="11" t="s">
        <v>12759</v>
      </c>
      <c r="N3160" s="5" t="s">
        <v>14754</v>
      </c>
      <c r="O3160" s="5" t="s">
        <v>108</v>
      </c>
      <c r="P3160" s="15"/>
      <c r="Q3160" s="15"/>
      <c r="R3160" s="422"/>
      <c r="S3160" s="15"/>
      <c r="T3160" s="15"/>
      <c r="U3160" s="15"/>
      <c r="V3160" s="15"/>
      <c r="W3160" s="15"/>
      <c r="X3160" s="15"/>
      <c r="Y3160" s="15"/>
      <c r="Z3160" s="15"/>
      <c r="AA3160" s="15"/>
    </row>
    <row r="3161">
      <c r="A3161" s="5" t="s">
        <v>14751</v>
      </c>
      <c r="B3161" s="131" t="s">
        <v>14755</v>
      </c>
      <c r="C3161" s="40" t="s">
        <v>14756</v>
      </c>
      <c r="D3161" s="11"/>
      <c r="E3161" s="11" t="s">
        <v>152</v>
      </c>
      <c r="F3161" s="90">
        <v>100.0</v>
      </c>
      <c r="G3161" s="321"/>
      <c r="H3161" s="11" t="s">
        <v>14757</v>
      </c>
      <c r="I3161" s="276"/>
      <c r="J3161" s="11" t="s">
        <v>14758</v>
      </c>
      <c r="K3161" s="12"/>
      <c r="L3161" s="12"/>
      <c r="M3161" s="11" t="s">
        <v>6155</v>
      </c>
      <c r="N3161" s="5" t="s">
        <v>14759</v>
      </c>
      <c r="O3161" s="5" t="s">
        <v>14119</v>
      </c>
      <c r="P3161" s="15"/>
      <c r="Q3161" s="15"/>
      <c r="R3161" s="422"/>
      <c r="S3161" s="15"/>
      <c r="T3161" s="15"/>
      <c r="U3161" s="15"/>
      <c r="V3161" s="15"/>
      <c r="W3161" s="15"/>
      <c r="X3161" s="15"/>
      <c r="Y3161" s="15"/>
      <c r="Z3161" s="15"/>
      <c r="AA3161" s="15"/>
    </row>
    <row r="3162">
      <c r="A3162" s="5" t="s">
        <v>14751</v>
      </c>
      <c r="B3162" s="131" t="s">
        <v>14760</v>
      </c>
      <c r="C3162" s="40" t="s">
        <v>14761</v>
      </c>
      <c r="D3162" s="11"/>
      <c r="E3162" s="11" t="s">
        <v>753</v>
      </c>
      <c r="F3162" s="9">
        <v>35000.0</v>
      </c>
      <c r="G3162" s="321"/>
      <c r="H3162" s="11" t="s">
        <v>617</v>
      </c>
      <c r="I3162" s="276"/>
      <c r="J3162" s="11" t="s">
        <v>25</v>
      </c>
      <c r="K3162" s="12"/>
      <c r="L3162" s="12"/>
      <c r="M3162" s="11" t="s">
        <v>9918</v>
      </c>
      <c r="N3162" s="5" t="s">
        <v>14762</v>
      </c>
      <c r="O3162" s="5" t="s">
        <v>108</v>
      </c>
      <c r="P3162" s="15"/>
      <c r="Q3162" s="15"/>
      <c r="R3162" s="422"/>
      <c r="S3162" s="15"/>
      <c r="T3162" s="15"/>
      <c r="U3162" s="15"/>
      <c r="V3162" s="15"/>
      <c r="W3162" s="15"/>
      <c r="X3162" s="15"/>
      <c r="Y3162" s="15"/>
      <c r="Z3162" s="15"/>
      <c r="AA3162" s="15"/>
    </row>
    <row r="3163">
      <c r="A3163" s="5" t="s">
        <v>14751</v>
      </c>
      <c r="B3163" s="131" t="s">
        <v>14763</v>
      </c>
      <c r="C3163" s="40" t="s">
        <v>14764</v>
      </c>
      <c r="D3163" s="11"/>
      <c r="E3163" s="11" t="s">
        <v>10426</v>
      </c>
      <c r="F3163" s="90">
        <v>1000.0</v>
      </c>
      <c r="G3163" s="321"/>
      <c r="H3163" s="11" t="s">
        <v>14765</v>
      </c>
      <c r="I3163" s="276"/>
      <c r="J3163" s="11" t="s">
        <v>25</v>
      </c>
      <c r="K3163" s="12"/>
      <c r="L3163" s="12"/>
      <c r="M3163" s="11" t="s">
        <v>14766</v>
      </c>
      <c r="N3163" s="5" t="s">
        <v>14767</v>
      </c>
      <c r="O3163" s="5" t="s">
        <v>108</v>
      </c>
      <c r="P3163" s="15"/>
      <c r="Q3163" s="15"/>
      <c r="R3163" s="422"/>
      <c r="S3163" s="15"/>
      <c r="T3163" s="15"/>
      <c r="U3163" s="15"/>
      <c r="V3163" s="15"/>
      <c r="W3163" s="15"/>
      <c r="X3163" s="15"/>
      <c r="Y3163" s="15"/>
      <c r="Z3163" s="15"/>
      <c r="AA3163" s="15"/>
    </row>
    <row r="3164">
      <c r="A3164" s="5" t="s">
        <v>14751</v>
      </c>
      <c r="B3164" s="131" t="s">
        <v>14768</v>
      </c>
      <c r="C3164" s="40" t="s">
        <v>14769</v>
      </c>
      <c r="D3164" s="11"/>
      <c r="E3164" s="11" t="s">
        <v>130</v>
      </c>
      <c r="F3164" s="9">
        <v>26000.0</v>
      </c>
      <c r="G3164" s="321"/>
      <c r="H3164" s="11" t="s">
        <v>14770</v>
      </c>
      <c r="I3164" s="276"/>
      <c r="J3164" s="11" t="s">
        <v>25</v>
      </c>
      <c r="K3164" s="12"/>
      <c r="L3164" s="12"/>
      <c r="M3164" s="11" t="s">
        <v>9742</v>
      </c>
      <c r="N3164" s="5" t="s">
        <v>14771</v>
      </c>
      <c r="O3164" s="5" t="s">
        <v>108</v>
      </c>
      <c r="P3164" s="15"/>
      <c r="Q3164" s="15"/>
      <c r="R3164" s="422"/>
      <c r="S3164" s="15"/>
      <c r="T3164" s="15"/>
      <c r="U3164" s="15"/>
      <c r="V3164" s="15"/>
      <c r="W3164" s="15"/>
      <c r="X3164" s="15"/>
      <c r="Y3164" s="15"/>
      <c r="Z3164" s="15"/>
      <c r="AA3164" s="15"/>
    </row>
    <row r="3165">
      <c r="A3165" s="5" t="s">
        <v>14751</v>
      </c>
      <c r="B3165" s="131" t="s">
        <v>14772</v>
      </c>
      <c r="C3165" s="40" t="s">
        <v>14773</v>
      </c>
      <c r="D3165" s="11"/>
      <c r="E3165" s="11" t="s">
        <v>213</v>
      </c>
      <c r="F3165" s="9">
        <v>24000.0</v>
      </c>
      <c r="G3165" s="321"/>
      <c r="H3165" s="11" t="s">
        <v>14774</v>
      </c>
      <c r="I3165" s="276"/>
      <c r="J3165" s="11" t="s">
        <v>4008</v>
      </c>
      <c r="K3165" s="12"/>
      <c r="L3165" s="12"/>
      <c r="M3165" s="11" t="s">
        <v>9742</v>
      </c>
      <c r="N3165" s="5" t="s">
        <v>14775</v>
      </c>
      <c r="O3165" s="5" t="s">
        <v>108</v>
      </c>
      <c r="P3165" s="15"/>
      <c r="Q3165" s="15"/>
      <c r="R3165" s="422"/>
      <c r="S3165" s="15"/>
      <c r="T3165" s="15"/>
      <c r="U3165" s="15"/>
      <c r="V3165" s="15"/>
      <c r="W3165" s="15"/>
      <c r="X3165" s="15"/>
      <c r="Y3165" s="15"/>
      <c r="Z3165" s="15"/>
      <c r="AA3165" s="15"/>
    </row>
    <row r="3166">
      <c r="A3166" s="5" t="s">
        <v>14751</v>
      </c>
      <c r="B3166" s="131" t="s">
        <v>14776</v>
      </c>
      <c r="C3166" s="40" t="s">
        <v>14777</v>
      </c>
      <c r="D3166" s="11"/>
      <c r="E3166" s="11" t="s">
        <v>14778</v>
      </c>
      <c r="F3166" s="90">
        <v>2000.0</v>
      </c>
      <c r="G3166" s="321"/>
      <c r="H3166" s="11" t="s">
        <v>11758</v>
      </c>
      <c r="I3166" s="276"/>
      <c r="J3166" s="11" t="s">
        <v>25</v>
      </c>
      <c r="K3166" s="13"/>
      <c r="L3166" s="13"/>
      <c r="M3166" s="14"/>
      <c r="N3166" s="15"/>
      <c r="O3166" s="5" t="s">
        <v>108</v>
      </c>
      <c r="P3166" s="15"/>
      <c r="Q3166" s="15"/>
      <c r="R3166" s="422"/>
      <c r="S3166" s="15"/>
      <c r="T3166" s="15"/>
      <c r="U3166" s="15"/>
      <c r="V3166" s="15"/>
      <c r="W3166" s="15"/>
      <c r="X3166" s="15"/>
      <c r="Y3166" s="15"/>
      <c r="Z3166" s="15"/>
      <c r="AA3166" s="15"/>
    </row>
    <row r="3167">
      <c r="A3167" s="5" t="s">
        <v>14751</v>
      </c>
      <c r="B3167" s="131" t="s">
        <v>14779</v>
      </c>
      <c r="C3167" s="40" t="s">
        <v>14780</v>
      </c>
      <c r="D3167" s="11"/>
      <c r="E3167" s="11" t="s">
        <v>14781</v>
      </c>
      <c r="F3167" s="90" t="s">
        <v>14782</v>
      </c>
      <c r="G3167" s="321"/>
      <c r="H3167" s="11" t="s">
        <v>8781</v>
      </c>
      <c r="I3167" s="423"/>
      <c r="J3167" s="14"/>
      <c r="K3167" s="13"/>
      <c r="L3167" s="13"/>
      <c r="M3167" s="14"/>
      <c r="N3167" s="15"/>
      <c r="O3167" s="5" t="s">
        <v>14119</v>
      </c>
      <c r="P3167" s="15"/>
      <c r="Q3167" s="15"/>
      <c r="R3167" s="422"/>
      <c r="S3167" s="15"/>
      <c r="T3167" s="15"/>
      <c r="U3167" s="15"/>
      <c r="V3167" s="15"/>
      <c r="W3167" s="15"/>
      <c r="X3167" s="15"/>
      <c r="Y3167" s="15"/>
      <c r="Z3167" s="15"/>
      <c r="AA3167" s="15"/>
    </row>
    <row r="3168">
      <c r="A3168" s="5" t="s">
        <v>14751</v>
      </c>
      <c r="B3168" s="131" t="s">
        <v>14783</v>
      </c>
      <c r="C3168" s="40" t="s">
        <v>14784</v>
      </c>
      <c r="D3168" s="11"/>
      <c r="E3168" s="11" t="s">
        <v>11309</v>
      </c>
      <c r="F3168" s="90">
        <v>5000.0</v>
      </c>
      <c r="G3168" s="321"/>
      <c r="H3168" s="11" t="s">
        <v>519</v>
      </c>
      <c r="I3168" s="276"/>
      <c r="J3168" s="11" t="s">
        <v>4008</v>
      </c>
      <c r="K3168" s="13"/>
      <c r="L3168" s="13"/>
      <c r="M3168" s="14"/>
      <c r="N3168" s="15"/>
      <c r="O3168" s="5" t="s">
        <v>108</v>
      </c>
      <c r="P3168" s="15"/>
      <c r="Q3168" s="15"/>
      <c r="R3168" s="422"/>
      <c r="S3168" s="15"/>
      <c r="T3168" s="15"/>
      <c r="U3168" s="15"/>
      <c r="V3168" s="15"/>
      <c r="W3168" s="15"/>
      <c r="X3168" s="15"/>
      <c r="Y3168" s="15"/>
      <c r="Z3168" s="15"/>
      <c r="AA3168" s="15"/>
    </row>
    <row r="3169">
      <c r="A3169" s="5" t="s">
        <v>14751</v>
      </c>
      <c r="B3169" s="131" t="s">
        <v>14785</v>
      </c>
      <c r="C3169" s="40" t="s">
        <v>14786</v>
      </c>
      <c r="D3169" s="11"/>
      <c r="E3169" s="11" t="s">
        <v>1579</v>
      </c>
      <c r="F3169" s="90">
        <v>1000.0</v>
      </c>
      <c r="G3169" s="321"/>
      <c r="H3169" s="11" t="s">
        <v>14076</v>
      </c>
      <c r="I3169" s="276"/>
      <c r="J3169" s="11" t="s">
        <v>25</v>
      </c>
      <c r="K3169" s="13"/>
      <c r="L3169" s="13"/>
      <c r="M3169" s="14"/>
      <c r="N3169" s="15"/>
      <c r="O3169" s="5" t="s">
        <v>26</v>
      </c>
      <c r="P3169" s="15"/>
      <c r="Q3169" s="15"/>
      <c r="R3169" s="422"/>
      <c r="S3169" s="15"/>
      <c r="T3169" s="15"/>
      <c r="U3169" s="15"/>
      <c r="V3169" s="15"/>
      <c r="W3169" s="15"/>
      <c r="X3169" s="15"/>
      <c r="Y3169" s="15"/>
      <c r="Z3169" s="15"/>
      <c r="AA3169" s="15"/>
    </row>
    <row r="3170">
      <c r="A3170" s="5" t="s">
        <v>14751</v>
      </c>
      <c r="B3170" s="131" t="s">
        <v>14787</v>
      </c>
      <c r="C3170" s="40" t="s">
        <v>14788</v>
      </c>
      <c r="D3170" s="11"/>
      <c r="E3170" s="11" t="s">
        <v>189</v>
      </c>
      <c r="F3170" s="90">
        <v>1000.0</v>
      </c>
      <c r="G3170" s="321"/>
      <c r="H3170" s="11" t="s">
        <v>268</v>
      </c>
      <c r="I3170" s="423"/>
      <c r="J3170" s="14"/>
      <c r="K3170" s="12"/>
      <c r="L3170" s="12"/>
      <c r="M3170" s="11" t="s">
        <v>14789</v>
      </c>
      <c r="N3170" s="5" t="s">
        <v>14790</v>
      </c>
      <c r="O3170" s="5" t="s">
        <v>14409</v>
      </c>
      <c r="P3170" s="15"/>
      <c r="Q3170" s="15"/>
      <c r="R3170" s="422"/>
      <c r="S3170" s="15"/>
      <c r="T3170" s="15"/>
      <c r="U3170" s="15"/>
      <c r="V3170" s="15"/>
      <c r="W3170" s="15"/>
      <c r="X3170" s="15"/>
      <c r="Y3170" s="15"/>
      <c r="Z3170" s="15"/>
      <c r="AA3170" s="15"/>
    </row>
    <row r="3171">
      <c r="A3171" s="5" t="s">
        <v>14751</v>
      </c>
      <c r="B3171" s="131" t="s">
        <v>14791</v>
      </c>
      <c r="C3171" s="40" t="s">
        <v>14792</v>
      </c>
      <c r="D3171" s="11"/>
      <c r="E3171" s="11" t="s">
        <v>14285</v>
      </c>
      <c r="F3171" s="90">
        <v>6000.0</v>
      </c>
      <c r="G3171" s="321"/>
      <c r="H3171" s="11" t="s">
        <v>1561</v>
      </c>
      <c r="I3171" s="276"/>
      <c r="J3171" s="11" t="s">
        <v>25</v>
      </c>
      <c r="K3171" s="13"/>
      <c r="L3171" s="13"/>
      <c r="M3171" s="14"/>
      <c r="N3171" s="15"/>
      <c r="O3171" s="5" t="s">
        <v>26</v>
      </c>
      <c r="P3171" s="15"/>
      <c r="Q3171" s="15"/>
      <c r="R3171" s="422"/>
      <c r="S3171" s="15"/>
      <c r="T3171" s="15"/>
      <c r="U3171" s="15"/>
      <c r="V3171" s="15"/>
      <c r="W3171" s="15"/>
      <c r="X3171" s="15"/>
      <c r="Y3171" s="15"/>
      <c r="Z3171" s="15"/>
      <c r="AA3171" s="15"/>
    </row>
    <row r="3172">
      <c r="A3172" s="426" t="s">
        <v>14793</v>
      </c>
      <c r="B3172" s="131" t="s">
        <v>14794</v>
      </c>
      <c r="C3172" s="40" t="s">
        <v>14795</v>
      </c>
      <c r="D3172" s="11"/>
      <c r="E3172" s="11" t="s">
        <v>1749</v>
      </c>
      <c r="F3172" s="90">
        <v>1000.0</v>
      </c>
      <c r="G3172" s="321"/>
      <c r="H3172" s="11" t="s">
        <v>14796</v>
      </c>
      <c r="I3172" s="276"/>
      <c r="J3172" s="11" t="s">
        <v>14608</v>
      </c>
      <c r="K3172" s="12"/>
      <c r="L3172" s="12"/>
      <c r="M3172" s="11" t="s">
        <v>10483</v>
      </c>
      <c r="N3172" s="5" t="s">
        <v>14797</v>
      </c>
      <c r="O3172" s="5" t="s">
        <v>26</v>
      </c>
      <c r="P3172" s="15"/>
      <c r="Q3172" s="15"/>
      <c r="R3172" s="422"/>
      <c r="S3172" s="15"/>
      <c r="T3172" s="15"/>
      <c r="U3172" s="15"/>
      <c r="V3172" s="15"/>
      <c r="W3172" s="15"/>
      <c r="X3172" s="15"/>
      <c r="Y3172" s="15"/>
      <c r="Z3172" s="15"/>
      <c r="AA3172" s="15"/>
    </row>
    <row r="3173">
      <c r="A3173" s="5" t="s">
        <v>14793</v>
      </c>
      <c r="B3173" s="131" t="s">
        <v>14798</v>
      </c>
      <c r="C3173" s="40" t="s">
        <v>14799</v>
      </c>
      <c r="D3173" s="11"/>
      <c r="E3173" s="11" t="s">
        <v>116</v>
      </c>
      <c r="F3173" s="9">
        <v>25000.0</v>
      </c>
      <c r="G3173" s="321"/>
      <c r="H3173" s="11" t="s">
        <v>14800</v>
      </c>
      <c r="I3173" s="276"/>
      <c r="J3173" s="11" t="s">
        <v>4008</v>
      </c>
      <c r="K3173" s="12"/>
      <c r="L3173" s="12"/>
      <c r="M3173" s="11" t="s">
        <v>8162</v>
      </c>
      <c r="N3173" s="5" t="s">
        <v>14801</v>
      </c>
      <c r="O3173" s="5" t="s">
        <v>108</v>
      </c>
      <c r="P3173" s="15"/>
      <c r="Q3173" s="15"/>
      <c r="R3173" s="422"/>
      <c r="S3173" s="15"/>
      <c r="T3173" s="15"/>
      <c r="U3173" s="15"/>
      <c r="V3173" s="15"/>
      <c r="W3173" s="15"/>
      <c r="X3173" s="15"/>
      <c r="Y3173" s="15"/>
      <c r="Z3173" s="15"/>
      <c r="AA3173" s="15"/>
    </row>
    <row r="3174">
      <c r="A3174" s="5" t="s">
        <v>14793</v>
      </c>
      <c r="B3174" s="131" t="s">
        <v>14802</v>
      </c>
      <c r="C3174" s="40" t="s">
        <v>14803</v>
      </c>
      <c r="D3174" s="11"/>
      <c r="E3174" s="11" t="s">
        <v>14804</v>
      </c>
      <c r="F3174" s="90">
        <v>1000.0</v>
      </c>
      <c r="G3174" s="321"/>
      <c r="H3174" s="11" t="s">
        <v>14805</v>
      </c>
      <c r="I3174" s="423"/>
      <c r="J3174" s="14"/>
      <c r="K3174" s="13"/>
      <c r="L3174" s="13"/>
      <c r="M3174" s="14"/>
      <c r="N3174" s="15"/>
      <c r="O3174" s="5" t="s">
        <v>108</v>
      </c>
      <c r="P3174" s="15"/>
      <c r="Q3174" s="15"/>
      <c r="R3174" s="422"/>
      <c r="S3174" s="15"/>
      <c r="T3174" s="15"/>
      <c r="U3174" s="15"/>
      <c r="V3174" s="15"/>
      <c r="W3174" s="15"/>
      <c r="X3174" s="15"/>
      <c r="Y3174" s="15"/>
      <c r="Z3174" s="15"/>
      <c r="AA3174" s="15"/>
    </row>
    <row r="3175">
      <c r="A3175" s="5" t="s">
        <v>14793</v>
      </c>
      <c r="B3175" s="131" t="s">
        <v>14806</v>
      </c>
      <c r="C3175" s="40" t="s">
        <v>11482</v>
      </c>
      <c r="D3175" s="11"/>
      <c r="E3175" s="11" t="s">
        <v>5502</v>
      </c>
      <c r="F3175" s="9">
        <v>400000.0</v>
      </c>
      <c r="G3175" s="321"/>
      <c r="H3175" s="11" t="s">
        <v>107</v>
      </c>
      <c r="I3175" s="423"/>
      <c r="J3175" s="14"/>
      <c r="K3175" s="12"/>
      <c r="L3175" s="12"/>
      <c r="M3175" s="11" t="s">
        <v>11202</v>
      </c>
      <c r="N3175" s="5" t="s">
        <v>14807</v>
      </c>
      <c r="O3175" s="5" t="s">
        <v>108</v>
      </c>
      <c r="P3175" s="15"/>
      <c r="Q3175" s="15"/>
      <c r="R3175" s="422"/>
      <c r="S3175" s="15"/>
      <c r="T3175" s="15"/>
      <c r="U3175" s="15"/>
      <c r="V3175" s="15"/>
      <c r="W3175" s="15"/>
      <c r="X3175" s="15"/>
      <c r="Y3175" s="15"/>
      <c r="Z3175" s="15"/>
      <c r="AA3175" s="15"/>
    </row>
    <row r="3176">
      <c r="A3176" s="5" t="s">
        <v>14793</v>
      </c>
      <c r="B3176" s="131" t="s">
        <v>14808</v>
      </c>
      <c r="C3176" s="40" t="s">
        <v>14809</v>
      </c>
      <c r="D3176" s="11"/>
      <c r="E3176" s="11" t="s">
        <v>14810</v>
      </c>
      <c r="F3176" s="90">
        <v>500.0</v>
      </c>
      <c r="G3176" s="321"/>
      <c r="H3176" s="11" t="s">
        <v>4165</v>
      </c>
      <c r="I3176" s="276"/>
      <c r="J3176" s="11" t="s">
        <v>4008</v>
      </c>
      <c r="K3176" s="12"/>
      <c r="L3176" s="12"/>
      <c r="M3176" s="11" t="s">
        <v>14811</v>
      </c>
      <c r="N3176" s="5" t="s">
        <v>14812</v>
      </c>
      <c r="O3176" s="5" t="s">
        <v>34</v>
      </c>
      <c r="P3176" s="15"/>
      <c r="Q3176" s="15"/>
      <c r="R3176" s="422"/>
      <c r="S3176" s="15"/>
      <c r="T3176" s="15"/>
      <c r="U3176" s="15"/>
      <c r="V3176" s="15"/>
      <c r="W3176" s="15"/>
      <c r="X3176" s="15"/>
      <c r="Y3176" s="15"/>
      <c r="Z3176" s="15"/>
      <c r="AA3176" s="15"/>
    </row>
    <row r="3177">
      <c r="A3177" s="5" t="s">
        <v>14793</v>
      </c>
      <c r="B3177" s="131" t="s">
        <v>14813</v>
      </c>
      <c r="C3177" s="40" t="s">
        <v>10468</v>
      </c>
      <c r="D3177" s="11"/>
      <c r="E3177" s="11" t="s">
        <v>47</v>
      </c>
      <c r="F3177" s="90">
        <v>1000.0</v>
      </c>
      <c r="G3177" s="321"/>
      <c r="H3177" s="11" t="s">
        <v>12454</v>
      </c>
      <c r="I3177" s="276"/>
      <c r="J3177" s="11" t="s">
        <v>4008</v>
      </c>
      <c r="K3177" s="12"/>
      <c r="L3177" s="12"/>
      <c r="M3177" s="11" t="s">
        <v>9034</v>
      </c>
      <c r="N3177" s="5" t="s">
        <v>14814</v>
      </c>
      <c r="O3177" s="5" t="s">
        <v>108</v>
      </c>
      <c r="P3177" s="15"/>
      <c r="Q3177" s="15"/>
      <c r="R3177" s="422"/>
      <c r="S3177" s="15"/>
      <c r="T3177" s="15"/>
      <c r="U3177" s="15"/>
      <c r="V3177" s="15"/>
      <c r="W3177" s="15"/>
      <c r="X3177" s="15"/>
      <c r="Y3177" s="15"/>
      <c r="Z3177" s="15"/>
      <c r="AA3177" s="15"/>
    </row>
    <row r="3178">
      <c r="A3178" s="5" t="s">
        <v>14793</v>
      </c>
      <c r="B3178" s="131" t="s">
        <v>14815</v>
      </c>
      <c r="C3178" s="40" t="s">
        <v>14816</v>
      </c>
      <c r="D3178" s="11"/>
      <c r="E3178" s="11" t="s">
        <v>3555</v>
      </c>
      <c r="F3178" s="90">
        <v>5000.0</v>
      </c>
      <c r="G3178" s="321"/>
      <c r="H3178" s="11" t="s">
        <v>44</v>
      </c>
      <c r="I3178" s="276"/>
      <c r="J3178" s="11" t="s">
        <v>4008</v>
      </c>
      <c r="K3178" s="12"/>
      <c r="L3178" s="12"/>
      <c r="M3178" s="11" t="s">
        <v>8722</v>
      </c>
      <c r="N3178" s="5" t="s">
        <v>14817</v>
      </c>
      <c r="O3178" s="5" t="s">
        <v>26</v>
      </c>
      <c r="P3178" s="15"/>
      <c r="Q3178" s="15"/>
      <c r="R3178" s="422"/>
      <c r="S3178" s="15"/>
      <c r="T3178" s="15"/>
      <c r="U3178" s="15"/>
      <c r="V3178" s="15"/>
      <c r="W3178" s="15"/>
      <c r="X3178" s="15"/>
      <c r="Y3178" s="15"/>
      <c r="Z3178" s="15"/>
      <c r="AA3178" s="15"/>
    </row>
    <row r="3179">
      <c r="A3179" s="5" t="s">
        <v>14793</v>
      </c>
      <c r="B3179" s="131" t="s">
        <v>14818</v>
      </c>
      <c r="C3179" s="40" t="s">
        <v>14819</v>
      </c>
      <c r="D3179" s="11"/>
      <c r="E3179" s="11" t="s">
        <v>14820</v>
      </c>
      <c r="F3179" s="9">
        <v>20000.0</v>
      </c>
      <c r="G3179" s="321"/>
      <c r="H3179" s="11" t="s">
        <v>906</v>
      </c>
      <c r="I3179" s="276"/>
      <c r="J3179" s="11" t="s">
        <v>25</v>
      </c>
      <c r="K3179" s="13"/>
      <c r="L3179" s="13"/>
      <c r="M3179" s="14"/>
      <c r="N3179" s="15"/>
      <c r="O3179" s="5" t="s">
        <v>108</v>
      </c>
      <c r="P3179" s="15"/>
      <c r="Q3179" s="15"/>
      <c r="R3179" s="422"/>
      <c r="S3179" s="15"/>
      <c r="T3179" s="15"/>
      <c r="U3179" s="15"/>
      <c r="V3179" s="15"/>
      <c r="W3179" s="15"/>
      <c r="X3179" s="15"/>
      <c r="Y3179" s="15"/>
      <c r="Z3179" s="15"/>
      <c r="AA3179" s="15"/>
    </row>
    <row r="3180">
      <c r="A3180" s="5" t="s">
        <v>14793</v>
      </c>
      <c r="B3180" s="131" t="s">
        <v>14821</v>
      </c>
      <c r="C3180" s="40" t="s">
        <v>14822</v>
      </c>
      <c r="D3180" s="11"/>
      <c r="E3180" s="11" t="s">
        <v>152</v>
      </c>
      <c r="F3180" s="9">
        <v>10000.0</v>
      </c>
      <c r="G3180" s="321"/>
      <c r="H3180" s="11" t="s">
        <v>14823</v>
      </c>
      <c r="I3180" s="276"/>
      <c r="J3180" s="11" t="s">
        <v>25</v>
      </c>
      <c r="K3180" s="12"/>
      <c r="L3180" s="12"/>
      <c r="M3180" s="11" t="s">
        <v>9104</v>
      </c>
      <c r="N3180" s="5" t="s">
        <v>14824</v>
      </c>
      <c r="O3180" s="5" t="s">
        <v>108</v>
      </c>
      <c r="P3180" s="15"/>
      <c r="Q3180" s="15"/>
      <c r="R3180" s="422"/>
      <c r="S3180" s="15"/>
      <c r="T3180" s="15"/>
      <c r="U3180" s="15"/>
      <c r="V3180" s="15"/>
      <c r="W3180" s="15"/>
      <c r="X3180" s="15"/>
      <c r="Y3180" s="15"/>
      <c r="Z3180" s="15"/>
      <c r="AA3180" s="15"/>
    </row>
    <row r="3181">
      <c r="A3181" s="5" t="s">
        <v>14793</v>
      </c>
      <c r="B3181" s="131" t="s">
        <v>14825</v>
      </c>
      <c r="C3181" s="40" t="s">
        <v>14826</v>
      </c>
      <c r="D3181" s="11"/>
      <c r="E3181" s="11" t="s">
        <v>9634</v>
      </c>
      <c r="F3181" s="90">
        <v>1500.0</v>
      </c>
      <c r="G3181" s="321"/>
      <c r="H3181" s="11" t="s">
        <v>131</v>
      </c>
      <c r="I3181" s="276"/>
      <c r="J3181" s="11" t="s">
        <v>4008</v>
      </c>
      <c r="K3181" s="12"/>
      <c r="L3181" s="12"/>
      <c r="M3181" s="11" t="s">
        <v>11262</v>
      </c>
      <c r="N3181" s="5" t="s">
        <v>14827</v>
      </c>
      <c r="O3181" s="5" t="s">
        <v>26</v>
      </c>
      <c r="P3181" s="15"/>
      <c r="Q3181" s="15"/>
      <c r="R3181" s="422"/>
      <c r="S3181" s="15"/>
      <c r="T3181" s="15"/>
      <c r="U3181" s="15"/>
      <c r="V3181" s="15"/>
      <c r="W3181" s="15"/>
      <c r="X3181" s="15"/>
      <c r="Y3181" s="15"/>
      <c r="Z3181" s="15"/>
      <c r="AA3181" s="15"/>
    </row>
    <row r="3182">
      <c r="A3182" s="5" t="s">
        <v>14793</v>
      </c>
      <c r="B3182" s="131" t="s">
        <v>14828</v>
      </c>
      <c r="C3182" s="40" t="s">
        <v>14829</v>
      </c>
      <c r="D3182" s="11"/>
      <c r="E3182" s="11" t="s">
        <v>9050</v>
      </c>
      <c r="F3182" s="90">
        <v>200.0</v>
      </c>
      <c r="G3182" s="321"/>
      <c r="H3182" s="11" t="s">
        <v>11568</v>
      </c>
      <c r="I3182" s="276"/>
      <c r="J3182" s="11" t="s">
        <v>4008</v>
      </c>
      <c r="K3182" s="13"/>
      <c r="L3182" s="13"/>
      <c r="M3182" s="14"/>
      <c r="N3182" s="15"/>
      <c r="O3182" s="5" t="s">
        <v>14119</v>
      </c>
      <c r="P3182" s="15"/>
      <c r="Q3182" s="15"/>
      <c r="R3182" s="422"/>
      <c r="S3182" s="15"/>
      <c r="T3182" s="15"/>
      <c r="U3182" s="15"/>
      <c r="V3182" s="15"/>
      <c r="W3182" s="15"/>
      <c r="X3182" s="15"/>
      <c r="Y3182" s="15"/>
      <c r="Z3182" s="15"/>
      <c r="AA3182" s="15"/>
    </row>
    <row r="3183">
      <c r="A3183" s="5" t="s">
        <v>14830</v>
      </c>
      <c r="B3183" s="131" t="s">
        <v>14831</v>
      </c>
      <c r="C3183" s="40" t="s">
        <v>14832</v>
      </c>
      <c r="D3183" s="11"/>
      <c r="E3183" s="11" t="s">
        <v>1930</v>
      </c>
      <c r="F3183" s="90">
        <v>100.0</v>
      </c>
      <c r="G3183" s="321"/>
      <c r="H3183" s="11" t="s">
        <v>14833</v>
      </c>
      <c r="I3183" s="423"/>
      <c r="J3183" s="14"/>
      <c r="K3183" s="12"/>
      <c r="L3183" s="12"/>
      <c r="M3183" s="11" t="s">
        <v>8782</v>
      </c>
      <c r="N3183" s="5" t="s">
        <v>14834</v>
      </c>
      <c r="O3183" s="5" t="s">
        <v>14119</v>
      </c>
      <c r="P3183" s="15"/>
      <c r="Q3183" s="15"/>
      <c r="R3183" s="422"/>
      <c r="S3183" s="15"/>
      <c r="T3183" s="15"/>
      <c r="U3183" s="15"/>
      <c r="V3183" s="15"/>
      <c r="W3183" s="15"/>
      <c r="X3183" s="15"/>
      <c r="Y3183" s="15"/>
      <c r="Z3183" s="15"/>
      <c r="AA3183" s="15"/>
    </row>
    <row r="3184">
      <c r="A3184" s="5" t="s">
        <v>14830</v>
      </c>
      <c r="B3184" s="131" t="s">
        <v>14835</v>
      </c>
      <c r="C3184" s="40" t="s">
        <v>14836</v>
      </c>
      <c r="D3184" s="11"/>
      <c r="E3184" s="11" t="s">
        <v>523</v>
      </c>
      <c r="F3184" s="9">
        <v>42000.0</v>
      </c>
      <c r="G3184" s="321"/>
      <c r="H3184" s="11" t="s">
        <v>14837</v>
      </c>
      <c r="I3184" s="276"/>
      <c r="J3184" s="11" t="s">
        <v>25</v>
      </c>
      <c r="K3184" s="12"/>
      <c r="L3184" s="12"/>
      <c r="M3184" s="11" t="s">
        <v>9901</v>
      </c>
      <c r="N3184" s="5" t="s">
        <v>14838</v>
      </c>
      <c r="O3184" s="5" t="s">
        <v>26</v>
      </c>
      <c r="P3184" s="15"/>
      <c r="Q3184" s="15"/>
      <c r="R3184" s="422"/>
      <c r="S3184" s="15"/>
      <c r="T3184" s="15"/>
      <c r="U3184" s="15"/>
      <c r="V3184" s="15"/>
      <c r="W3184" s="15"/>
      <c r="X3184" s="15"/>
      <c r="Y3184" s="15"/>
      <c r="Z3184" s="15"/>
      <c r="AA3184" s="15"/>
    </row>
    <row r="3185">
      <c r="A3185" s="5" t="s">
        <v>14830</v>
      </c>
      <c r="B3185" s="131" t="s">
        <v>14839</v>
      </c>
      <c r="C3185" s="40" t="s">
        <v>14840</v>
      </c>
      <c r="D3185" s="11"/>
      <c r="E3185" s="11" t="s">
        <v>14841</v>
      </c>
      <c r="F3185" s="90">
        <v>1500.0</v>
      </c>
      <c r="G3185" s="321"/>
      <c r="H3185" s="11" t="s">
        <v>14842</v>
      </c>
      <c r="I3185" s="276"/>
      <c r="J3185" s="11" t="s">
        <v>4008</v>
      </c>
      <c r="K3185" s="12"/>
      <c r="L3185" s="12"/>
      <c r="M3185" s="11" t="s">
        <v>14843</v>
      </c>
      <c r="N3185" s="5" t="s">
        <v>14844</v>
      </c>
      <c r="O3185" s="5" t="s">
        <v>34</v>
      </c>
      <c r="P3185" s="15"/>
      <c r="Q3185" s="15"/>
      <c r="R3185" s="422"/>
      <c r="S3185" s="15"/>
      <c r="T3185" s="15"/>
      <c r="U3185" s="15"/>
      <c r="V3185" s="15"/>
      <c r="W3185" s="15"/>
      <c r="X3185" s="15"/>
      <c r="Y3185" s="15"/>
      <c r="Z3185" s="15"/>
      <c r="AA3185" s="15"/>
    </row>
    <row r="3186">
      <c r="A3186" s="5" t="s">
        <v>14830</v>
      </c>
      <c r="B3186" s="131" t="s">
        <v>14845</v>
      </c>
      <c r="C3186" s="40" t="s">
        <v>14846</v>
      </c>
      <c r="D3186" s="11"/>
      <c r="E3186" s="11" t="s">
        <v>9462</v>
      </c>
      <c r="F3186" s="90">
        <v>200.0</v>
      </c>
      <c r="G3186" s="321"/>
      <c r="H3186" s="11" t="s">
        <v>14469</v>
      </c>
      <c r="I3186" s="276"/>
      <c r="J3186" s="11" t="s">
        <v>25</v>
      </c>
      <c r="K3186" s="13"/>
      <c r="L3186" s="13"/>
      <c r="M3186" s="14"/>
      <c r="N3186" s="15"/>
      <c r="O3186" s="5" t="s">
        <v>14119</v>
      </c>
      <c r="P3186" s="15"/>
      <c r="Q3186" s="15"/>
      <c r="R3186" s="422"/>
      <c r="S3186" s="15"/>
      <c r="T3186" s="15"/>
      <c r="U3186" s="15"/>
      <c r="V3186" s="15"/>
      <c r="W3186" s="15"/>
      <c r="X3186" s="15"/>
      <c r="Y3186" s="15"/>
      <c r="Z3186" s="15"/>
      <c r="AA3186" s="15"/>
    </row>
    <row r="3187">
      <c r="A3187" s="5" t="s">
        <v>14830</v>
      </c>
      <c r="B3187" s="131" t="s">
        <v>14847</v>
      </c>
      <c r="C3187" s="40" t="s">
        <v>14848</v>
      </c>
      <c r="D3187" s="11"/>
      <c r="E3187" s="11" t="s">
        <v>14849</v>
      </c>
      <c r="F3187" s="90">
        <v>1000.0</v>
      </c>
      <c r="G3187" s="321"/>
      <c r="H3187" s="11" t="s">
        <v>44</v>
      </c>
      <c r="I3187" s="276"/>
      <c r="J3187" s="11" t="s">
        <v>25</v>
      </c>
      <c r="K3187" s="13"/>
      <c r="L3187" s="13"/>
      <c r="M3187" s="14"/>
      <c r="N3187" s="15"/>
      <c r="O3187" s="5" t="s">
        <v>26</v>
      </c>
      <c r="P3187" s="15"/>
      <c r="Q3187" s="15"/>
      <c r="R3187" s="422"/>
      <c r="S3187" s="15"/>
      <c r="T3187" s="15"/>
      <c r="U3187" s="15"/>
      <c r="V3187" s="15"/>
      <c r="W3187" s="15"/>
      <c r="X3187" s="15"/>
      <c r="Y3187" s="15"/>
      <c r="Z3187" s="15"/>
      <c r="AA3187" s="15"/>
    </row>
    <row r="3188">
      <c r="A3188" s="352" t="s">
        <v>14830</v>
      </c>
      <c r="B3188" s="131" t="s">
        <v>14850</v>
      </c>
      <c r="C3188" s="40" t="s">
        <v>14851</v>
      </c>
      <c r="D3188" s="11"/>
      <c r="E3188" s="11" t="s">
        <v>14852</v>
      </c>
      <c r="F3188" s="90" t="s">
        <v>14853</v>
      </c>
      <c r="G3188" s="321"/>
      <c r="H3188" s="11" t="s">
        <v>3216</v>
      </c>
      <c r="I3188" s="276"/>
      <c r="J3188" s="11" t="s">
        <v>8773</v>
      </c>
      <c r="K3188" s="12"/>
      <c r="L3188" s="12"/>
      <c r="M3188" s="11" t="s">
        <v>14854</v>
      </c>
      <c r="N3188" s="5" t="s">
        <v>14855</v>
      </c>
      <c r="O3188" s="5" t="s">
        <v>26</v>
      </c>
      <c r="P3188" s="15"/>
      <c r="Q3188" s="15"/>
      <c r="R3188" s="422"/>
      <c r="S3188" s="15"/>
      <c r="T3188" s="15"/>
      <c r="U3188" s="15"/>
      <c r="V3188" s="15"/>
      <c r="W3188" s="15"/>
      <c r="X3188" s="15"/>
      <c r="Y3188" s="15"/>
      <c r="Z3188" s="15"/>
      <c r="AA3188" s="15"/>
    </row>
    <row r="3189">
      <c r="A3189" s="5" t="s">
        <v>14830</v>
      </c>
      <c r="B3189" s="131" t="s">
        <v>14856</v>
      </c>
      <c r="C3189" s="40" t="s">
        <v>14857</v>
      </c>
      <c r="D3189" s="11"/>
      <c r="E3189" s="11" t="s">
        <v>10426</v>
      </c>
      <c r="F3189" s="90">
        <v>3000.0</v>
      </c>
      <c r="G3189" s="321"/>
      <c r="H3189" s="11" t="s">
        <v>2662</v>
      </c>
      <c r="I3189" s="276"/>
      <c r="J3189" s="11" t="s">
        <v>25</v>
      </c>
      <c r="K3189" s="12"/>
      <c r="L3189" s="12"/>
      <c r="M3189" s="11" t="s">
        <v>12825</v>
      </c>
      <c r="N3189" s="5" t="s">
        <v>14858</v>
      </c>
      <c r="O3189" s="5" t="s">
        <v>108</v>
      </c>
      <c r="P3189" s="15"/>
      <c r="Q3189" s="15"/>
      <c r="R3189" s="422"/>
      <c r="S3189" s="15"/>
      <c r="T3189" s="15"/>
      <c r="U3189" s="15"/>
      <c r="V3189" s="15"/>
      <c r="W3189" s="15"/>
      <c r="X3189" s="15"/>
      <c r="Y3189" s="15"/>
      <c r="Z3189" s="15"/>
      <c r="AA3189" s="15"/>
    </row>
    <row r="3190">
      <c r="A3190" s="5" t="s">
        <v>14859</v>
      </c>
      <c r="B3190" s="131" t="s">
        <v>14860</v>
      </c>
      <c r="C3190" s="40" t="s">
        <v>14861</v>
      </c>
      <c r="D3190" s="11"/>
      <c r="E3190" s="11" t="s">
        <v>9050</v>
      </c>
      <c r="F3190" s="90">
        <v>3000.0</v>
      </c>
      <c r="G3190" s="321"/>
      <c r="H3190" s="11" t="s">
        <v>14862</v>
      </c>
      <c r="I3190" s="276"/>
      <c r="J3190" s="11" t="s">
        <v>25</v>
      </c>
      <c r="K3190" s="13"/>
      <c r="L3190" s="13"/>
      <c r="M3190" s="14"/>
      <c r="N3190" s="15"/>
      <c r="O3190" s="5" t="s">
        <v>26</v>
      </c>
      <c r="P3190" s="15"/>
      <c r="Q3190" s="15"/>
      <c r="R3190" s="422"/>
      <c r="S3190" s="15"/>
      <c r="T3190" s="15"/>
      <c r="U3190" s="15"/>
      <c r="V3190" s="15"/>
      <c r="W3190" s="15"/>
      <c r="X3190" s="15"/>
      <c r="Y3190" s="15"/>
      <c r="Z3190" s="15"/>
      <c r="AA3190" s="15"/>
    </row>
    <row r="3191">
      <c r="A3191" s="352" t="s">
        <v>14859</v>
      </c>
      <c r="B3191" s="131" t="s">
        <v>14863</v>
      </c>
      <c r="C3191" s="40" t="s">
        <v>14864</v>
      </c>
      <c r="D3191" s="11"/>
      <c r="E3191" s="11" t="s">
        <v>14865</v>
      </c>
      <c r="F3191" s="90">
        <v>200.0</v>
      </c>
      <c r="G3191" s="321"/>
      <c r="H3191" s="11" t="s">
        <v>507</v>
      </c>
      <c r="I3191" s="276"/>
      <c r="J3191" s="11" t="s">
        <v>4008</v>
      </c>
      <c r="K3191" s="12"/>
      <c r="L3191" s="12"/>
      <c r="M3191" s="11" t="s">
        <v>12016</v>
      </c>
      <c r="N3191" s="5" t="s">
        <v>14866</v>
      </c>
      <c r="O3191" s="5" t="s">
        <v>14119</v>
      </c>
      <c r="P3191" s="15"/>
      <c r="Q3191" s="15"/>
      <c r="R3191" s="422"/>
      <c r="S3191" s="15"/>
      <c r="T3191" s="15"/>
      <c r="U3191" s="15"/>
      <c r="V3191" s="15"/>
      <c r="W3191" s="15"/>
      <c r="X3191" s="15"/>
      <c r="Y3191" s="15"/>
      <c r="Z3191" s="15"/>
      <c r="AA3191" s="15"/>
    </row>
    <row r="3192">
      <c r="A3192" s="5" t="s">
        <v>14859</v>
      </c>
      <c r="B3192" s="131" t="s">
        <v>14867</v>
      </c>
      <c r="C3192" s="40" t="s">
        <v>14868</v>
      </c>
      <c r="D3192" s="11"/>
      <c r="E3192" s="11" t="s">
        <v>53</v>
      </c>
      <c r="F3192" s="9">
        <v>150000.0</v>
      </c>
      <c r="G3192" s="321"/>
      <c r="H3192" s="11" t="s">
        <v>44</v>
      </c>
      <c r="I3192" s="276"/>
      <c r="J3192" s="11" t="s">
        <v>25</v>
      </c>
      <c r="K3192" s="12"/>
      <c r="L3192" s="12"/>
      <c r="M3192" s="11" t="s">
        <v>8348</v>
      </c>
      <c r="N3192" s="5" t="s">
        <v>14869</v>
      </c>
      <c r="O3192" s="5" t="s">
        <v>26</v>
      </c>
      <c r="P3192" s="15"/>
      <c r="Q3192" s="15"/>
      <c r="R3192" s="422"/>
      <c r="S3192" s="15"/>
      <c r="T3192" s="15"/>
      <c r="U3192" s="15"/>
      <c r="V3192" s="15"/>
      <c r="W3192" s="15"/>
      <c r="X3192" s="15"/>
      <c r="Y3192" s="15"/>
      <c r="Z3192" s="15"/>
      <c r="AA3192" s="15"/>
    </row>
    <row r="3193">
      <c r="A3193" s="5" t="s">
        <v>14859</v>
      </c>
      <c r="B3193" s="131" t="s">
        <v>14870</v>
      </c>
      <c r="C3193" s="40" t="s">
        <v>14871</v>
      </c>
      <c r="D3193" s="11"/>
      <c r="E3193" s="11" t="s">
        <v>14872</v>
      </c>
      <c r="F3193" s="90">
        <v>5000.0</v>
      </c>
      <c r="G3193" s="321"/>
      <c r="H3193" s="11" t="s">
        <v>14873</v>
      </c>
      <c r="I3193" s="276"/>
      <c r="J3193" s="11" t="s">
        <v>14874</v>
      </c>
      <c r="K3193" s="12"/>
      <c r="L3193" s="12"/>
      <c r="M3193" s="11" t="s">
        <v>10721</v>
      </c>
      <c r="N3193" s="5" t="s">
        <v>14875</v>
      </c>
      <c r="O3193" s="5" t="s">
        <v>26</v>
      </c>
      <c r="P3193" s="15"/>
      <c r="Q3193" s="15"/>
      <c r="R3193" s="422"/>
      <c r="S3193" s="15"/>
      <c r="T3193" s="15"/>
      <c r="U3193" s="15"/>
      <c r="V3193" s="15"/>
      <c r="W3193" s="15"/>
      <c r="X3193" s="15"/>
      <c r="Y3193" s="15"/>
      <c r="Z3193" s="15"/>
      <c r="AA3193" s="15"/>
    </row>
    <row r="3194">
      <c r="A3194" s="5" t="s">
        <v>14859</v>
      </c>
      <c r="B3194" s="131" t="s">
        <v>14876</v>
      </c>
      <c r="C3194" s="40" t="s">
        <v>14877</v>
      </c>
      <c r="D3194" s="11"/>
      <c r="E3194" s="11" t="s">
        <v>5014</v>
      </c>
      <c r="F3194" s="90">
        <v>100.0</v>
      </c>
      <c r="G3194" s="321"/>
      <c r="H3194" s="11" t="s">
        <v>906</v>
      </c>
      <c r="I3194" s="276"/>
      <c r="J3194" s="11" t="s">
        <v>25</v>
      </c>
      <c r="K3194" s="13"/>
      <c r="L3194" s="13"/>
      <c r="M3194" s="14"/>
      <c r="N3194" s="15"/>
      <c r="O3194" s="5" t="s">
        <v>14119</v>
      </c>
      <c r="P3194" s="15"/>
      <c r="Q3194" s="15"/>
      <c r="R3194" s="422"/>
      <c r="S3194" s="15"/>
      <c r="T3194" s="15"/>
      <c r="U3194" s="15"/>
      <c r="V3194" s="15"/>
      <c r="W3194" s="15"/>
      <c r="X3194" s="15"/>
      <c r="Y3194" s="15"/>
      <c r="Z3194" s="15"/>
      <c r="AA3194" s="15"/>
    </row>
    <row r="3195">
      <c r="A3195" s="5" t="s">
        <v>14859</v>
      </c>
      <c r="B3195" s="131" t="s">
        <v>14878</v>
      </c>
      <c r="C3195" s="40" t="s">
        <v>14879</v>
      </c>
      <c r="D3195" s="11"/>
      <c r="E3195" s="11" t="s">
        <v>4507</v>
      </c>
      <c r="F3195" s="9">
        <v>40000.0</v>
      </c>
      <c r="G3195" s="321"/>
      <c r="H3195" s="11" t="s">
        <v>44</v>
      </c>
      <c r="I3195" s="276"/>
      <c r="J3195" s="11" t="s">
        <v>25</v>
      </c>
      <c r="K3195" s="12"/>
      <c r="L3195" s="12"/>
      <c r="M3195" s="11" t="s">
        <v>9918</v>
      </c>
      <c r="N3195" s="5" t="s">
        <v>14880</v>
      </c>
      <c r="O3195" s="5" t="s">
        <v>26</v>
      </c>
      <c r="P3195" s="15"/>
      <c r="Q3195" s="15"/>
      <c r="R3195" s="422"/>
      <c r="S3195" s="15"/>
      <c r="T3195" s="15"/>
      <c r="U3195" s="15"/>
      <c r="V3195" s="15"/>
      <c r="W3195" s="15"/>
      <c r="X3195" s="15"/>
      <c r="Y3195" s="15"/>
      <c r="Z3195" s="15"/>
      <c r="AA3195" s="15"/>
    </row>
    <row r="3196">
      <c r="A3196" s="5" t="s">
        <v>14859</v>
      </c>
      <c r="B3196" s="131" t="s">
        <v>14881</v>
      </c>
      <c r="C3196" s="40" t="s">
        <v>14882</v>
      </c>
      <c r="D3196" s="11"/>
      <c r="E3196" s="11" t="s">
        <v>14883</v>
      </c>
      <c r="F3196" s="9">
        <v>20000.0</v>
      </c>
      <c r="G3196" s="321"/>
      <c r="H3196" s="11" t="s">
        <v>13491</v>
      </c>
      <c r="I3196" s="276"/>
      <c r="J3196" s="11" t="s">
        <v>8737</v>
      </c>
      <c r="K3196" s="12"/>
      <c r="L3196" s="12"/>
      <c r="M3196" s="11" t="s">
        <v>8638</v>
      </c>
      <c r="N3196" s="5" t="s">
        <v>14884</v>
      </c>
      <c r="O3196" s="5" t="s">
        <v>26</v>
      </c>
      <c r="P3196" s="15"/>
      <c r="Q3196" s="15"/>
      <c r="R3196" s="422"/>
      <c r="S3196" s="15"/>
      <c r="T3196" s="15"/>
      <c r="U3196" s="15"/>
      <c r="V3196" s="15"/>
      <c r="W3196" s="15"/>
      <c r="X3196" s="15"/>
      <c r="Y3196" s="15"/>
      <c r="Z3196" s="15"/>
      <c r="AA3196" s="15"/>
    </row>
    <row r="3197">
      <c r="A3197" s="5" t="s">
        <v>14859</v>
      </c>
      <c r="B3197" s="131" t="s">
        <v>14885</v>
      </c>
      <c r="C3197" s="40" t="s">
        <v>14886</v>
      </c>
      <c r="D3197" s="11"/>
      <c r="E3197" s="11" t="s">
        <v>6027</v>
      </c>
      <c r="F3197" s="90">
        <v>500.0</v>
      </c>
      <c r="G3197" s="321"/>
      <c r="H3197" s="11" t="s">
        <v>44</v>
      </c>
      <c r="I3197" s="276"/>
      <c r="J3197" s="11" t="s">
        <v>4008</v>
      </c>
      <c r="K3197" s="13"/>
      <c r="L3197" s="13"/>
      <c r="M3197" s="14"/>
      <c r="N3197" s="15"/>
      <c r="O3197" s="5" t="s">
        <v>14119</v>
      </c>
      <c r="P3197" s="15"/>
      <c r="Q3197" s="15"/>
      <c r="R3197" s="422"/>
      <c r="S3197" s="15"/>
      <c r="T3197" s="15"/>
      <c r="U3197" s="15"/>
      <c r="V3197" s="15"/>
      <c r="W3197" s="15"/>
      <c r="X3197" s="15"/>
      <c r="Y3197" s="15"/>
      <c r="Z3197" s="15"/>
      <c r="AA3197" s="15"/>
    </row>
    <row r="3198">
      <c r="A3198" s="5" t="s">
        <v>14859</v>
      </c>
      <c r="B3198" s="131" t="s">
        <v>14887</v>
      </c>
      <c r="C3198" s="40" t="s">
        <v>9728</v>
      </c>
      <c r="D3198" s="11"/>
      <c r="E3198" s="11" t="s">
        <v>14888</v>
      </c>
      <c r="F3198" s="9">
        <v>100000.0</v>
      </c>
      <c r="G3198" s="321"/>
      <c r="H3198" s="11" t="s">
        <v>14889</v>
      </c>
      <c r="I3198" s="276"/>
      <c r="J3198" s="11" t="s">
        <v>14890</v>
      </c>
      <c r="K3198" s="12"/>
      <c r="L3198" s="12"/>
      <c r="M3198" s="11" t="s">
        <v>9901</v>
      </c>
      <c r="N3198" s="5" t="s">
        <v>14891</v>
      </c>
      <c r="O3198" s="5" t="s">
        <v>26</v>
      </c>
      <c r="P3198" s="15"/>
      <c r="Q3198" s="15"/>
      <c r="R3198" s="422"/>
      <c r="S3198" s="15"/>
      <c r="T3198" s="15"/>
      <c r="U3198" s="15"/>
      <c r="V3198" s="15"/>
      <c r="W3198" s="15"/>
      <c r="X3198" s="15"/>
      <c r="Y3198" s="15"/>
      <c r="Z3198" s="15"/>
      <c r="AA3198" s="15"/>
    </row>
    <row r="3199">
      <c r="A3199" s="5" t="s">
        <v>14859</v>
      </c>
      <c r="B3199" s="131" t="s">
        <v>14892</v>
      </c>
      <c r="C3199" s="40" t="s">
        <v>10376</v>
      </c>
      <c r="D3199" s="11"/>
      <c r="E3199" s="11" t="s">
        <v>5502</v>
      </c>
      <c r="F3199" s="90" t="s">
        <v>14893</v>
      </c>
      <c r="G3199" s="321"/>
      <c r="H3199" s="11" t="s">
        <v>906</v>
      </c>
      <c r="I3199" s="276"/>
      <c r="J3199" s="11" t="s">
        <v>25</v>
      </c>
      <c r="K3199" s="12"/>
      <c r="L3199" s="12"/>
      <c r="M3199" s="11" t="s">
        <v>14894</v>
      </c>
      <c r="N3199" s="5" t="s">
        <v>14895</v>
      </c>
      <c r="O3199" s="5" t="s">
        <v>108</v>
      </c>
      <c r="P3199" s="15"/>
      <c r="Q3199" s="15"/>
      <c r="R3199" s="422"/>
      <c r="S3199" s="15"/>
      <c r="T3199" s="15"/>
      <c r="U3199" s="15"/>
      <c r="V3199" s="15"/>
      <c r="W3199" s="15"/>
      <c r="X3199" s="15"/>
      <c r="Y3199" s="15"/>
      <c r="Z3199" s="15"/>
      <c r="AA3199" s="15"/>
    </row>
    <row r="3200">
      <c r="A3200" s="5" t="s">
        <v>14859</v>
      </c>
      <c r="B3200" s="131" t="s">
        <v>14896</v>
      </c>
      <c r="C3200" s="40" t="s">
        <v>14897</v>
      </c>
      <c r="D3200" s="11"/>
      <c r="E3200" s="11" t="s">
        <v>12255</v>
      </c>
      <c r="F3200" s="90">
        <v>2000.0</v>
      </c>
      <c r="G3200" s="321"/>
      <c r="H3200" s="11" t="s">
        <v>14723</v>
      </c>
      <c r="I3200" s="423"/>
      <c r="J3200" s="14"/>
      <c r="K3200" s="12"/>
      <c r="L3200" s="12"/>
      <c r="M3200" s="11" t="s">
        <v>8348</v>
      </c>
      <c r="N3200" s="5" t="s">
        <v>14898</v>
      </c>
      <c r="O3200" s="5" t="s">
        <v>14409</v>
      </c>
      <c r="P3200" s="15"/>
      <c r="Q3200" s="15"/>
      <c r="R3200" s="422"/>
      <c r="S3200" s="15"/>
      <c r="T3200" s="15"/>
      <c r="U3200" s="15"/>
      <c r="V3200" s="15"/>
      <c r="W3200" s="15"/>
      <c r="X3200" s="15"/>
      <c r="Y3200" s="15"/>
      <c r="Z3200" s="15"/>
      <c r="AA3200" s="15"/>
    </row>
    <row r="3201">
      <c r="A3201" s="5" t="s">
        <v>14859</v>
      </c>
      <c r="B3201" s="131" t="s">
        <v>14899</v>
      </c>
      <c r="C3201" s="40" t="s">
        <v>9797</v>
      </c>
      <c r="D3201" s="11"/>
      <c r="E3201" s="11" t="s">
        <v>7371</v>
      </c>
      <c r="F3201" s="90">
        <v>5000.0</v>
      </c>
      <c r="G3201" s="321"/>
      <c r="H3201" s="11" t="s">
        <v>44</v>
      </c>
      <c r="I3201" s="276"/>
      <c r="J3201" s="11" t="s">
        <v>25</v>
      </c>
      <c r="K3201" s="12"/>
      <c r="L3201" s="12"/>
      <c r="M3201" s="11" t="s">
        <v>12016</v>
      </c>
      <c r="N3201" s="5" t="s">
        <v>14900</v>
      </c>
      <c r="O3201" s="5" t="s">
        <v>26</v>
      </c>
      <c r="P3201" s="15"/>
      <c r="Q3201" s="15"/>
      <c r="R3201" s="422"/>
      <c r="S3201" s="15"/>
      <c r="T3201" s="15"/>
      <c r="U3201" s="15"/>
      <c r="V3201" s="15"/>
      <c r="W3201" s="15"/>
      <c r="X3201" s="15"/>
      <c r="Y3201" s="15"/>
      <c r="Z3201" s="15"/>
      <c r="AA3201" s="15"/>
    </row>
    <row r="3202">
      <c r="A3202" s="5" t="s">
        <v>14859</v>
      </c>
      <c r="B3202" s="131" t="s">
        <v>14901</v>
      </c>
      <c r="C3202" s="40" t="s">
        <v>14902</v>
      </c>
      <c r="D3202" s="11"/>
      <c r="E3202" s="11" t="s">
        <v>14903</v>
      </c>
      <c r="F3202" s="90">
        <v>1000.0</v>
      </c>
      <c r="G3202" s="321"/>
      <c r="H3202" s="11" t="s">
        <v>12338</v>
      </c>
      <c r="I3202" s="276"/>
      <c r="J3202" s="11" t="s">
        <v>25</v>
      </c>
      <c r="K3202" s="12"/>
      <c r="L3202" s="12"/>
      <c r="M3202" s="11" t="s">
        <v>7965</v>
      </c>
      <c r="N3202" s="5" t="s">
        <v>14904</v>
      </c>
      <c r="O3202" s="5" t="s">
        <v>26</v>
      </c>
      <c r="P3202" s="15"/>
      <c r="Q3202" s="15"/>
      <c r="R3202" s="422"/>
      <c r="S3202" s="15"/>
      <c r="T3202" s="15"/>
      <c r="U3202" s="15"/>
      <c r="V3202" s="15"/>
      <c r="W3202" s="15"/>
      <c r="X3202" s="15"/>
      <c r="Y3202" s="15"/>
      <c r="Z3202" s="15"/>
      <c r="AA3202" s="15"/>
    </row>
    <row r="3203">
      <c r="A3203" s="352" t="s">
        <v>14905</v>
      </c>
      <c r="B3203" s="131" t="s">
        <v>14906</v>
      </c>
      <c r="C3203" s="40" t="s">
        <v>14907</v>
      </c>
      <c r="D3203" s="11"/>
      <c r="E3203" s="11" t="s">
        <v>6421</v>
      </c>
      <c r="F3203" s="90">
        <v>2000.0</v>
      </c>
      <c r="G3203" s="321"/>
      <c r="H3203" s="11" t="s">
        <v>44</v>
      </c>
      <c r="I3203" s="276"/>
      <c r="J3203" s="11" t="s">
        <v>25</v>
      </c>
      <c r="K3203" s="12"/>
      <c r="L3203" s="12"/>
      <c r="M3203" s="11" t="s">
        <v>9445</v>
      </c>
      <c r="N3203" s="5" t="s">
        <v>14908</v>
      </c>
      <c r="O3203" s="5" t="s">
        <v>26</v>
      </c>
      <c r="P3203" s="15"/>
      <c r="Q3203" s="15"/>
      <c r="R3203" s="422"/>
      <c r="S3203" s="15"/>
      <c r="T3203" s="15"/>
      <c r="U3203" s="15"/>
      <c r="V3203" s="15"/>
      <c r="W3203" s="15"/>
      <c r="X3203" s="15"/>
      <c r="Y3203" s="15"/>
      <c r="Z3203" s="15"/>
      <c r="AA3203" s="15"/>
    </row>
    <row r="3204">
      <c r="A3204" s="5" t="s">
        <v>14905</v>
      </c>
      <c r="B3204" s="131" t="s">
        <v>14909</v>
      </c>
      <c r="C3204" s="40" t="s">
        <v>14910</v>
      </c>
      <c r="D3204" s="11"/>
      <c r="E3204" s="11" t="s">
        <v>14911</v>
      </c>
      <c r="F3204" s="90" t="s">
        <v>14623</v>
      </c>
      <c r="G3204" s="321"/>
      <c r="H3204" s="11" t="s">
        <v>1691</v>
      </c>
      <c r="I3204" s="276"/>
      <c r="J3204" s="11" t="s">
        <v>13848</v>
      </c>
      <c r="K3204" s="12"/>
      <c r="L3204" s="12"/>
      <c r="M3204" s="11" t="s">
        <v>14912</v>
      </c>
      <c r="N3204" s="5" t="s">
        <v>14913</v>
      </c>
      <c r="O3204" s="5" t="s">
        <v>26</v>
      </c>
      <c r="P3204" s="15"/>
      <c r="Q3204" s="15"/>
      <c r="R3204" s="422"/>
      <c r="S3204" s="15"/>
      <c r="T3204" s="15"/>
      <c r="U3204" s="15"/>
      <c r="V3204" s="15"/>
      <c r="W3204" s="15"/>
      <c r="X3204" s="15"/>
      <c r="Y3204" s="15"/>
      <c r="Z3204" s="15"/>
      <c r="AA3204" s="15"/>
    </row>
    <row r="3205">
      <c r="A3205" s="5" t="s">
        <v>14905</v>
      </c>
      <c r="B3205" s="131" t="s">
        <v>14914</v>
      </c>
      <c r="C3205" s="40" t="s">
        <v>14915</v>
      </c>
      <c r="D3205" s="11"/>
      <c r="E3205" s="11" t="s">
        <v>7700</v>
      </c>
      <c r="F3205" s="90" t="s">
        <v>5839</v>
      </c>
      <c r="G3205" s="321"/>
      <c r="H3205" s="11" t="s">
        <v>8781</v>
      </c>
      <c r="I3205" s="276"/>
      <c r="J3205" s="11" t="s">
        <v>25</v>
      </c>
      <c r="K3205" s="13"/>
      <c r="L3205" s="13"/>
      <c r="M3205" s="14"/>
      <c r="N3205" s="15"/>
      <c r="O3205" s="5" t="s">
        <v>26</v>
      </c>
      <c r="P3205" s="15"/>
      <c r="Q3205" s="15"/>
      <c r="R3205" s="422"/>
      <c r="S3205" s="15"/>
      <c r="T3205" s="15"/>
      <c r="U3205" s="15"/>
      <c r="V3205" s="15"/>
      <c r="W3205" s="15"/>
      <c r="X3205" s="15"/>
      <c r="Y3205" s="15"/>
      <c r="Z3205" s="15"/>
      <c r="AA3205" s="15"/>
    </row>
    <row r="3206">
      <c r="A3206" s="5" t="s">
        <v>14905</v>
      </c>
      <c r="B3206" s="131" t="s">
        <v>14916</v>
      </c>
      <c r="C3206" s="40" t="s">
        <v>14917</v>
      </c>
      <c r="D3206" s="11"/>
      <c r="E3206" s="11" t="s">
        <v>152</v>
      </c>
      <c r="F3206" s="90">
        <v>1000.0</v>
      </c>
      <c r="G3206" s="321"/>
      <c r="H3206" s="11" t="s">
        <v>617</v>
      </c>
      <c r="I3206" s="276"/>
      <c r="J3206" s="11" t="s">
        <v>14918</v>
      </c>
      <c r="K3206" s="12"/>
      <c r="L3206" s="12"/>
      <c r="M3206" s="11" t="s">
        <v>9776</v>
      </c>
      <c r="N3206" s="5" t="s">
        <v>14919</v>
      </c>
      <c r="O3206" s="5" t="s">
        <v>108</v>
      </c>
      <c r="P3206" s="15"/>
      <c r="Q3206" s="15"/>
      <c r="R3206" s="422"/>
      <c r="S3206" s="15"/>
      <c r="T3206" s="15"/>
      <c r="U3206" s="15"/>
      <c r="V3206" s="15"/>
      <c r="W3206" s="15"/>
      <c r="X3206" s="15"/>
      <c r="Y3206" s="15"/>
      <c r="Z3206" s="15"/>
      <c r="AA3206" s="15"/>
    </row>
    <row r="3207">
      <c r="A3207" s="5" t="s">
        <v>14905</v>
      </c>
      <c r="B3207" s="131" t="s">
        <v>14920</v>
      </c>
      <c r="C3207" s="40" t="s">
        <v>14921</v>
      </c>
      <c r="D3207" s="11"/>
      <c r="E3207" s="11" t="s">
        <v>207</v>
      </c>
      <c r="F3207" s="9">
        <v>15000.0</v>
      </c>
      <c r="G3207" s="321"/>
      <c r="H3207" s="11" t="s">
        <v>495</v>
      </c>
      <c r="I3207" s="276"/>
      <c r="J3207" s="11" t="s">
        <v>4008</v>
      </c>
      <c r="K3207" s="12"/>
      <c r="L3207" s="12"/>
      <c r="M3207" s="11" t="s">
        <v>9445</v>
      </c>
      <c r="N3207" s="5" t="s">
        <v>14922</v>
      </c>
      <c r="O3207" s="5" t="s">
        <v>26</v>
      </c>
      <c r="P3207" s="15"/>
      <c r="Q3207" s="15"/>
      <c r="R3207" s="422"/>
      <c r="S3207" s="15"/>
      <c r="T3207" s="15"/>
      <c r="U3207" s="15"/>
      <c r="V3207" s="15"/>
      <c r="W3207" s="15"/>
      <c r="X3207" s="15"/>
      <c r="Y3207" s="15"/>
      <c r="Z3207" s="15"/>
      <c r="AA3207" s="15"/>
    </row>
    <row r="3208">
      <c r="A3208" s="5" t="s">
        <v>14905</v>
      </c>
      <c r="B3208" s="131" t="s">
        <v>14923</v>
      </c>
      <c r="C3208" s="40" t="s">
        <v>14924</v>
      </c>
      <c r="D3208" s="11"/>
      <c r="E3208" s="11" t="s">
        <v>5844</v>
      </c>
      <c r="F3208" s="9">
        <v>20000.0</v>
      </c>
      <c r="G3208" s="321"/>
      <c r="H3208" s="11" t="s">
        <v>638</v>
      </c>
      <c r="I3208" s="276"/>
      <c r="J3208" s="11" t="s">
        <v>3577</v>
      </c>
      <c r="K3208" s="12"/>
      <c r="L3208" s="12"/>
      <c r="M3208" s="11" t="s">
        <v>14925</v>
      </c>
      <c r="N3208" s="5" t="s">
        <v>14926</v>
      </c>
      <c r="O3208" s="5" t="s">
        <v>26</v>
      </c>
      <c r="P3208" s="15"/>
      <c r="Q3208" s="15"/>
      <c r="R3208" s="422"/>
      <c r="S3208" s="15"/>
      <c r="T3208" s="15"/>
      <c r="U3208" s="15"/>
      <c r="V3208" s="15"/>
      <c r="W3208" s="15"/>
      <c r="X3208" s="15"/>
      <c r="Y3208" s="15"/>
      <c r="Z3208" s="15"/>
      <c r="AA3208" s="15"/>
    </row>
    <row r="3209">
      <c r="A3209" s="5" t="s">
        <v>14905</v>
      </c>
      <c r="B3209" s="131" t="s">
        <v>14927</v>
      </c>
      <c r="C3209" s="40" t="s">
        <v>14928</v>
      </c>
      <c r="D3209" s="11"/>
      <c r="E3209" s="11" t="s">
        <v>14929</v>
      </c>
      <c r="F3209" s="9" t="s">
        <v>14930</v>
      </c>
      <c r="G3209" s="321"/>
      <c r="H3209" s="11" t="s">
        <v>14076</v>
      </c>
      <c r="I3209" s="276"/>
      <c r="J3209" s="11" t="s">
        <v>25</v>
      </c>
      <c r="K3209" s="12"/>
      <c r="L3209" s="12"/>
      <c r="M3209" s="11" t="s">
        <v>14931</v>
      </c>
      <c r="N3209" s="5" t="s">
        <v>14932</v>
      </c>
      <c r="O3209" s="5" t="s">
        <v>26</v>
      </c>
      <c r="P3209" s="15"/>
      <c r="Q3209" s="15"/>
      <c r="R3209" s="422"/>
      <c r="S3209" s="15"/>
      <c r="T3209" s="15"/>
      <c r="U3209" s="15"/>
      <c r="V3209" s="15"/>
      <c r="W3209" s="15"/>
      <c r="X3209" s="15"/>
      <c r="Y3209" s="15"/>
      <c r="Z3209" s="15"/>
      <c r="AA3209" s="15"/>
    </row>
    <row r="3210">
      <c r="A3210" s="5" t="s">
        <v>14905</v>
      </c>
      <c r="B3210" s="131" t="s">
        <v>14933</v>
      </c>
      <c r="C3210" s="40" t="s">
        <v>14934</v>
      </c>
      <c r="D3210" s="11"/>
      <c r="E3210" s="11" t="s">
        <v>31</v>
      </c>
      <c r="F3210" s="90">
        <v>1000.0</v>
      </c>
      <c r="G3210" s="321"/>
      <c r="H3210" s="11" t="s">
        <v>14935</v>
      </c>
      <c r="I3210" s="423"/>
      <c r="J3210" s="14"/>
      <c r="K3210" s="12"/>
      <c r="L3210" s="12"/>
      <c r="M3210" s="11" t="s">
        <v>9949</v>
      </c>
      <c r="N3210" s="5" t="s">
        <v>14936</v>
      </c>
      <c r="O3210" s="5" t="s">
        <v>26</v>
      </c>
      <c r="P3210" s="15"/>
      <c r="Q3210" s="15"/>
      <c r="R3210" s="422"/>
      <c r="S3210" s="15"/>
      <c r="T3210" s="15"/>
      <c r="U3210" s="15"/>
      <c r="V3210" s="15"/>
      <c r="W3210" s="15"/>
      <c r="X3210" s="15"/>
      <c r="Y3210" s="15"/>
      <c r="Z3210" s="15"/>
      <c r="AA3210" s="15"/>
    </row>
    <row r="3211">
      <c r="A3211" s="5" t="s">
        <v>14905</v>
      </c>
      <c r="B3211" s="131" t="s">
        <v>14937</v>
      </c>
      <c r="C3211" s="40" t="s">
        <v>14938</v>
      </c>
      <c r="D3211" s="11"/>
      <c r="E3211" s="11" t="s">
        <v>207</v>
      </c>
      <c r="F3211" s="90">
        <v>2000.0</v>
      </c>
      <c r="G3211" s="321"/>
      <c r="H3211" s="11" t="s">
        <v>13491</v>
      </c>
      <c r="I3211" s="276"/>
      <c r="J3211" s="11" t="s">
        <v>25</v>
      </c>
      <c r="K3211" s="12"/>
      <c r="L3211" s="12"/>
      <c r="M3211" s="11" t="s">
        <v>13461</v>
      </c>
      <c r="N3211" s="5" t="s">
        <v>14939</v>
      </c>
      <c r="O3211" s="5" t="s">
        <v>26</v>
      </c>
      <c r="P3211" s="15"/>
      <c r="Q3211" s="15"/>
      <c r="R3211" s="422"/>
      <c r="S3211" s="15"/>
      <c r="T3211" s="15"/>
      <c r="U3211" s="15"/>
      <c r="V3211" s="15"/>
      <c r="W3211" s="15"/>
      <c r="X3211" s="15"/>
      <c r="Y3211" s="15"/>
      <c r="Z3211" s="15"/>
      <c r="AA3211" s="15"/>
    </row>
    <row r="3212">
      <c r="A3212" s="5" t="s">
        <v>14905</v>
      </c>
      <c r="B3212" s="131" t="s">
        <v>14940</v>
      </c>
      <c r="C3212" s="40" t="s">
        <v>14941</v>
      </c>
      <c r="D3212" s="11"/>
      <c r="E3212" s="11" t="s">
        <v>1749</v>
      </c>
      <c r="F3212" s="90">
        <v>50.0</v>
      </c>
      <c r="G3212" s="321"/>
      <c r="H3212" s="11" t="s">
        <v>1691</v>
      </c>
      <c r="I3212" s="276"/>
      <c r="J3212" s="11" t="s">
        <v>25</v>
      </c>
      <c r="K3212" s="13"/>
      <c r="L3212" s="13"/>
      <c r="M3212" s="14"/>
      <c r="N3212" s="15"/>
      <c r="O3212" s="5" t="s">
        <v>14119</v>
      </c>
      <c r="P3212" s="15"/>
      <c r="Q3212" s="15"/>
      <c r="R3212" s="422"/>
      <c r="S3212" s="15"/>
      <c r="T3212" s="15"/>
      <c r="U3212" s="15"/>
      <c r="V3212" s="15"/>
      <c r="W3212" s="15"/>
      <c r="X3212" s="15"/>
      <c r="Y3212" s="15"/>
      <c r="Z3212" s="15"/>
      <c r="AA3212" s="15"/>
    </row>
    <row r="3213">
      <c r="A3213" s="5" t="s">
        <v>14905</v>
      </c>
      <c r="B3213" s="131" t="s">
        <v>14942</v>
      </c>
      <c r="C3213" s="40" t="s">
        <v>14943</v>
      </c>
      <c r="D3213" s="11"/>
      <c r="E3213" s="11" t="s">
        <v>794</v>
      </c>
      <c r="F3213" s="90">
        <v>1000.0</v>
      </c>
      <c r="G3213" s="321"/>
      <c r="H3213" s="11" t="s">
        <v>44</v>
      </c>
      <c r="I3213" s="423"/>
      <c r="J3213" s="14"/>
      <c r="K3213" s="12"/>
      <c r="L3213" s="12"/>
      <c r="M3213" s="11" t="s">
        <v>7651</v>
      </c>
      <c r="N3213" s="5" t="s">
        <v>14944</v>
      </c>
      <c r="O3213" s="5" t="s">
        <v>26</v>
      </c>
      <c r="P3213" s="15"/>
      <c r="Q3213" s="15"/>
      <c r="R3213" s="422"/>
      <c r="S3213" s="15"/>
      <c r="T3213" s="15"/>
      <c r="U3213" s="15"/>
      <c r="V3213" s="15"/>
      <c r="W3213" s="15"/>
      <c r="X3213" s="15"/>
      <c r="Y3213" s="15"/>
      <c r="Z3213" s="15"/>
      <c r="AA3213" s="15"/>
    </row>
    <row r="3214">
      <c r="A3214" s="5" t="s">
        <v>14905</v>
      </c>
      <c r="B3214" s="131" t="s">
        <v>14945</v>
      </c>
      <c r="C3214" s="40" t="s">
        <v>14946</v>
      </c>
      <c r="D3214" s="11"/>
      <c r="E3214" s="11" t="s">
        <v>794</v>
      </c>
      <c r="F3214" s="90">
        <v>500.0</v>
      </c>
      <c r="G3214" s="321"/>
      <c r="H3214" s="11" t="s">
        <v>44</v>
      </c>
      <c r="I3214" s="276"/>
      <c r="J3214" s="11" t="s">
        <v>25</v>
      </c>
      <c r="K3214" s="12"/>
      <c r="L3214" s="12"/>
      <c r="M3214" s="11" t="s">
        <v>7651</v>
      </c>
      <c r="N3214" s="5" t="s">
        <v>14947</v>
      </c>
      <c r="O3214" s="5" t="s">
        <v>34</v>
      </c>
      <c r="P3214" s="15"/>
      <c r="Q3214" s="15"/>
      <c r="R3214" s="422"/>
      <c r="S3214" s="15"/>
      <c r="T3214" s="15"/>
      <c r="U3214" s="15"/>
      <c r="V3214" s="15"/>
      <c r="W3214" s="15"/>
      <c r="X3214" s="15"/>
      <c r="Y3214" s="15"/>
      <c r="Z3214" s="15"/>
      <c r="AA3214" s="15"/>
    </row>
    <row r="3215">
      <c r="A3215" s="5" t="s">
        <v>14905</v>
      </c>
      <c r="B3215" s="131" t="s">
        <v>14948</v>
      </c>
      <c r="C3215" s="40" t="s">
        <v>14949</v>
      </c>
      <c r="D3215" s="11"/>
      <c r="E3215" s="11" t="s">
        <v>189</v>
      </c>
      <c r="F3215" s="90">
        <v>300.0</v>
      </c>
      <c r="G3215" s="321"/>
      <c r="H3215" s="11" t="s">
        <v>44</v>
      </c>
      <c r="I3215" s="276"/>
      <c r="J3215" s="11" t="s">
        <v>14950</v>
      </c>
      <c r="K3215" s="12"/>
      <c r="L3215" s="12"/>
      <c r="M3215" s="11" t="s">
        <v>7718</v>
      </c>
      <c r="N3215" s="5" t="s">
        <v>14951</v>
      </c>
      <c r="O3215" s="5" t="s">
        <v>14119</v>
      </c>
      <c r="P3215" s="15"/>
      <c r="Q3215" s="15"/>
      <c r="R3215" s="422"/>
      <c r="S3215" s="15"/>
      <c r="T3215" s="15"/>
      <c r="U3215" s="15"/>
      <c r="V3215" s="15"/>
      <c r="W3215" s="15"/>
      <c r="X3215" s="15"/>
      <c r="Y3215" s="15"/>
      <c r="Z3215" s="15"/>
      <c r="AA3215" s="15"/>
    </row>
    <row r="3216">
      <c r="A3216" s="5" t="s">
        <v>14905</v>
      </c>
      <c r="B3216" s="131" t="s">
        <v>14952</v>
      </c>
      <c r="C3216" s="40" t="s">
        <v>14953</v>
      </c>
      <c r="D3216" s="11"/>
      <c r="E3216" s="11" t="s">
        <v>9492</v>
      </c>
      <c r="F3216" s="9">
        <v>60000.0</v>
      </c>
      <c r="G3216" s="321"/>
      <c r="H3216" s="11" t="s">
        <v>906</v>
      </c>
      <c r="I3216" s="276"/>
      <c r="J3216" s="11" t="s">
        <v>12882</v>
      </c>
      <c r="K3216" s="12"/>
      <c r="L3216" s="12"/>
      <c r="M3216" s="11" t="s">
        <v>7820</v>
      </c>
      <c r="N3216" s="5" t="s">
        <v>14954</v>
      </c>
      <c r="O3216" s="5" t="s">
        <v>108</v>
      </c>
      <c r="P3216" s="15"/>
      <c r="Q3216" s="15"/>
      <c r="R3216" s="422"/>
      <c r="S3216" s="15"/>
      <c r="T3216" s="15"/>
      <c r="U3216" s="15"/>
      <c r="V3216" s="15"/>
      <c r="W3216" s="15"/>
      <c r="X3216" s="15"/>
      <c r="Y3216" s="15"/>
      <c r="Z3216" s="15"/>
      <c r="AA3216" s="15"/>
    </row>
    <row r="3217">
      <c r="A3217" s="5" t="s">
        <v>14955</v>
      </c>
      <c r="B3217" s="131" t="s">
        <v>14956</v>
      </c>
      <c r="C3217" s="40" t="s">
        <v>14957</v>
      </c>
      <c r="D3217" s="11"/>
      <c r="E3217" s="11" t="s">
        <v>5502</v>
      </c>
      <c r="F3217" s="90" t="s">
        <v>5839</v>
      </c>
      <c r="G3217" s="321"/>
      <c r="H3217" s="11" t="s">
        <v>14958</v>
      </c>
      <c r="I3217" s="276"/>
      <c r="J3217" s="11" t="s">
        <v>25</v>
      </c>
      <c r="K3217" s="12"/>
      <c r="L3217" s="12"/>
      <c r="M3217" s="11" t="s">
        <v>14093</v>
      </c>
      <c r="N3217" s="5" t="s">
        <v>14959</v>
      </c>
      <c r="O3217" s="5" t="s">
        <v>108</v>
      </c>
      <c r="P3217" s="15"/>
      <c r="Q3217" s="15"/>
      <c r="R3217" s="422"/>
      <c r="S3217" s="15"/>
      <c r="T3217" s="15"/>
      <c r="U3217" s="15"/>
      <c r="V3217" s="15"/>
      <c r="W3217" s="15"/>
      <c r="X3217" s="15"/>
      <c r="Y3217" s="15"/>
      <c r="Z3217" s="15"/>
      <c r="AA3217" s="15"/>
    </row>
    <row r="3218">
      <c r="A3218" s="352" t="s">
        <v>14955</v>
      </c>
      <c r="B3218" s="131" t="s">
        <v>14960</v>
      </c>
      <c r="C3218" s="40" t="s">
        <v>14961</v>
      </c>
      <c r="D3218" s="11"/>
      <c r="E3218" s="11" t="s">
        <v>1579</v>
      </c>
      <c r="F3218" s="9">
        <v>60000.0</v>
      </c>
      <c r="G3218" s="321"/>
      <c r="H3218" s="11" t="s">
        <v>14574</v>
      </c>
      <c r="I3218" s="276"/>
      <c r="J3218" s="11" t="s">
        <v>25</v>
      </c>
      <c r="K3218" s="12"/>
      <c r="L3218" s="12"/>
      <c r="M3218" s="11" t="s">
        <v>7904</v>
      </c>
      <c r="N3218" s="5" t="s">
        <v>14962</v>
      </c>
      <c r="O3218" s="5" t="s">
        <v>26</v>
      </c>
      <c r="P3218" s="15"/>
      <c r="Q3218" s="15"/>
      <c r="R3218" s="422"/>
      <c r="S3218" s="15"/>
      <c r="T3218" s="15"/>
      <c r="U3218" s="15"/>
      <c r="V3218" s="15"/>
      <c r="W3218" s="15"/>
      <c r="X3218" s="15"/>
      <c r="Y3218" s="15"/>
      <c r="Z3218" s="15"/>
      <c r="AA3218" s="15"/>
    </row>
    <row r="3219">
      <c r="A3219" s="5" t="s">
        <v>14955</v>
      </c>
      <c r="B3219" s="131" t="s">
        <v>14963</v>
      </c>
      <c r="C3219" s="40" t="s">
        <v>14964</v>
      </c>
      <c r="D3219" s="11"/>
      <c r="E3219" s="11" t="s">
        <v>189</v>
      </c>
      <c r="F3219" s="9">
        <v>25000.0</v>
      </c>
      <c r="G3219" s="321"/>
      <c r="H3219" s="11" t="s">
        <v>14965</v>
      </c>
      <c r="I3219" s="276"/>
      <c r="J3219" s="11" t="s">
        <v>25</v>
      </c>
      <c r="K3219" s="13"/>
      <c r="L3219" s="13"/>
      <c r="M3219" s="14"/>
      <c r="N3219" s="15"/>
      <c r="O3219" s="5" t="s">
        <v>1030</v>
      </c>
      <c r="P3219" s="15"/>
      <c r="Q3219" s="15"/>
      <c r="R3219" s="422"/>
      <c r="S3219" s="15"/>
      <c r="T3219" s="15"/>
      <c r="U3219" s="15"/>
      <c r="V3219" s="15"/>
      <c r="W3219" s="15"/>
      <c r="X3219" s="15"/>
      <c r="Y3219" s="15"/>
      <c r="Z3219" s="15"/>
      <c r="AA3219" s="15"/>
    </row>
    <row r="3220">
      <c r="A3220" s="5" t="s">
        <v>14955</v>
      </c>
      <c r="B3220" s="131" t="s">
        <v>14966</v>
      </c>
      <c r="C3220" s="40" t="s">
        <v>14967</v>
      </c>
      <c r="D3220" s="11"/>
      <c r="E3220" s="11" t="s">
        <v>178</v>
      </c>
      <c r="F3220" s="90">
        <v>5000.0</v>
      </c>
      <c r="G3220" s="321"/>
      <c r="H3220" s="11" t="s">
        <v>44</v>
      </c>
      <c r="I3220" s="276"/>
      <c r="J3220" s="11" t="s">
        <v>25</v>
      </c>
      <c r="K3220" s="13"/>
      <c r="L3220" s="13"/>
      <c r="M3220" s="14"/>
      <c r="N3220" s="15"/>
      <c r="O3220" s="5" t="s">
        <v>26</v>
      </c>
      <c r="P3220" s="15"/>
      <c r="Q3220" s="15"/>
      <c r="R3220" s="422"/>
      <c r="S3220" s="15"/>
      <c r="T3220" s="15"/>
      <c r="U3220" s="15"/>
      <c r="V3220" s="15"/>
      <c r="W3220" s="15"/>
      <c r="X3220" s="15"/>
      <c r="Y3220" s="15"/>
      <c r="Z3220" s="15"/>
      <c r="AA3220" s="15"/>
    </row>
    <row r="3221">
      <c r="A3221" s="5" t="s">
        <v>14955</v>
      </c>
      <c r="B3221" s="131" t="s">
        <v>14968</v>
      </c>
      <c r="C3221" s="40" t="s">
        <v>14969</v>
      </c>
      <c r="D3221" s="11"/>
      <c r="E3221" s="11" t="s">
        <v>202</v>
      </c>
      <c r="F3221" s="9">
        <v>10000.0</v>
      </c>
      <c r="G3221" s="321"/>
      <c r="H3221" s="11" t="s">
        <v>495</v>
      </c>
      <c r="I3221" s="423"/>
      <c r="J3221" s="14"/>
      <c r="K3221" s="12"/>
      <c r="L3221" s="12"/>
      <c r="M3221" s="11" t="s">
        <v>9918</v>
      </c>
      <c r="N3221" s="5" t="s">
        <v>14970</v>
      </c>
      <c r="O3221" s="5" t="s">
        <v>26</v>
      </c>
      <c r="P3221" s="15"/>
      <c r="Q3221" s="15"/>
      <c r="R3221" s="422"/>
      <c r="S3221" s="15"/>
      <c r="T3221" s="15"/>
      <c r="U3221" s="15"/>
      <c r="V3221" s="15"/>
      <c r="W3221" s="15"/>
      <c r="X3221" s="15"/>
      <c r="Y3221" s="15"/>
      <c r="Z3221" s="15"/>
      <c r="AA3221" s="15"/>
    </row>
    <row r="3222">
      <c r="A3222" s="5" t="s">
        <v>14955</v>
      </c>
      <c r="B3222" s="131" t="s">
        <v>14971</v>
      </c>
      <c r="C3222" s="40" t="s">
        <v>14972</v>
      </c>
      <c r="D3222" s="11"/>
      <c r="E3222" s="11" t="s">
        <v>6027</v>
      </c>
      <c r="F3222" s="90">
        <v>100.0</v>
      </c>
      <c r="G3222" s="321"/>
      <c r="H3222" s="11" t="s">
        <v>14973</v>
      </c>
      <c r="I3222" s="276"/>
      <c r="J3222" s="11" t="s">
        <v>25</v>
      </c>
      <c r="K3222" s="13"/>
      <c r="L3222" s="13"/>
      <c r="M3222" s="14"/>
      <c r="N3222" s="15"/>
      <c r="O3222" s="5" t="s">
        <v>14119</v>
      </c>
      <c r="P3222" s="15"/>
      <c r="Q3222" s="15"/>
      <c r="R3222" s="422"/>
      <c r="S3222" s="15"/>
      <c r="T3222" s="15"/>
      <c r="U3222" s="15"/>
      <c r="V3222" s="15"/>
      <c r="W3222" s="15"/>
      <c r="X3222" s="15"/>
      <c r="Y3222" s="15"/>
      <c r="Z3222" s="15"/>
      <c r="AA3222" s="15"/>
    </row>
    <row r="3223">
      <c r="A3223" s="5" t="s">
        <v>14955</v>
      </c>
      <c r="B3223" s="131" t="s">
        <v>14974</v>
      </c>
      <c r="C3223" s="40" t="s">
        <v>14975</v>
      </c>
      <c r="D3223" s="11"/>
      <c r="E3223" s="11" t="s">
        <v>207</v>
      </c>
      <c r="F3223" s="9">
        <v>30000.0</v>
      </c>
      <c r="G3223" s="321"/>
      <c r="H3223" s="11" t="s">
        <v>9327</v>
      </c>
      <c r="I3223" s="276"/>
      <c r="J3223" s="11" t="s">
        <v>25</v>
      </c>
      <c r="K3223" s="12"/>
      <c r="L3223" s="12"/>
      <c r="M3223" s="11" t="s">
        <v>9685</v>
      </c>
      <c r="N3223" s="5" t="s">
        <v>9160</v>
      </c>
      <c r="O3223" s="5" t="s">
        <v>26</v>
      </c>
      <c r="P3223" s="15"/>
      <c r="Q3223" s="15"/>
      <c r="R3223" s="422"/>
      <c r="S3223" s="15"/>
      <c r="T3223" s="15"/>
      <c r="U3223" s="15"/>
      <c r="V3223" s="15"/>
      <c r="W3223" s="15"/>
      <c r="X3223" s="15"/>
      <c r="Y3223" s="15"/>
      <c r="Z3223" s="15"/>
      <c r="AA3223" s="15"/>
    </row>
    <row r="3224">
      <c r="A3224" s="5" t="s">
        <v>14955</v>
      </c>
      <c r="B3224" s="131" t="s">
        <v>14976</v>
      </c>
      <c r="C3224" s="40" t="s">
        <v>14977</v>
      </c>
      <c r="D3224" s="11"/>
      <c r="E3224" s="11" t="s">
        <v>14978</v>
      </c>
      <c r="F3224" s="90" t="s">
        <v>14979</v>
      </c>
      <c r="G3224" s="321"/>
      <c r="H3224" s="11" t="s">
        <v>14980</v>
      </c>
      <c r="I3224" s="423"/>
      <c r="J3224" s="14"/>
      <c r="K3224" s="12"/>
      <c r="L3224" s="12"/>
      <c r="M3224" s="11" t="s">
        <v>14981</v>
      </c>
      <c r="N3224" s="5" t="s">
        <v>14982</v>
      </c>
      <c r="O3224" s="5" t="s">
        <v>26</v>
      </c>
      <c r="P3224" s="15"/>
      <c r="Q3224" s="15"/>
      <c r="R3224" s="422"/>
      <c r="S3224" s="15"/>
      <c r="T3224" s="15"/>
      <c r="U3224" s="15"/>
      <c r="V3224" s="15"/>
      <c r="W3224" s="15"/>
      <c r="X3224" s="15"/>
      <c r="Y3224" s="15"/>
      <c r="Z3224" s="15"/>
      <c r="AA3224" s="15"/>
    </row>
    <row r="3225">
      <c r="A3225" s="5" t="s">
        <v>14955</v>
      </c>
      <c r="B3225" s="131" t="s">
        <v>14983</v>
      </c>
      <c r="C3225" s="40" t="s">
        <v>14984</v>
      </c>
      <c r="D3225" s="11"/>
      <c r="E3225" s="11" t="s">
        <v>14985</v>
      </c>
      <c r="F3225" s="90">
        <v>5000.0</v>
      </c>
      <c r="G3225" s="321"/>
      <c r="H3225" s="11" t="s">
        <v>44</v>
      </c>
      <c r="I3225" s="423"/>
      <c r="J3225" s="14"/>
      <c r="K3225" s="12"/>
      <c r="L3225" s="12"/>
      <c r="M3225" s="11" t="s">
        <v>10721</v>
      </c>
      <c r="N3225" s="5" t="s">
        <v>14986</v>
      </c>
      <c r="O3225" s="5" t="s">
        <v>26</v>
      </c>
      <c r="P3225" s="15"/>
      <c r="Q3225" s="15"/>
      <c r="R3225" s="422"/>
      <c r="S3225" s="15"/>
      <c r="T3225" s="15"/>
      <c r="U3225" s="15"/>
      <c r="V3225" s="15"/>
      <c r="W3225" s="15"/>
      <c r="X3225" s="15"/>
      <c r="Y3225" s="15"/>
      <c r="Z3225" s="15"/>
      <c r="AA3225" s="15"/>
    </row>
    <row r="3226">
      <c r="A3226" s="5" t="s">
        <v>14955</v>
      </c>
      <c r="B3226" s="131" t="s">
        <v>14987</v>
      </c>
      <c r="C3226" s="40" t="s">
        <v>14988</v>
      </c>
      <c r="D3226" s="11"/>
      <c r="E3226" s="11" t="s">
        <v>9283</v>
      </c>
      <c r="F3226" s="90">
        <v>100.0</v>
      </c>
      <c r="G3226" s="321"/>
      <c r="H3226" s="11" t="s">
        <v>14989</v>
      </c>
      <c r="I3226" s="276"/>
      <c r="J3226" s="11" t="s">
        <v>4008</v>
      </c>
      <c r="K3226" s="13"/>
      <c r="L3226" s="13"/>
      <c r="M3226" s="14"/>
      <c r="N3226" s="15"/>
      <c r="O3226" s="5" t="s">
        <v>14119</v>
      </c>
      <c r="P3226" s="15"/>
      <c r="Q3226" s="15"/>
      <c r="R3226" s="422"/>
      <c r="S3226" s="15"/>
      <c r="T3226" s="15"/>
      <c r="U3226" s="15"/>
      <c r="V3226" s="15"/>
      <c r="W3226" s="15"/>
      <c r="X3226" s="15"/>
      <c r="Y3226" s="15"/>
      <c r="Z3226" s="15"/>
      <c r="AA3226" s="15"/>
    </row>
    <row r="3227">
      <c r="A3227" s="5" t="s">
        <v>14955</v>
      </c>
      <c r="B3227" s="131" t="s">
        <v>14990</v>
      </c>
      <c r="C3227" s="40" t="s">
        <v>14991</v>
      </c>
      <c r="D3227" s="11"/>
      <c r="E3227" s="11" t="s">
        <v>841</v>
      </c>
      <c r="F3227" s="90">
        <v>3000.0</v>
      </c>
      <c r="G3227" s="321"/>
      <c r="H3227" s="11" t="s">
        <v>44</v>
      </c>
      <c r="I3227" s="276"/>
      <c r="J3227" s="11" t="s">
        <v>25</v>
      </c>
      <c r="K3227" s="12"/>
      <c r="L3227" s="12"/>
      <c r="M3227" s="11" t="s">
        <v>7965</v>
      </c>
      <c r="N3227" s="5" t="s">
        <v>14992</v>
      </c>
      <c r="O3227" s="5" t="s">
        <v>26</v>
      </c>
      <c r="P3227" s="15"/>
      <c r="Q3227" s="15"/>
      <c r="R3227" s="422"/>
      <c r="S3227" s="15"/>
      <c r="T3227" s="15"/>
      <c r="U3227" s="15"/>
      <c r="V3227" s="15"/>
      <c r="W3227" s="15"/>
      <c r="X3227" s="15"/>
      <c r="Y3227" s="15"/>
      <c r="Z3227" s="15"/>
      <c r="AA3227" s="15"/>
    </row>
    <row r="3228">
      <c r="A3228" s="5" t="s">
        <v>14955</v>
      </c>
      <c r="B3228" s="131" t="s">
        <v>14993</v>
      </c>
      <c r="C3228" s="40" t="s">
        <v>14994</v>
      </c>
      <c r="D3228" s="11"/>
      <c r="E3228" s="11" t="s">
        <v>5293</v>
      </c>
      <c r="F3228" s="90">
        <v>1000.0</v>
      </c>
      <c r="G3228" s="321"/>
      <c r="H3228" s="11" t="s">
        <v>8781</v>
      </c>
      <c r="I3228" s="276"/>
      <c r="J3228" s="11" t="s">
        <v>25</v>
      </c>
      <c r="K3228" s="13"/>
      <c r="L3228" s="13"/>
      <c r="M3228" s="14"/>
      <c r="N3228" s="15"/>
      <c r="O3228" s="5" t="s">
        <v>26</v>
      </c>
      <c r="P3228" s="15"/>
      <c r="Q3228" s="15"/>
      <c r="R3228" s="422"/>
      <c r="S3228" s="15"/>
      <c r="T3228" s="15"/>
      <c r="U3228" s="15"/>
      <c r="V3228" s="15"/>
      <c r="W3228" s="15"/>
      <c r="X3228" s="15"/>
      <c r="Y3228" s="15"/>
      <c r="Z3228" s="15"/>
      <c r="AA3228" s="15"/>
    </row>
    <row r="3229">
      <c r="A3229" s="5" t="s">
        <v>14955</v>
      </c>
      <c r="B3229" s="131" t="s">
        <v>14995</v>
      </c>
      <c r="C3229" s="40" t="s">
        <v>14996</v>
      </c>
      <c r="D3229" s="11"/>
      <c r="E3229" s="11" t="s">
        <v>12336</v>
      </c>
      <c r="F3229" s="9">
        <v>10000.0</v>
      </c>
      <c r="G3229" s="321"/>
      <c r="H3229" s="11" t="s">
        <v>1461</v>
      </c>
      <c r="I3229" s="423"/>
      <c r="J3229" s="14"/>
      <c r="K3229" s="13"/>
      <c r="L3229" s="13"/>
      <c r="M3229" s="14"/>
      <c r="N3229" s="15"/>
      <c r="O3229" s="5" t="s">
        <v>1030</v>
      </c>
      <c r="P3229" s="15"/>
      <c r="Q3229" s="15"/>
      <c r="R3229" s="422"/>
      <c r="S3229" s="15"/>
      <c r="T3229" s="15"/>
      <c r="U3229" s="15"/>
      <c r="V3229" s="15"/>
      <c r="W3229" s="15"/>
      <c r="X3229" s="15"/>
      <c r="Y3229" s="15"/>
      <c r="Z3229" s="15"/>
      <c r="AA3229" s="15"/>
    </row>
    <row r="3230">
      <c r="A3230" s="5" t="s">
        <v>14955</v>
      </c>
      <c r="B3230" s="131" t="s">
        <v>14997</v>
      </c>
      <c r="C3230" s="40" t="s">
        <v>14998</v>
      </c>
      <c r="D3230" s="11"/>
      <c r="E3230" s="11" t="s">
        <v>794</v>
      </c>
      <c r="F3230" s="9">
        <v>100000.0</v>
      </c>
      <c r="G3230" s="321"/>
      <c r="H3230" s="11" t="s">
        <v>44</v>
      </c>
      <c r="I3230" s="276"/>
      <c r="J3230" s="11" t="s">
        <v>25</v>
      </c>
      <c r="K3230" s="12"/>
      <c r="L3230" s="12"/>
      <c r="M3230" s="11" t="s">
        <v>9918</v>
      </c>
      <c r="N3230" s="5" t="s">
        <v>14999</v>
      </c>
      <c r="O3230" s="5" t="s">
        <v>26</v>
      </c>
      <c r="P3230" s="15"/>
      <c r="Q3230" s="15"/>
      <c r="R3230" s="422"/>
      <c r="S3230" s="15"/>
      <c r="T3230" s="15"/>
      <c r="U3230" s="15"/>
      <c r="V3230" s="15"/>
      <c r="W3230" s="15"/>
      <c r="X3230" s="15"/>
      <c r="Y3230" s="15"/>
      <c r="Z3230" s="15"/>
      <c r="AA3230" s="15"/>
    </row>
    <row r="3231">
      <c r="A3231" s="5" t="s">
        <v>14955</v>
      </c>
      <c r="B3231" s="131" t="s">
        <v>15000</v>
      </c>
      <c r="C3231" s="40" t="s">
        <v>15001</v>
      </c>
      <c r="D3231" s="11"/>
      <c r="E3231" s="11" t="s">
        <v>152</v>
      </c>
      <c r="F3231" s="90">
        <v>1000.0</v>
      </c>
      <c r="G3231" s="321"/>
      <c r="H3231" s="11" t="s">
        <v>15002</v>
      </c>
      <c r="I3231" s="276"/>
      <c r="J3231" s="11" t="s">
        <v>4008</v>
      </c>
      <c r="K3231" s="12"/>
      <c r="L3231" s="12"/>
      <c r="M3231" s="11" t="s">
        <v>9776</v>
      </c>
      <c r="N3231" s="5" t="s">
        <v>15003</v>
      </c>
      <c r="O3231" s="5" t="s">
        <v>108</v>
      </c>
      <c r="P3231" s="15"/>
      <c r="Q3231" s="15"/>
      <c r="R3231" s="422"/>
      <c r="S3231" s="15"/>
      <c r="T3231" s="15"/>
      <c r="U3231" s="15"/>
      <c r="V3231" s="15"/>
      <c r="W3231" s="15"/>
      <c r="X3231" s="15"/>
      <c r="Y3231" s="15"/>
      <c r="Z3231" s="15"/>
      <c r="AA3231" s="15"/>
    </row>
    <row r="3232">
      <c r="A3232" s="5" t="s">
        <v>14955</v>
      </c>
      <c r="B3232" s="131" t="s">
        <v>15004</v>
      </c>
      <c r="C3232" s="40" t="s">
        <v>15005</v>
      </c>
      <c r="D3232" s="11"/>
      <c r="E3232" s="11" t="s">
        <v>5014</v>
      </c>
      <c r="F3232" s="90">
        <v>1000.0</v>
      </c>
      <c r="G3232" s="321"/>
      <c r="H3232" s="11" t="s">
        <v>13649</v>
      </c>
      <c r="I3232" s="276"/>
      <c r="J3232" s="11" t="s">
        <v>25</v>
      </c>
      <c r="K3232" s="13"/>
      <c r="L3232" s="13"/>
      <c r="M3232" s="14"/>
      <c r="N3232" s="15"/>
      <c r="O3232" s="5" t="s">
        <v>108</v>
      </c>
      <c r="P3232" s="15"/>
      <c r="Q3232" s="15"/>
      <c r="R3232" s="422"/>
      <c r="S3232" s="15"/>
      <c r="T3232" s="15"/>
      <c r="U3232" s="15"/>
      <c r="V3232" s="15"/>
      <c r="W3232" s="15"/>
      <c r="X3232" s="15"/>
      <c r="Y3232" s="15"/>
      <c r="Z3232" s="15"/>
      <c r="AA3232" s="15"/>
    </row>
    <row r="3233">
      <c r="A3233" s="5" t="s">
        <v>14955</v>
      </c>
      <c r="B3233" s="131" t="s">
        <v>15006</v>
      </c>
      <c r="C3233" s="40" t="s">
        <v>12094</v>
      </c>
      <c r="D3233" s="11"/>
      <c r="E3233" s="11" t="s">
        <v>15007</v>
      </c>
      <c r="F3233" s="90">
        <v>500.0</v>
      </c>
      <c r="G3233" s="321"/>
      <c r="H3233" s="11" t="s">
        <v>44</v>
      </c>
      <c r="I3233" s="276"/>
      <c r="J3233" s="11" t="s">
        <v>7109</v>
      </c>
      <c r="K3233" s="13"/>
      <c r="L3233" s="13"/>
      <c r="M3233" s="14"/>
      <c r="N3233" s="15"/>
      <c r="O3233" s="5" t="s">
        <v>26</v>
      </c>
      <c r="P3233" s="15"/>
      <c r="Q3233" s="15"/>
      <c r="R3233" s="422"/>
      <c r="S3233" s="15"/>
      <c r="T3233" s="15"/>
      <c r="U3233" s="15"/>
      <c r="V3233" s="15"/>
      <c r="W3233" s="15"/>
      <c r="X3233" s="15"/>
      <c r="Y3233" s="15"/>
      <c r="Z3233" s="15"/>
      <c r="AA3233" s="15"/>
    </row>
    <row r="3234">
      <c r="A3234" s="5" t="s">
        <v>14955</v>
      </c>
      <c r="B3234" s="131" t="s">
        <v>15008</v>
      </c>
      <c r="C3234" s="40" t="s">
        <v>14967</v>
      </c>
      <c r="D3234" s="11"/>
      <c r="E3234" s="11" t="s">
        <v>178</v>
      </c>
      <c r="F3234" s="90">
        <v>5000.0</v>
      </c>
      <c r="G3234" s="321"/>
      <c r="H3234" s="11" t="s">
        <v>44</v>
      </c>
      <c r="I3234" s="276"/>
      <c r="J3234" s="11" t="s">
        <v>25</v>
      </c>
      <c r="K3234" s="12"/>
      <c r="L3234" s="12"/>
      <c r="M3234" s="11" t="s">
        <v>7965</v>
      </c>
      <c r="N3234" s="5" t="s">
        <v>15009</v>
      </c>
      <c r="O3234" s="5" t="s">
        <v>14409</v>
      </c>
      <c r="P3234" s="15"/>
      <c r="Q3234" s="15"/>
      <c r="R3234" s="422"/>
      <c r="S3234" s="15"/>
      <c r="T3234" s="15"/>
      <c r="U3234" s="15"/>
      <c r="V3234" s="15"/>
      <c r="W3234" s="15"/>
      <c r="X3234" s="15"/>
      <c r="Y3234" s="15"/>
      <c r="Z3234" s="15"/>
      <c r="AA3234" s="15"/>
    </row>
    <row r="3235">
      <c r="A3235" s="5" t="s">
        <v>15010</v>
      </c>
      <c r="B3235" s="131" t="s">
        <v>15011</v>
      </c>
      <c r="C3235" s="40" t="s">
        <v>15012</v>
      </c>
      <c r="D3235" s="11"/>
      <c r="E3235" s="11" t="s">
        <v>130</v>
      </c>
      <c r="F3235" s="90">
        <v>4000.0</v>
      </c>
      <c r="G3235" s="321"/>
      <c r="H3235" s="11" t="s">
        <v>44</v>
      </c>
      <c r="I3235" s="276"/>
      <c r="J3235" s="11" t="s">
        <v>25</v>
      </c>
      <c r="K3235" s="12"/>
      <c r="L3235" s="12"/>
      <c r="M3235" s="11" t="s">
        <v>9742</v>
      </c>
      <c r="N3235" s="5" t="s">
        <v>15013</v>
      </c>
      <c r="O3235" s="5" t="s">
        <v>26</v>
      </c>
      <c r="P3235" s="15"/>
      <c r="Q3235" s="15"/>
      <c r="R3235" s="422"/>
      <c r="S3235" s="15"/>
      <c r="T3235" s="15"/>
      <c r="U3235" s="15"/>
      <c r="V3235" s="15"/>
      <c r="W3235" s="15"/>
      <c r="X3235" s="15"/>
      <c r="Y3235" s="15"/>
      <c r="Z3235" s="15"/>
      <c r="AA3235" s="15"/>
    </row>
    <row r="3236">
      <c r="A3236" s="5" t="s">
        <v>15010</v>
      </c>
      <c r="B3236" s="131" t="s">
        <v>15014</v>
      </c>
      <c r="C3236" s="40" t="s">
        <v>15015</v>
      </c>
      <c r="D3236" s="11"/>
      <c r="E3236" s="11" t="s">
        <v>15016</v>
      </c>
      <c r="F3236" s="90">
        <v>800.0</v>
      </c>
      <c r="G3236" s="321"/>
      <c r="H3236" s="11" t="s">
        <v>12338</v>
      </c>
      <c r="I3236" s="276"/>
      <c r="J3236" s="11" t="s">
        <v>15017</v>
      </c>
      <c r="K3236" s="12"/>
      <c r="L3236" s="12"/>
      <c r="M3236" s="11" t="s">
        <v>10515</v>
      </c>
      <c r="N3236" s="5" t="s">
        <v>15018</v>
      </c>
      <c r="O3236" s="5" t="s">
        <v>26</v>
      </c>
      <c r="P3236" s="15"/>
      <c r="Q3236" s="15"/>
      <c r="R3236" s="422"/>
      <c r="S3236" s="15"/>
      <c r="T3236" s="15"/>
      <c r="U3236" s="15"/>
      <c r="V3236" s="15"/>
      <c r="W3236" s="15"/>
      <c r="X3236" s="15"/>
      <c r="Y3236" s="15"/>
      <c r="Z3236" s="15"/>
      <c r="AA3236" s="15"/>
    </row>
    <row r="3237">
      <c r="A3237" s="5" t="s">
        <v>15010</v>
      </c>
      <c r="B3237" s="131" t="s">
        <v>15019</v>
      </c>
      <c r="C3237" s="40" t="s">
        <v>10457</v>
      </c>
      <c r="D3237" s="11"/>
      <c r="E3237" s="11" t="s">
        <v>5756</v>
      </c>
      <c r="F3237" s="90">
        <v>1000.0</v>
      </c>
      <c r="G3237" s="321"/>
      <c r="H3237" s="11" t="s">
        <v>906</v>
      </c>
      <c r="I3237" s="276"/>
      <c r="J3237" s="11" t="s">
        <v>25</v>
      </c>
      <c r="K3237" s="13"/>
      <c r="L3237" s="13"/>
      <c r="M3237" s="14"/>
      <c r="N3237" s="15"/>
      <c r="O3237" s="5" t="s">
        <v>108</v>
      </c>
      <c r="P3237" s="15"/>
      <c r="Q3237" s="15"/>
      <c r="R3237" s="422"/>
      <c r="S3237" s="15"/>
      <c r="T3237" s="15"/>
      <c r="U3237" s="15"/>
      <c r="V3237" s="15"/>
      <c r="W3237" s="15"/>
      <c r="X3237" s="15"/>
      <c r="Y3237" s="15"/>
      <c r="Z3237" s="15"/>
      <c r="AA3237" s="15"/>
    </row>
    <row r="3238">
      <c r="A3238" s="352" t="s">
        <v>15010</v>
      </c>
      <c r="B3238" s="131" t="s">
        <v>15020</v>
      </c>
      <c r="C3238" s="40" t="s">
        <v>15021</v>
      </c>
      <c r="D3238" s="11"/>
      <c r="E3238" s="11" t="s">
        <v>4567</v>
      </c>
      <c r="F3238" s="9">
        <v>23000.0</v>
      </c>
      <c r="G3238" s="321"/>
      <c r="H3238" s="11" t="s">
        <v>1696</v>
      </c>
      <c r="I3238" s="423"/>
      <c r="J3238" s="14"/>
      <c r="K3238" s="12"/>
      <c r="L3238" s="12"/>
      <c r="M3238" s="11" t="s">
        <v>15022</v>
      </c>
      <c r="N3238" s="5" t="s">
        <v>15023</v>
      </c>
      <c r="O3238" s="5" t="s">
        <v>108</v>
      </c>
      <c r="P3238" s="15"/>
      <c r="Q3238" s="15"/>
      <c r="R3238" s="422"/>
      <c r="S3238" s="15"/>
      <c r="T3238" s="15"/>
      <c r="U3238" s="15"/>
      <c r="V3238" s="15"/>
      <c r="W3238" s="15"/>
      <c r="X3238" s="15"/>
      <c r="Y3238" s="15"/>
      <c r="Z3238" s="15"/>
      <c r="AA3238" s="15"/>
    </row>
    <row r="3239">
      <c r="A3239" s="5" t="s">
        <v>15010</v>
      </c>
      <c r="B3239" s="131" t="s">
        <v>15024</v>
      </c>
      <c r="C3239" s="40" t="s">
        <v>15025</v>
      </c>
      <c r="D3239" s="11"/>
      <c r="E3239" s="11" t="s">
        <v>15026</v>
      </c>
      <c r="F3239" s="90">
        <v>300.0</v>
      </c>
      <c r="G3239" s="321"/>
      <c r="H3239" s="11" t="s">
        <v>906</v>
      </c>
      <c r="I3239" s="423"/>
      <c r="J3239" s="14"/>
      <c r="K3239" s="12"/>
      <c r="L3239" s="12"/>
      <c r="M3239" s="11" t="s">
        <v>13938</v>
      </c>
      <c r="N3239" s="5" t="s">
        <v>15027</v>
      </c>
      <c r="O3239" s="5" t="s">
        <v>14119</v>
      </c>
      <c r="P3239" s="15"/>
      <c r="Q3239" s="15"/>
      <c r="R3239" s="422"/>
      <c r="S3239" s="15"/>
      <c r="T3239" s="15"/>
      <c r="U3239" s="15"/>
      <c r="V3239" s="15"/>
      <c r="W3239" s="15"/>
      <c r="X3239" s="15"/>
      <c r="Y3239" s="15"/>
      <c r="Z3239" s="15"/>
      <c r="AA3239" s="15"/>
    </row>
    <row r="3240">
      <c r="A3240" s="5" t="s">
        <v>15010</v>
      </c>
      <c r="B3240" s="131" t="s">
        <v>15028</v>
      </c>
      <c r="C3240" s="40" t="s">
        <v>15029</v>
      </c>
      <c r="D3240" s="11"/>
      <c r="E3240" s="11" t="s">
        <v>15030</v>
      </c>
      <c r="F3240" s="9">
        <v>60000.0</v>
      </c>
      <c r="G3240" s="321"/>
      <c r="H3240" s="11" t="s">
        <v>5627</v>
      </c>
      <c r="I3240" s="276"/>
      <c r="J3240" s="11" t="s">
        <v>4008</v>
      </c>
      <c r="K3240" s="13"/>
      <c r="L3240" s="13"/>
      <c r="M3240" s="14"/>
      <c r="N3240" s="15"/>
      <c r="O3240" s="5" t="s">
        <v>26</v>
      </c>
      <c r="P3240" s="15"/>
      <c r="Q3240" s="15"/>
      <c r="R3240" s="422"/>
      <c r="S3240" s="15"/>
      <c r="T3240" s="15"/>
      <c r="U3240" s="15"/>
      <c r="V3240" s="15"/>
      <c r="W3240" s="15"/>
      <c r="X3240" s="15"/>
      <c r="Y3240" s="15"/>
      <c r="Z3240" s="15"/>
      <c r="AA3240" s="15"/>
    </row>
    <row r="3241">
      <c r="A3241" s="5" t="s">
        <v>15010</v>
      </c>
      <c r="B3241" s="131" t="s">
        <v>15031</v>
      </c>
      <c r="C3241" s="40" t="s">
        <v>15032</v>
      </c>
      <c r="D3241" s="11"/>
      <c r="E3241" s="11" t="s">
        <v>11279</v>
      </c>
      <c r="F3241" s="90">
        <v>250.0</v>
      </c>
      <c r="G3241" s="321"/>
      <c r="H3241" s="11" t="s">
        <v>15033</v>
      </c>
      <c r="I3241" s="276"/>
      <c r="J3241" s="11" t="s">
        <v>25</v>
      </c>
      <c r="K3241" s="13"/>
      <c r="L3241" s="13"/>
      <c r="M3241" s="14"/>
      <c r="N3241" s="15"/>
      <c r="O3241" s="5" t="s">
        <v>14119</v>
      </c>
      <c r="P3241" s="15"/>
      <c r="Q3241" s="15"/>
      <c r="R3241" s="422"/>
      <c r="S3241" s="15"/>
      <c r="T3241" s="15"/>
      <c r="U3241" s="15"/>
      <c r="V3241" s="15"/>
      <c r="W3241" s="15"/>
      <c r="X3241" s="15"/>
      <c r="Y3241" s="15"/>
      <c r="Z3241" s="15"/>
      <c r="AA3241" s="15"/>
    </row>
    <row r="3242">
      <c r="A3242" s="5" t="s">
        <v>15010</v>
      </c>
      <c r="B3242" s="131" t="s">
        <v>15034</v>
      </c>
      <c r="C3242" s="40" t="s">
        <v>15035</v>
      </c>
      <c r="D3242" s="11"/>
      <c r="E3242" s="11" t="s">
        <v>207</v>
      </c>
      <c r="F3242" s="90">
        <v>5000.0</v>
      </c>
      <c r="G3242" s="321"/>
      <c r="H3242" s="11" t="s">
        <v>15036</v>
      </c>
      <c r="I3242" s="276"/>
      <c r="J3242" s="11" t="s">
        <v>25</v>
      </c>
      <c r="K3242" s="12"/>
      <c r="L3242" s="12"/>
      <c r="M3242" s="11" t="s">
        <v>11788</v>
      </c>
      <c r="N3242" s="5" t="s">
        <v>15037</v>
      </c>
      <c r="O3242" s="5" t="s">
        <v>26</v>
      </c>
      <c r="P3242" s="15"/>
      <c r="Q3242" s="15"/>
      <c r="R3242" s="422"/>
      <c r="S3242" s="15"/>
      <c r="T3242" s="15"/>
      <c r="U3242" s="15"/>
      <c r="V3242" s="15"/>
      <c r="W3242" s="15"/>
      <c r="X3242" s="15"/>
      <c r="Y3242" s="15"/>
      <c r="Z3242" s="15"/>
      <c r="AA3242" s="15"/>
    </row>
    <row r="3243">
      <c r="A3243" s="5" t="s">
        <v>15010</v>
      </c>
      <c r="B3243" s="131" t="s">
        <v>15038</v>
      </c>
      <c r="C3243" s="40" t="s">
        <v>15039</v>
      </c>
      <c r="D3243" s="11"/>
      <c r="E3243" s="11" t="s">
        <v>15040</v>
      </c>
      <c r="F3243" s="90">
        <v>100.0</v>
      </c>
      <c r="G3243" s="321"/>
      <c r="H3243" s="11" t="s">
        <v>15041</v>
      </c>
      <c r="I3243" s="276"/>
      <c r="J3243" s="11" t="s">
        <v>7221</v>
      </c>
      <c r="K3243" s="12"/>
      <c r="L3243" s="12"/>
      <c r="M3243" s="11" t="s">
        <v>8782</v>
      </c>
      <c r="N3243" s="5" t="s">
        <v>15042</v>
      </c>
      <c r="O3243" s="5" t="s">
        <v>14119</v>
      </c>
      <c r="P3243" s="15"/>
      <c r="Q3243" s="15"/>
      <c r="R3243" s="422"/>
      <c r="S3243" s="15"/>
      <c r="T3243" s="15"/>
      <c r="U3243" s="15"/>
      <c r="V3243" s="15"/>
      <c r="W3243" s="15"/>
      <c r="X3243" s="15"/>
      <c r="Y3243" s="15"/>
      <c r="Z3243" s="15"/>
      <c r="AA3243" s="15"/>
    </row>
    <row r="3244">
      <c r="A3244" s="5" t="s">
        <v>15010</v>
      </c>
      <c r="B3244" s="131" t="s">
        <v>15043</v>
      </c>
      <c r="C3244" s="40" t="s">
        <v>15044</v>
      </c>
      <c r="D3244" s="11"/>
      <c r="E3244" s="11" t="s">
        <v>152</v>
      </c>
      <c r="F3244" s="90">
        <v>100.0</v>
      </c>
      <c r="G3244" s="321"/>
      <c r="H3244" s="11" t="s">
        <v>24</v>
      </c>
      <c r="I3244" s="423"/>
      <c r="J3244" s="14"/>
      <c r="K3244" s="12"/>
      <c r="L3244" s="12"/>
      <c r="M3244" s="11" t="s">
        <v>13938</v>
      </c>
      <c r="N3244" s="5" t="s">
        <v>15045</v>
      </c>
      <c r="O3244" s="5" t="s">
        <v>14119</v>
      </c>
      <c r="P3244" s="15"/>
      <c r="Q3244" s="15"/>
      <c r="R3244" s="422"/>
      <c r="S3244" s="15"/>
      <c r="T3244" s="15"/>
      <c r="U3244" s="15"/>
      <c r="V3244" s="15"/>
      <c r="W3244" s="15"/>
      <c r="X3244" s="15"/>
      <c r="Y3244" s="15"/>
      <c r="Z3244" s="15"/>
      <c r="AA3244" s="15"/>
    </row>
    <row r="3245">
      <c r="A3245" s="5" t="s">
        <v>15010</v>
      </c>
      <c r="B3245" s="131" t="s">
        <v>15046</v>
      </c>
      <c r="C3245" s="40" t="s">
        <v>15047</v>
      </c>
      <c r="D3245" s="11"/>
      <c r="E3245" s="11" t="s">
        <v>15048</v>
      </c>
      <c r="F3245" s="9">
        <v>10000.0</v>
      </c>
      <c r="G3245" s="321"/>
      <c r="H3245" s="11" t="s">
        <v>930</v>
      </c>
      <c r="I3245" s="423"/>
      <c r="J3245" s="14"/>
      <c r="K3245" s="13"/>
      <c r="L3245" s="13"/>
      <c r="M3245" s="14"/>
      <c r="N3245" s="15"/>
      <c r="O3245" s="5" t="s">
        <v>108</v>
      </c>
      <c r="P3245" s="15"/>
      <c r="Q3245" s="15"/>
      <c r="R3245" s="422"/>
      <c r="S3245" s="15"/>
      <c r="T3245" s="15"/>
      <c r="U3245" s="15"/>
      <c r="V3245" s="15"/>
      <c r="W3245" s="15"/>
      <c r="X3245" s="15"/>
      <c r="Y3245" s="15"/>
      <c r="Z3245" s="15"/>
      <c r="AA3245" s="15"/>
    </row>
    <row r="3246">
      <c r="A3246" s="5" t="s">
        <v>15010</v>
      </c>
      <c r="B3246" s="131" t="s">
        <v>15049</v>
      </c>
      <c r="C3246" s="40" t="s">
        <v>15050</v>
      </c>
      <c r="D3246" s="11"/>
      <c r="E3246" s="11" t="s">
        <v>2482</v>
      </c>
      <c r="F3246" s="90">
        <v>5000.0</v>
      </c>
      <c r="G3246" s="321"/>
      <c r="H3246" s="11" t="s">
        <v>13111</v>
      </c>
      <c r="I3246" s="423"/>
      <c r="J3246" s="14"/>
      <c r="K3246" s="12"/>
      <c r="L3246" s="12"/>
      <c r="M3246" s="11" t="s">
        <v>9719</v>
      </c>
      <c r="N3246" s="5" t="s">
        <v>15051</v>
      </c>
      <c r="O3246" s="5" t="s">
        <v>26</v>
      </c>
      <c r="P3246" s="15"/>
      <c r="Q3246" s="15"/>
      <c r="R3246" s="422"/>
      <c r="S3246" s="15"/>
      <c r="T3246" s="15"/>
      <c r="U3246" s="15"/>
      <c r="V3246" s="15"/>
      <c r="W3246" s="15"/>
      <c r="X3246" s="15"/>
      <c r="Y3246" s="15"/>
      <c r="Z3246" s="15"/>
      <c r="AA3246" s="15"/>
    </row>
    <row r="3247">
      <c r="A3247" s="5" t="s">
        <v>15010</v>
      </c>
      <c r="B3247" s="131" t="s">
        <v>15052</v>
      </c>
      <c r="C3247" s="40" t="s">
        <v>15053</v>
      </c>
      <c r="D3247" s="11"/>
      <c r="E3247" s="11" t="s">
        <v>14285</v>
      </c>
      <c r="F3247" s="9">
        <v>20000.0</v>
      </c>
      <c r="G3247" s="321"/>
      <c r="H3247" s="11" t="s">
        <v>44</v>
      </c>
      <c r="I3247" s="276"/>
      <c r="J3247" s="11" t="s">
        <v>25</v>
      </c>
      <c r="K3247" s="12"/>
      <c r="L3247" s="12"/>
      <c r="M3247" s="11" t="s">
        <v>9800</v>
      </c>
      <c r="N3247" s="5" t="s">
        <v>15054</v>
      </c>
      <c r="O3247" s="5" t="s">
        <v>26</v>
      </c>
      <c r="P3247" s="15"/>
      <c r="Q3247" s="15"/>
      <c r="R3247" s="422"/>
      <c r="S3247" s="15"/>
      <c r="T3247" s="15"/>
      <c r="U3247" s="15"/>
      <c r="V3247" s="15"/>
      <c r="W3247" s="15"/>
      <c r="X3247" s="15"/>
      <c r="Y3247" s="15"/>
      <c r="Z3247" s="15"/>
      <c r="AA3247" s="15"/>
    </row>
    <row r="3248">
      <c r="A3248" s="5" t="s">
        <v>15010</v>
      </c>
      <c r="B3248" s="131" t="s">
        <v>15055</v>
      </c>
      <c r="C3248" s="40" t="s">
        <v>15056</v>
      </c>
      <c r="D3248" s="11"/>
      <c r="E3248" s="11" t="s">
        <v>13557</v>
      </c>
      <c r="F3248" s="90">
        <v>500.0</v>
      </c>
      <c r="G3248" s="321"/>
      <c r="H3248" s="11" t="s">
        <v>44</v>
      </c>
      <c r="I3248" s="276"/>
      <c r="J3248" s="11" t="s">
        <v>4008</v>
      </c>
      <c r="K3248" s="13"/>
      <c r="L3248" s="13"/>
      <c r="M3248" s="14"/>
      <c r="N3248" s="15"/>
      <c r="O3248" s="5" t="s">
        <v>14119</v>
      </c>
      <c r="P3248" s="15"/>
      <c r="Q3248" s="15"/>
      <c r="R3248" s="422"/>
      <c r="S3248" s="15"/>
      <c r="T3248" s="15"/>
      <c r="U3248" s="15"/>
      <c r="V3248" s="15"/>
      <c r="W3248" s="15"/>
      <c r="X3248" s="15"/>
      <c r="Y3248" s="15"/>
      <c r="Z3248" s="15"/>
      <c r="AA3248" s="15"/>
    </row>
    <row r="3249">
      <c r="A3249" s="5" t="s">
        <v>15010</v>
      </c>
      <c r="B3249" s="131" t="s">
        <v>15057</v>
      </c>
      <c r="C3249" s="40" t="s">
        <v>15058</v>
      </c>
      <c r="D3249" s="11"/>
      <c r="E3249" s="11" t="s">
        <v>22</v>
      </c>
      <c r="F3249" s="90">
        <v>5000.0</v>
      </c>
      <c r="G3249" s="321"/>
      <c r="H3249" s="11" t="s">
        <v>15059</v>
      </c>
      <c r="I3249" s="423"/>
      <c r="J3249" s="14"/>
      <c r="K3249" s="12"/>
      <c r="L3249" s="12"/>
      <c r="M3249" s="11" t="s">
        <v>8722</v>
      </c>
      <c r="N3249" s="5" t="s">
        <v>15060</v>
      </c>
      <c r="O3249" s="5" t="s">
        <v>26</v>
      </c>
      <c r="P3249" s="15"/>
      <c r="Q3249" s="15"/>
      <c r="R3249" s="422"/>
      <c r="S3249" s="15"/>
      <c r="T3249" s="15"/>
      <c r="U3249" s="15"/>
      <c r="V3249" s="15"/>
      <c r="W3249" s="15"/>
      <c r="X3249" s="15"/>
      <c r="Y3249" s="15"/>
      <c r="Z3249" s="15"/>
      <c r="AA3249" s="15"/>
    </row>
    <row r="3250">
      <c r="A3250" s="5" t="s">
        <v>15010</v>
      </c>
      <c r="B3250" s="131" t="s">
        <v>15061</v>
      </c>
      <c r="C3250" s="40" t="s">
        <v>15062</v>
      </c>
      <c r="D3250" s="11"/>
      <c r="E3250" s="11" t="s">
        <v>189</v>
      </c>
      <c r="F3250" s="9">
        <v>15000.0</v>
      </c>
      <c r="G3250" s="321"/>
      <c r="H3250" s="11" t="s">
        <v>11810</v>
      </c>
      <c r="I3250" s="276"/>
      <c r="J3250" s="11" t="s">
        <v>25</v>
      </c>
      <c r="K3250" s="12"/>
      <c r="L3250" s="12"/>
      <c r="M3250" s="11" t="s">
        <v>10566</v>
      </c>
      <c r="N3250" s="5" t="s">
        <v>15063</v>
      </c>
      <c r="O3250" s="5" t="s">
        <v>26</v>
      </c>
      <c r="P3250" s="15"/>
      <c r="Q3250" s="15"/>
      <c r="R3250" s="422"/>
      <c r="S3250" s="15"/>
      <c r="T3250" s="15"/>
      <c r="U3250" s="15"/>
      <c r="V3250" s="15"/>
      <c r="W3250" s="15"/>
      <c r="X3250" s="15"/>
      <c r="Y3250" s="15"/>
      <c r="Z3250" s="15"/>
      <c r="AA3250" s="15"/>
    </row>
    <row r="3251">
      <c r="A3251" s="5" t="s">
        <v>15010</v>
      </c>
      <c r="B3251" s="131" t="s">
        <v>15064</v>
      </c>
      <c r="C3251" s="40" t="s">
        <v>15065</v>
      </c>
      <c r="D3251" s="11"/>
      <c r="E3251" s="11" t="s">
        <v>15066</v>
      </c>
      <c r="F3251" s="90">
        <v>100.0</v>
      </c>
      <c r="G3251" s="321"/>
      <c r="H3251" s="11" t="s">
        <v>44</v>
      </c>
      <c r="I3251" s="276"/>
      <c r="J3251" s="11" t="s">
        <v>25</v>
      </c>
      <c r="K3251" s="13"/>
      <c r="L3251" s="13"/>
      <c r="M3251" s="14"/>
      <c r="N3251" s="15"/>
      <c r="O3251" s="5" t="s">
        <v>14119</v>
      </c>
      <c r="P3251" s="15"/>
      <c r="Q3251" s="15"/>
      <c r="R3251" s="422"/>
      <c r="S3251" s="15"/>
      <c r="T3251" s="15"/>
      <c r="U3251" s="15"/>
      <c r="V3251" s="15"/>
      <c r="W3251" s="15"/>
      <c r="X3251" s="15"/>
      <c r="Y3251" s="15"/>
      <c r="Z3251" s="15"/>
      <c r="AA3251" s="15"/>
    </row>
    <row r="3252">
      <c r="A3252" s="352" t="s">
        <v>15067</v>
      </c>
      <c r="B3252" s="131" t="s">
        <v>15068</v>
      </c>
      <c r="C3252" s="40" t="s">
        <v>15069</v>
      </c>
      <c r="D3252" s="11"/>
      <c r="E3252" s="11" t="s">
        <v>286</v>
      </c>
      <c r="F3252" s="90">
        <v>300.0</v>
      </c>
      <c r="G3252" s="321"/>
      <c r="H3252" s="11" t="s">
        <v>12694</v>
      </c>
      <c r="I3252" s="423"/>
      <c r="J3252" s="14"/>
      <c r="K3252" s="12"/>
      <c r="L3252" s="12"/>
      <c r="M3252" s="11" t="s">
        <v>12862</v>
      </c>
      <c r="N3252" s="5" t="s">
        <v>15070</v>
      </c>
      <c r="O3252" s="5" t="s">
        <v>14119</v>
      </c>
      <c r="P3252" s="15"/>
      <c r="Q3252" s="15"/>
      <c r="R3252" s="422"/>
      <c r="S3252" s="15"/>
      <c r="T3252" s="15"/>
      <c r="U3252" s="15"/>
      <c r="V3252" s="15"/>
      <c r="W3252" s="15"/>
      <c r="X3252" s="15"/>
      <c r="Y3252" s="15"/>
      <c r="Z3252" s="15"/>
      <c r="AA3252" s="15"/>
    </row>
    <row r="3253">
      <c r="A3253" s="5" t="s">
        <v>15067</v>
      </c>
      <c r="B3253" s="131" t="s">
        <v>15071</v>
      </c>
      <c r="C3253" s="40" t="s">
        <v>15072</v>
      </c>
      <c r="D3253" s="11"/>
      <c r="E3253" s="11" t="s">
        <v>6360</v>
      </c>
      <c r="F3253" s="90">
        <v>500.0</v>
      </c>
      <c r="G3253" s="321"/>
      <c r="H3253" s="11" t="s">
        <v>15073</v>
      </c>
      <c r="I3253" s="276"/>
      <c r="J3253" s="11" t="s">
        <v>25</v>
      </c>
      <c r="K3253" s="12"/>
      <c r="L3253" s="12"/>
      <c r="M3253" s="11" t="s">
        <v>10200</v>
      </c>
      <c r="N3253" s="5" t="s">
        <v>15074</v>
      </c>
      <c r="O3253" s="5" t="s">
        <v>26</v>
      </c>
      <c r="P3253" s="15"/>
      <c r="Q3253" s="15"/>
      <c r="R3253" s="422"/>
      <c r="S3253" s="15"/>
      <c r="T3253" s="15"/>
      <c r="U3253" s="15"/>
      <c r="V3253" s="15"/>
      <c r="W3253" s="15"/>
      <c r="X3253" s="15"/>
      <c r="Y3253" s="15"/>
      <c r="Z3253" s="15"/>
      <c r="AA3253" s="15"/>
    </row>
    <row r="3254">
      <c r="A3254" s="5" t="s">
        <v>15067</v>
      </c>
      <c r="B3254" s="131" t="s">
        <v>15075</v>
      </c>
      <c r="C3254" s="40" t="s">
        <v>15076</v>
      </c>
      <c r="D3254" s="11"/>
      <c r="E3254" s="11" t="s">
        <v>38</v>
      </c>
      <c r="F3254" s="9">
        <v>20000.0</v>
      </c>
      <c r="G3254" s="321"/>
      <c r="H3254" s="11" t="s">
        <v>5427</v>
      </c>
      <c r="I3254" s="276"/>
      <c r="J3254" s="11" t="s">
        <v>4008</v>
      </c>
      <c r="K3254" s="12"/>
      <c r="L3254" s="12"/>
      <c r="M3254" s="11" t="s">
        <v>13099</v>
      </c>
      <c r="N3254" s="5" t="s">
        <v>15077</v>
      </c>
      <c r="O3254" s="5" t="s">
        <v>26</v>
      </c>
      <c r="P3254" s="15"/>
      <c r="Q3254" s="15"/>
      <c r="R3254" s="422"/>
      <c r="S3254" s="15"/>
      <c r="T3254" s="15"/>
      <c r="U3254" s="15"/>
      <c r="V3254" s="15"/>
      <c r="W3254" s="15"/>
      <c r="X3254" s="15"/>
      <c r="Y3254" s="15"/>
      <c r="Z3254" s="15"/>
      <c r="AA3254" s="15"/>
    </row>
    <row r="3255">
      <c r="A3255" s="5" t="s">
        <v>15067</v>
      </c>
      <c r="B3255" s="131" t="s">
        <v>15078</v>
      </c>
      <c r="C3255" s="40" t="s">
        <v>15079</v>
      </c>
      <c r="D3255" s="11"/>
      <c r="E3255" s="11" t="s">
        <v>2685</v>
      </c>
      <c r="F3255" s="90">
        <v>500.0</v>
      </c>
      <c r="G3255" s="321"/>
      <c r="H3255" s="11" t="s">
        <v>44</v>
      </c>
      <c r="I3255" s="423"/>
      <c r="J3255" s="14"/>
      <c r="K3255" s="12"/>
      <c r="L3255" s="12"/>
      <c r="M3255" s="11" t="s">
        <v>9879</v>
      </c>
      <c r="N3255" s="5" t="s">
        <v>15080</v>
      </c>
      <c r="O3255" s="5" t="s">
        <v>26</v>
      </c>
      <c r="P3255" s="15"/>
      <c r="Q3255" s="15"/>
      <c r="R3255" s="422"/>
      <c r="S3255" s="15"/>
      <c r="T3255" s="15"/>
      <c r="U3255" s="15"/>
      <c r="V3255" s="15"/>
      <c r="W3255" s="15"/>
      <c r="X3255" s="15"/>
      <c r="Y3255" s="15"/>
      <c r="Z3255" s="15"/>
      <c r="AA3255" s="15"/>
    </row>
    <row r="3256">
      <c r="A3256" s="5" t="s">
        <v>15067</v>
      </c>
      <c r="B3256" s="131" t="s">
        <v>15081</v>
      </c>
      <c r="C3256" s="40" t="s">
        <v>15082</v>
      </c>
      <c r="D3256" s="11"/>
      <c r="E3256" s="11" t="s">
        <v>5756</v>
      </c>
      <c r="F3256" s="90">
        <v>500.0</v>
      </c>
      <c r="G3256" s="321"/>
      <c r="H3256" s="11" t="s">
        <v>44</v>
      </c>
      <c r="I3256" s="423"/>
      <c r="J3256" s="14"/>
      <c r="K3256" s="12"/>
      <c r="L3256" s="12"/>
      <c r="M3256" s="11" t="s">
        <v>7718</v>
      </c>
      <c r="N3256" s="5" t="s">
        <v>15083</v>
      </c>
      <c r="O3256" s="5" t="s">
        <v>14119</v>
      </c>
      <c r="P3256" s="15"/>
      <c r="Q3256" s="15"/>
      <c r="R3256" s="422"/>
      <c r="S3256" s="15"/>
      <c r="T3256" s="15"/>
      <c r="U3256" s="15"/>
      <c r="V3256" s="15"/>
      <c r="W3256" s="15"/>
      <c r="X3256" s="15"/>
      <c r="Y3256" s="15"/>
      <c r="Z3256" s="15"/>
      <c r="AA3256" s="15"/>
    </row>
    <row r="3257">
      <c r="A3257" s="5" t="s">
        <v>15067</v>
      </c>
      <c r="B3257" s="131" t="s">
        <v>15084</v>
      </c>
      <c r="C3257" s="40" t="s">
        <v>15085</v>
      </c>
      <c r="D3257" s="11"/>
      <c r="E3257" s="11" t="s">
        <v>10508</v>
      </c>
      <c r="F3257" s="90">
        <v>200.0</v>
      </c>
      <c r="G3257" s="321"/>
      <c r="H3257" s="11" t="s">
        <v>8781</v>
      </c>
      <c r="I3257" s="276"/>
      <c r="J3257" s="11" t="s">
        <v>25</v>
      </c>
      <c r="K3257" s="12"/>
      <c r="L3257" s="12"/>
      <c r="M3257" s="11" t="s">
        <v>15086</v>
      </c>
      <c r="N3257" s="5" t="s">
        <v>15087</v>
      </c>
      <c r="O3257" s="5" t="s">
        <v>14119</v>
      </c>
      <c r="P3257" s="15"/>
      <c r="Q3257" s="15"/>
      <c r="R3257" s="422"/>
      <c r="S3257" s="15"/>
      <c r="T3257" s="15"/>
      <c r="U3257" s="15"/>
      <c r="V3257" s="15"/>
      <c r="W3257" s="15"/>
      <c r="X3257" s="15"/>
      <c r="Y3257" s="15"/>
      <c r="Z3257" s="15"/>
      <c r="AA3257" s="15"/>
    </row>
    <row r="3258">
      <c r="A3258" s="5" t="s">
        <v>15067</v>
      </c>
      <c r="B3258" s="131" t="s">
        <v>15088</v>
      </c>
      <c r="C3258" s="40" t="s">
        <v>15089</v>
      </c>
      <c r="D3258" s="11"/>
      <c r="E3258" s="11" t="s">
        <v>189</v>
      </c>
      <c r="F3258" s="90">
        <v>2000.0</v>
      </c>
      <c r="G3258" s="321"/>
      <c r="H3258" s="11" t="s">
        <v>44</v>
      </c>
      <c r="I3258" s="276"/>
      <c r="J3258" s="11" t="s">
        <v>25</v>
      </c>
      <c r="K3258" s="12"/>
      <c r="L3258" s="12"/>
      <c r="M3258" s="11" t="s">
        <v>8722</v>
      </c>
      <c r="N3258" s="5" t="s">
        <v>15090</v>
      </c>
      <c r="O3258" s="5" t="s">
        <v>26</v>
      </c>
      <c r="P3258" s="15"/>
      <c r="Q3258" s="15"/>
      <c r="R3258" s="422"/>
      <c r="S3258" s="15"/>
      <c r="T3258" s="15"/>
      <c r="U3258" s="15"/>
      <c r="V3258" s="15"/>
      <c r="W3258" s="15"/>
      <c r="X3258" s="15"/>
      <c r="Y3258" s="15"/>
      <c r="Z3258" s="15"/>
      <c r="AA3258" s="15"/>
    </row>
    <row r="3259">
      <c r="A3259" s="5" t="s">
        <v>15067</v>
      </c>
      <c r="B3259" s="131" t="s">
        <v>15091</v>
      </c>
      <c r="C3259" s="40" t="s">
        <v>15092</v>
      </c>
      <c r="D3259" s="11"/>
      <c r="E3259" s="11" t="s">
        <v>14358</v>
      </c>
      <c r="F3259" s="90" t="s">
        <v>15093</v>
      </c>
      <c r="G3259" s="321"/>
      <c r="H3259" s="11" t="s">
        <v>44</v>
      </c>
      <c r="I3259" s="276"/>
      <c r="J3259" s="11" t="s">
        <v>8737</v>
      </c>
      <c r="K3259" s="12"/>
      <c r="L3259" s="12"/>
      <c r="M3259" s="11" t="s">
        <v>15094</v>
      </c>
      <c r="N3259" s="5" t="s">
        <v>15095</v>
      </c>
      <c r="O3259" s="5" t="s">
        <v>14119</v>
      </c>
      <c r="P3259" s="15"/>
      <c r="Q3259" s="15"/>
      <c r="R3259" s="422"/>
      <c r="S3259" s="15"/>
      <c r="T3259" s="15"/>
      <c r="U3259" s="15"/>
      <c r="V3259" s="15"/>
      <c r="W3259" s="15"/>
      <c r="X3259" s="15"/>
      <c r="Y3259" s="15"/>
      <c r="Z3259" s="15"/>
      <c r="AA3259" s="15"/>
    </row>
    <row r="3260">
      <c r="A3260" s="5" t="s">
        <v>15067</v>
      </c>
      <c r="B3260" s="131" t="s">
        <v>15096</v>
      </c>
      <c r="C3260" s="40" t="s">
        <v>15097</v>
      </c>
      <c r="D3260" s="11"/>
      <c r="E3260" s="11" t="s">
        <v>15098</v>
      </c>
      <c r="F3260" s="90">
        <v>500.0</v>
      </c>
      <c r="G3260" s="321"/>
      <c r="H3260" s="11" t="s">
        <v>44</v>
      </c>
      <c r="I3260" s="423"/>
      <c r="J3260" s="14"/>
      <c r="K3260" s="13"/>
      <c r="L3260" s="13"/>
      <c r="M3260" s="14"/>
      <c r="N3260" s="15"/>
      <c r="O3260" s="5" t="s">
        <v>14119</v>
      </c>
      <c r="P3260" s="15"/>
      <c r="Q3260" s="15"/>
      <c r="R3260" s="422"/>
      <c r="S3260" s="15"/>
      <c r="T3260" s="15"/>
      <c r="U3260" s="15"/>
      <c r="V3260" s="15"/>
      <c r="W3260" s="15"/>
      <c r="X3260" s="15"/>
      <c r="Y3260" s="15"/>
      <c r="Z3260" s="15"/>
      <c r="AA3260" s="15"/>
    </row>
    <row r="3261">
      <c r="A3261" s="5" t="s">
        <v>15067</v>
      </c>
      <c r="B3261" s="131" t="s">
        <v>15099</v>
      </c>
      <c r="C3261" s="40" t="s">
        <v>11938</v>
      </c>
      <c r="D3261" s="11"/>
      <c r="E3261" s="11" t="s">
        <v>3165</v>
      </c>
      <c r="F3261" s="90">
        <v>235.0</v>
      </c>
      <c r="G3261" s="321"/>
      <c r="H3261" s="11" t="s">
        <v>44</v>
      </c>
      <c r="I3261" s="276"/>
      <c r="J3261" s="11" t="s">
        <v>15100</v>
      </c>
      <c r="K3261" s="12"/>
      <c r="L3261" s="12"/>
      <c r="M3261" s="11" t="s">
        <v>15101</v>
      </c>
      <c r="N3261" s="5" t="s">
        <v>15102</v>
      </c>
      <c r="O3261" s="5" t="s">
        <v>14119</v>
      </c>
      <c r="P3261" s="15"/>
      <c r="Q3261" s="15"/>
      <c r="R3261" s="422"/>
      <c r="S3261" s="15"/>
      <c r="T3261" s="15"/>
      <c r="U3261" s="15"/>
      <c r="V3261" s="15"/>
      <c r="W3261" s="15"/>
      <c r="X3261" s="15"/>
      <c r="Y3261" s="15"/>
      <c r="Z3261" s="15"/>
      <c r="AA3261" s="15"/>
    </row>
    <row r="3262">
      <c r="A3262" s="5" t="s">
        <v>15067</v>
      </c>
      <c r="B3262" s="131" t="s">
        <v>15103</v>
      </c>
      <c r="C3262" s="40" t="s">
        <v>15104</v>
      </c>
      <c r="D3262" s="11"/>
      <c r="E3262" s="11" t="s">
        <v>1280</v>
      </c>
      <c r="F3262" s="90">
        <v>5200.0</v>
      </c>
      <c r="G3262" s="321"/>
      <c r="H3262" s="11" t="s">
        <v>12134</v>
      </c>
      <c r="I3262" s="276"/>
      <c r="J3262" s="11" t="s">
        <v>4008</v>
      </c>
      <c r="K3262" s="12"/>
      <c r="L3262" s="12"/>
      <c r="M3262" s="11" t="s">
        <v>8638</v>
      </c>
      <c r="N3262" s="5" t="s">
        <v>15105</v>
      </c>
      <c r="O3262" s="5" t="s">
        <v>108</v>
      </c>
      <c r="P3262" s="15"/>
      <c r="Q3262" s="15"/>
      <c r="R3262" s="422"/>
      <c r="S3262" s="15"/>
      <c r="T3262" s="15"/>
      <c r="U3262" s="15"/>
      <c r="V3262" s="15"/>
      <c r="W3262" s="15"/>
      <c r="X3262" s="15"/>
      <c r="Y3262" s="15"/>
      <c r="Z3262" s="15"/>
      <c r="AA3262" s="15"/>
    </row>
    <row r="3263">
      <c r="A3263" s="5" t="s">
        <v>15067</v>
      </c>
      <c r="B3263" s="131" t="s">
        <v>15106</v>
      </c>
      <c r="C3263" s="40" t="s">
        <v>15107</v>
      </c>
      <c r="D3263" s="11"/>
      <c r="E3263" s="11" t="s">
        <v>10409</v>
      </c>
      <c r="F3263" s="90">
        <v>5000.0</v>
      </c>
      <c r="G3263" s="321"/>
      <c r="H3263" s="11" t="s">
        <v>15108</v>
      </c>
      <c r="I3263" s="276"/>
      <c r="J3263" s="11" t="s">
        <v>25</v>
      </c>
      <c r="K3263" s="12"/>
      <c r="L3263" s="12"/>
      <c r="M3263" s="11" t="s">
        <v>9983</v>
      </c>
      <c r="N3263" s="5" t="s">
        <v>15109</v>
      </c>
      <c r="O3263" s="5" t="s">
        <v>108</v>
      </c>
      <c r="P3263" s="15"/>
      <c r="Q3263" s="15"/>
      <c r="R3263" s="422"/>
      <c r="S3263" s="15"/>
      <c r="T3263" s="15"/>
      <c r="U3263" s="15"/>
      <c r="V3263" s="15"/>
      <c r="W3263" s="15"/>
      <c r="X3263" s="15"/>
      <c r="Y3263" s="15"/>
      <c r="Z3263" s="15"/>
      <c r="AA3263" s="15"/>
    </row>
    <row r="3264">
      <c r="A3264" s="5" t="s">
        <v>15067</v>
      </c>
      <c r="B3264" s="131" t="s">
        <v>15110</v>
      </c>
      <c r="C3264" s="40" t="s">
        <v>15111</v>
      </c>
      <c r="D3264" s="11"/>
      <c r="E3264" s="11" t="s">
        <v>794</v>
      </c>
      <c r="F3264" s="90">
        <v>1000.0</v>
      </c>
      <c r="G3264" s="321"/>
      <c r="H3264" s="11" t="s">
        <v>44</v>
      </c>
      <c r="I3264" s="276"/>
      <c r="J3264" s="11" t="s">
        <v>25</v>
      </c>
      <c r="K3264" s="12"/>
      <c r="L3264" s="12"/>
      <c r="M3264" s="11" t="s">
        <v>7651</v>
      </c>
      <c r="N3264" s="5" t="s">
        <v>15112</v>
      </c>
      <c r="O3264" s="5" t="s">
        <v>26</v>
      </c>
      <c r="P3264" s="15"/>
      <c r="Q3264" s="15"/>
      <c r="R3264" s="422"/>
      <c r="S3264" s="15"/>
      <c r="T3264" s="15"/>
      <c r="U3264" s="15"/>
      <c r="V3264" s="15"/>
      <c r="W3264" s="15"/>
      <c r="X3264" s="15"/>
      <c r="Y3264" s="15"/>
      <c r="Z3264" s="15"/>
      <c r="AA3264" s="15"/>
    </row>
    <row r="3265">
      <c r="A3265" s="5" t="s">
        <v>15067</v>
      </c>
      <c r="B3265" s="131" t="s">
        <v>15113</v>
      </c>
      <c r="C3265" s="40" t="s">
        <v>15114</v>
      </c>
      <c r="D3265" s="11"/>
      <c r="E3265" s="11" t="s">
        <v>15115</v>
      </c>
      <c r="F3265" s="90">
        <v>100.0</v>
      </c>
      <c r="G3265" s="321"/>
      <c r="H3265" s="11" t="s">
        <v>15116</v>
      </c>
      <c r="I3265" s="423"/>
      <c r="J3265" s="14"/>
      <c r="K3265" s="13"/>
      <c r="L3265" s="13"/>
      <c r="M3265" s="14"/>
      <c r="N3265" s="15"/>
      <c r="O3265" s="5" t="s">
        <v>14119</v>
      </c>
      <c r="P3265" s="15"/>
      <c r="Q3265" s="15"/>
      <c r="R3265" s="422"/>
      <c r="S3265" s="15"/>
      <c r="T3265" s="15"/>
      <c r="U3265" s="15"/>
      <c r="V3265" s="15"/>
      <c r="W3265" s="15"/>
      <c r="X3265" s="15"/>
      <c r="Y3265" s="15"/>
      <c r="Z3265" s="15"/>
      <c r="AA3265" s="15"/>
    </row>
    <row r="3266">
      <c r="A3266" s="5" t="s">
        <v>15067</v>
      </c>
      <c r="B3266" s="131" t="s">
        <v>15117</v>
      </c>
      <c r="C3266" s="40" t="s">
        <v>15118</v>
      </c>
      <c r="D3266" s="11"/>
      <c r="E3266" s="11" t="s">
        <v>13475</v>
      </c>
      <c r="F3266" s="90">
        <v>2500.0</v>
      </c>
      <c r="G3266" s="321"/>
      <c r="H3266" s="11" t="s">
        <v>15119</v>
      </c>
      <c r="I3266" s="276"/>
      <c r="J3266" s="11" t="s">
        <v>15120</v>
      </c>
      <c r="K3266" s="12"/>
      <c r="L3266" s="12"/>
      <c r="M3266" s="11" t="s">
        <v>7965</v>
      </c>
      <c r="N3266" s="5" t="s">
        <v>15121</v>
      </c>
      <c r="O3266" s="5" t="s">
        <v>108</v>
      </c>
      <c r="P3266" s="15"/>
      <c r="Q3266" s="15"/>
      <c r="R3266" s="422"/>
      <c r="S3266" s="15"/>
      <c r="T3266" s="15"/>
      <c r="U3266" s="15"/>
      <c r="V3266" s="15"/>
      <c r="W3266" s="15"/>
      <c r="X3266" s="15"/>
      <c r="Y3266" s="15"/>
      <c r="Z3266" s="15"/>
      <c r="AA3266" s="15"/>
    </row>
    <row r="3267">
      <c r="A3267" s="5" t="s">
        <v>15122</v>
      </c>
      <c r="B3267" s="131" t="s">
        <v>15123</v>
      </c>
      <c r="C3267" s="40" t="s">
        <v>15124</v>
      </c>
      <c r="D3267" s="11"/>
      <c r="E3267" s="11" t="s">
        <v>2647</v>
      </c>
      <c r="F3267" s="9">
        <v>100000.0</v>
      </c>
      <c r="G3267" s="321"/>
      <c r="H3267" s="11" t="s">
        <v>13649</v>
      </c>
      <c r="I3267" s="423"/>
      <c r="J3267" s="14"/>
      <c r="K3267" s="13"/>
      <c r="L3267" s="13"/>
      <c r="M3267" s="14"/>
      <c r="N3267" s="15"/>
      <c r="O3267" s="5" t="s">
        <v>108</v>
      </c>
      <c r="P3267" s="15"/>
      <c r="Q3267" s="15"/>
      <c r="R3267" s="422"/>
      <c r="S3267" s="15"/>
      <c r="T3267" s="15"/>
      <c r="U3267" s="15"/>
      <c r="V3267" s="15"/>
      <c r="W3267" s="15"/>
      <c r="X3267" s="15"/>
      <c r="Y3267" s="15"/>
      <c r="Z3267" s="15"/>
      <c r="AA3267" s="15"/>
    </row>
    <row r="3268">
      <c r="A3268" s="427" t="s">
        <v>15122</v>
      </c>
      <c r="B3268" s="131" t="s">
        <v>15125</v>
      </c>
      <c r="C3268" s="40" t="s">
        <v>15126</v>
      </c>
      <c r="D3268" s="11"/>
      <c r="E3268" s="11" t="s">
        <v>116</v>
      </c>
      <c r="F3268" s="90">
        <v>100.0</v>
      </c>
      <c r="G3268" s="321"/>
      <c r="H3268" s="11" t="s">
        <v>15127</v>
      </c>
      <c r="I3268" s="276"/>
      <c r="J3268" s="11" t="s">
        <v>25</v>
      </c>
      <c r="K3268" s="12"/>
      <c r="L3268" s="12"/>
      <c r="M3268" s="11" t="s">
        <v>15128</v>
      </c>
      <c r="N3268" s="5" t="s">
        <v>15129</v>
      </c>
      <c r="O3268" s="5" t="s">
        <v>14119</v>
      </c>
      <c r="P3268" s="15"/>
      <c r="Q3268" s="15"/>
      <c r="R3268" s="422"/>
      <c r="S3268" s="15"/>
      <c r="T3268" s="15"/>
      <c r="U3268" s="15"/>
      <c r="V3268" s="15"/>
      <c r="W3268" s="15"/>
      <c r="X3268" s="15"/>
      <c r="Y3268" s="15"/>
      <c r="Z3268" s="15"/>
      <c r="AA3268" s="15"/>
    </row>
    <row r="3269">
      <c r="A3269" s="5" t="s">
        <v>15122</v>
      </c>
      <c r="B3269" s="131" t="s">
        <v>15130</v>
      </c>
      <c r="C3269" s="40" t="s">
        <v>15131</v>
      </c>
      <c r="D3269" s="11"/>
      <c r="E3269" s="11" t="s">
        <v>1280</v>
      </c>
      <c r="F3269" s="90">
        <v>8000.0</v>
      </c>
      <c r="G3269" s="321"/>
      <c r="H3269" s="11" t="s">
        <v>99</v>
      </c>
      <c r="I3269" s="423"/>
      <c r="J3269" s="14"/>
      <c r="K3269" s="12"/>
      <c r="L3269" s="12"/>
      <c r="M3269" s="11" t="s">
        <v>8638</v>
      </c>
      <c r="N3269" s="5" t="s">
        <v>15132</v>
      </c>
      <c r="O3269" s="5" t="s">
        <v>26</v>
      </c>
      <c r="P3269" s="15"/>
      <c r="Q3269" s="15"/>
      <c r="R3269" s="422"/>
      <c r="S3269" s="15"/>
      <c r="T3269" s="15"/>
      <c r="U3269" s="15"/>
      <c r="V3269" s="15"/>
      <c r="W3269" s="15"/>
      <c r="X3269" s="15"/>
      <c r="Y3269" s="15"/>
      <c r="Z3269" s="15"/>
      <c r="AA3269" s="15"/>
    </row>
    <row r="3270">
      <c r="A3270" s="5" t="s">
        <v>15122</v>
      </c>
      <c r="B3270" s="131" t="s">
        <v>15133</v>
      </c>
      <c r="C3270" s="40" t="s">
        <v>15134</v>
      </c>
      <c r="D3270" s="11"/>
      <c r="E3270" s="11" t="s">
        <v>130</v>
      </c>
      <c r="F3270" s="90">
        <v>1000.0</v>
      </c>
      <c r="G3270" s="321"/>
      <c r="H3270" s="11" t="s">
        <v>44</v>
      </c>
      <c r="I3270" s="276"/>
      <c r="J3270" s="11" t="s">
        <v>25</v>
      </c>
      <c r="K3270" s="12"/>
      <c r="L3270" s="12"/>
      <c r="M3270" s="11" t="s">
        <v>9587</v>
      </c>
      <c r="N3270" s="5" t="s">
        <v>15135</v>
      </c>
      <c r="O3270" s="5" t="s">
        <v>14409</v>
      </c>
      <c r="P3270" s="15"/>
      <c r="Q3270" s="15"/>
      <c r="R3270" s="422"/>
      <c r="S3270" s="15"/>
      <c r="T3270" s="15"/>
      <c r="U3270" s="15"/>
      <c r="V3270" s="15"/>
      <c r="W3270" s="15"/>
      <c r="X3270" s="15"/>
      <c r="Y3270" s="15"/>
      <c r="Z3270" s="15"/>
      <c r="AA3270" s="15"/>
    </row>
    <row r="3271">
      <c r="A3271" s="5" t="s">
        <v>15122</v>
      </c>
      <c r="B3271" s="131" t="s">
        <v>15136</v>
      </c>
      <c r="C3271" s="40" t="s">
        <v>15137</v>
      </c>
      <c r="D3271" s="11"/>
      <c r="E3271" s="11" t="s">
        <v>178</v>
      </c>
      <c r="F3271" s="9">
        <v>15000.0</v>
      </c>
      <c r="G3271" s="321"/>
      <c r="H3271" s="11" t="s">
        <v>15138</v>
      </c>
      <c r="I3271" s="276"/>
      <c r="J3271" s="11" t="s">
        <v>25</v>
      </c>
      <c r="K3271" s="12"/>
      <c r="L3271" s="12"/>
      <c r="M3271" s="11" t="s">
        <v>8860</v>
      </c>
      <c r="N3271" s="5" t="s">
        <v>15139</v>
      </c>
      <c r="O3271" s="5" t="s">
        <v>26</v>
      </c>
      <c r="P3271" s="15"/>
      <c r="Q3271" s="15"/>
      <c r="R3271" s="422"/>
      <c r="S3271" s="15"/>
      <c r="T3271" s="15"/>
      <c r="U3271" s="15"/>
      <c r="V3271" s="15"/>
      <c r="W3271" s="15"/>
      <c r="X3271" s="15"/>
      <c r="Y3271" s="15"/>
      <c r="Z3271" s="15"/>
      <c r="AA3271" s="15"/>
    </row>
    <row r="3272">
      <c r="A3272" s="5" t="s">
        <v>15122</v>
      </c>
      <c r="B3272" s="131" t="s">
        <v>15140</v>
      </c>
      <c r="C3272" s="40" t="s">
        <v>15141</v>
      </c>
      <c r="D3272" s="11"/>
      <c r="E3272" s="11" t="s">
        <v>22</v>
      </c>
      <c r="F3272" s="9">
        <v>15000.0</v>
      </c>
      <c r="G3272" s="321"/>
      <c r="H3272" s="11" t="s">
        <v>44</v>
      </c>
      <c r="I3272" s="276"/>
      <c r="J3272" s="11" t="s">
        <v>4008</v>
      </c>
      <c r="K3272" s="12"/>
      <c r="L3272" s="12"/>
      <c r="M3272" s="11" t="s">
        <v>9983</v>
      </c>
      <c r="N3272" s="5" t="s">
        <v>15142</v>
      </c>
      <c r="O3272" s="5" t="s">
        <v>26</v>
      </c>
      <c r="P3272" s="15"/>
      <c r="Q3272" s="15"/>
      <c r="R3272" s="422"/>
      <c r="S3272" s="15"/>
      <c r="T3272" s="15"/>
      <c r="U3272" s="15"/>
      <c r="V3272" s="15"/>
      <c r="W3272" s="15"/>
      <c r="X3272" s="15"/>
      <c r="Y3272" s="15"/>
      <c r="Z3272" s="15"/>
      <c r="AA3272" s="15"/>
    </row>
    <row r="3273">
      <c r="A3273" s="5" t="s">
        <v>15122</v>
      </c>
      <c r="B3273" s="131" t="s">
        <v>15143</v>
      </c>
      <c r="C3273" s="40" t="s">
        <v>15144</v>
      </c>
      <c r="D3273" s="11"/>
      <c r="E3273" s="11" t="s">
        <v>14285</v>
      </c>
      <c r="F3273" s="90">
        <v>200.0</v>
      </c>
      <c r="G3273" s="321"/>
      <c r="H3273" s="11" t="s">
        <v>15145</v>
      </c>
      <c r="I3273" s="423"/>
      <c r="J3273" s="14"/>
      <c r="K3273" s="12"/>
      <c r="L3273" s="12"/>
      <c r="M3273" s="11" t="s">
        <v>10476</v>
      </c>
      <c r="N3273" s="5" t="s">
        <v>15146</v>
      </c>
      <c r="O3273" s="5" t="s">
        <v>14119</v>
      </c>
      <c r="P3273" s="15"/>
      <c r="Q3273" s="15"/>
      <c r="R3273" s="422"/>
      <c r="S3273" s="15"/>
      <c r="T3273" s="15"/>
      <c r="U3273" s="15"/>
      <c r="V3273" s="15"/>
      <c r="W3273" s="15"/>
      <c r="X3273" s="15"/>
      <c r="Y3273" s="15"/>
      <c r="Z3273" s="15"/>
      <c r="AA3273" s="15"/>
    </row>
    <row r="3274">
      <c r="A3274" s="5" t="s">
        <v>15122</v>
      </c>
      <c r="B3274" s="131" t="s">
        <v>15147</v>
      </c>
      <c r="C3274" s="40" t="s">
        <v>15148</v>
      </c>
      <c r="D3274" s="11"/>
      <c r="E3274" s="11" t="s">
        <v>1285</v>
      </c>
      <c r="F3274" s="90">
        <v>100.0</v>
      </c>
      <c r="G3274" s="321"/>
      <c r="H3274" s="11" t="s">
        <v>7220</v>
      </c>
      <c r="I3274" s="276"/>
      <c r="J3274" s="11" t="s">
        <v>4008</v>
      </c>
      <c r="K3274" s="13"/>
      <c r="L3274" s="13"/>
      <c r="M3274" s="14"/>
      <c r="N3274" s="15"/>
      <c r="O3274" s="5" t="s">
        <v>14119</v>
      </c>
      <c r="P3274" s="15"/>
      <c r="Q3274" s="15"/>
      <c r="R3274" s="422"/>
      <c r="S3274" s="15"/>
      <c r="T3274" s="15"/>
      <c r="U3274" s="15"/>
      <c r="V3274" s="15"/>
      <c r="W3274" s="15"/>
      <c r="X3274" s="15"/>
      <c r="Y3274" s="15"/>
      <c r="Z3274" s="15"/>
      <c r="AA3274" s="15"/>
    </row>
    <row r="3275">
      <c r="A3275" s="5" t="s">
        <v>15122</v>
      </c>
      <c r="B3275" s="131" t="s">
        <v>15149</v>
      </c>
      <c r="C3275" s="40" t="s">
        <v>11482</v>
      </c>
      <c r="D3275" s="11"/>
      <c r="E3275" s="11" t="s">
        <v>5502</v>
      </c>
      <c r="F3275" s="9">
        <v>400000.0</v>
      </c>
      <c r="G3275" s="321"/>
      <c r="H3275" s="11" t="s">
        <v>107</v>
      </c>
      <c r="I3275" s="423"/>
      <c r="J3275" s="14"/>
      <c r="K3275" s="12"/>
      <c r="L3275" s="12"/>
      <c r="M3275" s="11" t="s">
        <v>15150</v>
      </c>
      <c r="N3275" s="5" t="s">
        <v>15151</v>
      </c>
      <c r="O3275" s="5" t="s">
        <v>108</v>
      </c>
      <c r="P3275" s="15"/>
      <c r="Q3275" s="15"/>
      <c r="R3275" s="422"/>
      <c r="S3275" s="15"/>
      <c r="T3275" s="15"/>
      <c r="U3275" s="15"/>
      <c r="V3275" s="15"/>
      <c r="W3275" s="15"/>
      <c r="X3275" s="15"/>
      <c r="Y3275" s="15"/>
      <c r="Z3275" s="15"/>
      <c r="AA3275" s="15"/>
    </row>
    <row r="3276">
      <c r="A3276" s="5" t="s">
        <v>15152</v>
      </c>
      <c r="B3276" s="131" t="s">
        <v>15153</v>
      </c>
      <c r="C3276" s="40" t="s">
        <v>15154</v>
      </c>
      <c r="D3276" s="11"/>
      <c r="E3276" s="11" t="s">
        <v>15155</v>
      </c>
      <c r="F3276" s="90">
        <v>250.0</v>
      </c>
      <c r="G3276" s="321"/>
      <c r="H3276" s="11" t="s">
        <v>184</v>
      </c>
      <c r="I3276" s="423"/>
      <c r="J3276" s="14"/>
      <c r="K3276" s="13"/>
      <c r="L3276" s="13"/>
      <c r="M3276" s="14"/>
      <c r="N3276" s="15"/>
      <c r="O3276" s="5" t="s">
        <v>14119</v>
      </c>
      <c r="P3276" s="15"/>
      <c r="Q3276" s="15"/>
      <c r="R3276" s="422"/>
      <c r="S3276" s="15"/>
      <c r="T3276" s="15"/>
      <c r="U3276" s="15"/>
      <c r="V3276" s="15"/>
      <c r="W3276" s="15"/>
      <c r="X3276" s="15"/>
      <c r="Y3276" s="15"/>
      <c r="Z3276" s="15"/>
      <c r="AA3276" s="15"/>
    </row>
    <row r="3277">
      <c r="A3277" s="352" t="s">
        <v>15152</v>
      </c>
      <c r="B3277" s="131" t="s">
        <v>15156</v>
      </c>
      <c r="C3277" s="40" t="s">
        <v>15157</v>
      </c>
      <c r="D3277" s="11"/>
      <c r="E3277" s="11" t="s">
        <v>8174</v>
      </c>
      <c r="F3277" s="90">
        <v>2000.0</v>
      </c>
      <c r="G3277" s="321"/>
      <c r="H3277" s="11" t="s">
        <v>44</v>
      </c>
      <c r="I3277" s="423"/>
      <c r="J3277" s="14"/>
      <c r="K3277" s="12"/>
      <c r="L3277" s="12"/>
      <c r="M3277" s="11" t="s">
        <v>9879</v>
      </c>
      <c r="N3277" s="5" t="s">
        <v>15158</v>
      </c>
      <c r="O3277" s="5" t="s">
        <v>26</v>
      </c>
      <c r="P3277" s="15"/>
      <c r="Q3277" s="15"/>
      <c r="R3277" s="422"/>
      <c r="S3277" s="15"/>
      <c r="T3277" s="15"/>
      <c r="U3277" s="15"/>
      <c r="V3277" s="15"/>
      <c r="W3277" s="15"/>
      <c r="X3277" s="15"/>
      <c r="Y3277" s="15"/>
      <c r="Z3277" s="15"/>
      <c r="AA3277" s="15"/>
    </row>
    <row r="3278">
      <c r="A3278" s="5" t="s">
        <v>15152</v>
      </c>
      <c r="B3278" s="131" t="s">
        <v>15159</v>
      </c>
      <c r="C3278" s="40" t="s">
        <v>15160</v>
      </c>
      <c r="D3278" s="11"/>
      <c r="E3278" s="11" t="s">
        <v>47</v>
      </c>
      <c r="F3278" s="90">
        <v>1000.0</v>
      </c>
      <c r="G3278" s="321"/>
      <c r="H3278" s="11" t="s">
        <v>15161</v>
      </c>
      <c r="I3278" s="423"/>
      <c r="J3278" s="14"/>
      <c r="K3278" s="12"/>
      <c r="L3278" s="12"/>
      <c r="M3278" s="11" t="s">
        <v>8638</v>
      </c>
      <c r="N3278" s="5" t="s">
        <v>15162</v>
      </c>
      <c r="O3278" s="5" t="s">
        <v>26</v>
      </c>
      <c r="P3278" s="15"/>
      <c r="Q3278" s="15"/>
      <c r="R3278" s="422"/>
      <c r="S3278" s="15"/>
      <c r="T3278" s="15"/>
      <c r="U3278" s="15"/>
      <c r="V3278" s="15"/>
      <c r="W3278" s="15"/>
      <c r="X3278" s="15"/>
      <c r="Y3278" s="15"/>
      <c r="Z3278" s="15"/>
      <c r="AA3278" s="15"/>
    </row>
    <row r="3279">
      <c r="A3279" s="5" t="s">
        <v>15152</v>
      </c>
      <c r="B3279" s="131" t="s">
        <v>15163</v>
      </c>
      <c r="C3279" s="40" t="s">
        <v>15164</v>
      </c>
      <c r="D3279" s="11"/>
      <c r="E3279" s="11" t="s">
        <v>5203</v>
      </c>
      <c r="F3279" s="90">
        <v>1000.0</v>
      </c>
      <c r="G3279" s="321"/>
      <c r="H3279" s="11" t="s">
        <v>15165</v>
      </c>
      <c r="I3279" s="276"/>
      <c r="J3279" s="11" t="s">
        <v>25</v>
      </c>
      <c r="K3279" s="12"/>
      <c r="L3279" s="12"/>
      <c r="M3279" s="11" t="s">
        <v>7904</v>
      </c>
      <c r="N3279" s="5" t="s">
        <v>15166</v>
      </c>
      <c r="O3279" s="5" t="s">
        <v>26</v>
      </c>
      <c r="P3279" s="15"/>
      <c r="Q3279" s="15"/>
      <c r="R3279" s="422"/>
      <c r="S3279" s="15"/>
      <c r="T3279" s="15"/>
      <c r="U3279" s="15"/>
      <c r="V3279" s="15"/>
      <c r="W3279" s="15"/>
      <c r="X3279" s="15"/>
      <c r="Y3279" s="15"/>
      <c r="Z3279" s="15"/>
      <c r="AA3279" s="15"/>
    </row>
    <row r="3280">
      <c r="A3280" s="5" t="s">
        <v>15152</v>
      </c>
      <c r="B3280" s="131" t="s">
        <v>15167</v>
      </c>
      <c r="C3280" s="40" t="s">
        <v>15168</v>
      </c>
      <c r="D3280" s="11"/>
      <c r="E3280" s="11" t="s">
        <v>3615</v>
      </c>
      <c r="F3280" s="90">
        <v>1000.0</v>
      </c>
      <c r="G3280" s="321"/>
      <c r="H3280" s="11" t="s">
        <v>15169</v>
      </c>
      <c r="I3280" s="276"/>
      <c r="J3280" s="11" t="s">
        <v>4008</v>
      </c>
      <c r="K3280" s="13"/>
      <c r="L3280" s="13"/>
      <c r="M3280" s="14"/>
      <c r="N3280" s="15"/>
      <c r="O3280" s="5" t="s">
        <v>108</v>
      </c>
      <c r="P3280" s="15"/>
      <c r="Q3280" s="15"/>
      <c r="R3280" s="422"/>
      <c r="S3280" s="15"/>
      <c r="T3280" s="15"/>
      <c r="U3280" s="15"/>
      <c r="V3280" s="15"/>
      <c r="W3280" s="15"/>
      <c r="X3280" s="15"/>
      <c r="Y3280" s="15"/>
      <c r="Z3280" s="15"/>
      <c r="AA3280" s="15"/>
    </row>
    <row r="3281">
      <c r="A3281" s="5" t="s">
        <v>15152</v>
      </c>
      <c r="B3281" s="131" t="s">
        <v>15170</v>
      </c>
      <c r="C3281" s="40" t="s">
        <v>15171</v>
      </c>
      <c r="D3281" s="11"/>
      <c r="E3281" s="11" t="s">
        <v>5102</v>
      </c>
      <c r="F3281" s="90">
        <v>2000.0</v>
      </c>
      <c r="G3281" s="321"/>
      <c r="H3281" s="11" t="s">
        <v>15172</v>
      </c>
      <c r="I3281" s="423"/>
      <c r="J3281" s="14"/>
      <c r="K3281" s="13"/>
      <c r="L3281" s="13"/>
      <c r="M3281" s="14"/>
      <c r="N3281" s="15"/>
      <c r="O3281" s="5" t="s">
        <v>26</v>
      </c>
      <c r="P3281" s="15"/>
      <c r="Q3281" s="15"/>
      <c r="R3281" s="422"/>
      <c r="S3281" s="15"/>
      <c r="T3281" s="15"/>
      <c r="U3281" s="15"/>
      <c r="V3281" s="15"/>
      <c r="W3281" s="15"/>
      <c r="X3281" s="15"/>
      <c r="Y3281" s="15"/>
      <c r="Z3281" s="15"/>
      <c r="AA3281" s="15"/>
    </row>
    <row r="3282">
      <c r="A3282" s="5" t="s">
        <v>15152</v>
      </c>
      <c r="B3282" s="131" t="s">
        <v>15173</v>
      </c>
      <c r="C3282" s="40" t="s">
        <v>15174</v>
      </c>
      <c r="D3282" s="11"/>
      <c r="E3282" s="11" t="s">
        <v>523</v>
      </c>
      <c r="F3282" s="9">
        <v>42000.0</v>
      </c>
      <c r="G3282" s="321"/>
      <c r="H3282" s="11" t="s">
        <v>44</v>
      </c>
      <c r="I3282" s="276"/>
      <c r="J3282" s="11" t="s">
        <v>25</v>
      </c>
      <c r="K3282" s="12"/>
      <c r="L3282" s="12"/>
      <c r="M3282" s="11" t="s">
        <v>9901</v>
      </c>
      <c r="N3282" s="5" t="s">
        <v>15175</v>
      </c>
      <c r="O3282" s="5" t="s">
        <v>26</v>
      </c>
      <c r="P3282" s="15"/>
      <c r="Q3282" s="15"/>
      <c r="R3282" s="422"/>
      <c r="S3282" s="15"/>
      <c r="T3282" s="15"/>
      <c r="U3282" s="15"/>
      <c r="V3282" s="15"/>
      <c r="W3282" s="15"/>
      <c r="X3282" s="15"/>
      <c r="Y3282" s="15"/>
      <c r="Z3282" s="15"/>
      <c r="AA3282" s="15"/>
    </row>
    <row r="3283">
      <c r="A3283" s="5" t="s">
        <v>15176</v>
      </c>
      <c r="B3283" s="131" t="s">
        <v>15177</v>
      </c>
      <c r="C3283" s="40" t="s">
        <v>15178</v>
      </c>
      <c r="D3283" s="11"/>
      <c r="E3283" s="11" t="s">
        <v>894</v>
      </c>
      <c r="F3283" s="90">
        <v>2250.0</v>
      </c>
      <c r="G3283" s="321"/>
      <c r="H3283" s="11" t="s">
        <v>13213</v>
      </c>
      <c r="I3283" s="276"/>
      <c r="J3283" s="11" t="s">
        <v>4008</v>
      </c>
      <c r="K3283" s="12"/>
      <c r="L3283" s="12"/>
      <c r="M3283" s="11" t="s">
        <v>15179</v>
      </c>
      <c r="N3283" s="5" t="s">
        <v>15180</v>
      </c>
      <c r="O3283" s="5" t="s">
        <v>108</v>
      </c>
      <c r="P3283" s="15"/>
      <c r="Q3283" s="15"/>
      <c r="R3283" s="422"/>
      <c r="S3283" s="15"/>
      <c r="T3283" s="15"/>
      <c r="U3283" s="15"/>
      <c r="V3283" s="15"/>
      <c r="W3283" s="15"/>
      <c r="X3283" s="15"/>
      <c r="Y3283" s="15"/>
      <c r="Z3283" s="15"/>
      <c r="AA3283" s="15"/>
    </row>
    <row r="3284">
      <c r="A3284" s="5" t="s">
        <v>15176</v>
      </c>
      <c r="B3284" s="131" t="s">
        <v>15181</v>
      </c>
      <c r="C3284" s="40" t="s">
        <v>15182</v>
      </c>
      <c r="D3284" s="11"/>
      <c r="E3284" s="11" t="s">
        <v>207</v>
      </c>
      <c r="F3284" s="90">
        <v>5000.0</v>
      </c>
      <c r="G3284" s="321"/>
      <c r="H3284" s="11" t="s">
        <v>12134</v>
      </c>
      <c r="I3284" s="276"/>
      <c r="J3284" s="11" t="s">
        <v>25</v>
      </c>
      <c r="K3284" s="13"/>
      <c r="L3284" s="13"/>
      <c r="M3284" s="14"/>
      <c r="N3284" s="15"/>
      <c r="O3284" s="5" t="s">
        <v>108</v>
      </c>
      <c r="P3284" s="15"/>
      <c r="Q3284" s="15"/>
      <c r="R3284" s="422"/>
      <c r="S3284" s="15"/>
      <c r="T3284" s="15"/>
      <c r="U3284" s="15"/>
      <c r="V3284" s="15"/>
      <c r="W3284" s="15"/>
      <c r="X3284" s="15"/>
      <c r="Y3284" s="15"/>
      <c r="Z3284" s="15"/>
      <c r="AA3284" s="15"/>
    </row>
    <row r="3285">
      <c r="A3285" s="5" t="s">
        <v>15176</v>
      </c>
      <c r="B3285" s="131" t="s">
        <v>15183</v>
      </c>
      <c r="C3285" s="40" t="s">
        <v>15184</v>
      </c>
      <c r="D3285" s="11"/>
      <c r="E3285" s="11" t="s">
        <v>8174</v>
      </c>
      <c r="F3285" s="90">
        <v>1000.0</v>
      </c>
      <c r="G3285" s="321"/>
      <c r="H3285" s="11" t="s">
        <v>44</v>
      </c>
      <c r="I3285" s="276"/>
      <c r="J3285" s="11" t="s">
        <v>25</v>
      </c>
      <c r="K3285" s="12"/>
      <c r="L3285" s="12"/>
      <c r="M3285" s="11" t="s">
        <v>9719</v>
      </c>
      <c r="N3285" s="5" t="s">
        <v>15185</v>
      </c>
      <c r="O3285" s="5" t="s">
        <v>26</v>
      </c>
      <c r="P3285" s="15"/>
      <c r="Q3285" s="15"/>
      <c r="R3285" s="422"/>
      <c r="S3285" s="15"/>
      <c r="T3285" s="15"/>
      <c r="U3285" s="15"/>
      <c r="V3285" s="15"/>
      <c r="W3285" s="15"/>
      <c r="X3285" s="15"/>
      <c r="Y3285" s="15"/>
      <c r="Z3285" s="15"/>
      <c r="AA3285" s="15"/>
    </row>
    <row r="3286">
      <c r="A3286" s="352" t="s">
        <v>15176</v>
      </c>
      <c r="B3286" s="131" t="s">
        <v>15186</v>
      </c>
      <c r="C3286" s="40" t="s">
        <v>15187</v>
      </c>
      <c r="D3286" s="11"/>
      <c r="E3286" s="11" t="s">
        <v>9283</v>
      </c>
      <c r="F3286" s="90">
        <v>500.0</v>
      </c>
      <c r="G3286" s="321"/>
      <c r="H3286" s="11" t="s">
        <v>44</v>
      </c>
      <c r="I3286" s="423"/>
      <c r="J3286" s="14"/>
      <c r="K3286" s="12"/>
      <c r="L3286" s="12"/>
      <c r="M3286" s="11" t="s">
        <v>9776</v>
      </c>
      <c r="N3286" s="5" t="s">
        <v>15188</v>
      </c>
      <c r="O3286" s="5" t="s">
        <v>14119</v>
      </c>
      <c r="P3286" s="15"/>
      <c r="Q3286" s="15"/>
      <c r="R3286" s="422"/>
      <c r="S3286" s="15"/>
      <c r="T3286" s="15"/>
      <c r="U3286" s="15"/>
      <c r="V3286" s="15"/>
      <c r="W3286" s="15"/>
      <c r="X3286" s="15"/>
      <c r="Y3286" s="15"/>
      <c r="Z3286" s="15"/>
      <c r="AA3286" s="15"/>
    </row>
    <row r="3287">
      <c r="A3287" s="5" t="s">
        <v>15176</v>
      </c>
      <c r="B3287" s="131" t="s">
        <v>15189</v>
      </c>
      <c r="C3287" s="40" t="s">
        <v>15190</v>
      </c>
      <c r="D3287" s="11"/>
      <c r="E3287" s="11" t="s">
        <v>152</v>
      </c>
      <c r="F3287" s="9">
        <v>25000.0</v>
      </c>
      <c r="G3287" s="321"/>
      <c r="H3287" s="11" t="s">
        <v>985</v>
      </c>
      <c r="I3287" s="276"/>
      <c r="J3287" s="11" t="s">
        <v>25</v>
      </c>
      <c r="K3287" s="12"/>
      <c r="L3287" s="12"/>
      <c r="M3287" s="11" t="s">
        <v>9983</v>
      </c>
      <c r="N3287" s="5" t="s">
        <v>15191</v>
      </c>
      <c r="O3287" s="5" t="s">
        <v>14409</v>
      </c>
      <c r="P3287" s="15"/>
      <c r="Q3287" s="15"/>
      <c r="R3287" s="422"/>
      <c r="S3287" s="15"/>
      <c r="T3287" s="15"/>
      <c r="U3287" s="15"/>
      <c r="V3287" s="15"/>
      <c r="W3287" s="15"/>
      <c r="X3287" s="15"/>
      <c r="Y3287" s="15"/>
      <c r="Z3287" s="15"/>
      <c r="AA3287" s="15"/>
    </row>
    <row r="3288">
      <c r="A3288" s="5" t="s">
        <v>15176</v>
      </c>
      <c r="B3288" s="131" t="s">
        <v>15192</v>
      </c>
      <c r="C3288" s="40" t="s">
        <v>15193</v>
      </c>
      <c r="D3288" s="11"/>
      <c r="E3288" s="11" t="s">
        <v>207</v>
      </c>
      <c r="F3288" s="9">
        <v>25000.0</v>
      </c>
      <c r="G3288" s="321"/>
      <c r="H3288" s="11" t="s">
        <v>44</v>
      </c>
      <c r="I3288" s="276"/>
      <c r="J3288" s="11" t="s">
        <v>25</v>
      </c>
      <c r="K3288" s="12"/>
      <c r="L3288" s="12"/>
      <c r="M3288" s="11" t="s">
        <v>9445</v>
      </c>
      <c r="N3288" s="5" t="s">
        <v>15194</v>
      </c>
      <c r="O3288" s="5" t="s">
        <v>26</v>
      </c>
      <c r="P3288" s="15"/>
      <c r="Q3288" s="15"/>
      <c r="R3288" s="422"/>
      <c r="S3288" s="15"/>
      <c r="T3288" s="15"/>
      <c r="U3288" s="15"/>
      <c r="V3288" s="15"/>
      <c r="W3288" s="15"/>
      <c r="X3288" s="15"/>
      <c r="Y3288" s="15"/>
      <c r="Z3288" s="15"/>
      <c r="AA3288" s="15"/>
    </row>
    <row r="3289">
      <c r="A3289" s="5" t="s">
        <v>15176</v>
      </c>
      <c r="B3289" s="131" t="s">
        <v>15195</v>
      </c>
      <c r="C3289" s="40" t="s">
        <v>15196</v>
      </c>
      <c r="D3289" s="11"/>
      <c r="E3289" s="11" t="s">
        <v>10689</v>
      </c>
      <c r="F3289" s="9">
        <v>10000.0</v>
      </c>
      <c r="G3289" s="321"/>
      <c r="H3289" s="11" t="s">
        <v>930</v>
      </c>
      <c r="I3289" s="276"/>
      <c r="J3289" s="11" t="s">
        <v>25</v>
      </c>
      <c r="K3289" s="13"/>
      <c r="L3289" s="13"/>
      <c r="M3289" s="14"/>
      <c r="N3289" s="15"/>
      <c r="O3289" s="5" t="s">
        <v>108</v>
      </c>
      <c r="P3289" s="15"/>
      <c r="Q3289" s="15"/>
      <c r="R3289" s="422"/>
      <c r="S3289" s="15"/>
      <c r="T3289" s="15"/>
      <c r="U3289" s="15"/>
      <c r="V3289" s="15"/>
      <c r="W3289" s="15"/>
      <c r="X3289" s="15"/>
      <c r="Y3289" s="15"/>
      <c r="Z3289" s="15"/>
      <c r="AA3289" s="15"/>
    </row>
    <row r="3290">
      <c r="A3290" s="5" t="s">
        <v>15176</v>
      </c>
      <c r="B3290" s="131" t="s">
        <v>15197</v>
      </c>
      <c r="C3290" s="40" t="s">
        <v>15198</v>
      </c>
      <c r="D3290" s="11"/>
      <c r="E3290" s="11" t="s">
        <v>5502</v>
      </c>
      <c r="F3290" s="90" t="s">
        <v>15199</v>
      </c>
      <c r="G3290" s="321"/>
      <c r="H3290" s="11" t="s">
        <v>15200</v>
      </c>
      <c r="I3290" s="276"/>
      <c r="J3290" s="11" t="s">
        <v>25</v>
      </c>
      <c r="K3290" s="12"/>
      <c r="L3290" s="12"/>
      <c r="M3290" s="11" t="s">
        <v>14087</v>
      </c>
      <c r="N3290" s="5" t="s">
        <v>15201</v>
      </c>
      <c r="O3290" s="5" t="s">
        <v>108</v>
      </c>
      <c r="P3290" s="15"/>
      <c r="Q3290" s="15"/>
      <c r="R3290" s="422"/>
      <c r="S3290" s="15"/>
      <c r="T3290" s="15"/>
      <c r="U3290" s="15"/>
      <c r="V3290" s="15"/>
      <c r="W3290" s="15"/>
      <c r="X3290" s="15"/>
      <c r="Y3290" s="15"/>
      <c r="Z3290" s="15"/>
      <c r="AA3290" s="15"/>
    </row>
    <row r="3291">
      <c r="A3291" s="5" t="s">
        <v>15176</v>
      </c>
      <c r="B3291" s="131" t="s">
        <v>15202</v>
      </c>
      <c r="C3291" s="40" t="s">
        <v>15203</v>
      </c>
      <c r="D3291" s="11"/>
      <c r="E3291" s="11" t="s">
        <v>4507</v>
      </c>
      <c r="F3291" s="90">
        <v>300.0</v>
      </c>
      <c r="G3291" s="321"/>
      <c r="H3291" s="11" t="s">
        <v>15204</v>
      </c>
      <c r="I3291" s="423"/>
      <c r="J3291" s="14"/>
      <c r="K3291" s="13"/>
      <c r="L3291" s="13"/>
      <c r="M3291" s="14"/>
      <c r="N3291" s="15"/>
      <c r="O3291" s="5" t="s">
        <v>14119</v>
      </c>
      <c r="P3291" s="15"/>
      <c r="Q3291" s="15"/>
      <c r="R3291" s="422"/>
      <c r="S3291" s="15"/>
      <c r="T3291" s="15"/>
      <c r="U3291" s="15"/>
      <c r="V3291" s="15"/>
      <c r="W3291" s="15"/>
      <c r="X3291" s="15"/>
      <c r="Y3291" s="15"/>
      <c r="Z3291" s="15"/>
      <c r="AA3291" s="15"/>
    </row>
    <row r="3292">
      <c r="A3292" s="5" t="s">
        <v>15176</v>
      </c>
      <c r="B3292" s="131" t="s">
        <v>15205</v>
      </c>
      <c r="C3292" s="40" t="s">
        <v>15206</v>
      </c>
      <c r="D3292" s="11"/>
      <c r="E3292" s="11" t="s">
        <v>15207</v>
      </c>
      <c r="F3292" s="9">
        <v>20000.0</v>
      </c>
      <c r="G3292" s="321"/>
      <c r="H3292" s="11" t="s">
        <v>906</v>
      </c>
      <c r="I3292" s="276"/>
      <c r="J3292" s="11" t="s">
        <v>4008</v>
      </c>
      <c r="K3292" s="13"/>
      <c r="L3292" s="13"/>
      <c r="M3292" s="14"/>
      <c r="N3292" s="15"/>
      <c r="O3292" s="5" t="s">
        <v>1030</v>
      </c>
      <c r="P3292" s="15"/>
      <c r="Q3292" s="15"/>
      <c r="R3292" s="422"/>
      <c r="S3292" s="15"/>
      <c r="T3292" s="15"/>
      <c r="U3292" s="15"/>
      <c r="V3292" s="15"/>
      <c r="W3292" s="15"/>
      <c r="X3292" s="15"/>
      <c r="Y3292" s="15"/>
      <c r="Z3292" s="15"/>
      <c r="AA3292" s="15"/>
    </row>
    <row r="3293">
      <c r="A3293" s="5" t="s">
        <v>15176</v>
      </c>
      <c r="B3293" s="131" t="s">
        <v>15208</v>
      </c>
      <c r="C3293" s="40" t="s">
        <v>15209</v>
      </c>
      <c r="D3293" s="11"/>
      <c r="E3293" s="11" t="s">
        <v>15210</v>
      </c>
      <c r="F3293" s="90" t="s">
        <v>15211</v>
      </c>
      <c r="G3293" s="321"/>
      <c r="H3293" s="11" t="s">
        <v>218</v>
      </c>
      <c r="I3293" s="423"/>
      <c r="J3293" s="14"/>
      <c r="K3293" s="12"/>
      <c r="L3293" s="12"/>
      <c r="M3293" s="11" t="s">
        <v>15212</v>
      </c>
      <c r="N3293" s="5" t="s">
        <v>15213</v>
      </c>
      <c r="O3293" s="5" t="s">
        <v>14119</v>
      </c>
      <c r="P3293" s="15"/>
      <c r="Q3293" s="15"/>
      <c r="R3293" s="422"/>
      <c r="S3293" s="15"/>
      <c r="T3293" s="15"/>
      <c r="U3293" s="15"/>
      <c r="V3293" s="15"/>
      <c r="W3293" s="15"/>
      <c r="X3293" s="15"/>
      <c r="Y3293" s="15"/>
      <c r="Z3293" s="15"/>
      <c r="AA3293" s="15"/>
    </row>
    <row r="3294">
      <c r="A3294" s="5" t="s">
        <v>15176</v>
      </c>
      <c r="B3294" s="131" t="s">
        <v>15214</v>
      </c>
      <c r="C3294" s="40" t="s">
        <v>15215</v>
      </c>
      <c r="D3294" s="11"/>
      <c r="E3294" s="11" t="s">
        <v>9283</v>
      </c>
      <c r="F3294" s="90">
        <v>1000.0</v>
      </c>
      <c r="G3294" s="321"/>
      <c r="H3294" s="11" t="s">
        <v>15216</v>
      </c>
      <c r="I3294" s="276"/>
      <c r="J3294" s="11" t="s">
        <v>4008</v>
      </c>
      <c r="K3294" s="13"/>
      <c r="L3294" s="13"/>
      <c r="M3294" s="14"/>
      <c r="N3294" s="15"/>
      <c r="O3294" s="5" t="s">
        <v>26</v>
      </c>
      <c r="P3294" s="15"/>
      <c r="Q3294" s="15"/>
      <c r="R3294" s="422"/>
      <c r="S3294" s="15"/>
      <c r="T3294" s="15"/>
      <c r="U3294" s="15"/>
      <c r="V3294" s="15"/>
      <c r="W3294" s="15"/>
      <c r="X3294" s="15"/>
      <c r="Y3294" s="15"/>
      <c r="Z3294" s="15"/>
      <c r="AA3294" s="15"/>
    </row>
    <row r="3295">
      <c r="A3295" s="5" t="s">
        <v>15176</v>
      </c>
      <c r="B3295" s="131" t="s">
        <v>15217</v>
      </c>
      <c r="C3295" s="40" t="s">
        <v>15218</v>
      </c>
      <c r="D3295" s="11"/>
      <c r="E3295" s="11" t="s">
        <v>15219</v>
      </c>
      <c r="F3295" s="90">
        <v>200.0</v>
      </c>
      <c r="G3295" s="321"/>
      <c r="H3295" s="11" t="s">
        <v>8781</v>
      </c>
      <c r="I3295" s="276"/>
      <c r="J3295" s="11" t="s">
        <v>4008</v>
      </c>
      <c r="K3295" s="13"/>
      <c r="L3295" s="13"/>
      <c r="M3295" s="14"/>
      <c r="N3295" s="15"/>
      <c r="O3295" s="5" t="s">
        <v>14119</v>
      </c>
      <c r="P3295" s="15"/>
      <c r="Q3295" s="15"/>
      <c r="R3295" s="422"/>
      <c r="S3295" s="15"/>
      <c r="T3295" s="15"/>
      <c r="U3295" s="15"/>
      <c r="V3295" s="15"/>
      <c r="W3295" s="15"/>
      <c r="X3295" s="15"/>
      <c r="Y3295" s="15"/>
      <c r="Z3295" s="15"/>
      <c r="AA3295" s="15"/>
    </row>
    <row r="3296">
      <c r="A3296" s="5" t="s">
        <v>15176</v>
      </c>
      <c r="B3296" s="131" t="s">
        <v>15220</v>
      </c>
      <c r="C3296" s="40" t="s">
        <v>15221</v>
      </c>
      <c r="D3296" s="11"/>
      <c r="E3296" s="11" t="s">
        <v>960</v>
      </c>
      <c r="F3296" s="9">
        <v>20000.0</v>
      </c>
      <c r="G3296" s="321"/>
      <c r="H3296" s="11" t="s">
        <v>14274</v>
      </c>
      <c r="I3296" s="276"/>
      <c r="J3296" s="11" t="s">
        <v>25</v>
      </c>
      <c r="K3296" s="13"/>
      <c r="L3296" s="13"/>
      <c r="M3296" s="14"/>
      <c r="N3296" s="15"/>
      <c r="O3296" s="5" t="s">
        <v>26</v>
      </c>
      <c r="P3296" s="15"/>
      <c r="Q3296" s="15"/>
      <c r="R3296" s="422"/>
      <c r="S3296" s="15"/>
      <c r="T3296" s="15"/>
      <c r="U3296" s="15"/>
      <c r="V3296" s="15"/>
      <c r="W3296" s="15"/>
      <c r="X3296" s="15"/>
      <c r="Y3296" s="15"/>
      <c r="Z3296" s="15"/>
      <c r="AA3296" s="15"/>
    </row>
    <row r="3297">
      <c r="A3297" s="5" t="s">
        <v>15176</v>
      </c>
      <c r="B3297" s="131" t="s">
        <v>15222</v>
      </c>
      <c r="C3297" s="40" t="s">
        <v>15223</v>
      </c>
      <c r="D3297" s="11"/>
      <c r="E3297" s="11" t="s">
        <v>4884</v>
      </c>
      <c r="F3297" s="9">
        <v>45000.0</v>
      </c>
      <c r="G3297" s="321"/>
      <c r="H3297" s="11" t="s">
        <v>906</v>
      </c>
      <c r="I3297" s="423"/>
      <c r="J3297" s="14"/>
      <c r="K3297" s="13"/>
      <c r="L3297" s="13"/>
      <c r="M3297" s="14"/>
      <c r="N3297" s="15"/>
      <c r="O3297" s="5" t="s">
        <v>108</v>
      </c>
      <c r="P3297" s="15"/>
      <c r="Q3297" s="15"/>
      <c r="R3297" s="422"/>
      <c r="S3297" s="15"/>
      <c r="T3297" s="15"/>
      <c r="U3297" s="15"/>
      <c r="V3297" s="15"/>
      <c r="W3297" s="15"/>
      <c r="X3297" s="15"/>
      <c r="Y3297" s="15"/>
      <c r="Z3297" s="15"/>
      <c r="AA3297" s="15"/>
    </row>
    <row r="3298">
      <c r="A3298" s="5" t="s">
        <v>15176</v>
      </c>
      <c r="B3298" s="131" t="s">
        <v>15224</v>
      </c>
      <c r="C3298" s="11" t="s">
        <v>15225</v>
      </c>
      <c r="D3298" s="40"/>
      <c r="E3298" s="40" t="s">
        <v>15226</v>
      </c>
      <c r="F3298" s="90" t="s">
        <v>15227</v>
      </c>
      <c r="G3298" s="321"/>
      <c r="H3298" s="11" t="s">
        <v>13247</v>
      </c>
      <c r="I3298" s="276"/>
      <c r="J3298" s="11" t="s">
        <v>25</v>
      </c>
      <c r="K3298" s="12"/>
      <c r="L3298" s="12"/>
      <c r="M3298" s="11" t="s">
        <v>11016</v>
      </c>
      <c r="N3298" s="5" t="s">
        <v>15228</v>
      </c>
      <c r="O3298" s="5" t="s">
        <v>108</v>
      </c>
      <c r="P3298" s="15"/>
      <c r="Q3298" s="15"/>
      <c r="R3298" s="422"/>
      <c r="S3298" s="15"/>
      <c r="T3298" s="15"/>
      <c r="U3298" s="15"/>
      <c r="V3298" s="15"/>
      <c r="W3298" s="15"/>
      <c r="X3298" s="15"/>
      <c r="Y3298" s="15"/>
      <c r="Z3298" s="15"/>
      <c r="AA3298" s="15"/>
    </row>
    <row r="3299">
      <c r="A3299" s="5" t="s">
        <v>15229</v>
      </c>
      <c r="B3299" s="131" t="s">
        <v>15230</v>
      </c>
      <c r="C3299" s="40" t="s">
        <v>15231</v>
      </c>
      <c r="D3299" s="11"/>
      <c r="E3299" s="11" t="s">
        <v>444</v>
      </c>
      <c r="F3299" s="90">
        <v>200.0</v>
      </c>
      <c r="G3299" s="321"/>
      <c r="H3299" s="11" t="s">
        <v>44</v>
      </c>
      <c r="I3299" s="276"/>
      <c r="J3299" s="11" t="s">
        <v>25</v>
      </c>
      <c r="K3299" s="12"/>
      <c r="L3299" s="12"/>
      <c r="M3299" s="11" t="s">
        <v>9983</v>
      </c>
      <c r="N3299" s="5" t="s">
        <v>15232</v>
      </c>
      <c r="O3299" s="5" t="s">
        <v>14119</v>
      </c>
      <c r="P3299" s="15"/>
      <c r="Q3299" s="15"/>
      <c r="R3299" s="422"/>
      <c r="S3299" s="15"/>
      <c r="T3299" s="15"/>
      <c r="U3299" s="15"/>
      <c r="V3299" s="15"/>
      <c r="W3299" s="15"/>
      <c r="X3299" s="15"/>
      <c r="Y3299" s="15"/>
      <c r="Z3299" s="15"/>
      <c r="AA3299" s="15"/>
    </row>
    <row r="3300">
      <c r="A3300" s="5" t="s">
        <v>15229</v>
      </c>
      <c r="B3300" s="131" t="s">
        <v>15233</v>
      </c>
      <c r="C3300" s="40" t="s">
        <v>15234</v>
      </c>
      <c r="D3300" s="11"/>
      <c r="E3300" s="11" t="s">
        <v>11808</v>
      </c>
      <c r="F3300" s="90">
        <v>100.0</v>
      </c>
      <c r="G3300" s="321"/>
      <c r="H3300" s="11" t="s">
        <v>1029</v>
      </c>
      <c r="I3300" s="423"/>
      <c r="J3300" s="14"/>
      <c r="K3300" s="13"/>
      <c r="L3300" s="13"/>
      <c r="M3300" s="14"/>
      <c r="N3300" s="15"/>
      <c r="O3300" s="5" t="s">
        <v>14119</v>
      </c>
      <c r="P3300" s="15"/>
      <c r="Q3300" s="15"/>
      <c r="R3300" s="422"/>
      <c r="S3300" s="15"/>
      <c r="T3300" s="15"/>
      <c r="U3300" s="15"/>
      <c r="V3300" s="15"/>
      <c r="W3300" s="15"/>
      <c r="X3300" s="15"/>
      <c r="Y3300" s="15"/>
      <c r="Z3300" s="15"/>
      <c r="AA3300" s="15"/>
    </row>
    <row r="3301">
      <c r="A3301" s="5" t="s">
        <v>15229</v>
      </c>
      <c r="B3301" s="131" t="s">
        <v>15235</v>
      </c>
      <c r="C3301" s="40" t="s">
        <v>15236</v>
      </c>
      <c r="D3301" s="11"/>
      <c r="E3301" s="11" t="s">
        <v>15237</v>
      </c>
      <c r="F3301" s="90">
        <v>300.0</v>
      </c>
      <c r="G3301" s="321"/>
      <c r="H3301" s="11" t="s">
        <v>15238</v>
      </c>
      <c r="I3301" s="276"/>
      <c r="J3301" s="11" t="s">
        <v>25</v>
      </c>
      <c r="K3301" s="13"/>
      <c r="L3301" s="13"/>
      <c r="M3301" s="14"/>
      <c r="N3301" s="15"/>
      <c r="O3301" s="5" t="s">
        <v>14119</v>
      </c>
      <c r="P3301" s="15"/>
      <c r="Q3301" s="15"/>
      <c r="R3301" s="422"/>
      <c r="S3301" s="15"/>
      <c r="T3301" s="15"/>
      <c r="U3301" s="15"/>
      <c r="V3301" s="15"/>
      <c r="W3301" s="15"/>
      <c r="X3301" s="15"/>
      <c r="Y3301" s="15"/>
      <c r="Z3301" s="15"/>
      <c r="AA3301" s="15"/>
    </row>
    <row r="3302">
      <c r="A3302" s="352" t="s">
        <v>15229</v>
      </c>
      <c r="B3302" s="131" t="s">
        <v>15239</v>
      </c>
      <c r="C3302" s="40" t="s">
        <v>15240</v>
      </c>
      <c r="D3302" s="11"/>
      <c r="E3302" s="11" t="s">
        <v>1579</v>
      </c>
      <c r="F3302" s="90">
        <v>100.0</v>
      </c>
      <c r="G3302" s="321"/>
      <c r="H3302" s="11" t="s">
        <v>906</v>
      </c>
      <c r="I3302" s="423"/>
      <c r="J3302" s="14"/>
      <c r="K3302" s="12"/>
      <c r="L3302" s="12"/>
      <c r="M3302" s="11" t="s">
        <v>9298</v>
      </c>
      <c r="N3302" s="5" t="s">
        <v>15241</v>
      </c>
      <c r="O3302" s="5" t="s">
        <v>14119</v>
      </c>
      <c r="P3302" s="15"/>
      <c r="Q3302" s="15"/>
      <c r="R3302" s="422"/>
      <c r="S3302" s="15"/>
      <c r="T3302" s="15"/>
      <c r="U3302" s="15"/>
      <c r="V3302" s="15"/>
      <c r="W3302" s="15"/>
      <c r="X3302" s="15"/>
      <c r="Y3302" s="15"/>
      <c r="Z3302" s="15"/>
      <c r="AA3302" s="15"/>
    </row>
    <row r="3303">
      <c r="A3303" s="5" t="s">
        <v>15229</v>
      </c>
      <c r="B3303" s="131" t="s">
        <v>15242</v>
      </c>
      <c r="C3303" s="40" t="s">
        <v>15243</v>
      </c>
      <c r="D3303" s="11"/>
      <c r="E3303" s="11" t="s">
        <v>15244</v>
      </c>
      <c r="F3303" s="90">
        <v>1500.0</v>
      </c>
      <c r="G3303" s="321"/>
      <c r="H3303" s="11" t="s">
        <v>44</v>
      </c>
      <c r="I3303" s="276"/>
      <c r="J3303" s="11" t="s">
        <v>25</v>
      </c>
      <c r="K3303" s="13"/>
      <c r="L3303" s="13"/>
      <c r="M3303" s="14"/>
      <c r="N3303" s="15"/>
      <c r="O3303" s="5" t="s">
        <v>26</v>
      </c>
      <c r="P3303" s="15"/>
      <c r="Q3303" s="15"/>
      <c r="R3303" s="422"/>
      <c r="S3303" s="15"/>
      <c r="T3303" s="15"/>
      <c r="U3303" s="15"/>
      <c r="V3303" s="15"/>
      <c r="W3303" s="15"/>
      <c r="X3303" s="15"/>
      <c r="Y3303" s="15"/>
      <c r="Z3303" s="15"/>
      <c r="AA3303" s="15"/>
    </row>
    <row r="3304">
      <c r="A3304" s="5" t="s">
        <v>15229</v>
      </c>
      <c r="B3304" s="131" t="s">
        <v>15245</v>
      </c>
      <c r="C3304" s="40" t="s">
        <v>15246</v>
      </c>
      <c r="D3304" s="11"/>
      <c r="E3304" s="11" t="s">
        <v>7917</v>
      </c>
      <c r="F3304" s="90">
        <v>100.0</v>
      </c>
      <c r="G3304" s="321"/>
      <c r="H3304" s="11" t="s">
        <v>15247</v>
      </c>
      <c r="I3304" s="276"/>
      <c r="J3304" s="11" t="s">
        <v>25</v>
      </c>
      <c r="K3304" s="12"/>
      <c r="L3304" s="12"/>
      <c r="M3304" s="11" t="s">
        <v>8782</v>
      </c>
      <c r="N3304" s="5" t="s">
        <v>15248</v>
      </c>
      <c r="O3304" s="5" t="s">
        <v>14119</v>
      </c>
      <c r="P3304" s="15"/>
      <c r="Q3304" s="15"/>
      <c r="R3304" s="422"/>
      <c r="S3304" s="15"/>
      <c r="T3304" s="15"/>
      <c r="U3304" s="15"/>
      <c r="V3304" s="15"/>
      <c r="W3304" s="15"/>
      <c r="X3304" s="15"/>
      <c r="Y3304" s="15"/>
      <c r="Z3304" s="15"/>
      <c r="AA3304" s="15"/>
    </row>
    <row r="3305">
      <c r="A3305" s="5" t="s">
        <v>15229</v>
      </c>
      <c r="B3305" s="131" t="s">
        <v>15249</v>
      </c>
      <c r="C3305" s="40" t="s">
        <v>15250</v>
      </c>
      <c r="D3305" s="11"/>
      <c r="E3305" s="11" t="s">
        <v>2402</v>
      </c>
      <c r="F3305" s="90">
        <v>200.0</v>
      </c>
      <c r="G3305" s="321"/>
      <c r="H3305" s="11" t="s">
        <v>44</v>
      </c>
      <c r="I3305" s="423"/>
      <c r="J3305" s="14"/>
      <c r="K3305" s="12"/>
      <c r="L3305" s="12"/>
      <c r="M3305" s="11" t="s">
        <v>9983</v>
      </c>
      <c r="N3305" s="5" t="s">
        <v>15251</v>
      </c>
      <c r="O3305" s="5" t="s">
        <v>14119</v>
      </c>
      <c r="P3305" s="15"/>
      <c r="Q3305" s="15"/>
      <c r="R3305" s="422"/>
      <c r="S3305" s="15"/>
      <c r="T3305" s="15"/>
      <c r="U3305" s="15"/>
      <c r="V3305" s="15"/>
      <c r="W3305" s="15"/>
      <c r="X3305" s="15"/>
      <c r="Y3305" s="15"/>
      <c r="Z3305" s="15"/>
      <c r="AA3305" s="15"/>
    </row>
    <row r="3306">
      <c r="A3306" s="5" t="s">
        <v>15229</v>
      </c>
      <c r="B3306" s="131" t="s">
        <v>15252</v>
      </c>
      <c r="C3306" s="40" t="s">
        <v>15253</v>
      </c>
      <c r="D3306" s="11"/>
      <c r="E3306" s="11" t="s">
        <v>130</v>
      </c>
      <c r="F3306" s="90">
        <v>500.0</v>
      </c>
      <c r="G3306" s="321"/>
      <c r="H3306" s="11" t="s">
        <v>15254</v>
      </c>
      <c r="I3306" s="276"/>
      <c r="J3306" s="11" t="s">
        <v>4008</v>
      </c>
      <c r="K3306" s="12"/>
      <c r="L3306" s="12"/>
      <c r="M3306" s="11" t="s">
        <v>9587</v>
      </c>
      <c r="N3306" s="5" t="s">
        <v>15255</v>
      </c>
      <c r="O3306" s="5" t="s">
        <v>14119</v>
      </c>
      <c r="P3306" s="15"/>
      <c r="Q3306" s="15"/>
      <c r="R3306" s="422"/>
      <c r="S3306" s="15"/>
      <c r="T3306" s="15"/>
      <c r="U3306" s="15"/>
      <c r="V3306" s="15"/>
      <c r="W3306" s="15"/>
      <c r="X3306" s="15"/>
      <c r="Y3306" s="15"/>
      <c r="Z3306" s="15"/>
      <c r="AA3306" s="15"/>
    </row>
    <row r="3307">
      <c r="A3307" s="5" t="s">
        <v>15256</v>
      </c>
      <c r="B3307" s="131" t="s">
        <v>15257</v>
      </c>
      <c r="C3307" s="40" t="s">
        <v>15258</v>
      </c>
      <c r="D3307" s="11"/>
      <c r="E3307" s="11" t="s">
        <v>1675</v>
      </c>
      <c r="F3307" s="90">
        <v>1000.0</v>
      </c>
      <c r="G3307" s="321"/>
      <c r="H3307" s="11" t="s">
        <v>15259</v>
      </c>
      <c r="I3307" s="423"/>
      <c r="J3307" s="14"/>
      <c r="K3307" s="12"/>
      <c r="L3307" s="12"/>
      <c r="M3307" s="11" t="s">
        <v>13678</v>
      </c>
      <c r="N3307" s="5" t="s">
        <v>15260</v>
      </c>
      <c r="O3307" s="5" t="s">
        <v>26</v>
      </c>
      <c r="P3307" s="15"/>
      <c r="Q3307" s="15"/>
      <c r="R3307" s="422"/>
      <c r="S3307" s="15"/>
      <c r="T3307" s="15"/>
      <c r="U3307" s="15"/>
      <c r="V3307" s="15"/>
      <c r="W3307" s="15"/>
      <c r="X3307" s="15"/>
      <c r="Y3307" s="15"/>
      <c r="Z3307" s="15"/>
      <c r="AA3307" s="15"/>
    </row>
    <row r="3308">
      <c r="A3308" s="5" t="s">
        <v>15256</v>
      </c>
      <c r="B3308" s="131" t="s">
        <v>15261</v>
      </c>
      <c r="C3308" s="40" t="s">
        <v>15262</v>
      </c>
      <c r="D3308" s="11"/>
      <c r="E3308" s="11" t="s">
        <v>1285</v>
      </c>
      <c r="F3308" s="9">
        <v>25000.0</v>
      </c>
      <c r="G3308" s="321"/>
      <c r="H3308" s="11" t="s">
        <v>15263</v>
      </c>
      <c r="I3308" s="276"/>
      <c r="J3308" s="11" t="s">
        <v>4008</v>
      </c>
      <c r="K3308" s="12"/>
      <c r="L3308" s="12"/>
      <c r="M3308" s="11" t="s">
        <v>10955</v>
      </c>
      <c r="N3308" s="5" t="s">
        <v>15264</v>
      </c>
      <c r="O3308" s="5" t="s">
        <v>108</v>
      </c>
      <c r="P3308" s="15"/>
      <c r="Q3308" s="15"/>
      <c r="R3308" s="422"/>
      <c r="S3308" s="15"/>
      <c r="T3308" s="15"/>
      <c r="U3308" s="15"/>
      <c r="V3308" s="15"/>
      <c r="W3308" s="15"/>
      <c r="X3308" s="15"/>
      <c r="Y3308" s="15"/>
      <c r="Z3308" s="15"/>
      <c r="AA3308" s="15"/>
    </row>
    <row r="3309">
      <c r="A3309" s="5" t="s">
        <v>15256</v>
      </c>
      <c r="B3309" s="131" t="s">
        <v>15265</v>
      </c>
      <c r="C3309" s="40" t="s">
        <v>15266</v>
      </c>
      <c r="D3309" s="11"/>
      <c r="E3309" s="11" t="s">
        <v>2402</v>
      </c>
      <c r="F3309" s="90">
        <v>200.0</v>
      </c>
      <c r="G3309" s="321"/>
      <c r="H3309" s="11" t="s">
        <v>985</v>
      </c>
      <c r="I3309" s="276"/>
      <c r="J3309" s="11" t="s">
        <v>15267</v>
      </c>
      <c r="K3309" s="13"/>
      <c r="L3309" s="13"/>
      <c r="M3309" s="14"/>
      <c r="N3309" s="15"/>
      <c r="O3309" s="5" t="s">
        <v>14119</v>
      </c>
      <c r="P3309" s="15"/>
      <c r="Q3309" s="15"/>
      <c r="R3309" s="422"/>
      <c r="S3309" s="15"/>
      <c r="T3309" s="15"/>
      <c r="U3309" s="15"/>
      <c r="V3309" s="15"/>
      <c r="W3309" s="15"/>
      <c r="X3309" s="15"/>
      <c r="Y3309" s="15"/>
      <c r="Z3309" s="15"/>
      <c r="AA3309" s="15"/>
    </row>
    <row r="3310">
      <c r="A3310" s="5" t="s">
        <v>15256</v>
      </c>
      <c r="B3310" s="131" t="s">
        <v>15268</v>
      </c>
      <c r="C3310" s="40" t="s">
        <v>15269</v>
      </c>
      <c r="D3310" s="11"/>
      <c r="E3310" s="11" t="s">
        <v>10123</v>
      </c>
      <c r="F3310" s="90">
        <v>100.0</v>
      </c>
      <c r="G3310" s="321"/>
      <c r="H3310" s="11" t="s">
        <v>519</v>
      </c>
      <c r="I3310" s="423"/>
      <c r="J3310" s="14"/>
      <c r="K3310" s="13"/>
      <c r="L3310" s="13"/>
      <c r="M3310" s="14"/>
      <c r="N3310" s="15"/>
      <c r="O3310" s="5" t="s">
        <v>14119</v>
      </c>
      <c r="P3310" s="15"/>
      <c r="Q3310" s="15"/>
      <c r="R3310" s="422"/>
      <c r="S3310" s="15"/>
      <c r="T3310" s="15"/>
      <c r="U3310" s="15"/>
      <c r="V3310" s="15"/>
      <c r="W3310" s="15"/>
      <c r="X3310" s="15"/>
      <c r="Y3310" s="15"/>
      <c r="Z3310" s="15"/>
      <c r="AA3310" s="15"/>
    </row>
    <row r="3311">
      <c r="A3311" s="5" t="s">
        <v>15256</v>
      </c>
      <c r="B3311" s="131" t="s">
        <v>15270</v>
      </c>
      <c r="C3311" s="40" t="s">
        <v>15271</v>
      </c>
      <c r="D3311" s="11"/>
      <c r="E3311" s="11" t="s">
        <v>3073</v>
      </c>
      <c r="F3311" s="90">
        <v>1000.0</v>
      </c>
      <c r="G3311" s="321"/>
      <c r="H3311" s="11" t="s">
        <v>638</v>
      </c>
      <c r="I3311" s="276"/>
      <c r="J3311" s="11" t="s">
        <v>15272</v>
      </c>
      <c r="K3311" s="13"/>
      <c r="L3311" s="13"/>
      <c r="M3311" s="14"/>
      <c r="N3311" s="15"/>
      <c r="O3311" s="5" t="s">
        <v>26</v>
      </c>
      <c r="P3311" s="15"/>
      <c r="Q3311" s="15"/>
      <c r="R3311" s="422"/>
      <c r="S3311" s="15"/>
      <c r="T3311" s="15"/>
      <c r="U3311" s="15"/>
      <c r="V3311" s="15"/>
      <c r="W3311" s="15"/>
      <c r="X3311" s="15"/>
      <c r="Y3311" s="15"/>
      <c r="Z3311" s="15"/>
      <c r="AA3311" s="15"/>
    </row>
    <row r="3312">
      <c r="A3312" s="352" t="s">
        <v>15256</v>
      </c>
      <c r="B3312" s="131" t="s">
        <v>15273</v>
      </c>
      <c r="C3312" s="40" t="s">
        <v>15274</v>
      </c>
      <c r="D3312" s="11"/>
      <c r="E3312" s="11" t="s">
        <v>4085</v>
      </c>
      <c r="F3312" s="9">
        <v>25000.0</v>
      </c>
      <c r="G3312" s="321"/>
      <c r="H3312" s="11" t="s">
        <v>15275</v>
      </c>
      <c r="I3312" s="423"/>
      <c r="J3312" s="14"/>
      <c r="K3312" s="12"/>
      <c r="L3312" s="12"/>
      <c r="M3312" s="11" t="s">
        <v>7904</v>
      </c>
      <c r="N3312" s="5" t="s">
        <v>15276</v>
      </c>
      <c r="O3312" s="5" t="s">
        <v>108</v>
      </c>
      <c r="P3312" s="15"/>
      <c r="Q3312" s="15"/>
      <c r="R3312" s="422"/>
      <c r="S3312" s="15"/>
      <c r="T3312" s="15"/>
      <c r="U3312" s="15"/>
      <c r="V3312" s="15"/>
      <c r="W3312" s="15"/>
      <c r="X3312" s="15"/>
      <c r="Y3312" s="15"/>
      <c r="Z3312" s="15"/>
      <c r="AA3312" s="15"/>
    </row>
    <row r="3313">
      <c r="A3313" s="5" t="s">
        <v>15256</v>
      </c>
      <c r="B3313" s="131" t="s">
        <v>15277</v>
      </c>
      <c r="C3313" s="40" t="s">
        <v>15278</v>
      </c>
      <c r="D3313" s="11"/>
      <c r="E3313" s="11" t="s">
        <v>1749</v>
      </c>
      <c r="F3313" s="90">
        <v>100.0</v>
      </c>
      <c r="G3313" s="321"/>
      <c r="H3313" s="11" t="s">
        <v>158</v>
      </c>
      <c r="I3313" s="423"/>
      <c r="J3313" s="14"/>
      <c r="K3313" s="12"/>
      <c r="L3313" s="12"/>
      <c r="M3313" s="11" t="s">
        <v>13537</v>
      </c>
      <c r="N3313" s="5" t="s">
        <v>15279</v>
      </c>
      <c r="O3313" s="5" t="s">
        <v>14119</v>
      </c>
      <c r="P3313" s="15"/>
      <c r="Q3313" s="15"/>
      <c r="R3313" s="422"/>
      <c r="S3313" s="15"/>
      <c r="T3313" s="15"/>
      <c r="U3313" s="15"/>
      <c r="V3313" s="15"/>
      <c r="W3313" s="15"/>
      <c r="X3313" s="15"/>
      <c r="Y3313" s="15"/>
      <c r="Z3313" s="15"/>
      <c r="AA3313" s="15"/>
    </row>
    <row r="3314">
      <c r="A3314" s="5" t="s">
        <v>15256</v>
      </c>
      <c r="B3314" s="131" t="s">
        <v>15280</v>
      </c>
      <c r="C3314" s="40" t="s">
        <v>15281</v>
      </c>
      <c r="D3314" s="11"/>
      <c r="E3314" s="11" t="s">
        <v>3571</v>
      </c>
      <c r="F3314" s="90">
        <v>1000.0</v>
      </c>
      <c r="G3314" s="321"/>
      <c r="H3314" s="11" t="s">
        <v>44</v>
      </c>
      <c r="I3314" s="423"/>
      <c r="J3314" s="14"/>
      <c r="K3314" s="13"/>
      <c r="L3314" s="13"/>
      <c r="M3314" s="14"/>
      <c r="N3314" s="15"/>
      <c r="O3314" s="5" t="s">
        <v>26</v>
      </c>
      <c r="P3314" s="15"/>
      <c r="Q3314" s="15"/>
      <c r="R3314" s="422"/>
      <c r="S3314" s="15"/>
      <c r="T3314" s="15"/>
      <c r="U3314" s="15"/>
      <c r="V3314" s="15"/>
      <c r="W3314" s="15"/>
      <c r="X3314" s="15"/>
      <c r="Y3314" s="15"/>
      <c r="Z3314" s="15"/>
      <c r="AA3314" s="15"/>
    </row>
    <row r="3315">
      <c r="A3315" s="5" t="s">
        <v>15256</v>
      </c>
      <c r="B3315" s="131" t="s">
        <v>15282</v>
      </c>
      <c r="C3315" s="40" t="s">
        <v>15283</v>
      </c>
      <c r="D3315" s="11"/>
      <c r="E3315" s="11" t="s">
        <v>6027</v>
      </c>
      <c r="F3315" s="90">
        <v>100.0</v>
      </c>
      <c r="G3315" s="321"/>
      <c r="H3315" s="11" t="s">
        <v>472</v>
      </c>
      <c r="I3315" s="276"/>
      <c r="J3315" s="11" t="s">
        <v>25</v>
      </c>
      <c r="K3315" s="13"/>
      <c r="L3315" s="13"/>
      <c r="M3315" s="14"/>
      <c r="N3315" s="15"/>
      <c r="O3315" s="5" t="s">
        <v>14119</v>
      </c>
      <c r="P3315" s="15"/>
      <c r="Q3315" s="15"/>
      <c r="R3315" s="422"/>
      <c r="S3315" s="15"/>
      <c r="T3315" s="15"/>
      <c r="U3315" s="15"/>
      <c r="V3315" s="15"/>
      <c r="W3315" s="15"/>
      <c r="X3315" s="15"/>
      <c r="Y3315" s="15"/>
      <c r="Z3315" s="15"/>
      <c r="AA3315" s="15"/>
    </row>
    <row r="3316">
      <c r="A3316" s="5" t="s">
        <v>15256</v>
      </c>
      <c r="B3316" s="131" t="s">
        <v>15284</v>
      </c>
      <c r="C3316" s="40" t="s">
        <v>3400</v>
      </c>
      <c r="D3316" s="11"/>
      <c r="E3316" s="11" t="s">
        <v>794</v>
      </c>
      <c r="F3316" s="9">
        <v>20000.0</v>
      </c>
      <c r="G3316" s="321"/>
      <c r="H3316" s="11" t="s">
        <v>44</v>
      </c>
      <c r="I3316" s="276"/>
      <c r="J3316" s="11" t="s">
        <v>4008</v>
      </c>
      <c r="K3316" s="12"/>
      <c r="L3316" s="12"/>
      <c r="M3316" s="11" t="s">
        <v>9901</v>
      </c>
      <c r="N3316" s="5" t="s">
        <v>15285</v>
      </c>
      <c r="O3316" s="5" t="s">
        <v>26</v>
      </c>
      <c r="P3316" s="15"/>
      <c r="Q3316" s="15"/>
      <c r="R3316" s="422"/>
      <c r="S3316" s="15"/>
      <c r="T3316" s="15"/>
      <c r="U3316" s="15"/>
      <c r="V3316" s="15"/>
      <c r="W3316" s="15"/>
      <c r="X3316" s="15"/>
      <c r="Y3316" s="15"/>
      <c r="Z3316" s="15"/>
      <c r="AA3316" s="15"/>
    </row>
    <row r="3317">
      <c r="A3317" s="5" t="s">
        <v>15256</v>
      </c>
      <c r="B3317" s="131" t="s">
        <v>15286</v>
      </c>
      <c r="C3317" s="40" t="s">
        <v>15287</v>
      </c>
      <c r="D3317" s="11"/>
      <c r="E3317" s="11" t="s">
        <v>10123</v>
      </c>
      <c r="F3317" s="90">
        <v>500.0</v>
      </c>
      <c r="G3317" s="321"/>
      <c r="H3317" s="11" t="s">
        <v>15288</v>
      </c>
      <c r="I3317" s="276"/>
      <c r="J3317" s="11" t="s">
        <v>25</v>
      </c>
      <c r="K3317" s="13"/>
      <c r="L3317" s="13"/>
      <c r="M3317" s="14"/>
      <c r="N3317" s="15"/>
      <c r="O3317" s="5" t="s">
        <v>108</v>
      </c>
      <c r="P3317" s="15"/>
      <c r="Q3317" s="15"/>
      <c r="R3317" s="422"/>
      <c r="S3317" s="15"/>
      <c r="T3317" s="15"/>
      <c r="U3317" s="15"/>
      <c r="V3317" s="15"/>
      <c r="W3317" s="15"/>
      <c r="X3317" s="15"/>
      <c r="Y3317" s="15"/>
      <c r="Z3317" s="15"/>
      <c r="AA3317" s="15"/>
    </row>
    <row r="3318">
      <c r="A3318" s="5" t="s">
        <v>15256</v>
      </c>
      <c r="B3318" s="131" t="s">
        <v>15289</v>
      </c>
      <c r="C3318" s="40" t="s">
        <v>9797</v>
      </c>
      <c r="D3318" s="11"/>
      <c r="E3318" s="11" t="s">
        <v>15290</v>
      </c>
      <c r="F3318" s="9">
        <v>21000.0</v>
      </c>
      <c r="G3318" s="321"/>
      <c r="H3318" s="11" t="s">
        <v>44</v>
      </c>
      <c r="I3318" s="276"/>
      <c r="J3318" s="11" t="s">
        <v>25</v>
      </c>
      <c r="K3318" s="13"/>
      <c r="L3318" s="13"/>
      <c r="M3318" s="14"/>
      <c r="N3318" s="15"/>
      <c r="O3318" s="5" t="s">
        <v>26</v>
      </c>
      <c r="P3318" s="15"/>
      <c r="Q3318" s="15"/>
      <c r="R3318" s="422"/>
      <c r="S3318" s="15"/>
      <c r="T3318" s="15"/>
      <c r="U3318" s="15"/>
      <c r="V3318" s="15"/>
      <c r="W3318" s="15"/>
      <c r="X3318" s="15"/>
      <c r="Y3318" s="15"/>
      <c r="Z3318" s="15"/>
      <c r="AA3318" s="15"/>
    </row>
    <row r="3319">
      <c r="A3319" s="5" t="s">
        <v>15256</v>
      </c>
      <c r="B3319" s="131" t="s">
        <v>15291</v>
      </c>
      <c r="C3319" s="40" t="s">
        <v>15292</v>
      </c>
      <c r="D3319" s="11"/>
      <c r="E3319" s="11" t="s">
        <v>7897</v>
      </c>
      <c r="F3319" s="90">
        <v>1000.0</v>
      </c>
      <c r="G3319" s="321"/>
      <c r="H3319" s="11" t="s">
        <v>2682</v>
      </c>
      <c r="I3319" s="423"/>
      <c r="J3319" s="14"/>
      <c r="K3319" s="12"/>
      <c r="L3319" s="12"/>
      <c r="M3319" s="11" t="s">
        <v>9776</v>
      </c>
      <c r="N3319" s="5" t="s">
        <v>15293</v>
      </c>
      <c r="O3319" s="5" t="s">
        <v>108</v>
      </c>
      <c r="P3319" s="15"/>
      <c r="Q3319" s="15"/>
      <c r="R3319" s="422"/>
      <c r="S3319" s="15"/>
      <c r="T3319" s="15"/>
      <c r="U3319" s="15"/>
      <c r="V3319" s="15"/>
      <c r="W3319" s="15"/>
      <c r="X3319" s="15"/>
      <c r="Y3319" s="15"/>
      <c r="Z3319" s="15"/>
      <c r="AA3319" s="15"/>
    </row>
    <row r="3320">
      <c r="A3320" s="5" t="s">
        <v>15256</v>
      </c>
      <c r="B3320" s="131" t="s">
        <v>15294</v>
      </c>
      <c r="C3320" s="40" t="s">
        <v>15295</v>
      </c>
      <c r="D3320" s="11"/>
      <c r="E3320" s="11" t="s">
        <v>3729</v>
      </c>
      <c r="F3320" s="90">
        <v>50.0</v>
      </c>
      <c r="G3320" s="321"/>
      <c r="H3320" s="11" t="s">
        <v>8781</v>
      </c>
      <c r="I3320" s="423"/>
      <c r="J3320" s="14"/>
      <c r="K3320" s="13"/>
      <c r="L3320" s="13"/>
      <c r="M3320" s="14"/>
      <c r="N3320" s="15"/>
      <c r="O3320" s="5" t="s">
        <v>14119</v>
      </c>
      <c r="P3320" s="15"/>
      <c r="Q3320" s="15"/>
      <c r="R3320" s="422"/>
      <c r="S3320" s="15"/>
      <c r="T3320" s="15"/>
      <c r="U3320" s="15"/>
      <c r="V3320" s="15"/>
      <c r="W3320" s="15"/>
      <c r="X3320" s="15"/>
      <c r="Y3320" s="15"/>
      <c r="Z3320" s="15"/>
      <c r="AA3320" s="15"/>
    </row>
    <row r="3321">
      <c r="A3321" s="5" t="s">
        <v>15256</v>
      </c>
      <c r="B3321" s="131" t="s">
        <v>15296</v>
      </c>
      <c r="C3321" s="40" t="s">
        <v>15297</v>
      </c>
      <c r="D3321" s="11"/>
      <c r="E3321" s="11" t="s">
        <v>5502</v>
      </c>
      <c r="F3321" s="90" t="s">
        <v>5839</v>
      </c>
      <c r="G3321" s="321"/>
      <c r="H3321" s="11" t="s">
        <v>15298</v>
      </c>
      <c r="I3321" s="276"/>
      <c r="J3321" s="11" t="s">
        <v>4008</v>
      </c>
      <c r="K3321" s="12"/>
      <c r="L3321" s="12"/>
      <c r="M3321" s="11" t="s">
        <v>14093</v>
      </c>
      <c r="N3321" s="5" t="s">
        <v>15299</v>
      </c>
      <c r="O3321" s="5" t="s">
        <v>108</v>
      </c>
      <c r="P3321" s="15"/>
      <c r="Q3321" s="15"/>
      <c r="R3321" s="422"/>
      <c r="S3321" s="15"/>
      <c r="T3321" s="15"/>
      <c r="U3321" s="15"/>
      <c r="V3321" s="15"/>
      <c r="W3321" s="15"/>
      <c r="X3321" s="15"/>
      <c r="Y3321" s="15"/>
      <c r="Z3321" s="15"/>
      <c r="AA3321" s="15"/>
    </row>
    <row r="3322">
      <c r="A3322" s="5" t="s">
        <v>15256</v>
      </c>
      <c r="B3322" s="131" t="s">
        <v>15300</v>
      </c>
      <c r="C3322" s="40" t="s">
        <v>15301</v>
      </c>
      <c r="D3322" s="11"/>
      <c r="E3322" s="11" t="s">
        <v>15302</v>
      </c>
      <c r="F3322" s="9">
        <v>100000.0</v>
      </c>
      <c r="G3322" s="321"/>
      <c r="H3322" s="11" t="s">
        <v>15303</v>
      </c>
      <c r="I3322" s="276"/>
      <c r="J3322" s="11" t="s">
        <v>4008</v>
      </c>
      <c r="K3322" s="13"/>
      <c r="L3322" s="13"/>
      <c r="M3322" s="14"/>
      <c r="N3322" s="15"/>
      <c r="O3322" s="5" t="s">
        <v>26</v>
      </c>
      <c r="P3322" s="15"/>
      <c r="Q3322" s="15"/>
      <c r="R3322" s="422"/>
      <c r="S3322" s="15"/>
      <c r="T3322" s="15"/>
      <c r="U3322" s="15"/>
      <c r="V3322" s="15"/>
      <c r="W3322" s="15"/>
      <c r="X3322" s="15"/>
      <c r="Y3322" s="15"/>
      <c r="Z3322" s="15"/>
      <c r="AA3322" s="15"/>
    </row>
    <row r="3323">
      <c r="A3323" s="5" t="s">
        <v>15304</v>
      </c>
      <c r="B3323" s="131" t="s">
        <v>15305</v>
      </c>
      <c r="C3323" s="40" t="s">
        <v>15306</v>
      </c>
      <c r="D3323" s="11"/>
      <c r="E3323" s="11" t="s">
        <v>47</v>
      </c>
      <c r="F3323" s="90">
        <v>2000.0</v>
      </c>
      <c r="G3323" s="321"/>
      <c r="H3323" s="11" t="s">
        <v>495</v>
      </c>
      <c r="I3323" s="423"/>
      <c r="J3323" s="14"/>
      <c r="K3323" s="12"/>
      <c r="L3323" s="12"/>
      <c r="M3323" s="11" t="s">
        <v>7651</v>
      </c>
      <c r="N3323" s="5" t="s">
        <v>15307</v>
      </c>
      <c r="O3323" s="5" t="s">
        <v>26</v>
      </c>
      <c r="P3323" s="15"/>
      <c r="Q3323" s="15"/>
      <c r="R3323" s="422"/>
      <c r="S3323" s="15"/>
      <c r="T3323" s="15"/>
      <c r="U3323" s="15"/>
      <c r="V3323" s="15"/>
      <c r="W3323" s="15"/>
      <c r="X3323" s="15"/>
      <c r="Y3323" s="15"/>
      <c r="Z3323" s="15"/>
      <c r="AA3323" s="15"/>
    </row>
    <row r="3324">
      <c r="A3324" s="5" t="s">
        <v>15304</v>
      </c>
      <c r="B3324" s="131" t="s">
        <v>15308</v>
      </c>
      <c r="C3324" s="40" t="s">
        <v>15309</v>
      </c>
      <c r="D3324" s="11"/>
      <c r="E3324" s="11" t="s">
        <v>14198</v>
      </c>
      <c r="F3324" s="90">
        <v>100.0</v>
      </c>
      <c r="G3324" s="321"/>
      <c r="H3324" s="11" t="s">
        <v>184</v>
      </c>
      <c r="I3324" s="423"/>
      <c r="J3324" s="14"/>
      <c r="K3324" s="13"/>
      <c r="L3324" s="13"/>
      <c r="M3324" s="14"/>
      <c r="N3324" s="15"/>
      <c r="O3324" s="5" t="s">
        <v>14119</v>
      </c>
      <c r="P3324" s="15"/>
      <c r="Q3324" s="15"/>
      <c r="R3324" s="422"/>
      <c r="S3324" s="15"/>
      <c r="T3324" s="15"/>
      <c r="U3324" s="15"/>
      <c r="V3324" s="15"/>
      <c r="W3324" s="15"/>
      <c r="X3324" s="15"/>
      <c r="Y3324" s="15"/>
      <c r="Z3324" s="15"/>
      <c r="AA3324" s="15"/>
    </row>
    <row r="3325">
      <c r="A3325" s="352" t="s">
        <v>15310</v>
      </c>
      <c r="B3325" s="131" t="s">
        <v>15311</v>
      </c>
      <c r="C3325" s="40" t="s">
        <v>15312</v>
      </c>
      <c r="D3325" s="11"/>
      <c r="E3325" s="11" t="s">
        <v>1579</v>
      </c>
      <c r="F3325" s="9">
        <v>25000.0</v>
      </c>
      <c r="G3325" s="321"/>
      <c r="H3325" s="11" t="s">
        <v>11875</v>
      </c>
      <c r="I3325" s="423"/>
      <c r="J3325" s="14"/>
      <c r="K3325" s="12"/>
      <c r="L3325" s="12"/>
      <c r="M3325" s="11" t="s">
        <v>10342</v>
      </c>
      <c r="N3325" s="5" t="s">
        <v>15313</v>
      </c>
      <c r="O3325" s="5" t="s">
        <v>26</v>
      </c>
      <c r="P3325" s="15"/>
      <c r="Q3325" s="15"/>
      <c r="R3325" s="422"/>
      <c r="S3325" s="15"/>
      <c r="T3325" s="15"/>
      <c r="U3325" s="15"/>
      <c r="V3325" s="15"/>
      <c r="W3325" s="15"/>
      <c r="X3325" s="15"/>
      <c r="Y3325" s="15"/>
      <c r="Z3325" s="15"/>
      <c r="AA3325" s="15"/>
    </row>
    <row r="3326">
      <c r="A3326" s="5" t="s">
        <v>15310</v>
      </c>
      <c r="B3326" s="131" t="s">
        <v>15314</v>
      </c>
      <c r="C3326" s="40" t="s">
        <v>15315</v>
      </c>
      <c r="D3326" s="11"/>
      <c r="E3326" s="11" t="s">
        <v>444</v>
      </c>
      <c r="F3326" s="90">
        <v>600.0</v>
      </c>
      <c r="G3326" s="321"/>
      <c r="H3326" s="11" t="s">
        <v>15316</v>
      </c>
      <c r="I3326" s="423"/>
      <c r="J3326" s="14"/>
      <c r="K3326" s="12"/>
      <c r="L3326" s="12"/>
      <c r="M3326" s="11" t="s">
        <v>15317</v>
      </c>
      <c r="N3326" s="5" t="s">
        <v>15318</v>
      </c>
      <c r="O3326" s="5" t="s">
        <v>26</v>
      </c>
      <c r="P3326" s="15"/>
      <c r="Q3326" s="15"/>
      <c r="R3326" s="422"/>
      <c r="S3326" s="15"/>
      <c r="T3326" s="15"/>
      <c r="U3326" s="15"/>
      <c r="V3326" s="15"/>
      <c r="W3326" s="15"/>
      <c r="X3326" s="15"/>
      <c r="Y3326" s="15"/>
      <c r="Z3326" s="15"/>
      <c r="AA3326" s="15"/>
    </row>
    <row r="3327">
      <c r="A3327" s="5" t="s">
        <v>15310</v>
      </c>
      <c r="B3327" s="131" t="s">
        <v>15319</v>
      </c>
      <c r="C3327" s="40" t="s">
        <v>15320</v>
      </c>
      <c r="D3327" s="11"/>
      <c r="E3327" s="11" t="s">
        <v>189</v>
      </c>
      <c r="F3327" s="90">
        <v>1000.0</v>
      </c>
      <c r="G3327" s="321"/>
      <c r="H3327" s="11" t="s">
        <v>906</v>
      </c>
      <c r="I3327" s="423"/>
      <c r="J3327" s="14"/>
      <c r="K3327" s="12"/>
      <c r="L3327" s="12"/>
      <c r="M3327" s="11" t="s">
        <v>8638</v>
      </c>
      <c r="N3327" s="5" t="s">
        <v>15321</v>
      </c>
      <c r="O3327" s="5" t="s">
        <v>108</v>
      </c>
      <c r="P3327" s="15"/>
      <c r="Q3327" s="15"/>
      <c r="R3327" s="422"/>
      <c r="S3327" s="15"/>
      <c r="T3327" s="15"/>
      <c r="U3327" s="15"/>
      <c r="V3327" s="15"/>
      <c r="W3327" s="15"/>
      <c r="X3327" s="15"/>
      <c r="Y3327" s="15"/>
      <c r="Z3327" s="15"/>
      <c r="AA3327" s="15"/>
    </row>
    <row r="3328">
      <c r="A3328" s="5" t="s">
        <v>15310</v>
      </c>
      <c r="B3328" s="131" t="s">
        <v>15322</v>
      </c>
      <c r="C3328" s="40" t="s">
        <v>15323</v>
      </c>
      <c r="D3328" s="11"/>
      <c r="E3328" s="11" t="s">
        <v>130</v>
      </c>
      <c r="F3328" s="90">
        <v>300.0</v>
      </c>
      <c r="G3328" s="321"/>
      <c r="H3328" s="11" t="s">
        <v>906</v>
      </c>
      <c r="I3328" s="423"/>
      <c r="J3328" s="14"/>
      <c r="K3328" s="12"/>
      <c r="L3328" s="12"/>
      <c r="M3328" s="11" t="s">
        <v>9587</v>
      </c>
      <c r="N3328" s="5" t="s">
        <v>15324</v>
      </c>
      <c r="O3328" s="5" t="s">
        <v>15325</v>
      </c>
      <c r="P3328" s="15"/>
      <c r="Q3328" s="15"/>
      <c r="R3328" s="422"/>
      <c r="S3328" s="15"/>
      <c r="T3328" s="15"/>
      <c r="U3328" s="15"/>
      <c r="V3328" s="15"/>
      <c r="W3328" s="15"/>
      <c r="X3328" s="15"/>
      <c r="Y3328" s="15"/>
      <c r="Z3328" s="15"/>
      <c r="AA3328" s="15"/>
    </row>
    <row r="3329">
      <c r="A3329" s="5" t="s">
        <v>15310</v>
      </c>
      <c r="B3329" s="131" t="s">
        <v>15326</v>
      </c>
      <c r="C3329" s="40" t="s">
        <v>15327</v>
      </c>
      <c r="D3329" s="11"/>
      <c r="E3329" s="11" t="s">
        <v>43</v>
      </c>
      <c r="F3329" s="9">
        <v>15000.0</v>
      </c>
      <c r="G3329" s="321"/>
      <c r="H3329" s="11" t="s">
        <v>14076</v>
      </c>
      <c r="I3329" s="276"/>
      <c r="J3329" s="11" t="s">
        <v>25</v>
      </c>
      <c r="K3329" s="12"/>
      <c r="L3329" s="12"/>
      <c r="M3329" s="11" t="s">
        <v>7965</v>
      </c>
      <c r="N3329" s="5" t="s">
        <v>15328</v>
      </c>
      <c r="O3329" s="5" t="s">
        <v>26</v>
      </c>
      <c r="P3329" s="15"/>
      <c r="Q3329" s="15"/>
      <c r="R3329" s="422"/>
      <c r="S3329" s="15"/>
      <c r="T3329" s="15"/>
      <c r="U3329" s="15"/>
      <c r="V3329" s="15"/>
      <c r="W3329" s="15"/>
      <c r="X3329" s="15"/>
      <c r="Y3329" s="15"/>
      <c r="Z3329" s="15"/>
      <c r="AA3329" s="15"/>
    </row>
    <row r="3330">
      <c r="A3330" s="5" t="s">
        <v>15310</v>
      </c>
      <c r="B3330" s="131" t="s">
        <v>15329</v>
      </c>
      <c r="C3330" s="40" t="s">
        <v>15330</v>
      </c>
      <c r="D3330" s="11"/>
      <c r="E3330" s="11" t="s">
        <v>15331</v>
      </c>
      <c r="F3330" s="9">
        <v>20000.0</v>
      </c>
      <c r="G3330" s="321"/>
      <c r="H3330" s="11" t="s">
        <v>15332</v>
      </c>
      <c r="I3330" s="423"/>
      <c r="J3330" s="14"/>
      <c r="K3330" s="13"/>
      <c r="L3330" s="13"/>
      <c r="M3330" s="14"/>
      <c r="N3330" s="15"/>
      <c r="O3330" s="5" t="s">
        <v>108</v>
      </c>
      <c r="P3330" s="15"/>
      <c r="Q3330" s="15"/>
      <c r="R3330" s="422"/>
      <c r="S3330" s="15"/>
      <c r="T3330" s="15"/>
      <c r="U3330" s="15"/>
      <c r="V3330" s="15"/>
      <c r="W3330" s="15"/>
      <c r="X3330" s="15"/>
      <c r="Y3330" s="15"/>
      <c r="Z3330" s="15"/>
      <c r="AA3330" s="15"/>
    </row>
    <row r="3331">
      <c r="A3331" s="5" t="s">
        <v>15310</v>
      </c>
      <c r="B3331" s="131" t="s">
        <v>15333</v>
      </c>
      <c r="C3331" s="40" t="s">
        <v>15334</v>
      </c>
      <c r="D3331" s="11"/>
      <c r="E3331" s="11" t="s">
        <v>9682</v>
      </c>
      <c r="F3331" s="90">
        <v>500.0</v>
      </c>
      <c r="G3331" s="321"/>
      <c r="H3331" s="11" t="s">
        <v>44</v>
      </c>
      <c r="I3331" s="423"/>
      <c r="J3331" s="14"/>
      <c r="K3331" s="12"/>
      <c r="L3331" s="12"/>
      <c r="M3331" s="11" t="s">
        <v>11788</v>
      </c>
      <c r="N3331" s="5" t="s">
        <v>15335</v>
      </c>
      <c r="O3331" s="5" t="s">
        <v>26</v>
      </c>
      <c r="P3331" s="15"/>
      <c r="Q3331" s="15"/>
      <c r="R3331" s="422"/>
      <c r="S3331" s="15"/>
      <c r="T3331" s="15"/>
      <c r="U3331" s="15"/>
      <c r="V3331" s="15"/>
      <c r="W3331" s="15"/>
      <c r="X3331" s="15"/>
      <c r="Y3331" s="15"/>
      <c r="Z3331" s="15"/>
      <c r="AA3331" s="15"/>
    </row>
    <row r="3332">
      <c r="A3332" s="5" t="s">
        <v>15310</v>
      </c>
      <c r="B3332" s="131" t="s">
        <v>15336</v>
      </c>
      <c r="C3332" s="40" t="s">
        <v>2020</v>
      </c>
      <c r="D3332" s="11"/>
      <c r="E3332" s="11" t="s">
        <v>6421</v>
      </c>
      <c r="F3332" s="90">
        <v>400.0</v>
      </c>
      <c r="G3332" s="321"/>
      <c r="H3332" s="11" t="s">
        <v>44</v>
      </c>
      <c r="I3332" s="423"/>
      <c r="J3332" s="14"/>
      <c r="K3332" s="12"/>
      <c r="L3332" s="12"/>
      <c r="M3332" s="11" t="s">
        <v>9983</v>
      </c>
      <c r="N3332" s="5" t="s">
        <v>15337</v>
      </c>
      <c r="O3332" s="5" t="s">
        <v>14119</v>
      </c>
      <c r="P3332" s="15"/>
      <c r="Q3332" s="15"/>
      <c r="R3332" s="422"/>
      <c r="S3332" s="15"/>
      <c r="T3332" s="15"/>
      <c r="U3332" s="15"/>
      <c r="V3332" s="15"/>
      <c r="W3332" s="15"/>
      <c r="X3332" s="15"/>
      <c r="Y3332" s="15"/>
      <c r="Z3332" s="15"/>
      <c r="AA3332" s="15"/>
    </row>
    <row r="3333">
      <c r="A3333" s="5" t="s">
        <v>15310</v>
      </c>
      <c r="B3333" s="131" t="s">
        <v>15338</v>
      </c>
      <c r="C3333" s="40" t="s">
        <v>15339</v>
      </c>
      <c r="D3333" s="11"/>
      <c r="E3333" s="11" t="s">
        <v>15340</v>
      </c>
      <c r="F3333" s="90">
        <v>5000.0</v>
      </c>
      <c r="G3333" s="321"/>
      <c r="H3333" s="11" t="s">
        <v>15341</v>
      </c>
      <c r="I3333" s="276"/>
      <c r="J3333" s="11" t="s">
        <v>4008</v>
      </c>
      <c r="K3333" s="13"/>
      <c r="L3333" s="13"/>
      <c r="M3333" s="14"/>
      <c r="N3333" s="15"/>
      <c r="O3333" s="5" t="s">
        <v>108</v>
      </c>
      <c r="P3333" s="15"/>
      <c r="Q3333" s="15"/>
      <c r="R3333" s="422"/>
      <c r="S3333" s="15"/>
      <c r="T3333" s="15"/>
      <c r="U3333" s="15"/>
      <c r="V3333" s="15"/>
      <c r="W3333" s="15"/>
      <c r="X3333" s="15"/>
      <c r="Y3333" s="15"/>
      <c r="Z3333" s="15"/>
      <c r="AA3333" s="15"/>
    </row>
    <row r="3334">
      <c r="A3334" s="5" t="s">
        <v>15310</v>
      </c>
      <c r="B3334" s="131" t="s">
        <v>15342</v>
      </c>
      <c r="C3334" s="40" t="s">
        <v>15343</v>
      </c>
      <c r="D3334" s="11"/>
      <c r="E3334" s="11" t="s">
        <v>189</v>
      </c>
      <c r="F3334" s="9">
        <v>10000.0</v>
      </c>
      <c r="G3334" s="321"/>
      <c r="H3334" s="11" t="s">
        <v>1640</v>
      </c>
      <c r="I3334" s="276"/>
      <c r="J3334" s="11" t="s">
        <v>25</v>
      </c>
      <c r="K3334" s="12"/>
      <c r="L3334" s="12"/>
      <c r="M3334" s="11" t="s">
        <v>9949</v>
      </c>
      <c r="N3334" s="5" t="s">
        <v>15344</v>
      </c>
      <c r="O3334" s="5" t="s">
        <v>26</v>
      </c>
      <c r="P3334" s="15"/>
      <c r="Q3334" s="15"/>
      <c r="R3334" s="422"/>
      <c r="S3334" s="15"/>
      <c r="T3334" s="15"/>
      <c r="U3334" s="15"/>
      <c r="V3334" s="15"/>
      <c r="W3334" s="15"/>
      <c r="X3334" s="15"/>
      <c r="Y3334" s="15"/>
      <c r="Z3334" s="15"/>
      <c r="AA3334" s="15"/>
    </row>
    <row r="3335">
      <c r="A3335" s="5" t="s">
        <v>15310</v>
      </c>
      <c r="B3335" s="131" t="s">
        <v>15345</v>
      </c>
      <c r="C3335" s="40" t="s">
        <v>15346</v>
      </c>
      <c r="D3335" s="11"/>
      <c r="E3335" s="11" t="s">
        <v>9862</v>
      </c>
      <c r="F3335" s="90">
        <v>200.0</v>
      </c>
      <c r="G3335" s="321"/>
      <c r="H3335" s="11" t="s">
        <v>15347</v>
      </c>
      <c r="I3335" s="423"/>
      <c r="J3335" s="14"/>
      <c r="K3335" s="13"/>
      <c r="L3335" s="13"/>
      <c r="M3335" s="14"/>
      <c r="N3335" s="15"/>
      <c r="O3335" s="5" t="s">
        <v>14119</v>
      </c>
      <c r="P3335" s="15"/>
      <c r="Q3335" s="15"/>
      <c r="R3335" s="422"/>
      <c r="S3335" s="15"/>
      <c r="T3335" s="15"/>
      <c r="U3335" s="15"/>
      <c r="V3335" s="15"/>
      <c r="W3335" s="15"/>
      <c r="X3335" s="15"/>
      <c r="Y3335" s="15"/>
      <c r="Z3335" s="15"/>
      <c r="AA3335" s="15"/>
    </row>
    <row r="3336">
      <c r="A3336" s="5" t="s">
        <v>15310</v>
      </c>
      <c r="B3336" s="131" t="s">
        <v>15348</v>
      </c>
      <c r="C3336" s="40" t="s">
        <v>15349</v>
      </c>
      <c r="D3336" s="11"/>
      <c r="E3336" s="11" t="s">
        <v>152</v>
      </c>
      <c r="F3336" s="90">
        <v>5000.0</v>
      </c>
      <c r="G3336" s="321"/>
      <c r="H3336" s="11" t="s">
        <v>507</v>
      </c>
      <c r="I3336" s="276"/>
      <c r="J3336" s="11" t="s">
        <v>25</v>
      </c>
      <c r="K3336" s="12"/>
      <c r="L3336" s="12"/>
      <c r="M3336" s="11" t="s">
        <v>9983</v>
      </c>
      <c r="N3336" s="5" t="s">
        <v>15350</v>
      </c>
      <c r="O3336" s="5" t="s">
        <v>108</v>
      </c>
      <c r="P3336" s="15"/>
      <c r="Q3336" s="15"/>
      <c r="R3336" s="422"/>
      <c r="S3336" s="15"/>
      <c r="T3336" s="15"/>
      <c r="U3336" s="15"/>
      <c r="V3336" s="15"/>
      <c r="W3336" s="15"/>
      <c r="X3336" s="15"/>
      <c r="Y3336" s="15"/>
      <c r="Z3336" s="15"/>
      <c r="AA3336" s="15"/>
    </row>
    <row r="3337">
      <c r="A3337" s="5" t="s">
        <v>15310</v>
      </c>
      <c r="B3337" s="131" t="s">
        <v>15351</v>
      </c>
      <c r="C3337" s="40" t="s">
        <v>15352</v>
      </c>
      <c r="D3337" s="11"/>
      <c r="E3337" s="11" t="s">
        <v>9283</v>
      </c>
      <c r="F3337" s="90">
        <v>100.0</v>
      </c>
      <c r="G3337" s="321"/>
      <c r="H3337" s="11" t="s">
        <v>9072</v>
      </c>
      <c r="I3337" s="423"/>
      <c r="J3337" s="14"/>
      <c r="K3337" s="12"/>
      <c r="L3337" s="12"/>
      <c r="M3337" s="11" t="s">
        <v>6155</v>
      </c>
      <c r="N3337" s="5" t="s">
        <v>15353</v>
      </c>
      <c r="O3337" s="5" t="s">
        <v>14119</v>
      </c>
      <c r="P3337" s="15"/>
      <c r="Q3337" s="15"/>
      <c r="R3337" s="422"/>
      <c r="S3337" s="15"/>
      <c r="T3337" s="15"/>
      <c r="U3337" s="15"/>
      <c r="V3337" s="15"/>
      <c r="W3337" s="15"/>
      <c r="X3337" s="15"/>
      <c r="Y3337" s="15"/>
      <c r="Z3337" s="15"/>
      <c r="AA3337" s="15"/>
    </row>
    <row r="3338">
      <c r="A3338" s="5" t="s">
        <v>15354</v>
      </c>
      <c r="B3338" s="131" t="s">
        <v>15355</v>
      </c>
      <c r="C3338" s="40" t="s">
        <v>15356</v>
      </c>
      <c r="D3338" s="11"/>
      <c r="E3338" s="11" t="s">
        <v>15357</v>
      </c>
      <c r="F3338" s="9">
        <v>20000.0</v>
      </c>
      <c r="G3338" s="321"/>
      <c r="H3338" s="11" t="s">
        <v>906</v>
      </c>
      <c r="I3338" s="276"/>
      <c r="J3338" s="11" t="s">
        <v>25</v>
      </c>
      <c r="K3338" s="13"/>
      <c r="L3338" s="13"/>
      <c r="M3338" s="14"/>
      <c r="N3338" s="15"/>
      <c r="O3338" s="5" t="s">
        <v>108</v>
      </c>
      <c r="P3338" s="15"/>
      <c r="Q3338" s="15"/>
      <c r="R3338" s="422"/>
      <c r="S3338" s="15"/>
      <c r="T3338" s="15"/>
      <c r="U3338" s="15"/>
      <c r="V3338" s="15"/>
      <c r="W3338" s="15"/>
      <c r="X3338" s="15"/>
      <c r="Y3338" s="15"/>
      <c r="Z3338" s="15"/>
      <c r="AA3338" s="15"/>
    </row>
    <row r="3339">
      <c r="A3339" s="5" t="s">
        <v>15354</v>
      </c>
      <c r="B3339" s="131" t="s">
        <v>15358</v>
      </c>
      <c r="C3339" s="40" t="s">
        <v>15359</v>
      </c>
      <c r="D3339" s="11"/>
      <c r="E3339" s="11" t="s">
        <v>9050</v>
      </c>
      <c r="F3339" s="90">
        <v>5000.0</v>
      </c>
      <c r="G3339" s="321"/>
      <c r="H3339" s="11" t="s">
        <v>15360</v>
      </c>
      <c r="I3339" s="276"/>
      <c r="J3339" s="11" t="s">
        <v>25</v>
      </c>
      <c r="K3339" s="13"/>
      <c r="L3339" s="13"/>
      <c r="M3339" s="14"/>
      <c r="N3339" s="15"/>
      <c r="O3339" s="5" t="s">
        <v>26</v>
      </c>
      <c r="P3339" s="15"/>
      <c r="Q3339" s="15"/>
      <c r="R3339" s="422"/>
      <c r="S3339" s="15"/>
      <c r="T3339" s="15"/>
      <c r="U3339" s="15"/>
      <c r="V3339" s="15"/>
      <c r="W3339" s="15"/>
      <c r="X3339" s="15"/>
      <c r="Y3339" s="15"/>
      <c r="Z3339" s="15"/>
      <c r="AA3339" s="15"/>
    </row>
    <row r="3340">
      <c r="A3340" s="352" t="s">
        <v>15354</v>
      </c>
      <c r="B3340" s="131" t="s">
        <v>15361</v>
      </c>
      <c r="C3340" s="40" t="s">
        <v>15362</v>
      </c>
      <c r="D3340" s="11"/>
      <c r="E3340" s="11" t="s">
        <v>116</v>
      </c>
      <c r="F3340" s="90">
        <v>100.0</v>
      </c>
      <c r="G3340" s="321"/>
      <c r="H3340" s="11" t="s">
        <v>15363</v>
      </c>
      <c r="I3340" s="423"/>
      <c r="J3340" s="14"/>
      <c r="K3340" s="12"/>
      <c r="L3340" s="12"/>
      <c r="M3340" s="11" t="s">
        <v>15128</v>
      </c>
      <c r="N3340" s="5" t="s">
        <v>15364</v>
      </c>
      <c r="O3340" s="5" t="s">
        <v>14119</v>
      </c>
      <c r="P3340" s="15"/>
      <c r="Q3340" s="15"/>
      <c r="R3340" s="422"/>
      <c r="S3340" s="15"/>
      <c r="T3340" s="15"/>
      <c r="U3340" s="15"/>
      <c r="V3340" s="15"/>
      <c r="W3340" s="15"/>
      <c r="X3340" s="15"/>
      <c r="Y3340" s="15"/>
      <c r="Z3340" s="15"/>
      <c r="AA3340" s="15"/>
    </row>
    <row r="3341">
      <c r="A3341" s="5" t="s">
        <v>15354</v>
      </c>
      <c r="B3341" s="131" t="s">
        <v>15365</v>
      </c>
      <c r="C3341" s="40" t="s">
        <v>5039</v>
      </c>
      <c r="D3341" s="11"/>
      <c r="E3341" s="11" t="s">
        <v>3489</v>
      </c>
      <c r="F3341" s="90">
        <v>1000.0</v>
      </c>
      <c r="G3341" s="321"/>
      <c r="H3341" s="11" t="s">
        <v>15002</v>
      </c>
      <c r="I3341" s="276"/>
      <c r="J3341" s="11" t="s">
        <v>4008</v>
      </c>
      <c r="K3341" s="12"/>
      <c r="L3341" s="12"/>
      <c r="M3341" s="11" t="s">
        <v>15366</v>
      </c>
      <c r="N3341" s="5" t="s">
        <v>15367</v>
      </c>
      <c r="O3341" s="5" t="s">
        <v>108</v>
      </c>
      <c r="P3341" s="15"/>
      <c r="Q3341" s="15"/>
      <c r="R3341" s="422"/>
      <c r="S3341" s="15"/>
      <c r="T3341" s="15"/>
      <c r="U3341" s="15"/>
      <c r="V3341" s="15"/>
      <c r="W3341" s="15"/>
      <c r="X3341" s="15"/>
      <c r="Y3341" s="15"/>
      <c r="Z3341" s="15"/>
      <c r="AA3341" s="15"/>
    </row>
    <row r="3342">
      <c r="A3342" s="5" t="s">
        <v>15354</v>
      </c>
      <c r="B3342" s="131" t="s">
        <v>15368</v>
      </c>
      <c r="C3342" s="40" t="s">
        <v>15369</v>
      </c>
      <c r="D3342" s="11"/>
      <c r="E3342" s="11" t="s">
        <v>794</v>
      </c>
      <c r="F3342" s="90">
        <v>1300.0</v>
      </c>
      <c r="G3342" s="321"/>
      <c r="H3342" s="11" t="s">
        <v>14616</v>
      </c>
      <c r="I3342" s="423"/>
      <c r="J3342" s="14"/>
      <c r="K3342" s="12"/>
      <c r="L3342" s="12"/>
      <c r="M3342" s="11" t="s">
        <v>7651</v>
      </c>
      <c r="N3342" s="5" t="s">
        <v>15370</v>
      </c>
      <c r="O3342" s="5" t="s">
        <v>14409</v>
      </c>
      <c r="P3342" s="15"/>
      <c r="Q3342" s="15"/>
      <c r="R3342" s="422"/>
      <c r="S3342" s="15"/>
      <c r="T3342" s="15"/>
      <c r="U3342" s="15"/>
      <c r="V3342" s="15"/>
      <c r="W3342" s="15"/>
      <c r="X3342" s="15"/>
      <c r="Y3342" s="15"/>
      <c r="Z3342" s="15"/>
      <c r="AA3342" s="15"/>
    </row>
    <row r="3343">
      <c r="A3343" s="5" t="s">
        <v>15354</v>
      </c>
      <c r="B3343" s="131" t="s">
        <v>15371</v>
      </c>
      <c r="C3343" s="40" t="s">
        <v>15372</v>
      </c>
      <c r="D3343" s="11"/>
      <c r="E3343" s="11" t="s">
        <v>152</v>
      </c>
      <c r="F3343" s="90">
        <v>5000.0</v>
      </c>
      <c r="G3343" s="321"/>
      <c r="H3343" s="11" t="s">
        <v>467</v>
      </c>
      <c r="I3343" s="276"/>
      <c r="J3343" s="11" t="s">
        <v>4008</v>
      </c>
      <c r="K3343" s="12"/>
      <c r="L3343" s="12"/>
      <c r="M3343" s="11" t="s">
        <v>9983</v>
      </c>
      <c r="N3343" s="5" t="s">
        <v>15373</v>
      </c>
      <c r="O3343" s="5" t="s">
        <v>108</v>
      </c>
      <c r="P3343" s="15"/>
      <c r="Q3343" s="15"/>
      <c r="R3343" s="422"/>
      <c r="S3343" s="15"/>
      <c r="T3343" s="15"/>
      <c r="U3343" s="15"/>
      <c r="V3343" s="15"/>
      <c r="W3343" s="15"/>
      <c r="X3343" s="15"/>
      <c r="Y3343" s="15"/>
      <c r="Z3343" s="15"/>
      <c r="AA3343" s="15"/>
    </row>
    <row r="3344">
      <c r="A3344" s="5" t="s">
        <v>15354</v>
      </c>
      <c r="B3344" s="131" t="s">
        <v>15374</v>
      </c>
      <c r="C3344" s="40" t="s">
        <v>15375</v>
      </c>
      <c r="D3344" s="11"/>
      <c r="E3344" s="11" t="s">
        <v>7057</v>
      </c>
      <c r="F3344" s="90">
        <v>200.0</v>
      </c>
      <c r="G3344" s="321"/>
      <c r="H3344" s="11" t="s">
        <v>44</v>
      </c>
      <c r="I3344" s="276"/>
      <c r="J3344" s="11" t="s">
        <v>4008</v>
      </c>
      <c r="K3344" s="12"/>
      <c r="L3344" s="12"/>
      <c r="M3344" s="11" t="s">
        <v>15376</v>
      </c>
      <c r="N3344" s="5" t="s">
        <v>15377</v>
      </c>
      <c r="O3344" s="5" t="s">
        <v>14119</v>
      </c>
      <c r="P3344" s="15"/>
      <c r="Q3344" s="15"/>
      <c r="R3344" s="422"/>
      <c r="S3344" s="15"/>
      <c r="T3344" s="15"/>
      <c r="U3344" s="15"/>
      <c r="V3344" s="15"/>
      <c r="W3344" s="15"/>
      <c r="X3344" s="15"/>
      <c r="Y3344" s="15"/>
      <c r="Z3344" s="15"/>
      <c r="AA3344" s="15"/>
    </row>
    <row r="3345">
      <c r="A3345" s="5" t="s">
        <v>15354</v>
      </c>
      <c r="B3345" s="131" t="s">
        <v>15378</v>
      </c>
      <c r="C3345" s="40" t="s">
        <v>15379</v>
      </c>
      <c r="D3345" s="11"/>
      <c r="E3345" s="11" t="s">
        <v>11430</v>
      </c>
      <c r="F3345" s="90">
        <v>3000.0</v>
      </c>
      <c r="G3345" s="321"/>
      <c r="H3345" s="11" t="s">
        <v>15380</v>
      </c>
      <c r="I3345" s="276"/>
      <c r="J3345" s="11" t="s">
        <v>25</v>
      </c>
      <c r="K3345" s="12"/>
      <c r="L3345" s="12"/>
      <c r="M3345" s="11" t="s">
        <v>9742</v>
      </c>
      <c r="N3345" s="5" t="s">
        <v>15381</v>
      </c>
      <c r="O3345" s="5" t="s">
        <v>26</v>
      </c>
      <c r="P3345" s="15"/>
      <c r="Q3345" s="15"/>
      <c r="R3345" s="422"/>
      <c r="S3345" s="15"/>
      <c r="T3345" s="15"/>
      <c r="U3345" s="15"/>
      <c r="V3345" s="15"/>
      <c r="W3345" s="15"/>
      <c r="X3345" s="15"/>
      <c r="Y3345" s="15"/>
      <c r="Z3345" s="15"/>
      <c r="AA3345" s="15"/>
    </row>
    <row r="3346">
      <c r="A3346" s="352" t="s">
        <v>15382</v>
      </c>
      <c r="B3346" s="131" t="s">
        <v>15383</v>
      </c>
      <c r="C3346" s="40" t="s">
        <v>15384</v>
      </c>
      <c r="D3346" s="11"/>
      <c r="E3346" s="11" t="s">
        <v>15385</v>
      </c>
      <c r="F3346" s="9">
        <v>100000.0</v>
      </c>
      <c r="G3346" s="321"/>
      <c r="H3346" s="11" t="s">
        <v>44</v>
      </c>
      <c r="I3346" s="423"/>
      <c r="J3346" s="14"/>
      <c r="K3346" s="12"/>
      <c r="L3346" s="12"/>
      <c r="M3346" s="11" t="s">
        <v>10342</v>
      </c>
      <c r="N3346" s="5" t="s">
        <v>15386</v>
      </c>
      <c r="O3346" s="5" t="s">
        <v>26</v>
      </c>
      <c r="P3346" s="15"/>
      <c r="Q3346" s="15"/>
      <c r="R3346" s="422"/>
      <c r="S3346" s="15"/>
      <c r="T3346" s="15"/>
      <c r="U3346" s="15"/>
      <c r="V3346" s="15"/>
      <c r="W3346" s="15"/>
      <c r="X3346" s="15"/>
      <c r="Y3346" s="15"/>
      <c r="Z3346" s="15"/>
      <c r="AA3346" s="15"/>
    </row>
    <row r="3347">
      <c r="A3347" s="5" t="s">
        <v>15382</v>
      </c>
      <c r="B3347" s="131" t="s">
        <v>15387</v>
      </c>
      <c r="C3347" s="40" t="s">
        <v>15388</v>
      </c>
      <c r="D3347" s="11"/>
      <c r="E3347" s="11" t="s">
        <v>5502</v>
      </c>
      <c r="F3347" s="90" t="s">
        <v>15389</v>
      </c>
      <c r="G3347" s="321"/>
      <c r="H3347" s="11" t="s">
        <v>15390</v>
      </c>
      <c r="I3347" s="423"/>
      <c r="J3347" s="14"/>
      <c r="K3347" s="12"/>
      <c r="L3347" s="12"/>
      <c r="M3347" s="11" t="s">
        <v>11774</v>
      </c>
      <c r="N3347" s="5" t="s">
        <v>15391</v>
      </c>
      <c r="O3347" s="5" t="s">
        <v>108</v>
      </c>
      <c r="P3347" s="15"/>
      <c r="Q3347" s="15"/>
      <c r="R3347" s="422"/>
      <c r="S3347" s="15"/>
      <c r="T3347" s="15"/>
      <c r="U3347" s="15"/>
      <c r="V3347" s="15"/>
      <c r="W3347" s="15"/>
      <c r="X3347" s="15"/>
      <c r="Y3347" s="15"/>
      <c r="Z3347" s="15"/>
      <c r="AA3347" s="15"/>
    </row>
    <row r="3348">
      <c r="A3348" s="5" t="s">
        <v>15382</v>
      </c>
      <c r="B3348" s="131" t="s">
        <v>15392</v>
      </c>
      <c r="C3348" s="40" t="s">
        <v>15393</v>
      </c>
      <c r="D3348" s="11"/>
      <c r="E3348" s="11" t="s">
        <v>15394</v>
      </c>
      <c r="F3348" s="90">
        <v>5000.0</v>
      </c>
      <c r="G3348" s="321"/>
      <c r="H3348" s="11" t="s">
        <v>15395</v>
      </c>
      <c r="I3348" s="276"/>
      <c r="J3348" s="11" t="s">
        <v>25</v>
      </c>
      <c r="K3348" s="13"/>
      <c r="L3348" s="13"/>
      <c r="M3348" s="14"/>
      <c r="N3348" s="15"/>
      <c r="O3348" s="5" t="s">
        <v>26</v>
      </c>
      <c r="P3348" s="15"/>
      <c r="Q3348" s="15"/>
      <c r="R3348" s="422"/>
      <c r="S3348" s="15"/>
      <c r="T3348" s="15"/>
      <c r="U3348" s="15"/>
      <c r="V3348" s="15"/>
      <c r="W3348" s="15"/>
      <c r="X3348" s="15"/>
      <c r="Y3348" s="15"/>
      <c r="Z3348" s="15"/>
      <c r="AA3348" s="15"/>
    </row>
    <row r="3349">
      <c r="A3349" s="5" t="s">
        <v>15382</v>
      </c>
      <c r="B3349" s="131" t="s">
        <v>15396</v>
      </c>
      <c r="C3349" s="40" t="s">
        <v>15397</v>
      </c>
      <c r="D3349" s="11"/>
      <c r="E3349" s="11" t="s">
        <v>15398</v>
      </c>
      <c r="F3349" s="9">
        <v>25000.0</v>
      </c>
      <c r="G3349" s="321"/>
      <c r="H3349" s="11" t="s">
        <v>638</v>
      </c>
      <c r="I3349" s="276"/>
      <c r="J3349" s="11" t="s">
        <v>25</v>
      </c>
      <c r="K3349" s="12"/>
      <c r="L3349" s="12"/>
      <c r="M3349" s="11" t="s">
        <v>7965</v>
      </c>
      <c r="N3349" s="5" t="s">
        <v>15399</v>
      </c>
      <c r="O3349" s="5" t="s">
        <v>26</v>
      </c>
      <c r="P3349" s="15"/>
      <c r="Q3349" s="15"/>
      <c r="R3349" s="422"/>
      <c r="S3349" s="15"/>
      <c r="T3349" s="15"/>
      <c r="U3349" s="15"/>
      <c r="V3349" s="15"/>
      <c r="W3349" s="15"/>
      <c r="X3349" s="15"/>
      <c r="Y3349" s="15"/>
      <c r="Z3349" s="15"/>
      <c r="AA3349" s="15"/>
    </row>
    <row r="3350">
      <c r="A3350" s="5" t="s">
        <v>15382</v>
      </c>
      <c r="B3350" s="131" t="s">
        <v>15400</v>
      </c>
      <c r="C3350" s="40" t="s">
        <v>15401</v>
      </c>
      <c r="D3350" s="11"/>
      <c r="E3350" s="11" t="s">
        <v>11309</v>
      </c>
      <c r="F3350" s="90">
        <v>1000.0</v>
      </c>
      <c r="G3350" s="321"/>
      <c r="H3350" s="11" t="s">
        <v>930</v>
      </c>
      <c r="I3350" s="423"/>
      <c r="J3350" s="14"/>
      <c r="K3350" s="13"/>
      <c r="L3350" s="13"/>
      <c r="M3350" s="14"/>
      <c r="N3350" s="15"/>
      <c r="O3350" s="5" t="s">
        <v>108</v>
      </c>
      <c r="P3350" s="15"/>
      <c r="Q3350" s="15"/>
      <c r="R3350" s="422"/>
      <c r="S3350" s="15"/>
      <c r="T3350" s="15"/>
      <c r="U3350" s="15"/>
      <c r="V3350" s="15"/>
      <c r="W3350" s="15"/>
      <c r="X3350" s="15"/>
      <c r="Y3350" s="15"/>
      <c r="Z3350" s="15"/>
      <c r="AA3350" s="15"/>
    </row>
    <row r="3351">
      <c r="A3351" s="5" t="s">
        <v>15382</v>
      </c>
      <c r="B3351" s="131" t="s">
        <v>15402</v>
      </c>
      <c r="C3351" s="40" t="s">
        <v>15403</v>
      </c>
      <c r="D3351" s="11"/>
      <c r="E3351" s="11" t="s">
        <v>1565</v>
      </c>
      <c r="F3351" s="90">
        <v>100.0</v>
      </c>
      <c r="G3351" s="321"/>
      <c r="H3351" s="11" t="s">
        <v>44</v>
      </c>
      <c r="I3351" s="423"/>
      <c r="J3351" s="14"/>
      <c r="K3351" s="12"/>
      <c r="L3351" s="12"/>
      <c r="M3351" s="11" t="s">
        <v>8782</v>
      </c>
      <c r="N3351" s="5" t="s">
        <v>15404</v>
      </c>
      <c r="O3351" s="5" t="s">
        <v>14119</v>
      </c>
      <c r="P3351" s="15"/>
      <c r="Q3351" s="15"/>
      <c r="R3351" s="422"/>
      <c r="S3351" s="15"/>
      <c r="T3351" s="15"/>
      <c r="U3351" s="15"/>
      <c r="V3351" s="15"/>
      <c r="W3351" s="15"/>
      <c r="X3351" s="15"/>
      <c r="Y3351" s="15"/>
      <c r="Z3351" s="15"/>
      <c r="AA3351" s="15"/>
    </row>
    <row r="3352">
      <c r="A3352" s="5" t="s">
        <v>15382</v>
      </c>
      <c r="B3352" s="131" t="s">
        <v>15405</v>
      </c>
      <c r="C3352" s="40" t="s">
        <v>15406</v>
      </c>
      <c r="D3352" s="11"/>
      <c r="E3352" s="11" t="s">
        <v>189</v>
      </c>
      <c r="F3352" s="90">
        <v>2000.0</v>
      </c>
      <c r="G3352" s="321"/>
      <c r="H3352" s="11" t="s">
        <v>15407</v>
      </c>
      <c r="I3352" s="276"/>
      <c r="J3352" s="11" t="s">
        <v>25</v>
      </c>
      <c r="K3352" s="12"/>
      <c r="L3352" s="12"/>
      <c r="M3352" s="11" t="s">
        <v>8348</v>
      </c>
      <c r="N3352" s="5" t="s">
        <v>15408</v>
      </c>
      <c r="O3352" s="5" t="s">
        <v>26</v>
      </c>
      <c r="P3352" s="15"/>
      <c r="Q3352" s="15"/>
      <c r="R3352" s="422"/>
      <c r="S3352" s="15"/>
      <c r="T3352" s="15"/>
      <c r="U3352" s="15"/>
      <c r="V3352" s="15"/>
      <c r="W3352" s="15"/>
      <c r="X3352" s="15"/>
      <c r="Y3352" s="15"/>
      <c r="Z3352" s="15"/>
      <c r="AA3352" s="15"/>
    </row>
    <row r="3353">
      <c r="A3353" s="5" t="s">
        <v>15382</v>
      </c>
      <c r="B3353" s="131" t="s">
        <v>15409</v>
      </c>
      <c r="C3353" s="40" t="s">
        <v>15410</v>
      </c>
      <c r="D3353" s="11"/>
      <c r="E3353" s="11" t="s">
        <v>15411</v>
      </c>
      <c r="F3353" s="90">
        <v>1000.0</v>
      </c>
      <c r="G3353" s="321"/>
      <c r="H3353" s="11" t="s">
        <v>9390</v>
      </c>
      <c r="I3353" s="423"/>
      <c r="J3353" s="14"/>
      <c r="K3353" s="12"/>
      <c r="L3353" s="12"/>
      <c r="M3353" s="11" t="s">
        <v>9298</v>
      </c>
      <c r="N3353" s="5" t="s">
        <v>15412</v>
      </c>
      <c r="O3353" s="5" t="s">
        <v>26</v>
      </c>
      <c r="P3353" s="15"/>
      <c r="Q3353" s="15"/>
      <c r="R3353" s="422"/>
      <c r="S3353" s="15"/>
      <c r="T3353" s="15"/>
      <c r="U3353" s="15"/>
      <c r="V3353" s="15"/>
      <c r="W3353" s="15"/>
      <c r="X3353" s="15"/>
      <c r="Y3353" s="15"/>
      <c r="Z3353" s="15"/>
      <c r="AA3353" s="15"/>
    </row>
    <row r="3354">
      <c r="A3354" s="5" t="s">
        <v>15382</v>
      </c>
      <c r="B3354" s="131" t="s">
        <v>15413</v>
      </c>
      <c r="C3354" s="40" t="s">
        <v>15414</v>
      </c>
      <c r="D3354" s="11"/>
      <c r="E3354" s="11" t="s">
        <v>15415</v>
      </c>
      <c r="F3354" s="90">
        <v>1000.0</v>
      </c>
      <c r="G3354" s="321"/>
      <c r="H3354" s="11" t="s">
        <v>14723</v>
      </c>
      <c r="I3354" s="276"/>
      <c r="J3354" s="11" t="s">
        <v>25</v>
      </c>
      <c r="K3354" s="12"/>
      <c r="L3354" s="12"/>
      <c r="M3354" s="11" t="s">
        <v>15366</v>
      </c>
      <c r="N3354" s="5" t="s">
        <v>15416</v>
      </c>
      <c r="O3354" s="5" t="s">
        <v>26</v>
      </c>
      <c r="P3354" s="15"/>
      <c r="Q3354" s="15"/>
      <c r="R3354" s="422"/>
      <c r="S3354" s="15"/>
      <c r="T3354" s="15"/>
      <c r="U3354" s="15"/>
      <c r="V3354" s="15"/>
      <c r="W3354" s="15"/>
      <c r="X3354" s="15"/>
      <c r="Y3354" s="15"/>
      <c r="Z3354" s="15"/>
      <c r="AA3354" s="15"/>
    </row>
    <row r="3355">
      <c r="A3355" s="5" t="s">
        <v>15382</v>
      </c>
      <c r="B3355" s="131" t="s">
        <v>15417</v>
      </c>
      <c r="C3355" s="40" t="s">
        <v>15418</v>
      </c>
      <c r="D3355" s="11"/>
      <c r="E3355" s="11" t="s">
        <v>6323</v>
      </c>
      <c r="F3355" s="90">
        <v>1000.0</v>
      </c>
      <c r="G3355" s="321"/>
      <c r="H3355" s="11" t="s">
        <v>44</v>
      </c>
      <c r="I3355" s="423"/>
      <c r="J3355" s="14"/>
      <c r="K3355" s="13"/>
      <c r="L3355" s="13"/>
      <c r="M3355" s="14"/>
      <c r="N3355" s="15"/>
      <c r="O3355" s="5" t="s">
        <v>26</v>
      </c>
      <c r="P3355" s="15"/>
      <c r="Q3355" s="15"/>
      <c r="R3355" s="422"/>
      <c r="S3355" s="15"/>
      <c r="T3355" s="15"/>
      <c r="U3355" s="15"/>
      <c r="V3355" s="15"/>
      <c r="W3355" s="15"/>
      <c r="X3355" s="15"/>
      <c r="Y3355" s="15"/>
      <c r="Z3355" s="15"/>
      <c r="AA3355" s="15"/>
    </row>
    <row r="3356">
      <c r="A3356" s="5" t="s">
        <v>15419</v>
      </c>
      <c r="B3356" s="131" t="s">
        <v>15420</v>
      </c>
      <c r="C3356" s="40" t="s">
        <v>15421</v>
      </c>
      <c r="D3356" s="11"/>
      <c r="E3356" s="11" t="s">
        <v>15422</v>
      </c>
      <c r="F3356" s="90" t="s">
        <v>15423</v>
      </c>
      <c r="G3356" s="321"/>
      <c r="H3356" s="11" t="s">
        <v>15424</v>
      </c>
      <c r="I3356" s="423"/>
      <c r="J3356" s="14"/>
      <c r="K3356" s="12"/>
      <c r="L3356" s="12"/>
      <c r="M3356" s="11" t="s">
        <v>10721</v>
      </c>
      <c r="N3356" s="5" t="s">
        <v>15425</v>
      </c>
      <c r="O3356" s="5" t="s">
        <v>11367</v>
      </c>
      <c r="P3356" s="15"/>
      <c r="Q3356" s="15"/>
      <c r="R3356" s="422"/>
      <c r="S3356" s="15"/>
      <c r="T3356" s="15"/>
      <c r="U3356" s="15"/>
      <c r="V3356" s="15"/>
      <c r="W3356" s="15"/>
      <c r="X3356" s="15"/>
      <c r="Y3356" s="15"/>
      <c r="Z3356" s="15"/>
      <c r="AA3356" s="15"/>
    </row>
    <row r="3357">
      <c r="A3357" s="5" t="s">
        <v>15419</v>
      </c>
      <c r="B3357" s="131" t="s">
        <v>15426</v>
      </c>
      <c r="C3357" s="40" t="s">
        <v>15427</v>
      </c>
      <c r="D3357" s="11"/>
      <c r="E3357" s="11" t="s">
        <v>15428</v>
      </c>
      <c r="F3357" s="90">
        <v>200.0</v>
      </c>
      <c r="G3357" s="321"/>
      <c r="H3357" s="11" t="s">
        <v>184</v>
      </c>
      <c r="I3357" s="423"/>
      <c r="J3357" s="14"/>
      <c r="K3357" s="13"/>
      <c r="L3357" s="13"/>
      <c r="M3357" s="14"/>
      <c r="N3357" s="15"/>
      <c r="O3357" s="5" t="s">
        <v>14119</v>
      </c>
      <c r="P3357" s="15"/>
      <c r="Q3357" s="15"/>
      <c r="R3357" s="422"/>
      <c r="S3357" s="15"/>
      <c r="T3357" s="15"/>
      <c r="U3357" s="15"/>
      <c r="V3357" s="15"/>
      <c r="W3357" s="15"/>
      <c r="X3357" s="15"/>
      <c r="Y3357" s="15"/>
      <c r="Z3357" s="15"/>
      <c r="AA3357" s="15"/>
    </row>
    <row r="3358">
      <c r="A3358" s="5" t="s">
        <v>15419</v>
      </c>
      <c r="B3358" s="131" t="s">
        <v>15429</v>
      </c>
      <c r="C3358" s="40" t="s">
        <v>15430</v>
      </c>
      <c r="D3358" s="11"/>
      <c r="E3358" s="11" t="s">
        <v>15431</v>
      </c>
      <c r="F3358" s="90">
        <v>500.0</v>
      </c>
      <c r="G3358" s="321"/>
      <c r="H3358" s="11" t="s">
        <v>44</v>
      </c>
      <c r="I3358" s="276"/>
      <c r="J3358" s="11" t="s">
        <v>25</v>
      </c>
      <c r="K3358" s="13"/>
      <c r="L3358" s="13"/>
      <c r="M3358" s="14"/>
      <c r="N3358" s="15"/>
      <c r="O3358" s="5" t="s">
        <v>26</v>
      </c>
      <c r="P3358" s="15"/>
      <c r="Q3358" s="15"/>
      <c r="R3358" s="422"/>
      <c r="S3358" s="15"/>
      <c r="T3358" s="15"/>
      <c r="U3358" s="15"/>
      <c r="V3358" s="15"/>
      <c r="W3358" s="15"/>
      <c r="X3358" s="15"/>
      <c r="Y3358" s="15"/>
      <c r="Z3358" s="15"/>
      <c r="AA3358" s="15"/>
    </row>
    <row r="3359">
      <c r="A3359" s="5" t="s">
        <v>15419</v>
      </c>
      <c r="B3359" s="131" t="s">
        <v>15432</v>
      </c>
      <c r="C3359" s="40" t="s">
        <v>15433</v>
      </c>
      <c r="D3359" s="11"/>
      <c r="E3359" s="11" t="s">
        <v>15434</v>
      </c>
      <c r="F3359" s="90">
        <v>1000.0</v>
      </c>
      <c r="G3359" s="321"/>
      <c r="H3359" s="11" t="s">
        <v>44</v>
      </c>
      <c r="I3359" s="423"/>
      <c r="J3359" s="14"/>
      <c r="K3359" s="13"/>
      <c r="L3359" s="13"/>
      <c r="M3359" s="14"/>
      <c r="N3359" s="15"/>
      <c r="O3359" s="5" t="s">
        <v>26</v>
      </c>
      <c r="P3359" s="15"/>
      <c r="Q3359" s="15"/>
      <c r="R3359" s="422"/>
      <c r="S3359" s="15"/>
      <c r="T3359" s="15"/>
      <c r="U3359" s="15"/>
      <c r="V3359" s="15"/>
      <c r="W3359" s="15"/>
      <c r="X3359" s="15"/>
      <c r="Y3359" s="15"/>
      <c r="Z3359" s="15"/>
      <c r="AA3359" s="15"/>
    </row>
    <row r="3360">
      <c r="A3360" s="352" t="s">
        <v>15419</v>
      </c>
      <c r="B3360" s="131" t="s">
        <v>15435</v>
      </c>
      <c r="C3360" s="40" t="s">
        <v>15436</v>
      </c>
      <c r="D3360" s="11"/>
      <c r="E3360" s="11" t="s">
        <v>15040</v>
      </c>
      <c r="F3360" s="90">
        <v>500.0</v>
      </c>
      <c r="G3360" s="321"/>
      <c r="H3360" s="11" t="s">
        <v>15437</v>
      </c>
      <c r="I3360" s="423"/>
      <c r="J3360" s="14"/>
      <c r="K3360" s="12"/>
      <c r="L3360" s="12"/>
      <c r="M3360" s="11" t="s">
        <v>13938</v>
      </c>
      <c r="N3360" s="5" t="s">
        <v>15438</v>
      </c>
      <c r="O3360" s="5" t="s">
        <v>108</v>
      </c>
      <c r="P3360" s="15"/>
      <c r="Q3360" s="15"/>
      <c r="R3360" s="422"/>
      <c r="S3360" s="15"/>
      <c r="T3360" s="15"/>
      <c r="U3360" s="15"/>
      <c r="V3360" s="15"/>
      <c r="W3360" s="15"/>
      <c r="X3360" s="15"/>
      <c r="Y3360" s="15"/>
      <c r="Z3360" s="15"/>
      <c r="AA3360" s="15"/>
    </row>
    <row r="3361">
      <c r="A3361" s="5" t="s">
        <v>15419</v>
      </c>
      <c r="B3361" s="131" t="s">
        <v>15439</v>
      </c>
      <c r="C3361" s="40" t="s">
        <v>15440</v>
      </c>
      <c r="D3361" s="11"/>
      <c r="E3361" s="11" t="s">
        <v>130</v>
      </c>
      <c r="F3361" s="90">
        <v>1000.0</v>
      </c>
      <c r="G3361" s="321"/>
      <c r="H3361" s="11" t="s">
        <v>11810</v>
      </c>
      <c r="I3361" s="276"/>
      <c r="J3361" s="11" t="s">
        <v>4008</v>
      </c>
      <c r="K3361" s="12"/>
      <c r="L3361" s="12"/>
      <c r="M3361" s="11" t="s">
        <v>9587</v>
      </c>
      <c r="N3361" s="5" t="s">
        <v>15441</v>
      </c>
      <c r="O3361" s="5" t="s">
        <v>26</v>
      </c>
      <c r="P3361" s="15"/>
      <c r="Q3361" s="15"/>
      <c r="R3361" s="422"/>
      <c r="S3361" s="15"/>
      <c r="T3361" s="15"/>
      <c r="U3361" s="15"/>
      <c r="V3361" s="15"/>
      <c r="W3361" s="15"/>
      <c r="X3361" s="15"/>
      <c r="Y3361" s="15"/>
      <c r="Z3361" s="15"/>
      <c r="AA3361" s="15"/>
    </row>
    <row r="3362">
      <c r="A3362" s="5" t="s">
        <v>15419</v>
      </c>
      <c r="B3362" s="131" t="s">
        <v>15442</v>
      </c>
      <c r="C3362" s="40" t="s">
        <v>9797</v>
      </c>
      <c r="D3362" s="11"/>
      <c r="E3362" s="11" t="s">
        <v>15443</v>
      </c>
      <c r="F3362" s="9">
        <v>21000.0</v>
      </c>
      <c r="G3362" s="321"/>
      <c r="H3362" s="11" t="s">
        <v>44</v>
      </c>
      <c r="I3362" s="276"/>
      <c r="J3362" s="11" t="s">
        <v>12882</v>
      </c>
      <c r="K3362" s="13"/>
      <c r="L3362" s="13"/>
      <c r="M3362" s="14"/>
      <c r="N3362" s="15"/>
      <c r="O3362" s="5" t="s">
        <v>11367</v>
      </c>
      <c r="P3362" s="15"/>
      <c r="Q3362" s="15"/>
      <c r="R3362" s="422"/>
      <c r="S3362" s="15"/>
      <c r="T3362" s="15"/>
      <c r="U3362" s="15"/>
      <c r="V3362" s="15"/>
      <c r="W3362" s="15"/>
      <c r="X3362" s="15"/>
      <c r="Y3362" s="15"/>
      <c r="Z3362" s="15"/>
      <c r="AA3362" s="15"/>
    </row>
    <row r="3363">
      <c r="A3363" s="5" t="s">
        <v>15419</v>
      </c>
      <c r="B3363" s="131" t="s">
        <v>15444</v>
      </c>
      <c r="C3363" s="40" t="s">
        <v>15445</v>
      </c>
      <c r="D3363" s="11"/>
      <c r="E3363" s="11" t="s">
        <v>5502</v>
      </c>
      <c r="F3363" s="90" t="s">
        <v>15446</v>
      </c>
      <c r="G3363" s="321"/>
      <c r="H3363" s="11" t="s">
        <v>15447</v>
      </c>
      <c r="I3363" s="423"/>
      <c r="J3363" s="14"/>
      <c r="K3363" s="12"/>
      <c r="L3363" s="12"/>
      <c r="M3363" s="11" t="s">
        <v>14392</v>
      </c>
      <c r="N3363" s="5" t="s">
        <v>15448</v>
      </c>
      <c r="O3363" s="5" t="s">
        <v>108</v>
      </c>
      <c r="P3363" s="15"/>
      <c r="Q3363" s="15"/>
      <c r="R3363" s="422"/>
      <c r="S3363" s="15"/>
      <c r="T3363" s="15"/>
      <c r="U3363" s="15"/>
      <c r="V3363" s="15"/>
      <c r="W3363" s="15"/>
      <c r="X3363" s="15"/>
      <c r="Y3363" s="15"/>
      <c r="Z3363" s="15"/>
      <c r="AA3363" s="15"/>
    </row>
    <row r="3364">
      <c r="A3364" s="5" t="s">
        <v>15419</v>
      </c>
      <c r="B3364" s="131" t="s">
        <v>15449</v>
      </c>
      <c r="C3364" s="40" t="s">
        <v>15450</v>
      </c>
      <c r="D3364" s="11"/>
      <c r="E3364" s="11" t="s">
        <v>8931</v>
      </c>
      <c r="F3364" s="90">
        <v>5000.0</v>
      </c>
      <c r="G3364" s="321"/>
      <c r="H3364" s="11" t="s">
        <v>15451</v>
      </c>
      <c r="I3364" s="423"/>
      <c r="J3364" s="14"/>
      <c r="K3364" s="13"/>
      <c r="L3364" s="13"/>
      <c r="M3364" s="14"/>
      <c r="N3364" s="15"/>
      <c r="O3364" s="5" t="s">
        <v>108</v>
      </c>
      <c r="P3364" s="15"/>
      <c r="Q3364" s="15"/>
      <c r="R3364" s="422"/>
      <c r="S3364" s="15"/>
      <c r="T3364" s="15"/>
      <c r="U3364" s="15"/>
      <c r="V3364" s="15"/>
      <c r="W3364" s="15"/>
      <c r="X3364" s="15"/>
      <c r="Y3364" s="15"/>
      <c r="Z3364" s="15"/>
      <c r="AA3364" s="15"/>
    </row>
    <row r="3365">
      <c r="A3365" s="5" t="s">
        <v>15419</v>
      </c>
      <c r="B3365" s="131" t="s">
        <v>15452</v>
      </c>
      <c r="C3365" s="40" t="s">
        <v>15453</v>
      </c>
      <c r="D3365" s="11"/>
      <c r="E3365" s="11" t="s">
        <v>152</v>
      </c>
      <c r="F3365" s="90">
        <v>1000.0</v>
      </c>
      <c r="G3365" s="321"/>
      <c r="H3365" s="11" t="s">
        <v>44</v>
      </c>
      <c r="I3365" s="276"/>
      <c r="J3365" s="11" t="s">
        <v>4008</v>
      </c>
      <c r="K3365" s="12"/>
      <c r="L3365" s="12"/>
      <c r="M3365" s="11" t="s">
        <v>9707</v>
      </c>
      <c r="N3365" s="5" t="s">
        <v>15454</v>
      </c>
      <c r="O3365" s="5" t="s">
        <v>26</v>
      </c>
      <c r="P3365" s="15"/>
      <c r="Q3365" s="15"/>
      <c r="R3365" s="422"/>
      <c r="S3365" s="15"/>
      <c r="T3365" s="15"/>
      <c r="U3365" s="15"/>
      <c r="V3365" s="15"/>
      <c r="W3365" s="15"/>
      <c r="X3365" s="15"/>
      <c r="Y3365" s="15"/>
      <c r="Z3365" s="15"/>
      <c r="AA3365" s="15"/>
    </row>
    <row r="3366">
      <c r="A3366" s="5" t="s">
        <v>15419</v>
      </c>
      <c r="B3366" s="131" t="s">
        <v>15455</v>
      </c>
      <c r="C3366" s="40" t="s">
        <v>15456</v>
      </c>
      <c r="D3366" s="11"/>
      <c r="E3366" s="11" t="s">
        <v>167</v>
      </c>
      <c r="F3366" s="90">
        <v>200.0</v>
      </c>
      <c r="G3366" s="321"/>
      <c r="H3366" s="11" t="s">
        <v>2662</v>
      </c>
      <c r="I3366" s="423"/>
      <c r="J3366" s="14"/>
      <c r="K3366" s="13"/>
      <c r="L3366" s="13"/>
      <c r="M3366" s="14"/>
      <c r="N3366" s="15"/>
      <c r="O3366" s="5" t="s">
        <v>14119</v>
      </c>
      <c r="P3366" s="15"/>
      <c r="Q3366" s="15"/>
      <c r="R3366" s="422"/>
      <c r="S3366" s="15"/>
      <c r="T3366" s="15"/>
      <c r="U3366" s="15"/>
      <c r="V3366" s="15"/>
      <c r="W3366" s="15"/>
      <c r="X3366" s="15"/>
      <c r="Y3366" s="15"/>
      <c r="Z3366" s="15"/>
      <c r="AA3366" s="15"/>
    </row>
    <row r="3367">
      <c r="A3367" s="5" t="s">
        <v>15419</v>
      </c>
      <c r="B3367" s="131" t="s">
        <v>15457</v>
      </c>
      <c r="C3367" s="40" t="s">
        <v>15458</v>
      </c>
      <c r="D3367" s="11"/>
      <c r="E3367" s="11" t="s">
        <v>9050</v>
      </c>
      <c r="F3367" s="9">
        <v>10000.0</v>
      </c>
      <c r="G3367" s="321"/>
      <c r="H3367" s="11" t="s">
        <v>44</v>
      </c>
      <c r="I3367" s="276"/>
      <c r="J3367" s="11" t="s">
        <v>4008</v>
      </c>
      <c r="K3367" s="13"/>
      <c r="L3367" s="13"/>
      <c r="M3367" s="14"/>
      <c r="N3367" s="15"/>
      <c r="O3367" s="5" t="s">
        <v>26</v>
      </c>
      <c r="P3367" s="15"/>
      <c r="Q3367" s="15"/>
      <c r="R3367" s="422"/>
      <c r="S3367" s="15"/>
      <c r="T3367" s="15"/>
      <c r="U3367" s="15"/>
      <c r="V3367" s="15"/>
      <c r="W3367" s="15"/>
      <c r="X3367" s="15"/>
      <c r="Y3367" s="15"/>
      <c r="Z3367" s="15"/>
      <c r="AA3367" s="15"/>
    </row>
    <row r="3368">
      <c r="A3368" s="5" t="s">
        <v>15419</v>
      </c>
      <c r="B3368" s="131" t="s">
        <v>15459</v>
      </c>
      <c r="C3368" s="40" t="s">
        <v>15460</v>
      </c>
      <c r="D3368" s="11"/>
      <c r="E3368" s="11" t="s">
        <v>38</v>
      </c>
      <c r="F3368" s="90">
        <v>200.0</v>
      </c>
      <c r="G3368" s="321"/>
      <c r="H3368" s="11" t="s">
        <v>44</v>
      </c>
      <c r="I3368" s="276"/>
      <c r="J3368" s="11" t="s">
        <v>25</v>
      </c>
      <c r="K3368" s="13"/>
      <c r="L3368" s="13"/>
      <c r="M3368" s="14"/>
      <c r="N3368" s="15"/>
      <c r="O3368" s="5" t="s">
        <v>14119</v>
      </c>
      <c r="P3368" s="15"/>
      <c r="Q3368" s="15"/>
      <c r="R3368" s="422"/>
      <c r="S3368" s="15"/>
      <c r="T3368" s="15"/>
      <c r="U3368" s="15"/>
      <c r="V3368" s="15"/>
      <c r="W3368" s="15"/>
      <c r="X3368" s="15"/>
      <c r="Y3368" s="15"/>
      <c r="Z3368" s="15"/>
      <c r="AA3368" s="15"/>
    </row>
    <row r="3369">
      <c r="A3369" s="5" t="s">
        <v>15419</v>
      </c>
      <c r="B3369" s="131" t="s">
        <v>15461</v>
      </c>
      <c r="C3369" s="40" t="s">
        <v>15462</v>
      </c>
      <c r="D3369" s="11"/>
      <c r="E3369" s="11" t="s">
        <v>794</v>
      </c>
      <c r="F3369" s="90">
        <v>5000.0</v>
      </c>
      <c r="G3369" s="321"/>
      <c r="H3369" s="11" t="s">
        <v>44</v>
      </c>
      <c r="I3369" s="276"/>
      <c r="J3369" s="11" t="s">
        <v>25</v>
      </c>
      <c r="K3369" s="12"/>
      <c r="L3369" s="12"/>
      <c r="M3369" s="11" t="s">
        <v>9034</v>
      </c>
      <c r="N3369" s="5" t="s">
        <v>15463</v>
      </c>
      <c r="O3369" s="5" t="s">
        <v>26</v>
      </c>
      <c r="P3369" s="15"/>
      <c r="Q3369" s="15"/>
      <c r="R3369" s="422"/>
      <c r="S3369" s="15"/>
      <c r="T3369" s="15"/>
      <c r="U3369" s="15"/>
      <c r="V3369" s="15"/>
      <c r="W3369" s="15"/>
      <c r="X3369" s="15"/>
      <c r="Y3369" s="15"/>
      <c r="Z3369" s="15"/>
      <c r="AA3369" s="15"/>
    </row>
    <row r="3370">
      <c r="A3370" s="5" t="s">
        <v>15419</v>
      </c>
      <c r="B3370" s="131" t="s">
        <v>15464</v>
      </c>
      <c r="C3370" s="40" t="s">
        <v>15465</v>
      </c>
      <c r="D3370" s="11"/>
      <c r="E3370" s="11" t="s">
        <v>6808</v>
      </c>
      <c r="F3370" s="90">
        <v>1000.0</v>
      </c>
      <c r="G3370" s="321"/>
      <c r="H3370" s="11" t="s">
        <v>44</v>
      </c>
      <c r="I3370" s="276"/>
      <c r="J3370" s="11" t="s">
        <v>25</v>
      </c>
      <c r="K3370" s="13"/>
      <c r="L3370" s="13"/>
      <c r="M3370" s="14"/>
      <c r="N3370" s="15"/>
      <c r="O3370" s="5" t="s">
        <v>26</v>
      </c>
      <c r="P3370" s="15"/>
      <c r="Q3370" s="15"/>
      <c r="R3370" s="422"/>
      <c r="S3370" s="15"/>
      <c r="T3370" s="15"/>
      <c r="U3370" s="15"/>
      <c r="V3370" s="15"/>
      <c r="W3370" s="15"/>
      <c r="X3370" s="15"/>
      <c r="Y3370" s="15"/>
      <c r="Z3370" s="15"/>
      <c r="AA3370" s="15"/>
    </row>
    <row r="3371">
      <c r="A3371" s="5" t="s">
        <v>15419</v>
      </c>
      <c r="B3371" s="131" t="s">
        <v>15466</v>
      </c>
      <c r="C3371" s="40" t="s">
        <v>15467</v>
      </c>
      <c r="D3371" s="11"/>
      <c r="E3371" s="11" t="s">
        <v>152</v>
      </c>
      <c r="F3371" s="90">
        <v>100.0</v>
      </c>
      <c r="G3371" s="321"/>
      <c r="H3371" s="11" t="s">
        <v>44</v>
      </c>
      <c r="I3371" s="423"/>
      <c r="J3371" s="14"/>
      <c r="K3371" s="12"/>
      <c r="L3371" s="12"/>
      <c r="M3371" s="11" t="s">
        <v>6155</v>
      </c>
      <c r="N3371" s="5" t="s">
        <v>15468</v>
      </c>
      <c r="O3371" s="5" t="s">
        <v>14119</v>
      </c>
      <c r="P3371" s="15"/>
      <c r="Q3371" s="15"/>
      <c r="R3371" s="422"/>
      <c r="S3371" s="15"/>
      <c r="T3371" s="15"/>
      <c r="U3371" s="15"/>
      <c r="V3371" s="15"/>
      <c r="W3371" s="15"/>
      <c r="X3371" s="15"/>
      <c r="Y3371" s="15"/>
      <c r="Z3371" s="15"/>
      <c r="AA3371" s="15"/>
    </row>
    <row r="3372">
      <c r="A3372" s="5" t="s">
        <v>15469</v>
      </c>
      <c r="B3372" s="131" t="s">
        <v>15470</v>
      </c>
      <c r="C3372" s="40" t="s">
        <v>15401</v>
      </c>
      <c r="D3372" s="11"/>
      <c r="E3372" s="11" t="s">
        <v>11309</v>
      </c>
      <c r="F3372" s="90">
        <v>1000.0</v>
      </c>
      <c r="G3372" s="321"/>
      <c r="H3372" s="11" t="s">
        <v>930</v>
      </c>
      <c r="I3372" s="423"/>
      <c r="J3372" s="14"/>
      <c r="K3372" s="13"/>
      <c r="L3372" s="13"/>
      <c r="M3372" s="14"/>
      <c r="N3372" s="15"/>
      <c r="O3372" s="5" t="s">
        <v>108</v>
      </c>
      <c r="P3372" s="15"/>
      <c r="Q3372" s="15"/>
      <c r="R3372" s="422"/>
      <c r="S3372" s="15"/>
      <c r="T3372" s="15"/>
      <c r="U3372" s="15"/>
      <c r="V3372" s="15"/>
      <c r="W3372" s="15"/>
      <c r="X3372" s="15"/>
      <c r="Y3372" s="15"/>
      <c r="Z3372" s="15"/>
      <c r="AA3372" s="15"/>
    </row>
    <row r="3373">
      <c r="A3373" s="5" t="s">
        <v>15471</v>
      </c>
      <c r="B3373" s="131" t="s">
        <v>15472</v>
      </c>
      <c r="C3373" s="40" t="s">
        <v>15473</v>
      </c>
      <c r="D3373" s="11"/>
      <c r="E3373" s="11" t="s">
        <v>167</v>
      </c>
      <c r="F3373" s="90">
        <v>1000.0</v>
      </c>
      <c r="G3373" s="321"/>
      <c r="H3373" s="11" t="s">
        <v>15474</v>
      </c>
      <c r="I3373" s="423"/>
      <c r="J3373" s="14"/>
      <c r="K3373" s="12"/>
      <c r="L3373" s="12"/>
      <c r="M3373" s="11" t="s">
        <v>9776</v>
      </c>
      <c r="N3373" s="5" t="s">
        <v>15475</v>
      </c>
      <c r="O3373" s="5" t="s">
        <v>108</v>
      </c>
      <c r="P3373" s="15"/>
      <c r="Q3373" s="15"/>
      <c r="R3373" s="422"/>
      <c r="S3373" s="15"/>
      <c r="T3373" s="15"/>
      <c r="U3373" s="15"/>
      <c r="V3373" s="15"/>
      <c r="W3373" s="15"/>
      <c r="X3373" s="15"/>
      <c r="Y3373" s="15"/>
      <c r="Z3373" s="15"/>
      <c r="AA3373" s="15"/>
    </row>
    <row r="3374">
      <c r="A3374" s="5" t="s">
        <v>15471</v>
      </c>
      <c r="B3374" s="131" t="s">
        <v>15476</v>
      </c>
      <c r="C3374" s="40" t="s">
        <v>15477</v>
      </c>
      <c r="D3374" s="11"/>
      <c r="E3374" s="11" t="s">
        <v>15478</v>
      </c>
      <c r="F3374" s="90">
        <v>100.0</v>
      </c>
      <c r="G3374" s="321"/>
      <c r="H3374" s="11" t="s">
        <v>44</v>
      </c>
      <c r="I3374" s="423"/>
      <c r="J3374" s="14"/>
      <c r="K3374" s="12"/>
      <c r="L3374" s="12"/>
      <c r="M3374" s="11" t="s">
        <v>12825</v>
      </c>
      <c r="N3374" s="5" t="s">
        <v>15479</v>
      </c>
      <c r="O3374" s="5" t="s">
        <v>14119</v>
      </c>
      <c r="P3374" s="15"/>
      <c r="Q3374" s="15"/>
      <c r="R3374" s="422"/>
      <c r="S3374" s="15"/>
      <c r="T3374" s="15"/>
      <c r="U3374" s="15"/>
      <c r="V3374" s="15"/>
      <c r="W3374" s="15"/>
      <c r="X3374" s="15"/>
      <c r="Y3374" s="15"/>
      <c r="Z3374" s="15"/>
      <c r="AA3374" s="15"/>
    </row>
    <row r="3375">
      <c r="A3375" s="5" t="s">
        <v>15471</v>
      </c>
      <c r="B3375" s="131" t="s">
        <v>15480</v>
      </c>
      <c r="C3375" s="40" t="s">
        <v>15481</v>
      </c>
      <c r="D3375" s="11"/>
      <c r="E3375" s="11" t="s">
        <v>5756</v>
      </c>
      <c r="F3375" s="90">
        <v>1000.0</v>
      </c>
      <c r="G3375" s="321"/>
      <c r="H3375" s="11" t="s">
        <v>99</v>
      </c>
      <c r="I3375" s="423"/>
      <c r="J3375" s="14"/>
      <c r="K3375" s="12"/>
      <c r="L3375" s="12"/>
      <c r="M3375" s="11" t="s">
        <v>9983</v>
      </c>
      <c r="N3375" s="5" t="s">
        <v>15482</v>
      </c>
      <c r="O3375" s="5" t="s">
        <v>26</v>
      </c>
      <c r="P3375" s="15"/>
      <c r="Q3375" s="15"/>
      <c r="R3375" s="422"/>
      <c r="S3375" s="15"/>
      <c r="T3375" s="15"/>
      <c r="U3375" s="15"/>
      <c r="V3375" s="15"/>
      <c r="W3375" s="15"/>
      <c r="X3375" s="15"/>
      <c r="Y3375" s="15"/>
      <c r="Z3375" s="15"/>
      <c r="AA3375" s="15"/>
    </row>
    <row r="3376">
      <c r="A3376" s="5" t="s">
        <v>15471</v>
      </c>
      <c r="B3376" s="131" t="s">
        <v>15483</v>
      </c>
      <c r="C3376" s="40" t="s">
        <v>15484</v>
      </c>
      <c r="D3376" s="11"/>
      <c r="E3376" s="11" t="s">
        <v>130</v>
      </c>
      <c r="F3376" s="90">
        <v>500.0</v>
      </c>
      <c r="G3376" s="321"/>
      <c r="H3376" s="11" t="s">
        <v>44</v>
      </c>
      <c r="I3376" s="423"/>
      <c r="J3376" s="14"/>
      <c r="K3376" s="12"/>
      <c r="L3376" s="12"/>
      <c r="M3376" s="11" t="s">
        <v>9587</v>
      </c>
      <c r="N3376" s="5" t="s">
        <v>15485</v>
      </c>
      <c r="O3376" s="5" t="s">
        <v>26</v>
      </c>
      <c r="P3376" s="15"/>
      <c r="Q3376" s="15"/>
      <c r="R3376" s="422"/>
      <c r="S3376" s="15"/>
      <c r="T3376" s="15"/>
      <c r="U3376" s="15"/>
      <c r="V3376" s="15"/>
      <c r="W3376" s="15"/>
      <c r="X3376" s="15"/>
      <c r="Y3376" s="15"/>
      <c r="Z3376" s="15"/>
      <c r="AA3376" s="15"/>
    </row>
    <row r="3377">
      <c r="A3377" s="5" t="s">
        <v>15471</v>
      </c>
      <c r="B3377" s="131" t="s">
        <v>15486</v>
      </c>
      <c r="C3377" s="40" t="s">
        <v>15487</v>
      </c>
      <c r="D3377" s="11"/>
      <c r="E3377" s="11" t="s">
        <v>13809</v>
      </c>
      <c r="F3377" s="90">
        <v>100.0</v>
      </c>
      <c r="G3377" s="321"/>
      <c r="H3377" s="11" t="s">
        <v>15488</v>
      </c>
      <c r="I3377" s="423"/>
      <c r="J3377" s="14"/>
      <c r="K3377" s="13"/>
      <c r="L3377" s="13"/>
      <c r="M3377" s="14"/>
      <c r="N3377" s="15"/>
      <c r="O3377" s="5" t="s">
        <v>14119</v>
      </c>
      <c r="P3377" s="15"/>
      <c r="Q3377" s="15"/>
      <c r="R3377" s="422"/>
      <c r="S3377" s="15"/>
      <c r="T3377" s="15"/>
      <c r="U3377" s="15"/>
      <c r="V3377" s="15"/>
      <c r="W3377" s="15"/>
      <c r="X3377" s="15"/>
      <c r="Y3377" s="15"/>
      <c r="Z3377" s="15"/>
      <c r="AA3377" s="15"/>
    </row>
    <row r="3378">
      <c r="A3378" s="5" t="s">
        <v>15471</v>
      </c>
      <c r="B3378" s="131" t="s">
        <v>15489</v>
      </c>
      <c r="C3378" s="40" t="s">
        <v>15490</v>
      </c>
      <c r="D3378" s="11"/>
      <c r="E3378" s="11" t="s">
        <v>3615</v>
      </c>
      <c r="F3378" s="90">
        <v>2500.0</v>
      </c>
      <c r="G3378" s="321"/>
      <c r="H3378" s="11" t="s">
        <v>283</v>
      </c>
      <c r="I3378" s="423"/>
      <c r="J3378" s="14"/>
      <c r="K3378" s="12"/>
      <c r="L3378" s="12"/>
      <c r="M3378" s="11" t="s">
        <v>8782</v>
      </c>
      <c r="N3378" s="5" t="s">
        <v>15491</v>
      </c>
      <c r="O3378" s="5" t="s">
        <v>26</v>
      </c>
      <c r="P3378" s="15"/>
      <c r="Q3378" s="15"/>
      <c r="R3378" s="422"/>
      <c r="S3378" s="15"/>
      <c r="T3378" s="15"/>
      <c r="U3378" s="15"/>
      <c r="V3378" s="15"/>
      <c r="W3378" s="15"/>
      <c r="X3378" s="15"/>
      <c r="Y3378" s="15"/>
      <c r="Z3378" s="15"/>
      <c r="AA3378" s="15"/>
    </row>
    <row r="3379">
      <c r="A3379" s="5" t="s">
        <v>15471</v>
      </c>
      <c r="B3379" s="131" t="s">
        <v>15492</v>
      </c>
      <c r="C3379" s="40" t="s">
        <v>15493</v>
      </c>
      <c r="D3379" s="11"/>
      <c r="E3379" s="11" t="s">
        <v>92</v>
      </c>
      <c r="F3379" s="90">
        <v>500.0</v>
      </c>
      <c r="G3379" s="321"/>
      <c r="H3379" s="11" t="s">
        <v>44</v>
      </c>
      <c r="I3379" s="423"/>
      <c r="J3379" s="14"/>
      <c r="K3379" s="12"/>
      <c r="L3379" s="12"/>
      <c r="M3379" s="11" t="s">
        <v>15494</v>
      </c>
      <c r="N3379" s="5" t="s">
        <v>15495</v>
      </c>
      <c r="O3379" s="5" t="s">
        <v>14119</v>
      </c>
      <c r="P3379" s="15"/>
      <c r="Q3379" s="15"/>
      <c r="R3379" s="422"/>
      <c r="S3379" s="15"/>
      <c r="T3379" s="15"/>
      <c r="U3379" s="15"/>
      <c r="V3379" s="15"/>
      <c r="W3379" s="15"/>
      <c r="X3379" s="15"/>
      <c r="Y3379" s="15"/>
      <c r="Z3379" s="15"/>
      <c r="AA3379" s="15"/>
    </row>
    <row r="3380">
      <c r="A3380" s="5" t="s">
        <v>15471</v>
      </c>
      <c r="B3380" s="131" t="s">
        <v>15496</v>
      </c>
      <c r="C3380" s="40" t="s">
        <v>15497</v>
      </c>
      <c r="D3380" s="11"/>
      <c r="E3380" s="11" t="s">
        <v>152</v>
      </c>
      <c r="F3380" s="90">
        <v>500.0</v>
      </c>
      <c r="G3380" s="321"/>
      <c r="H3380" s="11" t="s">
        <v>1408</v>
      </c>
      <c r="I3380" s="423"/>
      <c r="J3380" s="14"/>
      <c r="K3380" s="12"/>
      <c r="L3380" s="12"/>
      <c r="M3380" s="11" t="s">
        <v>11262</v>
      </c>
      <c r="N3380" s="5" t="s">
        <v>15498</v>
      </c>
      <c r="O3380" s="5" t="s">
        <v>14119</v>
      </c>
      <c r="P3380" s="15"/>
      <c r="Q3380" s="15"/>
      <c r="R3380" s="422"/>
      <c r="S3380" s="15"/>
      <c r="T3380" s="15"/>
      <c r="U3380" s="15"/>
      <c r="V3380" s="15"/>
      <c r="W3380" s="15"/>
      <c r="X3380" s="15"/>
      <c r="Y3380" s="15"/>
      <c r="Z3380" s="15"/>
      <c r="AA3380" s="15"/>
    </row>
    <row r="3381">
      <c r="A3381" s="5" t="s">
        <v>15471</v>
      </c>
      <c r="B3381" s="131" t="s">
        <v>15499</v>
      </c>
      <c r="C3381" s="40" t="s">
        <v>15500</v>
      </c>
      <c r="D3381" s="11"/>
      <c r="E3381" s="11" t="s">
        <v>15501</v>
      </c>
      <c r="F3381" s="9">
        <v>20000.0</v>
      </c>
      <c r="G3381" s="321"/>
      <c r="H3381" s="11" t="s">
        <v>44</v>
      </c>
      <c r="I3381" s="276"/>
      <c r="J3381" s="11" t="s">
        <v>4008</v>
      </c>
      <c r="K3381" s="12"/>
      <c r="L3381" s="12"/>
      <c r="M3381" s="11" t="s">
        <v>11627</v>
      </c>
      <c r="N3381" s="5" t="s">
        <v>15502</v>
      </c>
      <c r="O3381" s="5" t="s">
        <v>26</v>
      </c>
      <c r="P3381" s="15"/>
      <c r="Q3381" s="15"/>
      <c r="R3381" s="422"/>
      <c r="S3381" s="15"/>
      <c r="T3381" s="15"/>
      <c r="U3381" s="15"/>
      <c r="V3381" s="15"/>
      <c r="W3381" s="15"/>
      <c r="X3381" s="15"/>
      <c r="Y3381" s="15"/>
      <c r="Z3381" s="15"/>
      <c r="AA3381" s="15"/>
    </row>
    <row r="3382">
      <c r="A3382" s="5" t="s">
        <v>15471</v>
      </c>
      <c r="B3382" s="131" t="s">
        <v>15503</v>
      </c>
      <c r="C3382" s="40" t="s">
        <v>15504</v>
      </c>
      <c r="D3382" s="11"/>
      <c r="E3382" s="11" t="s">
        <v>167</v>
      </c>
      <c r="F3382" s="9">
        <v>10000.0</v>
      </c>
      <c r="G3382" s="321"/>
      <c r="H3382" s="11" t="s">
        <v>15505</v>
      </c>
      <c r="I3382" s="423"/>
      <c r="J3382" s="14"/>
      <c r="K3382" s="12"/>
      <c r="L3382" s="12"/>
      <c r="M3382" s="11" t="s">
        <v>7718</v>
      </c>
      <c r="N3382" s="5" t="s">
        <v>15506</v>
      </c>
      <c r="O3382" s="5" t="s">
        <v>108</v>
      </c>
      <c r="P3382" s="15"/>
      <c r="Q3382" s="15"/>
      <c r="R3382" s="422"/>
      <c r="S3382" s="15"/>
      <c r="T3382" s="15"/>
      <c r="U3382" s="15"/>
      <c r="V3382" s="15"/>
      <c r="W3382" s="15"/>
      <c r="X3382" s="15"/>
      <c r="Y3382" s="15"/>
      <c r="Z3382" s="15"/>
      <c r="AA3382" s="15"/>
    </row>
    <row r="3383">
      <c r="A3383" s="5" t="s">
        <v>15507</v>
      </c>
      <c r="B3383" s="131" t="s">
        <v>15508</v>
      </c>
      <c r="C3383" s="40" t="s">
        <v>15509</v>
      </c>
      <c r="D3383" s="11"/>
      <c r="E3383" s="11" t="s">
        <v>15510</v>
      </c>
      <c r="F3383" s="90">
        <v>1000.0</v>
      </c>
      <c r="G3383" s="321"/>
      <c r="H3383" s="11" t="s">
        <v>15511</v>
      </c>
      <c r="I3383" s="276"/>
      <c r="J3383" s="11" t="s">
        <v>25</v>
      </c>
      <c r="K3383" s="13"/>
      <c r="L3383" s="13"/>
      <c r="M3383" s="14"/>
      <c r="N3383" s="15"/>
      <c r="O3383" s="5" t="s">
        <v>108</v>
      </c>
      <c r="P3383" s="15"/>
      <c r="Q3383" s="15"/>
      <c r="R3383" s="422"/>
      <c r="S3383" s="15"/>
      <c r="T3383" s="15"/>
      <c r="U3383" s="15"/>
      <c r="V3383" s="15"/>
      <c r="W3383" s="15"/>
      <c r="X3383" s="15"/>
      <c r="Y3383" s="15"/>
      <c r="Z3383" s="15"/>
      <c r="AA3383" s="15"/>
    </row>
    <row r="3384">
      <c r="A3384" s="271" t="s">
        <v>15507</v>
      </c>
      <c r="B3384" s="131" t="s">
        <v>15512</v>
      </c>
      <c r="C3384" s="40" t="s">
        <v>15513</v>
      </c>
      <c r="D3384" s="11"/>
      <c r="E3384" s="11" t="s">
        <v>2266</v>
      </c>
      <c r="F3384" s="90">
        <v>500.0</v>
      </c>
      <c r="G3384" s="321"/>
      <c r="H3384" s="11" t="s">
        <v>44</v>
      </c>
      <c r="I3384" s="423"/>
      <c r="J3384" s="14"/>
      <c r="K3384" s="12"/>
      <c r="L3384" s="12"/>
      <c r="M3384" s="11" t="s">
        <v>8722</v>
      </c>
      <c r="N3384" s="5" t="s">
        <v>15514</v>
      </c>
      <c r="O3384" s="5" t="s">
        <v>26</v>
      </c>
      <c r="P3384" s="15"/>
      <c r="Q3384" s="15"/>
      <c r="R3384" s="422"/>
      <c r="S3384" s="15"/>
      <c r="T3384" s="15"/>
      <c r="U3384" s="15"/>
      <c r="V3384" s="15"/>
      <c r="W3384" s="15"/>
      <c r="X3384" s="15"/>
      <c r="Y3384" s="15"/>
      <c r="Z3384" s="15"/>
      <c r="AA3384" s="15"/>
    </row>
    <row r="3385">
      <c r="A3385" s="5" t="s">
        <v>15507</v>
      </c>
      <c r="B3385" s="131" t="s">
        <v>15515</v>
      </c>
      <c r="C3385" s="40" t="s">
        <v>15516</v>
      </c>
      <c r="D3385" s="11"/>
      <c r="E3385" s="11" t="s">
        <v>15517</v>
      </c>
      <c r="F3385" s="90" t="s">
        <v>15518</v>
      </c>
      <c r="G3385" s="321"/>
      <c r="H3385" s="11" t="s">
        <v>3167</v>
      </c>
      <c r="I3385" s="423"/>
      <c r="J3385" s="14"/>
      <c r="K3385" s="12"/>
      <c r="L3385" s="12"/>
      <c r="M3385" s="11" t="s">
        <v>15519</v>
      </c>
      <c r="N3385" s="5" t="s">
        <v>15520</v>
      </c>
      <c r="O3385" s="5" t="s">
        <v>34</v>
      </c>
      <c r="P3385" s="15"/>
      <c r="Q3385" s="15"/>
      <c r="R3385" s="422"/>
      <c r="S3385" s="15"/>
      <c r="T3385" s="15"/>
      <c r="U3385" s="15"/>
      <c r="V3385" s="15"/>
      <c r="W3385" s="15"/>
      <c r="X3385" s="15"/>
      <c r="Y3385" s="15"/>
      <c r="Z3385" s="15"/>
      <c r="AA3385" s="15"/>
    </row>
    <row r="3386">
      <c r="A3386" s="5" t="s">
        <v>15507</v>
      </c>
      <c r="B3386" s="131" t="s">
        <v>15521</v>
      </c>
      <c r="C3386" s="40" t="s">
        <v>15522</v>
      </c>
      <c r="D3386" s="11"/>
      <c r="E3386" s="11" t="s">
        <v>13557</v>
      </c>
      <c r="F3386" s="90">
        <v>5000.0</v>
      </c>
      <c r="G3386" s="321"/>
      <c r="H3386" s="11" t="s">
        <v>15523</v>
      </c>
      <c r="I3386" s="276"/>
      <c r="J3386" s="11" t="s">
        <v>12882</v>
      </c>
      <c r="K3386" s="13"/>
      <c r="L3386" s="13"/>
      <c r="M3386" s="14"/>
      <c r="N3386" s="15"/>
      <c r="O3386" s="5" t="s">
        <v>108</v>
      </c>
      <c r="P3386" s="15"/>
      <c r="Q3386" s="15"/>
      <c r="R3386" s="422"/>
      <c r="S3386" s="15"/>
      <c r="T3386" s="15"/>
      <c r="U3386" s="15"/>
      <c r="V3386" s="15"/>
      <c r="W3386" s="15"/>
      <c r="X3386" s="15"/>
      <c r="Y3386" s="15"/>
      <c r="Z3386" s="15"/>
      <c r="AA3386" s="15"/>
    </row>
    <row r="3387">
      <c r="A3387" s="5" t="s">
        <v>15507</v>
      </c>
      <c r="B3387" s="131" t="s">
        <v>15524</v>
      </c>
      <c r="C3387" s="40" t="s">
        <v>15525</v>
      </c>
      <c r="D3387" s="11"/>
      <c r="E3387" s="11" t="s">
        <v>15526</v>
      </c>
      <c r="F3387" s="9">
        <v>132000.0</v>
      </c>
      <c r="G3387" s="321"/>
      <c r="H3387" s="11" t="s">
        <v>44</v>
      </c>
      <c r="I3387" s="423"/>
      <c r="J3387" s="14"/>
      <c r="K3387" s="13"/>
      <c r="L3387" s="13"/>
      <c r="M3387" s="14"/>
      <c r="N3387" s="15"/>
      <c r="O3387" s="5" t="s">
        <v>26</v>
      </c>
      <c r="P3387" s="15"/>
      <c r="Q3387" s="15"/>
      <c r="R3387" s="422"/>
      <c r="S3387" s="15"/>
      <c r="T3387" s="15"/>
      <c r="U3387" s="15"/>
      <c r="V3387" s="15"/>
      <c r="W3387" s="15"/>
      <c r="X3387" s="15"/>
      <c r="Y3387" s="15"/>
      <c r="Z3387" s="15"/>
      <c r="AA3387" s="15"/>
    </row>
    <row r="3388">
      <c r="A3388" s="5" t="s">
        <v>15507</v>
      </c>
      <c r="B3388" s="131" t="s">
        <v>15527</v>
      </c>
      <c r="C3388" s="40" t="s">
        <v>15528</v>
      </c>
      <c r="D3388" s="11"/>
      <c r="E3388" s="11" t="s">
        <v>5244</v>
      </c>
      <c r="F3388" s="90">
        <v>500.0</v>
      </c>
      <c r="G3388" s="321"/>
      <c r="H3388" s="11" t="s">
        <v>15529</v>
      </c>
      <c r="I3388" s="276"/>
      <c r="J3388" s="11" t="s">
        <v>25</v>
      </c>
      <c r="K3388" s="13"/>
      <c r="L3388" s="13"/>
      <c r="M3388" s="14"/>
      <c r="N3388" s="15"/>
      <c r="O3388" s="5" t="s">
        <v>14119</v>
      </c>
      <c r="P3388" s="15"/>
      <c r="Q3388" s="15"/>
      <c r="R3388" s="422"/>
      <c r="S3388" s="15"/>
      <c r="T3388" s="15"/>
      <c r="U3388" s="15"/>
      <c r="V3388" s="15"/>
      <c r="W3388" s="15"/>
      <c r="X3388" s="15"/>
      <c r="Y3388" s="15"/>
      <c r="Z3388" s="15"/>
      <c r="AA3388" s="15"/>
    </row>
    <row r="3389">
      <c r="A3389" s="5" t="s">
        <v>15507</v>
      </c>
      <c r="B3389" s="131" t="s">
        <v>15530</v>
      </c>
      <c r="C3389" s="40" t="s">
        <v>15531</v>
      </c>
      <c r="D3389" s="11"/>
      <c r="E3389" s="11" t="s">
        <v>15532</v>
      </c>
      <c r="F3389" s="9">
        <v>20000.0</v>
      </c>
      <c r="G3389" s="321"/>
      <c r="H3389" s="11" t="s">
        <v>15533</v>
      </c>
      <c r="I3389" s="423"/>
      <c r="J3389" s="14"/>
      <c r="K3389" s="12"/>
      <c r="L3389" s="12"/>
      <c r="M3389" s="11" t="s">
        <v>9901</v>
      </c>
      <c r="N3389" s="5" t="s">
        <v>15534</v>
      </c>
      <c r="O3389" s="5" t="s">
        <v>26</v>
      </c>
      <c r="P3389" s="15"/>
      <c r="Q3389" s="15"/>
      <c r="R3389" s="422"/>
      <c r="S3389" s="15"/>
      <c r="T3389" s="15"/>
      <c r="U3389" s="15"/>
      <c r="V3389" s="15"/>
      <c r="W3389" s="15"/>
      <c r="X3389" s="15"/>
      <c r="Y3389" s="15"/>
      <c r="Z3389" s="15"/>
      <c r="AA3389" s="15"/>
    </row>
    <row r="3390">
      <c r="A3390" s="5" t="s">
        <v>15507</v>
      </c>
      <c r="B3390" s="131" t="s">
        <v>15535</v>
      </c>
      <c r="C3390" s="40" t="s">
        <v>15536</v>
      </c>
      <c r="D3390" s="11"/>
      <c r="E3390" s="11" t="s">
        <v>15537</v>
      </c>
      <c r="F3390" s="90">
        <v>1000.0</v>
      </c>
      <c r="G3390" s="321"/>
      <c r="H3390" s="11" t="s">
        <v>906</v>
      </c>
      <c r="I3390" s="276"/>
      <c r="J3390" s="11" t="s">
        <v>25</v>
      </c>
      <c r="K3390" s="13"/>
      <c r="L3390" s="13"/>
      <c r="M3390" s="14"/>
      <c r="N3390" s="15"/>
      <c r="O3390" s="5" t="s">
        <v>108</v>
      </c>
      <c r="P3390" s="15"/>
      <c r="Q3390" s="15"/>
      <c r="R3390" s="422"/>
      <c r="S3390" s="15"/>
      <c r="T3390" s="15"/>
      <c r="U3390" s="15"/>
      <c r="V3390" s="15"/>
      <c r="W3390" s="15"/>
      <c r="X3390" s="15"/>
      <c r="Y3390" s="15"/>
      <c r="Z3390" s="15"/>
      <c r="AA3390" s="15"/>
    </row>
    <row r="3391">
      <c r="A3391" s="5" t="s">
        <v>15507</v>
      </c>
      <c r="B3391" s="131" t="s">
        <v>15538</v>
      </c>
      <c r="C3391" s="40" t="s">
        <v>15539</v>
      </c>
      <c r="D3391" s="11"/>
      <c r="E3391" s="11" t="s">
        <v>15540</v>
      </c>
      <c r="F3391" s="90">
        <v>200.0</v>
      </c>
      <c r="G3391" s="321"/>
      <c r="H3391" s="11" t="s">
        <v>15541</v>
      </c>
      <c r="I3391" s="423"/>
      <c r="J3391" s="14"/>
      <c r="K3391" s="13"/>
      <c r="L3391" s="13"/>
      <c r="M3391" s="14"/>
      <c r="N3391" s="15"/>
      <c r="O3391" s="5" t="s">
        <v>14119</v>
      </c>
      <c r="P3391" s="15"/>
      <c r="Q3391" s="15"/>
      <c r="R3391" s="422"/>
      <c r="S3391" s="15"/>
      <c r="T3391" s="15"/>
      <c r="U3391" s="15"/>
      <c r="V3391" s="15"/>
      <c r="W3391" s="15"/>
      <c r="X3391" s="15"/>
      <c r="Y3391" s="15"/>
      <c r="Z3391" s="15"/>
      <c r="AA3391" s="15"/>
    </row>
    <row r="3392">
      <c r="A3392" s="5" t="s">
        <v>15542</v>
      </c>
      <c r="B3392" s="131" t="s">
        <v>15543</v>
      </c>
      <c r="C3392" s="40" t="s">
        <v>15544</v>
      </c>
      <c r="D3392" s="11"/>
      <c r="E3392" s="11" t="s">
        <v>8931</v>
      </c>
      <c r="F3392" s="90">
        <v>500.0</v>
      </c>
      <c r="G3392" s="321"/>
      <c r="H3392" s="11" t="s">
        <v>15545</v>
      </c>
      <c r="I3392" s="423"/>
      <c r="J3392" s="14"/>
      <c r="K3392" s="13"/>
      <c r="L3392" s="13"/>
      <c r="M3392" s="14"/>
      <c r="N3392" s="15"/>
      <c r="O3392" s="5" t="s">
        <v>108</v>
      </c>
      <c r="P3392" s="15"/>
      <c r="Q3392" s="15"/>
      <c r="R3392" s="422"/>
      <c r="S3392" s="15"/>
      <c r="T3392" s="15"/>
      <c r="U3392" s="15"/>
      <c r="V3392" s="15"/>
      <c r="W3392" s="15"/>
      <c r="X3392" s="15"/>
      <c r="Y3392" s="15"/>
      <c r="Z3392" s="15"/>
      <c r="AA3392" s="15"/>
    </row>
    <row r="3393">
      <c r="A3393" s="352" t="s">
        <v>15542</v>
      </c>
      <c r="B3393" s="131" t="s">
        <v>15546</v>
      </c>
      <c r="C3393" s="40" t="s">
        <v>15547</v>
      </c>
      <c r="D3393" s="11"/>
      <c r="E3393" s="11" t="s">
        <v>5502</v>
      </c>
      <c r="F3393" s="90">
        <v>500.0</v>
      </c>
      <c r="G3393" s="321"/>
      <c r="H3393" s="11" t="s">
        <v>2662</v>
      </c>
      <c r="I3393" s="276"/>
      <c r="J3393" s="11" t="s">
        <v>25</v>
      </c>
      <c r="K3393" s="12"/>
      <c r="L3393" s="12"/>
      <c r="M3393" s="11" t="s">
        <v>15548</v>
      </c>
      <c r="N3393" s="5" t="s">
        <v>15549</v>
      </c>
      <c r="O3393" s="5" t="s">
        <v>108</v>
      </c>
      <c r="P3393" s="15"/>
      <c r="Q3393" s="15"/>
      <c r="R3393" s="422"/>
      <c r="S3393" s="15"/>
      <c r="T3393" s="15"/>
      <c r="U3393" s="15"/>
      <c r="V3393" s="15"/>
      <c r="W3393" s="15"/>
      <c r="X3393" s="15"/>
      <c r="Y3393" s="15"/>
      <c r="Z3393" s="15"/>
      <c r="AA3393" s="15"/>
    </row>
    <row r="3394">
      <c r="A3394" s="5" t="s">
        <v>15542</v>
      </c>
      <c r="B3394" s="131" t="s">
        <v>15550</v>
      </c>
      <c r="C3394" s="40" t="s">
        <v>15551</v>
      </c>
      <c r="D3394" s="11"/>
      <c r="E3394" s="11" t="s">
        <v>152</v>
      </c>
      <c r="F3394" s="90">
        <v>3000.0</v>
      </c>
      <c r="G3394" s="321"/>
      <c r="H3394" s="11" t="s">
        <v>44</v>
      </c>
      <c r="I3394" s="276"/>
      <c r="J3394" s="11" t="s">
        <v>25</v>
      </c>
      <c r="K3394" s="12"/>
      <c r="L3394" s="12"/>
      <c r="M3394" s="11" t="s">
        <v>11262</v>
      </c>
      <c r="N3394" s="5" t="s">
        <v>15552</v>
      </c>
      <c r="O3394" s="5" t="s">
        <v>26</v>
      </c>
      <c r="P3394" s="15"/>
      <c r="Q3394" s="15"/>
      <c r="R3394" s="422"/>
      <c r="S3394" s="15"/>
      <c r="T3394" s="15"/>
      <c r="U3394" s="15"/>
      <c r="V3394" s="15"/>
      <c r="W3394" s="15"/>
      <c r="X3394" s="15"/>
      <c r="Y3394" s="15"/>
      <c r="Z3394" s="15"/>
      <c r="AA3394" s="15"/>
    </row>
    <row r="3395">
      <c r="A3395" s="5" t="s">
        <v>15542</v>
      </c>
      <c r="B3395" s="131" t="s">
        <v>15553</v>
      </c>
      <c r="C3395" s="40" t="s">
        <v>15554</v>
      </c>
      <c r="D3395" s="11"/>
      <c r="E3395" s="11" t="s">
        <v>7897</v>
      </c>
      <c r="F3395" s="9">
        <v>16000.0</v>
      </c>
      <c r="G3395" s="321"/>
      <c r="H3395" s="11" t="s">
        <v>1696</v>
      </c>
      <c r="I3395" s="423"/>
      <c r="J3395" s="14"/>
      <c r="K3395" s="12"/>
      <c r="L3395" s="12"/>
      <c r="M3395" s="11" t="s">
        <v>9104</v>
      </c>
      <c r="N3395" s="5" t="s">
        <v>15555</v>
      </c>
      <c r="O3395" s="5" t="s">
        <v>108</v>
      </c>
      <c r="P3395" s="15"/>
      <c r="Q3395" s="15"/>
      <c r="R3395" s="422"/>
      <c r="S3395" s="15"/>
      <c r="T3395" s="15"/>
      <c r="U3395" s="15"/>
      <c r="V3395" s="15"/>
      <c r="W3395" s="15"/>
      <c r="X3395" s="15"/>
      <c r="Y3395" s="15"/>
      <c r="Z3395" s="15"/>
      <c r="AA3395" s="15"/>
    </row>
    <row r="3396">
      <c r="A3396" s="5" t="s">
        <v>15542</v>
      </c>
      <c r="B3396" s="131" t="s">
        <v>15556</v>
      </c>
      <c r="C3396" s="40" t="s">
        <v>15557</v>
      </c>
      <c r="D3396" s="11"/>
      <c r="E3396" s="11" t="s">
        <v>15558</v>
      </c>
      <c r="F3396" s="90">
        <v>200.0</v>
      </c>
      <c r="G3396" s="321"/>
      <c r="H3396" s="11" t="s">
        <v>44</v>
      </c>
      <c r="I3396" s="276"/>
      <c r="J3396" s="11" t="s">
        <v>4008</v>
      </c>
      <c r="K3396" s="12"/>
      <c r="L3396" s="12"/>
      <c r="M3396" s="11" t="s">
        <v>12955</v>
      </c>
      <c r="N3396" s="5" t="s">
        <v>15559</v>
      </c>
      <c r="O3396" s="5" t="s">
        <v>14119</v>
      </c>
      <c r="P3396" s="15"/>
      <c r="Q3396" s="15"/>
      <c r="R3396" s="422"/>
      <c r="S3396" s="15"/>
      <c r="T3396" s="15"/>
      <c r="U3396" s="15"/>
      <c r="V3396" s="15"/>
      <c r="W3396" s="15"/>
      <c r="X3396" s="15"/>
      <c r="Y3396" s="15"/>
      <c r="Z3396" s="15"/>
      <c r="AA3396" s="15"/>
    </row>
    <row r="3397">
      <c r="A3397" s="5" t="s">
        <v>15542</v>
      </c>
      <c r="B3397" s="131" t="s">
        <v>15560</v>
      </c>
      <c r="C3397" s="40" t="s">
        <v>15561</v>
      </c>
      <c r="D3397" s="11"/>
      <c r="E3397" s="11" t="s">
        <v>5502</v>
      </c>
      <c r="F3397" s="90" t="s">
        <v>15446</v>
      </c>
      <c r="G3397" s="321"/>
      <c r="H3397" s="11" t="s">
        <v>15562</v>
      </c>
      <c r="I3397" s="276"/>
      <c r="J3397" s="11" t="s">
        <v>4008</v>
      </c>
      <c r="K3397" s="12"/>
      <c r="L3397" s="12"/>
      <c r="M3397" s="11" t="s">
        <v>14392</v>
      </c>
      <c r="N3397" s="5" t="s">
        <v>15563</v>
      </c>
      <c r="O3397" s="5" t="s">
        <v>108</v>
      </c>
      <c r="P3397" s="15"/>
      <c r="Q3397" s="15"/>
      <c r="R3397" s="422"/>
      <c r="S3397" s="15"/>
      <c r="T3397" s="15"/>
      <c r="U3397" s="15"/>
      <c r="V3397" s="15"/>
      <c r="W3397" s="15"/>
      <c r="X3397" s="15"/>
      <c r="Y3397" s="15"/>
      <c r="Z3397" s="15"/>
      <c r="AA3397" s="15"/>
    </row>
    <row r="3398">
      <c r="A3398" s="5" t="s">
        <v>15542</v>
      </c>
      <c r="B3398" s="131" t="s">
        <v>15564</v>
      </c>
      <c r="C3398" s="40" t="s">
        <v>15565</v>
      </c>
      <c r="D3398" s="11"/>
      <c r="E3398" s="11" t="s">
        <v>14041</v>
      </c>
      <c r="F3398" s="90">
        <v>2000.0</v>
      </c>
      <c r="G3398" s="321"/>
      <c r="H3398" s="11" t="s">
        <v>44</v>
      </c>
      <c r="I3398" s="276"/>
      <c r="J3398" s="11"/>
      <c r="K3398" s="12"/>
      <c r="L3398" s="12"/>
      <c r="M3398" s="11" t="s">
        <v>11819</v>
      </c>
      <c r="N3398" s="5" t="s">
        <v>15566</v>
      </c>
      <c r="O3398" s="5" t="s">
        <v>26</v>
      </c>
      <c r="P3398" s="15"/>
      <c r="Q3398" s="15"/>
      <c r="R3398" s="422"/>
      <c r="S3398" s="15"/>
      <c r="T3398" s="15"/>
      <c r="U3398" s="15"/>
      <c r="V3398" s="15"/>
      <c r="W3398" s="15"/>
      <c r="X3398" s="15"/>
      <c r="Y3398" s="15"/>
      <c r="Z3398" s="15"/>
      <c r="AA3398" s="15"/>
    </row>
    <row r="3399">
      <c r="A3399" s="5" t="s">
        <v>15542</v>
      </c>
      <c r="B3399" s="131" t="s">
        <v>15567</v>
      </c>
      <c r="C3399" s="40" t="s">
        <v>15568</v>
      </c>
      <c r="D3399" s="11"/>
      <c r="E3399" s="11" t="s">
        <v>2647</v>
      </c>
      <c r="F3399" s="9">
        <v>200000.0</v>
      </c>
      <c r="G3399" s="321"/>
      <c r="H3399" s="11" t="s">
        <v>15263</v>
      </c>
      <c r="I3399" s="423"/>
      <c r="J3399" s="14"/>
      <c r="K3399" s="13"/>
      <c r="L3399" s="13"/>
      <c r="M3399" s="14"/>
      <c r="N3399" s="15"/>
      <c r="O3399" s="5" t="s">
        <v>108</v>
      </c>
      <c r="P3399" s="15"/>
      <c r="Q3399" s="15"/>
      <c r="R3399" s="422"/>
      <c r="S3399" s="15"/>
      <c r="T3399" s="15"/>
      <c r="U3399" s="15"/>
      <c r="V3399" s="15"/>
      <c r="W3399" s="15"/>
      <c r="X3399" s="15"/>
      <c r="Y3399" s="15"/>
      <c r="Z3399" s="15"/>
      <c r="AA3399" s="15"/>
    </row>
    <row r="3400">
      <c r="A3400" s="5" t="s">
        <v>15542</v>
      </c>
      <c r="B3400" s="131" t="s">
        <v>15569</v>
      </c>
      <c r="C3400" s="40" t="s">
        <v>15570</v>
      </c>
      <c r="D3400" s="11"/>
      <c r="E3400" s="11" t="s">
        <v>15571</v>
      </c>
      <c r="F3400" s="90">
        <v>500.0</v>
      </c>
      <c r="G3400" s="321"/>
      <c r="H3400" s="11" t="s">
        <v>15572</v>
      </c>
      <c r="I3400" s="423"/>
      <c r="J3400" s="14"/>
      <c r="K3400" s="13"/>
      <c r="L3400" s="13"/>
      <c r="M3400" s="14"/>
      <c r="N3400" s="15"/>
      <c r="O3400" s="5" t="s">
        <v>26</v>
      </c>
      <c r="P3400" s="15"/>
      <c r="Q3400" s="15"/>
      <c r="R3400" s="422"/>
      <c r="S3400" s="15"/>
      <c r="T3400" s="15"/>
      <c r="U3400" s="15"/>
      <c r="V3400" s="15"/>
      <c r="W3400" s="15"/>
      <c r="X3400" s="15"/>
      <c r="Y3400" s="15"/>
      <c r="Z3400" s="15"/>
      <c r="AA3400" s="15"/>
    </row>
    <row r="3401">
      <c r="A3401" s="5" t="s">
        <v>15542</v>
      </c>
      <c r="B3401" s="131" t="s">
        <v>15573</v>
      </c>
      <c r="C3401" s="40" t="s">
        <v>15574</v>
      </c>
      <c r="D3401" s="11"/>
      <c r="E3401" s="11" t="s">
        <v>6405</v>
      </c>
      <c r="F3401" s="90">
        <v>200.0</v>
      </c>
      <c r="G3401" s="321"/>
      <c r="H3401" s="11" t="s">
        <v>44</v>
      </c>
      <c r="I3401" s="276"/>
      <c r="J3401" s="11" t="s">
        <v>4008</v>
      </c>
      <c r="K3401" s="12"/>
      <c r="L3401" s="12"/>
      <c r="M3401" s="11" t="s">
        <v>13938</v>
      </c>
      <c r="N3401" s="5" t="s">
        <v>15575</v>
      </c>
      <c r="O3401" s="5" t="s">
        <v>14119</v>
      </c>
      <c r="P3401" s="15"/>
      <c r="Q3401" s="15"/>
      <c r="R3401" s="422"/>
      <c r="S3401" s="15"/>
      <c r="T3401" s="15"/>
      <c r="U3401" s="15"/>
      <c r="V3401" s="15"/>
      <c r="W3401" s="15"/>
      <c r="X3401" s="15"/>
      <c r="Y3401" s="15"/>
      <c r="Z3401" s="15"/>
      <c r="AA3401" s="15"/>
    </row>
    <row r="3402">
      <c r="A3402" s="5" t="s">
        <v>15542</v>
      </c>
      <c r="B3402" s="131" t="s">
        <v>15576</v>
      </c>
      <c r="C3402" s="40" t="s">
        <v>15577</v>
      </c>
      <c r="D3402" s="11"/>
      <c r="E3402" s="11" t="s">
        <v>14589</v>
      </c>
      <c r="F3402" s="90">
        <v>1000.0</v>
      </c>
      <c r="G3402" s="321"/>
      <c r="H3402" s="11" t="s">
        <v>15578</v>
      </c>
      <c r="I3402" s="276"/>
      <c r="J3402" s="11" t="s">
        <v>25</v>
      </c>
      <c r="K3402" s="13"/>
      <c r="L3402" s="13"/>
      <c r="M3402" s="14"/>
      <c r="N3402" s="15"/>
      <c r="O3402" s="5" t="s">
        <v>108</v>
      </c>
      <c r="P3402" s="15"/>
      <c r="Q3402" s="15"/>
      <c r="R3402" s="422"/>
      <c r="S3402" s="15"/>
      <c r="T3402" s="15"/>
      <c r="U3402" s="15"/>
      <c r="V3402" s="15"/>
      <c r="W3402" s="15"/>
      <c r="X3402" s="15"/>
      <c r="Y3402" s="15"/>
      <c r="Z3402" s="15"/>
      <c r="AA3402" s="15"/>
    </row>
    <row r="3403">
      <c r="A3403" s="5" t="s">
        <v>15542</v>
      </c>
      <c r="B3403" s="131" t="s">
        <v>15579</v>
      </c>
      <c r="C3403" s="40" t="s">
        <v>15580</v>
      </c>
      <c r="D3403" s="11"/>
      <c r="E3403" s="11" t="s">
        <v>130</v>
      </c>
      <c r="F3403" s="90">
        <v>500.0</v>
      </c>
      <c r="G3403" s="321"/>
      <c r="H3403" s="11" t="s">
        <v>12134</v>
      </c>
      <c r="I3403" s="276"/>
      <c r="J3403" s="11" t="s">
        <v>4008</v>
      </c>
      <c r="K3403" s="12"/>
      <c r="L3403" s="12"/>
      <c r="M3403" s="11" t="s">
        <v>9587</v>
      </c>
      <c r="N3403" s="5" t="s">
        <v>15581</v>
      </c>
      <c r="O3403" s="5" t="s">
        <v>108</v>
      </c>
      <c r="P3403" s="15"/>
      <c r="Q3403" s="15"/>
      <c r="R3403" s="422"/>
      <c r="S3403" s="15"/>
      <c r="T3403" s="15"/>
      <c r="U3403" s="15"/>
      <c r="V3403" s="15"/>
      <c r="W3403" s="15"/>
      <c r="X3403" s="15"/>
      <c r="Y3403" s="15"/>
      <c r="Z3403" s="15"/>
      <c r="AA3403" s="15"/>
    </row>
    <row r="3404">
      <c r="A3404" s="5" t="s">
        <v>15582</v>
      </c>
      <c r="B3404" s="131" t="s">
        <v>15583</v>
      </c>
      <c r="C3404" s="40" t="s">
        <v>14226</v>
      </c>
      <c r="D3404" s="11"/>
      <c r="E3404" s="11" t="s">
        <v>5502</v>
      </c>
      <c r="F3404" s="90" t="s">
        <v>15389</v>
      </c>
      <c r="G3404" s="321"/>
      <c r="H3404" s="11" t="s">
        <v>617</v>
      </c>
      <c r="I3404" s="423"/>
      <c r="J3404" s="14"/>
      <c r="K3404" s="12"/>
      <c r="L3404" s="12"/>
      <c r="M3404" s="11" t="s">
        <v>15584</v>
      </c>
      <c r="N3404" s="5" t="s">
        <v>15585</v>
      </c>
      <c r="O3404" s="5" t="s">
        <v>108</v>
      </c>
      <c r="P3404" s="15"/>
      <c r="Q3404" s="15"/>
      <c r="R3404" s="422"/>
      <c r="S3404" s="15"/>
      <c r="T3404" s="15"/>
      <c r="U3404" s="15"/>
      <c r="V3404" s="15"/>
      <c r="W3404" s="15"/>
      <c r="X3404" s="15"/>
      <c r="Y3404" s="15"/>
      <c r="Z3404" s="15"/>
      <c r="AA3404" s="15"/>
    </row>
    <row r="3405">
      <c r="A3405" s="5" t="s">
        <v>15582</v>
      </c>
      <c r="B3405" s="131" t="s">
        <v>15586</v>
      </c>
      <c r="C3405" s="40" t="s">
        <v>10900</v>
      </c>
      <c r="D3405" s="11"/>
      <c r="E3405" s="11" t="s">
        <v>152</v>
      </c>
      <c r="F3405" s="9">
        <v>100000.0</v>
      </c>
      <c r="G3405" s="321"/>
      <c r="H3405" s="11" t="s">
        <v>15587</v>
      </c>
      <c r="I3405" s="276"/>
      <c r="J3405" s="11" t="s">
        <v>4008</v>
      </c>
      <c r="K3405" s="13"/>
      <c r="L3405" s="13"/>
      <c r="M3405" s="14"/>
      <c r="N3405" s="15"/>
      <c r="O3405" s="5" t="s">
        <v>108</v>
      </c>
      <c r="P3405" s="15"/>
      <c r="Q3405" s="15"/>
      <c r="R3405" s="422"/>
      <c r="S3405" s="15"/>
      <c r="T3405" s="15"/>
      <c r="U3405" s="15"/>
      <c r="V3405" s="15"/>
      <c r="W3405" s="15"/>
      <c r="X3405" s="15"/>
      <c r="Y3405" s="15"/>
      <c r="Z3405" s="15"/>
      <c r="AA3405" s="15"/>
    </row>
    <row r="3406">
      <c r="A3406" s="5" t="s">
        <v>15582</v>
      </c>
      <c r="B3406" s="131" t="s">
        <v>15588</v>
      </c>
      <c r="C3406" s="40" t="s">
        <v>15589</v>
      </c>
      <c r="D3406" s="11"/>
      <c r="E3406" s="11" t="s">
        <v>794</v>
      </c>
      <c r="F3406" s="90">
        <v>500.0</v>
      </c>
      <c r="G3406" s="321"/>
      <c r="H3406" s="11" t="s">
        <v>44</v>
      </c>
      <c r="I3406" s="423"/>
      <c r="J3406" s="14"/>
      <c r="K3406" s="12"/>
      <c r="L3406" s="12"/>
      <c r="M3406" s="11" t="s">
        <v>7884</v>
      </c>
      <c r="N3406" s="5" t="s">
        <v>15590</v>
      </c>
      <c r="O3406" s="5" t="s">
        <v>26</v>
      </c>
      <c r="P3406" s="15"/>
      <c r="Q3406" s="15"/>
      <c r="R3406" s="422"/>
      <c r="S3406" s="15"/>
      <c r="T3406" s="15"/>
      <c r="U3406" s="15"/>
      <c r="V3406" s="15"/>
      <c r="W3406" s="15"/>
      <c r="X3406" s="15"/>
      <c r="Y3406" s="15"/>
      <c r="Z3406" s="15"/>
      <c r="AA3406" s="15"/>
    </row>
    <row r="3407">
      <c r="A3407" s="352" t="s">
        <v>15582</v>
      </c>
      <c r="B3407" s="131" t="s">
        <v>15591</v>
      </c>
      <c r="C3407" s="40" t="s">
        <v>15592</v>
      </c>
      <c r="D3407" s="11"/>
      <c r="E3407" s="11" t="s">
        <v>960</v>
      </c>
      <c r="F3407" s="90">
        <v>500.0</v>
      </c>
      <c r="G3407" s="321"/>
      <c r="H3407" s="11" t="s">
        <v>44</v>
      </c>
      <c r="I3407" s="423"/>
      <c r="J3407" s="14"/>
      <c r="K3407" s="13"/>
      <c r="L3407" s="13"/>
      <c r="M3407" s="14"/>
      <c r="N3407" s="15"/>
      <c r="O3407" s="5" t="s">
        <v>26</v>
      </c>
      <c r="P3407" s="15"/>
      <c r="Q3407" s="15"/>
      <c r="R3407" s="422"/>
      <c r="S3407" s="15"/>
      <c r="T3407" s="15"/>
      <c r="U3407" s="15"/>
      <c r="V3407" s="15"/>
      <c r="W3407" s="15"/>
      <c r="X3407" s="15"/>
      <c r="Y3407" s="15"/>
      <c r="Z3407" s="15"/>
      <c r="AA3407" s="15"/>
    </row>
    <row r="3408">
      <c r="A3408" s="5" t="s">
        <v>15582</v>
      </c>
      <c r="B3408" s="131" t="s">
        <v>15593</v>
      </c>
      <c r="C3408" s="40" t="s">
        <v>15594</v>
      </c>
      <c r="D3408" s="11"/>
      <c r="E3408" s="11" t="s">
        <v>38</v>
      </c>
      <c r="F3408" s="90">
        <v>200.0</v>
      </c>
      <c r="G3408" s="321"/>
      <c r="H3408" s="11" t="s">
        <v>15595</v>
      </c>
      <c r="I3408" s="423"/>
      <c r="J3408" s="14"/>
      <c r="K3408" s="12"/>
      <c r="L3408" s="12"/>
      <c r="M3408" s="11" t="s">
        <v>12231</v>
      </c>
      <c r="N3408" s="5" t="s">
        <v>15596</v>
      </c>
      <c r="O3408" s="5" t="s">
        <v>34</v>
      </c>
      <c r="P3408" s="15"/>
      <c r="Q3408" s="15"/>
      <c r="R3408" s="422"/>
      <c r="S3408" s="15"/>
      <c r="T3408" s="15"/>
      <c r="U3408" s="15"/>
      <c r="V3408" s="15"/>
      <c r="W3408" s="15"/>
      <c r="X3408" s="15"/>
      <c r="Y3408" s="15"/>
      <c r="Z3408" s="15"/>
      <c r="AA3408" s="15"/>
    </row>
    <row r="3409">
      <c r="A3409" s="5" t="s">
        <v>15582</v>
      </c>
      <c r="B3409" s="131" t="s">
        <v>15597</v>
      </c>
      <c r="C3409" s="40" t="s">
        <v>15598</v>
      </c>
      <c r="D3409" s="11"/>
      <c r="E3409" s="11" t="s">
        <v>213</v>
      </c>
      <c r="F3409" s="90">
        <v>2000.0</v>
      </c>
      <c r="G3409" s="321"/>
      <c r="H3409" s="11" t="s">
        <v>906</v>
      </c>
      <c r="I3409" s="276"/>
      <c r="J3409" s="11" t="s">
        <v>8737</v>
      </c>
      <c r="K3409" s="12"/>
      <c r="L3409" s="12"/>
      <c r="M3409" s="11" t="s">
        <v>9587</v>
      </c>
      <c r="N3409" s="5" t="s">
        <v>15599</v>
      </c>
      <c r="O3409" s="5" t="s">
        <v>108</v>
      </c>
      <c r="P3409" s="15"/>
      <c r="Q3409" s="15"/>
      <c r="R3409" s="422"/>
      <c r="S3409" s="15"/>
      <c r="T3409" s="15"/>
      <c r="U3409" s="15"/>
      <c r="V3409" s="15"/>
      <c r="W3409" s="15"/>
      <c r="X3409" s="15"/>
      <c r="Y3409" s="15"/>
      <c r="Z3409" s="15"/>
      <c r="AA3409" s="15"/>
    </row>
    <row r="3410">
      <c r="A3410" s="5" t="s">
        <v>15582</v>
      </c>
      <c r="B3410" s="131" t="s">
        <v>15600</v>
      </c>
      <c r="C3410" s="40" t="s">
        <v>15601</v>
      </c>
      <c r="D3410" s="11"/>
      <c r="E3410" s="11" t="s">
        <v>15602</v>
      </c>
      <c r="F3410" s="90">
        <v>1000.0</v>
      </c>
      <c r="G3410" s="321"/>
      <c r="H3410" s="11" t="s">
        <v>372</v>
      </c>
      <c r="I3410" s="423"/>
      <c r="J3410" s="14"/>
      <c r="K3410" s="13"/>
      <c r="L3410" s="13"/>
      <c r="M3410" s="14"/>
      <c r="N3410" s="15"/>
      <c r="O3410" s="5" t="s">
        <v>108</v>
      </c>
      <c r="P3410" s="15"/>
      <c r="Q3410" s="15"/>
      <c r="R3410" s="422"/>
      <c r="S3410" s="15"/>
      <c r="T3410" s="15"/>
      <c r="U3410" s="15"/>
      <c r="V3410" s="15"/>
      <c r="W3410" s="15"/>
      <c r="X3410" s="15"/>
      <c r="Y3410" s="15"/>
      <c r="Z3410" s="15"/>
      <c r="AA3410" s="15"/>
    </row>
    <row r="3411">
      <c r="A3411" s="5" t="s">
        <v>15582</v>
      </c>
      <c r="B3411" s="131" t="s">
        <v>15603</v>
      </c>
      <c r="C3411" s="40" t="s">
        <v>15604</v>
      </c>
      <c r="D3411" s="11"/>
      <c r="E3411" s="11" t="s">
        <v>15605</v>
      </c>
      <c r="F3411" s="9">
        <v>300000.0</v>
      </c>
      <c r="G3411" s="321"/>
      <c r="H3411" s="11" t="s">
        <v>44</v>
      </c>
      <c r="I3411" s="276"/>
      <c r="J3411" s="11" t="s">
        <v>4008</v>
      </c>
      <c r="K3411" s="12"/>
      <c r="L3411" s="12"/>
      <c r="M3411" s="11" t="s">
        <v>7651</v>
      </c>
      <c r="N3411" s="5" t="s">
        <v>15606</v>
      </c>
      <c r="O3411" s="5" t="s">
        <v>26</v>
      </c>
      <c r="P3411" s="15"/>
      <c r="Q3411" s="15"/>
      <c r="R3411" s="422"/>
      <c r="S3411" s="15"/>
      <c r="T3411" s="15"/>
      <c r="U3411" s="15"/>
      <c r="V3411" s="15"/>
      <c r="W3411" s="15"/>
      <c r="X3411" s="15"/>
      <c r="Y3411" s="15"/>
      <c r="Z3411" s="15"/>
      <c r="AA3411" s="15"/>
    </row>
    <row r="3412">
      <c r="A3412" s="5" t="s">
        <v>15607</v>
      </c>
      <c r="B3412" s="131" t="s">
        <v>15608</v>
      </c>
      <c r="C3412" s="40" t="s">
        <v>15609</v>
      </c>
      <c r="D3412" s="11"/>
      <c r="E3412" s="11" t="s">
        <v>6323</v>
      </c>
      <c r="F3412" s="90">
        <v>2000.0</v>
      </c>
      <c r="G3412" s="321"/>
      <c r="H3412" s="11" t="s">
        <v>44</v>
      </c>
      <c r="I3412" s="423"/>
      <c r="J3412" s="14"/>
      <c r="K3412" s="13"/>
      <c r="L3412" s="13"/>
      <c r="M3412" s="14"/>
      <c r="N3412" s="15"/>
      <c r="O3412" s="5" t="s">
        <v>26</v>
      </c>
      <c r="P3412" s="15"/>
      <c r="Q3412" s="15"/>
      <c r="R3412" s="422"/>
      <c r="S3412" s="15"/>
      <c r="T3412" s="15"/>
      <c r="U3412" s="15"/>
      <c r="V3412" s="15"/>
      <c r="W3412" s="15"/>
      <c r="X3412" s="15"/>
      <c r="Y3412" s="15"/>
      <c r="Z3412" s="15"/>
      <c r="AA3412" s="15"/>
    </row>
    <row r="3413">
      <c r="A3413" s="5" t="s">
        <v>15610</v>
      </c>
      <c r="B3413" s="131" t="s">
        <v>15611</v>
      </c>
      <c r="C3413" s="40" t="s">
        <v>15612</v>
      </c>
      <c r="D3413" s="11"/>
      <c r="E3413" s="11" t="s">
        <v>152</v>
      </c>
      <c r="F3413" s="90">
        <v>300.0</v>
      </c>
      <c r="G3413" s="321"/>
      <c r="H3413" s="11" t="s">
        <v>15613</v>
      </c>
      <c r="I3413" s="423"/>
      <c r="J3413" s="14"/>
      <c r="K3413" s="12"/>
      <c r="L3413" s="12"/>
      <c r="M3413" s="11" t="s">
        <v>10721</v>
      </c>
      <c r="N3413" s="5" t="s">
        <v>15614</v>
      </c>
      <c r="O3413" s="5" t="s">
        <v>14119</v>
      </c>
      <c r="P3413" s="15"/>
      <c r="Q3413" s="15"/>
      <c r="R3413" s="422"/>
      <c r="S3413" s="15"/>
      <c r="T3413" s="15"/>
      <c r="U3413" s="15"/>
      <c r="V3413" s="15"/>
      <c r="W3413" s="15"/>
      <c r="X3413" s="15"/>
      <c r="Y3413" s="15"/>
      <c r="Z3413" s="15"/>
      <c r="AA3413" s="15"/>
    </row>
    <row r="3414">
      <c r="A3414" s="5" t="s">
        <v>15610</v>
      </c>
      <c r="B3414" s="131" t="s">
        <v>15615</v>
      </c>
      <c r="C3414" s="40" t="s">
        <v>15616</v>
      </c>
      <c r="D3414" s="11"/>
      <c r="E3414" s="11" t="s">
        <v>15617</v>
      </c>
      <c r="F3414" s="90" t="s">
        <v>15618</v>
      </c>
      <c r="G3414" s="321"/>
      <c r="H3414" s="11" t="s">
        <v>44</v>
      </c>
      <c r="I3414" s="423"/>
      <c r="J3414" s="14"/>
      <c r="K3414" s="12"/>
      <c r="L3414" s="12"/>
      <c r="M3414" s="11" t="s">
        <v>15619</v>
      </c>
      <c r="N3414" s="5" t="s">
        <v>15620</v>
      </c>
      <c r="O3414" s="5" t="s">
        <v>26</v>
      </c>
      <c r="P3414" s="15"/>
      <c r="Q3414" s="15"/>
      <c r="R3414" s="422"/>
      <c r="S3414" s="15"/>
      <c r="T3414" s="15"/>
      <c r="U3414" s="15"/>
      <c r="V3414" s="15"/>
      <c r="W3414" s="15"/>
      <c r="X3414" s="15"/>
      <c r="Y3414" s="15"/>
      <c r="Z3414" s="15"/>
      <c r="AA3414" s="15"/>
    </row>
    <row r="3415">
      <c r="A3415" s="5" t="s">
        <v>15610</v>
      </c>
      <c r="B3415" s="131" t="s">
        <v>15621</v>
      </c>
      <c r="C3415" s="40" t="s">
        <v>1134</v>
      </c>
      <c r="D3415" s="11"/>
      <c r="E3415" s="11" t="s">
        <v>167</v>
      </c>
      <c r="F3415" s="90">
        <v>100.0</v>
      </c>
      <c r="G3415" s="321"/>
      <c r="H3415" s="11" t="s">
        <v>1663</v>
      </c>
      <c r="I3415" s="423"/>
      <c r="J3415" s="14"/>
      <c r="K3415" s="12"/>
      <c r="L3415" s="12"/>
      <c r="M3415" s="11" t="s">
        <v>6155</v>
      </c>
      <c r="N3415" s="5" t="s">
        <v>15622</v>
      </c>
      <c r="O3415" s="5" t="s">
        <v>14119</v>
      </c>
      <c r="P3415" s="15"/>
      <c r="Q3415" s="15"/>
      <c r="R3415" s="422"/>
      <c r="S3415" s="15"/>
      <c r="T3415" s="15"/>
      <c r="U3415" s="15"/>
      <c r="V3415" s="15"/>
      <c r="W3415" s="15"/>
      <c r="X3415" s="15"/>
      <c r="Y3415" s="15"/>
      <c r="Z3415" s="15"/>
      <c r="AA3415" s="15"/>
    </row>
    <row r="3416">
      <c r="A3416" s="5" t="s">
        <v>15610</v>
      </c>
      <c r="B3416" s="131" t="s">
        <v>15623</v>
      </c>
      <c r="C3416" s="40" t="s">
        <v>15624</v>
      </c>
      <c r="D3416" s="11"/>
      <c r="E3416" s="11" t="s">
        <v>794</v>
      </c>
      <c r="F3416" s="90">
        <v>500.0</v>
      </c>
      <c r="G3416" s="321"/>
      <c r="H3416" s="11" t="s">
        <v>44</v>
      </c>
      <c r="I3416" s="423"/>
      <c r="J3416" s="14"/>
      <c r="K3416" s="12"/>
      <c r="L3416" s="12"/>
      <c r="M3416" s="11" t="s">
        <v>7884</v>
      </c>
      <c r="N3416" s="5" t="s">
        <v>15625</v>
      </c>
      <c r="O3416" s="5" t="s">
        <v>26</v>
      </c>
      <c r="P3416" s="15"/>
      <c r="Q3416" s="15"/>
      <c r="R3416" s="422"/>
      <c r="S3416" s="15"/>
      <c r="T3416" s="15"/>
      <c r="U3416" s="15"/>
      <c r="V3416" s="15"/>
      <c r="W3416" s="15"/>
      <c r="X3416" s="15"/>
      <c r="Y3416" s="15"/>
      <c r="Z3416" s="15"/>
      <c r="AA3416" s="15"/>
    </row>
    <row r="3417">
      <c r="A3417" s="5" t="s">
        <v>15610</v>
      </c>
      <c r="B3417" s="131" t="s">
        <v>15626</v>
      </c>
      <c r="C3417" s="40" t="s">
        <v>15627</v>
      </c>
      <c r="D3417" s="11"/>
      <c r="E3417" s="11" t="s">
        <v>15628</v>
      </c>
      <c r="F3417" s="9">
        <v>20000.0</v>
      </c>
      <c r="G3417" s="321"/>
      <c r="H3417" s="11" t="s">
        <v>11568</v>
      </c>
      <c r="I3417" s="423"/>
      <c r="J3417" s="14"/>
      <c r="K3417" s="12"/>
      <c r="L3417" s="12"/>
      <c r="M3417" s="11" t="s">
        <v>7965</v>
      </c>
      <c r="N3417" s="5" t="s">
        <v>15629</v>
      </c>
      <c r="O3417" s="5" t="s">
        <v>26</v>
      </c>
      <c r="P3417" s="15"/>
      <c r="Q3417" s="15"/>
      <c r="R3417" s="422"/>
      <c r="S3417" s="15"/>
      <c r="T3417" s="15"/>
      <c r="U3417" s="15"/>
      <c r="V3417" s="15"/>
      <c r="W3417" s="15"/>
      <c r="X3417" s="15"/>
      <c r="Y3417" s="15"/>
      <c r="Z3417" s="15"/>
      <c r="AA3417" s="15"/>
    </row>
    <row r="3418">
      <c r="A3418" s="5" t="s">
        <v>15610</v>
      </c>
      <c r="B3418" s="131" t="s">
        <v>15630</v>
      </c>
      <c r="C3418" s="40" t="s">
        <v>15631</v>
      </c>
      <c r="D3418" s="11"/>
      <c r="E3418" s="11" t="s">
        <v>15632</v>
      </c>
      <c r="F3418" s="90">
        <v>500.0</v>
      </c>
      <c r="G3418" s="321"/>
      <c r="H3418" s="11" t="s">
        <v>15633</v>
      </c>
      <c r="I3418" s="276"/>
      <c r="J3418" s="11" t="s">
        <v>25</v>
      </c>
      <c r="K3418" s="13"/>
      <c r="L3418" s="13"/>
      <c r="M3418" s="14"/>
      <c r="N3418" s="15"/>
      <c r="O3418" s="5" t="s">
        <v>14119</v>
      </c>
      <c r="P3418" s="15"/>
      <c r="Q3418" s="15"/>
      <c r="R3418" s="422"/>
      <c r="S3418" s="15"/>
      <c r="T3418" s="15"/>
      <c r="U3418" s="15"/>
      <c r="V3418" s="15"/>
      <c r="W3418" s="15"/>
      <c r="X3418" s="15"/>
      <c r="Y3418" s="15"/>
      <c r="Z3418" s="15"/>
      <c r="AA3418" s="15"/>
    </row>
    <row r="3419">
      <c r="A3419" s="5" t="s">
        <v>15610</v>
      </c>
      <c r="B3419" s="131" t="s">
        <v>15634</v>
      </c>
      <c r="C3419" s="40" t="s">
        <v>15635</v>
      </c>
      <c r="D3419" s="11"/>
      <c r="E3419" s="11" t="s">
        <v>9486</v>
      </c>
      <c r="F3419" s="90">
        <v>3000.0</v>
      </c>
      <c r="G3419" s="321"/>
      <c r="H3419" s="11" t="s">
        <v>495</v>
      </c>
      <c r="I3419" s="276"/>
      <c r="J3419" s="11" t="s">
        <v>4008</v>
      </c>
      <c r="K3419" s="12"/>
      <c r="L3419" s="12"/>
      <c r="M3419" s="11" t="s">
        <v>9587</v>
      </c>
      <c r="N3419" s="5" t="s">
        <v>15636</v>
      </c>
      <c r="O3419" s="5" t="s">
        <v>26</v>
      </c>
      <c r="P3419" s="15"/>
      <c r="Q3419" s="15"/>
      <c r="R3419" s="422"/>
      <c r="S3419" s="15"/>
      <c r="T3419" s="15"/>
      <c r="U3419" s="15"/>
      <c r="V3419" s="15"/>
      <c r="W3419" s="15"/>
      <c r="X3419" s="15"/>
      <c r="Y3419" s="15"/>
      <c r="Z3419" s="15"/>
      <c r="AA3419" s="15"/>
    </row>
    <row r="3420">
      <c r="A3420" s="5" t="s">
        <v>15610</v>
      </c>
      <c r="B3420" s="131" t="s">
        <v>15637</v>
      </c>
      <c r="C3420" s="40" t="s">
        <v>1775</v>
      </c>
      <c r="D3420" s="11"/>
      <c r="E3420" s="11" t="s">
        <v>152</v>
      </c>
      <c r="F3420" s="9">
        <v>20000.0</v>
      </c>
      <c r="G3420" s="321"/>
      <c r="H3420" s="11" t="s">
        <v>15638</v>
      </c>
      <c r="I3420" s="276"/>
      <c r="J3420" s="11" t="s">
        <v>25</v>
      </c>
      <c r="K3420" s="12"/>
      <c r="L3420" s="12"/>
      <c r="M3420" s="11" t="s">
        <v>7718</v>
      </c>
      <c r="N3420" s="5" t="s">
        <v>15639</v>
      </c>
      <c r="O3420" s="5" t="s">
        <v>26</v>
      </c>
      <c r="P3420" s="15"/>
      <c r="Q3420" s="15"/>
      <c r="R3420" s="422"/>
      <c r="S3420" s="15"/>
      <c r="T3420" s="15"/>
      <c r="U3420" s="15"/>
      <c r="V3420" s="15"/>
      <c r="W3420" s="15"/>
      <c r="X3420" s="15"/>
      <c r="Y3420" s="15"/>
      <c r="Z3420" s="15"/>
      <c r="AA3420" s="15"/>
    </row>
    <row r="3421">
      <c r="A3421" s="5" t="s">
        <v>15610</v>
      </c>
      <c r="B3421" s="131" t="s">
        <v>15640</v>
      </c>
      <c r="C3421" s="40" t="s">
        <v>15641</v>
      </c>
      <c r="D3421" s="11"/>
      <c r="E3421" s="11" t="s">
        <v>38</v>
      </c>
      <c r="F3421" s="9">
        <v>10000.0</v>
      </c>
      <c r="G3421" s="321"/>
      <c r="H3421" s="11" t="s">
        <v>44</v>
      </c>
      <c r="I3421" s="276"/>
      <c r="J3421" s="11" t="s">
        <v>4008</v>
      </c>
      <c r="K3421" s="12"/>
      <c r="L3421" s="12"/>
      <c r="M3421" s="11" t="s">
        <v>9497</v>
      </c>
      <c r="N3421" s="5" t="s">
        <v>15642</v>
      </c>
      <c r="O3421" s="5" t="s">
        <v>26</v>
      </c>
      <c r="P3421" s="15"/>
      <c r="Q3421" s="15"/>
      <c r="R3421" s="422"/>
      <c r="S3421" s="15"/>
      <c r="T3421" s="15"/>
      <c r="U3421" s="15"/>
      <c r="V3421" s="15"/>
      <c r="W3421" s="15"/>
      <c r="X3421" s="15"/>
      <c r="Y3421" s="15"/>
      <c r="Z3421" s="15"/>
      <c r="AA3421" s="15"/>
    </row>
    <row r="3422">
      <c r="A3422" s="5" t="s">
        <v>15610</v>
      </c>
      <c r="B3422" s="131" t="s">
        <v>15643</v>
      </c>
      <c r="C3422" s="40" t="s">
        <v>15644</v>
      </c>
      <c r="D3422" s="11"/>
      <c r="E3422" s="11" t="s">
        <v>15645</v>
      </c>
      <c r="F3422" s="9">
        <v>20000.0</v>
      </c>
      <c r="G3422" s="321"/>
      <c r="H3422" s="11" t="s">
        <v>519</v>
      </c>
      <c r="I3422" s="276"/>
      <c r="J3422" s="11" t="s">
        <v>25</v>
      </c>
      <c r="K3422" s="13"/>
      <c r="L3422" s="13"/>
      <c r="M3422" s="14"/>
      <c r="N3422" s="15"/>
      <c r="O3422" s="5" t="s">
        <v>108</v>
      </c>
      <c r="P3422" s="15"/>
      <c r="Q3422" s="15"/>
      <c r="R3422" s="422"/>
      <c r="S3422" s="15"/>
      <c r="T3422" s="15"/>
      <c r="U3422" s="15"/>
      <c r="V3422" s="15"/>
      <c r="W3422" s="15"/>
      <c r="X3422" s="15"/>
      <c r="Y3422" s="15"/>
      <c r="Z3422" s="15"/>
      <c r="AA3422" s="15"/>
    </row>
    <row r="3423">
      <c r="A3423" s="5" t="s">
        <v>15610</v>
      </c>
      <c r="B3423" s="131" t="s">
        <v>15646</v>
      </c>
      <c r="C3423" s="40" t="s">
        <v>11231</v>
      </c>
      <c r="D3423" s="11"/>
      <c r="E3423" s="11" t="s">
        <v>15647</v>
      </c>
      <c r="F3423" s="90">
        <v>440.0</v>
      </c>
      <c r="G3423" s="321"/>
      <c r="H3423" s="11" t="s">
        <v>1090</v>
      </c>
      <c r="I3423" s="276"/>
      <c r="J3423" s="11" t="s">
        <v>25</v>
      </c>
      <c r="K3423" s="13"/>
      <c r="L3423" s="13"/>
      <c r="M3423" s="14"/>
      <c r="N3423" s="15"/>
      <c r="O3423" s="5" t="s">
        <v>14119</v>
      </c>
      <c r="P3423" s="15"/>
      <c r="Q3423" s="15"/>
      <c r="R3423" s="422"/>
      <c r="S3423" s="15"/>
      <c r="T3423" s="15"/>
      <c r="U3423" s="15"/>
      <c r="V3423" s="15"/>
      <c r="W3423" s="15"/>
      <c r="X3423" s="15"/>
      <c r="Y3423" s="15"/>
      <c r="Z3423" s="15"/>
      <c r="AA3423" s="15"/>
    </row>
    <row r="3424">
      <c r="A3424" s="5" t="s">
        <v>15610</v>
      </c>
      <c r="B3424" s="131" t="s">
        <v>15648</v>
      </c>
      <c r="C3424" s="40" t="s">
        <v>15649</v>
      </c>
      <c r="D3424" s="11"/>
      <c r="E3424" s="11" t="s">
        <v>6311</v>
      </c>
      <c r="F3424" s="90">
        <v>1000.0</v>
      </c>
      <c r="G3424" s="321"/>
      <c r="H3424" s="11" t="s">
        <v>184</v>
      </c>
      <c r="I3424" s="276"/>
      <c r="J3424" s="11" t="s">
        <v>25</v>
      </c>
      <c r="K3424" s="12"/>
      <c r="L3424" s="12"/>
      <c r="M3424" s="11" t="s">
        <v>9034</v>
      </c>
      <c r="N3424" s="5" t="s">
        <v>15650</v>
      </c>
      <c r="O3424" s="5" t="s">
        <v>26</v>
      </c>
      <c r="P3424" s="15"/>
      <c r="Q3424" s="15"/>
      <c r="R3424" s="422"/>
      <c r="S3424" s="15"/>
      <c r="T3424" s="15"/>
      <c r="U3424" s="15"/>
      <c r="V3424" s="15"/>
      <c r="W3424" s="15"/>
      <c r="X3424" s="15"/>
      <c r="Y3424" s="15"/>
      <c r="Z3424" s="15"/>
      <c r="AA3424" s="15"/>
    </row>
    <row r="3425">
      <c r="A3425" s="5" t="s">
        <v>15610</v>
      </c>
      <c r="B3425" s="131" t="s">
        <v>15651</v>
      </c>
      <c r="C3425" s="40" t="s">
        <v>2183</v>
      </c>
      <c r="D3425" s="11"/>
      <c r="E3425" s="11" t="s">
        <v>15652</v>
      </c>
      <c r="F3425" s="90">
        <v>5000.0</v>
      </c>
      <c r="G3425" s="321"/>
      <c r="H3425" s="11" t="s">
        <v>8781</v>
      </c>
      <c r="I3425" s="423"/>
      <c r="J3425" s="14"/>
      <c r="K3425" s="13"/>
      <c r="L3425" s="13"/>
      <c r="M3425" s="14"/>
      <c r="N3425" s="15"/>
      <c r="O3425" s="5" t="s">
        <v>26</v>
      </c>
      <c r="P3425" s="15"/>
      <c r="Q3425" s="15"/>
      <c r="R3425" s="422"/>
      <c r="S3425" s="15"/>
      <c r="T3425" s="15"/>
      <c r="U3425" s="15"/>
      <c r="V3425" s="15"/>
      <c r="W3425" s="15"/>
      <c r="X3425" s="15"/>
      <c r="Y3425" s="15"/>
      <c r="Z3425" s="15"/>
      <c r="AA3425" s="15"/>
    </row>
    <row r="3426">
      <c r="A3426" s="5" t="s">
        <v>15610</v>
      </c>
      <c r="B3426" s="131" t="s">
        <v>15653</v>
      </c>
      <c r="C3426" s="40" t="s">
        <v>15654</v>
      </c>
      <c r="D3426" s="11"/>
      <c r="E3426" s="11" t="s">
        <v>47</v>
      </c>
      <c r="F3426" s="9">
        <v>10000.0</v>
      </c>
      <c r="G3426" s="321"/>
      <c r="H3426" s="11" t="s">
        <v>495</v>
      </c>
      <c r="I3426" s="423"/>
      <c r="J3426" s="14"/>
      <c r="K3426" s="12"/>
      <c r="L3426" s="12"/>
      <c r="M3426" s="11" t="s">
        <v>7965</v>
      </c>
      <c r="N3426" s="5" t="s">
        <v>15655</v>
      </c>
      <c r="O3426" s="5" t="s">
        <v>26</v>
      </c>
      <c r="P3426" s="15"/>
      <c r="Q3426" s="15"/>
      <c r="R3426" s="422"/>
      <c r="S3426" s="15"/>
      <c r="T3426" s="15"/>
      <c r="U3426" s="15"/>
      <c r="V3426" s="15"/>
      <c r="W3426" s="15"/>
      <c r="X3426" s="15"/>
      <c r="Y3426" s="15"/>
      <c r="Z3426" s="15"/>
      <c r="AA3426" s="15"/>
    </row>
    <row r="3427">
      <c r="A3427" s="5" t="s">
        <v>15656</v>
      </c>
      <c r="B3427" s="131" t="s">
        <v>15657</v>
      </c>
      <c r="C3427" s="40" t="s">
        <v>15658</v>
      </c>
      <c r="D3427" s="11"/>
      <c r="E3427" s="11" t="s">
        <v>15659</v>
      </c>
      <c r="F3427" s="90" t="s">
        <v>12055</v>
      </c>
      <c r="G3427" s="321"/>
      <c r="H3427" s="11" t="s">
        <v>15660</v>
      </c>
      <c r="I3427" s="423"/>
      <c r="J3427" s="14"/>
      <c r="K3427" s="13"/>
      <c r="L3427" s="13"/>
      <c r="M3427" s="14"/>
      <c r="N3427" s="15"/>
      <c r="O3427" s="5" t="s">
        <v>108</v>
      </c>
      <c r="P3427" s="15"/>
      <c r="Q3427" s="15"/>
      <c r="R3427" s="422"/>
      <c r="S3427" s="15"/>
      <c r="T3427" s="15"/>
      <c r="U3427" s="15"/>
      <c r="V3427" s="15"/>
      <c r="W3427" s="15"/>
      <c r="X3427" s="15"/>
      <c r="Y3427" s="15"/>
      <c r="Z3427" s="15"/>
      <c r="AA3427" s="15"/>
    </row>
    <row r="3428">
      <c r="A3428" s="5" t="s">
        <v>15656</v>
      </c>
      <c r="B3428" s="131" t="s">
        <v>15661</v>
      </c>
      <c r="C3428" s="40" t="s">
        <v>15662</v>
      </c>
      <c r="D3428" s="11"/>
      <c r="E3428" s="11" t="s">
        <v>15663</v>
      </c>
      <c r="F3428" s="90">
        <v>1000.0</v>
      </c>
      <c r="G3428" s="321"/>
      <c r="H3428" s="11" t="s">
        <v>930</v>
      </c>
      <c r="I3428" s="423"/>
      <c r="J3428" s="14"/>
      <c r="K3428" s="13"/>
      <c r="L3428" s="13"/>
      <c r="M3428" s="14"/>
      <c r="N3428" s="15"/>
      <c r="O3428" s="5" t="s">
        <v>108</v>
      </c>
      <c r="P3428" s="15"/>
      <c r="Q3428" s="15"/>
      <c r="R3428" s="422"/>
      <c r="S3428" s="15"/>
      <c r="T3428" s="15"/>
      <c r="U3428" s="15"/>
      <c r="V3428" s="15"/>
      <c r="W3428" s="15"/>
      <c r="X3428" s="15"/>
      <c r="Y3428" s="15"/>
      <c r="Z3428" s="15"/>
      <c r="AA3428" s="15"/>
    </row>
    <row r="3429">
      <c r="A3429" s="352" t="s">
        <v>15656</v>
      </c>
      <c r="B3429" s="131" t="s">
        <v>15664</v>
      </c>
      <c r="C3429" s="40" t="s">
        <v>15665</v>
      </c>
      <c r="D3429" s="11"/>
      <c r="E3429" s="11" t="s">
        <v>9434</v>
      </c>
      <c r="F3429" s="9">
        <v>100000.0</v>
      </c>
      <c r="G3429" s="321"/>
      <c r="H3429" s="11" t="s">
        <v>15666</v>
      </c>
      <c r="I3429" s="276"/>
      <c r="J3429" s="11" t="s">
        <v>25</v>
      </c>
      <c r="K3429" s="12"/>
      <c r="L3429" s="12"/>
      <c r="M3429" s="11" t="s">
        <v>11502</v>
      </c>
      <c r="N3429" s="5" t="s">
        <v>15667</v>
      </c>
      <c r="O3429" s="5" t="s">
        <v>26</v>
      </c>
      <c r="P3429" s="15"/>
      <c r="Q3429" s="15"/>
      <c r="R3429" s="422"/>
      <c r="S3429" s="15"/>
      <c r="T3429" s="15"/>
      <c r="U3429" s="15"/>
      <c r="V3429" s="15"/>
      <c r="W3429" s="15"/>
      <c r="X3429" s="15"/>
      <c r="Y3429" s="15"/>
      <c r="Z3429" s="15"/>
      <c r="AA3429" s="15"/>
    </row>
    <row r="3430">
      <c r="A3430" s="5" t="s">
        <v>15656</v>
      </c>
      <c r="B3430" s="131" t="s">
        <v>15668</v>
      </c>
      <c r="C3430" s="40" t="s">
        <v>15669</v>
      </c>
      <c r="D3430" s="11"/>
      <c r="E3430" s="11" t="s">
        <v>167</v>
      </c>
      <c r="F3430" s="90">
        <v>2000.0</v>
      </c>
      <c r="G3430" s="321"/>
      <c r="H3430" s="11" t="s">
        <v>15670</v>
      </c>
      <c r="I3430" s="423"/>
      <c r="J3430" s="14"/>
      <c r="K3430" s="12"/>
      <c r="L3430" s="12"/>
      <c r="M3430" s="11" t="s">
        <v>11262</v>
      </c>
      <c r="N3430" s="5" t="s">
        <v>15671</v>
      </c>
      <c r="O3430" s="5" t="s">
        <v>108</v>
      </c>
      <c r="P3430" s="15"/>
      <c r="Q3430" s="15"/>
      <c r="R3430" s="422"/>
      <c r="S3430" s="15"/>
      <c r="T3430" s="15"/>
      <c r="U3430" s="15"/>
      <c r="V3430" s="15"/>
      <c r="W3430" s="15"/>
      <c r="X3430" s="15"/>
      <c r="Y3430" s="15"/>
      <c r="Z3430" s="15"/>
      <c r="AA3430" s="15"/>
    </row>
    <row r="3431">
      <c r="A3431" s="5" t="s">
        <v>15656</v>
      </c>
      <c r="B3431" s="131" t="s">
        <v>15672</v>
      </c>
      <c r="C3431" s="40" t="s">
        <v>15673</v>
      </c>
      <c r="D3431" s="11"/>
      <c r="E3431" s="11" t="s">
        <v>83</v>
      </c>
      <c r="F3431" s="90">
        <v>1000.0</v>
      </c>
      <c r="G3431" s="321"/>
      <c r="H3431" s="11" t="s">
        <v>15674</v>
      </c>
      <c r="I3431" s="276"/>
      <c r="J3431" s="11" t="s">
        <v>4008</v>
      </c>
      <c r="K3431" s="12"/>
      <c r="L3431" s="12"/>
      <c r="M3431" s="11" t="s">
        <v>9707</v>
      </c>
      <c r="N3431" s="5" t="s">
        <v>15675</v>
      </c>
      <c r="O3431" s="5" t="s">
        <v>108</v>
      </c>
      <c r="P3431" s="15"/>
      <c r="Q3431" s="15"/>
      <c r="R3431" s="422"/>
      <c r="S3431" s="15"/>
      <c r="T3431" s="15"/>
      <c r="U3431" s="15"/>
      <c r="V3431" s="15"/>
      <c r="W3431" s="15"/>
      <c r="X3431" s="15"/>
      <c r="Y3431" s="15"/>
      <c r="Z3431" s="15"/>
      <c r="AA3431" s="15"/>
    </row>
    <row r="3432">
      <c r="A3432" s="5" t="s">
        <v>15656</v>
      </c>
      <c r="B3432" s="131" t="s">
        <v>15676</v>
      </c>
      <c r="C3432" s="40" t="s">
        <v>15677</v>
      </c>
      <c r="D3432" s="11"/>
      <c r="E3432" s="11" t="s">
        <v>130</v>
      </c>
      <c r="F3432" s="90">
        <v>250.0</v>
      </c>
      <c r="G3432" s="321"/>
      <c r="H3432" s="11" t="s">
        <v>15678</v>
      </c>
      <c r="I3432" s="276"/>
      <c r="J3432" s="11" t="s">
        <v>25</v>
      </c>
      <c r="K3432" s="12"/>
      <c r="L3432" s="12"/>
      <c r="M3432" s="11" t="s">
        <v>9587</v>
      </c>
      <c r="N3432" s="5" t="s">
        <v>15679</v>
      </c>
      <c r="O3432" s="5" t="s">
        <v>14119</v>
      </c>
      <c r="P3432" s="15"/>
      <c r="Q3432" s="15"/>
      <c r="R3432" s="422"/>
      <c r="S3432" s="15"/>
      <c r="T3432" s="15"/>
      <c r="U3432" s="15"/>
      <c r="V3432" s="15"/>
      <c r="W3432" s="15"/>
      <c r="X3432" s="15"/>
      <c r="Y3432" s="15"/>
      <c r="Z3432" s="15"/>
      <c r="AA3432" s="15"/>
    </row>
    <row r="3433">
      <c r="A3433" s="5" t="s">
        <v>15656</v>
      </c>
      <c r="B3433" s="131" t="s">
        <v>15680</v>
      </c>
      <c r="C3433" s="40" t="s">
        <v>15681</v>
      </c>
      <c r="D3433" s="11"/>
      <c r="E3433" s="11" t="s">
        <v>14607</v>
      </c>
      <c r="F3433" s="9">
        <v>25000.0</v>
      </c>
      <c r="G3433" s="321"/>
      <c r="H3433" s="11" t="s">
        <v>44</v>
      </c>
      <c r="I3433" s="423"/>
      <c r="J3433" s="14"/>
      <c r="K3433" s="12"/>
      <c r="L3433" s="12"/>
      <c r="M3433" s="11" t="s">
        <v>8399</v>
      </c>
      <c r="N3433" s="5" t="s">
        <v>15682</v>
      </c>
      <c r="O3433" s="5" t="s">
        <v>34</v>
      </c>
      <c r="P3433" s="15"/>
      <c r="Q3433" s="15"/>
      <c r="R3433" s="422"/>
      <c r="S3433" s="15"/>
      <c r="T3433" s="15"/>
      <c r="U3433" s="15"/>
      <c r="V3433" s="15"/>
      <c r="W3433" s="15"/>
      <c r="X3433" s="15"/>
      <c r="Y3433" s="15"/>
      <c r="Z3433" s="15"/>
      <c r="AA3433" s="15"/>
    </row>
    <row r="3434">
      <c r="A3434" s="5" t="s">
        <v>15656</v>
      </c>
      <c r="B3434" s="131" t="s">
        <v>15683</v>
      </c>
      <c r="C3434" s="40" t="s">
        <v>15684</v>
      </c>
      <c r="D3434" s="11"/>
      <c r="E3434" s="11" t="s">
        <v>786</v>
      </c>
      <c r="F3434" s="90">
        <v>1000.0</v>
      </c>
      <c r="G3434" s="321"/>
      <c r="H3434" s="11" t="s">
        <v>8781</v>
      </c>
      <c r="I3434" s="276"/>
      <c r="J3434" s="11" t="s">
        <v>4008</v>
      </c>
      <c r="K3434" s="12"/>
      <c r="L3434" s="12"/>
      <c r="M3434" s="11" t="s">
        <v>14345</v>
      </c>
      <c r="N3434" s="5" t="s">
        <v>15685</v>
      </c>
      <c r="O3434" s="5" t="s">
        <v>26</v>
      </c>
      <c r="P3434" s="15"/>
      <c r="Q3434" s="15"/>
      <c r="R3434" s="422"/>
      <c r="S3434" s="15"/>
      <c r="T3434" s="15"/>
      <c r="U3434" s="15"/>
      <c r="V3434" s="15"/>
      <c r="W3434" s="15"/>
      <c r="X3434" s="15"/>
      <c r="Y3434" s="15"/>
      <c r="Z3434" s="15"/>
      <c r="AA3434" s="15"/>
    </row>
    <row r="3435">
      <c r="A3435" s="5" t="s">
        <v>15656</v>
      </c>
      <c r="B3435" s="131" t="s">
        <v>15686</v>
      </c>
      <c r="C3435" s="40" t="s">
        <v>15687</v>
      </c>
      <c r="D3435" s="11"/>
      <c r="E3435" s="11" t="s">
        <v>3729</v>
      </c>
      <c r="F3435" s="90">
        <v>500.0</v>
      </c>
      <c r="G3435" s="321"/>
      <c r="H3435" s="11" t="s">
        <v>2204</v>
      </c>
      <c r="I3435" s="423"/>
      <c r="J3435" s="14"/>
      <c r="K3435" s="12"/>
      <c r="L3435" s="12"/>
      <c r="M3435" s="11" t="s">
        <v>7965</v>
      </c>
      <c r="N3435" s="5" t="s">
        <v>15688</v>
      </c>
      <c r="O3435" s="5" t="s">
        <v>26</v>
      </c>
      <c r="P3435" s="15"/>
      <c r="Q3435" s="15"/>
      <c r="R3435" s="422"/>
      <c r="S3435" s="15"/>
      <c r="T3435" s="15"/>
      <c r="U3435" s="15"/>
      <c r="V3435" s="15"/>
      <c r="W3435" s="15"/>
      <c r="X3435" s="15"/>
      <c r="Y3435" s="15"/>
      <c r="Z3435" s="15"/>
      <c r="AA3435" s="15"/>
    </row>
    <row r="3436">
      <c r="A3436" s="5" t="s">
        <v>15656</v>
      </c>
      <c r="B3436" s="131" t="s">
        <v>15689</v>
      </c>
      <c r="C3436" s="40" t="s">
        <v>15690</v>
      </c>
      <c r="D3436" s="11"/>
      <c r="E3436" s="11" t="s">
        <v>2685</v>
      </c>
      <c r="F3436" s="90">
        <v>500.0</v>
      </c>
      <c r="G3436" s="321"/>
      <c r="H3436" s="11" t="s">
        <v>13037</v>
      </c>
      <c r="I3436" s="423"/>
      <c r="J3436" s="14"/>
      <c r="K3436" s="12"/>
      <c r="L3436" s="12"/>
      <c r="M3436" s="11" t="s">
        <v>11020</v>
      </c>
      <c r="N3436" s="5" t="s">
        <v>15691</v>
      </c>
      <c r="O3436" s="5" t="s">
        <v>26</v>
      </c>
      <c r="P3436" s="15"/>
      <c r="Q3436" s="15"/>
      <c r="R3436" s="422"/>
      <c r="S3436" s="15"/>
      <c r="T3436" s="15"/>
      <c r="U3436" s="15"/>
      <c r="V3436" s="15"/>
      <c r="W3436" s="15"/>
      <c r="X3436" s="15"/>
      <c r="Y3436" s="15"/>
      <c r="Z3436" s="15"/>
      <c r="AA3436" s="15"/>
    </row>
    <row r="3437">
      <c r="A3437" s="5" t="s">
        <v>15656</v>
      </c>
      <c r="B3437" s="131" t="s">
        <v>15692</v>
      </c>
      <c r="C3437" s="40" t="s">
        <v>15693</v>
      </c>
      <c r="D3437" s="11"/>
      <c r="E3437" s="11" t="s">
        <v>152</v>
      </c>
      <c r="F3437" s="90">
        <v>100.0</v>
      </c>
      <c r="G3437" s="321"/>
      <c r="H3437" s="11" t="s">
        <v>5089</v>
      </c>
      <c r="I3437" s="423"/>
      <c r="J3437" s="14"/>
      <c r="K3437" s="13"/>
      <c r="L3437" s="13"/>
      <c r="M3437" s="14"/>
      <c r="N3437" s="15"/>
      <c r="O3437" s="5" t="s">
        <v>14119</v>
      </c>
      <c r="P3437" s="15"/>
      <c r="Q3437" s="15"/>
      <c r="R3437" s="422"/>
      <c r="S3437" s="15"/>
      <c r="T3437" s="15"/>
      <c r="U3437" s="15"/>
      <c r="V3437" s="15"/>
      <c r="W3437" s="15"/>
      <c r="X3437" s="15"/>
      <c r="Y3437" s="15"/>
      <c r="Z3437" s="15"/>
      <c r="AA3437" s="15"/>
    </row>
    <row r="3438">
      <c r="A3438" s="5" t="s">
        <v>15656</v>
      </c>
      <c r="B3438" s="131" t="s">
        <v>15694</v>
      </c>
      <c r="C3438" s="40" t="s">
        <v>15695</v>
      </c>
      <c r="D3438" s="11"/>
      <c r="E3438" s="11" t="s">
        <v>14399</v>
      </c>
      <c r="F3438" s="90">
        <v>200.0</v>
      </c>
      <c r="G3438" s="321"/>
      <c r="H3438" s="11" t="s">
        <v>15696</v>
      </c>
      <c r="I3438" s="276"/>
      <c r="J3438" s="11" t="s">
        <v>25</v>
      </c>
      <c r="K3438" s="13"/>
      <c r="L3438" s="13"/>
      <c r="M3438" s="14"/>
      <c r="N3438" s="15"/>
      <c r="O3438" s="5" t="s">
        <v>14119</v>
      </c>
      <c r="P3438" s="15"/>
      <c r="Q3438" s="15"/>
      <c r="R3438" s="422"/>
      <c r="S3438" s="15"/>
      <c r="T3438" s="15"/>
      <c r="U3438" s="15"/>
      <c r="V3438" s="15"/>
      <c r="W3438" s="15"/>
      <c r="X3438" s="15"/>
      <c r="Y3438" s="15"/>
      <c r="Z3438" s="15"/>
      <c r="AA3438" s="15"/>
    </row>
    <row r="3439">
      <c r="A3439" s="5" t="s">
        <v>15656</v>
      </c>
      <c r="B3439" s="131" t="s">
        <v>15697</v>
      </c>
      <c r="C3439" s="40" t="s">
        <v>15698</v>
      </c>
      <c r="D3439" s="11"/>
      <c r="E3439" s="11" t="s">
        <v>9050</v>
      </c>
      <c r="F3439" s="90">
        <v>500.0</v>
      </c>
      <c r="G3439" s="321"/>
      <c r="H3439" s="11" t="s">
        <v>44</v>
      </c>
      <c r="I3439" s="423"/>
      <c r="J3439" s="14"/>
      <c r="K3439" s="13"/>
      <c r="L3439" s="13"/>
      <c r="M3439" s="14"/>
      <c r="N3439" s="15"/>
      <c r="O3439" s="5" t="s">
        <v>26</v>
      </c>
      <c r="P3439" s="15"/>
      <c r="Q3439" s="15"/>
      <c r="R3439" s="422"/>
      <c r="S3439" s="15"/>
      <c r="T3439" s="15"/>
      <c r="U3439" s="15"/>
      <c r="V3439" s="15"/>
      <c r="W3439" s="15"/>
      <c r="X3439" s="15"/>
      <c r="Y3439" s="15"/>
      <c r="Z3439" s="15"/>
      <c r="AA3439" s="15"/>
    </row>
    <row r="3440">
      <c r="A3440" s="5" t="s">
        <v>15656</v>
      </c>
      <c r="B3440" s="131" t="s">
        <v>15699</v>
      </c>
      <c r="C3440" s="40" t="s">
        <v>15700</v>
      </c>
      <c r="D3440" s="11"/>
      <c r="E3440" s="11" t="s">
        <v>5226</v>
      </c>
      <c r="F3440" s="90">
        <v>500.0</v>
      </c>
      <c r="G3440" s="321"/>
      <c r="H3440" s="11" t="s">
        <v>15701</v>
      </c>
      <c r="I3440" s="423"/>
      <c r="J3440" s="14"/>
      <c r="K3440" s="12"/>
      <c r="L3440" s="12"/>
      <c r="M3440" s="11" t="s">
        <v>15702</v>
      </c>
      <c r="N3440" s="5" t="s">
        <v>15703</v>
      </c>
      <c r="O3440" s="5" t="s">
        <v>108</v>
      </c>
      <c r="P3440" s="15"/>
      <c r="Q3440" s="15"/>
      <c r="R3440" s="422"/>
      <c r="S3440" s="15"/>
      <c r="T3440" s="15"/>
      <c r="U3440" s="15"/>
      <c r="V3440" s="15"/>
      <c r="W3440" s="15"/>
      <c r="X3440" s="15"/>
      <c r="Y3440" s="15"/>
      <c r="Z3440" s="15"/>
      <c r="AA3440" s="15"/>
    </row>
    <row r="3441">
      <c r="A3441" s="5" t="s">
        <v>15656</v>
      </c>
      <c r="B3441" s="131" t="s">
        <v>15704</v>
      </c>
      <c r="C3441" s="40" t="s">
        <v>15705</v>
      </c>
      <c r="D3441" s="11"/>
      <c r="E3441" s="11" t="s">
        <v>2402</v>
      </c>
      <c r="F3441" s="90">
        <v>50.0</v>
      </c>
      <c r="G3441" s="321"/>
      <c r="H3441" s="11" t="s">
        <v>349</v>
      </c>
      <c r="I3441" s="276"/>
      <c r="J3441" s="11" t="s">
        <v>25</v>
      </c>
      <c r="K3441" s="13"/>
      <c r="L3441" s="13"/>
      <c r="M3441" s="14"/>
      <c r="N3441" s="15"/>
      <c r="O3441" s="5" t="s">
        <v>14119</v>
      </c>
      <c r="P3441" s="15"/>
      <c r="Q3441" s="15"/>
      <c r="R3441" s="422"/>
      <c r="S3441" s="15"/>
      <c r="T3441" s="15"/>
      <c r="U3441" s="15"/>
      <c r="V3441" s="15"/>
      <c r="W3441" s="15"/>
      <c r="X3441" s="15"/>
      <c r="Y3441" s="15"/>
      <c r="Z3441" s="15"/>
      <c r="AA3441" s="15"/>
    </row>
    <row r="3442">
      <c r="A3442" s="5" t="s">
        <v>15656</v>
      </c>
      <c r="B3442" s="131" t="s">
        <v>15706</v>
      </c>
      <c r="C3442" s="40" t="s">
        <v>15707</v>
      </c>
      <c r="D3442" s="11"/>
      <c r="E3442" s="11" t="s">
        <v>15708</v>
      </c>
      <c r="F3442" s="90">
        <v>210.0</v>
      </c>
      <c r="G3442" s="321"/>
      <c r="H3442" s="11" t="s">
        <v>44</v>
      </c>
      <c r="I3442" s="276"/>
      <c r="J3442" s="11" t="s">
        <v>25</v>
      </c>
      <c r="K3442" s="13"/>
      <c r="L3442" s="13"/>
      <c r="M3442" s="14"/>
      <c r="N3442" s="15"/>
      <c r="O3442" s="5" t="s">
        <v>14119</v>
      </c>
      <c r="P3442" s="15"/>
      <c r="Q3442" s="15"/>
      <c r="R3442" s="422"/>
      <c r="S3442" s="15"/>
      <c r="T3442" s="15"/>
      <c r="U3442" s="15"/>
      <c r="V3442" s="15"/>
      <c r="W3442" s="15"/>
      <c r="X3442" s="15"/>
      <c r="Y3442" s="15"/>
      <c r="Z3442" s="15"/>
      <c r="AA3442" s="15"/>
    </row>
    <row r="3443">
      <c r="A3443" s="5" t="s">
        <v>15656</v>
      </c>
      <c r="B3443" s="131" t="s">
        <v>15709</v>
      </c>
      <c r="C3443" s="40" t="s">
        <v>15710</v>
      </c>
      <c r="D3443" s="11"/>
      <c r="E3443" s="11" t="s">
        <v>13557</v>
      </c>
      <c r="F3443" s="90">
        <v>3000.0</v>
      </c>
      <c r="G3443" s="321"/>
      <c r="H3443" s="11" t="s">
        <v>2662</v>
      </c>
      <c r="I3443" s="276"/>
      <c r="J3443" s="11" t="s">
        <v>4008</v>
      </c>
      <c r="K3443" s="13"/>
      <c r="L3443" s="13"/>
      <c r="M3443" s="14"/>
      <c r="N3443" s="15"/>
      <c r="O3443" s="5" t="s">
        <v>108</v>
      </c>
      <c r="P3443" s="15"/>
      <c r="Q3443" s="15"/>
      <c r="R3443" s="422"/>
      <c r="S3443" s="15"/>
      <c r="T3443" s="15"/>
      <c r="U3443" s="15"/>
      <c r="V3443" s="15"/>
      <c r="W3443" s="15"/>
      <c r="X3443" s="15"/>
      <c r="Y3443" s="15"/>
      <c r="Z3443" s="15"/>
      <c r="AA3443" s="15"/>
    </row>
    <row r="3444">
      <c r="A3444" s="352" t="s">
        <v>15656</v>
      </c>
      <c r="B3444" s="131" t="s">
        <v>15711</v>
      </c>
      <c r="C3444" s="40" t="s">
        <v>15712</v>
      </c>
      <c r="D3444" s="11"/>
      <c r="E3444" s="11" t="s">
        <v>444</v>
      </c>
      <c r="F3444" s="90">
        <v>500.0</v>
      </c>
      <c r="G3444" s="321"/>
      <c r="H3444" s="11" t="s">
        <v>44</v>
      </c>
      <c r="I3444" s="276"/>
      <c r="J3444" s="11" t="s">
        <v>4008</v>
      </c>
      <c r="K3444" s="12"/>
      <c r="L3444" s="12"/>
      <c r="M3444" s="11" t="s">
        <v>9776</v>
      </c>
      <c r="N3444" s="5" t="s">
        <v>15713</v>
      </c>
      <c r="O3444" s="5" t="s">
        <v>26</v>
      </c>
      <c r="P3444" s="15"/>
      <c r="Q3444" s="15"/>
      <c r="R3444" s="422"/>
      <c r="S3444" s="15"/>
      <c r="T3444" s="15"/>
      <c r="U3444" s="15"/>
      <c r="V3444" s="15"/>
      <c r="W3444" s="15"/>
      <c r="X3444" s="15"/>
      <c r="Y3444" s="15"/>
      <c r="Z3444" s="15"/>
      <c r="AA3444" s="15"/>
    </row>
    <row r="3445">
      <c r="A3445" s="5" t="s">
        <v>15714</v>
      </c>
      <c r="B3445" s="131" t="s">
        <v>15715</v>
      </c>
      <c r="C3445" s="40" t="s">
        <v>15716</v>
      </c>
      <c r="D3445" s="11"/>
      <c r="E3445" s="11" t="s">
        <v>9283</v>
      </c>
      <c r="F3445" s="90">
        <v>1000.0</v>
      </c>
      <c r="G3445" s="321"/>
      <c r="H3445" s="11" t="s">
        <v>15717</v>
      </c>
      <c r="I3445" s="276"/>
      <c r="J3445" s="11" t="s">
        <v>4008</v>
      </c>
      <c r="K3445" s="12"/>
      <c r="L3445" s="12"/>
      <c r="M3445" s="11" t="s">
        <v>8722</v>
      </c>
      <c r="N3445" s="5" t="s">
        <v>15718</v>
      </c>
      <c r="O3445" s="5" t="s">
        <v>26</v>
      </c>
      <c r="P3445" s="15"/>
      <c r="Q3445" s="15"/>
      <c r="R3445" s="422"/>
      <c r="S3445" s="15"/>
      <c r="T3445" s="15"/>
      <c r="U3445" s="15"/>
      <c r="V3445" s="15"/>
      <c r="W3445" s="15"/>
      <c r="X3445" s="15"/>
      <c r="Y3445" s="15"/>
      <c r="Z3445" s="15"/>
      <c r="AA3445" s="15"/>
    </row>
    <row r="3446">
      <c r="A3446" s="5" t="s">
        <v>15714</v>
      </c>
      <c r="B3446" s="131" t="s">
        <v>15719</v>
      </c>
      <c r="C3446" s="40" t="s">
        <v>15720</v>
      </c>
      <c r="D3446" s="11"/>
      <c r="E3446" s="11" t="s">
        <v>6360</v>
      </c>
      <c r="F3446" s="90">
        <v>100.0</v>
      </c>
      <c r="G3446" s="321"/>
      <c r="H3446" s="11" t="s">
        <v>3167</v>
      </c>
      <c r="I3446" s="423"/>
      <c r="J3446" s="14"/>
      <c r="K3446" s="12"/>
      <c r="L3446" s="12"/>
      <c r="M3446" s="11" t="s">
        <v>15721</v>
      </c>
      <c r="N3446" s="5" t="s">
        <v>15722</v>
      </c>
      <c r="O3446" s="5" t="s">
        <v>14119</v>
      </c>
      <c r="P3446" s="15"/>
      <c r="Q3446" s="15"/>
      <c r="R3446" s="422"/>
      <c r="S3446" s="15"/>
      <c r="T3446" s="15"/>
      <c r="U3446" s="15"/>
      <c r="V3446" s="15"/>
      <c r="W3446" s="15"/>
      <c r="X3446" s="15"/>
      <c r="Y3446" s="15"/>
      <c r="Z3446" s="15"/>
      <c r="AA3446" s="15"/>
    </row>
    <row r="3447">
      <c r="A3447" s="5" t="s">
        <v>15714</v>
      </c>
      <c r="B3447" s="131" t="s">
        <v>15723</v>
      </c>
      <c r="C3447" s="40" t="s">
        <v>15724</v>
      </c>
      <c r="D3447" s="11"/>
      <c r="E3447" s="11" t="s">
        <v>152</v>
      </c>
      <c r="F3447" s="90">
        <v>100.0</v>
      </c>
      <c r="G3447" s="321"/>
      <c r="H3447" s="11" t="s">
        <v>44</v>
      </c>
      <c r="I3447" s="423"/>
      <c r="J3447" s="14"/>
      <c r="K3447" s="12"/>
      <c r="L3447" s="12"/>
      <c r="M3447" s="11" t="s">
        <v>15725</v>
      </c>
      <c r="N3447" s="5" t="s">
        <v>15726</v>
      </c>
      <c r="O3447" s="5" t="s">
        <v>14119</v>
      </c>
      <c r="P3447" s="15"/>
      <c r="Q3447" s="15"/>
      <c r="R3447" s="422"/>
      <c r="S3447" s="15"/>
      <c r="T3447" s="15"/>
      <c r="U3447" s="15"/>
      <c r="V3447" s="15"/>
      <c r="W3447" s="15"/>
      <c r="X3447" s="15"/>
      <c r="Y3447" s="15"/>
      <c r="Z3447" s="15"/>
      <c r="AA3447" s="15"/>
    </row>
    <row r="3448">
      <c r="A3448" s="5" t="s">
        <v>15714</v>
      </c>
      <c r="B3448" s="131" t="s">
        <v>15727</v>
      </c>
      <c r="C3448" s="40" t="s">
        <v>15487</v>
      </c>
      <c r="D3448" s="11"/>
      <c r="E3448" s="11" t="s">
        <v>9050</v>
      </c>
      <c r="F3448" s="90">
        <v>1000.0</v>
      </c>
      <c r="G3448" s="321"/>
      <c r="H3448" s="11" t="s">
        <v>15488</v>
      </c>
      <c r="I3448" s="423"/>
      <c r="J3448" s="14"/>
      <c r="K3448" s="13"/>
      <c r="L3448" s="13"/>
      <c r="M3448" s="14"/>
      <c r="N3448" s="15"/>
      <c r="O3448" s="5" t="s">
        <v>26</v>
      </c>
      <c r="P3448" s="15"/>
      <c r="Q3448" s="15"/>
      <c r="R3448" s="422"/>
      <c r="S3448" s="15"/>
      <c r="T3448" s="15"/>
      <c r="U3448" s="15"/>
      <c r="V3448" s="15"/>
      <c r="W3448" s="15"/>
      <c r="X3448" s="15"/>
      <c r="Y3448" s="15"/>
      <c r="Z3448" s="15"/>
      <c r="AA3448" s="15"/>
    </row>
    <row r="3449">
      <c r="A3449" s="5" t="s">
        <v>15714</v>
      </c>
      <c r="B3449" s="131" t="s">
        <v>15728</v>
      </c>
      <c r="C3449" s="40" t="s">
        <v>15729</v>
      </c>
      <c r="D3449" s="11"/>
      <c r="E3449" s="11" t="s">
        <v>15730</v>
      </c>
      <c r="F3449" s="90">
        <v>1000.0</v>
      </c>
      <c r="G3449" s="321"/>
      <c r="H3449" s="11" t="s">
        <v>15731</v>
      </c>
      <c r="I3449" s="423"/>
      <c r="J3449" s="14"/>
      <c r="K3449" s="13"/>
      <c r="L3449" s="13"/>
      <c r="M3449" s="14"/>
      <c r="N3449" s="15"/>
      <c r="O3449" s="5" t="s">
        <v>26</v>
      </c>
      <c r="P3449" s="15"/>
      <c r="Q3449" s="15"/>
      <c r="R3449" s="422"/>
      <c r="S3449" s="15"/>
      <c r="T3449" s="15"/>
      <c r="U3449" s="15"/>
      <c r="V3449" s="15"/>
      <c r="W3449" s="15"/>
      <c r="X3449" s="15"/>
      <c r="Y3449" s="15"/>
      <c r="Z3449" s="15"/>
      <c r="AA3449" s="15"/>
    </row>
    <row r="3450">
      <c r="A3450" s="5" t="s">
        <v>15714</v>
      </c>
      <c r="B3450" s="131" t="s">
        <v>15732</v>
      </c>
      <c r="C3450" s="40" t="s">
        <v>15733</v>
      </c>
      <c r="D3450" s="11"/>
      <c r="E3450" s="11" t="s">
        <v>15734</v>
      </c>
      <c r="F3450" s="90">
        <v>1000.0</v>
      </c>
      <c r="G3450" s="321"/>
      <c r="H3450" s="11" t="s">
        <v>15735</v>
      </c>
      <c r="I3450" s="423"/>
      <c r="J3450" s="14"/>
      <c r="K3450" s="12"/>
      <c r="L3450" s="12"/>
      <c r="M3450" s="11" t="s">
        <v>15494</v>
      </c>
      <c r="N3450" s="5" t="s">
        <v>15736</v>
      </c>
      <c r="O3450" s="5" t="s">
        <v>26</v>
      </c>
      <c r="P3450" s="15"/>
      <c r="Q3450" s="15"/>
      <c r="R3450" s="422"/>
      <c r="S3450" s="15"/>
      <c r="T3450" s="15"/>
      <c r="U3450" s="15"/>
      <c r="V3450" s="15"/>
      <c r="W3450" s="15"/>
      <c r="X3450" s="15"/>
      <c r="Y3450" s="15"/>
      <c r="Z3450" s="15"/>
      <c r="AA3450" s="15"/>
    </row>
    <row r="3451">
      <c r="A3451" s="5" t="s">
        <v>15714</v>
      </c>
      <c r="B3451" s="131" t="s">
        <v>15737</v>
      </c>
      <c r="C3451" s="40" t="s">
        <v>15738</v>
      </c>
      <c r="D3451" s="11"/>
      <c r="E3451" s="11" t="s">
        <v>15739</v>
      </c>
      <c r="F3451" s="90">
        <v>700.0</v>
      </c>
      <c r="G3451" s="321"/>
      <c r="H3451" s="11" t="s">
        <v>44</v>
      </c>
      <c r="I3451" s="423"/>
      <c r="J3451" s="14"/>
      <c r="K3451" s="12"/>
      <c r="L3451" s="12"/>
      <c r="M3451" s="11" t="s">
        <v>15725</v>
      </c>
      <c r="N3451" s="5" t="s">
        <v>15740</v>
      </c>
      <c r="O3451" s="5" t="s">
        <v>26</v>
      </c>
      <c r="P3451" s="15"/>
      <c r="Q3451" s="15"/>
      <c r="R3451" s="422"/>
      <c r="S3451" s="15"/>
      <c r="T3451" s="15"/>
      <c r="U3451" s="15"/>
      <c r="V3451" s="15"/>
      <c r="W3451" s="15"/>
      <c r="X3451" s="15"/>
      <c r="Y3451" s="15"/>
      <c r="Z3451" s="15"/>
      <c r="AA3451" s="15"/>
    </row>
    <row r="3452">
      <c r="A3452" s="5" t="s">
        <v>15714</v>
      </c>
      <c r="B3452" s="131" t="s">
        <v>15741</v>
      </c>
      <c r="C3452" s="40" t="s">
        <v>15742</v>
      </c>
      <c r="D3452" s="11"/>
      <c r="E3452" s="11" t="s">
        <v>9283</v>
      </c>
      <c r="F3452" s="90">
        <v>158.0</v>
      </c>
      <c r="G3452" s="321"/>
      <c r="H3452" s="11" t="s">
        <v>15743</v>
      </c>
      <c r="I3452" s="423"/>
      <c r="J3452" s="14"/>
      <c r="K3452" s="12"/>
      <c r="L3452" s="12"/>
      <c r="M3452" s="11" t="s">
        <v>9298</v>
      </c>
      <c r="N3452" s="5" t="s">
        <v>15744</v>
      </c>
      <c r="O3452" s="5" t="s">
        <v>14119</v>
      </c>
      <c r="P3452" s="15"/>
      <c r="Q3452" s="15"/>
      <c r="R3452" s="422"/>
      <c r="S3452" s="15"/>
      <c r="T3452" s="15"/>
      <c r="U3452" s="15"/>
      <c r="V3452" s="15"/>
      <c r="W3452" s="15"/>
      <c r="X3452" s="15"/>
      <c r="Y3452" s="15"/>
      <c r="Z3452" s="15"/>
      <c r="AA3452" s="15"/>
    </row>
    <row r="3453">
      <c r="A3453" s="5" t="s">
        <v>15714</v>
      </c>
      <c r="B3453" s="131" t="s">
        <v>15745</v>
      </c>
      <c r="C3453" s="40" t="s">
        <v>15746</v>
      </c>
      <c r="D3453" s="11"/>
      <c r="E3453" s="11" t="s">
        <v>10404</v>
      </c>
      <c r="F3453" s="90">
        <v>2000.0</v>
      </c>
      <c r="G3453" s="321"/>
      <c r="H3453" s="11" t="s">
        <v>1919</v>
      </c>
      <c r="I3453" s="423"/>
      <c r="J3453" s="14"/>
      <c r="K3453" s="12"/>
      <c r="L3453" s="12"/>
      <c r="M3453" s="11" t="s">
        <v>7718</v>
      </c>
      <c r="N3453" s="5" t="s">
        <v>15747</v>
      </c>
      <c r="O3453" s="5" t="s">
        <v>108</v>
      </c>
      <c r="P3453" s="15"/>
      <c r="Q3453" s="15"/>
      <c r="R3453" s="422"/>
      <c r="S3453" s="15"/>
      <c r="T3453" s="15"/>
      <c r="U3453" s="15"/>
      <c r="V3453" s="15"/>
      <c r="W3453" s="15"/>
      <c r="X3453" s="15"/>
      <c r="Y3453" s="15"/>
      <c r="Z3453" s="15"/>
      <c r="AA3453" s="15"/>
    </row>
    <row r="3454">
      <c r="A3454" s="5" t="s">
        <v>15714</v>
      </c>
      <c r="B3454" s="131" t="s">
        <v>15748</v>
      </c>
      <c r="C3454" s="40" t="s">
        <v>15749</v>
      </c>
      <c r="D3454" s="11"/>
      <c r="E3454" s="11" t="s">
        <v>15750</v>
      </c>
      <c r="F3454" s="90">
        <v>100.0</v>
      </c>
      <c r="G3454" s="321"/>
      <c r="H3454" s="11" t="s">
        <v>906</v>
      </c>
      <c r="I3454" s="423"/>
      <c r="J3454" s="14"/>
      <c r="K3454" s="12"/>
      <c r="L3454" s="12"/>
      <c r="M3454" s="11" t="s">
        <v>10119</v>
      </c>
      <c r="N3454" s="5" t="s">
        <v>15751</v>
      </c>
      <c r="O3454" s="5" t="s">
        <v>14119</v>
      </c>
      <c r="P3454" s="15"/>
      <c r="Q3454" s="15"/>
      <c r="R3454" s="422"/>
      <c r="S3454" s="15"/>
      <c r="T3454" s="15"/>
      <c r="U3454" s="15"/>
      <c r="V3454" s="15"/>
      <c r="W3454" s="15"/>
      <c r="X3454" s="15"/>
      <c r="Y3454" s="15"/>
      <c r="Z3454" s="15"/>
      <c r="AA3454" s="15"/>
    </row>
    <row r="3455">
      <c r="A3455" s="5" t="s">
        <v>15714</v>
      </c>
      <c r="B3455" s="131" t="s">
        <v>15752</v>
      </c>
      <c r="C3455" s="40" t="s">
        <v>15753</v>
      </c>
      <c r="D3455" s="11"/>
      <c r="E3455" s="11" t="s">
        <v>3824</v>
      </c>
      <c r="F3455" s="90">
        <v>150.0</v>
      </c>
      <c r="G3455" s="321"/>
      <c r="H3455" s="11" t="s">
        <v>44</v>
      </c>
      <c r="I3455" s="423"/>
      <c r="J3455" s="14"/>
      <c r="K3455" s="13"/>
      <c r="L3455" s="13"/>
      <c r="M3455" s="14"/>
      <c r="N3455" s="15"/>
      <c r="O3455" s="5" t="s">
        <v>14119</v>
      </c>
      <c r="P3455" s="15"/>
      <c r="Q3455" s="15"/>
      <c r="R3455" s="422"/>
      <c r="S3455" s="15"/>
      <c r="T3455" s="15"/>
      <c r="U3455" s="15"/>
      <c r="V3455" s="15"/>
      <c r="W3455" s="15"/>
      <c r="X3455" s="15"/>
      <c r="Y3455" s="15"/>
      <c r="Z3455" s="15"/>
      <c r="AA3455" s="15"/>
    </row>
    <row r="3456">
      <c r="A3456" s="5" t="s">
        <v>15714</v>
      </c>
      <c r="B3456" s="131" t="s">
        <v>15754</v>
      </c>
      <c r="C3456" s="40" t="s">
        <v>15755</v>
      </c>
      <c r="D3456" s="11"/>
      <c r="E3456" s="11" t="s">
        <v>15756</v>
      </c>
      <c r="F3456" s="90" t="s">
        <v>15757</v>
      </c>
      <c r="G3456" s="321"/>
      <c r="H3456" s="11" t="s">
        <v>2882</v>
      </c>
      <c r="I3456" s="423"/>
      <c r="J3456" s="14"/>
      <c r="K3456" s="12"/>
      <c r="L3456" s="12"/>
      <c r="M3456" s="11" t="s">
        <v>14894</v>
      </c>
      <c r="N3456" s="5" t="s">
        <v>15758</v>
      </c>
      <c r="O3456" s="5" t="s">
        <v>108</v>
      </c>
      <c r="P3456" s="15"/>
      <c r="Q3456" s="15"/>
      <c r="R3456" s="422"/>
      <c r="S3456" s="15"/>
      <c r="T3456" s="15"/>
      <c r="U3456" s="15"/>
      <c r="V3456" s="15"/>
      <c r="W3456" s="15"/>
      <c r="X3456" s="15"/>
      <c r="Y3456" s="15"/>
      <c r="Z3456" s="15"/>
      <c r="AA3456" s="15"/>
    </row>
    <row r="3457">
      <c r="A3457" s="5" t="s">
        <v>15759</v>
      </c>
      <c r="B3457" s="131" t="s">
        <v>15760</v>
      </c>
      <c r="C3457" s="40" t="s">
        <v>15761</v>
      </c>
      <c r="D3457" s="11"/>
      <c r="E3457" s="11" t="s">
        <v>5502</v>
      </c>
      <c r="F3457" s="90" t="s">
        <v>15762</v>
      </c>
      <c r="G3457" s="321"/>
      <c r="H3457" s="11" t="s">
        <v>2682</v>
      </c>
      <c r="I3457" s="423"/>
      <c r="J3457" s="14"/>
      <c r="K3457" s="12"/>
      <c r="L3457" s="12"/>
      <c r="M3457" s="11" t="s">
        <v>15584</v>
      </c>
      <c r="N3457" s="5" t="s">
        <v>15763</v>
      </c>
      <c r="O3457" s="5" t="s">
        <v>108</v>
      </c>
      <c r="P3457" s="15"/>
      <c r="Q3457" s="15"/>
      <c r="R3457" s="422"/>
      <c r="S3457" s="15"/>
      <c r="T3457" s="15"/>
      <c r="U3457" s="15"/>
      <c r="V3457" s="15"/>
      <c r="W3457" s="15"/>
      <c r="X3457" s="15"/>
      <c r="Y3457" s="15"/>
      <c r="Z3457" s="15"/>
      <c r="AA3457" s="15"/>
    </row>
    <row r="3458">
      <c r="A3458" s="5" t="s">
        <v>15759</v>
      </c>
      <c r="B3458" s="131" t="s">
        <v>15764</v>
      </c>
      <c r="C3458" s="40" t="s">
        <v>15765</v>
      </c>
      <c r="D3458" s="11"/>
      <c r="E3458" s="11" t="s">
        <v>3165</v>
      </c>
      <c r="F3458" s="90">
        <v>200.0</v>
      </c>
      <c r="G3458" s="321"/>
      <c r="H3458" s="11" t="s">
        <v>196</v>
      </c>
      <c r="I3458" s="276"/>
      <c r="J3458" s="11" t="s">
        <v>8773</v>
      </c>
      <c r="K3458" s="12"/>
      <c r="L3458" s="12"/>
      <c r="M3458" s="11" t="s">
        <v>14766</v>
      </c>
      <c r="N3458" s="5" t="s">
        <v>15766</v>
      </c>
      <c r="O3458" s="5" t="s">
        <v>14119</v>
      </c>
      <c r="P3458" s="15"/>
      <c r="Q3458" s="15"/>
      <c r="R3458" s="422"/>
      <c r="S3458" s="15"/>
      <c r="T3458" s="15"/>
      <c r="U3458" s="15"/>
      <c r="V3458" s="15"/>
      <c r="W3458" s="15"/>
      <c r="X3458" s="15"/>
      <c r="Y3458" s="15"/>
      <c r="Z3458" s="15"/>
      <c r="AA3458" s="15"/>
    </row>
    <row r="3459">
      <c r="A3459" s="5" t="s">
        <v>15759</v>
      </c>
      <c r="B3459" s="131" t="s">
        <v>15767</v>
      </c>
      <c r="C3459" s="40" t="s">
        <v>15768</v>
      </c>
      <c r="D3459" s="11"/>
      <c r="E3459" s="11" t="s">
        <v>5102</v>
      </c>
      <c r="F3459" s="9">
        <v>200000.0</v>
      </c>
      <c r="G3459" s="321"/>
      <c r="H3459" s="11" t="s">
        <v>44</v>
      </c>
      <c r="I3459" s="276"/>
      <c r="J3459" s="11" t="s">
        <v>15769</v>
      </c>
      <c r="K3459" s="13"/>
      <c r="L3459" s="13"/>
      <c r="M3459" s="14"/>
      <c r="N3459" s="15"/>
      <c r="O3459" s="5" t="s">
        <v>26</v>
      </c>
      <c r="P3459" s="15"/>
      <c r="Q3459" s="15"/>
      <c r="R3459" s="422"/>
      <c r="S3459" s="15"/>
      <c r="T3459" s="15"/>
      <c r="U3459" s="15"/>
      <c r="V3459" s="15"/>
      <c r="W3459" s="15"/>
      <c r="X3459" s="15"/>
      <c r="Y3459" s="15"/>
      <c r="Z3459" s="15"/>
      <c r="AA3459" s="15"/>
    </row>
    <row r="3460">
      <c r="A3460" s="5" t="s">
        <v>15759</v>
      </c>
      <c r="B3460" s="131" t="s">
        <v>15770</v>
      </c>
      <c r="C3460" s="40" t="s">
        <v>15771</v>
      </c>
      <c r="D3460" s="11"/>
      <c r="E3460" s="11" t="s">
        <v>794</v>
      </c>
      <c r="F3460" s="9">
        <v>20000.0</v>
      </c>
      <c r="G3460" s="321"/>
      <c r="H3460" s="11" t="s">
        <v>49</v>
      </c>
      <c r="I3460" s="276"/>
      <c r="J3460" s="11" t="s">
        <v>25</v>
      </c>
      <c r="K3460" s="12"/>
      <c r="L3460" s="12"/>
      <c r="M3460" s="11" t="s">
        <v>9901</v>
      </c>
      <c r="N3460" s="5" t="s">
        <v>15772</v>
      </c>
      <c r="O3460" s="5" t="s">
        <v>26</v>
      </c>
      <c r="P3460" s="15"/>
      <c r="Q3460" s="15"/>
      <c r="R3460" s="422"/>
      <c r="S3460" s="15"/>
      <c r="T3460" s="15"/>
      <c r="U3460" s="15"/>
      <c r="V3460" s="15"/>
      <c r="W3460" s="15"/>
      <c r="X3460" s="15"/>
      <c r="Y3460" s="15"/>
      <c r="Z3460" s="15"/>
      <c r="AA3460" s="15"/>
    </row>
    <row r="3461">
      <c r="A3461" s="5" t="s">
        <v>15759</v>
      </c>
      <c r="B3461" s="131" t="s">
        <v>15773</v>
      </c>
      <c r="C3461" s="40" t="s">
        <v>15774</v>
      </c>
      <c r="D3461" s="11"/>
      <c r="E3461" s="11" t="s">
        <v>10426</v>
      </c>
      <c r="F3461" s="90">
        <v>1000.0</v>
      </c>
      <c r="G3461" s="321"/>
      <c r="H3461" s="11" t="s">
        <v>15775</v>
      </c>
      <c r="I3461" s="423"/>
      <c r="J3461" s="14"/>
      <c r="K3461" s="13"/>
      <c r="L3461" s="13"/>
      <c r="M3461" s="14"/>
      <c r="N3461" s="15"/>
      <c r="O3461" s="5" t="s">
        <v>108</v>
      </c>
      <c r="P3461" s="15"/>
      <c r="Q3461" s="15"/>
      <c r="R3461" s="422"/>
      <c r="S3461" s="15"/>
      <c r="T3461" s="15"/>
      <c r="U3461" s="15"/>
      <c r="V3461" s="15"/>
      <c r="W3461" s="15"/>
      <c r="X3461" s="15"/>
      <c r="Y3461" s="15"/>
      <c r="Z3461" s="15"/>
      <c r="AA3461" s="15"/>
    </row>
    <row r="3462">
      <c r="A3462" s="5" t="s">
        <v>15759</v>
      </c>
      <c r="B3462" s="131" t="s">
        <v>15776</v>
      </c>
      <c r="C3462" s="40" t="s">
        <v>15777</v>
      </c>
      <c r="D3462" s="11"/>
      <c r="E3462" s="11" t="s">
        <v>15778</v>
      </c>
      <c r="F3462" s="90">
        <v>500.0</v>
      </c>
      <c r="G3462" s="321"/>
      <c r="H3462" s="11" t="s">
        <v>15779</v>
      </c>
      <c r="I3462" s="423"/>
      <c r="J3462" s="14"/>
      <c r="K3462" s="13"/>
      <c r="L3462" s="13"/>
      <c r="M3462" s="14"/>
      <c r="N3462" s="15"/>
      <c r="O3462" s="5" t="s">
        <v>26</v>
      </c>
      <c r="P3462" s="15"/>
      <c r="Q3462" s="15"/>
      <c r="R3462" s="422"/>
      <c r="S3462" s="15"/>
      <c r="T3462" s="15"/>
      <c r="U3462" s="15"/>
      <c r="V3462" s="15"/>
      <c r="W3462" s="15"/>
      <c r="X3462" s="15"/>
      <c r="Y3462" s="15"/>
      <c r="Z3462" s="15"/>
      <c r="AA3462" s="15"/>
    </row>
    <row r="3463">
      <c r="A3463" s="5" t="s">
        <v>15759</v>
      </c>
      <c r="B3463" s="131" t="s">
        <v>15780</v>
      </c>
      <c r="C3463" s="40" t="s">
        <v>15781</v>
      </c>
      <c r="D3463" s="11"/>
      <c r="E3463" s="11" t="s">
        <v>15782</v>
      </c>
      <c r="F3463" s="90">
        <v>150.0</v>
      </c>
      <c r="G3463" s="321"/>
      <c r="H3463" s="11" t="s">
        <v>44</v>
      </c>
      <c r="I3463" s="423"/>
      <c r="J3463" s="14"/>
      <c r="K3463" s="12"/>
      <c r="L3463" s="12"/>
      <c r="M3463" s="11" t="s">
        <v>10483</v>
      </c>
      <c r="N3463" s="5" t="s">
        <v>15783</v>
      </c>
      <c r="O3463" s="5" t="s">
        <v>14119</v>
      </c>
      <c r="P3463" s="15"/>
      <c r="Q3463" s="15"/>
      <c r="R3463" s="422"/>
      <c r="S3463" s="15"/>
      <c r="T3463" s="15"/>
      <c r="U3463" s="15"/>
      <c r="V3463" s="15"/>
      <c r="W3463" s="15"/>
      <c r="X3463" s="15"/>
      <c r="Y3463" s="15"/>
      <c r="Z3463" s="15"/>
      <c r="AA3463" s="15"/>
    </row>
    <row r="3464">
      <c r="A3464" s="5" t="s">
        <v>15759</v>
      </c>
      <c r="B3464" s="131" t="s">
        <v>15784</v>
      </c>
      <c r="C3464" s="40" t="s">
        <v>15785</v>
      </c>
      <c r="D3464" s="11"/>
      <c r="E3464" s="11" t="s">
        <v>167</v>
      </c>
      <c r="F3464" s="90">
        <v>100.0</v>
      </c>
      <c r="G3464" s="321"/>
      <c r="H3464" s="11" t="s">
        <v>2662</v>
      </c>
      <c r="I3464" s="423"/>
      <c r="J3464" s="14"/>
      <c r="K3464" s="12"/>
      <c r="L3464" s="12"/>
      <c r="M3464" s="11" t="s">
        <v>15786</v>
      </c>
      <c r="N3464" s="5" t="s">
        <v>15787</v>
      </c>
      <c r="O3464" s="5" t="s">
        <v>14119</v>
      </c>
      <c r="P3464" s="15"/>
      <c r="Q3464" s="15"/>
      <c r="R3464" s="422"/>
      <c r="S3464" s="15"/>
      <c r="T3464" s="15"/>
      <c r="U3464" s="15"/>
      <c r="V3464" s="15"/>
      <c r="W3464" s="15"/>
      <c r="X3464" s="15"/>
      <c r="Y3464" s="15"/>
      <c r="Z3464" s="15"/>
      <c r="AA3464" s="15"/>
    </row>
    <row r="3465">
      <c r="A3465" s="5" t="s">
        <v>15759</v>
      </c>
      <c r="B3465" s="131" t="s">
        <v>15788</v>
      </c>
      <c r="C3465" s="40" t="s">
        <v>15789</v>
      </c>
      <c r="D3465" s="11"/>
      <c r="E3465" s="11" t="s">
        <v>3634</v>
      </c>
      <c r="F3465" s="9">
        <v>20000.0</v>
      </c>
      <c r="G3465" s="321"/>
      <c r="H3465" s="11" t="s">
        <v>15790</v>
      </c>
      <c r="I3465" s="276"/>
      <c r="J3465" s="11" t="s">
        <v>4008</v>
      </c>
      <c r="K3465" s="12"/>
      <c r="L3465" s="12"/>
      <c r="M3465" s="11" t="s">
        <v>9298</v>
      </c>
      <c r="N3465" s="5" t="s">
        <v>15791</v>
      </c>
      <c r="O3465" s="5" t="s">
        <v>108</v>
      </c>
      <c r="P3465" s="15"/>
      <c r="Q3465" s="15"/>
      <c r="R3465" s="422"/>
      <c r="S3465" s="15"/>
      <c r="T3465" s="15"/>
      <c r="U3465" s="15"/>
      <c r="V3465" s="15"/>
      <c r="W3465" s="15"/>
      <c r="X3465" s="15"/>
      <c r="Y3465" s="15"/>
      <c r="Z3465" s="15"/>
      <c r="AA3465" s="15"/>
    </row>
    <row r="3466">
      <c r="A3466" s="5" t="s">
        <v>15759</v>
      </c>
      <c r="B3466" s="131" t="s">
        <v>15792</v>
      </c>
      <c r="C3466" s="40" t="s">
        <v>15793</v>
      </c>
      <c r="D3466" s="11"/>
      <c r="E3466" s="11" t="s">
        <v>8931</v>
      </c>
      <c r="F3466" s="90" t="s">
        <v>8734</v>
      </c>
      <c r="G3466" s="321"/>
      <c r="H3466" s="11" t="s">
        <v>15794</v>
      </c>
      <c r="I3466" s="276"/>
      <c r="J3466" s="11" t="s">
        <v>25</v>
      </c>
      <c r="K3466" s="13"/>
      <c r="L3466" s="13"/>
      <c r="M3466" s="14"/>
      <c r="N3466" s="15"/>
      <c r="O3466" s="5" t="s">
        <v>108</v>
      </c>
      <c r="P3466" s="15"/>
      <c r="Q3466" s="15"/>
      <c r="R3466" s="422"/>
      <c r="S3466" s="15"/>
      <c r="T3466" s="15"/>
      <c r="U3466" s="15"/>
      <c r="V3466" s="15"/>
      <c r="W3466" s="15"/>
      <c r="X3466" s="15"/>
      <c r="Y3466" s="15"/>
      <c r="Z3466" s="15"/>
      <c r="AA3466" s="15"/>
    </row>
    <row r="3467">
      <c r="A3467" s="5" t="s">
        <v>15759</v>
      </c>
      <c r="B3467" s="131" t="s">
        <v>15795</v>
      </c>
      <c r="C3467" s="40" t="s">
        <v>3173</v>
      </c>
      <c r="D3467" s="11"/>
      <c r="E3467" s="11" t="s">
        <v>15796</v>
      </c>
      <c r="F3467" s="90" t="s">
        <v>15797</v>
      </c>
      <c r="G3467" s="321"/>
      <c r="H3467" s="11" t="s">
        <v>11396</v>
      </c>
      <c r="I3467" s="276"/>
      <c r="J3467" s="11" t="s">
        <v>8773</v>
      </c>
      <c r="K3467" s="12"/>
      <c r="L3467" s="12"/>
      <c r="M3467" s="11" t="s">
        <v>10119</v>
      </c>
      <c r="N3467" s="5" t="s">
        <v>15798</v>
      </c>
      <c r="O3467" s="5" t="s">
        <v>108</v>
      </c>
      <c r="P3467" s="15"/>
      <c r="Q3467" s="15"/>
      <c r="R3467" s="422"/>
      <c r="S3467" s="15"/>
      <c r="T3467" s="15"/>
      <c r="U3467" s="15"/>
      <c r="V3467" s="15"/>
      <c r="W3467" s="15"/>
      <c r="X3467" s="15"/>
      <c r="Y3467" s="15"/>
      <c r="Z3467" s="15"/>
      <c r="AA3467" s="15"/>
    </row>
    <row r="3468">
      <c r="A3468" s="5" t="s">
        <v>15759</v>
      </c>
      <c r="B3468" s="131" t="s">
        <v>15799</v>
      </c>
      <c r="C3468" s="40" t="s">
        <v>15800</v>
      </c>
      <c r="D3468" s="11"/>
      <c r="E3468" s="11" t="s">
        <v>1412</v>
      </c>
      <c r="F3468" s="90">
        <v>1000.0</v>
      </c>
      <c r="G3468" s="321"/>
      <c r="H3468" s="11" t="s">
        <v>519</v>
      </c>
      <c r="I3468" s="423"/>
      <c r="J3468" s="14"/>
      <c r="K3468" s="12"/>
      <c r="L3468" s="12"/>
      <c r="M3468" s="11" t="s">
        <v>10721</v>
      </c>
      <c r="N3468" s="5" t="s">
        <v>15801</v>
      </c>
      <c r="O3468" s="5" t="s">
        <v>108</v>
      </c>
      <c r="P3468" s="15"/>
      <c r="Q3468" s="15"/>
      <c r="R3468" s="422"/>
      <c r="S3468" s="15"/>
      <c r="T3468" s="15"/>
      <c r="U3468" s="15"/>
      <c r="V3468" s="15"/>
      <c r="W3468" s="15"/>
      <c r="X3468" s="15"/>
      <c r="Y3468" s="15"/>
      <c r="Z3468" s="15"/>
      <c r="AA3468" s="15"/>
    </row>
    <row r="3469">
      <c r="A3469" s="5" t="s">
        <v>15802</v>
      </c>
      <c r="B3469" s="131" t="s">
        <v>15803</v>
      </c>
      <c r="C3469" s="40" t="s">
        <v>15804</v>
      </c>
      <c r="D3469" s="11"/>
      <c r="E3469" s="11" t="s">
        <v>2266</v>
      </c>
      <c r="F3469" s="90">
        <v>1000.0</v>
      </c>
      <c r="G3469" s="321"/>
      <c r="H3469" s="11" t="s">
        <v>44</v>
      </c>
      <c r="I3469" s="423"/>
      <c r="J3469" s="14"/>
      <c r="K3469" s="12"/>
      <c r="L3469" s="12"/>
      <c r="M3469" s="11" t="s">
        <v>10768</v>
      </c>
      <c r="N3469" s="5" t="s">
        <v>15805</v>
      </c>
      <c r="O3469" s="5" t="s">
        <v>26</v>
      </c>
      <c r="P3469" s="15"/>
      <c r="Q3469" s="15"/>
      <c r="R3469" s="422"/>
      <c r="S3469" s="15"/>
      <c r="T3469" s="15"/>
      <c r="U3469" s="15"/>
      <c r="V3469" s="15"/>
      <c r="W3469" s="15"/>
      <c r="X3469" s="15"/>
      <c r="Y3469" s="15"/>
      <c r="Z3469" s="15"/>
      <c r="AA3469" s="15"/>
    </row>
    <row r="3470">
      <c r="A3470" s="5" t="s">
        <v>15802</v>
      </c>
      <c r="B3470" s="131" t="s">
        <v>15806</v>
      </c>
      <c r="C3470" s="40" t="s">
        <v>15807</v>
      </c>
      <c r="D3470" s="11"/>
      <c r="E3470" s="11" t="s">
        <v>8247</v>
      </c>
      <c r="F3470" s="90">
        <v>1000.0</v>
      </c>
      <c r="G3470" s="321"/>
      <c r="H3470" s="11" t="s">
        <v>985</v>
      </c>
      <c r="I3470" s="423"/>
      <c r="J3470" s="14"/>
      <c r="K3470" s="12"/>
      <c r="L3470" s="12"/>
      <c r="M3470" s="11" t="s">
        <v>14766</v>
      </c>
      <c r="N3470" s="5" t="s">
        <v>15808</v>
      </c>
      <c r="O3470" s="5" t="s">
        <v>34</v>
      </c>
      <c r="P3470" s="15"/>
      <c r="Q3470" s="15"/>
      <c r="R3470" s="422"/>
      <c r="S3470" s="15"/>
      <c r="T3470" s="15"/>
      <c r="U3470" s="15"/>
      <c r="V3470" s="15"/>
      <c r="W3470" s="15"/>
      <c r="X3470" s="15"/>
      <c r="Y3470" s="15"/>
      <c r="Z3470" s="15"/>
      <c r="AA3470" s="15"/>
    </row>
    <row r="3471">
      <c r="A3471" s="5" t="s">
        <v>15802</v>
      </c>
      <c r="B3471" s="131" t="s">
        <v>15809</v>
      </c>
      <c r="C3471" s="40" t="s">
        <v>15810</v>
      </c>
      <c r="D3471" s="11"/>
      <c r="E3471" s="11" t="s">
        <v>3824</v>
      </c>
      <c r="F3471" s="9">
        <v>24000.0</v>
      </c>
      <c r="G3471" s="321"/>
      <c r="H3471" s="11" t="s">
        <v>44</v>
      </c>
      <c r="I3471" s="423"/>
      <c r="J3471" s="14"/>
      <c r="K3471" s="12"/>
      <c r="L3471" s="12"/>
      <c r="M3471" s="11" t="s">
        <v>15811</v>
      </c>
      <c r="N3471" s="5" t="s">
        <v>15812</v>
      </c>
      <c r="O3471" s="5" t="s">
        <v>26</v>
      </c>
      <c r="P3471" s="15"/>
      <c r="Q3471" s="15"/>
      <c r="R3471" s="422"/>
      <c r="S3471" s="15"/>
      <c r="T3471" s="15"/>
      <c r="U3471" s="15"/>
      <c r="V3471" s="15"/>
      <c r="W3471" s="15"/>
      <c r="X3471" s="15"/>
      <c r="Y3471" s="15"/>
      <c r="Z3471" s="15"/>
      <c r="AA3471" s="15"/>
    </row>
    <row r="3472">
      <c r="A3472" s="5" t="s">
        <v>15802</v>
      </c>
      <c r="B3472" s="131" t="s">
        <v>15813</v>
      </c>
      <c r="C3472" s="40" t="s">
        <v>15814</v>
      </c>
      <c r="D3472" s="11"/>
      <c r="E3472" s="11" t="s">
        <v>11414</v>
      </c>
      <c r="F3472" s="90">
        <v>100.0</v>
      </c>
      <c r="G3472" s="321"/>
      <c r="H3472" s="11" t="s">
        <v>14206</v>
      </c>
      <c r="I3472" s="423"/>
      <c r="J3472" s="14"/>
      <c r="K3472" s="13"/>
      <c r="L3472" s="13"/>
      <c r="M3472" s="14"/>
      <c r="N3472" s="15"/>
      <c r="O3472" s="5" t="s">
        <v>14119</v>
      </c>
      <c r="P3472" s="15"/>
      <c r="Q3472" s="15"/>
      <c r="R3472" s="422"/>
      <c r="S3472" s="15"/>
      <c r="T3472" s="15"/>
      <c r="U3472" s="15"/>
      <c r="V3472" s="15"/>
      <c r="W3472" s="15"/>
      <c r="X3472" s="15"/>
      <c r="Y3472" s="15"/>
      <c r="Z3472" s="15"/>
      <c r="AA3472" s="15"/>
    </row>
    <row r="3473">
      <c r="A3473" s="5" t="s">
        <v>15802</v>
      </c>
      <c r="B3473" s="131" t="s">
        <v>15815</v>
      </c>
      <c r="C3473" s="40" t="s">
        <v>15816</v>
      </c>
      <c r="D3473" s="11"/>
      <c r="E3473" s="11" t="s">
        <v>1749</v>
      </c>
      <c r="F3473" s="90">
        <v>500.0</v>
      </c>
      <c r="G3473" s="321"/>
      <c r="H3473" s="11" t="s">
        <v>15817</v>
      </c>
      <c r="I3473" s="276"/>
      <c r="J3473" s="11" t="s">
        <v>25</v>
      </c>
      <c r="K3473" s="12"/>
      <c r="L3473" s="12"/>
      <c r="M3473" s="11" t="s">
        <v>10483</v>
      </c>
      <c r="N3473" s="5" t="s">
        <v>15818</v>
      </c>
      <c r="O3473" s="5" t="s">
        <v>108</v>
      </c>
      <c r="P3473" s="15"/>
      <c r="Q3473" s="15"/>
      <c r="R3473" s="422"/>
      <c r="S3473" s="15"/>
      <c r="T3473" s="15"/>
      <c r="U3473" s="15"/>
      <c r="V3473" s="15"/>
      <c r="W3473" s="15"/>
      <c r="X3473" s="15"/>
      <c r="Y3473" s="15"/>
      <c r="Z3473" s="15"/>
      <c r="AA3473" s="15"/>
    </row>
    <row r="3474">
      <c r="A3474" s="5" t="s">
        <v>15802</v>
      </c>
      <c r="B3474" s="131" t="s">
        <v>15819</v>
      </c>
      <c r="C3474" s="40" t="s">
        <v>15253</v>
      </c>
      <c r="D3474" s="11"/>
      <c r="E3474" s="11" t="s">
        <v>116</v>
      </c>
      <c r="F3474" s="90">
        <v>500.0</v>
      </c>
      <c r="G3474" s="321"/>
      <c r="H3474" s="11" t="s">
        <v>184</v>
      </c>
      <c r="I3474" s="423"/>
      <c r="J3474" s="14"/>
      <c r="K3474" s="12"/>
      <c r="L3474" s="12"/>
      <c r="M3474" s="11" t="s">
        <v>12759</v>
      </c>
      <c r="N3474" s="5" t="s">
        <v>15820</v>
      </c>
      <c r="O3474" s="5" t="s">
        <v>108</v>
      </c>
      <c r="P3474" s="15"/>
      <c r="Q3474" s="15"/>
      <c r="R3474" s="422"/>
      <c r="S3474" s="15"/>
      <c r="T3474" s="15"/>
      <c r="U3474" s="15"/>
      <c r="V3474" s="15"/>
      <c r="W3474" s="15"/>
      <c r="X3474" s="15"/>
      <c r="Y3474" s="15"/>
      <c r="Z3474" s="15"/>
      <c r="AA3474" s="15"/>
    </row>
    <row r="3475">
      <c r="A3475" s="5" t="s">
        <v>15802</v>
      </c>
      <c r="B3475" s="131" t="s">
        <v>15821</v>
      </c>
      <c r="C3475" s="40" t="s">
        <v>15822</v>
      </c>
      <c r="D3475" s="11"/>
      <c r="E3475" s="11" t="s">
        <v>6889</v>
      </c>
      <c r="F3475" s="90">
        <v>250.0</v>
      </c>
      <c r="G3475" s="321"/>
      <c r="H3475" s="11" t="s">
        <v>15823</v>
      </c>
      <c r="I3475" s="276"/>
      <c r="J3475" s="11" t="s">
        <v>25</v>
      </c>
      <c r="K3475" s="13"/>
      <c r="L3475" s="13"/>
      <c r="M3475" s="14"/>
      <c r="N3475" s="15"/>
      <c r="O3475" s="5" t="s">
        <v>14119</v>
      </c>
      <c r="P3475" s="15"/>
      <c r="Q3475" s="15"/>
      <c r="R3475" s="422"/>
      <c r="S3475" s="15"/>
      <c r="T3475" s="15"/>
      <c r="U3475" s="15"/>
      <c r="V3475" s="15"/>
      <c r="W3475" s="15"/>
      <c r="X3475" s="15"/>
      <c r="Y3475" s="15"/>
      <c r="Z3475" s="15"/>
      <c r="AA3475" s="15"/>
    </row>
    <row r="3476">
      <c r="A3476" s="5" t="s">
        <v>15802</v>
      </c>
      <c r="B3476" s="131" t="s">
        <v>15824</v>
      </c>
      <c r="C3476" s="40" t="s">
        <v>15825</v>
      </c>
      <c r="D3476" s="11"/>
      <c r="E3476" s="11" t="s">
        <v>5014</v>
      </c>
      <c r="F3476" s="9">
        <v>15000.0</v>
      </c>
      <c r="G3476" s="321"/>
      <c r="H3476" s="11" t="s">
        <v>519</v>
      </c>
      <c r="I3476" s="423"/>
      <c r="J3476" s="14"/>
      <c r="K3476" s="12"/>
      <c r="L3476" s="12"/>
      <c r="M3476" s="11" t="s">
        <v>14345</v>
      </c>
      <c r="N3476" s="5" t="s">
        <v>15826</v>
      </c>
      <c r="O3476" s="5" t="s">
        <v>108</v>
      </c>
      <c r="P3476" s="15"/>
      <c r="Q3476" s="15"/>
      <c r="R3476" s="422"/>
      <c r="S3476" s="15"/>
      <c r="T3476" s="15"/>
      <c r="U3476" s="15"/>
      <c r="V3476" s="15"/>
      <c r="W3476" s="15"/>
      <c r="X3476" s="15"/>
      <c r="Y3476" s="15"/>
      <c r="Z3476" s="15"/>
      <c r="AA3476" s="15"/>
    </row>
    <row r="3477">
      <c r="A3477" s="5" t="s">
        <v>15802</v>
      </c>
      <c r="B3477" s="131" t="s">
        <v>15827</v>
      </c>
      <c r="C3477" s="40" t="s">
        <v>15828</v>
      </c>
      <c r="D3477" s="11"/>
      <c r="E3477" s="11" t="s">
        <v>130</v>
      </c>
      <c r="F3477" s="90">
        <v>1500.0</v>
      </c>
      <c r="G3477" s="321"/>
      <c r="H3477" s="11" t="s">
        <v>44</v>
      </c>
      <c r="I3477" s="276"/>
      <c r="J3477" s="11" t="s">
        <v>25</v>
      </c>
      <c r="K3477" s="12"/>
      <c r="L3477" s="12"/>
      <c r="M3477" s="11" t="s">
        <v>9587</v>
      </c>
      <c r="N3477" s="5" t="s">
        <v>15829</v>
      </c>
      <c r="O3477" s="5" t="s">
        <v>26</v>
      </c>
      <c r="P3477" s="15"/>
      <c r="Q3477" s="15"/>
      <c r="R3477" s="422"/>
      <c r="S3477" s="15"/>
      <c r="T3477" s="15"/>
      <c r="U3477" s="15"/>
      <c r="V3477" s="15"/>
      <c r="W3477" s="15"/>
      <c r="X3477" s="15"/>
      <c r="Y3477" s="15"/>
      <c r="Z3477" s="15"/>
      <c r="AA3477" s="15"/>
    </row>
    <row r="3478">
      <c r="A3478" s="5" t="s">
        <v>15802</v>
      </c>
      <c r="B3478" s="131" t="s">
        <v>15830</v>
      </c>
      <c r="C3478" s="40" t="s">
        <v>15831</v>
      </c>
      <c r="D3478" s="11"/>
      <c r="E3478" s="11" t="s">
        <v>15832</v>
      </c>
      <c r="F3478" s="90">
        <v>500.0</v>
      </c>
      <c r="G3478" s="321"/>
      <c r="H3478" s="11" t="s">
        <v>44</v>
      </c>
      <c r="I3478" s="276"/>
      <c r="J3478" s="11" t="s">
        <v>25</v>
      </c>
      <c r="K3478" s="12"/>
      <c r="L3478" s="12"/>
      <c r="M3478" s="11" t="s">
        <v>9707</v>
      </c>
      <c r="N3478" s="5" t="s">
        <v>15833</v>
      </c>
      <c r="O3478" s="5" t="s">
        <v>26</v>
      </c>
      <c r="P3478" s="15"/>
      <c r="Q3478" s="15"/>
      <c r="R3478" s="422"/>
      <c r="S3478" s="15"/>
      <c r="T3478" s="15"/>
      <c r="U3478" s="15"/>
      <c r="V3478" s="15"/>
      <c r="W3478" s="15"/>
      <c r="X3478" s="15"/>
      <c r="Y3478" s="15"/>
      <c r="Z3478" s="15"/>
      <c r="AA3478" s="15"/>
    </row>
    <row r="3479">
      <c r="A3479" s="5" t="s">
        <v>15802</v>
      </c>
      <c r="B3479" s="131" t="s">
        <v>15834</v>
      </c>
      <c r="C3479" s="40" t="s">
        <v>15835</v>
      </c>
      <c r="D3479" s="11"/>
      <c r="E3479" s="11" t="s">
        <v>15836</v>
      </c>
      <c r="F3479" s="90">
        <v>200.0</v>
      </c>
      <c r="G3479" s="321"/>
      <c r="H3479" s="11" t="s">
        <v>981</v>
      </c>
      <c r="I3479" s="276"/>
      <c r="J3479" s="11" t="s">
        <v>25</v>
      </c>
      <c r="K3479" s="13"/>
      <c r="L3479" s="13"/>
      <c r="M3479" s="14"/>
      <c r="N3479" s="15"/>
      <c r="O3479" s="5" t="s">
        <v>14119</v>
      </c>
      <c r="P3479" s="15"/>
      <c r="Q3479" s="15"/>
      <c r="R3479" s="422"/>
      <c r="S3479" s="15"/>
      <c r="T3479" s="15"/>
      <c r="U3479" s="15"/>
      <c r="V3479" s="15"/>
      <c r="W3479" s="15"/>
      <c r="X3479" s="15"/>
      <c r="Y3479" s="15"/>
      <c r="Z3479" s="15"/>
      <c r="AA3479" s="15"/>
    </row>
    <row r="3480">
      <c r="A3480" s="5" t="s">
        <v>15802</v>
      </c>
      <c r="B3480" s="131" t="s">
        <v>15837</v>
      </c>
      <c r="C3480" s="40" t="s">
        <v>15838</v>
      </c>
      <c r="D3480" s="11"/>
      <c r="E3480" s="11" t="s">
        <v>15839</v>
      </c>
      <c r="F3480" s="90">
        <v>500.0</v>
      </c>
      <c r="G3480" s="321"/>
      <c r="H3480" s="11" t="s">
        <v>15840</v>
      </c>
      <c r="I3480" s="276"/>
      <c r="J3480" s="11" t="s">
        <v>25</v>
      </c>
      <c r="K3480" s="12"/>
      <c r="L3480" s="12"/>
      <c r="M3480" s="11" t="s">
        <v>15841</v>
      </c>
      <c r="N3480" s="5" t="s">
        <v>15842</v>
      </c>
      <c r="O3480" s="5" t="s">
        <v>108</v>
      </c>
      <c r="P3480" s="15"/>
      <c r="Q3480" s="15"/>
      <c r="R3480" s="422"/>
      <c r="S3480" s="15"/>
      <c r="T3480" s="15"/>
      <c r="U3480" s="15"/>
      <c r="V3480" s="15"/>
      <c r="W3480" s="15"/>
      <c r="X3480" s="15"/>
      <c r="Y3480" s="15"/>
      <c r="Z3480" s="15"/>
      <c r="AA3480" s="15"/>
    </row>
    <row r="3481">
      <c r="A3481" s="5" t="s">
        <v>15802</v>
      </c>
      <c r="B3481" s="131" t="s">
        <v>15843</v>
      </c>
      <c r="C3481" s="40" t="s">
        <v>15785</v>
      </c>
      <c r="D3481" s="11"/>
      <c r="E3481" s="11" t="s">
        <v>167</v>
      </c>
      <c r="F3481" s="90">
        <v>100.0</v>
      </c>
      <c r="G3481" s="321"/>
      <c r="H3481" s="11" t="s">
        <v>2662</v>
      </c>
      <c r="I3481" s="423"/>
      <c r="J3481" s="14"/>
      <c r="K3481" s="13"/>
      <c r="L3481" s="13"/>
      <c r="M3481" s="14"/>
      <c r="N3481" s="15"/>
      <c r="O3481" s="5" t="s">
        <v>14119</v>
      </c>
      <c r="P3481" s="15"/>
      <c r="Q3481" s="15"/>
      <c r="R3481" s="422"/>
      <c r="S3481" s="15"/>
      <c r="T3481" s="15"/>
      <c r="U3481" s="15"/>
      <c r="V3481" s="15"/>
      <c r="W3481" s="15"/>
      <c r="X3481" s="15"/>
      <c r="Y3481" s="15"/>
      <c r="Z3481" s="15"/>
      <c r="AA3481" s="15"/>
    </row>
    <row r="3482">
      <c r="A3482" s="5" t="s">
        <v>15802</v>
      </c>
      <c r="B3482" s="131" t="s">
        <v>15844</v>
      </c>
      <c r="C3482" s="40" t="s">
        <v>14799</v>
      </c>
      <c r="D3482" s="11"/>
      <c r="E3482" s="11" t="s">
        <v>4096</v>
      </c>
      <c r="F3482" s="90">
        <v>300.0</v>
      </c>
      <c r="G3482" s="321"/>
      <c r="H3482" s="11" t="s">
        <v>15845</v>
      </c>
      <c r="I3482" s="276"/>
      <c r="J3482" s="11" t="s">
        <v>4008</v>
      </c>
      <c r="K3482" s="13"/>
      <c r="L3482" s="13"/>
      <c r="M3482" s="14"/>
      <c r="N3482" s="15"/>
      <c r="O3482" s="5" t="s">
        <v>14119</v>
      </c>
      <c r="P3482" s="15"/>
      <c r="Q3482" s="15"/>
      <c r="R3482" s="422"/>
      <c r="S3482" s="15"/>
      <c r="T3482" s="15"/>
      <c r="U3482" s="15"/>
      <c r="V3482" s="15"/>
      <c r="W3482" s="15"/>
      <c r="X3482" s="15"/>
      <c r="Y3482" s="15"/>
      <c r="Z3482" s="15"/>
      <c r="AA3482" s="15"/>
    </row>
    <row r="3483">
      <c r="A3483" s="352" t="s">
        <v>15802</v>
      </c>
      <c r="B3483" s="131" t="s">
        <v>15846</v>
      </c>
      <c r="C3483" s="40" t="s">
        <v>15847</v>
      </c>
      <c r="D3483" s="11"/>
      <c r="E3483" s="11" t="s">
        <v>213</v>
      </c>
      <c r="F3483" s="90">
        <v>5000.0</v>
      </c>
      <c r="G3483" s="321"/>
      <c r="H3483" s="11" t="s">
        <v>15572</v>
      </c>
      <c r="I3483" s="423"/>
      <c r="J3483" s="14"/>
      <c r="K3483" s="12"/>
      <c r="L3483" s="12"/>
      <c r="M3483" s="11" t="s">
        <v>9587</v>
      </c>
      <c r="N3483" s="5" t="s">
        <v>15848</v>
      </c>
      <c r="O3483" s="5" t="s">
        <v>26</v>
      </c>
      <c r="P3483" s="15"/>
      <c r="Q3483" s="15"/>
      <c r="R3483" s="422"/>
      <c r="S3483" s="15"/>
      <c r="T3483" s="15"/>
      <c r="U3483" s="15"/>
      <c r="V3483" s="15"/>
      <c r="W3483" s="15"/>
      <c r="X3483" s="15"/>
      <c r="Y3483" s="15"/>
      <c r="Z3483" s="15"/>
      <c r="AA3483" s="15"/>
    </row>
    <row r="3484">
      <c r="A3484" s="5" t="s">
        <v>15802</v>
      </c>
      <c r="B3484" s="131" t="s">
        <v>15849</v>
      </c>
      <c r="C3484" s="40" t="s">
        <v>15850</v>
      </c>
      <c r="D3484" s="11"/>
      <c r="E3484" s="11" t="s">
        <v>167</v>
      </c>
      <c r="F3484" s="90">
        <v>5000.0</v>
      </c>
      <c r="G3484" s="321"/>
      <c r="H3484" s="11" t="s">
        <v>15851</v>
      </c>
      <c r="I3484" s="423"/>
      <c r="J3484" s="14"/>
      <c r="K3484" s="12"/>
      <c r="L3484" s="12"/>
      <c r="M3484" s="11" t="s">
        <v>15852</v>
      </c>
      <c r="N3484" s="5" t="s">
        <v>15853</v>
      </c>
      <c r="O3484" s="5" t="s">
        <v>108</v>
      </c>
      <c r="P3484" s="15"/>
      <c r="Q3484" s="15"/>
      <c r="R3484" s="422"/>
      <c r="S3484" s="15"/>
      <c r="T3484" s="15"/>
      <c r="U3484" s="15"/>
      <c r="V3484" s="15"/>
      <c r="W3484" s="15"/>
      <c r="X3484" s="15"/>
      <c r="Y3484" s="15"/>
      <c r="Z3484" s="15"/>
      <c r="AA3484" s="15"/>
    </row>
    <row r="3485">
      <c r="A3485" s="5" t="s">
        <v>15802</v>
      </c>
      <c r="B3485" s="131" t="s">
        <v>15854</v>
      </c>
      <c r="C3485" s="40" t="s">
        <v>15855</v>
      </c>
      <c r="D3485" s="11"/>
      <c r="E3485" s="11" t="s">
        <v>14841</v>
      </c>
      <c r="F3485" s="90">
        <v>1000.0</v>
      </c>
      <c r="G3485" s="321"/>
      <c r="H3485" s="11" t="s">
        <v>8781</v>
      </c>
      <c r="I3485" s="423"/>
      <c r="J3485" s="14"/>
      <c r="K3485" s="12"/>
      <c r="L3485" s="12"/>
      <c r="M3485" s="11" t="s">
        <v>14641</v>
      </c>
      <c r="N3485" s="5" t="s">
        <v>15856</v>
      </c>
      <c r="O3485" s="5" t="s">
        <v>26</v>
      </c>
      <c r="P3485" s="15"/>
      <c r="Q3485" s="15"/>
      <c r="R3485" s="422"/>
      <c r="S3485" s="15"/>
      <c r="T3485" s="15"/>
      <c r="U3485" s="15"/>
      <c r="V3485" s="15"/>
      <c r="W3485" s="15"/>
      <c r="X3485" s="15"/>
      <c r="Y3485" s="15"/>
      <c r="Z3485" s="15"/>
      <c r="AA3485" s="15"/>
    </row>
    <row r="3486">
      <c r="A3486" s="5" t="s">
        <v>15802</v>
      </c>
      <c r="B3486" s="131" t="s">
        <v>15857</v>
      </c>
      <c r="C3486" s="40" t="s">
        <v>15858</v>
      </c>
      <c r="D3486" s="11"/>
      <c r="E3486" s="11" t="s">
        <v>6027</v>
      </c>
      <c r="F3486" s="90">
        <v>300.0</v>
      </c>
      <c r="G3486" s="321"/>
      <c r="H3486" s="11" t="s">
        <v>15859</v>
      </c>
      <c r="I3486" s="423"/>
      <c r="J3486" s="14"/>
      <c r="K3486" s="13"/>
      <c r="L3486" s="13"/>
      <c r="M3486" s="14"/>
      <c r="N3486" s="15"/>
      <c r="O3486" s="5" t="s">
        <v>14119</v>
      </c>
      <c r="P3486" s="15"/>
      <c r="Q3486" s="15"/>
      <c r="R3486" s="422"/>
      <c r="S3486" s="15"/>
      <c r="T3486" s="15"/>
      <c r="U3486" s="15"/>
      <c r="V3486" s="15"/>
      <c r="W3486" s="15"/>
      <c r="X3486" s="15"/>
      <c r="Y3486" s="15"/>
      <c r="Z3486" s="15"/>
      <c r="AA3486" s="15"/>
    </row>
    <row r="3487">
      <c r="A3487" s="352" t="s">
        <v>15860</v>
      </c>
      <c r="B3487" s="131" t="s">
        <v>15861</v>
      </c>
      <c r="C3487" s="40" t="s">
        <v>15862</v>
      </c>
      <c r="D3487" s="11"/>
      <c r="E3487" s="11" t="s">
        <v>167</v>
      </c>
      <c r="F3487" s="9">
        <v>100000.0</v>
      </c>
      <c r="G3487" s="321"/>
      <c r="H3487" s="11" t="s">
        <v>15863</v>
      </c>
      <c r="I3487" s="423"/>
      <c r="J3487" s="14"/>
      <c r="K3487" s="12"/>
      <c r="L3487" s="12"/>
      <c r="M3487" s="11" t="s">
        <v>7718</v>
      </c>
      <c r="N3487" s="5" t="s">
        <v>15864</v>
      </c>
      <c r="O3487" s="5" t="s">
        <v>108</v>
      </c>
      <c r="P3487" s="15"/>
      <c r="Q3487" s="15"/>
      <c r="R3487" s="422"/>
      <c r="S3487" s="15"/>
      <c r="T3487" s="15"/>
      <c r="U3487" s="15"/>
      <c r="V3487" s="15"/>
      <c r="W3487" s="15"/>
      <c r="X3487" s="15"/>
      <c r="Y3487" s="15"/>
      <c r="Z3487" s="15"/>
      <c r="AA3487" s="15"/>
    </row>
    <row r="3488">
      <c r="A3488" s="5" t="s">
        <v>15860</v>
      </c>
      <c r="B3488" s="131" t="s">
        <v>15865</v>
      </c>
      <c r="C3488" s="40" t="s">
        <v>15866</v>
      </c>
      <c r="D3488" s="11"/>
      <c r="E3488" s="11" t="s">
        <v>8931</v>
      </c>
      <c r="F3488" s="90">
        <v>1000.0</v>
      </c>
      <c r="G3488" s="321"/>
      <c r="H3488" s="11" t="s">
        <v>15867</v>
      </c>
      <c r="I3488" s="423"/>
      <c r="J3488" s="14"/>
      <c r="K3488" s="13"/>
      <c r="L3488" s="13"/>
      <c r="M3488" s="14"/>
      <c r="N3488" s="15"/>
      <c r="O3488" s="5" t="s">
        <v>108</v>
      </c>
      <c r="P3488" s="15"/>
      <c r="Q3488" s="15"/>
      <c r="R3488" s="422"/>
      <c r="S3488" s="15"/>
      <c r="T3488" s="15"/>
      <c r="U3488" s="15"/>
      <c r="V3488" s="15"/>
      <c r="W3488" s="15"/>
      <c r="X3488" s="15"/>
      <c r="Y3488" s="15"/>
      <c r="Z3488" s="15"/>
      <c r="AA3488" s="15"/>
    </row>
    <row r="3489">
      <c r="A3489" s="5" t="s">
        <v>15860</v>
      </c>
      <c r="B3489" s="131" t="s">
        <v>15868</v>
      </c>
      <c r="C3489" s="40" t="s">
        <v>15869</v>
      </c>
      <c r="D3489" s="11"/>
      <c r="E3489" s="11" t="s">
        <v>1373</v>
      </c>
      <c r="F3489" s="90">
        <v>200.0</v>
      </c>
      <c r="G3489" s="321"/>
      <c r="H3489" s="11" t="s">
        <v>15870</v>
      </c>
      <c r="I3489" s="423"/>
      <c r="J3489" s="14"/>
      <c r="K3489" s="12"/>
      <c r="L3489" s="12"/>
      <c r="M3489" s="11" t="s">
        <v>10171</v>
      </c>
      <c r="N3489" s="5" t="s">
        <v>15871</v>
      </c>
      <c r="O3489" s="5" t="s">
        <v>14119</v>
      </c>
      <c r="P3489" s="15"/>
      <c r="Q3489" s="15"/>
      <c r="R3489" s="422"/>
      <c r="S3489" s="15"/>
      <c r="T3489" s="15"/>
      <c r="U3489" s="15"/>
      <c r="V3489" s="15"/>
      <c r="W3489" s="15"/>
      <c r="X3489" s="15"/>
      <c r="Y3489" s="15"/>
      <c r="Z3489" s="15"/>
      <c r="AA3489" s="15"/>
    </row>
    <row r="3490">
      <c r="A3490" s="5" t="s">
        <v>15860</v>
      </c>
      <c r="B3490" s="131" t="s">
        <v>15872</v>
      </c>
      <c r="C3490" s="40" t="s">
        <v>564</v>
      </c>
      <c r="D3490" s="11"/>
      <c r="E3490" s="11" t="s">
        <v>9634</v>
      </c>
      <c r="F3490" s="9">
        <v>200000.0</v>
      </c>
      <c r="G3490" s="321"/>
      <c r="H3490" s="11" t="s">
        <v>2682</v>
      </c>
      <c r="I3490" s="276"/>
      <c r="J3490" s="11" t="s">
        <v>4008</v>
      </c>
      <c r="K3490" s="12"/>
      <c r="L3490" s="12"/>
      <c r="M3490" s="11" t="s">
        <v>7904</v>
      </c>
      <c r="N3490" s="5" t="s">
        <v>15873</v>
      </c>
      <c r="O3490" s="5" t="s">
        <v>108</v>
      </c>
      <c r="P3490" s="15"/>
      <c r="Q3490" s="15"/>
      <c r="R3490" s="422"/>
      <c r="S3490" s="15"/>
      <c r="T3490" s="15"/>
      <c r="U3490" s="15"/>
      <c r="V3490" s="15"/>
      <c r="W3490" s="15"/>
      <c r="X3490" s="15"/>
      <c r="Y3490" s="15"/>
      <c r="Z3490" s="15"/>
      <c r="AA3490" s="15"/>
    </row>
    <row r="3491">
      <c r="A3491" s="5" t="s">
        <v>15860</v>
      </c>
      <c r="B3491" s="131" t="s">
        <v>15874</v>
      </c>
      <c r="C3491" s="40" t="s">
        <v>15875</v>
      </c>
      <c r="D3491" s="11"/>
      <c r="E3491" s="11" t="s">
        <v>83</v>
      </c>
      <c r="F3491" s="90">
        <v>1250.0</v>
      </c>
      <c r="G3491" s="321"/>
      <c r="H3491" s="11" t="s">
        <v>15876</v>
      </c>
      <c r="I3491" s="423"/>
      <c r="J3491" s="14"/>
      <c r="K3491" s="13"/>
      <c r="L3491" s="13"/>
      <c r="M3491" s="14"/>
      <c r="N3491" s="15"/>
      <c r="O3491" s="5" t="s">
        <v>108</v>
      </c>
      <c r="P3491" s="15"/>
      <c r="Q3491" s="15"/>
      <c r="R3491" s="422"/>
      <c r="S3491" s="15"/>
      <c r="T3491" s="15"/>
      <c r="U3491" s="15"/>
      <c r="V3491" s="15"/>
      <c r="W3491" s="15"/>
      <c r="X3491" s="15"/>
      <c r="Y3491" s="15"/>
      <c r="Z3491" s="15"/>
      <c r="AA3491" s="15"/>
    </row>
    <row r="3492">
      <c r="A3492" s="428" t="s">
        <v>15877</v>
      </c>
      <c r="B3492" s="131" t="s">
        <v>15878</v>
      </c>
      <c r="C3492" s="40" t="s">
        <v>4293</v>
      </c>
      <c r="D3492" s="11"/>
      <c r="E3492" s="11" t="s">
        <v>387</v>
      </c>
      <c r="F3492" s="90">
        <v>500.0</v>
      </c>
      <c r="G3492" s="321"/>
      <c r="H3492" s="11" t="s">
        <v>15879</v>
      </c>
      <c r="I3492" s="423"/>
      <c r="J3492" s="14"/>
      <c r="K3492" s="12"/>
      <c r="L3492" s="12"/>
      <c r="M3492" s="11" t="s">
        <v>9298</v>
      </c>
      <c r="N3492" s="5" t="s">
        <v>15880</v>
      </c>
      <c r="O3492" s="5" t="s">
        <v>26</v>
      </c>
      <c r="P3492" s="15"/>
      <c r="Q3492" s="15"/>
      <c r="R3492" s="422"/>
      <c r="S3492" s="15"/>
      <c r="T3492" s="15"/>
      <c r="U3492" s="15"/>
      <c r="V3492" s="15"/>
      <c r="W3492" s="15"/>
      <c r="X3492" s="15"/>
      <c r="Y3492" s="15"/>
      <c r="Z3492" s="15"/>
      <c r="AA3492" s="15"/>
    </row>
    <row r="3493">
      <c r="A3493" s="5" t="s">
        <v>15877</v>
      </c>
      <c r="B3493" s="131" t="s">
        <v>15881</v>
      </c>
      <c r="C3493" s="40" t="s">
        <v>15882</v>
      </c>
      <c r="D3493" s="11"/>
      <c r="E3493" s="11" t="s">
        <v>753</v>
      </c>
      <c r="F3493" s="9">
        <v>30000.0</v>
      </c>
      <c r="G3493" s="321"/>
      <c r="H3493" s="11" t="s">
        <v>15883</v>
      </c>
      <c r="I3493" s="276"/>
      <c r="J3493" s="11" t="s">
        <v>4008</v>
      </c>
      <c r="K3493" s="12"/>
      <c r="L3493" s="12"/>
      <c r="M3493" s="11" t="s">
        <v>9901</v>
      </c>
      <c r="N3493" s="5" t="s">
        <v>15884</v>
      </c>
      <c r="O3493" s="5" t="s">
        <v>108</v>
      </c>
      <c r="P3493" s="15"/>
      <c r="Q3493" s="15"/>
      <c r="R3493" s="422"/>
      <c r="S3493" s="15"/>
      <c r="T3493" s="15"/>
      <c r="U3493" s="15"/>
      <c r="V3493" s="15"/>
      <c r="W3493" s="15"/>
      <c r="X3493" s="15"/>
      <c r="Y3493" s="15"/>
      <c r="Z3493" s="15"/>
      <c r="AA3493" s="15"/>
    </row>
    <row r="3494">
      <c r="A3494" s="5" t="s">
        <v>15877</v>
      </c>
      <c r="B3494" s="131" t="s">
        <v>15885</v>
      </c>
      <c r="C3494" s="40" t="s">
        <v>15886</v>
      </c>
      <c r="D3494" s="11"/>
      <c r="E3494" s="11" t="s">
        <v>794</v>
      </c>
      <c r="F3494" s="90">
        <v>200.0</v>
      </c>
      <c r="G3494" s="321"/>
      <c r="H3494" s="11" t="s">
        <v>44</v>
      </c>
      <c r="I3494" s="423"/>
      <c r="J3494" s="14"/>
      <c r="K3494" s="12"/>
      <c r="L3494" s="12"/>
      <c r="M3494" s="11" t="s">
        <v>14458</v>
      </c>
      <c r="N3494" s="5" t="s">
        <v>15887</v>
      </c>
      <c r="O3494" s="5" t="s">
        <v>14119</v>
      </c>
      <c r="P3494" s="15"/>
      <c r="Q3494" s="15"/>
      <c r="R3494" s="422"/>
      <c r="S3494" s="15"/>
      <c r="T3494" s="15"/>
      <c r="U3494" s="15"/>
      <c r="V3494" s="15"/>
      <c r="W3494" s="15"/>
      <c r="X3494" s="15"/>
      <c r="Y3494" s="15"/>
      <c r="Z3494" s="15"/>
      <c r="AA3494" s="15"/>
    </row>
    <row r="3495">
      <c r="A3495" s="5" t="s">
        <v>15877</v>
      </c>
      <c r="B3495" s="131" t="s">
        <v>15888</v>
      </c>
      <c r="C3495" s="40" t="s">
        <v>15889</v>
      </c>
      <c r="D3495" s="11"/>
      <c r="E3495" s="11" t="s">
        <v>15708</v>
      </c>
      <c r="F3495" s="90">
        <v>200.0</v>
      </c>
      <c r="G3495" s="321"/>
      <c r="H3495" s="11" t="s">
        <v>15890</v>
      </c>
      <c r="I3495" s="276"/>
      <c r="J3495" s="11" t="s">
        <v>25</v>
      </c>
      <c r="K3495" s="13"/>
      <c r="L3495" s="13"/>
      <c r="M3495" s="14"/>
      <c r="N3495" s="15"/>
      <c r="O3495" s="5" t="s">
        <v>14119</v>
      </c>
      <c r="P3495" s="15"/>
      <c r="Q3495" s="15"/>
      <c r="R3495" s="422"/>
      <c r="S3495" s="15"/>
      <c r="T3495" s="15"/>
      <c r="U3495" s="15"/>
      <c r="V3495" s="15"/>
      <c r="W3495" s="15"/>
      <c r="X3495" s="15"/>
      <c r="Y3495" s="15"/>
      <c r="Z3495" s="15"/>
      <c r="AA3495" s="15"/>
    </row>
    <row r="3496">
      <c r="A3496" s="5" t="s">
        <v>15877</v>
      </c>
      <c r="B3496" s="131" t="s">
        <v>15891</v>
      </c>
      <c r="C3496" s="40" t="s">
        <v>15892</v>
      </c>
      <c r="D3496" s="11"/>
      <c r="E3496" s="11" t="s">
        <v>10426</v>
      </c>
      <c r="F3496" s="9">
        <v>50000.0</v>
      </c>
      <c r="G3496" s="321"/>
      <c r="H3496" s="11" t="s">
        <v>15893</v>
      </c>
      <c r="I3496" s="276"/>
      <c r="J3496" s="11" t="s">
        <v>4008</v>
      </c>
      <c r="K3496" s="13"/>
      <c r="L3496" s="13"/>
      <c r="M3496" s="14"/>
      <c r="N3496" s="15"/>
      <c r="O3496" s="5" t="s">
        <v>108</v>
      </c>
      <c r="P3496" s="15"/>
      <c r="Q3496" s="15"/>
      <c r="R3496" s="422"/>
      <c r="S3496" s="15"/>
      <c r="T3496" s="15"/>
      <c r="U3496" s="15"/>
      <c r="V3496" s="15"/>
      <c r="W3496" s="15"/>
      <c r="X3496" s="15"/>
      <c r="Y3496" s="15"/>
      <c r="Z3496" s="15"/>
      <c r="AA3496" s="15"/>
    </row>
    <row r="3497">
      <c r="A3497" s="5" t="s">
        <v>15877</v>
      </c>
      <c r="B3497" s="131" t="s">
        <v>15894</v>
      </c>
      <c r="C3497" s="40" t="s">
        <v>15895</v>
      </c>
      <c r="D3497" s="11"/>
      <c r="E3497" s="11" t="s">
        <v>15896</v>
      </c>
      <c r="F3497" s="9">
        <v>40000.0</v>
      </c>
      <c r="G3497" s="321"/>
      <c r="H3497" s="11" t="s">
        <v>15897</v>
      </c>
      <c r="I3497" s="276"/>
      <c r="J3497" s="11" t="s">
        <v>25</v>
      </c>
      <c r="K3497" s="12"/>
      <c r="L3497" s="12"/>
      <c r="M3497" s="11" t="s">
        <v>15898</v>
      </c>
      <c r="N3497" s="5" t="s">
        <v>15899</v>
      </c>
      <c r="O3497" s="5" t="s">
        <v>26</v>
      </c>
      <c r="P3497" s="15"/>
      <c r="Q3497" s="15"/>
      <c r="R3497" s="422"/>
      <c r="S3497" s="15"/>
      <c r="T3497" s="15"/>
      <c r="U3497" s="15"/>
      <c r="V3497" s="15"/>
      <c r="W3497" s="15"/>
      <c r="X3497" s="15"/>
      <c r="Y3497" s="15"/>
      <c r="Z3497" s="15"/>
      <c r="AA3497" s="15"/>
    </row>
    <row r="3498">
      <c r="A3498" s="5" t="s">
        <v>15877</v>
      </c>
      <c r="B3498" s="131" t="s">
        <v>15900</v>
      </c>
      <c r="C3498" s="40" t="s">
        <v>4293</v>
      </c>
      <c r="D3498" s="11"/>
      <c r="E3498" s="11" t="s">
        <v>31</v>
      </c>
      <c r="F3498" s="9">
        <v>12500.0</v>
      </c>
      <c r="G3498" s="321"/>
      <c r="H3498" s="11" t="s">
        <v>15901</v>
      </c>
      <c r="I3498" s="276"/>
      <c r="J3498" s="11" t="s">
        <v>4008</v>
      </c>
      <c r="K3498" s="13"/>
      <c r="L3498" s="13"/>
      <c r="M3498" s="14"/>
      <c r="N3498" s="15"/>
      <c r="O3498" s="5" t="s">
        <v>26</v>
      </c>
      <c r="P3498" s="15"/>
      <c r="Q3498" s="15"/>
      <c r="R3498" s="422"/>
      <c r="S3498" s="15"/>
      <c r="T3498" s="15"/>
      <c r="U3498" s="15"/>
      <c r="V3498" s="15"/>
      <c r="W3498" s="15"/>
      <c r="X3498" s="15"/>
      <c r="Y3498" s="15"/>
      <c r="Z3498" s="15"/>
      <c r="AA3498" s="15"/>
    </row>
    <row r="3499">
      <c r="A3499" s="5" t="s">
        <v>15877</v>
      </c>
      <c r="B3499" s="131" t="s">
        <v>15902</v>
      </c>
      <c r="C3499" s="40" t="s">
        <v>15903</v>
      </c>
      <c r="D3499" s="11"/>
      <c r="E3499" s="11" t="s">
        <v>2647</v>
      </c>
      <c r="F3499" s="9">
        <v>300000.0</v>
      </c>
      <c r="G3499" s="321"/>
      <c r="H3499" s="11" t="s">
        <v>2662</v>
      </c>
      <c r="I3499" s="423"/>
      <c r="J3499" s="14"/>
      <c r="K3499" s="13"/>
      <c r="L3499" s="13"/>
      <c r="M3499" s="14"/>
      <c r="N3499" s="15"/>
      <c r="O3499" s="5" t="s">
        <v>108</v>
      </c>
      <c r="P3499" s="15"/>
      <c r="Q3499" s="15"/>
      <c r="R3499" s="422"/>
      <c r="S3499" s="15"/>
      <c r="T3499" s="15"/>
      <c r="U3499" s="15"/>
      <c r="V3499" s="15"/>
      <c r="W3499" s="15"/>
      <c r="X3499" s="15"/>
      <c r="Y3499" s="15"/>
      <c r="Z3499" s="15"/>
      <c r="AA3499" s="15"/>
    </row>
    <row r="3500">
      <c r="A3500" s="5" t="s">
        <v>15877</v>
      </c>
      <c r="B3500" s="131" t="s">
        <v>15904</v>
      </c>
      <c r="C3500" s="40" t="s">
        <v>15905</v>
      </c>
      <c r="D3500" s="11"/>
      <c r="E3500" s="11" t="s">
        <v>53</v>
      </c>
      <c r="F3500" s="90">
        <v>200.0</v>
      </c>
      <c r="G3500" s="321"/>
      <c r="H3500" s="11" t="s">
        <v>495</v>
      </c>
      <c r="I3500" s="423"/>
      <c r="J3500" s="14"/>
      <c r="K3500" s="13"/>
      <c r="L3500" s="13"/>
      <c r="M3500" s="14"/>
      <c r="N3500" s="15"/>
      <c r="O3500" s="5" t="s">
        <v>14119</v>
      </c>
      <c r="P3500" s="15"/>
      <c r="Q3500" s="15"/>
      <c r="R3500" s="422"/>
      <c r="S3500" s="15"/>
      <c r="T3500" s="15"/>
      <c r="U3500" s="15"/>
      <c r="V3500" s="15"/>
      <c r="W3500" s="15"/>
      <c r="X3500" s="15"/>
      <c r="Y3500" s="15"/>
      <c r="Z3500" s="15"/>
      <c r="AA3500" s="15"/>
    </row>
    <row r="3501">
      <c r="A3501" s="5" t="s">
        <v>15877</v>
      </c>
      <c r="B3501" s="131" t="s">
        <v>15906</v>
      </c>
      <c r="C3501" s="40" t="s">
        <v>15907</v>
      </c>
      <c r="D3501" s="11"/>
      <c r="E3501" s="11" t="s">
        <v>15908</v>
      </c>
      <c r="F3501" s="90" t="s">
        <v>15909</v>
      </c>
      <c r="G3501" s="321"/>
      <c r="H3501" s="11" t="s">
        <v>15910</v>
      </c>
      <c r="I3501" s="423"/>
      <c r="J3501" s="14"/>
      <c r="K3501" s="12"/>
      <c r="L3501" s="12"/>
      <c r="M3501" s="11" t="s">
        <v>15911</v>
      </c>
      <c r="N3501" s="5" t="s">
        <v>15912</v>
      </c>
      <c r="O3501" s="5" t="s">
        <v>14119</v>
      </c>
      <c r="P3501" s="15"/>
      <c r="Q3501" s="15"/>
      <c r="R3501" s="422"/>
      <c r="S3501" s="15"/>
      <c r="T3501" s="15"/>
      <c r="U3501" s="15"/>
      <c r="V3501" s="15"/>
      <c r="W3501" s="15"/>
      <c r="X3501" s="15"/>
      <c r="Y3501" s="15"/>
      <c r="Z3501" s="15"/>
      <c r="AA3501" s="15"/>
    </row>
    <row r="3502">
      <c r="A3502" s="5" t="s">
        <v>15877</v>
      </c>
      <c r="B3502" s="131" t="s">
        <v>15913</v>
      </c>
      <c r="C3502" s="40" t="s">
        <v>15914</v>
      </c>
      <c r="D3502" s="11"/>
      <c r="E3502" s="11" t="s">
        <v>116</v>
      </c>
      <c r="F3502" s="9">
        <v>20000.0</v>
      </c>
      <c r="G3502" s="321"/>
      <c r="H3502" s="11" t="s">
        <v>15915</v>
      </c>
      <c r="I3502" s="423"/>
      <c r="J3502" s="14"/>
      <c r="K3502" s="12"/>
      <c r="L3502" s="12"/>
      <c r="M3502" s="11" t="s">
        <v>8162</v>
      </c>
      <c r="N3502" s="5" t="s">
        <v>15916</v>
      </c>
      <c r="O3502" s="5" t="s">
        <v>108</v>
      </c>
      <c r="P3502" s="15"/>
      <c r="Q3502" s="15"/>
      <c r="R3502" s="422"/>
      <c r="S3502" s="15"/>
      <c r="T3502" s="15"/>
      <c r="U3502" s="15"/>
      <c r="V3502" s="15"/>
      <c r="W3502" s="15"/>
      <c r="X3502" s="15"/>
      <c r="Y3502" s="15"/>
      <c r="Z3502" s="15"/>
      <c r="AA3502" s="15"/>
    </row>
    <row r="3503">
      <c r="A3503" s="5" t="s">
        <v>15877</v>
      </c>
      <c r="B3503" s="131" t="s">
        <v>15917</v>
      </c>
      <c r="C3503" s="40" t="s">
        <v>15918</v>
      </c>
      <c r="D3503" s="11"/>
      <c r="E3503" s="11" t="s">
        <v>3165</v>
      </c>
      <c r="F3503" s="90">
        <v>200.0</v>
      </c>
      <c r="G3503" s="321"/>
      <c r="H3503" s="11" t="s">
        <v>44</v>
      </c>
      <c r="I3503" s="276"/>
      <c r="J3503" s="11" t="s">
        <v>8773</v>
      </c>
      <c r="K3503" s="12"/>
      <c r="L3503" s="12"/>
      <c r="M3503" s="11" t="s">
        <v>12024</v>
      </c>
      <c r="N3503" s="5" t="s">
        <v>15919</v>
      </c>
      <c r="O3503" s="5" t="s">
        <v>14119</v>
      </c>
      <c r="P3503" s="15"/>
      <c r="Q3503" s="15"/>
      <c r="R3503" s="422"/>
      <c r="S3503" s="15"/>
      <c r="T3503" s="15"/>
      <c r="U3503" s="15"/>
      <c r="V3503" s="15"/>
      <c r="W3503" s="15"/>
      <c r="X3503" s="15"/>
      <c r="Y3503" s="15"/>
      <c r="Z3503" s="15"/>
      <c r="AA3503" s="15"/>
    </row>
    <row r="3504">
      <c r="A3504" s="5" t="s">
        <v>15877</v>
      </c>
      <c r="B3504" s="131" t="s">
        <v>15920</v>
      </c>
      <c r="C3504" s="40" t="s">
        <v>15921</v>
      </c>
      <c r="D3504" s="11"/>
      <c r="E3504" s="11" t="s">
        <v>10123</v>
      </c>
      <c r="F3504" s="90">
        <v>100.0</v>
      </c>
      <c r="G3504" s="321"/>
      <c r="H3504" s="11" t="s">
        <v>15922</v>
      </c>
      <c r="I3504" s="276"/>
      <c r="J3504" s="11" t="s">
        <v>4008</v>
      </c>
      <c r="K3504" s="13"/>
      <c r="L3504" s="13"/>
      <c r="M3504" s="14"/>
      <c r="N3504" s="15"/>
      <c r="O3504" s="5" t="s">
        <v>14119</v>
      </c>
      <c r="P3504" s="15"/>
      <c r="Q3504" s="15"/>
      <c r="R3504" s="422"/>
      <c r="S3504" s="15"/>
      <c r="T3504" s="15"/>
      <c r="U3504" s="15"/>
      <c r="V3504" s="15"/>
      <c r="W3504" s="15"/>
      <c r="X3504" s="15"/>
      <c r="Y3504" s="15"/>
      <c r="Z3504" s="15"/>
      <c r="AA3504" s="15"/>
    </row>
    <row r="3505">
      <c r="A3505" s="5" t="s">
        <v>15877</v>
      </c>
      <c r="B3505" s="131" t="s">
        <v>15923</v>
      </c>
      <c r="C3505" s="40" t="s">
        <v>15924</v>
      </c>
      <c r="D3505" s="11"/>
      <c r="E3505" s="11" t="s">
        <v>5293</v>
      </c>
      <c r="F3505" s="90">
        <v>5000.0</v>
      </c>
      <c r="G3505" s="321"/>
      <c r="H3505" s="11" t="s">
        <v>14397</v>
      </c>
      <c r="I3505" s="276"/>
      <c r="J3505" s="11" t="s">
        <v>4008</v>
      </c>
      <c r="K3505" s="12"/>
      <c r="L3505" s="12"/>
      <c r="M3505" s="11" t="s">
        <v>11935</v>
      </c>
      <c r="N3505" s="5" t="s">
        <v>15925</v>
      </c>
      <c r="O3505" s="5" t="s">
        <v>34</v>
      </c>
      <c r="P3505" s="15"/>
      <c r="Q3505" s="15"/>
      <c r="R3505" s="422"/>
      <c r="S3505" s="15"/>
      <c r="T3505" s="15"/>
      <c r="U3505" s="15"/>
      <c r="V3505" s="15"/>
      <c r="W3505" s="15"/>
      <c r="X3505" s="15"/>
      <c r="Y3505" s="15"/>
      <c r="Z3505" s="15"/>
      <c r="AA3505" s="15"/>
    </row>
    <row r="3506">
      <c r="A3506" s="5" t="s">
        <v>15877</v>
      </c>
      <c r="B3506" s="131" t="s">
        <v>15926</v>
      </c>
      <c r="C3506" s="40" t="s">
        <v>15927</v>
      </c>
      <c r="D3506" s="11"/>
      <c r="E3506" s="11" t="s">
        <v>2685</v>
      </c>
      <c r="F3506" s="9">
        <v>10000.0</v>
      </c>
      <c r="G3506" s="321"/>
      <c r="H3506" s="11" t="s">
        <v>44</v>
      </c>
      <c r="I3506" s="276"/>
      <c r="J3506" s="11" t="s">
        <v>4008</v>
      </c>
      <c r="K3506" s="13"/>
      <c r="L3506" s="13"/>
      <c r="M3506" s="14"/>
      <c r="N3506" s="15"/>
      <c r="O3506" s="5" t="s">
        <v>26</v>
      </c>
      <c r="P3506" s="15"/>
      <c r="Q3506" s="15"/>
      <c r="R3506" s="422"/>
      <c r="S3506" s="15"/>
      <c r="T3506" s="15"/>
      <c r="U3506" s="15"/>
      <c r="V3506" s="15"/>
      <c r="W3506" s="15"/>
      <c r="X3506" s="15"/>
      <c r="Y3506" s="15"/>
      <c r="Z3506" s="15"/>
      <c r="AA3506" s="15"/>
    </row>
    <row r="3507">
      <c r="A3507" s="5" t="s">
        <v>15877</v>
      </c>
      <c r="B3507" s="131" t="s">
        <v>15928</v>
      </c>
      <c r="C3507" s="40" t="s">
        <v>15929</v>
      </c>
      <c r="D3507" s="11"/>
      <c r="E3507" s="11" t="s">
        <v>15930</v>
      </c>
      <c r="F3507" s="90" t="s">
        <v>15931</v>
      </c>
      <c r="G3507" s="321"/>
      <c r="H3507" s="11" t="s">
        <v>283</v>
      </c>
      <c r="I3507" s="423"/>
      <c r="J3507" s="14"/>
      <c r="K3507" s="12"/>
      <c r="L3507" s="12"/>
      <c r="M3507" s="11" t="s">
        <v>15932</v>
      </c>
      <c r="N3507" s="5" t="s">
        <v>15933</v>
      </c>
      <c r="O3507" s="5" t="s">
        <v>26</v>
      </c>
      <c r="P3507" s="15"/>
      <c r="Q3507" s="15"/>
      <c r="R3507" s="422"/>
      <c r="S3507" s="15"/>
      <c r="T3507" s="15"/>
      <c r="U3507" s="15"/>
      <c r="V3507" s="15"/>
      <c r="W3507" s="15"/>
      <c r="X3507" s="15"/>
      <c r="Y3507" s="15"/>
      <c r="Z3507" s="15"/>
      <c r="AA3507" s="15"/>
    </row>
    <row r="3508">
      <c r="A3508" s="5" t="s">
        <v>15877</v>
      </c>
      <c r="B3508" s="131" t="s">
        <v>15934</v>
      </c>
      <c r="C3508" s="40" t="s">
        <v>15935</v>
      </c>
      <c r="D3508" s="11"/>
      <c r="E3508" s="11" t="s">
        <v>15936</v>
      </c>
      <c r="F3508" s="90" t="s">
        <v>15931</v>
      </c>
      <c r="G3508" s="321"/>
      <c r="H3508" s="11" t="s">
        <v>44</v>
      </c>
      <c r="I3508" s="423"/>
      <c r="J3508" s="14"/>
      <c r="K3508" s="12"/>
      <c r="L3508" s="12"/>
      <c r="M3508" s="11" t="s">
        <v>15937</v>
      </c>
      <c r="N3508" s="5" t="s">
        <v>15938</v>
      </c>
      <c r="O3508" s="5" t="s">
        <v>26</v>
      </c>
      <c r="P3508" s="15"/>
      <c r="Q3508" s="15"/>
      <c r="R3508" s="422"/>
      <c r="S3508" s="15"/>
      <c r="T3508" s="15"/>
      <c r="U3508" s="15"/>
      <c r="V3508" s="15"/>
      <c r="W3508" s="15"/>
      <c r="X3508" s="15"/>
      <c r="Y3508" s="15"/>
      <c r="Z3508" s="15"/>
      <c r="AA3508" s="15"/>
    </row>
    <row r="3509">
      <c r="A3509" s="5" t="s">
        <v>15877</v>
      </c>
      <c r="B3509" s="131" t="s">
        <v>15939</v>
      </c>
      <c r="C3509" s="40" t="s">
        <v>15940</v>
      </c>
      <c r="D3509" s="11"/>
      <c r="E3509" s="11" t="s">
        <v>9050</v>
      </c>
      <c r="F3509" s="90">
        <v>100.0</v>
      </c>
      <c r="G3509" s="321"/>
      <c r="H3509" s="11" t="s">
        <v>44</v>
      </c>
      <c r="I3509" s="423"/>
      <c r="J3509" s="14"/>
      <c r="K3509" s="12"/>
      <c r="L3509" s="12"/>
      <c r="M3509" s="11" t="s">
        <v>15941</v>
      </c>
      <c r="N3509" s="5" t="s">
        <v>15942</v>
      </c>
      <c r="O3509" s="5" t="s">
        <v>14119</v>
      </c>
      <c r="P3509" s="15"/>
      <c r="Q3509" s="15"/>
      <c r="R3509" s="422"/>
      <c r="S3509" s="15"/>
      <c r="T3509" s="15"/>
      <c r="U3509" s="15"/>
      <c r="V3509" s="15"/>
      <c r="W3509" s="15"/>
      <c r="X3509" s="15"/>
      <c r="Y3509" s="15"/>
      <c r="Z3509" s="15"/>
      <c r="AA3509" s="15"/>
    </row>
    <row r="3510">
      <c r="A3510" s="5" t="s">
        <v>15877</v>
      </c>
      <c r="B3510" s="131" t="s">
        <v>15943</v>
      </c>
      <c r="C3510" s="40" t="s">
        <v>15944</v>
      </c>
      <c r="D3510" s="11"/>
      <c r="E3510" s="11" t="s">
        <v>1175</v>
      </c>
      <c r="F3510" s="90">
        <v>200.0</v>
      </c>
      <c r="G3510" s="321"/>
      <c r="H3510" s="11" t="s">
        <v>15945</v>
      </c>
      <c r="I3510" s="423"/>
      <c r="J3510" s="14"/>
      <c r="K3510" s="13"/>
      <c r="L3510" s="13"/>
      <c r="M3510" s="14"/>
      <c r="N3510" s="15"/>
      <c r="O3510" s="5" t="s">
        <v>14119</v>
      </c>
      <c r="P3510" s="15"/>
      <c r="Q3510" s="15"/>
      <c r="R3510" s="422"/>
      <c r="S3510" s="15"/>
      <c r="T3510" s="15"/>
      <c r="U3510" s="15"/>
      <c r="V3510" s="15"/>
      <c r="W3510" s="15"/>
      <c r="X3510" s="15"/>
      <c r="Y3510" s="15"/>
      <c r="Z3510" s="15"/>
      <c r="AA3510" s="15"/>
    </row>
    <row r="3511">
      <c r="A3511" s="5" t="s">
        <v>15877</v>
      </c>
      <c r="B3511" s="131" t="s">
        <v>15946</v>
      </c>
      <c r="C3511" s="40" t="s">
        <v>15947</v>
      </c>
      <c r="D3511" s="11"/>
      <c r="E3511" s="11" t="s">
        <v>3729</v>
      </c>
      <c r="F3511" s="90">
        <v>200.0</v>
      </c>
      <c r="G3511" s="321"/>
      <c r="H3511" s="11" t="s">
        <v>11881</v>
      </c>
      <c r="I3511" s="276"/>
      <c r="J3511" s="11" t="s">
        <v>25</v>
      </c>
      <c r="K3511" s="13"/>
      <c r="L3511" s="13"/>
      <c r="M3511" s="14"/>
      <c r="N3511" s="15"/>
      <c r="O3511" s="5" t="s">
        <v>14119</v>
      </c>
      <c r="P3511" s="15"/>
      <c r="Q3511" s="15"/>
      <c r="R3511" s="422"/>
      <c r="S3511" s="15"/>
      <c r="T3511" s="15"/>
      <c r="U3511" s="15"/>
      <c r="V3511" s="15"/>
      <c r="W3511" s="15"/>
      <c r="X3511" s="15"/>
      <c r="Y3511" s="15"/>
      <c r="Z3511" s="15"/>
      <c r="AA3511" s="15"/>
    </row>
    <row r="3512">
      <c r="A3512" s="5" t="s">
        <v>15877</v>
      </c>
      <c r="B3512" s="131" t="s">
        <v>15948</v>
      </c>
      <c r="C3512" s="40" t="s">
        <v>15949</v>
      </c>
      <c r="D3512" s="11"/>
      <c r="E3512" s="11" t="s">
        <v>3729</v>
      </c>
      <c r="F3512" s="90">
        <v>2000.0</v>
      </c>
      <c r="G3512" s="321"/>
      <c r="H3512" s="11" t="s">
        <v>507</v>
      </c>
      <c r="I3512" s="276"/>
      <c r="J3512" s="11" t="s">
        <v>25</v>
      </c>
      <c r="K3512" s="13"/>
      <c r="L3512" s="13"/>
      <c r="M3512" s="14"/>
      <c r="N3512" s="15"/>
      <c r="O3512" s="5" t="s">
        <v>108</v>
      </c>
      <c r="P3512" s="15"/>
      <c r="Q3512" s="15"/>
      <c r="R3512" s="422"/>
      <c r="S3512" s="15"/>
      <c r="T3512" s="15"/>
      <c r="U3512" s="15"/>
      <c r="V3512" s="15"/>
      <c r="W3512" s="15"/>
      <c r="X3512" s="15"/>
      <c r="Y3512" s="15"/>
      <c r="Z3512" s="15"/>
      <c r="AA3512" s="15"/>
    </row>
    <row r="3513">
      <c r="A3513" s="5" t="s">
        <v>15950</v>
      </c>
      <c r="B3513" s="131" t="s">
        <v>15951</v>
      </c>
      <c r="C3513" s="40" t="s">
        <v>15952</v>
      </c>
      <c r="D3513" s="11"/>
      <c r="E3513" s="11" t="s">
        <v>22</v>
      </c>
      <c r="F3513" s="90">
        <v>100.0</v>
      </c>
      <c r="G3513" s="321"/>
      <c r="H3513" s="11" t="s">
        <v>15953</v>
      </c>
      <c r="I3513" s="423"/>
      <c r="J3513" s="14"/>
      <c r="K3513" s="12"/>
      <c r="L3513" s="12"/>
      <c r="M3513" s="11" t="s">
        <v>8782</v>
      </c>
      <c r="N3513" s="5" t="s">
        <v>15954</v>
      </c>
      <c r="O3513" s="5" t="s">
        <v>14119</v>
      </c>
      <c r="P3513" s="15"/>
      <c r="Q3513" s="15"/>
      <c r="R3513" s="422"/>
      <c r="S3513" s="15"/>
      <c r="T3513" s="15"/>
      <c r="U3513" s="15"/>
      <c r="V3513" s="15"/>
      <c r="W3513" s="15"/>
      <c r="X3513" s="15"/>
      <c r="Y3513" s="15"/>
      <c r="Z3513" s="15"/>
      <c r="AA3513" s="15"/>
    </row>
    <row r="3514">
      <c r="A3514" s="5" t="s">
        <v>15950</v>
      </c>
      <c r="B3514" s="131" t="s">
        <v>15955</v>
      </c>
      <c r="C3514" s="40" t="s">
        <v>15956</v>
      </c>
      <c r="D3514" s="11"/>
      <c r="E3514" s="11" t="s">
        <v>15957</v>
      </c>
      <c r="F3514" s="9">
        <v>30000.0</v>
      </c>
      <c r="G3514" s="321"/>
      <c r="H3514" s="11" t="s">
        <v>44</v>
      </c>
      <c r="I3514" s="423"/>
      <c r="J3514" s="14"/>
      <c r="K3514" s="12"/>
      <c r="L3514" s="12"/>
      <c r="M3514" s="11" t="s">
        <v>8722</v>
      </c>
      <c r="N3514" s="5" t="s">
        <v>15958</v>
      </c>
      <c r="O3514" s="5" t="s">
        <v>26</v>
      </c>
      <c r="P3514" s="15"/>
      <c r="Q3514" s="15"/>
      <c r="R3514" s="422"/>
      <c r="S3514" s="15"/>
      <c r="T3514" s="15"/>
      <c r="U3514" s="15"/>
      <c r="V3514" s="15"/>
      <c r="W3514" s="15"/>
      <c r="X3514" s="15"/>
      <c r="Y3514" s="15"/>
      <c r="Z3514" s="15"/>
      <c r="AA3514" s="15"/>
    </row>
    <row r="3515">
      <c r="A3515" s="5" t="s">
        <v>15950</v>
      </c>
      <c r="B3515" s="131" t="s">
        <v>15959</v>
      </c>
      <c r="C3515" s="40" t="s">
        <v>15960</v>
      </c>
      <c r="D3515" s="11"/>
      <c r="E3515" s="11" t="s">
        <v>47</v>
      </c>
      <c r="F3515" s="90">
        <v>1000.0</v>
      </c>
      <c r="G3515" s="321"/>
      <c r="H3515" s="11" t="s">
        <v>8781</v>
      </c>
      <c r="I3515" s="276"/>
      <c r="J3515" s="11" t="s">
        <v>25</v>
      </c>
      <c r="K3515" s="13"/>
      <c r="L3515" s="13"/>
      <c r="M3515" s="14"/>
      <c r="N3515" s="15"/>
      <c r="O3515" s="5" t="s">
        <v>26</v>
      </c>
      <c r="P3515" s="15"/>
      <c r="Q3515" s="15"/>
      <c r="R3515" s="422"/>
      <c r="S3515" s="15"/>
      <c r="T3515" s="15"/>
      <c r="U3515" s="15"/>
      <c r="V3515" s="15"/>
      <c r="W3515" s="15"/>
      <c r="X3515" s="15"/>
      <c r="Y3515" s="15"/>
      <c r="Z3515" s="15"/>
      <c r="AA3515" s="15"/>
    </row>
    <row r="3516">
      <c r="A3516" s="352" t="s">
        <v>15950</v>
      </c>
      <c r="B3516" s="131" t="s">
        <v>15961</v>
      </c>
      <c r="C3516" s="40" t="s">
        <v>15962</v>
      </c>
      <c r="D3516" s="11"/>
      <c r="E3516" s="11" t="s">
        <v>5502</v>
      </c>
      <c r="F3516" s="90" t="s">
        <v>5839</v>
      </c>
      <c r="G3516" s="321"/>
      <c r="H3516" s="11" t="s">
        <v>15963</v>
      </c>
      <c r="I3516" s="276"/>
      <c r="J3516" s="11" t="s">
        <v>4008</v>
      </c>
      <c r="K3516" s="12"/>
      <c r="L3516" s="12"/>
      <c r="M3516" s="11" t="s">
        <v>14093</v>
      </c>
      <c r="N3516" s="5" t="s">
        <v>15964</v>
      </c>
      <c r="O3516" s="5" t="s">
        <v>108</v>
      </c>
      <c r="P3516" s="15"/>
      <c r="Q3516" s="15"/>
      <c r="R3516" s="422"/>
      <c r="S3516" s="15"/>
      <c r="T3516" s="15"/>
      <c r="U3516" s="15"/>
      <c r="V3516" s="15"/>
      <c r="W3516" s="15"/>
      <c r="X3516" s="15"/>
      <c r="Y3516" s="15"/>
      <c r="Z3516" s="15"/>
      <c r="AA3516" s="15"/>
    </row>
    <row r="3517">
      <c r="A3517" s="5" t="s">
        <v>15950</v>
      </c>
      <c r="B3517" s="131" t="s">
        <v>15965</v>
      </c>
      <c r="C3517" s="40" t="s">
        <v>14732</v>
      </c>
      <c r="D3517" s="11"/>
      <c r="E3517" s="11" t="s">
        <v>15966</v>
      </c>
      <c r="F3517" s="90">
        <v>100.0</v>
      </c>
      <c r="G3517" s="321"/>
      <c r="H3517" s="11" t="s">
        <v>906</v>
      </c>
      <c r="I3517" s="423"/>
      <c r="J3517" s="14"/>
      <c r="K3517" s="13"/>
      <c r="L3517" s="13"/>
      <c r="M3517" s="14"/>
      <c r="N3517" s="15"/>
      <c r="O3517" s="5" t="s">
        <v>14119</v>
      </c>
      <c r="P3517" s="15"/>
      <c r="Q3517" s="15"/>
      <c r="R3517" s="422"/>
      <c r="S3517" s="15"/>
      <c r="T3517" s="15"/>
      <c r="U3517" s="15"/>
      <c r="V3517" s="15"/>
      <c r="W3517" s="15"/>
      <c r="X3517" s="15"/>
      <c r="Y3517" s="15"/>
      <c r="Z3517" s="15"/>
      <c r="AA3517" s="15"/>
    </row>
    <row r="3518">
      <c r="A3518" s="5" t="s">
        <v>15950</v>
      </c>
      <c r="B3518" s="131" t="s">
        <v>15967</v>
      </c>
      <c r="C3518" s="40" t="s">
        <v>15968</v>
      </c>
      <c r="D3518" s="11"/>
      <c r="E3518" s="11" t="s">
        <v>15969</v>
      </c>
      <c r="F3518" s="90">
        <v>1000.0</v>
      </c>
      <c r="G3518" s="321"/>
      <c r="H3518" s="11" t="s">
        <v>2882</v>
      </c>
      <c r="I3518" s="276"/>
      <c r="J3518" s="11" t="s">
        <v>25</v>
      </c>
      <c r="K3518" s="13"/>
      <c r="L3518" s="13"/>
      <c r="M3518" s="14"/>
      <c r="N3518" s="15"/>
      <c r="O3518" s="5" t="s">
        <v>108</v>
      </c>
      <c r="P3518" s="15"/>
      <c r="Q3518" s="15"/>
      <c r="R3518" s="422"/>
      <c r="S3518" s="15"/>
      <c r="T3518" s="15"/>
      <c r="U3518" s="15"/>
      <c r="V3518" s="15"/>
      <c r="W3518" s="15"/>
      <c r="X3518" s="15"/>
      <c r="Y3518" s="15"/>
      <c r="Z3518" s="15"/>
      <c r="AA3518" s="15"/>
    </row>
    <row r="3519">
      <c r="A3519" s="5" t="s">
        <v>15950</v>
      </c>
      <c r="B3519" s="131" t="s">
        <v>15970</v>
      </c>
      <c r="C3519" s="40" t="s">
        <v>15971</v>
      </c>
      <c r="D3519" s="11"/>
      <c r="E3519" s="11" t="s">
        <v>53</v>
      </c>
      <c r="F3519" s="9">
        <v>10000.0</v>
      </c>
      <c r="G3519" s="321"/>
      <c r="H3519" s="11" t="s">
        <v>15972</v>
      </c>
      <c r="I3519" s="276"/>
      <c r="J3519" s="11" t="s">
        <v>25</v>
      </c>
      <c r="K3519" s="12"/>
      <c r="L3519" s="12"/>
      <c r="M3519" s="11" t="s">
        <v>7820</v>
      </c>
      <c r="N3519" s="5" t="s">
        <v>15973</v>
      </c>
      <c r="O3519" s="5" t="s">
        <v>26</v>
      </c>
      <c r="P3519" s="15"/>
      <c r="Q3519" s="15"/>
      <c r="R3519" s="422"/>
      <c r="S3519" s="15"/>
      <c r="T3519" s="15"/>
      <c r="U3519" s="15"/>
      <c r="V3519" s="15"/>
      <c r="W3519" s="15"/>
      <c r="X3519" s="15"/>
      <c r="Y3519" s="15"/>
      <c r="Z3519" s="15"/>
      <c r="AA3519" s="15"/>
    </row>
    <row r="3520">
      <c r="A3520" s="5" t="s">
        <v>15950</v>
      </c>
      <c r="B3520" s="131" t="s">
        <v>15974</v>
      </c>
      <c r="C3520" s="40" t="s">
        <v>15975</v>
      </c>
      <c r="D3520" s="11"/>
      <c r="E3520" s="11" t="s">
        <v>156</v>
      </c>
      <c r="F3520" s="9">
        <v>10000.0</v>
      </c>
      <c r="G3520" s="321"/>
      <c r="H3520" s="11" t="s">
        <v>2403</v>
      </c>
      <c r="I3520" s="423"/>
      <c r="J3520" s="14"/>
      <c r="K3520" s="12"/>
      <c r="L3520" s="12"/>
      <c r="M3520" s="11" t="s">
        <v>7820</v>
      </c>
      <c r="N3520" s="5" t="s">
        <v>15976</v>
      </c>
      <c r="O3520" s="5" t="s">
        <v>26</v>
      </c>
      <c r="P3520" s="15"/>
      <c r="Q3520" s="15"/>
      <c r="R3520" s="422"/>
      <c r="S3520" s="15"/>
      <c r="T3520" s="15"/>
      <c r="U3520" s="15"/>
      <c r="V3520" s="15"/>
      <c r="W3520" s="15"/>
      <c r="X3520" s="15"/>
      <c r="Y3520" s="15"/>
      <c r="Z3520" s="15"/>
      <c r="AA3520" s="15"/>
    </row>
    <row r="3521">
      <c r="A3521" s="5" t="s">
        <v>15950</v>
      </c>
      <c r="B3521" s="131" t="s">
        <v>15977</v>
      </c>
      <c r="C3521" s="40" t="s">
        <v>15978</v>
      </c>
      <c r="D3521" s="11"/>
      <c r="E3521" s="11" t="s">
        <v>412</v>
      </c>
      <c r="F3521" s="90">
        <v>50.0</v>
      </c>
      <c r="G3521" s="321"/>
      <c r="H3521" s="11" t="s">
        <v>44</v>
      </c>
      <c r="I3521" s="276"/>
      <c r="J3521" s="11" t="s">
        <v>15979</v>
      </c>
      <c r="K3521" s="13"/>
      <c r="L3521" s="13"/>
      <c r="M3521" s="14"/>
      <c r="N3521" s="15"/>
      <c r="O3521" s="5" t="s">
        <v>14119</v>
      </c>
      <c r="P3521" s="15"/>
      <c r="Q3521" s="15"/>
      <c r="R3521" s="422"/>
      <c r="S3521" s="15"/>
      <c r="T3521" s="15"/>
      <c r="U3521" s="15"/>
      <c r="V3521" s="15"/>
      <c r="W3521" s="15"/>
      <c r="X3521" s="15"/>
      <c r="Y3521" s="15"/>
      <c r="Z3521" s="15"/>
      <c r="AA3521" s="15"/>
    </row>
    <row r="3522">
      <c r="A3522" s="5" t="s">
        <v>15950</v>
      </c>
      <c r="B3522" s="131" t="s">
        <v>15980</v>
      </c>
      <c r="C3522" s="40" t="s">
        <v>15981</v>
      </c>
      <c r="D3522" s="11"/>
      <c r="E3522" s="11" t="s">
        <v>8807</v>
      </c>
      <c r="F3522" s="90">
        <v>2000.0</v>
      </c>
      <c r="G3522" s="321"/>
      <c r="H3522" s="11" t="s">
        <v>5671</v>
      </c>
      <c r="I3522" s="276"/>
      <c r="J3522" s="11" t="s">
        <v>25</v>
      </c>
      <c r="K3522" s="12"/>
      <c r="L3522" s="12"/>
      <c r="M3522" s="11" t="s">
        <v>13099</v>
      </c>
      <c r="N3522" s="5" t="s">
        <v>15982</v>
      </c>
      <c r="O3522" s="5" t="s">
        <v>108</v>
      </c>
      <c r="P3522" s="15"/>
      <c r="Q3522" s="15"/>
      <c r="R3522" s="422"/>
      <c r="S3522" s="15"/>
      <c r="T3522" s="15"/>
      <c r="U3522" s="15"/>
      <c r="V3522" s="15"/>
      <c r="W3522" s="15"/>
      <c r="X3522" s="15"/>
      <c r="Y3522" s="15"/>
      <c r="Z3522" s="15"/>
      <c r="AA3522" s="15"/>
    </row>
    <row r="3523">
      <c r="A3523" s="5" t="s">
        <v>15950</v>
      </c>
      <c r="B3523" s="131" t="s">
        <v>15983</v>
      </c>
      <c r="C3523" s="40" t="s">
        <v>15984</v>
      </c>
      <c r="D3523" s="11"/>
      <c r="E3523" s="11" t="s">
        <v>9462</v>
      </c>
      <c r="F3523" s="90">
        <v>200.0</v>
      </c>
      <c r="G3523" s="321"/>
      <c r="H3523" s="11" t="s">
        <v>14469</v>
      </c>
      <c r="I3523" s="276"/>
      <c r="J3523" s="11" t="s">
        <v>25</v>
      </c>
      <c r="K3523" s="12"/>
      <c r="L3523" s="12"/>
      <c r="M3523" s="11" t="s">
        <v>10090</v>
      </c>
      <c r="N3523" s="5" t="s">
        <v>15985</v>
      </c>
      <c r="O3523" s="5" t="s">
        <v>14119</v>
      </c>
      <c r="P3523" s="15"/>
      <c r="Q3523" s="15"/>
      <c r="R3523" s="422"/>
      <c r="S3523" s="15"/>
      <c r="T3523" s="15"/>
      <c r="U3523" s="15"/>
      <c r="V3523" s="15"/>
      <c r="W3523" s="15"/>
      <c r="X3523" s="15"/>
      <c r="Y3523" s="15"/>
      <c r="Z3523" s="15"/>
      <c r="AA3523" s="15"/>
    </row>
    <row r="3524">
      <c r="A3524" s="5" t="s">
        <v>15950</v>
      </c>
      <c r="B3524" s="131" t="s">
        <v>15986</v>
      </c>
      <c r="C3524" s="40" t="s">
        <v>15987</v>
      </c>
      <c r="D3524" s="11"/>
      <c r="E3524" s="11" t="s">
        <v>152</v>
      </c>
      <c r="F3524" s="9">
        <v>20000.0</v>
      </c>
      <c r="G3524" s="321"/>
      <c r="H3524" s="11" t="s">
        <v>15988</v>
      </c>
      <c r="I3524" s="423"/>
      <c r="J3524" s="14"/>
      <c r="K3524" s="12"/>
      <c r="L3524" s="12"/>
      <c r="M3524" s="11" t="s">
        <v>10171</v>
      </c>
      <c r="N3524" s="5" t="s">
        <v>15989</v>
      </c>
      <c r="O3524" s="5" t="s">
        <v>26</v>
      </c>
      <c r="P3524" s="15"/>
      <c r="Q3524" s="15"/>
      <c r="R3524" s="422"/>
      <c r="S3524" s="15"/>
      <c r="T3524" s="15"/>
      <c r="U3524" s="15"/>
      <c r="V3524" s="15"/>
      <c r="W3524" s="15"/>
      <c r="X3524" s="15"/>
      <c r="Y3524" s="15"/>
      <c r="Z3524" s="15"/>
      <c r="AA3524" s="15"/>
    </row>
    <row r="3525">
      <c r="A3525" s="5" t="s">
        <v>15950</v>
      </c>
      <c r="B3525" s="131" t="s">
        <v>15990</v>
      </c>
      <c r="C3525" s="40" t="s">
        <v>15991</v>
      </c>
      <c r="D3525" s="11"/>
      <c r="E3525" s="11" t="s">
        <v>3165</v>
      </c>
      <c r="F3525" s="90">
        <v>4000.0</v>
      </c>
      <c r="G3525" s="321"/>
      <c r="H3525" s="11" t="s">
        <v>44</v>
      </c>
      <c r="I3525" s="423"/>
      <c r="J3525" s="14"/>
      <c r="K3525" s="12"/>
      <c r="L3525" s="12"/>
      <c r="M3525" s="11" t="s">
        <v>15992</v>
      </c>
      <c r="N3525" s="5" t="s">
        <v>15993</v>
      </c>
      <c r="O3525" s="5" t="s">
        <v>26</v>
      </c>
      <c r="P3525" s="15"/>
      <c r="Q3525" s="15"/>
      <c r="R3525" s="422"/>
      <c r="S3525" s="15"/>
      <c r="T3525" s="15"/>
      <c r="U3525" s="15"/>
      <c r="V3525" s="15"/>
      <c r="W3525" s="15"/>
      <c r="X3525" s="15"/>
      <c r="Y3525" s="15"/>
      <c r="Z3525" s="15"/>
      <c r="AA3525" s="15"/>
    </row>
    <row r="3526">
      <c r="A3526" s="352" t="s">
        <v>15994</v>
      </c>
      <c r="B3526" s="131" t="s">
        <v>15995</v>
      </c>
      <c r="C3526" s="40" t="s">
        <v>15996</v>
      </c>
      <c r="D3526" s="11"/>
      <c r="E3526" s="11" t="s">
        <v>7897</v>
      </c>
      <c r="F3526" s="9">
        <v>10000.0</v>
      </c>
      <c r="G3526" s="321"/>
      <c r="H3526" s="11" t="s">
        <v>519</v>
      </c>
      <c r="I3526" s="276"/>
      <c r="J3526" s="11" t="s">
        <v>9536</v>
      </c>
      <c r="K3526" s="12"/>
      <c r="L3526" s="12"/>
      <c r="M3526" s="11" t="s">
        <v>9104</v>
      </c>
      <c r="N3526" s="5" t="s">
        <v>15997</v>
      </c>
      <c r="O3526" s="5" t="s">
        <v>108</v>
      </c>
      <c r="P3526" s="15"/>
      <c r="Q3526" s="15"/>
      <c r="R3526" s="422"/>
      <c r="S3526" s="15"/>
      <c r="T3526" s="15"/>
      <c r="U3526" s="15"/>
      <c r="V3526" s="15"/>
      <c r="W3526" s="15"/>
      <c r="X3526" s="15"/>
      <c r="Y3526" s="15"/>
      <c r="Z3526" s="15"/>
      <c r="AA3526" s="15"/>
    </row>
    <row r="3527">
      <c r="A3527" s="5" t="s">
        <v>15994</v>
      </c>
      <c r="B3527" s="131" t="s">
        <v>15998</v>
      </c>
      <c r="C3527" s="40" t="s">
        <v>15999</v>
      </c>
      <c r="D3527" s="11"/>
      <c r="E3527" s="11" t="s">
        <v>1629</v>
      </c>
      <c r="F3527" s="90">
        <v>5000.0</v>
      </c>
      <c r="G3527" s="321"/>
      <c r="H3527" s="11" t="s">
        <v>218</v>
      </c>
      <c r="I3527" s="276"/>
      <c r="J3527" s="11" t="s">
        <v>25</v>
      </c>
      <c r="K3527" s="13"/>
      <c r="L3527" s="13"/>
      <c r="M3527" s="14"/>
      <c r="N3527" s="15"/>
      <c r="O3527" s="5" t="s">
        <v>26</v>
      </c>
      <c r="P3527" s="15"/>
      <c r="Q3527" s="15"/>
      <c r="R3527" s="422"/>
      <c r="S3527" s="15"/>
      <c r="T3527" s="15"/>
      <c r="U3527" s="15"/>
      <c r="V3527" s="15"/>
      <c r="W3527" s="15"/>
      <c r="X3527" s="15"/>
      <c r="Y3527" s="15"/>
      <c r="Z3527" s="15"/>
      <c r="AA3527" s="15"/>
    </row>
    <row r="3528">
      <c r="A3528" s="5" t="s">
        <v>15994</v>
      </c>
      <c r="B3528" s="131" t="s">
        <v>16000</v>
      </c>
      <c r="C3528" s="40" t="s">
        <v>16001</v>
      </c>
      <c r="D3528" s="11"/>
      <c r="E3528" s="11" t="s">
        <v>3412</v>
      </c>
      <c r="F3528" s="90">
        <v>3000.0</v>
      </c>
      <c r="G3528" s="321"/>
      <c r="H3528" s="11" t="s">
        <v>44</v>
      </c>
      <c r="I3528" s="423"/>
      <c r="J3528" s="14"/>
      <c r="K3528" s="13"/>
      <c r="L3528" s="13"/>
      <c r="M3528" s="14"/>
      <c r="N3528" s="15"/>
      <c r="O3528" s="5" t="s">
        <v>26</v>
      </c>
      <c r="P3528" s="15"/>
      <c r="Q3528" s="15"/>
      <c r="R3528" s="422"/>
      <c r="S3528" s="15"/>
      <c r="T3528" s="15"/>
      <c r="U3528" s="15"/>
      <c r="V3528" s="15"/>
      <c r="W3528" s="15"/>
      <c r="X3528" s="15"/>
      <c r="Y3528" s="15"/>
      <c r="Z3528" s="15"/>
      <c r="AA3528" s="15"/>
    </row>
    <row r="3529">
      <c r="A3529" s="5" t="s">
        <v>15994</v>
      </c>
      <c r="B3529" s="131" t="s">
        <v>16002</v>
      </c>
      <c r="C3529" s="40" t="s">
        <v>16003</v>
      </c>
      <c r="D3529" s="11"/>
      <c r="E3529" s="11" t="s">
        <v>213</v>
      </c>
      <c r="F3529" s="9">
        <v>10000.0</v>
      </c>
      <c r="G3529" s="321"/>
      <c r="H3529" s="11" t="s">
        <v>15002</v>
      </c>
      <c r="I3529" s="423"/>
      <c r="J3529" s="14"/>
      <c r="K3529" s="12"/>
      <c r="L3529" s="12"/>
      <c r="M3529" s="11" t="s">
        <v>10171</v>
      </c>
      <c r="N3529" s="5" t="s">
        <v>16004</v>
      </c>
      <c r="O3529" s="5" t="s">
        <v>108</v>
      </c>
      <c r="P3529" s="15"/>
      <c r="Q3529" s="15"/>
      <c r="R3529" s="422"/>
      <c r="S3529" s="15"/>
      <c r="T3529" s="15"/>
      <c r="U3529" s="15"/>
      <c r="V3529" s="15"/>
      <c r="W3529" s="15"/>
      <c r="X3529" s="15"/>
      <c r="Y3529" s="15"/>
      <c r="Z3529" s="15"/>
      <c r="AA3529" s="15"/>
    </row>
    <row r="3530">
      <c r="A3530" s="5" t="s">
        <v>15994</v>
      </c>
      <c r="B3530" s="131" t="s">
        <v>16005</v>
      </c>
      <c r="C3530" s="40" t="s">
        <v>16006</v>
      </c>
      <c r="D3530" s="11"/>
      <c r="E3530" s="11" t="s">
        <v>189</v>
      </c>
      <c r="F3530" s="90">
        <v>1000.0</v>
      </c>
      <c r="G3530" s="321"/>
      <c r="H3530" s="11" t="s">
        <v>44</v>
      </c>
      <c r="I3530" s="276"/>
      <c r="J3530" s="11" t="s">
        <v>25</v>
      </c>
      <c r="K3530" s="12"/>
      <c r="L3530" s="12"/>
      <c r="M3530" s="11" t="s">
        <v>8722</v>
      </c>
      <c r="N3530" s="5" t="s">
        <v>16007</v>
      </c>
      <c r="O3530" s="5" t="s">
        <v>26</v>
      </c>
      <c r="P3530" s="15"/>
      <c r="Q3530" s="15"/>
      <c r="R3530" s="422"/>
      <c r="S3530" s="15"/>
      <c r="T3530" s="15"/>
      <c r="U3530" s="15"/>
      <c r="V3530" s="15"/>
      <c r="W3530" s="15"/>
      <c r="X3530" s="15"/>
      <c r="Y3530" s="15"/>
      <c r="Z3530" s="15"/>
      <c r="AA3530" s="15"/>
    </row>
    <row r="3531">
      <c r="A3531" s="5" t="s">
        <v>15994</v>
      </c>
      <c r="B3531" s="131" t="s">
        <v>16008</v>
      </c>
      <c r="C3531" s="40" t="s">
        <v>16009</v>
      </c>
      <c r="D3531" s="11"/>
      <c r="E3531" s="11" t="s">
        <v>5102</v>
      </c>
      <c r="F3531" s="90">
        <v>500.0</v>
      </c>
      <c r="G3531" s="321"/>
      <c r="H3531" s="11" t="s">
        <v>906</v>
      </c>
      <c r="I3531" s="423"/>
      <c r="J3531" s="14"/>
      <c r="K3531" s="12"/>
      <c r="L3531" s="12"/>
      <c r="M3531" s="11" t="s">
        <v>13205</v>
      </c>
      <c r="N3531" s="5" t="s">
        <v>16010</v>
      </c>
      <c r="O3531" s="5" t="s">
        <v>108</v>
      </c>
      <c r="P3531" s="15"/>
      <c r="Q3531" s="15"/>
      <c r="R3531" s="422"/>
      <c r="S3531" s="15"/>
      <c r="T3531" s="15"/>
      <c r="U3531" s="15"/>
      <c r="V3531" s="15"/>
      <c r="W3531" s="15"/>
      <c r="X3531" s="15"/>
      <c r="Y3531" s="15"/>
      <c r="Z3531" s="15"/>
      <c r="AA3531" s="15"/>
    </row>
    <row r="3532">
      <c r="A3532" s="5" t="s">
        <v>15994</v>
      </c>
      <c r="B3532" s="131" t="s">
        <v>16011</v>
      </c>
      <c r="C3532" s="40" t="s">
        <v>16012</v>
      </c>
      <c r="D3532" s="11"/>
      <c r="E3532" s="11" t="s">
        <v>77</v>
      </c>
      <c r="F3532" s="9">
        <v>60000.0</v>
      </c>
      <c r="G3532" s="321"/>
      <c r="H3532" s="11" t="s">
        <v>16013</v>
      </c>
      <c r="I3532" s="423"/>
      <c r="J3532" s="14"/>
      <c r="K3532" s="12"/>
      <c r="L3532" s="12"/>
      <c r="M3532" s="11" t="s">
        <v>8860</v>
      </c>
      <c r="N3532" s="5" t="s">
        <v>16014</v>
      </c>
      <c r="O3532" s="5" t="s">
        <v>26</v>
      </c>
      <c r="P3532" s="15"/>
      <c r="Q3532" s="15"/>
      <c r="R3532" s="422"/>
      <c r="S3532" s="15"/>
      <c r="T3532" s="15"/>
      <c r="U3532" s="15"/>
      <c r="V3532" s="15"/>
      <c r="W3532" s="15"/>
      <c r="X3532" s="15"/>
      <c r="Y3532" s="15"/>
      <c r="Z3532" s="15"/>
      <c r="AA3532" s="15"/>
    </row>
    <row r="3533">
      <c r="A3533" s="5" t="s">
        <v>15994</v>
      </c>
      <c r="B3533" s="131" t="s">
        <v>16015</v>
      </c>
      <c r="C3533" s="40" t="s">
        <v>16016</v>
      </c>
      <c r="D3533" s="11"/>
      <c r="E3533" s="11" t="s">
        <v>152</v>
      </c>
      <c r="F3533" s="90">
        <v>100.0</v>
      </c>
      <c r="G3533" s="321"/>
      <c r="H3533" s="11" t="s">
        <v>16017</v>
      </c>
      <c r="I3533" s="423"/>
      <c r="J3533" s="14"/>
      <c r="K3533" s="12"/>
      <c r="L3533" s="12"/>
      <c r="M3533" s="11" t="s">
        <v>10171</v>
      </c>
      <c r="N3533" s="5" t="s">
        <v>16018</v>
      </c>
      <c r="O3533" s="5" t="s">
        <v>14409</v>
      </c>
      <c r="P3533" s="15"/>
      <c r="Q3533" s="15"/>
      <c r="R3533" s="422"/>
      <c r="S3533" s="15"/>
      <c r="T3533" s="15"/>
      <c r="U3533" s="15"/>
      <c r="V3533" s="15"/>
      <c r="W3533" s="15"/>
      <c r="X3533" s="15"/>
      <c r="Y3533" s="15"/>
      <c r="Z3533" s="15"/>
      <c r="AA3533" s="15"/>
    </row>
    <row r="3534">
      <c r="A3534" s="5" t="s">
        <v>15994</v>
      </c>
      <c r="B3534" s="131" t="s">
        <v>16019</v>
      </c>
      <c r="C3534" s="40" t="s">
        <v>16020</v>
      </c>
      <c r="D3534" s="11"/>
      <c r="E3534" s="11" t="s">
        <v>10852</v>
      </c>
      <c r="F3534" s="90">
        <v>1000.0</v>
      </c>
      <c r="G3534" s="321"/>
      <c r="H3534" s="11" t="s">
        <v>7664</v>
      </c>
      <c r="I3534" s="423"/>
      <c r="J3534" s="14"/>
      <c r="K3534" s="13"/>
      <c r="L3534" s="13"/>
      <c r="M3534" s="14"/>
      <c r="N3534" s="15"/>
      <c r="O3534" s="5" t="s">
        <v>108</v>
      </c>
      <c r="P3534" s="15"/>
      <c r="Q3534" s="15"/>
      <c r="R3534" s="422"/>
      <c r="S3534" s="15"/>
      <c r="T3534" s="15"/>
      <c r="U3534" s="15"/>
      <c r="V3534" s="15"/>
      <c r="W3534" s="15"/>
      <c r="X3534" s="15"/>
      <c r="Y3534" s="15"/>
      <c r="Z3534" s="15"/>
      <c r="AA3534" s="15"/>
    </row>
    <row r="3535">
      <c r="A3535" s="5" t="s">
        <v>15994</v>
      </c>
      <c r="B3535" s="131" t="s">
        <v>16021</v>
      </c>
      <c r="C3535" s="40" t="s">
        <v>16022</v>
      </c>
      <c r="D3535" s="11"/>
      <c r="E3535" s="11" t="s">
        <v>152</v>
      </c>
      <c r="F3535" s="90">
        <v>100.0</v>
      </c>
      <c r="G3535" s="321"/>
      <c r="H3535" s="11" t="s">
        <v>44</v>
      </c>
      <c r="I3535" s="423"/>
      <c r="J3535" s="14"/>
      <c r="K3535" s="12"/>
      <c r="L3535" s="12"/>
      <c r="M3535" s="11" t="s">
        <v>8782</v>
      </c>
      <c r="N3535" s="5" t="s">
        <v>16023</v>
      </c>
      <c r="O3535" s="5" t="s">
        <v>14119</v>
      </c>
      <c r="P3535" s="15"/>
      <c r="Q3535" s="15"/>
      <c r="R3535" s="422"/>
      <c r="S3535" s="15"/>
      <c r="T3535" s="15"/>
      <c r="U3535" s="15"/>
      <c r="V3535" s="15"/>
      <c r="W3535" s="15"/>
      <c r="X3535" s="15"/>
      <c r="Y3535" s="15"/>
      <c r="Z3535" s="15"/>
      <c r="AA3535" s="15"/>
    </row>
    <row r="3536">
      <c r="A3536" s="5" t="s">
        <v>15994</v>
      </c>
      <c r="B3536" s="131" t="s">
        <v>16024</v>
      </c>
      <c r="C3536" s="40" t="s">
        <v>16025</v>
      </c>
      <c r="D3536" s="11"/>
      <c r="E3536" s="11" t="s">
        <v>10377</v>
      </c>
      <c r="F3536" s="90" t="s">
        <v>5839</v>
      </c>
      <c r="G3536" s="321"/>
      <c r="H3536" s="11" t="s">
        <v>9094</v>
      </c>
      <c r="I3536" s="423"/>
      <c r="J3536" s="14"/>
      <c r="K3536" s="13"/>
      <c r="L3536" s="13"/>
      <c r="M3536" s="14"/>
      <c r="N3536" s="15"/>
      <c r="O3536" s="5" t="s">
        <v>108</v>
      </c>
      <c r="P3536" s="15"/>
      <c r="Q3536" s="15"/>
      <c r="R3536" s="422"/>
      <c r="S3536" s="15"/>
      <c r="T3536" s="15"/>
      <c r="U3536" s="15"/>
      <c r="V3536" s="15"/>
      <c r="W3536" s="15"/>
      <c r="X3536" s="15"/>
      <c r="Y3536" s="15"/>
      <c r="Z3536" s="15"/>
      <c r="AA3536" s="15"/>
    </row>
    <row r="3537">
      <c r="A3537" s="5" t="s">
        <v>15994</v>
      </c>
      <c r="B3537" s="131" t="s">
        <v>16026</v>
      </c>
      <c r="C3537" s="40" t="s">
        <v>5400</v>
      </c>
      <c r="D3537" s="11"/>
      <c r="E3537" s="11" t="s">
        <v>4507</v>
      </c>
      <c r="F3537" s="9">
        <v>60000.0</v>
      </c>
      <c r="G3537" s="321"/>
      <c r="H3537" s="11" t="s">
        <v>16027</v>
      </c>
      <c r="I3537" s="423"/>
      <c r="J3537" s="14"/>
      <c r="K3537" s="13"/>
      <c r="L3537" s="13"/>
      <c r="M3537" s="14"/>
      <c r="N3537" s="15"/>
      <c r="O3537" s="5" t="s">
        <v>26</v>
      </c>
      <c r="P3537" s="15"/>
      <c r="Q3537" s="15"/>
      <c r="R3537" s="422"/>
      <c r="S3537" s="15"/>
      <c r="T3537" s="15"/>
      <c r="U3537" s="15"/>
      <c r="V3537" s="15"/>
      <c r="W3537" s="15"/>
      <c r="X3537" s="15"/>
      <c r="Y3537" s="15"/>
      <c r="Z3537" s="15"/>
      <c r="AA3537" s="15"/>
    </row>
    <row r="3538">
      <c r="A3538" s="5" t="s">
        <v>15994</v>
      </c>
      <c r="B3538" s="131" t="s">
        <v>16028</v>
      </c>
      <c r="C3538" s="40" t="s">
        <v>8641</v>
      </c>
      <c r="D3538" s="11"/>
      <c r="E3538" s="11" t="s">
        <v>2576</v>
      </c>
      <c r="F3538" s="9">
        <v>70000.0</v>
      </c>
      <c r="G3538" s="321"/>
      <c r="H3538" s="11" t="s">
        <v>13649</v>
      </c>
      <c r="I3538" s="276"/>
      <c r="J3538" s="11" t="s">
        <v>25</v>
      </c>
      <c r="K3538" s="12"/>
      <c r="L3538" s="12"/>
      <c r="M3538" s="11" t="s">
        <v>7651</v>
      </c>
      <c r="N3538" s="5" t="s">
        <v>16029</v>
      </c>
      <c r="O3538" s="5" t="s">
        <v>108</v>
      </c>
      <c r="P3538" s="15"/>
      <c r="Q3538" s="15"/>
      <c r="R3538" s="422"/>
      <c r="S3538" s="15"/>
      <c r="T3538" s="15"/>
      <c r="U3538" s="15"/>
      <c r="V3538" s="15"/>
      <c r="W3538" s="15"/>
      <c r="X3538" s="15"/>
      <c r="Y3538" s="15"/>
      <c r="Z3538" s="15"/>
      <c r="AA3538" s="15"/>
    </row>
    <row r="3539">
      <c r="A3539" s="5" t="s">
        <v>15994</v>
      </c>
      <c r="B3539" s="131" t="s">
        <v>16030</v>
      </c>
      <c r="C3539" s="40" t="s">
        <v>16031</v>
      </c>
      <c r="D3539" s="11"/>
      <c r="E3539" s="11" t="s">
        <v>152</v>
      </c>
      <c r="F3539" s="90">
        <v>5000.0</v>
      </c>
      <c r="G3539" s="321"/>
      <c r="H3539" s="11" t="s">
        <v>44</v>
      </c>
      <c r="I3539" s="423"/>
      <c r="J3539" s="14"/>
      <c r="K3539" s="12"/>
      <c r="L3539" s="12"/>
      <c r="M3539" s="11" t="s">
        <v>11262</v>
      </c>
      <c r="N3539" s="5" t="s">
        <v>16032</v>
      </c>
      <c r="O3539" s="5" t="s">
        <v>26</v>
      </c>
      <c r="P3539" s="15"/>
      <c r="Q3539" s="15"/>
      <c r="R3539" s="422"/>
      <c r="S3539" s="15"/>
      <c r="T3539" s="15"/>
      <c r="U3539" s="15"/>
      <c r="V3539" s="15"/>
      <c r="W3539" s="15"/>
      <c r="X3539" s="15"/>
      <c r="Y3539" s="15"/>
      <c r="Z3539" s="15"/>
      <c r="AA3539" s="15"/>
    </row>
    <row r="3540">
      <c r="A3540" s="5" t="s">
        <v>15994</v>
      </c>
      <c r="B3540" s="131" t="s">
        <v>16033</v>
      </c>
      <c r="C3540" s="40" t="s">
        <v>5039</v>
      </c>
      <c r="D3540" s="11"/>
      <c r="E3540" s="11" t="s">
        <v>9283</v>
      </c>
      <c r="F3540" s="90">
        <v>4000.0</v>
      </c>
      <c r="G3540" s="321"/>
      <c r="H3540" s="11" t="s">
        <v>16034</v>
      </c>
      <c r="I3540" s="423"/>
      <c r="J3540" s="14"/>
      <c r="K3540" s="13"/>
      <c r="L3540" s="13"/>
      <c r="M3540" s="14"/>
      <c r="N3540" s="15"/>
      <c r="O3540" s="5" t="s">
        <v>26</v>
      </c>
      <c r="P3540" s="15"/>
      <c r="Q3540" s="15"/>
      <c r="R3540" s="422"/>
      <c r="S3540" s="15"/>
      <c r="T3540" s="15"/>
      <c r="U3540" s="15"/>
      <c r="V3540" s="15"/>
      <c r="W3540" s="15"/>
      <c r="X3540" s="15"/>
      <c r="Y3540" s="15"/>
      <c r="Z3540" s="15"/>
      <c r="AA3540" s="15"/>
    </row>
    <row r="3541">
      <c r="A3541" s="5" t="s">
        <v>15994</v>
      </c>
      <c r="B3541" s="131" t="s">
        <v>16035</v>
      </c>
      <c r="C3541" s="40" t="s">
        <v>16036</v>
      </c>
      <c r="D3541" s="11"/>
      <c r="E3541" s="11" t="s">
        <v>178</v>
      </c>
      <c r="F3541" s="90">
        <v>100.0</v>
      </c>
      <c r="G3541" s="321"/>
      <c r="H3541" s="11" t="s">
        <v>15897</v>
      </c>
      <c r="I3541" s="423"/>
      <c r="J3541" s="14"/>
      <c r="K3541" s="13"/>
      <c r="L3541" s="13"/>
      <c r="M3541" s="14"/>
      <c r="N3541" s="15"/>
      <c r="O3541" s="5" t="s">
        <v>14119</v>
      </c>
      <c r="P3541" s="15"/>
      <c r="Q3541" s="15"/>
      <c r="R3541" s="422"/>
      <c r="S3541" s="15"/>
      <c r="T3541" s="15"/>
      <c r="U3541" s="15"/>
      <c r="V3541" s="15"/>
      <c r="W3541" s="15"/>
      <c r="X3541" s="15"/>
      <c r="Y3541" s="15"/>
      <c r="Z3541" s="15"/>
      <c r="AA3541" s="15"/>
    </row>
    <row r="3542">
      <c r="A3542" s="352" t="s">
        <v>16037</v>
      </c>
      <c r="B3542" s="131" t="s">
        <v>16038</v>
      </c>
      <c r="C3542" s="40" t="s">
        <v>16039</v>
      </c>
      <c r="D3542" s="11"/>
      <c r="E3542" s="11" t="s">
        <v>207</v>
      </c>
      <c r="F3542" s="90">
        <v>3000.0</v>
      </c>
      <c r="G3542" s="321"/>
      <c r="H3542" s="11" t="s">
        <v>44</v>
      </c>
      <c r="I3542" s="423"/>
      <c r="J3542" s="14"/>
      <c r="K3542" s="12"/>
      <c r="L3542" s="12"/>
      <c r="M3542" s="11" t="s">
        <v>9685</v>
      </c>
      <c r="N3542" s="5" t="s">
        <v>16040</v>
      </c>
      <c r="O3542" s="5" t="s">
        <v>26</v>
      </c>
      <c r="P3542" s="15"/>
      <c r="Q3542" s="15"/>
      <c r="R3542" s="422"/>
      <c r="S3542" s="15"/>
      <c r="T3542" s="15"/>
      <c r="U3542" s="15"/>
      <c r="V3542" s="15"/>
      <c r="W3542" s="15"/>
      <c r="X3542" s="15"/>
      <c r="Y3542" s="15"/>
      <c r="Z3542" s="15"/>
      <c r="AA3542" s="15"/>
    </row>
    <row r="3543">
      <c r="A3543" s="5" t="s">
        <v>16037</v>
      </c>
      <c r="B3543" s="131" t="s">
        <v>16041</v>
      </c>
      <c r="C3543" s="40" t="s">
        <v>15557</v>
      </c>
      <c r="D3543" s="11"/>
      <c r="E3543" s="11" t="s">
        <v>38</v>
      </c>
      <c r="F3543" s="90">
        <v>1000.0</v>
      </c>
      <c r="G3543" s="321"/>
      <c r="H3543" s="11" t="s">
        <v>16042</v>
      </c>
      <c r="I3543" s="423"/>
      <c r="J3543" s="14"/>
      <c r="K3543" s="12"/>
      <c r="L3543" s="12"/>
      <c r="M3543" s="11" t="s">
        <v>7928</v>
      </c>
      <c r="N3543" s="5" t="s">
        <v>16043</v>
      </c>
      <c r="O3543" s="5" t="s">
        <v>108</v>
      </c>
      <c r="P3543" s="15"/>
      <c r="Q3543" s="15"/>
      <c r="R3543" s="422"/>
      <c r="S3543" s="15"/>
      <c r="T3543" s="15"/>
      <c r="U3543" s="15"/>
      <c r="V3543" s="15"/>
      <c r="W3543" s="15"/>
      <c r="X3543" s="15"/>
      <c r="Y3543" s="15"/>
      <c r="Z3543" s="15"/>
      <c r="AA3543" s="15"/>
    </row>
    <row r="3544">
      <c r="A3544" s="5" t="s">
        <v>16037</v>
      </c>
      <c r="B3544" s="131" t="s">
        <v>16044</v>
      </c>
      <c r="C3544" s="40" t="s">
        <v>16045</v>
      </c>
      <c r="D3544" s="11"/>
      <c r="E3544" s="11" t="s">
        <v>16046</v>
      </c>
      <c r="F3544" s="9">
        <v>100000.0</v>
      </c>
      <c r="G3544" s="321"/>
      <c r="H3544" s="11" t="s">
        <v>44</v>
      </c>
      <c r="I3544" s="423"/>
      <c r="J3544" s="14"/>
      <c r="K3544" s="12"/>
      <c r="L3544" s="12"/>
      <c r="M3544" s="11" t="s">
        <v>9918</v>
      </c>
      <c r="N3544" s="5" t="s">
        <v>16047</v>
      </c>
      <c r="O3544" s="5" t="s">
        <v>26</v>
      </c>
      <c r="P3544" s="15"/>
      <c r="Q3544" s="15"/>
      <c r="R3544" s="422"/>
      <c r="S3544" s="15"/>
      <c r="T3544" s="15"/>
      <c r="U3544" s="15"/>
      <c r="V3544" s="15"/>
      <c r="W3544" s="15"/>
      <c r="X3544" s="15"/>
      <c r="Y3544" s="15"/>
      <c r="Z3544" s="15"/>
      <c r="AA3544" s="15"/>
    </row>
    <row r="3545">
      <c r="A3545" s="5" t="s">
        <v>16037</v>
      </c>
      <c r="B3545" s="131" t="s">
        <v>16048</v>
      </c>
      <c r="C3545" s="40" t="s">
        <v>11441</v>
      </c>
      <c r="D3545" s="11"/>
      <c r="E3545" s="11" t="s">
        <v>152</v>
      </c>
      <c r="F3545" s="90">
        <v>8000.0</v>
      </c>
      <c r="G3545" s="321"/>
      <c r="H3545" s="11" t="s">
        <v>16049</v>
      </c>
      <c r="I3545" s="423"/>
      <c r="J3545" s="14"/>
      <c r="K3545" s="12"/>
      <c r="L3545" s="12"/>
      <c r="M3545" s="11" t="s">
        <v>7718</v>
      </c>
      <c r="N3545" s="5" t="s">
        <v>16050</v>
      </c>
      <c r="O3545" s="5" t="s">
        <v>14409</v>
      </c>
      <c r="P3545" s="15"/>
      <c r="Q3545" s="15"/>
      <c r="R3545" s="422"/>
      <c r="S3545" s="15"/>
      <c r="T3545" s="15"/>
      <c r="U3545" s="15"/>
      <c r="V3545" s="15"/>
      <c r="W3545" s="15"/>
      <c r="X3545" s="15"/>
      <c r="Y3545" s="15"/>
      <c r="Z3545" s="15"/>
      <c r="AA3545" s="15"/>
    </row>
    <row r="3546">
      <c r="A3546" s="5" t="s">
        <v>16037</v>
      </c>
      <c r="B3546" s="131" t="s">
        <v>16051</v>
      </c>
      <c r="C3546" s="40" t="s">
        <v>11644</v>
      </c>
      <c r="D3546" s="11"/>
      <c r="E3546" s="11" t="s">
        <v>16052</v>
      </c>
      <c r="F3546" s="90">
        <v>200.0</v>
      </c>
      <c r="G3546" s="321"/>
      <c r="H3546" s="11" t="s">
        <v>16053</v>
      </c>
      <c r="I3546" s="423"/>
      <c r="J3546" s="14"/>
      <c r="K3546" s="12"/>
      <c r="L3546" s="12"/>
      <c r="M3546" s="11" t="s">
        <v>16054</v>
      </c>
      <c r="N3546" s="5" t="s">
        <v>16055</v>
      </c>
      <c r="O3546" s="5" t="s">
        <v>14119</v>
      </c>
      <c r="P3546" s="15"/>
      <c r="Q3546" s="15"/>
      <c r="R3546" s="422"/>
      <c r="S3546" s="15"/>
      <c r="T3546" s="15"/>
      <c r="U3546" s="15"/>
      <c r="V3546" s="15"/>
      <c r="W3546" s="15"/>
      <c r="X3546" s="15"/>
      <c r="Y3546" s="15"/>
      <c r="Z3546" s="15"/>
      <c r="AA3546" s="15"/>
    </row>
    <row r="3547">
      <c r="A3547" s="5" t="s">
        <v>16037</v>
      </c>
      <c r="B3547" s="131" t="s">
        <v>16056</v>
      </c>
      <c r="C3547" s="40" t="s">
        <v>16057</v>
      </c>
      <c r="D3547" s="11"/>
      <c r="E3547" s="11" t="s">
        <v>189</v>
      </c>
      <c r="F3547" s="90">
        <v>100.0</v>
      </c>
      <c r="G3547" s="321"/>
      <c r="H3547" s="11" t="s">
        <v>16058</v>
      </c>
      <c r="I3547" s="423"/>
      <c r="J3547" s="14"/>
      <c r="K3547" s="13"/>
      <c r="L3547" s="13"/>
      <c r="M3547" s="14"/>
      <c r="N3547" s="15"/>
      <c r="O3547" s="5" t="s">
        <v>14119</v>
      </c>
      <c r="P3547" s="15"/>
      <c r="Q3547" s="15"/>
      <c r="R3547" s="422"/>
      <c r="S3547" s="15"/>
      <c r="T3547" s="15"/>
      <c r="U3547" s="15"/>
      <c r="V3547" s="15"/>
      <c r="W3547" s="15"/>
      <c r="X3547" s="15"/>
      <c r="Y3547" s="15"/>
      <c r="Z3547" s="15"/>
      <c r="AA3547" s="15"/>
    </row>
    <row r="3548">
      <c r="A3548" s="5" t="s">
        <v>16037</v>
      </c>
      <c r="B3548" s="131" t="s">
        <v>16059</v>
      </c>
      <c r="C3548" s="40" t="s">
        <v>16060</v>
      </c>
      <c r="D3548" s="11"/>
      <c r="E3548" s="11" t="s">
        <v>1396</v>
      </c>
      <c r="F3548" s="90">
        <v>70.0</v>
      </c>
      <c r="G3548" s="321"/>
      <c r="H3548" s="11" t="s">
        <v>44</v>
      </c>
      <c r="I3548" s="423"/>
      <c r="J3548" s="14"/>
      <c r="K3548" s="13"/>
      <c r="L3548" s="13"/>
      <c r="M3548" s="14"/>
      <c r="N3548" s="15"/>
      <c r="O3548" s="5" t="s">
        <v>14119</v>
      </c>
      <c r="P3548" s="15"/>
      <c r="Q3548" s="15"/>
      <c r="R3548" s="422"/>
      <c r="S3548" s="15"/>
      <c r="T3548" s="15"/>
      <c r="U3548" s="15"/>
      <c r="V3548" s="15"/>
      <c r="W3548" s="15"/>
      <c r="X3548" s="15"/>
      <c r="Y3548" s="15"/>
      <c r="Z3548" s="15"/>
      <c r="AA3548" s="15"/>
    </row>
    <row r="3549">
      <c r="A3549" s="5" t="s">
        <v>16037</v>
      </c>
      <c r="B3549" s="131" t="s">
        <v>16061</v>
      </c>
      <c r="C3549" s="40" t="s">
        <v>15421</v>
      </c>
      <c r="D3549" s="11"/>
      <c r="E3549" s="11" t="s">
        <v>7197</v>
      </c>
      <c r="F3549" s="90">
        <v>5000.0</v>
      </c>
      <c r="G3549" s="321"/>
      <c r="H3549" s="11" t="s">
        <v>44</v>
      </c>
      <c r="I3549" s="423"/>
      <c r="J3549" s="14"/>
      <c r="K3549" s="12"/>
      <c r="L3549" s="12"/>
      <c r="M3549" s="11" t="s">
        <v>9848</v>
      </c>
      <c r="N3549" s="5" t="s">
        <v>16062</v>
      </c>
      <c r="O3549" s="5" t="s">
        <v>26</v>
      </c>
      <c r="P3549" s="15"/>
      <c r="Q3549" s="15"/>
      <c r="R3549" s="422"/>
      <c r="S3549" s="15"/>
      <c r="T3549" s="15"/>
      <c r="U3549" s="15"/>
      <c r="V3549" s="15"/>
      <c r="W3549" s="15"/>
      <c r="X3549" s="15"/>
      <c r="Y3549" s="15"/>
      <c r="Z3549" s="15"/>
      <c r="AA3549" s="15"/>
    </row>
    <row r="3550">
      <c r="A3550" s="5" t="s">
        <v>16037</v>
      </c>
      <c r="B3550" s="131" t="s">
        <v>16063</v>
      </c>
      <c r="C3550" s="40" t="s">
        <v>16064</v>
      </c>
      <c r="D3550" s="11"/>
      <c r="E3550" s="11" t="s">
        <v>178</v>
      </c>
      <c r="F3550" s="9">
        <v>100000.0</v>
      </c>
      <c r="G3550" s="321"/>
      <c r="H3550" s="11" t="s">
        <v>44</v>
      </c>
      <c r="I3550" s="276"/>
      <c r="J3550" s="11" t="s">
        <v>25</v>
      </c>
      <c r="K3550" s="12"/>
      <c r="L3550" s="12"/>
      <c r="M3550" s="11" t="s">
        <v>7965</v>
      </c>
      <c r="N3550" s="5" t="s">
        <v>16065</v>
      </c>
      <c r="O3550" s="5" t="s">
        <v>26</v>
      </c>
      <c r="P3550" s="15"/>
      <c r="Q3550" s="15"/>
      <c r="R3550" s="422"/>
      <c r="S3550" s="15"/>
      <c r="T3550" s="15"/>
      <c r="U3550" s="15"/>
      <c r="V3550" s="15"/>
      <c r="W3550" s="15"/>
      <c r="X3550" s="15"/>
      <c r="Y3550" s="15"/>
      <c r="Z3550" s="15"/>
      <c r="AA3550" s="15"/>
    </row>
    <row r="3551">
      <c r="A3551" s="5" t="s">
        <v>16037</v>
      </c>
      <c r="B3551" s="131" t="s">
        <v>16066</v>
      </c>
      <c r="C3551" s="40" t="s">
        <v>16067</v>
      </c>
      <c r="D3551" s="11"/>
      <c r="E3551" s="11" t="s">
        <v>1509</v>
      </c>
      <c r="F3551" s="9">
        <v>10000.0</v>
      </c>
      <c r="G3551" s="321"/>
      <c r="H3551" s="11" t="s">
        <v>7768</v>
      </c>
      <c r="I3551" s="276"/>
      <c r="J3551" s="11" t="s">
        <v>9536</v>
      </c>
      <c r="K3551" s="12"/>
      <c r="L3551" s="12"/>
      <c r="M3551" s="11" t="s">
        <v>7965</v>
      </c>
      <c r="N3551" s="5" t="s">
        <v>16068</v>
      </c>
      <c r="O3551" s="5" t="s">
        <v>26</v>
      </c>
      <c r="P3551" s="15"/>
      <c r="Q3551" s="15"/>
      <c r="R3551" s="422"/>
      <c r="S3551" s="15"/>
      <c r="T3551" s="15"/>
      <c r="U3551" s="15"/>
      <c r="V3551" s="15"/>
      <c r="W3551" s="15"/>
      <c r="X3551" s="15"/>
      <c r="Y3551" s="15"/>
      <c r="Z3551" s="15"/>
      <c r="AA3551" s="15"/>
    </row>
    <row r="3552">
      <c r="A3552" s="5" t="s">
        <v>16037</v>
      </c>
      <c r="B3552" s="131" t="s">
        <v>16069</v>
      </c>
      <c r="C3552" s="40" t="s">
        <v>16070</v>
      </c>
      <c r="D3552" s="11"/>
      <c r="E3552" s="11" t="s">
        <v>16071</v>
      </c>
      <c r="F3552" s="90">
        <v>7000.0</v>
      </c>
      <c r="G3552" s="321"/>
      <c r="H3552" s="11" t="s">
        <v>16072</v>
      </c>
      <c r="I3552" s="423"/>
      <c r="J3552" s="14"/>
      <c r="K3552" s="12"/>
      <c r="L3552" s="12"/>
      <c r="M3552" s="11" t="s">
        <v>9742</v>
      </c>
      <c r="N3552" s="5" t="s">
        <v>16073</v>
      </c>
      <c r="O3552" s="5" t="s">
        <v>108</v>
      </c>
      <c r="P3552" s="15"/>
      <c r="Q3552" s="15"/>
      <c r="R3552" s="422"/>
      <c r="S3552" s="15"/>
      <c r="T3552" s="15"/>
      <c r="U3552" s="15"/>
      <c r="V3552" s="15"/>
      <c r="W3552" s="15"/>
      <c r="X3552" s="15"/>
      <c r="Y3552" s="15"/>
      <c r="Z3552" s="15"/>
      <c r="AA3552" s="15"/>
    </row>
    <row r="3553">
      <c r="A3553" s="5" t="s">
        <v>16037</v>
      </c>
      <c r="B3553" s="131" t="s">
        <v>16074</v>
      </c>
      <c r="C3553" s="40" t="s">
        <v>16075</v>
      </c>
      <c r="D3553" s="11"/>
      <c r="E3553" s="11" t="s">
        <v>16076</v>
      </c>
      <c r="F3553" s="90">
        <v>5000.0</v>
      </c>
      <c r="G3553" s="321"/>
      <c r="H3553" s="11" t="s">
        <v>16077</v>
      </c>
      <c r="I3553" s="276"/>
      <c r="J3553" s="11" t="s">
        <v>4008</v>
      </c>
      <c r="K3553" s="12"/>
      <c r="L3553" s="12"/>
      <c r="M3553" s="11" t="s">
        <v>15022</v>
      </c>
      <c r="N3553" s="5" t="s">
        <v>16078</v>
      </c>
      <c r="O3553" s="5" t="s">
        <v>108</v>
      </c>
      <c r="P3553" s="15"/>
      <c r="Q3553" s="15"/>
      <c r="R3553" s="422"/>
      <c r="S3553" s="15"/>
      <c r="T3553" s="15"/>
      <c r="U3553" s="15"/>
      <c r="V3553" s="15"/>
      <c r="W3553" s="15"/>
      <c r="X3553" s="15"/>
      <c r="Y3553" s="15"/>
      <c r="Z3553" s="15"/>
      <c r="AA3553" s="15"/>
    </row>
    <row r="3554">
      <c r="A3554" s="5" t="s">
        <v>16037</v>
      </c>
      <c r="B3554" s="131" t="s">
        <v>16079</v>
      </c>
      <c r="C3554" s="40" t="s">
        <v>16080</v>
      </c>
      <c r="D3554" s="11"/>
      <c r="E3554" s="11" t="s">
        <v>14778</v>
      </c>
      <c r="F3554" s="90">
        <v>100.0</v>
      </c>
      <c r="G3554" s="321"/>
      <c r="H3554" s="11" t="s">
        <v>519</v>
      </c>
      <c r="I3554" s="276"/>
      <c r="J3554" s="11" t="s">
        <v>25</v>
      </c>
      <c r="K3554" s="12"/>
      <c r="L3554" s="12"/>
      <c r="M3554" s="11" t="s">
        <v>16081</v>
      </c>
      <c r="N3554" s="5" t="s">
        <v>16082</v>
      </c>
      <c r="O3554" s="5" t="s">
        <v>14119</v>
      </c>
      <c r="P3554" s="15"/>
      <c r="Q3554" s="15"/>
      <c r="R3554" s="422"/>
      <c r="S3554" s="15"/>
      <c r="T3554" s="15"/>
      <c r="U3554" s="15"/>
      <c r="V3554" s="15"/>
      <c r="W3554" s="15"/>
      <c r="X3554" s="15"/>
      <c r="Y3554" s="15"/>
      <c r="Z3554" s="15"/>
      <c r="AA3554" s="15"/>
    </row>
    <row r="3555">
      <c r="A3555" s="5" t="s">
        <v>16037</v>
      </c>
      <c r="B3555" s="131" t="s">
        <v>16083</v>
      </c>
      <c r="C3555" s="40" t="s">
        <v>16084</v>
      </c>
      <c r="D3555" s="11"/>
      <c r="E3555" s="11" t="s">
        <v>5502</v>
      </c>
      <c r="F3555" s="90" t="s">
        <v>5839</v>
      </c>
      <c r="G3555" s="321"/>
      <c r="H3555" s="11" t="s">
        <v>3078</v>
      </c>
      <c r="I3555" s="276"/>
      <c r="J3555" s="11" t="s">
        <v>25</v>
      </c>
      <c r="K3555" s="12"/>
      <c r="L3555" s="12"/>
      <c r="M3555" s="11" t="s">
        <v>14093</v>
      </c>
      <c r="N3555" s="5" t="s">
        <v>16085</v>
      </c>
      <c r="O3555" s="5" t="s">
        <v>108</v>
      </c>
      <c r="P3555" s="15"/>
      <c r="Q3555" s="15"/>
      <c r="R3555" s="422"/>
      <c r="S3555" s="15"/>
      <c r="T3555" s="15"/>
      <c r="U3555" s="15"/>
      <c r="V3555" s="15"/>
      <c r="W3555" s="15"/>
      <c r="X3555" s="15"/>
      <c r="Y3555" s="15"/>
      <c r="Z3555" s="15"/>
      <c r="AA3555" s="15"/>
    </row>
    <row r="3556">
      <c r="A3556" s="5" t="s">
        <v>16037</v>
      </c>
      <c r="B3556" s="131" t="s">
        <v>16086</v>
      </c>
      <c r="C3556" s="40" t="s">
        <v>16087</v>
      </c>
      <c r="D3556" s="11"/>
      <c r="E3556" s="11" t="s">
        <v>444</v>
      </c>
      <c r="F3556" s="90">
        <v>100.0</v>
      </c>
      <c r="G3556" s="321"/>
      <c r="H3556" s="11" t="s">
        <v>44</v>
      </c>
      <c r="I3556" s="423"/>
      <c r="J3556" s="14"/>
      <c r="K3556" s="12"/>
      <c r="L3556" s="12"/>
      <c r="M3556" s="11" t="s">
        <v>9587</v>
      </c>
      <c r="N3556" s="5" t="s">
        <v>16088</v>
      </c>
      <c r="O3556" s="5" t="s">
        <v>14119</v>
      </c>
      <c r="P3556" s="15"/>
      <c r="Q3556" s="15"/>
      <c r="R3556" s="422"/>
      <c r="S3556" s="15"/>
      <c r="T3556" s="15"/>
      <c r="U3556" s="15"/>
      <c r="V3556" s="15"/>
      <c r="W3556" s="15"/>
      <c r="X3556" s="15"/>
      <c r="Y3556" s="15"/>
      <c r="Z3556" s="15"/>
      <c r="AA3556" s="15"/>
    </row>
    <row r="3557">
      <c r="A3557" s="5" t="s">
        <v>16089</v>
      </c>
      <c r="B3557" s="131" t="s">
        <v>16090</v>
      </c>
      <c r="C3557" s="40" t="s">
        <v>16091</v>
      </c>
      <c r="D3557" s="11"/>
      <c r="E3557" s="11" t="s">
        <v>9226</v>
      </c>
      <c r="F3557" s="9">
        <v>30000.0</v>
      </c>
      <c r="G3557" s="321"/>
      <c r="H3557" s="11" t="s">
        <v>2682</v>
      </c>
      <c r="I3557" s="276"/>
      <c r="J3557" s="11" t="s">
        <v>4008</v>
      </c>
      <c r="K3557" s="13"/>
      <c r="L3557" s="13"/>
      <c r="M3557" s="14"/>
      <c r="N3557" s="15"/>
      <c r="O3557" s="5" t="s">
        <v>108</v>
      </c>
      <c r="P3557" s="15"/>
      <c r="Q3557" s="15"/>
      <c r="R3557" s="422"/>
      <c r="S3557" s="15"/>
      <c r="T3557" s="15"/>
      <c r="U3557" s="15"/>
      <c r="V3557" s="15"/>
      <c r="W3557" s="15"/>
      <c r="X3557" s="15"/>
      <c r="Y3557" s="15"/>
      <c r="Z3557" s="15"/>
      <c r="AA3557" s="15"/>
    </row>
    <row r="3558">
      <c r="A3558" s="5" t="s">
        <v>16089</v>
      </c>
      <c r="B3558" s="131" t="s">
        <v>16092</v>
      </c>
      <c r="C3558" s="40" t="s">
        <v>16093</v>
      </c>
      <c r="D3558" s="11"/>
      <c r="E3558" s="11" t="s">
        <v>13311</v>
      </c>
      <c r="F3558" s="9">
        <v>150000.0</v>
      </c>
      <c r="G3558" s="321"/>
      <c r="H3558" s="11" t="s">
        <v>16094</v>
      </c>
      <c r="I3558" s="423"/>
      <c r="J3558" s="14"/>
      <c r="K3558" s="13"/>
      <c r="L3558" s="13"/>
      <c r="M3558" s="14"/>
      <c r="N3558" s="15"/>
      <c r="O3558" s="5" t="s">
        <v>108</v>
      </c>
      <c r="P3558" s="15"/>
      <c r="Q3558" s="15"/>
      <c r="R3558" s="422"/>
      <c r="S3558" s="15"/>
      <c r="T3558" s="15"/>
      <c r="U3558" s="15"/>
      <c r="V3558" s="15"/>
      <c r="W3558" s="15"/>
      <c r="X3558" s="15"/>
      <c r="Y3558" s="15"/>
      <c r="Z3558" s="15"/>
      <c r="AA3558" s="15"/>
    </row>
    <row r="3559">
      <c r="A3559" s="427" t="s">
        <v>16089</v>
      </c>
      <c r="B3559" s="131" t="s">
        <v>16095</v>
      </c>
      <c r="C3559" s="40" t="s">
        <v>16096</v>
      </c>
      <c r="D3559" s="11"/>
      <c r="E3559" s="11" t="s">
        <v>152</v>
      </c>
      <c r="F3559" s="90">
        <v>2000.0</v>
      </c>
      <c r="G3559" s="321"/>
      <c r="H3559" s="11" t="s">
        <v>2682</v>
      </c>
      <c r="I3559" s="423"/>
      <c r="J3559" s="14"/>
      <c r="K3559" s="12"/>
      <c r="L3559" s="12"/>
      <c r="M3559" s="11" t="s">
        <v>10768</v>
      </c>
      <c r="N3559" s="5" t="s">
        <v>16097</v>
      </c>
      <c r="O3559" s="5" t="s">
        <v>108</v>
      </c>
      <c r="P3559" s="15"/>
      <c r="Q3559" s="15"/>
      <c r="R3559" s="422"/>
      <c r="S3559" s="15"/>
      <c r="T3559" s="15"/>
      <c r="U3559" s="15"/>
      <c r="V3559" s="15"/>
      <c r="W3559" s="15"/>
      <c r="X3559" s="15"/>
      <c r="Y3559" s="15"/>
      <c r="Z3559" s="15"/>
      <c r="AA3559" s="15"/>
    </row>
    <row r="3560">
      <c r="A3560" s="5" t="s">
        <v>16089</v>
      </c>
      <c r="B3560" s="131" t="s">
        <v>16098</v>
      </c>
      <c r="C3560" s="40" t="s">
        <v>16099</v>
      </c>
      <c r="D3560" s="11"/>
      <c r="E3560" s="11" t="s">
        <v>794</v>
      </c>
      <c r="F3560" s="90">
        <v>2000.0</v>
      </c>
      <c r="G3560" s="321"/>
      <c r="H3560" s="11" t="s">
        <v>44</v>
      </c>
      <c r="I3560" s="276"/>
      <c r="J3560" s="11" t="s">
        <v>25</v>
      </c>
      <c r="K3560" s="12"/>
      <c r="L3560" s="12"/>
      <c r="M3560" s="11" t="s">
        <v>7651</v>
      </c>
      <c r="N3560" s="5" t="s">
        <v>16100</v>
      </c>
      <c r="O3560" s="5" t="s">
        <v>26</v>
      </c>
      <c r="P3560" s="15"/>
      <c r="Q3560" s="15"/>
      <c r="R3560" s="422"/>
      <c r="S3560" s="15"/>
      <c r="T3560" s="15"/>
      <c r="U3560" s="15"/>
      <c r="V3560" s="15"/>
      <c r="W3560" s="15"/>
      <c r="X3560" s="15"/>
      <c r="Y3560" s="15"/>
      <c r="Z3560" s="15"/>
      <c r="AA3560" s="15"/>
    </row>
    <row r="3561">
      <c r="A3561" s="5" t="s">
        <v>16089</v>
      </c>
      <c r="B3561" s="131" t="s">
        <v>16101</v>
      </c>
      <c r="C3561" s="40" t="s">
        <v>16102</v>
      </c>
      <c r="D3561" s="11"/>
      <c r="E3561" s="11" t="s">
        <v>353</v>
      </c>
      <c r="F3561" s="90">
        <v>100.0</v>
      </c>
      <c r="G3561" s="321"/>
      <c r="H3561" s="11" t="s">
        <v>16103</v>
      </c>
      <c r="I3561" s="423"/>
      <c r="J3561" s="14"/>
      <c r="K3561" s="12"/>
      <c r="L3561" s="12"/>
      <c r="M3561" s="11" t="s">
        <v>12016</v>
      </c>
      <c r="N3561" s="5" t="s">
        <v>16104</v>
      </c>
      <c r="O3561" s="5" t="s">
        <v>14119</v>
      </c>
      <c r="P3561" s="15"/>
      <c r="Q3561" s="15"/>
      <c r="R3561" s="422"/>
      <c r="S3561" s="15"/>
      <c r="T3561" s="15"/>
      <c r="U3561" s="15"/>
      <c r="V3561" s="15"/>
      <c r="W3561" s="15"/>
      <c r="X3561" s="15"/>
      <c r="Y3561" s="15"/>
      <c r="Z3561" s="15"/>
      <c r="AA3561" s="15"/>
    </row>
    <row r="3562">
      <c r="A3562" s="5" t="s">
        <v>16089</v>
      </c>
      <c r="B3562" s="131" t="s">
        <v>16105</v>
      </c>
      <c r="C3562" s="40" t="s">
        <v>16106</v>
      </c>
      <c r="D3562" s="11"/>
      <c r="E3562" s="11" t="s">
        <v>116</v>
      </c>
      <c r="F3562" s="90">
        <v>200.0</v>
      </c>
      <c r="G3562" s="321"/>
      <c r="H3562" s="11" t="s">
        <v>15169</v>
      </c>
      <c r="I3562" s="423"/>
      <c r="J3562" s="14"/>
      <c r="K3562" s="12"/>
      <c r="L3562" s="12"/>
      <c r="M3562" s="11" t="s">
        <v>14463</v>
      </c>
      <c r="N3562" s="5" t="s">
        <v>16107</v>
      </c>
      <c r="O3562" s="5" t="s">
        <v>14119</v>
      </c>
      <c r="P3562" s="15"/>
      <c r="Q3562" s="15"/>
      <c r="R3562" s="422"/>
      <c r="S3562" s="15"/>
      <c r="T3562" s="15"/>
      <c r="U3562" s="15"/>
      <c r="V3562" s="15"/>
      <c r="W3562" s="15"/>
      <c r="X3562" s="15"/>
      <c r="Y3562" s="15"/>
      <c r="Z3562" s="15"/>
      <c r="AA3562" s="15"/>
    </row>
    <row r="3563">
      <c r="A3563" s="5" t="s">
        <v>16089</v>
      </c>
      <c r="B3563" s="131" t="s">
        <v>16108</v>
      </c>
      <c r="C3563" s="40" t="s">
        <v>15312</v>
      </c>
      <c r="D3563" s="11"/>
      <c r="E3563" s="11" t="s">
        <v>9634</v>
      </c>
      <c r="F3563" s="9">
        <v>25000.0</v>
      </c>
      <c r="G3563" s="321"/>
      <c r="H3563" s="11" t="s">
        <v>11875</v>
      </c>
      <c r="I3563" s="423"/>
      <c r="J3563" s="14"/>
      <c r="K3563" s="13"/>
      <c r="L3563" s="13"/>
      <c r="M3563" s="14"/>
      <c r="N3563" s="15"/>
      <c r="O3563" s="5" t="s">
        <v>26</v>
      </c>
      <c r="P3563" s="15"/>
      <c r="Q3563" s="15"/>
      <c r="R3563" s="422"/>
      <c r="S3563" s="15"/>
      <c r="T3563" s="15"/>
      <c r="U3563" s="15"/>
      <c r="V3563" s="15"/>
      <c r="W3563" s="15"/>
      <c r="X3563" s="15"/>
      <c r="Y3563" s="15"/>
      <c r="Z3563" s="15"/>
      <c r="AA3563" s="15"/>
    </row>
    <row r="3564">
      <c r="A3564" s="5" t="s">
        <v>16089</v>
      </c>
      <c r="B3564" s="131" t="s">
        <v>16109</v>
      </c>
      <c r="C3564" s="40" t="s">
        <v>16110</v>
      </c>
      <c r="D3564" s="11"/>
      <c r="E3564" s="11" t="s">
        <v>3652</v>
      </c>
      <c r="F3564" s="9">
        <v>15000.0</v>
      </c>
      <c r="G3564" s="321"/>
      <c r="H3564" s="11" t="s">
        <v>1337</v>
      </c>
      <c r="I3564" s="423"/>
      <c r="J3564" s="14"/>
      <c r="K3564" s="13"/>
      <c r="L3564" s="13"/>
      <c r="M3564" s="14"/>
      <c r="N3564" s="15"/>
      <c r="O3564" s="5" t="s">
        <v>26</v>
      </c>
      <c r="P3564" s="15"/>
      <c r="Q3564" s="15"/>
      <c r="R3564" s="422"/>
      <c r="S3564" s="15"/>
      <c r="T3564" s="15"/>
      <c r="U3564" s="15"/>
      <c r="V3564" s="15"/>
      <c r="W3564" s="15"/>
      <c r="X3564" s="15"/>
      <c r="Y3564" s="15"/>
      <c r="Z3564" s="15"/>
      <c r="AA3564" s="15"/>
    </row>
    <row r="3565">
      <c r="A3565" s="5" t="s">
        <v>16089</v>
      </c>
      <c r="B3565" s="131" t="s">
        <v>16111</v>
      </c>
      <c r="C3565" s="40" t="s">
        <v>14897</v>
      </c>
      <c r="D3565" s="11"/>
      <c r="E3565" s="11" t="s">
        <v>156</v>
      </c>
      <c r="F3565" s="90">
        <v>500.0</v>
      </c>
      <c r="G3565" s="321"/>
      <c r="H3565" s="11" t="s">
        <v>14723</v>
      </c>
      <c r="I3565" s="276"/>
      <c r="J3565" s="11" t="s">
        <v>25</v>
      </c>
      <c r="K3565" s="12"/>
      <c r="L3565" s="12"/>
      <c r="M3565" s="11" t="s">
        <v>9685</v>
      </c>
      <c r="N3565" s="5" t="s">
        <v>16112</v>
      </c>
      <c r="O3565" s="5" t="s">
        <v>26</v>
      </c>
      <c r="P3565" s="15"/>
      <c r="Q3565" s="15"/>
      <c r="R3565" s="422"/>
      <c r="S3565" s="15"/>
      <c r="T3565" s="15"/>
      <c r="U3565" s="15"/>
      <c r="V3565" s="15"/>
      <c r="W3565" s="15"/>
      <c r="X3565" s="15"/>
      <c r="Y3565" s="15"/>
      <c r="Z3565" s="15"/>
      <c r="AA3565" s="15"/>
    </row>
    <row r="3566">
      <c r="A3566" s="5" t="s">
        <v>16089</v>
      </c>
      <c r="B3566" s="131" t="s">
        <v>16113</v>
      </c>
      <c r="C3566" s="40" t="s">
        <v>16114</v>
      </c>
      <c r="D3566" s="11"/>
      <c r="E3566" s="11" t="s">
        <v>9283</v>
      </c>
      <c r="F3566" s="90">
        <v>100.0</v>
      </c>
      <c r="G3566" s="321"/>
      <c r="H3566" s="11" t="s">
        <v>9266</v>
      </c>
      <c r="I3566" s="423"/>
      <c r="J3566" s="14"/>
      <c r="K3566" s="13"/>
      <c r="L3566" s="13"/>
      <c r="M3566" s="14"/>
      <c r="N3566" s="15"/>
      <c r="O3566" s="5" t="s">
        <v>14119</v>
      </c>
      <c r="P3566" s="15"/>
      <c r="Q3566" s="15"/>
      <c r="R3566" s="422"/>
      <c r="S3566" s="15"/>
      <c r="T3566" s="15"/>
      <c r="U3566" s="15"/>
      <c r="V3566" s="15"/>
      <c r="W3566" s="15"/>
      <c r="X3566" s="15"/>
      <c r="Y3566" s="15"/>
      <c r="Z3566" s="15"/>
      <c r="AA3566" s="15"/>
    </row>
    <row r="3567">
      <c r="A3567" s="5" t="s">
        <v>16089</v>
      </c>
      <c r="B3567" s="131" t="s">
        <v>16115</v>
      </c>
      <c r="C3567" s="40" t="s">
        <v>16116</v>
      </c>
      <c r="D3567" s="11"/>
      <c r="E3567" s="11" t="s">
        <v>16117</v>
      </c>
      <c r="F3567" s="90">
        <v>1000.0</v>
      </c>
      <c r="G3567" s="321"/>
      <c r="H3567" s="11" t="s">
        <v>4766</v>
      </c>
      <c r="I3567" s="423"/>
      <c r="J3567" s="14"/>
      <c r="K3567" s="13"/>
      <c r="L3567" s="13"/>
      <c r="M3567" s="14"/>
      <c r="N3567" s="15"/>
      <c r="O3567" s="5" t="s">
        <v>26</v>
      </c>
      <c r="P3567" s="15"/>
      <c r="Q3567" s="15"/>
      <c r="R3567" s="422"/>
      <c r="S3567" s="15"/>
      <c r="T3567" s="15"/>
      <c r="U3567" s="15"/>
      <c r="V3567" s="15"/>
      <c r="W3567" s="15"/>
      <c r="X3567" s="15"/>
      <c r="Y3567" s="15"/>
      <c r="Z3567" s="15"/>
      <c r="AA3567" s="15"/>
    </row>
    <row r="3568">
      <c r="A3568" s="5" t="s">
        <v>16089</v>
      </c>
      <c r="B3568" s="131" t="s">
        <v>16118</v>
      </c>
      <c r="C3568" s="40" t="s">
        <v>16119</v>
      </c>
      <c r="D3568" s="11"/>
      <c r="E3568" s="11" t="s">
        <v>2501</v>
      </c>
      <c r="F3568" s="90">
        <v>1000.0</v>
      </c>
      <c r="G3568" s="321"/>
      <c r="H3568" s="11" t="s">
        <v>16120</v>
      </c>
      <c r="I3568" s="276"/>
      <c r="J3568" s="11" t="s">
        <v>25</v>
      </c>
      <c r="K3568" s="12"/>
      <c r="L3568" s="12"/>
      <c r="M3568" s="11" t="s">
        <v>9445</v>
      </c>
      <c r="N3568" s="5" t="s">
        <v>16121</v>
      </c>
      <c r="O3568" s="5" t="s">
        <v>108</v>
      </c>
      <c r="P3568" s="15"/>
      <c r="Q3568" s="15"/>
      <c r="R3568" s="422"/>
      <c r="S3568" s="15"/>
      <c r="T3568" s="15"/>
      <c r="U3568" s="15"/>
      <c r="V3568" s="15"/>
      <c r="W3568" s="15"/>
      <c r="X3568" s="15"/>
      <c r="Y3568" s="15"/>
      <c r="Z3568" s="15"/>
      <c r="AA3568" s="15"/>
    </row>
    <row r="3569">
      <c r="A3569" s="5" t="s">
        <v>16089</v>
      </c>
      <c r="B3569" s="131" t="s">
        <v>16122</v>
      </c>
      <c r="C3569" s="40" t="s">
        <v>16123</v>
      </c>
      <c r="D3569" s="11"/>
      <c r="E3569" s="11" t="s">
        <v>16124</v>
      </c>
      <c r="F3569" s="90">
        <v>500.0</v>
      </c>
      <c r="G3569" s="321"/>
      <c r="H3569" s="11" t="s">
        <v>16125</v>
      </c>
      <c r="I3569" s="423"/>
      <c r="J3569" s="14"/>
      <c r="K3569" s="12"/>
      <c r="L3569" s="12"/>
      <c r="M3569" s="11" t="s">
        <v>9983</v>
      </c>
      <c r="N3569" s="5" t="s">
        <v>16126</v>
      </c>
      <c r="O3569" s="5" t="s">
        <v>14119</v>
      </c>
      <c r="P3569" s="15"/>
      <c r="Q3569" s="15"/>
      <c r="R3569" s="422"/>
      <c r="S3569" s="15"/>
      <c r="T3569" s="15"/>
      <c r="U3569" s="15"/>
      <c r="V3569" s="15"/>
      <c r="W3569" s="15"/>
      <c r="X3569" s="15"/>
      <c r="Y3569" s="15"/>
      <c r="Z3569" s="15"/>
      <c r="AA3569" s="15"/>
    </row>
    <row r="3570">
      <c r="A3570" s="5" t="s">
        <v>16089</v>
      </c>
      <c r="B3570" s="131" t="s">
        <v>16127</v>
      </c>
      <c r="C3570" s="40" t="s">
        <v>16128</v>
      </c>
      <c r="D3570" s="11"/>
      <c r="E3570" s="11" t="s">
        <v>152</v>
      </c>
      <c r="F3570" s="9">
        <v>300000.0</v>
      </c>
      <c r="G3570" s="321"/>
      <c r="H3570" s="11" t="s">
        <v>9266</v>
      </c>
      <c r="I3570" s="276"/>
      <c r="J3570" s="11" t="s">
        <v>4008</v>
      </c>
      <c r="K3570" s="12"/>
      <c r="L3570" s="12"/>
      <c r="M3570" s="11" t="s">
        <v>9104</v>
      </c>
      <c r="N3570" s="5" t="s">
        <v>16129</v>
      </c>
      <c r="O3570" s="5" t="s">
        <v>108</v>
      </c>
      <c r="P3570" s="15"/>
      <c r="Q3570" s="15"/>
      <c r="R3570" s="422"/>
      <c r="S3570" s="15"/>
      <c r="T3570" s="15"/>
      <c r="U3570" s="15"/>
      <c r="V3570" s="15"/>
      <c r="W3570" s="15"/>
      <c r="X3570" s="15"/>
      <c r="Y3570" s="15"/>
      <c r="Z3570" s="15"/>
      <c r="AA3570" s="15"/>
    </row>
    <row r="3571">
      <c r="A3571" s="5" t="s">
        <v>16089</v>
      </c>
      <c r="B3571" s="131" t="s">
        <v>16130</v>
      </c>
      <c r="C3571" s="40" t="s">
        <v>16131</v>
      </c>
      <c r="D3571" s="11"/>
      <c r="E3571" s="11" t="s">
        <v>16132</v>
      </c>
      <c r="F3571" s="90">
        <v>500.0</v>
      </c>
      <c r="G3571" s="321"/>
      <c r="H3571" s="11" t="s">
        <v>44</v>
      </c>
      <c r="I3571" s="276"/>
      <c r="J3571" s="11" t="s">
        <v>25</v>
      </c>
      <c r="K3571" s="12"/>
      <c r="L3571" s="12"/>
      <c r="M3571" s="11" t="s">
        <v>15941</v>
      </c>
      <c r="N3571" s="5" t="s">
        <v>16133</v>
      </c>
      <c r="O3571" s="5" t="s">
        <v>26</v>
      </c>
      <c r="P3571" s="15"/>
      <c r="Q3571" s="15"/>
      <c r="R3571" s="422"/>
      <c r="S3571" s="15"/>
      <c r="T3571" s="15"/>
      <c r="U3571" s="15"/>
      <c r="V3571" s="15"/>
      <c r="W3571" s="15"/>
      <c r="X3571" s="15"/>
      <c r="Y3571" s="15"/>
      <c r="Z3571" s="15"/>
      <c r="AA3571" s="15"/>
    </row>
    <row r="3572">
      <c r="A3572" s="5" t="s">
        <v>16134</v>
      </c>
      <c r="B3572" s="131" t="s">
        <v>16135</v>
      </c>
      <c r="C3572" s="40" t="s">
        <v>16136</v>
      </c>
      <c r="D3572" s="11"/>
      <c r="E3572" s="11" t="s">
        <v>523</v>
      </c>
      <c r="F3572" s="9">
        <v>500000.0</v>
      </c>
      <c r="G3572" s="321"/>
      <c r="H3572" s="11" t="s">
        <v>44</v>
      </c>
      <c r="I3572" s="423"/>
      <c r="J3572" s="14"/>
      <c r="K3572" s="13"/>
      <c r="L3572" s="13"/>
      <c r="M3572" s="14"/>
      <c r="N3572" s="15"/>
      <c r="O3572" s="5" t="s">
        <v>26</v>
      </c>
      <c r="P3572" s="15"/>
      <c r="Q3572" s="15"/>
      <c r="R3572" s="422"/>
      <c r="S3572" s="15"/>
      <c r="T3572" s="15"/>
      <c r="U3572" s="15"/>
      <c r="V3572" s="15"/>
      <c r="W3572" s="15"/>
      <c r="X3572" s="15"/>
      <c r="Y3572" s="15"/>
      <c r="Z3572" s="15"/>
      <c r="AA3572" s="15"/>
    </row>
    <row r="3573">
      <c r="A3573" s="5" t="s">
        <v>16134</v>
      </c>
      <c r="B3573" s="131" t="s">
        <v>16137</v>
      </c>
      <c r="C3573" s="40" t="s">
        <v>16138</v>
      </c>
      <c r="D3573" s="11"/>
      <c r="E3573" s="11" t="s">
        <v>16139</v>
      </c>
      <c r="F3573" s="90">
        <v>500.0</v>
      </c>
      <c r="G3573" s="321"/>
      <c r="H3573" s="11" t="s">
        <v>44</v>
      </c>
      <c r="I3573" s="423"/>
      <c r="J3573" s="14"/>
      <c r="K3573" s="13"/>
      <c r="L3573" s="13"/>
      <c r="M3573" s="14"/>
      <c r="N3573" s="15"/>
      <c r="O3573" s="5" t="s">
        <v>14119</v>
      </c>
      <c r="P3573" s="15"/>
      <c r="Q3573" s="15"/>
      <c r="R3573" s="422"/>
      <c r="S3573" s="15"/>
      <c r="T3573" s="15"/>
      <c r="U3573" s="15"/>
      <c r="V3573" s="15"/>
      <c r="W3573" s="15"/>
      <c r="X3573" s="15"/>
      <c r="Y3573" s="15"/>
      <c r="Z3573" s="15"/>
      <c r="AA3573" s="15"/>
    </row>
    <row r="3574">
      <c r="A3574" s="5" t="s">
        <v>16134</v>
      </c>
      <c r="B3574" s="131" t="s">
        <v>16140</v>
      </c>
      <c r="C3574" s="40" t="s">
        <v>16141</v>
      </c>
      <c r="D3574" s="11"/>
      <c r="E3574" s="11" t="s">
        <v>152</v>
      </c>
      <c r="F3574" s="90">
        <v>1000.0</v>
      </c>
      <c r="G3574" s="321"/>
      <c r="H3574" s="11" t="s">
        <v>2070</v>
      </c>
      <c r="I3574" s="276"/>
      <c r="J3574" s="11" t="s">
        <v>25</v>
      </c>
      <c r="K3574" s="12"/>
      <c r="L3574" s="12"/>
      <c r="M3574" s="11" t="s">
        <v>11262</v>
      </c>
      <c r="N3574" s="5" t="s">
        <v>16142</v>
      </c>
      <c r="O3574" s="5" t="s">
        <v>108</v>
      </c>
      <c r="P3574" s="15"/>
      <c r="Q3574" s="15"/>
      <c r="R3574" s="422"/>
      <c r="S3574" s="15"/>
      <c r="T3574" s="15"/>
      <c r="U3574" s="15"/>
      <c r="V3574" s="15"/>
      <c r="W3574" s="15"/>
      <c r="X3574" s="15"/>
      <c r="Y3574" s="15"/>
      <c r="Z3574" s="15"/>
      <c r="AA3574" s="15"/>
    </row>
    <row r="3575">
      <c r="A3575" s="5" t="s">
        <v>16134</v>
      </c>
      <c r="B3575" s="131" t="s">
        <v>16143</v>
      </c>
      <c r="C3575" s="40" t="s">
        <v>16144</v>
      </c>
      <c r="D3575" s="11"/>
      <c r="E3575" s="11" t="s">
        <v>2570</v>
      </c>
      <c r="F3575" s="9">
        <v>500000.0</v>
      </c>
      <c r="G3575" s="321"/>
      <c r="H3575" s="11" t="s">
        <v>16145</v>
      </c>
      <c r="I3575" s="276"/>
      <c r="J3575" s="11" t="s">
        <v>25</v>
      </c>
      <c r="K3575" s="13"/>
      <c r="L3575" s="13"/>
      <c r="M3575" s="14"/>
      <c r="N3575" s="15"/>
      <c r="O3575" s="5" t="s">
        <v>108</v>
      </c>
      <c r="P3575" s="15"/>
      <c r="Q3575" s="15"/>
      <c r="R3575" s="422"/>
      <c r="S3575" s="15"/>
      <c r="T3575" s="15"/>
      <c r="U3575" s="15"/>
      <c r="V3575" s="15"/>
      <c r="W3575" s="15"/>
      <c r="X3575" s="15"/>
      <c r="Y3575" s="15"/>
      <c r="Z3575" s="15"/>
      <c r="AA3575" s="15"/>
    </row>
    <row r="3576">
      <c r="A3576" s="5" t="s">
        <v>16134</v>
      </c>
      <c r="B3576" s="131" t="s">
        <v>16146</v>
      </c>
      <c r="C3576" s="40" t="s">
        <v>16147</v>
      </c>
      <c r="D3576" s="11"/>
      <c r="E3576" s="11" t="s">
        <v>841</v>
      </c>
      <c r="F3576" s="9">
        <v>20000.0</v>
      </c>
      <c r="G3576" s="321"/>
      <c r="H3576" s="11" t="s">
        <v>196</v>
      </c>
      <c r="I3576" s="423"/>
      <c r="J3576" s="14"/>
      <c r="K3576" s="12"/>
      <c r="L3576" s="12"/>
      <c r="M3576" s="11" t="s">
        <v>9901</v>
      </c>
      <c r="N3576" s="5" t="s">
        <v>16148</v>
      </c>
      <c r="O3576" s="5" t="s">
        <v>26</v>
      </c>
      <c r="P3576" s="15"/>
      <c r="Q3576" s="15"/>
      <c r="R3576" s="422"/>
      <c r="S3576" s="15"/>
      <c r="T3576" s="15"/>
      <c r="U3576" s="15"/>
      <c r="V3576" s="15"/>
      <c r="W3576" s="15"/>
      <c r="X3576" s="15"/>
      <c r="Y3576" s="15"/>
      <c r="Z3576" s="15"/>
      <c r="AA3576" s="15"/>
    </row>
    <row r="3577">
      <c r="A3577" s="5" t="s">
        <v>16134</v>
      </c>
      <c r="B3577" s="131" t="s">
        <v>16149</v>
      </c>
      <c r="C3577" s="40" t="s">
        <v>3173</v>
      </c>
      <c r="D3577" s="11"/>
      <c r="E3577" s="11" t="s">
        <v>5756</v>
      </c>
      <c r="F3577" s="90">
        <v>500.0</v>
      </c>
      <c r="G3577" s="321"/>
      <c r="H3577" s="11" t="s">
        <v>44</v>
      </c>
      <c r="I3577" s="276"/>
      <c r="J3577" s="11" t="s">
        <v>4008</v>
      </c>
      <c r="K3577" s="13"/>
      <c r="L3577" s="13"/>
      <c r="M3577" s="14"/>
      <c r="N3577" s="15"/>
      <c r="O3577" s="5" t="s">
        <v>14119</v>
      </c>
      <c r="P3577" s="15"/>
      <c r="Q3577" s="15"/>
      <c r="R3577" s="422"/>
      <c r="S3577" s="15"/>
      <c r="T3577" s="15"/>
      <c r="U3577" s="15"/>
      <c r="V3577" s="15"/>
      <c r="W3577" s="15"/>
      <c r="X3577" s="15"/>
      <c r="Y3577" s="15"/>
      <c r="Z3577" s="15"/>
      <c r="AA3577" s="15"/>
    </row>
    <row r="3578">
      <c r="A3578" s="5" t="s">
        <v>16134</v>
      </c>
      <c r="B3578" s="131" t="s">
        <v>16150</v>
      </c>
      <c r="C3578" s="40" t="s">
        <v>16151</v>
      </c>
      <c r="D3578" s="11"/>
      <c r="E3578" s="11" t="s">
        <v>5244</v>
      </c>
      <c r="F3578" s="90">
        <v>5000.0</v>
      </c>
      <c r="G3578" s="321"/>
      <c r="H3578" s="11" t="s">
        <v>16152</v>
      </c>
      <c r="I3578" s="276"/>
      <c r="J3578" s="11" t="s">
        <v>25</v>
      </c>
      <c r="K3578" s="13"/>
      <c r="L3578" s="13"/>
      <c r="M3578" s="14"/>
      <c r="N3578" s="15"/>
      <c r="O3578" s="5" t="s">
        <v>108</v>
      </c>
      <c r="P3578" s="15"/>
      <c r="Q3578" s="15"/>
      <c r="R3578" s="422"/>
      <c r="S3578" s="15"/>
      <c r="T3578" s="15"/>
      <c r="U3578" s="15"/>
      <c r="V3578" s="15"/>
      <c r="W3578" s="15"/>
      <c r="X3578" s="15"/>
      <c r="Y3578" s="15"/>
      <c r="Z3578" s="15"/>
      <c r="AA3578" s="15"/>
    </row>
    <row r="3579">
      <c r="A3579" s="5" t="s">
        <v>16134</v>
      </c>
      <c r="B3579" s="131" t="s">
        <v>16153</v>
      </c>
      <c r="C3579" s="40" t="s">
        <v>16154</v>
      </c>
      <c r="D3579" s="11"/>
      <c r="E3579" s="11" t="s">
        <v>3165</v>
      </c>
      <c r="F3579" s="90">
        <v>50.0</v>
      </c>
      <c r="G3579" s="321"/>
      <c r="H3579" s="11" t="s">
        <v>44</v>
      </c>
      <c r="I3579" s="276"/>
      <c r="J3579" s="11" t="s">
        <v>16155</v>
      </c>
      <c r="K3579" s="13"/>
      <c r="L3579" s="13"/>
      <c r="M3579" s="14"/>
      <c r="N3579" s="15"/>
      <c r="O3579" s="5" t="s">
        <v>14119</v>
      </c>
      <c r="P3579" s="15"/>
      <c r="Q3579" s="15"/>
      <c r="R3579" s="422"/>
      <c r="S3579" s="15"/>
      <c r="T3579" s="15"/>
      <c r="U3579" s="15"/>
      <c r="V3579" s="15"/>
      <c r="W3579" s="15"/>
      <c r="X3579" s="15"/>
      <c r="Y3579" s="15"/>
      <c r="Z3579" s="15"/>
      <c r="AA3579" s="15"/>
    </row>
    <row r="3580">
      <c r="A3580" s="352" t="s">
        <v>16134</v>
      </c>
      <c r="B3580" s="131" t="s">
        <v>16156</v>
      </c>
      <c r="C3580" s="40" t="s">
        <v>16157</v>
      </c>
      <c r="D3580" s="11"/>
      <c r="E3580" s="11" t="s">
        <v>38</v>
      </c>
      <c r="F3580" s="9">
        <v>30000.0</v>
      </c>
      <c r="G3580" s="321"/>
      <c r="H3580" s="11" t="s">
        <v>16158</v>
      </c>
      <c r="I3580" s="423"/>
      <c r="J3580" s="14"/>
      <c r="K3580" s="12"/>
      <c r="L3580" s="12"/>
      <c r="M3580" s="11" t="s">
        <v>13099</v>
      </c>
      <c r="N3580" s="5" t="s">
        <v>16159</v>
      </c>
      <c r="O3580" s="5" t="s">
        <v>108</v>
      </c>
      <c r="P3580" s="15"/>
      <c r="Q3580" s="15"/>
      <c r="R3580" s="422"/>
      <c r="S3580" s="15"/>
      <c r="T3580" s="15"/>
      <c r="U3580" s="15"/>
      <c r="V3580" s="15"/>
      <c r="W3580" s="15"/>
      <c r="X3580" s="15"/>
      <c r="Y3580" s="15"/>
      <c r="Z3580" s="15"/>
      <c r="AA3580" s="15"/>
    </row>
    <row r="3581">
      <c r="A3581" s="5" t="s">
        <v>16134</v>
      </c>
      <c r="B3581" s="131" t="s">
        <v>16160</v>
      </c>
      <c r="C3581" s="40" t="s">
        <v>16161</v>
      </c>
      <c r="D3581" s="11"/>
      <c r="E3581" s="11" t="s">
        <v>16162</v>
      </c>
      <c r="F3581" s="90">
        <v>200.0</v>
      </c>
      <c r="G3581" s="321"/>
      <c r="H3581" s="11" t="s">
        <v>3216</v>
      </c>
      <c r="I3581" s="423"/>
      <c r="J3581" s="14"/>
      <c r="K3581" s="13"/>
      <c r="L3581" s="13"/>
      <c r="M3581" s="14"/>
      <c r="N3581" s="15"/>
      <c r="O3581" s="5" t="s">
        <v>14119</v>
      </c>
      <c r="P3581" s="15"/>
      <c r="Q3581" s="15"/>
      <c r="R3581" s="422"/>
      <c r="S3581" s="15"/>
      <c r="T3581" s="15"/>
      <c r="U3581" s="15"/>
      <c r="V3581" s="15"/>
      <c r="W3581" s="15"/>
      <c r="X3581" s="15"/>
      <c r="Y3581" s="15"/>
      <c r="Z3581" s="15"/>
      <c r="AA3581" s="15"/>
    </row>
    <row r="3582">
      <c r="A3582" s="5" t="s">
        <v>16134</v>
      </c>
      <c r="B3582" s="131" t="s">
        <v>16163</v>
      </c>
      <c r="C3582" s="40" t="s">
        <v>16164</v>
      </c>
      <c r="D3582" s="11"/>
      <c r="E3582" s="11" t="s">
        <v>16165</v>
      </c>
      <c r="F3582" s="90">
        <v>1000.0</v>
      </c>
      <c r="G3582" s="321"/>
      <c r="H3582" s="11" t="s">
        <v>15893</v>
      </c>
      <c r="I3582" s="423"/>
      <c r="J3582" s="14"/>
      <c r="K3582" s="12"/>
      <c r="L3582" s="12"/>
      <c r="M3582" s="11" t="s">
        <v>12016</v>
      </c>
      <c r="N3582" s="5" t="s">
        <v>16166</v>
      </c>
      <c r="O3582" s="5" t="s">
        <v>108</v>
      </c>
      <c r="P3582" s="15"/>
      <c r="Q3582" s="15"/>
      <c r="R3582" s="422"/>
      <c r="S3582" s="15"/>
      <c r="T3582" s="15"/>
      <c r="U3582" s="15"/>
      <c r="V3582" s="15"/>
      <c r="W3582" s="15"/>
      <c r="X3582" s="15"/>
      <c r="Y3582" s="15"/>
      <c r="Z3582" s="15"/>
      <c r="AA3582" s="15"/>
    </row>
    <row r="3583">
      <c r="A3583" s="5" t="s">
        <v>16134</v>
      </c>
      <c r="B3583" s="131" t="s">
        <v>16167</v>
      </c>
      <c r="C3583" s="40" t="s">
        <v>16168</v>
      </c>
      <c r="D3583" s="11"/>
      <c r="E3583" s="11" t="s">
        <v>152</v>
      </c>
      <c r="F3583" s="90">
        <v>1000.0</v>
      </c>
      <c r="G3583" s="321"/>
      <c r="H3583" s="11" t="s">
        <v>99</v>
      </c>
      <c r="I3583" s="423"/>
      <c r="J3583" s="14"/>
      <c r="K3583" s="12"/>
      <c r="L3583" s="12"/>
      <c r="M3583" s="11" t="s">
        <v>9298</v>
      </c>
      <c r="N3583" s="5" t="s">
        <v>16169</v>
      </c>
      <c r="O3583" s="5" t="s">
        <v>26</v>
      </c>
      <c r="P3583" s="15"/>
      <c r="Q3583" s="15"/>
      <c r="R3583" s="422"/>
      <c r="S3583" s="15"/>
      <c r="T3583" s="15"/>
      <c r="U3583" s="15"/>
      <c r="V3583" s="15"/>
      <c r="W3583" s="15"/>
      <c r="X3583" s="15"/>
      <c r="Y3583" s="15"/>
      <c r="Z3583" s="15"/>
      <c r="AA3583" s="15"/>
    </row>
    <row r="3584">
      <c r="A3584" s="5" t="s">
        <v>16134</v>
      </c>
      <c r="B3584" s="131" t="s">
        <v>16170</v>
      </c>
      <c r="C3584" s="40" t="s">
        <v>16171</v>
      </c>
      <c r="D3584" s="11"/>
      <c r="E3584" s="11" t="s">
        <v>6760</v>
      </c>
      <c r="F3584" s="90">
        <v>100.0</v>
      </c>
      <c r="G3584" s="321"/>
      <c r="H3584" s="11" t="s">
        <v>9094</v>
      </c>
      <c r="I3584" s="423"/>
      <c r="J3584" s="14"/>
      <c r="K3584" s="13"/>
      <c r="L3584" s="13"/>
      <c r="M3584" s="14"/>
      <c r="N3584" s="15"/>
      <c r="O3584" s="5" t="s">
        <v>14119</v>
      </c>
      <c r="P3584" s="15"/>
      <c r="Q3584" s="15"/>
      <c r="R3584" s="422"/>
      <c r="S3584" s="15"/>
      <c r="T3584" s="15"/>
      <c r="U3584" s="15"/>
      <c r="V3584" s="15"/>
      <c r="W3584" s="15"/>
      <c r="X3584" s="15"/>
      <c r="Y3584" s="15"/>
      <c r="Z3584" s="15"/>
      <c r="AA3584" s="15"/>
    </row>
    <row r="3585">
      <c r="A3585" s="5" t="s">
        <v>16134</v>
      </c>
      <c r="B3585" s="131" t="s">
        <v>16172</v>
      </c>
      <c r="C3585" s="40" t="s">
        <v>16173</v>
      </c>
      <c r="D3585" s="11"/>
      <c r="E3585" s="11" t="s">
        <v>6168</v>
      </c>
      <c r="F3585" s="90">
        <v>200.0</v>
      </c>
      <c r="G3585" s="321"/>
      <c r="H3585" s="11" t="s">
        <v>44</v>
      </c>
      <c r="I3585" s="423"/>
      <c r="J3585" s="14"/>
      <c r="K3585" s="13"/>
      <c r="L3585" s="13"/>
      <c r="M3585" s="14"/>
      <c r="N3585" s="15"/>
      <c r="O3585" s="5" t="s">
        <v>14119</v>
      </c>
      <c r="P3585" s="15"/>
      <c r="Q3585" s="15"/>
      <c r="R3585" s="422"/>
      <c r="S3585" s="15"/>
      <c r="T3585" s="15"/>
      <c r="U3585" s="15"/>
      <c r="V3585" s="15"/>
      <c r="W3585" s="15"/>
      <c r="X3585" s="15"/>
      <c r="Y3585" s="15"/>
      <c r="Z3585" s="15"/>
      <c r="AA3585" s="15"/>
    </row>
    <row r="3586">
      <c r="A3586" s="5" t="s">
        <v>16134</v>
      </c>
      <c r="B3586" s="131" t="s">
        <v>16174</v>
      </c>
      <c r="C3586" s="40" t="s">
        <v>16175</v>
      </c>
      <c r="D3586" s="11"/>
      <c r="E3586" s="11" t="s">
        <v>3686</v>
      </c>
      <c r="F3586" s="90">
        <v>200.0</v>
      </c>
      <c r="G3586" s="321"/>
      <c r="H3586" s="11" t="s">
        <v>16176</v>
      </c>
      <c r="I3586" s="423"/>
      <c r="J3586" s="14"/>
      <c r="K3586" s="13"/>
      <c r="L3586" s="13"/>
      <c r="M3586" s="14"/>
      <c r="N3586" s="15"/>
      <c r="O3586" s="5" t="s">
        <v>14119</v>
      </c>
      <c r="P3586" s="15"/>
      <c r="Q3586" s="15"/>
      <c r="R3586" s="422"/>
      <c r="S3586" s="15"/>
      <c r="T3586" s="15"/>
      <c r="U3586" s="15"/>
      <c r="V3586" s="15"/>
      <c r="W3586" s="15"/>
      <c r="X3586" s="15"/>
      <c r="Y3586" s="15"/>
      <c r="Z3586" s="15"/>
      <c r="AA3586" s="15"/>
    </row>
    <row r="3587">
      <c r="A3587" s="5" t="s">
        <v>16134</v>
      </c>
      <c r="B3587" s="131" t="s">
        <v>16177</v>
      </c>
      <c r="C3587" s="40" t="s">
        <v>16178</v>
      </c>
      <c r="D3587" s="11"/>
      <c r="E3587" s="11" t="s">
        <v>116</v>
      </c>
      <c r="F3587" s="90">
        <v>5000.0</v>
      </c>
      <c r="G3587" s="321"/>
      <c r="H3587" s="11" t="s">
        <v>16179</v>
      </c>
      <c r="I3587" s="276"/>
      <c r="J3587" s="11" t="s">
        <v>12882</v>
      </c>
      <c r="K3587" s="12"/>
      <c r="L3587" s="12"/>
      <c r="M3587" s="11" t="s">
        <v>15022</v>
      </c>
      <c r="N3587" s="5" t="s">
        <v>16180</v>
      </c>
      <c r="O3587" s="5" t="s">
        <v>108</v>
      </c>
      <c r="P3587" s="15"/>
      <c r="Q3587" s="15"/>
      <c r="R3587" s="422"/>
      <c r="S3587" s="15"/>
      <c r="T3587" s="15"/>
      <c r="U3587" s="15"/>
      <c r="V3587" s="15"/>
      <c r="W3587" s="15"/>
      <c r="X3587" s="15"/>
      <c r="Y3587" s="15"/>
      <c r="Z3587" s="15"/>
      <c r="AA3587" s="15"/>
    </row>
    <row r="3588">
      <c r="A3588" s="5" t="s">
        <v>16134</v>
      </c>
      <c r="B3588" s="131" t="s">
        <v>16181</v>
      </c>
      <c r="C3588" s="40" t="s">
        <v>11644</v>
      </c>
      <c r="D3588" s="11"/>
      <c r="E3588" s="11" t="s">
        <v>5676</v>
      </c>
      <c r="F3588" s="9">
        <v>50000.0</v>
      </c>
      <c r="G3588" s="321"/>
      <c r="H3588" s="11" t="s">
        <v>906</v>
      </c>
      <c r="I3588" s="276"/>
      <c r="J3588" s="11" t="s">
        <v>12882</v>
      </c>
      <c r="K3588" s="12"/>
      <c r="L3588" s="12"/>
      <c r="M3588" s="11" t="s">
        <v>7884</v>
      </c>
      <c r="N3588" s="5" t="s">
        <v>16182</v>
      </c>
      <c r="O3588" s="5" t="s">
        <v>108</v>
      </c>
      <c r="P3588" s="15"/>
      <c r="Q3588" s="15"/>
      <c r="R3588" s="422"/>
      <c r="S3588" s="15"/>
      <c r="T3588" s="15"/>
      <c r="U3588" s="15"/>
      <c r="V3588" s="15"/>
      <c r="W3588" s="15"/>
      <c r="X3588" s="15"/>
      <c r="Y3588" s="15"/>
      <c r="Z3588" s="15"/>
      <c r="AA3588" s="15"/>
    </row>
    <row r="3589">
      <c r="A3589" s="5" t="s">
        <v>16183</v>
      </c>
      <c r="B3589" s="131" t="s">
        <v>16184</v>
      </c>
      <c r="C3589" s="40" t="s">
        <v>16185</v>
      </c>
      <c r="D3589" s="11"/>
      <c r="E3589" s="11" t="s">
        <v>6836</v>
      </c>
      <c r="F3589" s="90">
        <v>200.0</v>
      </c>
      <c r="G3589" s="321"/>
      <c r="H3589" s="11" t="s">
        <v>16186</v>
      </c>
      <c r="I3589" s="276"/>
      <c r="J3589" s="11" t="s">
        <v>4008</v>
      </c>
      <c r="K3589" s="13"/>
      <c r="L3589" s="13"/>
      <c r="M3589" s="14"/>
      <c r="N3589" s="15"/>
      <c r="O3589" s="5" t="s">
        <v>14119</v>
      </c>
      <c r="P3589" s="15"/>
      <c r="Q3589" s="15"/>
      <c r="R3589" s="422"/>
      <c r="S3589" s="15"/>
      <c r="T3589" s="15"/>
      <c r="U3589" s="15"/>
      <c r="V3589" s="15"/>
      <c r="W3589" s="15"/>
      <c r="X3589" s="15"/>
      <c r="Y3589" s="15"/>
      <c r="Z3589" s="15"/>
      <c r="AA3589" s="15"/>
    </row>
    <row r="3590">
      <c r="A3590" s="5" t="s">
        <v>16183</v>
      </c>
      <c r="B3590" s="131" t="s">
        <v>16187</v>
      </c>
      <c r="C3590" s="40" t="s">
        <v>16188</v>
      </c>
      <c r="D3590" s="11"/>
      <c r="E3590" s="11" t="s">
        <v>1579</v>
      </c>
      <c r="F3590" s="9">
        <v>50000.0</v>
      </c>
      <c r="G3590" s="321"/>
      <c r="H3590" s="11" t="s">
        <v>12559</v>
      </c>
      <c r="I3590" s="276"/>
      <c r="J3590" s="11" t="s">
        <v>25</v>
      </c>
      <c r="K3590" s="12"/>
      <c r="L3590" s="12"/>
      <c r="M3590" s="11" t="s">
        <v>11788</v>
      </c>
      <c r="N3590" s="5" t="s">
        <v>16189</v>
      </c>
      <c r="O3590" s="5" t="s">
        <v>108</v>
      </c>
      <c r="P3590" s="15"/>
      <c r="Q3590" s="15"/>
      <c r="R3590" s="422"/>
      <c r="S3590" s="15"/>
      <c r="T3590" s="15"/>
      <c r="U3590" s="15"/>
      <c r="V3590" s="15"/>
      <c r="W3590" s="15"/>
      <c r="X3590" s="15"/>
      <c r="Y3590" s="15"/>
      <c r="Z3590" s="15"/>
      <c r="AA3590" s="15"/>
    </row>
    <row r="3591">
      <c r="A3591" s="5" t="s">
        <v>16183</v>
      </c>
      <c r="B3591" s="131" t="s">
        <v>16190</v>
      </c>
      <c r="C3591" s="40" t="s">
        <v>16191</v>
      </c>
      <c r="D3591" s="11"/>
      <c r="E3591" s="11" t="s">
        <v>353</v>
      </c>
      <c r="F3591" s="90">
        <v>100.0</v>
      </c>
      <c r="G3591" s="321"/>
      <c r="H3591" s="11" t="s">
        <v>184</v>
      </c>
      <c r="I3591" s="423"/>
      <c r="J3591" s="14"/>
      <c r="K3591" s="12"/>
      <c r="L3591" s="12"/>
      <c r="M3591" s="11" t="s">
        <v>12016</v>
      </c>
      <c r="N3591" s="5" t="s">
        <v>16192</v>
      </c>
      <c r="O3591" s="5" t="s">
        <v>14119</v>
      </c>
      <c r="P3591" s="15"/>
      <c r="Q3591" s="15"/>
      <c r="R3591" s="422"/>
      <c r="S3591" s="15"/>
      <c r="T3591" s="15"/>
      <c r="U3591" s="15"/>
      <c r="V3591" s="15"/>
      <c r="W3591" s="15"/>
      <c r="X3591" s="15"/>
      <c r="Y3591" s="15"/>
      <c r="Z3591" s="15"/>
      <c r="AA3591" s="15"/>
    </row>
    <row r="3592">
      <c r="A3592" s="5" t="s">
        <v>16183</v>
      </c>
      <c r="B3592" s="131" t="s">
        <v>16193</v>
      </c>
      <c r="C3592" s="40" t="s">
        <v>16194</v>
      </c>
      <c r="D3592" s="11"/>
      <c r="E3592" s="11" t="s">
        <v>3165</v>
      </c>
      <c r="F3592" s="90">
        <v>4000.0</v>
      </c>
      <c r="G3592" s="321"/>
      <c r="H3592" s="11" t="s">
        <v>16195</v>
      </c>
      <c r="I3592" s="423"/>
      <c r="J3592" s="14"/>
      <c r="K3592" s="12"/>
      <c r="L3592" s="12"/>
      <c r="M3592" s="11" t="s">
        <v>9497</v>
      </c>
      <c r="N3592" s="5" t="s">
        <v>16196</v>
      </c>
      <c r="O3592" s="5" t="s">
        <v>108</v>
      </c>
      <c r="P3592" s="15"/>
      <c r="Q3592" s="15"/>
      <c r="R3592" s="422"/>
      <c r="S3592" s="15"/>
      <c r="T3592" s="15"/>
      <c r="U3592" s="15"/>
      <c r="V3592" s="15"/>
      <c r="W3592" s="15"/>
      <c r="X3592" s="15"/>
      <c r="Y3592" s="15"/>
      <c r="Z3592" s="15"/>
      <c r="AA3592" s="15"/>
    </row>
    <row r="3593">
      <c r="A3593" s="5" t="s">
        <v>16183</v>
      </c>
      <c r="B3593" s="131" t="s">
        <v>16197</v>
      </c>
      <c r="C3593" s="40" t="s">
        <v>16198</v>
      </c>
      <c r="D3593" s="11"/>
      <c r="E3593" s="11" t="s">
        <v>10404</v>
      </c>
      <c r="F3593" s="90">
        <v>500.0</v>
      </c>
      <c r="G3593" s="321"/>
      <c r="H3593" s="11" t="s">
        <v>449</v>
      </c>
      <c r="I3593" s="423"/>
      <c r="J3593" s="14"/>
      <c r="K3593" s="12"/>
      <c r="L3593" s="12"/>
      <c r="M3593" s="11" t="s">
        <v>7718</v>
      </c>
      <c r="N3593" s="5" t="s">
        <v>16199</v>
      </c>
      <c r="O3593" s="5" t="s">
        <v>26</v>
      </c>
      <c r="P3593" s="15"/>
      <c r="Q3593" s="15"/>
      <c r="R3593" s="422"/>
      <c r="S3593" s="15"/>
      <c r="T3593" s="15"/>
      <c r="U3593" s="15"/>
      <c r="V3593" s="15"/>
      <c r="W3593" s="15"/>
      <c r="X3593" s="15"/>
      <c r="Y3593" s="15"/>
      <c r="Z3593" s="15"/>
      <c r="AA3593" s="15"/>
    </row>
    <row r="3594">
      <c r="A3594" s="5" t="s">
        <v>16183</v>
      </c>
      <c r="B3594" s="131" t="s">
        <v>16200</v>
      </c>
      <c r="C3594" s="40" t="s">
        <v>16201</v>
      </c>
      <c r="D3594" s="11"/>
      <c r="E3594" s="11" t="s">
        <v>16202</v>
      </c>
      <c r="F3594" s="9">
        <v>10000.0</v>
      </c>
      <c r="G3594" s="321"/>
      <c r="H3594" s="11" t="s">
        <v>16203</v>
      </c>
      <c r="I3594" s="423"/>
      <c r="J3594" s="14"/>
      <c r="K3594" s="13"/>
      <c r="L3594" s="13"/>
      <c r="M3594" s="14"/>
      <c r="N3594" s="15"/>
      <c r="O3594" s="5" t="s">
        <v>26</v>
      </c>
      <c r="P3594" s="15"/>
      <c r="Q3594" s="15"/>
      <c r="R3594" s="422"/>
      <c r="S3594" s="15"/>
      <c r="T3594" s="15"/>
      <c r="U3594" s="15"/>
      <c r="V3594" s="15"/>
      <c r="W3594" s="15"/>
      <c r="X3594" s="15"/>
      <c r="Y3594" s="15"/>
      <c r="Z3594" s="15"/>
      <c r="AA3594" s="15"/>
    </row>
    <row r="3595">
      <c r="A3595" s="5" t="s">
        <v>16183</v>
      </c>
      <c r="B3595" s="131" t="s">
        <v>16204</v>
      </c>
      <c r="C3595" s="40" t="s">
        <v>16205</v>
      </c>
      <c r="D3595" s="11"/>
      <c r="E3595" s="11" t="s">
        <v>16206</v>
      </c>
      <c r="F3595" s="90">
        <v>5000.0</v>
      </c>
      <c r="G3595" s="321"/>
      <c r="H3595" s="11" t="s">
        <v>2682</v>
      </c>
      <c r="I3595" s="276"/>
      <c r="J3595" s="11" t="s">
        <v>4008</v>
      </c>
      <c r="K3595" s="13"/>
      <c r="L3595" s="13"/>
      <c r="M3595" s="14"/>
      <c r="N3595" s="15"/>
      <c r="O3595" s="5" t="s">
        <v>108</v>
      </c>
      <c r="P3595" s="15"/>
      <c r="Q3595" s="15"/>
      <c r="R3595" s="422"/>
      <c r="S3595" s="15"/>
      <c r="T3595" s="15"/>
      <c r="U3595" s="15"/>
      <c r="V3595" s="15"/>
      <c r="W3595" s="15"/>
      <c r="X3595" s="15"/>
      <c r="Y3595" s="15"/>
      <c r="Z3595" s="15"/>
      <c r="AA3595" s="15"/>
    </row>
    <row r="3596">
      <c r="A3596" s="5" t="s">
        <v>16183</v>
      </c>
      <c r="B3596" s="131" t="s">
        <v>16207</v>
      </c>
      <c r="C3596" s="40" t="s">
        <v>16208</v>
      </c>
      <c r="D3596" s="11"/>
      <c r="E3596" s="11" t="s">
        <v>9237</v>
      </c>
      <c r="F3596" s="90">
        <v>1000.0</v>
      </c>
      <c r="G3596" s="321"/>
      <c r="H3596" s="11" t="s">
        <v>495</v>
      </c>
      <c r="I3596" s="423"/>
      <c r="J3596" s="14"/>
      <c r="K3596" s="12"/>
      <c r="L3596" s="12"/>
      <c r="M3596" s="11" t="s">
        <v>7928</v>
      </c>
      <c r="N3596" s="5" t="s">
        <v>16209</v>
      </c>
      <c r="O3596" s="5" t="s">
        <v>26</v>
      </c>
      <c r="P3596" s="15"/>
      <c r="Q3596" s="15"/>
      <c r="R3596" s="422"/>
      <c r="S3596" s="15"/>
      <c r="T3596" s="15"/>
      <c r="U3596" s="15"/>
      <c r="V3596" s="15"/>
      <c r="W3596" s="15"/>
      <c r="X3596" s="15"/>
      <c r="Y3596" s="15"/>
      <c r="Z3596" s="15"/>
      <c r="AA3596" s="15"/>
    </row>
    <row r="3597">
      <c r="A3597" s="5" t="s">
        <v>16183</v>
      </c>
      <c r="B3597" s="131" t="s">
        <v>16210</v>
      </c>
      <c r="C3597" s="40" t="s">
        <v>15869</v>
      </c>
      <c r="D3597" s="11"/>
      <c r="E3597" s="11" t="s">
        <v>1373</v>
      </c>
      <c r="F3597" s="90">
        <v>200.0</v>
      </c>
      <c r="G3597" s="321"/>
      <c r="H3597" s="11" t="s">
        <v>16211</v>
      </c>
      <c r="I3597" s="423"/>
      <c r="J3597" s="14"/>
      <c r="K3597" s="12"/>
      <c r="L3597" s="12"/>
      <c r="M3597" s="11" t="s">
        <v>9776</v>
      </c>
      <c r="N3597" s="5" t="s">
        <v>16212</v>
      </c>
      <c r="O3597" s="5" t="s">
        <v>15325</v>
      </c>
      <c r="P3597" s="15"/>
      <c r="Q3597" s="15"/>
      <c r="R3597" s="422"/>
      <c r="S3597" s="15"/>
      <c r="T3597" s="15"/>
      <c r="U3597" s="15"/>
      <c r="V3597" s="15"/>
      <c r="W3597" s="15"/>
      <c r="X3597" s="15"/>
      <c r="Y3597" s="15"/>
      <c r="Z3597" s="15"/>
      <c r="AA3597" s="15"/>
    </row>
    <row r="3598">
      <c r="A3598" s="5" t="s">
        <v>16183</v>
      </c>
      <c r="B3598" s="131" t="s">
        <v>16213</v>
      </c>
      <c r="C3598" s="40" t="s">
        <v>16214</v>
      </c>
      <c r="D3598" s="11"/>
      <c r="E3598" s="11" t="s">
        <v>9226</v>
      </c>
      <c r="F3598" s="9">
        <v>25000.0</v>
      </c>
      <c r="G3598" s="321"/>
      <c r="H3598" s="11" t="s">
        <v>930</v>
      </c>
      <c r="I3598" s="423"/>
      <c r="J3598" s="14"/>
      <c r="K3598" s="13"/>
      <c r="L3598" s="13"/>
      <c r="M3598" s="14"/>
      <c r="N3598" s="15"/>
      <c r="O3598" s="5" t="s">
        <v>108</v>
      </c>
      <c r="P3598" s="15"/>
      <c r="Q3598" s="15"/>
      <c r="R3598" s="422"/>
      <c r="S3598" s="15"/>
      <c r="T3598" s="15"/>
      <c r="U3598" s="15"/>
      <c r="V3598" s="15"/>
      <c r="W3598" s="15"/>
      <c r="X3598" s="15"/>
      <c r="Y3598" s="15"/>
      <c r="Z3598" s="15"/>
      <c r="AA3598" s="15"/>
    </row>
    <row r="3599">
      <c r="A3599" s="5" t="s">
        <v>16183</v>
      </c>
      <c r="B3599" s="131" t="s">
        <v>16215</v>
      </c>
      <c r="C3599" s="40" t="s">
        <v>16216</v>
      </c>
      <c r="D3599" s="11"/>
      <c r="E3599" s="11" t="s">
        <v>1749</v>
      </c>
      <c r="F3599" s="90">
        <v>50.0</v>
      </c>
      <c r="G3599" s="321"/>
      <c r="H3599" s="11" t="s">
        <v>14497</v>
      </c>
      <c r="I3599" s="276"/>
      <c r="J3599" s="11" t="s">
        <v>25</v>
      </c>
      <c r="K3599" s="13"/>
      <c r="L3599" s="13"/>
      <c r="M3599" s="14"/>
      <c r="N3599" s="15"/>
      <c r="O3599" s="5" t="s">
        <v>14119</v>
      </c>
      <c r="P3599" s="15"/>
      <c r="Q3599" s="15"/>
      <c r="R3599" s="422"/>
      <c r="S3599" s="15"/>
      <c r="T3599" s="15"/>
      <c r="U3599" s="15"/>
      <c r="V3599" s="15"/>
      <c r="W3599" s="15"/>
      <c r="X3599" s="15"/>
      <c r="Y3599" s="15"/>
      <c r="Z3599" s="15"/>
      <c r="AA3599" s="15"/>
    </row>
    <row r="3600">
      <c r="A3600" s="5" t="s">
        <v>16183</v>
      </c>
      <c r="B3600" s="131" t="s">
        <v>16217</v>
      </c>
      <c r="C3600" s="40" t="s">
        <v>16218</v>
      </c>
      <c r="D3600" s="11"/>
      <c r="E3600" s="11" t="s">
        <v>794</v>
      </c>
      <c r="F3600" s="90">
        <v>200.0</v>
      </c>
      <c r="G3600" s="321"/>
      <c r="H3600" s="11" t="s">
        <v>16219</v>
      </c>
      <c r="I3600" s="276"/>
      <c r="J3600" s="11" t="s">
        <v>25</v>
      </c>
      <c r="K3600" s="12"/>
      <c r="L3600" s="12"/>
      <c r="M3600" s="11" t="s">
        <v>14458</v>
      </c>
      <c r="N3600" s="5" t="s">
        <v>16220</v>
      </c>
      <c r="O3600" s="5" t="s">
        <v>14119</v>
      </c>
      <c r="P3600" s="15"/>
      <c r="Q3600" s="15"/>
      <c r="R3600" s="422"/>
      <c r="S3600" s="15"/>
      <c r="T3600" s="15"/>
      <c r="U3600" s="15"/>
      <c r="V3600" s="15"/>
      <c r="W3600" s="15"/>
      <c r="X3600" s="15"/>
      <c r="Y3600" s="15"/>
      <c r="Z3600" s="15"/>
      <c r="AA3600" s="15"/>
    </row>
    <row r="3601">
      <c r="A3601" s="5" t="s">
        <v>16183</v>
      </c>
      <c r="B3601" s="131" t="s">
        <v>16221</v>
      </c>
      <c r="C3601" s="40" t="s">
        <v>16222</v>
      </c>
      <c r="D3601" s="11"/>
      <c r="E3601" s="11" t="s">
        <v>14261</v>
      </c>
      <c r="F3601" s="90">
        <v>1500.0</v>
      </c>
      <c r="G3601" s="321"/>
      <c r="H3601" s="11" t="s">
        <v>507</v>
      </c>
      <c r="I3601" s="276"/>
      <c r="J3601" s="11" t="s">
        <v>4008</v>
      </c>
      <c r="K3601" s="12"/>
      <c r="L3601" s="12"/>
      <c r="M3601" s="11" t="s">
        <v>9949</v>
      </c>
      <c r="N3601" s="5" t="s">
        <v>16223</v>
      </c>
      <c r="O3601" s="5" t="s">
        <v>108</v>
      </c>
      <c r="P3601" s="15"/>
      <c r="Q3601" s="15"/>
      <c r="R3601" s="422"/>
      <c r="S3601" s="15"/>
      <c r="T3601" s="15"/>
      <c r="U3601" s="15"/>
      <c r="V3601" s="15"/>
      <c r="W3601" s="15"/>
      <c r="X3601" s="15"/>
      <c r="Y3601" s="15"/>
      <c r="Z3601" s="15"/>
      <c r="AA3601" s="15"/>
    </row>
    <row r="3602">
      <c r="A3602" s="5" t="s">
        <v>16183</v>
      </c>
      <c r="B3602" s="131" t="s">
        <v>16224</v>
      </c>
      <c r="C3602" s="40" t="s">
        <v>16225</v>
      </c>
      <c r="D3602" s="11"/>
      <c r="E3602" s="11" t="s">
        <v>16226</v>
      </c>
      <c r="F3602" s="90">
        <v>500.0</v>
      </c>
      <c r="G3602" s="321"/>
      <c r="H3602" s="11" t="s">
        <v>2682</v>
      </c>
      <c r="I3602" s="423"/>
      <c r="J3602" s="14"/>
      <c r="K3602" s="13"/>
      <c r="L3602" s="13"/>
      <c r="M3602" s="14"/>
      <c r="N3602" s="15"/>
      <c r="O3602" s="5" t="s">
        <v>108</v>
      </c>
      <c r="P3602" s="15"/>
      <c r="Q3602" s="15"/>
      <c r="R3602" s="422"/>
      <c r="S3602" s="15"/>
      <c r="T3602" s="15"/>
      <c r="U3602" s="15"/>
      <c r="V3602" s="15"/>
      <c r="W3602" s="15"/>
      <c r="X3602" s="15"/>
      <c r="Y3602" s="15"/>
      <c r="Z3602" s="15"/>
      <c r="AA3602" s="15"/>
    </row>
    <row r="3603">
      <c r="A3603" s="5" t="s">
        <v>16183</v>
      </c>
      <c r="B3603" s="131" t="s">
        <v>16227</v>
      </c>
      <c r="C3603" s="40" t="s">
        <v>16228</v>
      </c>
      <c r="D3603" s="11"/>
      <c r="E3603" s="11" t="s">
        <v>3686</v>
      </c>
      <c r="F3603" s="9">
        <v>10000.0</v>
      </c>
      <c r="G3603" s="321"/>
      <c r="H3603" s="11" t="s">
        <v>16229</v>
      </c>
      <c r="I3603" s="276"/>
      <c r="J3603" s="11" t="s">
        <v>25</v>
      </c>
      <c r="K3603" s="13"/>
      <c r="L3603" s="13"/>
      <c r="M3603" s="14"/>
      <c r="N3603" s="15"/>
      <c r="O3603" s="5" t="s">
        <v>108</v>
      </c>
      <c r="P3603" s="15"/>
      <c r="Q3603" s="15"/>
      <c r="R3603" s="422"/>
      <c r="S3603" s="15"/>
      <c r="T3603" s="15"/>
      <c r="U3603" s="15"/>
      <c r="V3603" s="15"/>
      <c r="W3603" s="15"/>
      <c r="X3603" s="15"/>
      <c r="Y3603" s="15"/>
      <c r="Z3603" s="15"/>
      <c r="AA3603" s="15"/>
    </row>
    <row r="3604">
      <c r="A3604" s="5" t="s">
        <v>16183</v>
      </c>
      <c r="B3604" s="131" t="s">
        <v>16230</v>
      </c>
      <c r="C3604" s="40" t="s">
        <v>16231</v>
      </c>
      <c r="D3604" s="11"/>
      <c r="E3604" s="11" t="s">
        <v>16232</v>
      </c>
      <c r="F3604" s="90" t="s">
        <v>16233</v>
      </c>
      <c r="G3604" s="321"/>
      <c r="H3604" s="11" t="s">
        <v>44</v>
      </c>
      <c r="I3604" s="276"/>
      <c r="J3604" s="11" t="s">
        <v>9874</v>
      </c>
      <c r="K3604" s="12"/>
      <c r="L3604" s="12"/>
      <c r="M3604" s="11" t="s">
        <v>16234</v>
      </c>
      <c r="N3604" s="5" t="s">
        <v>16235</v>
      </c>
      <c r="O3604" s="5" t="s">
        <v>34</v>
      </c>
      <c r="P3604" s="15"/>
      <c r="Q3604" s="15"/>
      <c r="R3604" s="422"/>
      <c r="S3604" s="15"/>
      <c r="T3604" s="15"/>
      <c r="U3604" s="15"/>
      <c r="V3604" s="15"/>
      <c r="W3604" s="15"/>
      <c r="X3604" s="15"/>
      <c r="Y3604" s="15"/>
      <c r="Z3604" s="15"/>
      <c r="AA3604" s="15"/>
    </row>
    <row r="3605">
      <c r="A3605" s="5" t="s">
        <v>16183</v>
      </c>
      <c r="B3605" s="131" t="s">
        <v>16236</v>
      </c>
      <c r="C3605" s="40" t="s">
        <v>15641</v>
      </c>
      <c r="D3605" s="11"/>
      <c r="E3605" s="11" t="s">
        <v>16237</v>
      </c>
      <c r="F3605" s="90">
        <v>5000.0</v>
      </c>
      <c r="G3605" s="321"/>
      <c r="H3605" s="11" t="s">
        <v>44</v>
      </c>
      <c r="I3605" s="276"/>
      <c r="J3605" s="11" t="s">
        <v>4008</v>
      </c>
      <c r="K3605" s="12"/>
      <c r="L3605" s="12"/>
      <c r="M3605" s="11" t="s">
        <v>9497</v>
      </c>
      <c r="N3605" s="5" t="s">
        <v>16238</v>
      </c>
      <c r="O3605" s="5" t="s">
        <v>26</v>
      </c>
      <c r="P3605" s="15"/>
      <c r="Q3605" s="15"/>
      <c r="R3605" s="422"/>
      <c r="S3605" s="15"/>
      <c r="T3605" s="15"/>
      <c r="U3605" s="15"/>
      <c r="V3605" s="15"/>
      <c r="W3605" s="15"/>
      <c r="X3605" s="15"/>
      <c r="Y3605" s="15"/>
      <c r="Z3605" s="15"/>
      <c r="AA3605" s="15"/>
    </row>
    <row r="3606">
      <c r="A3606" s="5" t="s">
        <v>16183</v>
      </c>
      <c r="B3606" s="131" t="s">
        <v>16239</v>
      </c>
      <c r="C3606" s="40" t="s">
        <v>16240</v>
      </c>
      <c r="D3606" s="11"/>
      <c r="E3606" s="11" t="s">
        <v>152</v>
      </c>
      <c r="F3606" s="90">
        <v>1000.0</v>
      </c>
      <c r="G3606" s="321"/>
      <c r="H3606" s="11" t="s">
        <v>44</v>
      </c>
      <c r="I3606" s="423"/>
      <c r="J3606" s="14"/>
      <c r="K3606" s="12"/>
      <c r="L3606" s="12"/>
      <c r="M3606" s="11" t="s">
        <v>11262</v>
      </c>
      <c r="N3606" s="5" t="s">
        <v>16241</v>
      </c>
      <c r="O3606" s="5" t="s">
        <v>26</v>
      </c>
      <c r="P3606" s="15"/>
      <c r="Q3606" s="15"/>
      <c r="R3606" s="422"/>
      <c r="S3606" s="15"/>
      <c r="T3606" s="15"/>
      <c r="U3606" s="15"/>
      <c r="V3606" s="15"/>
      <c r="W3606" s="15"/>
      <c r="X3606" s="15"/>
      <c r="Y3606" s="15"/>
      <c r="Z3606" s="15"/>
      <c r="AA3606" s="15"/>
    </row>
    <row r="3607">
      <c r="A3607" s="5" t="s">
        <v>16183</v>
      </c>
      <c r="B3607" s="131" t="s">
        <v>16242</v>
      </c>
      <c r="C3607" s="40" t="s">
        <v>16243</v>
      </c>
      <c r="D3607" s="11"/>
      <c r="E3607" s="11" t="s">
        <v>1749</v>
      </c>
      <c r="F3607" s="90">
        <v>50.0</v>
      </c>
      <c r="G3607" s="321"/>
      <c r="H3607" s="11" t="s">
        <v>44</v>
      </c>
      <c r="I3607" s="423"/>
      <c r="J3607" s="14"/>
      <c r="K3607" s="13"/>
      <c r="L3607" s="13"/>
      <c r="M3607" s="14"/>
      <c r="N3607" s="15"/>
      <c r="O3607" s="5" t="s">
        <v>14119</v>
      </c>
      <c r="P3607" s="15"/>
      <c r="Q3607" s="15"/>
      <c r="R3607" s="422"/>
      <c r="S3607" s="15"/>
      <c r="T3607" s="15"/>
      <c r="U3607" s="15"/>
      <c r="V3607" s="15"/>
      <c r="W3607" s="15"/>
      <c r="X3607" s="15"/>
      <c r="Y3607" s="15"/>
      <c r="Z3607" s="15"/>
      <c r="AA3607" s="15"/>
    </row>
    <row r="3608">
      <c r="A3608" s="5" t="s">
        <v>16183</v>
      </c>
      <c r="B3608" s="131" t="s">
        <v>16244</v>
      </c>
      <c r="C3608" s="40" t="s">
        <v>9524</v>
      </c>
      <c r="D3608" s="11"/>
      <c r="E3608" s="11" t="s">
        <v>16245</v>
      </c>
      <c r="F3608" s="90">
        <v>1000.0</v>
      </c>
      <c r="G3608" s="321"/>
      <c r="H3608" s="11" t="s">
        <v>16246</v>
      </c>
      <c r="I3608" s="423"/>
      <c r="J3608" s="14"/>
      <c r="K3608" s="12"/>
      <c r="L3608" s="12"/>
      <c r="M3608" s="11" t="s">
        <v>16247</v>
      </c>
      <c r="N3608" s="5" t="s">
        <v>16248</v>
      </c>
      <c r="O3608" s="5" t="s">
        <v>108</v>
      </c>
      <c r="P3608" s="15"/>
      <c r="Q3608" s="15"/>
      <c r="R3608" s="422"/>
      <c r="S3608" s="15"/>
      <c r="T3608" s="15"/>
      <c r="U3608" s="15"/>
      <c r="V3608" s="15"/>
      <c r="W3608" s="15"/>
      <c r="X3608" s="15"/>
      <c r="Y3608" s="15"/>
      <c r="Z3608" s="15"/>
      <c r="AA3608" s="15"/>
    </row>
    <row r="3609">
      <c r="A3609" s="5" t="s">
        <v>16183</v>
      </c>
      <c r="B3609" s="131" t="s">
        <v>16249</v>
      </c>
      <c r="C3609" s="40" t="s">
        <v>16250</v>
      </c>
      <c r="D3609" s="11"/>
      <c r="E3609" s="11" t="s">
        <v>9050</v>
      </c>
      <c r="F3609" s="90">
        <v>500.0</v>
      </c>
      <c r="G3609" s="321"/>
      <c r="H3609" s="11" t="s">
        <v>495</v>
      </c>
      <c r="I3609" s="276"/>
      <c r="J3609" s="11" t="s">
        <v>25</v>
      </c>
      <c r="K3609" s="12"/>
      <c r="L3609" s="12"/>
      <c r="M3609" s="11" t="s">
        <v>15941</v>
      </c>
      <c r="N3609" s="5" t="s">
        <v>16251</v>
      </c>
      <c r="O3609" s="5" t="s">
        <v>26</v>
      </c>
      <c r="P3609" s="15"/>
      <c r="Q3609" s="15"/>
      <c r="R3609" s="422"/>
      <c r="S3609" s="15"/>
      <c r="T3609" s="15"/>
      <c r="U3609" s="15"/>
      <c r="V3609" s="15"/>
      <c r="W3609" s="15"/>
      <c r="X3609" s="15"/>
      <c r="Y3609" s="15"/>
      <c r="Z3609" s="15"/>
      <c r="AA3609" s="15"/>
    </row>
    <row r="3610">
      <c r="A3610" s="232" t="s">
        <v>16183</v>
      </c>
      <c r="B3610" s="131" t="s">
        <v>16252</v>
      </c>
      <c r="C3610" s="40" t="s">
        <v>16253</v>
      </c>
      <c r="D3610" s="11"/>
      <c r="E3610" s="11" t="s">
        <v>10433</v>
      </c>
      <c r="F3610" s="90">
        <v>50.0</v>
      </c>
      <c r="G3610" s="321"/>
      <c r="H3610" s="11" t="s">
        <v>44</v>
      </c>
      <c r="I3610" s="423"/>
      <c r="J3610" s="14"/>
      <c r="K3610" s="13"/>
      <c r="L3610" s="13"/>
      <c r="M3610" s="14"/>
      <c r="N3610" s="15"/>
      <c r="O3610" s="5" t="s">
        <v>14119</v>
      </c>
      <c r="P3610" s="15"/>
      <c r="Q3610" s="15"/>
      <c r="R3610" s="422"/>
      <c r="S3610" s="15"/>
      <c r="T3610" s="15"/>
      <c r="U3610" s="15"/>
      <c r="V3610" s="15"/>
      <c r="W3610" s="15"/>
      <c r="X3610" s="15"/>
      <c r="Y3610" s="15"/>
      <c r="Z3610" s="15"/>
      <c r="AA3610" s="15"/>
    </row>
    <row r="3611">
      <c r="A3611" s="5" t="s">
        <v>16254</v>
      </c>
      <c r="B3611" s="131" t="s">
        <v>16255</v>
      </c>
      <c r="C3611" s="40" t="s">
        <v>16256</v>
      </c>
      <c r="D3611" s="11"/>
      <c r="E3611" s="11" t="s">
        <v>130</v>
      </c>
      <c r="F3611" s="90">
        <v>5000.0</v>
      </c>
      <c r="G3611" s="321"/>
      <c r="H3611" s="11" t="s">
        <v>15041</v>
      </c>
      <c r="I3611" s="276"/>
      <c r="J3611" s="11" t="s">
        <v>25</v>
      </c>
      <c r="K3611" s="12"/>
      <c r="L3611" s="12"/>
      <c r="M3611" s="11" t="s">
        <v>9587</v>
      </c>
      <c r="N3611" s="5" t="s">
        <v>16257</v>
      </c>
      <c r="O3611" s="5" t="s">
        <v>108</v>
      </c>
      <c r="P3611" s="15"/>
      <c r="Q3611" s="15"/>
      <c r="R3611" s="422"/>
      <c r="S3611" s="15"/>
      <c r="T3611" s="15"/>
      <c r="U3611" s="15"/>
      <c r="V3611" s="15"/>
      <c r="W3611" s="15"/>
      <c r="X3611" s="15"/>
      <c r="Y3611" s="15"/>
      <c r="Z3611" s="15"/>
      <c r="AA3611" s="15"/>
    </row>
    <row r="3612">
      <c r="A3612" s="5" t="s">
        <v>16254</v>
      </c>
      <c r="B3612" s="131" t="s">
        <v>16258</v>
      </c>
      <c r="C3612" s="40" t="s">
        <v>10531</v>
      </c>
      <c r="D3612" s="11"/>
      <c r="E3612" s="11" t="s">
        <v>22</v>
      </c>
      <c r="F3612" s="9">
        <v>50000.0</v>
      </c>
      <c r="G3612" s="321"/>
      <c r="H3612" s="11" t="s">
        <v>16259</v>
      </c>
      <c r="I3612" s="423"/>
      <c r="J3612" s="14"/>
      <c r="K3612" s="12"/>
      <c r="L3612" s="12"/>
      <c r="M3612" s="11" t="s">
        <v>11262</v>
      </c>
      <c r="N3612" s="5" t="s">
        <v>16260</v>
      </c>
      <c r="O3612" s="5" t="s">
        <v>26</v>
      </c>
      <c r="P3612" s="15"/>
      <c r="Q3612" s="15"/>
      <c r="R3612" s="422"/>
      <c r="S3612" s="15"/>
      <c r="T3612" s="15"/>
      <c r="U3612" s="15"/>
      <c r="V3612" s="15"/>
      <c r="W3612" s="15"/>
      <c r="X3612" s="15"/>
      <c r="Y3612" s="15"/>
      <c r="Z3612" s="15"/>
      <c r="AA3612" s="15"/>
    </row>
    <row r="3613">
      <c r="A3613" s="5" t="s">
        <v>16254</v>
      </c>
      <c r="B3613" s="131" t="s">
        <v>16261</v>
      </c>
      <c r="C3613" s="40" t="s">
        <v>16262</v>
      </c>
      <c r="D3613" s="11"/>
      <c r="E3613" s="11" t="s">
        <v>9634</v>
      </c>
      <c r="F3613" s="90">
        <v>2000.0</v>
      </c>
      <c r="G3613" s="321"/>
      <c r="H3613" s="11" t="s">
        <v>15002</v>
      </c>
      <c r="I3613" s="423"/>
      <c r="J3613" s="14"/>
      <c r="K3613" s="12"/>
      <c r="L3613" s="12"/>
      <c r="M3613" s="11" t="s">
        <v>10656</v>
      </c>
      <c r="N3613" s="5" t="s">
        <v>16263</v>
      </c>
      <c r="O3613" s="5" t="s">
        <v>108</v>
      </c>
      <c r="P3613" s="15"/>
      <c r="Q3613" s="15"/>
      <c r="R3613" s="422"/>
      <c r="S3613" s="15"/>
      <c r="T3613" s="15"/>
      <c r="U3613" s="15"/>
      <c r="V3613" s="15"/>
      <c r="W3613" s="15"/>
      <c r="X3613" s="15"/>
      <c r="Y3613" s="15"/>
      <c r="Z3613" s="15"/>
      <c r="AA3613" s="15"/>
    </row>
    <row r="3614">
      <c r="A3614" s="5" t="s">
        <v>16254</v>
      </c>
      <c r="B3614" s="131" t="s">
        <v>16264</v>
      </c>
      <c r="C3614" s="40" t="s">
        <v>16265</v>
      </c>
      <c r="D3614" s="11"/>
      <c r="E3614" s="11" t="s">
        <v>16266</v>
      </c>
      <c r="F3614" s="9">
        <v>40000.0</v>
      </c>
      <c r="G3614" s="321"/>
      <c r="H3614" s="11" t="s">
        <v>44</v>
      </c>
      <c r="I3614" s="423"/>
      <c r="J3614" s="14"/>
      <c r="K3614" s="13"/>
      <c r="L3614" s="13"/>
      <c r="M3614" s="14"/>
      <c r="N3614" s="15"/>
      <c r="O3614" s="5" t="s">
        <v>26</v>
      </c>
      <c r="P3614" s="15"/>
      <c r="Q3614" s="15"/>
      <c r="R3614" s="422"/>
      <c r="S3614" s="15"/>
      <c r="T3614" s="15"/>
      <c r="U3614" s="15"/>
      <c r="V3614" s="15"/>
      <c r="W3614" s="15"/>
      <c r="X3614" s="15"/>
      <c r="Y3614" s="15"/>
      <c r="Z3614" s="15"/>
      <c r="AA3614" s="15"/>
    </row>
    <row r="3615">
      <c r="A3615" s="5" t="s">
        <v>16254</v>
      </c>
      <c r="B3615" s="131" t="s">
        <v>16267</v>
      </c>
      <c r="C3615" s="40" t="s">
        <v>16268</v>
      </c>
      <c r="D3615" s="11"/>
      <c r="E3615" s="11" t="s">
        <v>1749</v>
      </c>
      <c r="F3615" s="90">
        <v>200.0</v>
      </c>
      <c r="G3615" s="321"/>
      <c r="H3615" s="11" t="s">
        <v>15380</v>
      </c>
      <c r="I3615" s="423"/>
      <c r="J3615" s="14"/>
      <c r="K3615" s="12"/>
      <c r="L3615" s="12"/>
      <c r="M3615" s="11" t="s">
        <v>9719</v>
      </c>
      <c r="N3615" s="5" t="s">
        <v>16269</v>
      </c>
      <c r="O3615" s="5" t="s">
        <v>14119</v>
      </c>
      <c r="P3615" s="15"/>
      <c r="Q3615" s="15"/>
      <c r="R3615" s="422"/>
      <c r="S3615" s="15"/>
      <c r="T3615" s="15"/>
      <c r="U3615" s="15"/>
      <c r="V3615" s="15"/>
      <c r="W3615" s="15"/>
      <c r="X3615" s="15"/>
      <c r="Y3615" s="15"/>
      <c r="Z3615" s="15"/>
      <c r="AA3615" s="15"/>
    </row>
    <row r="3616">
      <c r="A3616" s="5" t="s">
        <v>16254</v>
      </c>
      <c r="B3616" s="131" t="s">
        <v>16270</v>
      </c>
      <c r="C3616" s="40" t="s">
        <v>16271</v>
      </c>
      <c r="D3616" s="11"/>
      <c r="E3616" s="11" t="s">
        <v>16272</v>
      </c>
      <c r="F3616" s="90" t="s">
        <v>16273</v>
      </c>
      <c r="G3616" s="321"/>
      <c r="H3616" s="11" t="s">
        <v>44</v>
      </c>
      <c r="I3616" s="276"/>
      <c r="J3616" s="11" t="s">
        <v>16274</v>
      </c>
      <c r="K3616" s="12"/>
      <c r="L3616" s="12"/>
      <c r="M3616" s="11" t="s">
        <v>16275</v>
      </c>
      <c r="N3616" s="5" t="s">
        <v>16276</v>
      </c>
      <c r="O3616" s="5" t="s">
        <v>26</v>
      </c>
      <c r="P3616" s="15"/>
      <c r="Q3616" s="15"/>
      <c r="R3616" s="422"/>
      <c r="S3616" s="15"/>
      <c r="T3616" s="15"/>
      <c r="U3616" s="15"/>
      <c r="V3616" s="15"/>
      <c r="W3616" s="15"/>
      <c r="X3616" s="15"/>
      <c r="Y3616" s="15"/>
      <c r="Z3616" s="15"/>
      <c r="AA3616" s="15"/>
    </row>
    <row r="3617">
      <c r="A3617" s="5" t="s">
        <v>16254</v>
      </c>
      <c r="B3617" s="131" t="s">
        <v>16277</v>
      </c>
      <c r="C3617" s="40" t="s">
        <v>16278</v>
      </c>
      <c r="D3617" s="11"/>
      <c r="E3617" s="11" t="s">
        <v>167</v>
      </c>
      <c r="F3617" s="90">
        <v>1000.0</v>
      </c>
      <c r="G3617" s="321"/>
      <c r="H3617" s="11" t="s">
        <v>14965</v>
      </c>
      <c r="I3617" s="423"/>
      <c r="J3617" s="14"/>
      <c r="K3617" s="12"/>
      <c r="L3617" s="12"/>
      <c r="M3617" s="11" t="s">
        <v>11262</v>
      </c>
      <c r="N3617" s="5" t="s">
        <v>16279</v>
      </c>
      <c r="O3617" s="5" t="s">
        <v>108</v>
      </c>
      <c r="P3617" s="15"/>
      <c r="Q3617" s="15"/>
      <c r="R3617" s="422"/>
      <c r="S3617" s="15"/>
      <c r="T3617" s="15"/>
      <c r="U3617" s="15"/>
      <c r="V3617" s="15"/>
      <c r="W3617" s="15"/>
      <c r="X3617" s="15"/>
      <c r="Y3617" s="15"/>
      <c r="Z3617" s="15"/>
      <c r="AA3617" s="15"/>
    </row>
    <row r="3618">
      <c r="A3618" s="5" t="s">
        <v>16254</v>
      </c>
      <c r="B3618" s="131" t="s">
        <v>16280</v>
      </c>
      <c r="C3618" s="40" t="s">
        <v>16281</v>
      </c>
      <c r="D3618" s="11"/>
      <c r="E3618" s="11" t="s">
        <v>625</v>
      </c>
      <c r="F3618" s="9">
        <v>50000.0</v>
      </c>
      <c r="G3618" s="321"/>
      <c r="H3618" s="11" t="s">
        <v>16282</v>
      </c>
      <c r="I3618" s="423"/>
      <c r="J3618" s="14"/>
      <c r="K3618" s="13"/>
      <c r="L3618" s="13"/>
      <c r="M3618" s="14"/>
      <c r="N3618" s="15"/>
      <c r="O3618" s="5" t="s">
        <v>26</v>
      </c>
      <c r="P3618" s="15"/>
      <c r="Q3618" s="15"/>
      <c r="R3618" s="422"/>
      <c r="S3618" s="15"/>
      <c r="T3618" s="15"/>
      <c r="U3618" s="15"/>
      <c r="V3618" s="15"/>
      <c r="W3618" s="15"/>
      <c r="X3618" s="15"/>
      <c r="Y3618" s="15"/>
      <c r="Z3618" s="15"/>
      <c r="AA3618" s="15"/>
    </row>
    <row r="3619">
      <c r="A3619" s="5" t="s">
        <v>16254</v>
      </c>
      <c r="B3619" s="131" t="s">
        <v>16283</v>
      </c>
      <c r="C3619" s="40" t="s">
        <v>16284</v>
      </c>
      <c r="D3619" s="11"/>
      <c r="E3619" s="11" t="s">
        <v>9283</v>
      </c>
      <c r="F3619" s="90">
        <v>200.0</v>
      </c>
      <c r="G3619" s="321"/>
      <c r="H3619" s="11" t="s">
        <v>16285</v>
      </c>
      <c r="I3619" s="423"/>
      <c r="J3619" s="14"/>
      <c r="K3619" s="13"/>
      <c r="L3619" s="13"/>
      <c r="M3619" s="14"/>
      <c r="N3619" s="15"/>
      <c r="O3619" s="5" t="s">
        <v>14119</v>
      </c>
      <c r="P3619" s="15"/>
      <c r="Q3619" s="15"/>
      <c r="R3619" s="422"/>
      <c r="S3619" s="15"/>
      <c r="T3619" s="15"/>
      <c r="U3619" s="15"/>
      <c r="V3619" s="15"/>
      <c r="W3619" s="15"/>
      <c r="X3619" s="15"/>
      <c r="Y3619" s="15"/>
      <c r="Z3619" s="15"/>
      <c r="AA3619" s="15"/>
    </row>
    <row r="3620">
      <c r="A3620" s="5" t="s">
        <v>16254</v>
      </c>
      <c r="B3620" s="131" t="s">
        <v>16286</v>
      </c>
      <c r="C3620" s="40" t="s">
        <v>16287</v>
      </c>
      <c r="D3620" s="11"/>
      <c r="E3620" s="11" t="s">
        <v>77</v>
      </c>
      <c r="F3620" s="9">
        <v>10000.0</v>
      </c>
      <c r="G3620" s="321"/>
      <c r="H3620" s="11" t="s">
        <v>16288</v>
      </c>
      <c r="I3620" s="423"/>
      <c r="J3620" s="14"/>
      <c r="K3620" s="12"/>
      <c r="L3620" s="12"/>
      <c r="M3620" s="11" t="s">
        <v>9918</v>
      </c>
      <c r="N3620" s="5" t="s">
        <v>16289</v>
      </c>
      <c r="O3620" s="5" t="s">
        <v>26</v>
      </c>
      <c r="P3620" s="15"/>
      <c r="Q3620" s="15"/>
      <c r="R3620" s="422"/>
      <c r="S3620" s="15"/>
      <c r="T3620" s="15"/>
      <c r="U3620" s="15"/>
      <c r="V3620" s="15"/>
      <c r="W3620" s="15"/>
      <c r="X3620" s="15"/>
      <c r="Y3620" s="15"/>
      <c r="Z3620" s="15"/>
      <c r="AA3620" s="15"/>
    </row>
    <row r="3621">
      <c r="A3621" s="5" t="s">
        <v>16254</v>
      </c>
      <c r="B3621" s="131" t="s">
        <v>16290</v>
      </c>
      <c r="C3621" s="40" t="s">
        <v>16291</v>
      </c>
      <c r="D3621" s="11"/>
      <c r="E3621" s="11" t="s">
        <v>16292</v>
      </c>
      <c r="F3621" s="90">
        <v>100.0</v>
      </c>
      <c r="G3621" s="321"/>
      <c r="H3621" s="11" t="s">
        <v>8781</v>
      </c>
      <c r="I3621" s="423"/>
      <c r="J3621" s="14"/>
      <c r="K3621" s="13"/>
      <c r="L3621" s="13"/>
      <c r="M3621" s="14"/>
      <c r="N3621" s="15"/>
      <c r="O3621" s="5" t="s">
        <v>14119</v>
      </c>
      <c r="P3621" s="15"/>
      <c r="Q3621" s="15"/>
      <c r="R3621" s="422"/>
      <c r="S3621" s="15"/>
      <c r="T3621" s="15"/>
      <c r="U3621" s="15"/>
      <c r="V3621" s="15"/>
      <c r="W3621" s="15"/>
      <c r="X3621" s="15"/>
      <c r="Y3621" s="15"/>
      <c r="Z3621" s="15"/>
      <c r="AA3621" s="15"/>
    </row>
    <row r="3622">
      <c r="A3622" s="5" t="s">
        <v>16254</v>
      </c>
      <c r="B3622" s="131" t="s">
        <v>16293</v>
      </c>
      <c r="C3622" s="40" t="s">
        <v>16294</v>
      </c>
      <c r="D3622" s="11"/>
      <c r="E3622" s="11" t="s">
        <v>116</v>
      </c>
      <c r="F3622" s="90">
        <v>100.0</v>
      </c>
      <c r="G3622" s="321"/>
      <c r="H3622" s="11" t="s">
        <v>2662</v>
      </c>
      <c r="I3622" s="423"/>
      <c r="J3622" s="14"/>
      <c r="K3622" s="12"/>
      <c r="L3622" s="12"/>
      <c r="M3622" s="11" t="s">
        <v>15128</v>
      </c>
      <c r="N3622" s="5" t="s">
        <v>16295</v>
      </c>
      <c r="O3622" s="5" t="s">
        <v>14119</v>
      </c>
      <c r="P3622" s="15"/>
      <c r="Q3622" s="15"/>
      <c r="R3622" s="422"/>
      <c r="S3622" s="15"/>
      <c r="T3622" s="15"/>
      <c r="U3622" s="15"/>
      <c r="V3622" s="15"/>
      <c r="W3622" s="15"/>
      <c r="X3622" s="15"/>
      <c r="Y3622" s="15"/>
      <c r="Z3622" s="15"/>
      <c r="AA3622" s="15"/>
    </row>
    <row r="3623">
      <c r="A3623" s="5" t="s">
        <v>16254</v>
      </c>
      <c r="B3623" s="131" t="s">
        <v>16296</v>
      </c>
      <c r="C3623" s="40" t="s">
        <v>16297</v>
      </c>
      <c r="D3623" s="11"/>
      <c r="E3623" s="11" t="s">
        <v>9283</v>
      </c>
      <c r="F3623" s="90">
        <v>1000.0</v>
      </c>
      <c r="G3623" s="321"/>
      <c r="H3623" s="11" t="s">
        <v>16298</v>
      </c>
      <c r="I3623" s="276"/>
      <c r="J3623" s="11" t="s">
        <v>25</v>
      </c>
      <c r="K3623" s="13"/>
      <c r="L3623" s="13"/>
      <c r="M3623" s="14"/>
      <c r="N3623" s="15"/>
      <c r="O3623" s="5" t="s">
        <v>26</v>
      </c>
      <c r="P3623" s="15"/>
      <c r="Q3623" s="15"/>
      <c r="R3623" s="422"/>
      <c r="S3623" s="15"/>
      <c r="T3623" s="15"/>
      <c r="U3623" s="15"/>
      <c r="V3623" s="15"/>
      <c r="W3623" s="15"/>
      <c r="X3623" s="15"/>
      <c r="Y3623" s="15"/>
      <c r="Z3623" s="15"/>
      <c r="AA3623" s="15"/>
    </row>
    <row r="3624">
      <c r="A3624" s="5" t="s">
        <v>16254</v>
      </c>
      <c r="B3624" s="131" t="s">
        <v>16299</v>
      </c>
      <c r="C3624" s="40" t="s">
        <v>16300</v>
      </c>
      <c r="D3624" s="11"/>
      <c r="E3624" s="11" t="s">
        <v>2402</v>
      </c>
      <c r="F3624" s="90">
        <v>50.0</v>
      </c>
      <c r="G3624" s="321"/>
      <c r="H3624" s="11" t="s">
        <v>44</v>
      </c>
      <c r="I3624" s="276"/>
      <c r="J3624" s="11" t="s">
        <v>25</v>
      </c>
      <c r="K3624" s="13"/>
      <c r="L3624" s="13"/>
      <c r="M3624" s="14"/>
      <c r="N3624" s="15"/>
      <c r="O3624" s="5" t="s">
        <v>14119</v>
      </c>
      <c r="P3624" s="15"/>
      <c r="Q3624" s="15"/>
      <c r="R3624" s="422"/>
      <c r="S3624" s="15"/>
      <c r="T3624" s="15"/>
      <c r="U3624" s="15"/>
      <c r="V3624" s="15"/>
      <c r="W3624" s="15"/>
      <c r="X3624" s="15"/>
      <c r="Y3624" s="15"/>
      <c r="Z3624" s="15"/>
      <c r="AA3624" s="15"/>
    </row>
    <row r="3625">
      <c r="A3625" s="5" t="s">
        <v>16254</v>
      </c>
      <c r="B3625" s="131" t="s">
        <v>16301</v>
      </c>
      <c r="C3625" s="40" t="s">
        <v>1946</v>
      </c>
      <c r="D3625" s="11"/>
      <c r="E3625" s="11" t="s">
        <v>3412</v>
      </c>
      <c r="F3625" s="90">
        <v>3000.0</v>
      </c>
      <c r="G3625" s="321"/>
      <c r="H3625" s="11" t="s">
        <v>44</v>
      </c>
      <c r="I3625" s="276"/>
      <c r="J3625" s="11" t="s">
        <v>25</v>
      </c>
      <c r="K3625" s="13"/>
      <c r="L3625" s="13"/>
      <c r="M3625" s="14"/>
      <c r="N3625" s="15"/>
      <c r="O3625" s="5" t="s">
        <v>26</v>
      </c>
      <c r="P3625" s="15"/>
      <c r="Q3625" s="15"/>
      <c r="R3625" s="422"/>
      <c r="S3625" s="15"/>
      <c r="T3625" s="15"/>
      <c r="U3625" s="15"/>
      <c r="V3625" s="15"/>
      <c r="W3625" s="15"/>
      <c r="X3625" s="15"/>
      <c r="Y3625" s="15"/>
      <c r="Z3625" s="15"/>
      <c r="AA3625" s="15"/>
    </row>
    <row r="3626">
      <c r="A3626" s="5" t="s">
        <v>16254</v>
      </c>
      <c r="B3626" s="131" t="s">
        <v>16302</v>
      </c>
      <c r="C3626" s="40" t="s">
        <v>16303</v>
      </c>
      <c r="D3626" s="11"/>
      <c r="E3626" s="11" t="s">
        <v>5293</v>
      </c>
      <c r="F3626" s="90">
        <v>500.0</v>
      </c>
      <c r="G3626" s="321"/>
      <c r="H3626" s="11" t="s">
        <v>906</v>
      </c>
      <c r="I3626" s="276"/>
      <c r="J3626" s="11" t="s">
        <v>4008</v>
      </c>
      <c r="K3626" s="12"/>
      <c r="L3626" s="12"/>
      <c r="M3626" s="11" t="s">
        <v>12825</v>
      </c>
      <c r="N3626" s="5" t="s">
        <v>16304</v>
      </c>
      <c r="O3626" s="5" t="s">
        <v>108</v>
      </c>
      <c r="P3626" s="15"/>
      <c r="Q3626" s="15"/>
      <c r="R3626" s="422"/>
      <c r="S3626" s="15"/>
      <c r="T3626" s="15"/>
      <c r="U3626" s="15"/>
      <c r="V3626" s="15"/>
      <c r="W3626" s="15"/>
      <c r="X3626" s="15"/>
      <c r="Y3626" s="15"/>
      <c r="Z3626" s="15"/>
      <c r="AA3626" s="15"/>
    </row>
    <row r="3627">
      <c r="A3627" s="5" t="s">
        <v>16305</v>
      </c>
      <c r="B3627" s="131" t="s">
        <v>16306</v>
      </c>
      <c r="C3627" s="40" t="s">
        <v>16307</v>
      </c>
      <c r="D3627" s="11"/>
      <c r="E3627" s="11" t="s">
        <v>5244</v>
      </c>
      <c r="F3627" s="90">
        <v>6000.0</v>
      </c>
      <c r="G3627" s="321"/>
      <c r="H3627" s="11" t="s">
        <v>16308</v>
      </c>
      <c r="I3627" s="423"/>
      <c r="J3627" s="14"/>
      <c r="K3627" s="12"/>
      <c r="L3627" s="12"/>
      <c r="M3627" s="11" t="s">
        <v>15366</v>
      </c>
      <c r="N3627" s="5" t="s">
        <v>16309</v>
      </c>
      <c r="O3627" s="5" t="s">
        <v>108</v>
      </c>
      <c r="P3627" s="15"/>
      <c r="Q3627" s="15"/>
      <c r="R3627" s="422"/>
      <c r="S3627" s="15"/>
      <c r="T3627" s="15"/>
      <c r="U3627" s="15"/>
      <c r="V3627" s="15"/>
      <c r="W3627" s="15"/>
      <c r="X3627" s="15"/>
      <c r="Y3627" s="15"/>
      <c r="Z3627" s="15"/>
      <c r="AA3627" s="15"/>
    </row>
    <row r="3628">
      <c r="A3628" s="5" t="s">
        <v>16305</v>
      </c>
      <c r="B3628" s="131" t="s">
        <v>16310</v>
      </c>
      <c r="C3628" s="40" t="s">
        <v>16311</v>
      </c>
      <c r="D3628" s="11"/>
      <c r="E3628" s="11" t="s">
        <v>16312</v>
      </c>
      <c r="F3628" s="90">
        <v>1000.0</v>
      </c>
      <c r="G3628" s="321"/>
      <c r="H3628" s="11" t="s">
        <v>16313</v>
      </c>
      <c r="I3628" s="423"/>
      <c r="J3628" s="14"/>
      <c r="K3628" s="13"/>
      <c r="L3628" s="13"/>
      <c r="M3628" s="14"/>
      <c r="N3628" s="15"/>
      <c r="O3628" s="5" t="s">
        <v>108</v>
      </c>
      <c r="P3628" s="15"/>
      <c r="Q3628" s="15"/>
      <c r="R3628" s="422"/>
      <c r="S3628" s="15"/>
      <c r="T3628" s="15"/>
      <c r="U3628" s="15"/>
      <c r="V3628" s="15"/>
      <c r="W3628" s="15"/>
      <c r="X3628" s="15"/>
      <c r="Y3628" s="15"/>
      <c r="Z3628" s="15"/>
      <c r="AA3628" s="15"/>
    </row>
    <row r="3629">
      <c r="A3629" s="5" t="s">
        <v>16305</v>
      </c>
      <c r="B3629" s="131" t="s">
        <v>16314</v>
      </c>
      <c r="C3629" s="40" t="s">
        <v>16315</v>
      </c>
      <c r="D3629" s="11"/>
      <c r="E3629" s="11" t="s">
        <v>178</v>
      </c>
      <c r="F3629" s="9">
        <v>20000.0</v>
      </c>
      <c r="G3629" s="321"/>
      <c r="H3629" s="11" t="s">
        <v>16316</v>
      </c>
      <c r="I3629" s="423"/>
      <c r="J3629" s="14"/>
      <c r="K3629" s="13"/>
      <c r="L3629" s="13"/>
      <c r="M3629" s="14"/>
      <c r="N3629" s="15"/>
      <c r="O3629" s="5" t="s">
        <v>26</v>
      </c>
      <c r="P3629" s="15"/>
      <c r="Q3629" s="15"/>
      <c r="R3629" s="422"/>
      <c r="S3629" s="15"/>
      <c r="T3629" s="15"/>
      <c r="U3629" s="15"/>
      <c r="V3629" s="15"/>
      <c r="W3629" s="15"/>
      <c r="X3629" s="15"/>
      <c r="Y3629" s="15"/>
      <c r="Z3629" s="15"/>
      <c r="AA3629" s="15"/>
    </row>
    <row r="3630">
      <c r="A3630" s="5" t="s">
        <v>16305</v>
      </c>
      <c r="B3630" s="131" t="s">
        <v>16314</v>
      </c>
      <c r="C3630" s="40" t="s">
        <v>16317</v>
      </c>
      <c r="D3630" s="11"/>
      <c r="E3630" s="11" t="s">
        <v>2897</v>
      </c>
      <c r="F3630" s="90">
        <v>200.0</v>
      </c>
      <c r="G3630" s="321"/>
      <c r="H3630" s="11" t="s">
        <v>906</v>
      </c>
      <c r="I3630" s="423"/>
      <c r="J3630" s="14"/>
      <c r="K3630" s="12"/>
      <c r="L3630" s="12"/>
      <c r="M3630" s="11" t="s">
        <v>16318</v>
      </c>
      <c r="N3630" s="5" t="s">
        <v>16319</v>
      </c>
      <c r="O3630" s="5" t="s">
        <v>108</v>
      </c>
      <c r="P3630" s="15"/>
      <c r="Q3630" s="15"/>
      <c r="R3630" s="422"/>
      <c r="S3630" s="15"/>
      <c r="T3630" s="15"/>
      <c r="U3630" s="15"/>
      <c r="V3630" s="15"/>
      <c r="W3630" s="15"/>
      <c r="X3630" s="15"/>
      <c r="Y3630" s="15"/>
      <c r="Z3630" s="15"/>
      <c r="AA3630" s="15"/>
    </row>
    <row r="3631">
      <c r="A3631" s="5" t="s">
        <v>16305</v>
      </c>
      <c r="B3631" s="131" t="s">
        <v>16320</v>
      </c>
      <c r="C3631" s="40" t="s">
        <v>16321</v>
      </c>
      <c r="D3631" s="11"/>
      <c r="E3631" s="11" t="s">
        <v>167</v>
      </c>
      <c r="F3631" s="9">
        <v>20000.0</v>
      </c>
      <c r="G3631" s="321"/>
      <c r="H3631" s="11" t="s">
        <v>2662</v>
      </c>
      <c r="I3631" s="423"/>
      <c r="J3631" s="14"/>
      <c r="K3631" s="12"/>
      <c r="L3631" s="12"/>
      <c r="M3631" s="11" t="s">
        <v>7718</v>
      </c>
      <c r="N3631" s="5" t="s">
        <v>16322</v>
      </c>
      <c r="O3631" s="5" t="s">
        <v>108</v>
      </c>
      <c r="P3631" s="15"/>
      <c r="Q3631" s="15"/>
      <c r="R3631" s="422"/>
      <c r="S3631" s="15"/>
      <c r="T3631" s="15"/>
      <c r="U3631" s="15"/>
      <c r="V3631" s="15"/>
      <c r="W3631" s="15"/>
      <c r="X3631" s="15"/>
      <c r="Y3631" s="15"/>
      <c r="Z3631" s="15"/>
      <c r="AA3631" s="15"/>
    </row>
    <row r="3632">
      <c r="A3632" s="5" t="s">
        <v>16305</v>
      </c>
      <c r="B3632" s="131" t="s">
        <v>16323</v>
      </c>
      <c r="C3632" s="40" t="s">
        <v>16324</v>
      </c>
      <c r="D3632" s="11"/>
      <c r="E3632" s="11" t="s">
        <v>152</v>
      </c>
      <c r="F3632" s="90">
        <v>300.0</v>
      </c>
      <c r="G3632" s="321"/>
      <c r="H3632" s="11" t="s">
        <v>16325</v>
      </c>
      <c r="I3632" s="276"/>
      <c r="J3632" s="11" t="s">
        <v>16326</v>
      </c>
      <c r="K3632" s="13"/>
      <c r="L3632" s="13"/>
      <c r="M3632" s="14"/>
      <c r="N3632" s="15"/>
      <c r="O3632" s="5" t="s">
        <v>108</v>
      </c>
      <c r="P3632" s="15"/>
      <c r="Q3632" s="15"/>
      <c r="R3632" s="422"/>
      <c r="S3632" s="15"/>
      <c r="T3632" s="15"/>
      <c r="U3632" s="15"/>
      <c r="V3632" s="15"/>
      <c r="W3632" s="15"/>
      <c r="X3632" s="15"/>
      <c r="Y3632" s="15"/>
      <c r="Z3632" s="15"/>
      <c r="AA3632" s="15"/>
    </row>
    <row r="3633">
      <c r="A3633" s="5" t="s">
        <v>16305</v>
      </c>
      <c r="B3633" s="131" t="s">
        <v>16327</v>
      </c>
      <c r="C3633" s="40" t="s">
        <v>16328</v>
      </c>
      <c r="D3633" s="11"/>
      <c r="E3633" s="11" t="s">
        <v>152</v>
      </c>
      <c r="F3633" s="9">
        <v>20000.0</v>
      </c>
      <c r="G3633" s="321"/>
      <c r="H3633" s="11" t="s">
        <v>16329</v>
      </c>
      <c r="I3633" s="423"/>
      <c r="J3633" s="14"/>
      <c r="K3633" s="12"/>
      <c r="L3633" s="12"/>
      <c r="M3633" s="11" t="s">
        <v>9776</v>
      </c>
      <c r="N3633" s="5" t="s">
        <v>16330</v>
      </c>
      <c r="O3633" s="5" t="s">
        <v>26</v>
      </c>
      <c r="P3633" s="15"/>
      <c r="Q3633" s="15"/>
      <c r="R3633" s="422"/>
      <c r="S3633" s="15"/>
      <c r="T3633" s="15"/>
      <c r="U3633" s="15"/>
      <c r="V3633" s="15"/>
      <c r="W3633" s="15"/>
      <c r="X3633" s="15"/>
      <c r="Y3633" s="15"/>
      <c r="Z3633" s="15"/>
      <c r="AA3633" s="15"/>
    </row>
    <row r="3634">
      <c r="A3634" s="5" t="s">
        <v>16305</v>
      </c>
      <c r="B3634" s="131" t="s">
        <v>16331</v>
      </c>
      <c r="C3634" s="40" t="s">
        <v>16332</v>
      </c>
      <c r="D3634" s="11"/>
      <c r="E3634" s="11" t="s">
        <v>8931</v>
      </c>
      <c r="F3634" s="90">
        <v>100.0</v>
      </c>
      <c r="G3634" s="321"/>
      <c r="H3634" s="11" t="s">
        <v>15893</v>
      </c>
      <c r="I3634" s="423"/>
      <c r="J3634" s="14"/>
      <c r="K3634" s="13"/>
      <c r="L3634" s="13"/>
      <c r="M3634" s="14"/>
      <c r="N3634" s="15"/>
      <c r="O3634" s="5" t="s">
        <v>14119</v>
      </c>
      <c r="P3634" s="15"/>
      <c r="Q3634" s="15"/>
      <c r="R3634" s="422"/>
      <c r="S3634" s="15"/>
      <c r="T3634" s="15"/>
      <c r="U3634" s="15"/>
      <c r="V3634" s="15"/>
      <c r="W3634" s="15"/>
      <c r="X3634" s="15"/>
      <c r="Y3634" s="15"/>
      <c r="Z3634" s="15"/>
      <c r="AA3634" s="15"/>
    </row>
    <row r="3635">
      <c r="A3635" s="5" t="s">
        <v>16305</v>
      </c>
      <c r="B3635" s="131" t="s">
        <v>16333</v>
      </c>
      <c r="C3635" s="40" t="s">
        <v>16334</v>
      </c>
      <c r="D3635" s="11"/>
      <c r="E3635" s="11" t="s">
        <v>7897</v>
      </c>
      <c r="F3635" s="90">
        <v>4000.0</v>
      </c>
      <c r="G3635" s="321"/>
      <c r="H3635" s="11" t="s">
        <v>1461</v>
      </c>
      <c r="I3635" s="423"/>
      <c r="J3635" s="14"/>
      <c r="K3635" s="12"/>
      <c r="L3635" s="12"/>
      <c r="M3635" s="11" t="s">
        <v>10768</v>
      </c>
      <c r="N3635" s="5" t="s">
        <v>16335</v>
      </c>
      <c r="O3635" s="5" t="s">
        <v>108</v>
      </c>
      <c r="P3635" s="15"/>
      <c r="Q3635" s="15"/>
      <c r="R3635" s="422"/>
      <c r="S3635" s="15"/>
      <c r="T3635" s="15"/>
      <c r="U3635" s="15"/>
      <c r="V3635" s="15"/>
      <c r="W3635" s="15"/>
      <c r="X3635" s="15"/>
      <c r="Y3635" s="15"/>
      <c r="Z3635" s="15"/>
      <c r="AA3635" s="15"/>
    </row>
    <row r="3636">
      <c r="A3636" s="5" t="s">
        <v>16305</v>
      </c>
      <c r="B3636" s="131" t="s">
        <v>16336</v>
      </c>
      <c r="C3636" s="40" t="s">
        <v>16337</v>
      </c>
      <c r="D3636" s="11"/>
      <c r="E3636" s="11" t="s">
        <v>11184</v>
      </c>
      <c r="F3636" s="90">
        <v>250.0</v>
      </c>
      <c r="G3636" s="321"/>
      <c r="H3636" s="11" t="s">
        <v>2682</v>
      </c>
      <c r="I3636" s="423"/>
      <c r="J3636" s="14"/>
      <c r="K3636" s="13"/>
      <c r="L3636" s="13"/>
      <c r="M3636" s="14"/>
      <c r="N3636" s="15"/>
      <c r="O3636" s="5" t="s">
        <v>14119</v>
      </c>
      <c r="P3636" s="15"/>
      <c r="Q3636" s="15"/>
      <c r="R3636" s="422"/>
      <c r="S3636" s="15"/>
      <c r="T3636" s="15"/>
      <c r="U3636" s="15"/>
      <c r="V3636" s="15"/>
      <c r="W3636" s="15"/>
      <c r="X3636" s="15"/>
      <c r="Y3636" s="15"/>
      <c r="Z3636" s="15"/>
      <c r="AA3636" s="15"/>
    </row>
    <row r="3637">
      <c r="A3637" s="5" t="s">
        <v>16338</v>
      </c>
      <c r="B3637" s="131" t="s">
        <v>16339</v>
      </c>
      <c r="C3637" s="40" t="s">
        <v>16340</v>
      </c>
      <c r="D3637" s="11"/>
      <c r="E3637" s="11" t="s">
        <v>794</v>
      </c>
      <c r="F3637" s="90">
        <v>2000.0</v>
      </c>
      <c r="G3637" s="321"/>
      <c r="H3637" s="11" t="s">
        <v>16341</v>
      </c>
      <c r="I3637" s="423"/>
      <c r="J3637" s="14"/>
      <c r="K3637" s="12"/>
      <c r="L3637" s="12"/>
      <c r="M3637" s="11" t="s">
        <v>7651</v>
      </c>
      <c r="N3637" s="5" t="s">
        <v>16342</v>
      </c>
      <c r="O3637" s="5" t="s">
        <v>26</v>
      </c>
      <c r="P3637" s="15"/>
      <c r="Q3637" s="15"/>
      <c r="R3637" s="422"/>
      <c r="S3637" s="15"/>
      <c r="T3637" s="15"/>
      <c r="U3637" s="15"/>
      <c r="V3637" s="15"/>
      <c r="W3637" s="15"/>
      <c r="X3637" s="15"/>
      <c r="Y3637" s="15"/>
      <c r="Z3637" s="15"/>
      <c r="AA3637" s="15"/>
    </row>
    <row r="3638">
      <c r="A3638" s="5" t="s">
        <v>16338</v>
      </c>
      <c r="B3638" s="131" t="s">
        <v>16343</v>
      </c>
      <c r="C3638" s="40" t="s">
        <v>16344</v>
      </c>
      <c r="D3638" s="11"/>
      <c r="E3638" s="11" t="s">
        <v>213</v>
      </c>
      <c r="F3638" s="90">
        <v>300.0</v>
      </c>
      <c r="G3638" s="321"/>
      <c r="H3638" s="11" t="s">
        <v>44</v>
      </c>
      <c r="I3638" s="423"/>
      <c r="J3638" s="14"/>
      <c r="K3638" s="12"/>
      <c r="L3638" s="12"/>
      <c r="M3638" s="11" t="s">
        <v>9587</v>
      </c>
      <c r="N3638" s="5" t="s">
        <v>16345</v>
      </c>
      <c r="O3638" s="5" t="s">
        <v>26</v>
      </c>
      <c r="P3638" s="15"/>
      <c r="Q3638" s="15"/>
      <c r="R3638" s="422"/>
      <c r="S3638" s="15"/>
      <c r="T3638" s="15"/>
      <c r="U3638" s="15"/>
      <c r="V3638" s="15"/>
      <c r="W3638" s="15"/>
      <c r="X3638" s="15"/>
      <c r="Y3638" s="15"/>
      <c r="Z3638" s="15"/>
      <c r="AA3638" s="15"/>
    </row>
    <row r="3639">
      <c r="A3639" s="5" t="s">
        <v>16338</v>
      </c>
      <c r="B3639" s="131" t="s">
        <v>16346</v>
      </c>
      <c r="C3639" s="40" t="s">
        <v>16347</v>
      </c>
      <c r="D3639" s="11"/>
      <c r="E3639" s="11" t="s">
        <v>9283</v>
      </c>
      <c r="F3639" s="90">
        <v>200.0</v>
      </c>
      <c r="G3639" s="321"/>
      <c r="H3639" s="11" t="s">
        <v>11480</v>
      </c>
      <c r="I3639" s="423"/>
      <c r="J3639" s="14"/>
      <c r="K3639" s="13"/>
      <c r="L3639" s="13"/>
      <c r="M3639" s="14"/>
      <c r="N3639" s="15"/>
      <c r="O3639" s="5" t="s">
        <v>14119</v>
      </c>
      <c r="P3639" s="15"/>
      <c r="Q3639" s="15"/>
      <c r="R3639" s="422"/>
      <c r="S3639" s="15"/>
      <c r="T3639" s="15"/>
      <c r="U3639" s="15"/>
      <c r="V3639" s="15"/>
      <c r="W3639" s="15"/>
      <c r="X3639" s="15"/>
      <c r="Y3639" s="15"/>
      <c r="Z3639" s="15"/>
      <c r="AA3639" s="15"/>
    </row>
    <row r="3640">
      <c r="A3640" s="5" t="s">
        <v>16338</v>
      </c>
      <c r="B3640" s="131" t="s">
        <v>16348</v>
      </c>
      <c r="C3640" s="40" t="s">
        <v>16349</v>
      </c>
      <c r="D3640" s="11"/>
      <c r="E3640" s="11" t="s">
        <v>3049</v>
      </c>
      <c r="F3640" s="9">
        <v>10000.0</v>
      </c>
      <c r="G3640" s="321"/>
      <c r="H3640" s="11" t="s">
        <v>7768</v>
      </c>
      <c r="I3640" s="276"/>
      <c r="J3640" s="11" t="s">
        <v>25</v>
      </c>
      <c r="K3640" s="12"/>
      <c r="L3640" s="12"/>
      <c r="M3640" s="11" t="s">
        <v>16350</v>
      </c>
      <c r="N3640" s="5" t="s">
        <v>16351</v>
      </c>
      <c r="O3640" s="5" t="s">
        <v>26</v>
      </c>
      <c r="P3640" s="15"/>
      <c r="Q3640" s="15"/>
      <c r="R3640" s="422"/>
      <c r="S3640" s="15"/>
      <c r="T3640" s="15"/>
      <c r="U3640" s="15"/>
      <c r="V3640" s="15"/>
      <c r="W3640" s="15"/>
      <c r="X3640" s="15"/>
      <c r="Y3640" s="15"/>
      <c r="Z3640" s="15"/>
      <c r="AA3640" s="15"/>
    </row>
    <row r="3641">
      <c r="A3641" s="5" t="s">
        <v>16338</v>
      </c>
      <c r="B3641" s="131" t="s">
        <v>16352</v>
      </c>
      <c r="C3641" s="40" t="s">
        <v>16353</v>
      </c>
      <c r="D3641" s="11"/>
      <c r="E3641" s="11" t="s">
        <v>523</v>
      </c>
      <c r="F3641" s="90">
        <v>50.0</v>
      </c>
      <c r="G3641" s="321"/>
      <c r="H3641" s="11" t="s">
        <v>44</v>
      </c>
      <c r="I3641" s="423"/>
      <c r="J3641" s="14"/>
      <c r="K3641" s="13"/>
      <c r="L3641" s="13"/>
      <c r="M3641" s="14"/>
      <c r="N3641" s="15"/>
      <c r="O3641" s="5" t="s">
        <v>14119</v>
      </c>
      <c r="P3641" s="15"/>
      <c r="Q3641" s="15"/>
      <c r="R3641" s="422"/>
      <c r="S3641" s="15"/>
      <c r="T3641" s="15"/>
      <c r="U3641" s="15"/>
      <c r="V3641" s="15"/>
      <c r="W3641" s="15"/>
      <c r="X3641" s="15"/>
      <c r="Y3641" s="15"/>
      <c r="Z3641" s="15"/>
      <c r="AA3641" s="15"/>
    </row>
    <row r="3642">
      <c r="A3642" s="5" t="s">
        <v>16338</v>
      </c>
      <c r="B3642" s="131" t="s">
        <v>16354</v>
      </c>
      <c r="C3642" s="40" t="s">
        <v>12099</v>
      </c>
      <c r="D3642" s="11"/>
      <c r="E3642" s="11" t="s">
        <v>16165</v>
      </c>
      <c r="F3642" s="90">
        <v>200.0</v>
      </c>
      <c r="G3642" s="321"/>
      <c r="H3642" s="11" t="s">
        <v>16355</v>
      </c>
      <c r="I3642" s="276"/>
      <c r="J3642" s="11" t="s">
        <v>16356</v>
      </c>
      <c r="K3642" s="13"/>
      <c r="L3642" s="13"/>
      <c r="M3642" s="14"/>
      <c r="N3642" s="15"/>
      <c r="O3642" s="5" t="s">
        <v>14119</v>
      </c>
      <c r="P3642" s="15"/>
      <c r="Q3642" s="15"/>
      <c r="R3642" s="422"/>
      <c r="S3642" s="15"/>
      <c r="T3642" s="15"/>
      <c r="U3642" s="15"/>
      <c r="V3642" s="15"/>
      <c r="W3642" s="15"/>
      <c r="X3642" s="15"/>
      <c r="Y3642" s="15"/>
      <c r="Z3642" s="15"/>
      <c r="AA3642" s="15"/>
    </row>
    <row r="3643">
      <c r="A3643" s="5" t="s">
        <v>16338</v>
      </c>
      <c r="B3643" s="131" t="s">
        <v>16357</v>
      </c>
      <c r="C3643" s="40" t="s">
        <v>16358</v>
      </c>
      <c r="D3643" s="11"/>
      <c r="E3643" s="11" t="s">
        <v>3073</v>
      </c>
      <c r="F3643" s="90" t="s">
        <v>14893</v>
      </c>
      <c r="G3643" s="321"/>
      <c r="H3643" s="11" t="s">
        <v>15275</v>
      </c>
      <c r="I3643" s="423"/>
      <c r="J3643" s="14"/>
      <c r="K3643" s="12"/>
      <c r="L3643" s="12"/>
      <c r="M3643" s="11" t="s">
        <v>12535</v>
      </c>
      <c r="N3643" s="5" t="s">
        <v>16359</v>
      </c>
      <c r="O3643" s="5" t="s">
        <v>108</v>
      </c>
      <c r="P3643" s="15"/>
      <c r="Q3643" s="15"/>
      <c r="R3643" s="422"/>
      <c r="S3643" s="15"/>
      <c r="T3643" s="15"/>
      <c r="U3643" s="15"/>
      <c r="V3643" s="15"/>
      <c r="W3643" s="15"/>
      <c r="X3643" s="15"/>
      <c r="Y3643" s="15"/>
      <c r="Z3643" s="15"/>
      <c r="AA3643" s="15"/>
    </row>
    <row r="3644">
      <c r="A3644" s="5" t="s">
        <v>16338</v>
      </c>
      <c r="B3644" s="131" t="s">
        <v>16360</v>
      </c>
      <c r="C3644" s="40" t="s">
        <v>16361</v>
      </c>
      <c r="D3644" s="11"/>
      <c r="E3644" s="11" t="s">
        <v>178</v>
      </c>
      <c r="F3644" s="9">
        <v>50000.0</v>
      </c>
      <c r="G3644" s="321"/>
      <c r="H3644" s="11" t="s">
        <v>44</v>
      </c>
      <c r="I3644" s="423"/>
      <c r="J3644" s="14"/>
      <c r="K3644" s="12"/>
      <c r="L3644" s="12"/>
      <c r="M3644" s="11" t="s">
        <v>9901</v>
      </c>
      <c r="N3644" s="5" t="s">
        <v>16362</v>
      </c>
      <c r="O3644" s="5" t="s">
        <v>26</v>
      </c>
      <c r="P3644" s="15"/>
      <c r="Q3644" s="15"/>
      <c r="R3644" s="422"/>
      <c r="S3644" s="15"/>
      <c r="T3644" s="15"/>
      <c r="U3644" s="15"/>
      <c r="V3644" s="15"/>
      <c r="W3644" s="15"/>
      <c r="X3644" s="15"/>
      <c r="Y3644" s="15"/>
      <c r="Z3644" s="15"/>
      <c r="AA3644" s="15"/>
    </row>
    <row r="3645">
      <c r="A3645" s="5" t="s">
        <v>16338</v>
      </c>
      <c r="B3645" s="131" t="s">
        <v>16363</v>
      </c>
      <c r="C3645" s="40" t="s">
        <v>16364</v>
      </c>
      <c r="D3645" s="11"/>
      <c r="E3645" s="11" t="s">
        <v>116</v>
      </c>
      <c r="F3645" s="90">
        <v>2000.0</v>
      </c>
      <c r="G3645" s="321"/>
      <c r="H3645" s="11" t="s">
        <v>12134</v>
      </c>
      <c r="I3645" s="423"/>
      <c r="J3645" s="14"/>
      <c r="K3645" s="13"/>
      <c r="L3645" s="13"/>
      <c r="M3645" s="14"/>
      <c r="N3645" s="15"/>
      <c r="O3645" s="5" t="s">
        <v>108</v>
      </c>
      <c r="P3645" s="15"/>
      <c r="Q3645" s="15"/>
      <c r="R3645" s="422"/>
      <c r="S3645" s="15"/>
      <c r="T3645" s="15"/>
      <c r="U3645" s="15"/>
      <c r="V3645" s="15"/>
      <c r="W3645" s="15"/>
      <c r="X3645" s="15"/>
      <c r="Y3645" s="15"/>
      <c r="Z3645" s="15"/>
      <c r="AA3645" s="15"/>
    </row>
    <row r="3646">
      <c r="A3646" s="5" t="s">
        <v>16338</v>
      </c>
      <c r="B3646" s="131" t="s">
        <v>16365</v>
      </c>
      <c r="C3646" s="40" t="s">
        <v>16366</v>
      </c>
      <c r="D3646" s="11"/>
      <c r="E3646" s="11" t="s">
        <v>5293</v>
      </c>
      <c r="F3646" s="90">
        <v>500.0</v>
      </c>
      <c r="G3646" s="321"/>
      <c r="H3646" s="11" t="s">
        <v>11267</v>
      </c>
      <c r="I3646" s="276"/>
      <c r="J3646" s="11" t="s">
        <v>25</v>
      </c>
      <c r="K3646" s="13"/>
      <c r="L3646" s="13"/>
      <c r="M3646" s="14"/>
      <c r="N3646" s="15"/>
      <c r="O3646" s="5" t="s">
        <v>26</v>
      </c>
      <c r="P3646" s="15"/>
      <c r="Q3646" s="15"/>
      <c r="R3646" s="422"/>
      <c r="S3646" s="15"/>
      <c r="T3646" s="15"/>
      <c r="U3646" s="15"/>
      <c r="V3646" s="15"/>
      <c r="W3646" s="15"/>
      <c r="X3646" s="15"/>
      <c r="Y3646" s="15"/>
      <c r="Z3646" s="15"/>
      <c r="AA3646" s="15"/>
    </row>
    <row r="3647">
      <c r="A3647" s="5" t="s">
        <v>16338</v>
      </c>
      <c r="B3647" s="131" t="s">
        <v>16367</v>
      </c>
      <c r="C3647" s="40" t="s">
        <v>16368</v>
      </c>
      <c r="D3647" s="11"/>
      <c r="E3647" s="11" t="s">
        <v>16369</v>
      </c>
      <c r="F3647" s="9">
        <v>10000.0</v>
      </c>
      <c r="G3647" s="321"/>
      <c r="H3647" s="11" t="s">
        <v>15303</v>
      </c>
      <c r="I3647" s="276"/>
      <c r="J3647" s="11" t="s">
        <v>25</v>
      </c>
      <c r="K3647" s="12"/>
      <c r="L3647" s="12"/>
      <c r="M3647" s="11" t="s">
        <v>16370</v>
      </c>
      <c r="N3647" s="5" t="s">
        <v>16371</v>
      </c>
      <c r="O3647" s="5" t="s">
        <v>26</v>
      </c>
      <c r="P3647" s="15"/>
      <c r="Q3647" s="15"/>
      <c r="R3647" s="422"/>
      <c r="S3647" s="15"/>
      <c r="T3647" s="15"/>
      <c r="U3647" s="15"/>
      <c r="V3647" s="15"/>
      <c r="W3647" s="15"/>
      <c r="X3647" s="15"/>
      <c r="Y3647" s="15"/>
      <c r="Z3647" s="15"/>
      <c r="AA3647" s="15"/>
    </row>
    <row r="3648">
      <c r="A3648" s="5" t="s">
        <v>16338</v>
      </c>
      <c r="B3648" s="131" t="s">
        <v>16372</v>
      </c>
      <c r="C3648" s="40" t="s">
        <v>16373</v>
      </c>
      <c r="D3648" s="11"/>
      <c r="E3648" s="11" t="s">
        <v>152</v>
      </c>
      <c r="F3648" s="90">
        <v>50.0</v>
      </c>
      <c r="G3648" s="321"/>
      <c r="H3648" s="11" t="s">
        <v>44</v>
      </c>
      <c r="I3648" s="276"/>
      <c r="J3648" s="11" t="s">
        <v>25</v>
      </c>
      <c r="K3648" s="13"/>
      <c r="L3648" s="13"/>
      <c r="M3648" s="14"/>
      <c r="N3648" s="15"/>
      <c r="O3648" s="5" t="s">
        <v>14119</v>
      </c>
      <c r="P3648" s="15"/>
      <c r="Q3648" s="15"/>
      <c r="R3648" s="422"/>
      <c r="S3648" s="15"/>
      <c r="T3648" s="15"/>
      <c r="U3648" s="15"/>
      <c r="V3648" s="15"/>
      <c r="W3648" s="15"/>
      <c r="X3648" s="15"/>
      <c r="Y3648" s="15"/>
      <c r="Z3648" s="15"/>
      <c r="AA3648" s="15"/>
    </row>
    <row r="3649">
      <c r="A3649" s="5" t="s">
        <v>16338</v>
      </c>
      <c r="B3649" s="131" t="s">
        <v>16374</v>
      </c>
      <c r="C3649" s="40" t="s">
        <v>16375</v>
      </c>
      <c r="D3649" s="11"/>
      <c r="E3649" s="11" t="s">
        <v>7897</v>
      </c>
      <c r="F3649" s="9">
        <v>20000.0</v>
      </c>
      <c r="G3649" s="321"/>
      <c r="H3649" s="11" t="s">
        <v>16376</v>
      </c>
      <c r="I3649" s="276"/>
      <c r="J3649" s="11" t="s">
        <v>25</v>
      </c>
      <c r="K3649" s="12"/>
      <c r="L3649" s="12"/>
      <c r="M3649" s="11" t="s">
        <v>9104</v>
      </c>
      <c r="N3649" s="5" t="s">
        <v>16377</v>
      </c>
      <c r="O3649" s="5" t="s">
        <v>108</v>
      </c>
      <c r="P3649" s="15"/>
      <c r="Q3649" s="15"/>
      <c r="R3649" s="422"/>
      <c r="S3649" s="15"/>
      <c r="T3649" s="15"/>
      <c r="U3649" s="15"/>
      <c r="V3649" s="15"/>
      <c r="W3649" s="15"/>
      <c r="X3649" s="15"/>
      <c r="Y3649" s="15"/>
      <c r="Z3649" s="15"/>
      <c r="AA3649" s="15"/>
    </row>
    <row r="3650">
      <c r="A3650" s="5" t="s">
        <v>16338</v>
      </c>
      <c r="B3650" s="131" t="s">
        <v>16378</v>
      </c>
      <c r="C3650" s="40" t="s">
        <v>16379</v>
      </c>
      <c r="D3650" s="11"/>
      <c r="E3650" s="11" t="s">
        <v>116</v>
      </c>
      <c r="F3650" s="90">
        <v>200.0</v>
      </c>
      <c r="G3650" s="321"/>
      <c r="H3650" s="11" t="s">
        <v>16380</v>
      </c>
      <c r="I3650" s="276"/>
      <c r="J3650" s="11" t="s">
        <v>12841</v>
      </c>
      <c r="K3650" s="12"/>
      <c r="L3650" s="12"/>
      <c r="M3650" s="11" t="s">
        <v>14463</v>
      </c>
      <c r="N3650" s="5" t="s">
        <v>16381</v>
      </c>
      <c r="O3650" s="5" t="s">
        <v>108</v>
      </c>
      <c r="P3650" s="15"/>
      <c r="Q3650" s="15"/>
      <c r="R3650" s="422"/>
      <c r="S3650" s="15"/>
      <c r="T3650" s="15"/>
      <c r="U3650" s="15"/>
      <c r="V3650" s="15"/>
      <c r="W3650" s="15"/>
      <c r="X3650" s="15"/>
      <c r="Y3650" s="15"/>
      <c r="Z3650" s="15"/>
      <c r="AA3650" s="15"/>
    </row>
    <row r="3651">
      <c r="A3651" s="5" t="s">
        <v>16338</v>
      </c>
      <c r="B3651" s="131" t="s">
        <v>16382</v>
      </c>
      <c r="C3651" s="40" t="s">
        <v>16383</v>
      </c>
      <c r="D3651" s="11"/>
      <c r="E3651" s="11" t="s">
        <v>14607</v>
      </c>
      <c r="F3651" s="9">
        <v>200000.0</v>
      </c>
      <c r="G3651" s="321"/>
      <c r="H3651" s="11" t="s">
        <v>15259</v>
      </c>
      <c r="I3651" s="276"/>
      <c r="J3651" s="11" t="s">
        <v>8773</v>
      </c>
      <c r="K3651" s="13"/>
      <c r="L3651" s="13"/>
      <c r="M3651" s="14"/>
      <c r="N3651" s="15"/>
      <c r="O3651" s="5" t="s">
        <v>26</v>
      </c>
      <c r="P3651" s="15"/>
      <c r="Q3651" s="15"/>
      <c r="R3651" s="422"/>
      <c r="S3651" s="15"/>
      <c r="T3651" s="15"/>
      <c r="U3651" s="15"/>
      <c r="V3651" s="15"/>
      <c r="W3651" s="15"/>
      <c r="X3651" s="15"/>
      <c r="Y3651" s="15"/>
      <c r="Z3651" s="15"/>
      <c r="AA3651" s="15"/>
    </row>
    <row r="3652">
      <c r="A3652" s="5" t="s">
        <v>16384</v>
      </c>
      <c r="B3652" s="131" t="s">
        <v>16385</v>
      </c>
      <c r="C3652" s="40" t="s">
        <v>16386</v>
      </c>
      <c r="D3652" s="11"/>
      <c r="E3652" s="11" t="s">
        <v>147</v>
      </c>
      <c r="F3652" s="9">
        <v>20000.0</v>
      </c>
      <c r="G3652" s="321"/>
      <c r="H3652" s="11" t="s">
        <v>467</v>
      </c>
      <c r="I3652" s="276"/>
      <c r="J3652" s="11" t="s">
        <v>12882</v>
      </c>
      <c r="K3652" s="12"/>
      <c r="L3652" s="12"/>
      <c r="M3652" s="11" t="s">
        <v>9445</v>
      </c>
      <c r="N3652" s="5" t="s">
        <v>16387</v>
      </c>
      <c r="O3652" s="5" t="s">
        <v>108</v>
      </c>
      <c r="P3652" s="15"/>
      <c r="Q3652" s="15"/>
      <c r="R3652" s="422"/>
      <c r="S3652" s="15"/>
      <c r="T3652" s="15"/>
      <c r="U3652" s="15"/>
      <c r="V3652" s="15"/>
      <c r="W3652" s="15"/>
      <c r="X3652" s="15"/>
      <c r="Y3652" s="15"/>
      <c r="Z3652" s="15"/>
      <c r="AA3652" s="15"/>
    </row>
    <row r="3653">
      <c r="A3653" s="5" t="s">
        <v>16384</v>
      </c>
      <c r="B3653" s="131" t="s">
        <v>16388</v>
      </c>
      <c r="C3653" s="40" t="s">
        <v>16389</v>
      </c>
      <c r="D3653" s="11"/>
      <c r="E3653" s="11" t="s">
        <v>14399</v>
      </c>
      <c r="F3653" s="90">
        <v>400.0</v>
      </c>
      <c r="G3653" s="321"/>
      <c r="H3653" s="11" t="s">
        <v>44</v>
      </c>
      <c r="I3653" s="423"/>
      <c r="J3653" s="14"/>
      <c r="K3653" s="13"/>
      <c r="L3653" s="13"/>
      <c r="M3653" s="14"/>
      <c r="N3653" s="15"/>
      <c r="O3653" s="5" t="s">
        <v>26</v>
      </c>
      <c r="P3653" s="15"/>
      <c r="Q3653" s="15"/>
      <c r="R3653" s="422"/>
      <c r="S3653" s="15"/>
      <c r="T3653" s="15"/>
      <c r="U3653" s="15"/>
      <c r="V3653" s="15"/>
      <c r="W3653" s="15"/>
      <c r="X3653" s="15"/>
      <c r="Y3653" s="15"/>
      <c r="Z3653" s="15"/>
      <c r="AA3653" s="15"/>
    </row>
    <row r="3654">
      <c r="A3654" s="5" t="s">
        <v>16384</v>
      </c>
      <c r="B3654" s="131" t="s">
        <v>16390</v>
      </c>
      <c r="C3654" s="40" t="s">
        <v>10376</v>
      </c>
      <c r="D3654" s="11"/>
      <c r="E3654" s="11" t="s">
        <v>16391</v>
      </c>
      <c r="F3654" s="90">
        <v>50.0</v>
      </c>
      <c r="G3654" s="321"/>
      <c r="H3654" s="11" t="s">
        <v>44</v>
      </c>
      <c r="I3654" s="423"/>
      <c r="J3654" s="14"/>
      <c r="K3654" s="13"/>
      <c r="L3654" s="13"/>
      <c r="M3654" s="14"/>
      <c r="N3654" s="15"/>
      <c r="O3654" s="5" t="s">
        <v>14119</v>
      </c>
      <c r="P3654" s="15"/>
      <c r="Q3654" s="15"/>
      <c r="R3654" s="422"/>
      <c r="S3654" s="15"/>
      <c r="T3654" s="15"/>
      <c r="U3654" s="15"/>
      <c r="V3654" s="15"/>
      <c r="W3654" s="15"/>
      <c r="X3654" s="15"/>
      <c r="Y3654" s="15"/>
      <c r="Z3654" s="15"/>
      <c r="AA3654" s="15"/>
    </row>
    <row r="3655">
      <c r="A3655" s="5" t="s">
        <v>16384</v>
      </c>
      <c r="B3655" s="131" t="s">
        <v>16392</v>
      </c>
      <c r="C3655" s="40" t="s">
        <v>16393</v>
      </c>
      <c r="D3655" s="11"/>
      <c r="E3655" s="11" t="s">
        <v>1749</v>
      </c>
      <c r="F3655" s="90">
        <v>50.0</v>
      </c>
      <c r="G3655" s="321"/>
      <c r="H3655" s="11" t="s">
        <v>3167</v>
      </c>
      <c r="I3655" s="423"/>
      <c r="J3655" s="14"/>
      <c r="K3655" s="13"/>
      <c r="L3655" s="13"/>
      <c r="M3655" s="14"/>
      <c r="N3655" s="15"/>
      <c r="O3655" s="5" t="s">
        <v>14119</v>
      </c>
      <c r="P3655" s="15"/>
      <c r="Q3655" s="15"/>
      <c r="R3655" s="422"/>
      <c r="S3655" s="15"/>
      <c r="T3655" s="15"/>
      <c r="U3655" s="15"/>
      <c r="V3655" s="15"/>
      <c r="W3655" s="15"/>
      <c r="X3655" s="15"/>
      <c r="Y3655" s="15"/>
      <c r="Z3655" s="15"/>
      <c r="AA3655" s="15"/>
    </row>
    <row r="3656">
      <c r="A3656" s="5" t="s">
        <v>16384</v>
      </c>
      <c r="B3656" s="131" t="s">
        <v>16394</v>
      </c>
      <c r="C3656" s="40" t="s">
        <v>16395</v>
      </c>
      <c r="D3656" s="11"/>
      <c r="E3656" s="11" t="s">
        <v>1930</v>
      </c>
      <c r="F3656" s="90">
        <v>400.0</v>
      </c>
      <c r="G3656" s="321"/>
      <c r="H3656" s="11" t="s">
        <v>11480</v>
      </c>
      <c r="I3656" s="276"/>
      <c r="J3656" s="11" t="s">
        <v>25</v>
      </c>
      <c r="K3656" s="13"/>
      <c r="L3656" s="13"/>
      <c r="M3656" s="14"/>
      <c r="N3656" s="15"/>
      <c r="O3656" s="5" t="s">
        <v>26</v>
      </c>
      <c r="P3656" s="15"/>
      <c r="Q3656" s="15"/>
      <c r="R3656" s="422"/>
      <c r="S3656" s="15"/>
      <c r="T3656" s="15"/>
      <c r="U3656" s="15"/>
      <c r="V3656" s="15"/>
      <c r="W3656" s="15"/>
      <c r="X3656" s="15"/>
      <c r="Y3656" s="15"/>
      <c r="Z3656" s="15"/>
      <c r="AA3656" s="15"/>
    </row>
    <row r="3657">
      <c r="A3657" s="5" t="s">
        <v>16384</v>
      </c>
      <c r="B3657" s="131" t="s">
        <v>16396</v>
      </c>
      <c r="C3657" s="40" t="s">
        <v>16397</v>
      </c>
      <c r="D3657" s="11"/>
      <c r="E3657" s="11" t="s">
        <v>10404</v>
      </c>
      <c r="F3657" s="90">
        <v>200.0</v>
      </c>
      <c r="G3657" s="321"/>
      <c r="H3657" s="11" t="s">
        <v>11810</v>
      </c>
      <c r="I3657" s="276"/>
      <c r="J3657" s="11" t="s">
        <v>7221</v>
      </c>
      <c r="K3657" s="12"/>
      <c r="L3657" s="12"/>
      <c r="M3657" s="11" t="s">
        <v>10721</v>
      </c>
      <c r="N3657" s="5" t="s">
        <v>16398</v>
      </c>
      <c r="O3657" s="5" t="s">
        <v>14119</v>
      </c>
      <c r="P3657" s="15"/>
      <c r="Q3657" s="15"/>
      <c r="R3657" s="422"/>
      <c r="S3657" s="15"/>
      <c r="T3657" s="15"/>
      <c r="U3657" s="15"/>
      <c r="V3657" s="15"/>
      <c r="W3657" s="15"/>
      <c r="X3657" s="15"/>
      <c r="Y3657" s="15"/>
      <c r="Z3657" s="15"/>
      <c r="AA3657" s="15"/>
    </row>
    <row r="3658">
      <c r="A3658" s="5" t="s">
        <v>16384</v>
      </c>
      <c r="B3658" s="131" t="s">
        <v>16399</v>
      </c>
      <c r="C3658" s="40" t="s">
        <v>16400</v>
      </c>
      <c r="D3658" s="11"/>
      <c r="E3658" s="11" t="s">
        <v>16401</v>
      </c>
      <c r="F3658" s="90" t="s">
        <v>16402</v>
      </c>
      <c r="G3658" s="321"/>
      <c r="H3658" s="11" t="s">
        <v>15638</v>
      </c>
      <c r="I3658" s="423"/>
      <c r="J3658" s="14"/>
      <c r="K3658" s="12"/>
      <c r="L3658" s="12"/>
      <c r="M3658" s="11" t="s">
        <v>16403</v>
      </c>
      <c r="N3658" s="5" t="s">
        <v>16404</v>
      </c>
      <c r="O3658" s="5" t="s">
        <v>34</v>
      </c>
      <c r="P3658" s="15"/>
      <c r="Q3658" s="15"/>
      <c r="R3658" s="422"/>
      <c r="S3658" s="15"/>
      <c r="T3658" s="15"/>
      <c r="U3658" s="15"/>
      <c r="V3658" s="15"/>
      <c r="W3658" s="15"/>
      <c r="X3658" s="15"/>
      <c r="Y3658" s="15"/>
      <c r="Z3658" s="15"/>
      <c r="AA3658" s="15"/>
    </row>
    <row r="3659">
      <c r="A3659" s="5" t="s">
        <v>16384</v>
      </c>
      <c r="B3659" s="131" t="s">
        <v>16405</v>
      </c>
      <c r="C3659" s="40" t="s">
        <v>16406</v>
      </c>
      <c r="D3659" s="11"/>
      <c r="E3659" s="11" t="s">
        <v>794</v>
      </c>
      <c r="F3659" s="90">
        <v>500.0</v>
      </c>
      <c r="G3659" s="321"/>
      <c r="H3659" s="11" t="s">
        <v>16407</v>
      </c>
      <c r="I3659" s="423"/>
      <c r="J3659" s="14"/>
      <c r="K3659" s="12"/>
      <c r="L3659" s="12"/>
      <c r="M3659" s="11" t="s">
        <v>9949</v>
      </c>
      <c r="N3659" s="5" t="s">
        <v>16408</v>
      </c>
      <c r="O3659" s="5" t="s">
        <v>26</v>
      </c>
      <c r="P3659" s="15"/>
      <c r="Q3659" s="15"/>
      <c r="R3659" s="422"/>
      <c r="S3659" s="15"/>
      <c r="T3659" s="15"/>
      <c r="U3659" s="15"/>
      <c r="V3659" s="15"/>
      <c r="W3659" s="15"/>
      <c r="X3659" s="15"/>
      <c r="Y3659" s="15"/>
      <c r="Z3659" s="15"/>
      <c r="AA3659" s="15"/>
    </row>
    <row r="3660">
      <c r="A3660" s="5" t="s">
        <v>16384</v>
      </c>
      <c r="B3660" s="131" t="s">
        <v>16409</v>
      </c>
      <c r="C3660" s="40" t="s">
        <v>16410</v>
      </c>
      <c r="D3660" s="11"/>
      <c r="E3660" s="11" t="s">
        <v>116</v>
      </c>
      <c r="F3660" s="9">
        <v>30000.0</v>
      </c>
      <c r="G3660" s="321"/>
      <c r="H3660" s="11" t="s">
        <v>16411</v>
      </c>
      <c r="I3660" s="423"/>
      <c r="J3660" s="14"/>
      <c r="K3660" s="12"/>
      <c r="L3660" s="12"/>
      <c r="M3660" s="11" t="s">
        <v>8162</v>
      </c>
      <c r="N3660" s="5" t="s">
        <v>16412</v>
      </c>
      <c r="O3660" s="5" t="s">
        <v>108</v>
      </c>
      <c r="P3660" s="15"/>
      <c r="Q3660" s="15"/>
      <c r="R3660" s="422"/>
      <c r="S3660" s="15"/>
      <c r="T3660" s="15"/>
      <c r="U3660" s="15"/>
      <c r="V3660" s="15"/>
      <c r="W3660" s="15"/>
      <c r="X3660" s="15"/>
      <c r="Y3660" s="15"/>
      <c r="Z3660" s="15"/>
      <c r="AA3660" s="15"/>
    </row>
    <row r="3661">
      <c r="A3661" s="5" t="s">
        <v>16384</v>
      </c>
      <c r="B3661" s="131" t="s">
        <v>16413</v>
      </c>
      <c r="C3661" s="40" t="s">
        <v>16414</v>
      </c>
      <c r="D3661" s="11"/>
      <c r="E3661" s="11" t="s">
        <v>16415</v>
      </c>
      <c r="F3661" s="9">
        <v>100000.0</v>
      </c>
      <c r="G3661" s="321"/>
      <c r="H3661" s="11" t="s">
        <v>9266</v>
      </c>
      <c r="I3661" s="423"/>
      <c r="J3661" s="14"/>
      <c r="K3661" s="13"/>
      <c r="L3661" s="13"/>
      <c r="M3661" s="14"/>
      <c r="N3661" s="15"/>
      <c r="O3661" s="5" t="s">
        <v>108</v>
      </c>
      <c r="P3661" s="15"/>
      <c r="Q3661" s="15"/>
      <c r="R3661" s="422"/>
      <c r="S3661" s="15"/>
      <c r="T3661" s="15"/>
      <c r="U3661" s="15"/>
      <c r="V3661" s="15"/>
      <c r="W3661" s="15"/>
      <c r="X3661" s="15"/>
      <c r="Y3661" s="15"/>
      <c r="Z3661" s="15"/>
      <c r="AA3661" s="15"/>
    </row>
    <row r="3662">
      <c r="A3662" s="5" t="s">
        <v>16384</v>
      </c>
      <c r="B3662" s="131" t="s">
        <v>16416</v>
      </c>
      <c r="C3662" s="40" t="s">
        <v>16417</v>
      </c>
      <c r="D3662" s="11"/>
      <c r="E3662" s="11" t="s">
        <v>3165</v>
      </c>
      <c r="F3662" s="90">
        <v>100.0</v>
      </c>
      <c r="G3662" s="321"/>
      <c r="H3662" s="11" t="s">
        <v>191</v>
      </c>
      <c r="I3662" s="276"/>
      <c r="J3662" s="11" t="s">
        <v>25</v>
      </c>
      <c r="K3662" s="12"/>
      <c r="L3662" s="12"/>
      <c r="M3662" s="11" t="s">
        <v>16418</v>
      </c>
      <c r="N3662" s="5" t="s">
        <v>16419</v>
      </c>
      <c r="O3662" s="5" t="s">
        <v>14119</v>
      </c>
      <c r="P3662" s="15"/>
      <c r="Q3662" s="15"/>
      <c r="R3662" s="422"/>
      <c r="S3662" s="15"/>
      <c r="T3662" s="15"/>
      <c r="U3662" s="15"/>
      <c r="V3662" s="15"/>
      <c r="W3662" s="15"/>
      <c r="X3662" s="15"/>
      <c r="Y3662" s="15"/>
      <c r="Z3662" s="15"/>
      <c r="AA3662" s="15"/>
    </row>
    <row r="3663">
      <c r="A3663" s="5" t="s">
        <v>16384</v>
      </c>
      <c r="B3663" s="131" t="s">
        <v>16420</v>
      </c>
      <c r="C3663" s="40" t="s">
        <v>16421</v>
      </c>
      <c r="D3663" s="11"/>
      <c r="E3663" s="11" t="s">
        <v>9050</v>
      </c>
      <c r="F3663" s="90">
        <v>3000.0</v>
      </c>
      <c r="G3663" s="321"/>
      <c r="H3663" s="11" t="s">
        <v>14723</v>
      </c>
      <c r="I3663" s="276"/>
      <c r="J3663" s="11" t="s">
        <v>25</v>
      </c>
      <c r="K3663" s="12"/>
      <c r="L3663" s="12"/>
      <c r="M3663" s="11" t="s">
        <v>15941</v>
      </c>
      <c r="N3663" s="5" t="s">
        <v>16422</v>
      </c>
      <c r="O3663" s="5" t="s">
        <v>26</v>
      </c>
      <c r="P3663" s="15"/>
      <c r="Q3663" s="15"/>
      <c r="R3663" s="422"/>
      <c r="S3663" s="15"/>
      <c r="T3663" s="15"/>
      <c r="U3663" s="15"/>
      <c r="V3663" s="15"/>
      <c r="W3663" s="15"/>
      <c r="X3663" s="15"/>
      <c r="Y3663" s="15"/>
      <c r="Z3663" s="15"/>
      <c r="AA3663" s="15"/>
    </row>
    <row r="3664">
      <c r="A3664" s="5" t="s">
        <v>16384</v>
      </c>
      <c r="B3664" s="131" t="s">
        <v>16423</v>
      </c>
      <c r="C3664" s="40" t="s">
        <v>16424</v>
      </c>
      <c r="D3664" s="11"/>
      <c r="E3664" s="11" t="s">
        <v>16425</v>
      </c>
      <c r="F3664" s="90">
        <v>500.0</v>
      </c>
      <c r="G3664" s="321"/>
      <c r="H3664" s="11" t="s">
        <v>16426</v>
      </c>
      <c r="I3664" s="276"/>
      <c r="J3664" s="11" t="s">
        <v>25</v>
      </c>
      <c r="K3664" s="12"/>
      <c r="L3664" s="12"/>
      <c r="M3664" s="11" t="s">
        <v>12024</v>
      </c>
      <c r="N3664" s="5" t="s">
        <v>16427</v>
      </c>
      <c r="O3664" s="5" t="s">
        <v>108</v>
      </c>
      <c r="P3664" s="15"/>
      <c r="Q3664" s="15"/>
      <c r="R3664" s="422"/>
      <c r="S3664" s="15"/>
      <c r="T3664" s="15"/>
      <c r="U3664" s="15"/>
      <c r="V3664" s="15"/>
      <c r="W3664" s="15"/>
      <c r="X3664" s="15"/>
      <c r="Y3664" s="15"/>
      <c r="Z3664" s="15"/>
      <c r="AA3664" s="15"/>
    </row>
    <row r="3665">
      <c r="A3665" s="5" t="s">
        <v>16384</v>
      </c>
      <c r="B3665" s="131" t="s">
        <v>16428</v>
      </c>
      <c r="C3665" s="40" t="s">
        <v>16429</v>
      </c>
      <c r="D3665" s="11"/>
      <c r="E3665" s="11" t="s">
        <v>16430</v>
      </c>
      <c r="F3665" s="90" t="s">
        <v>16431</v>
      </c>
      <c r="G3665" s="321"/>
      <c r="H3665" s="11" t="s">
        <v>16432</v>
      </c>
      <c r="I3665" s="276"/>
      <c r="J3665" s="11" t="s">
        <v>25</v>
      </c>
      <c r="K3665" s="12"/>
      <c r="L3665" s="12"/>
      <c r="M3665" s="11" t="s">
        <v>16433</v>
      </c>
      <c r="N3665" s="5" t="s">
        <v>16434</v>
      </c>
      <c r="O3665" s="5" t="s">
        <v>26</v>
      </c>
      <c r="P3665" s="15"/>
      <c r="Q3665" s="15"/>
      <c r="R3665" s="422"/>
      <c r="S3665" s="15"/>
      <c r="T3665" s="15"/>
      <c r="U3665" s="15"/>
      <c r="V3665" s="15"/>
      <c r="W3665" s="15"/>
      <c r="X3665" s="15"/>
      <c r="Y3665" s="15"/>
      <c r="Z3665" s="15"/>
      <c r="AA3665" s="15"/>
    </row>
    <row r="3666">
      <c r="A3666" s="5" t="s">
        <v>16435</v>
      </c>
      <c r="B3666" s="131" t="s">
        <v>16436</v>
      </c>
      <c r="C3666" s="40" t="s">
        <v>16437</v>
      </c>
      <c r="D3666" s="11"/>
      <c r="E3666" s="11" t="s">
        <v>5259</v>
      </c>
      <c r="F3666" s="90">
        <v>5000.0</v>
      </c>
      <c r="G3666" s="321"/>
      <c r="H3666" s="11" t="s">
        <v>44</v>
      </c>
      <c r="I3666" s="276"/>
      <c r="J3666" s="11" t="s">
        <v>4008</v>
      </c>
      <c r="K3666" s="12"/>
      <c r="L3666" s="12"/>
      <c r="M3666" s="11" t="s">
        <v>8707</v>
      </c>
      <c r="N3666" s="5" t="s">
        <v>16438</v>
      </c>
      <c r="O3666" s="5" t="s">
        <v>26</v>
      </c>
      <c r="P3666" s="15"/>
      <c r="Q3666" s="15"/>
      <c r="R3666" s="422"/>
      <c r="S3666" s="15"/>
      <c r="T3666" s="15"/>
      <c r="U3666" s="15"/>
      <c r="V3666" s="15"/>
      <c r="W3666" s="15"/>
      <c r="X3666" s="15"/>
      <c r="Y3666" s="15"/>
      <c r="Z3666" s="15"/>
      <c r="AA3666" s="15"/>
    </row>
    <row r="3667">
      <c r="A3667" s="5" t="s">
        <v>16435</v>
      </c>
      <c r="B3667" s="131" t="s">
        <v>16439</v>
      </c>
      <c r="C3667" s="40" t="s">
        <v>16440</v>
      </c>
      <c r="D3667" s="11"/>
      <c r="E3667" s="11" t="s">
        <v>116</v>
      </c>
      <c r="F3667" s="90">
        <v>100.0</v>
      </c>
      <c r="G3667" s="321"/>
      <c r="H3667" s="11" t="s">
        <v>2662</v>
      </c>
      <c r="I3667" s="423"/>
      <c r="J3667" s="14"/>
      <c r="K3667" s="12"/>
      <c r="L3667" s="12"/>
      <c r="M3667" s="11" t="s">
        <v>15128</v>
      </c>
      <c r="N3667" s="5" t="s">
        <v>16441</v>
      </c>
      <c r="O3667" s="5" t="s">
        <v>14119</v>
      </c>
      <c r="P3667" s="15"/>
      <c r="Q3667" s="15"/>
      <c r="R3667" s="422"/>
      <c r="S3667" s="15"/>
      <c r="T3667" s="15"/>
      <c r="U3667" s="15"/>
      <c r="V3667" s="15"/>
      <c r="W3667" s="15"/>
      <c r="X3667" s="15"/>
      <c r="Y3667" s="15"/>
      <c r="Z3667" s="15"/>
      <c r="AA3667" s="15"/>
    </row>
    <row r="3668">
      <c r="A3668" s="5" t="s">
        <v>16435</v>
      </c>
      <c r="B3668" s="131" t="s">
        <v>16442</v>
      </c>
      <c r="C3668" s="40" t="s">
        <v>16443</v>
      </c>
      <c r="D3668" s="11"/>
      <c r="E3668" s="11" t="s">
        <v>11478</v>
      </c>
      <c r="F3668" s="90">
        <v>400.0</v>
      </c>
      <c r="G3668" s="321"/>
      <c r="H3668" s="11" t="s">
        <v>16444</v>
      </c>
      <c r="I3668" s="276"/>
      <c r="J3668" s="11" t="s">
        <v>25</v>
      </c>
      <c r="K3668" s="13"/>
      <c r="L3668" s="13"/>
      <c r="M3668" s="14"/>
      <c r="N3668" s="15"/>
      <c r="O3668" s="5" t="s">
        <v>26</v>
      </c>
      <c r="P3668" s="15"/>
      <c r="Q3668" s="15"/>
      <c r="R3668" s="422"/>
      <c r="S3668" s="15"/>
      <c r="T3668" s="15"/>
      <c r="U3668" s="15"/>
      <c r="V3668" s="15"/>
      <c r="W3668" s="15"/>
      <c r="X3668" s="15"/>
      <c r="Y3668" s="15"/>
      <c r="Z3668" s="15"/>
      <c r="AA3668" s="15"/>
    </row>
    <row r="3669">
      <c r="A3669" s="5" t="s">
        <v>16435</v>
      </c>
      <c r="B3669" s="131" t="s">
        <v>16445</v>
      </c>
      <c r="C3669" s="40" t="s">
        <v>16446</v>
      </c>
      <c r="D3669" s="11"/>
      <c r="E3669" s="11" t="s">
        <v>207</v>
      </c>
      <c r="F3669" s="90">
        <v>3000.0</v>
      </c>
      <c r="G3669" s="321"/>
      <c r="H3669" s="11" t="s">
        <v>44</v>
      </c>
      <c r="I3669" s="276"/>
      <c r="J3669" s="11" t="s">
        <v>25</v>
      </c>
      <c r="K3669" s="12"/>
      <c r="L3669" s="12"/>
      <c r="M3669" s="11" t="s">
        <v>9685</v>
      </c>
      <c r="N3669" s="5" t="s">
        <v>16447</v>
      </c>
      <c r="O3669" s="5" t="s">
        <v>26</v>
      </c>
      <c r="P3669" s="15"/>
      <c r="Q3669" s="15"/>
      <c r="R3669" s="422"/>
      <c r="S3669" s="15"/>
      <c r="T3669" s="15"/>
      <c r="U3669" s="15"/>
      <c r="V3669" s="15"/>
      <c r="W3669" s="15"/>
      <c r="X3669" s="15"/>
      <c r="Y3669" s="15"/>
      <c r="Z3669" s="15"/>
      <c r="AA3669" s="15"/>
    </row>
    <row r="3670">
      <c r="A3670" s="5" t="s">
        <v>16435</v>
      </c>
      <c r="B3670" s="131" t="s">
        <v>16448</v>
      </c>
      <c r="C3670" s="40" t="s">
        <v>9325</v>
      </c>
      <c r="D3670" s="11"/>
      <c r="E3670" s="11" t="s">
        <v>3611</v>
      </c>
      <c r="F3670" s="90">
        <v>1000.0</v>
      </c>
      <c r="G3670" s="321"/>
      <c r="H3670" s="11" t="s">
        <v>9327</v>
      </c>
      <c r="I3670" s="276"/>
      <c r="J3670" s="11" t="s">
        <v>4008</v>
      </c>
      <c r="K3670" s="12"/>
      <c r="L3670" s="12"/>
      <c r="M3670" s="11" t="s">
        <v>12955</v>
      </c>
      <c r="N3670" s="5" t="s">
        <v>16449</v>
      </c>
      <c r="O3670" s="5" t="s">
        <v>26</v>
      </c>
      <c r="P3670" s="15"/>
      <c r="Q3670" s="15"/>
      <c r="R3670" s="422"/>
      <c r="S3670" s="15"/>
      <c r="T3670" s="15"/>
      <c r="U3670" s="15"/>
      <c r="V3670" s="15"/>
      <c r="W3670" s="15"/>
      <c r="X3670" s="15"/>
      <c r="Y3670" s="15"/>
      <c r="Z3670" s="15"/>
      <c r="AA3670" s="15"/>
    </row>
    <row r="3671">
      <c r="A3671" s="5" t="s">
        <v>16435</v>
      </c>
      <c r="B3671" s="131" t="s">
        <v>16450</v>
      </c>
      <c r="C3671" s="40" t="s">
        <v>16451</v>
      </c>
      <c r="D3671" s="11"/>
      <c r="E3671" s="11" t="s">
        <v>3073</v>
      </c>
      <c r="F3671" s="90">
        <v>100.0</v>
      </c>
      <c r="G3671" s="321"/>
      <c r="H3671" s="11" t="s">
        <v>495</v>
      </c>
      <c r="I3671" s="423"/>
      <c r="J3671" s="14"/>
      <c r="K3671" s="12"/>
      <c r="L3671" s="12"/>
      <c r="M3671" s="11" t="s">
        <v>16452</v>
      </c>
      <c r="N3671" s="5" t="s">
        <v>16453</v>
      </c>
      <c r="O3671" s="5" t="s">
        <v>14119</v>
      </c>
      <c r="P3671" s="15"/>
      <c r="Q3671" s="15"/>
      <c r="R3671" s="422"/>
      <c r="S3671" s="15"/>
      <c r="T3671" s="15"/>
      <c r="U3671" s="15"/>
      <c r="V3671" s="15"/>
      <c r="W3671" s="15"/>
      <c r="X3671" s="15"/>
      <c r="Y3671" s="15"/>
      <c r="Z3671" s="15"/>
      <c r="AA3671" s="15"/>
    </row>
    <row r="3672">
      <c r="A3672" s="5" t="s">
        <v>16435</v>
      </c>
      <c r="B3672" s="131" t="s">
        <v>16454</v>
      </c>
      <c r="C3672" s="40" t="s">
        <v>16455</v>
      </c>
      <c r="D3672" s="11"/>
      <c r="E3672" s="11" t="s">
        <v>12255</v>
      </c>
      <c r="F3672" s="90">
        <v>100.0</v>
      </c>
      <c r="G3672" s="321"/>
      <c r="H3672" s="11" t="s">
        <v>16432</v>
      </c>
      <c r="I3672" s="423"/>
      <c r="J3672" s="14"/>
      <c r="K3672" s="13"/>
      <c r="L3672" s="13"/>
      <c r="M3672" s="14"/>
      <c r="N3672" s="15"/>
      <c r="O3672" s="5" t="s">
        <v>14119</v>
      </c>
      <c r="P3672" s="15"/>
      <c r="Q3672" s="15"/>
      <c r="R3672" s="422"/>
      <c r="S3672" s="15"/>
      <c r="T3672" s="15"/>
      <c r="U3672" s="15"/>
      <c r="V3672" s="15"/>
      <c r="W3672" s="15"/>
      <c r="X3672" s="15"/>
      <c r="Y3672" s="15"/>
      <c r="Z3672" s="15"/>
      <c r="AA3672" s="15"/>
    </row>
    <row r="3673">
      <c r="A3673" s="5" t="s">
        <v>16435</v>
      </c>
      <c r="B3673" s="131" t="s">
        <v>16456</v>
      </c>
      <c r="C3673" s="40" t="s">
        <v>16457</v>
      </c>
      <c r="D3673" s="11"/>
      <c r="E3673" s="11" t="s">
        <v>16165</v>
      </c>
      <c r="F3673" s="90">
        <v>100.0</v>
      </c>
      <c r="G3673" s="321"/>
      <c r="H3673" s="11" t="s">
        <v>16458</v>
      </c>
      <c r="I3673" s="276"/>
      <c r="J3673" s="11" t="s">
        <v>4008</v>
      </c>
      <c r="K3673" s="12"/>
      <c r="L3673" s="12"/>
      <c r="M3673" s="11" t="s">
        <v>16452</v>
      </c>
      <c r="N3673" s="5" t="s">
        <v>16459</v>
      </c>
      <c r="O3673" s="5" t="s">
        <v>14119</v>
      </c>
      <c r="P3673" s="15"/>
      <c r="Q3673" s="15"/>
      <c r="R3673" s="422"/>
      <c r="S3673" s="15"/>
      <c r="T3673" s="15"/>
      <c r="U3673" s="15"/>
      <c r="V3673" s="15"/>
      <c r="W3673" s="15"/>
      <c r="X3673" s="15"/>
      <c r="Y3673" s="15"/>
      <c r="Z3673" s="15"/>
      <c r="AA3673" s="15"/>
    </row>
    <row r="3674">
      <c r="A3674" s="5" t="s">
        <v>16435</v>
      </c>
      <c r="B3674" s="131" t="s">
        <v>16460</v>
      </c>
      <c r="C3674" s="40" t="s">
        <v>16461</v>
      </c>
      <c r="D3674" s="11"/>
      <c r="E3674" s="11" t="s">
        <v>16462</v>
      </c>
      <c r="F3674" s="9">
        <v>50000.0</v>
      </c>
      <c r="G3674" s="321"/>
      <c r="H3674" s="11" t="s">
        <v>44</v>
      </c>
      <c r="I3674" s="423"/>
      <c r="J3674" s="14"/>
      <c r="K3674" s="12"/>
      <c r="L3674" s="12"/>
      <c r="M3674" s="11" t="s">
        <v>8860</v>
      </c>
      <c r="N3674" s="5" t="s">
        <v>16463</v>
      </c>
      <c r="O3674" s="5" t="s">
        <v>26</v>
      </c>
      <c r="P3674" s="15"/>
      <c r="Q3674" s="15"/>
      <c r="R3674" s="422"/>
      <c r="S3674" s="15"/>
      <c r="T3674" s="15"/>
      <c r="U3674" s="15"/>
      <c r="V3674" s="15"/>
      <c r="W3674" s="15"/>
      <c r="X3674" s="15"/>
      <c r="Y3674" s="15"/>
      <c r="Z3674" s="15"/>
      <c r="AA3674" s="15"/>
    </row>
    <row r="3675">
      <c r="A3675" s="5" t="s">
        <v>16435</v>
      </c>
      <c r="B3675" s="131" t="s">
        <v>16464</v>
      </c>
      <c r="C3675" s="40" t="s">
        <v>16465</v>
      </c>
      <c r="D3675" s="11"/>
      <c r="E3675" s="11" t="s">
        <v>130</v>
      </c>
      <c r="F3675" s="90">
        <v>1000.0</v>
      </c>
      <c r="G3675" s="321"/>
      <c r="H3675" s="11" t="s">
        <v>44</v>
      </c>
      <c r="I3675" s="276"/>
      <c r="J3675" s="11" t="s">
        <v>25</v>
      </c>
      <c r="K3675" s="12"/>
      <c r="L3675" s="12"/>
      <c r="M3675" s="11" t="s">
        <v>9587</v>
      </c>
      <c r="N3675" s="5" t="s">
        <v>16466</v>
      </c>
      <c r="O3675" s="5" t="s">
        <v>26</v>
      </c>
      <c r="P3675" s="15"/>
      <c r="Q3675" s="15"/>
      <c r="R3675" s="422"/>
      <c r="S3675" s="15"/>
      <c r="T3675" s="15"/>
      <c r="U3675" s="15"/>
      <c r="V3675" s="15"/>
      <c r="W3675" s="15"/>
      <c r="X3675" s="15"/>
      <c r="Y3675" s="15"/>
      <c r="Z3675" s="15"/>
      <c r="AA3675" s="15"/>
    </row>
    <row r="3676">
      <c r="A3676" s="5" t="s">
        <v>16435</v>
      </c>
      <c r="B3676" s="131" t="s">
        <v>16467</v>
      </c>
      <c r="C3676" s="40" t="s">
        <v>16468</v>
      </c>
      <c r="D3676" s="11"/>
      <c r="E3676" s="11" t="s">
        <v>2429</v>
      </c>
      <c r="F3676" s="9">
        <v>100000.0</v>
      </c>
      <c r="G3676" s="321"/>
      <c r="H3676" s="11" t="s">
        <v>16469</v>
      </c>
      <c r="I3676" s="423"/>
      <c r="J3676" s="14"/>
      <c r="K3676" s="13"/>
      <c r="L3676" s="13"/>
      <c r="M3676" s="14"/>
      <c r="N3676" s="15"/>
      <c r="O3676" s="5" t="s">
        <v>26</v>
      </c>
      <c r="P3676" s="15"/>
      <c r="Q3676" s="15"/>
      <c r="R3676" s="422"/>
      <c r="S3676" s="15"/>
      <c r="T3676" s="15"/>
      <c r="U3676" s="15"/>
      <c r="V3676" s="15"/>
      <c r="W3676" s="15"/>
      <c r="X3676" s="15"/>
      <c r="Y3676" s="15"/>
      <c r="Z3676" s="15"/>
      <c r="AA3676" s="15"/>
    </row>
    <row r="3677">
      <c r="A3677" s="5" t="s">
        <v>16435</v>
      </c>
      <c r="B3677" s="131" t="s">
        <v>16470</v>
      </c>
      <c r="C3677" s="40" t="s">
        <v>16471</v>
      </c>
      <c r="D3677" s="11"/>
      <c r="E3677" s="11" t="s">
        <v>16472</v>
      </c>
      <c r="F3677" s="90" t="s">
        <v>16473</v>
      </c>
      <c r="G3677" s="321"/>
      <c r="H3677" s="11" t="s">
        <v>44</v>
      </c>
      <c r="I3677" s="423"/>
      <c r="J3677" s="14"/>
      <c r="K3677" s="12"/>
      <c r="L3677" s="12"/>
      <c r="M3677" s="11" t="s">
        <v>16474</v>
      </c>
      <c r="N3677" s="5" t="s">
        <v>16475</v>
      </c>
      <c r="O3677" s="5" t="s">
        <v>26</v>
      </c>
      <c r="P3677" s="15"/>
      <c r="Q3677" s="15"/>
      <c r="R3677" s="422"/>
      <c r="S3677" s="15"/>
      <c r="T3677" s="15"/>
      <c r="U3677" s="15"/>
      <c r="V3677" s="15"/>
      <c r="W3677" s="15"/>
      <c r="X3677" s="15"/>
      <c r="Y3677" s="15"/>
      <c r="Z3677" s="15"/>
      <c r="AA3677" s="15"/>
    </row>
    <row r="3678">
      <c r="A3678" s="5" t="s">
        <v>16476</v>
      </c>
      <c r="B3678" s="131" t="s">
        <v>16477</v>
      </c>
      <c r="C3678" s="40" t="s">
        <v>16478</v>
      </c>
      <c r="D3678" s="11"/>
      <c r="E3678" s="11" t="s">
        <v>1717</v>
      </c>
      <c r="F3678" s="90">
        <v>100.0</v>
      </c>
      <c r="G3678" s="321"/>
      <c r="H3678" s="11" t="s">
        <v>16479</v>
      </c>
      <c r="I3678" s="276"/>
      <c r="J3678" s="11" t="s">
        <v>4008</v>
      </c>
      <c r="K3678" s="12"/>
      <c r="L3678" s="12"/>
      <c r="M3678" s="11" t="s">
        <v>10119</v>
      </c>
      <c r="N3678" s="5" t="s">
        <v>16480</v>
      </c>
      <c r="O3678" s="5" t="s">
        <v>14119</v>
      </c>
      <c r="P3678" s="15"/>
      <c r="Q3678" s="15"/>
      <c r="R3678" s="422"/>
      <c r="S3678" s="15"/>
      <c r="T3678" s="15"/>
      <c r="U3678" s="15"/>
      <c r="V3678" s="15"/>
      <c r="W3678" s="15"/>
      <c r="X3678" s="15"/>
      <c r="Y3678" s="15"/>
      <c r="Z3678" s="15"/>
      <c r="AA3678" s="15"/>
    </row>
    <row r="3679">
      <c r="A3679" s="5" t="s">
        <v>16476</v>
      </c>
      <c r="B3679" s="131" t="s">
        <v>16481</v>
      </c>
      <c r="C3679" s="40" t="s">
        <v>16482</v>
      </c>
      <c r="D3679" s="11"/>
      <c r="E3679" s="11" t="s">
        <v>77</v>
      </c>
      <c r="F3679" s="9">
        <v>20000.0</v>
      </c>
      <c r="G3679" s="321"/>
      <c r="H3679" s="11" t="s">
        <v>44</v>
      </c>
      <c r="I3679" s="423"/>
      <c r="J3679" s="14"/>
      <c r="K3679" s="12"/>
      <c r="L3679" s="12"/>
      <c r="M3679" s="11" t="s">
        <v>8860</v>
      </c>
      <c r="N3679" s="5" t="s">
        <v>16483</v>
      </c>
      <c r="O3679" s="5" t="s">
        <v>26</v>
      </c>
      <c r="P3679" s="15"/>
      <c r="Q3679" s="15"/>
      <c r="R3679" s="422"/>
      <c r="S3679" s="15"/>
      <c r="T3679" s="15"/>
      <c r="U3679" s="15"/>
      <c r="V3679" s="15"/>
      <c r="W3679" s="15"/>
      <c r="X3679" s="15"/>
      <c r="Y3679" s="15"/>
      <c r="Z3679" s="15"/>
      <c r="AA3679" s="15"/>
    </row>
    <row r="3680">
      <c r="A3680" s="5" t="s">
        <v>16476</v>
      </c>
      <c r="B3680" s="131" t="s">
        <v>16484</v>
      </c>
      <c r="C3680" s="40" t="s">
        <v>16485</v>
      </c>
      <c r="D3680" s="11"/>
      <c r="E3680" s="11" t="s">
        <v>1193</v>
      </c>
      <c r="F3680" s="90">
        <v>1000.0</v>
      </c>
      <c r="G3680" s="321"/>
      <c r="H3680" s="11" t="s">
        <v>16486</v>
      </c>
      <c r="I3680" s="423"/>
      <c r="J3680" s="14"/>
      <c r="K3680" s="13"/>
      <c r="L3680" s="13"/>
      <c r="M3680" s="14"/>
      <c r="N3680" s="15"/>
      <c r="O3680" s="5" t="s">
        <v>26</v>
      </c>
      <c r="P3680" s="15"/>
      <c r="Q3680" s="15"/>
      <c r="R3680" s="422"/>
      <c r="S3680" s="15"/>
      <c r="T3680" s="15"/>
      <c r="U3680" s="15"/>
      <c r="V3680" s="15"/>
      <c r="W3680" s="15"/>
      <c r="X3680" s="15"/>
      <c r="Y3680" s="15"/>
      <c r="Z3680" s="15"/>
      <c r="AA3680" s="15"/>
    </row>
    <row r="3681">
      <c r="A3681" s="5" t="s">
        <v>16476</v>
      </c>
      <c r="B3681" s="131" t="s">
        <v>16487</v>
      </c>
      <c r="C3681" s="40" t="s">
        <v>16488</v>
      </c>
      <c r="D3681" s="11"/>
      <c r="E3681" s="11" t="s">
        <v>167</v>
      </c>
      <c r="F3681" s="90">
        <v>1000.0</v>
      </c>
      <c r="G3681" s="321"/>
      <c r="H3681" s="11" t="s">
        <v>2682</v>
      </c>
      <c r="I3681" s="423"/>
      <c r="J3681" s="14"/>
      <c r="K3681" s="12"/>
      <c r="L3681" s="12"/>
      <c r="M3681" s="11" t="s">
        <v>9776</v>
      </c>
      <c r="N3681" s="5" t="s">
        <v>16489</v>
      </c>
      <c r="O3681" s="5" t="s">
        <v>108</v>
      </c>
      <c r="P3681" s="15"/>
      <c r="Q3681" s="15"/>
      <c r="R3681" s="422"/>
      <c r="S3681" s="15"/>
      <c r="T3681" s="15"/>
      <c r="U3681" s="15"/>
      <c r="V3681" s="15"/>
      <c r="W3681" s="15"/>
      <c r="X3681" s="15"/>
      <c r="Y3681" s="15"/>
      <c r="Z3681" s="15"/>
      <c r="AA3681" s="15"/>
    </row>
    <row r="3682">
      <c r="A3682" s="5" t="s">
        <v>16476</v>
      </c>
      <c r="B3682" s="131" t="s">
        <v>16490</v>
      </c>
      <c r="C3682" s="40" t="s">
        <v>16491</v>
      </c>
      <c r="D3682" s="11"/>
      <c r="E3682" s="11" t="s">
        <v>6027</v>
      </c>
      <c r="F3682" s="90">
        <v>1000.0</v>
      </c>
      <c r="G3682" s="321"/>
      <c r="H3682" s="11" t="s">
        <v>11750</v>
      </c>
      <c r="I3682" s="423"/>
      <c r="J3682" s="14"/>
      <c r="K3682" s="13"/>
      <c r="L3682" s="13"/>
      <c r="M3682" s="14"/>
      <c r="N3682" s="15"/>
      <c r="O3682" s="5" t="s">
        <v>26</v>
      </c>
      <c r="P3682" s="15"/>
      <c r="Q3682" s="15"/>
      <c r="R3682" s="422"/>
      <c r="S3682" s="15"/>
      <c r="T3682" s="15"/>
      <c r="U3682" s="15"/>
      <c r="V3682" s="15"/>
      <c r="W3682" s="15"/>
      <c r="X3682" s="15"/>
      <c r="Y3682" s="15"/>
      <c r="Z3682" s="15"/>
      <c r="AA3682" s="15"/>
    </row>
    <row r="3683">
      <c r="A3683" s="5" t="s">
        <v>16476</v>
      </c>
      <c r="B3683" s="131" t="s">
        <v>16492</v>
      </c>
      <c r="C3683" s="40" t="s">
        <v>16493</v>
      </c>
      <c r="D3683" s="11"/>
      <c r="E3683" s="11" t="s">
        <v>13311</v>
      </c>
      <c r="F3683" s="9">
        <v>30000.0</v>
      </c>
      <c r="G3683" s="321"/>
      <c r="H3683" s="11" t="s">
        <v>906</v>
      </c>
      <c r="I3683" s="276"/>
      <c r="J3683" s="11" t="s">
        <v>25</v>
      </c>
      <c r="K3683" s="13"/>
      <c r="L3683" s="13"/>
      <c r="M3683" s="14"/>
      <c r="N3683" s="15"/>
      <c r="O3683" s="5" t="s">
        <v>108</v>
      </c>
      <c r="P3683" s="15"/>
      <c r="Q3683" s="15"/>
      <c r="R3683" s="422"/>
      <c r="S3683" s="15"/>
      <c r="T3683" s="15"/>
      <c r="U3683" s="15"/>
      <c r="V3683" s="15"/>
      <c r="W3683" s="15"/>
      <c r="X3683" s="15"/>
      <c r="Y3683" s="15"/>
      <c r="Z3683" s="15"/>
      <c r="AA3683" s="15"/>
    </row>
    <row r="3684">
      <c r="A3684" s="5" t="s">
        <v>16476</v>
      </c>
      <c r="B3684" s="131" t="s">
        <v>16494</v>
      </c>
      <c r="C3684" s="40" t="s">
        <v>16495</v>
      </c>
      <c r="D3684" s="11"/>
      <c r="E3684" s="11" t="s">
        <v>167</v>
      </c>
      <c r="F3684" s="90">
        <v>500.0</v>
      </c>
      <c r="G3684" s="321"/>
      <c r="H3684" s="11" t="s">
        <v>16496</v>
      </c>
      <c r="I3684" s="423"/>
      <c r="J3684" s="14"/>
      <c r="K3684" s="12"/>
      <c r="L3684" s="12"/>
      <c r="M3684" s="11" t="s">
        <v>11262</v>
      </c>
      <c r="N3684" s="5" t="s">
        <v>16497</v>
      </c>
      <c r="O3684" s="5" t="s">
        <v>108</v>
      </c>
      <c r="P3684" s="15"/>
      <c r="Q3684" s="15"/>
      <c r="R3684" s="422"/>
      <c r="S3684" s="15"/>
      <c r="T3684" s="15"/>
      <c r="U3684" s="15"/>
      <c r="V3684" s="15"/>
      <c r="W3684" s="15"/>
      <c r="X3684" s="15"/>
      <c r="Y3684" s="15"/>
      <c r="Z3684" s="15"/>
      <c r="AA3684" s="15"/>
    </row>
    <row r="3685">
      <c r="A3685" s="5" t="s">
        <v>16476</v>
      </c>
      <c r="B3685" s="131" t="s">
        <v>16498</v>
      </c>
      <c r="C3685" s="40" t="s">
        <v>16499</v>
      </c>
      <c r="D3685" s="11"/>
      <c r="E3685" s="11" t="s">
        <v>213</v>
      </c>
      <c r="F3685" s="9">
        <v>20000.0</v>
      </c>
      <c r="G3685" s="321"/>
      <c r="H3685" s="11" t="s">
        <v>49</v>
      </c>
      <c r="I3685" s="276"/>
      <c r="J3685" s="11" t="s">
        <v>4008</v>
      </c>
      <c r="K3685" s="13"/>
      <c r="L3685" s="13"/>
      <c r="M3685" s="14"/>
      <c r="N3685" s="15"/>
      <c r="O3685" s="5" t="s">
        <v>26</v>
      </c>
      <c r="P3685" s="15"/>
      <c r="Q3685" s="15"/>
      <c r="R3685" s="422"/>
      <c r="S3685" s="15"/>
      <c r="T3685" s="15"/>
      <c r="U3685" s="15"/>
      <c r="V3685" s="15"/>
      <c r="W3685" s="15"/>
      <c r="X3685" s="15"/>
      <c r="Y3685" s="15"/>
      <c r="Z3685" s="15"/>
      <c r="AA3685" s="15"/>
    </row>
    <row r="3686">
      <c r="A3686" s="5" t="s">
        <v>16476</v>
      </c>
      <c r="B3686" s="131" t="s">
        <v>16500</v>
      </c>
      <c r="C3686" s="40" t="s">
        <v>16501</v>
      </c>
      <c r="D3686" s="11"/>
      <c r="E3686" s="11" t="s">
        <v>15730</v>
      </c>
      <c r="F3686" s="90">
        <v>1000.0</v>
      </c>
      <c r="G3686" s="321"/>
      <c r="H3686" s="11" t="s">
        <v>44</v>
      </c>
      <c r="I3686" s="276"/>
      <c r="J3686" s="11" t="s">
        <v>25</v>
      </c>
      <c r="K3686" s="13"/>
      <c r="L3686" s="13"/>
      <c r="M3686" s="14"/>
      <c r="N3686" s="15"/>
      <c r="O3686" s="5" t="s">
        <v>26</v>
      </c>
      <c r="P3686" s="15"/>
      <c r="Q3686" s="15"/>
      <c r="R3686" s="422"/>
      <c r="S3686" s="15"/>
      <c r="T3686" s="15"/>
      <c r="U3686" s="15"/>
      <c r="V3686" s="15"/>
      <c r="W3686" s="15"/>
      <c r="X3686" s="15"/>
      <c r="Y3686" s="15"/>
      <c r="Z3686" s="15"/>
      <c r="AA3686" s="15"/>
    </row>
    <row r="3687">
      <c r="A3687" s="5" t="s">
        <v>16476</v>
      </c>
      <c r="B3687" s="131" t="s">
        <v>16502</v>
      </c>
      <c r="C3687" s="40" t="s">
        <v>16503</v>
      </c>
      <c r="D3687" s="11"/>
      <c r="E3687" s="11" t="s">
        <v>16504</v>
      </c>
      <c r="F3687" s="90" t="s">
        <v>16505</v>
      </c>
      <c r="G3687" s="321"/>
      <c r="H3687" s="11" t="s">
        <v>16506</v>
      </c>
      <c r="I3687" s="423"/>
      <c r="J3687" s="14"/>
      <c r="K3687" s="12"/>
      <c r="L3687" s="12"/>
      <c r="M3687" s="11" t="s">
        <v>16507</v>
      </c>
      <c r="N3687" s="5" t="s">
        <v>16508</v>
      </c>
      <c r="O3687" s="5" t="s">
        <v>26</v>
      </c>
      <c r="P3687" s="15"/>
      <c r="Q3687" s="15"/>
      <c r="R3687" s="422"/>
      <c r="S3687" s="15"/>
      <c r="T3687" s="15"/>
      <c r="U3687" s="15"/>
      <c r="V3687" s="15"/>
      <c r="W3687" s="15"/>
      <c r="X3687" s="15"/>
      <c r="Y3687" s="15"/>
      <c r="Z3687" s="15"/>
      <c r="AA3687" s="15"/>
    </row>
    <row r="3688">
      <c r="A3688" s="5" t="s">
        <v>16476</v>
      </c>
      <c r="B3688" s="131" t="s">
        <v>16509</v>
      </c>
      <c r="C3688" s="40" t="s">
        <v>16510</v>
      </c>
      <c r="D3688" s="11"/>
      <c r="E3688" s="11" t="s">
        <v>6719</v>
      </c>
      <c r="F3688" s="90">
        <v>100.0</v>
      </c>
      <c r="G3688" s="321"/>
      <c r="H3688" s="11" t="s">
        <v>44</v>
      </c>
      <c r="I3688" s="423"/>
      <c r="J3688" s="14"/>
      <c r="K3688" s="13"/>
      <c r="L3688" s="13"/>
      <c r="M3688" s="14"/>
      <c r="N3688" s="15"/>
      <c r="O3688" s="5" t="s">
        <v>14119</v>
      </c>
      <c r="P3688" s="15"/>
      <c r="Q3688" s="15"/>
      <c r="R3688" s="422"/>
      <c r="S3688" s="15"/>
      <c r="T3688" s="15"/>
      <c r="U3688" s="15"/>
      <c r="V3688" s="15"/>
      <c r="W3688" s="15"/>
      <c r="X3688" s="15"/>
      <c r="Y3688" s="15"/>
      <c r="Z3688" s="15"/>
      <c r="AA3688" s="15"/>
    </row>
    <row r="3689">
      <c r="A3689" s="5" t="s">
        <v>16476</v>
      </c>
      <c r="B3689" s="131" t="s">
        <v>16511</v>
      </c>
      <c r="C3689" s="40" t="s">
        <v>16512</v>
      </c>
      <c r="D3689" s="11"/>
      <c r="E3689" s="11" t="s">
        <v>16513</v>
      </c>
      <c r="F3689" s="90">
        <v>200.0</v>
      </c>
      <c r="G3689" s="321"/>
      <c r="H3689" s="11" t="s">
        <v>2662</v>
      </c>
      <c r="I3689" s="423"/>
      <c r="J3689" s="14"/>
      <c r="K3689" s="13"/>
      <c r="L3689" s="13"/>
      <c r="M3689" s="14"/>
      <c r="N3689" s="15"/>
      <c r="O3689" s="5" t="s">
        <v>14119</v>
      </c>
      <c r="P3689" s="15"/>
      <c r="Q3689" s="15"/>
      <c r="R3689" s="422"/>
      <c r="S3689" s="15"/>
      <c r="T3689" s="15"/>
      <c r="U3689" s="15"/>
      <c r="V3689" s="15"/>
      <c r="W3689" s="15"/>
      <c r="X3689" s="15"/>
      <c r="Y3689" s="15"/>
      <c r="Z3689" s="15"/>
      <c r="AA3689" s="15"/>
    </row>
    <row r="3690">
      <c r="A3690" s="5" t="s">
        <v>16476</v>
      </c>
      <c r="B3690" s="131" t="s">
        <v>16514</v>
      </c>
      <c r="C3690" s="40" t="s">
        <v>16515</v>
      </c>
      <c r="D3690" s="11"/>
      <c r="E3690" s="11" t="s">
        <v>16516</v>
      </c>
      <c r="F3690" s="90" t="s">
        <v>16517</v>
      </c>
      <c r="G3690" s="321"/>
      <c r="H3690" s="11" t="s">
        <v>519</v>
      </c>
      <c r="I3690" s="423"/>
      <c r="J3690" s="14"/>
      <c r="K3690" s="13"/>
      <c r="L3690" s="13"/>
      <c r="M3690" s="14"/>
      <c r="N3690" s="15"/>
      <c r="O3690" s="5" t="s">
        <v>108</v>
      </c>
      <c r="P3690" s="15"/>
      <c r="Q3690" s="15"/>
      <c r="R3690" s="422"/>
      <c r="S3690" s="15"/>
      <c r="T3690" s="15"/>
      <c r="U3690" s="15"/>
      <c r="V3690" s="15"/>
      <c r="W3690" s="15"/>
      <c r="X3690" s="15"/>
      <c r="Y3690" s="15"/>
      <c r="Z3690" s="15"/>
      <c r="AA3690" s="15"/>
    </row>
    <row r="3691">
      <c r="A3691" s="5" t="s">
        <v>16476</v>
      </c>
      <c r="B3691" s="131" t="s">
        <v>16518</v>
      </c>
      <c r="C3691" s="40" t="s">
        <v>16519</v>
      </c>
      <c r="D3691" s="11"/>
      <c r="E3691" s="11" t="s">
        <v>16520</v>
      </c>
      <c r="F3691" s="9">
        <v>100000.0</v>
      </c>
      <c r="G3691" s="321"/>
      <c r="H3691" s="11" t="s">
        <v>16521</v>
      </c>
      <c r="I3691" s="423"/>
      <c r="J3691" s="14"/>
      <c r="K3691" s="13"/>
      <c r="L3691" s="13"/>
      <c r="M3691" s="14"/>
      <c r="N3691" s="15"/>
      <c r="O3691" s="5" t="s">
        <v>108</v>
      </c>
      <c r="P3691" s="15"/>
      <c r="Q3691" s="15"/>
      <c r="R3691" s="422"/>
      <c r="S3691" s="15"/>
      <c r="T3691" s="15"/>
      <c r="U3691" s="15"/>
      <c r="V3691" s="15"/>
      <c r="W3691" s="15"/>
      <c r="X3691" s="15"/>
      <c r="Y3691" s="15"/>
      <c r="Z3691" s="15"/>
      <c r="AA3691" s="15"/>
    </row>
    <row r="3692">
      <c r="A3692" s="5" t="s">
        <v>16476</v>
      </c>
      <c r="B3692" s="131" t="s">
        <v>16522</v>
      </c>
      <c r="C3692" s="40" t="s">
        <v>16523</v>
      </c>
      <c r="D3692" s="11"/>
      <c r="E3692" s="11" t="s">
        <v>794</v>
      </c>
      <c r="F3692" s="9">
        <v>15000.0</v>
      </c>
      <c r="G3692" s="321"/>
      <c r="H3692" s="11" t="s">
        <v>44</v>
      </c>
      <c r="I3692" s="423"/>
      <c r="J3692" s="14"/>
      <c r="K3692" s="12"/>
      <c r="L3692" s="12"/>
      <c r="M3692" s="11" t="s">
        <v>9901</v>
      </c>
      <c r="N3692" s="5" t="s">
        <v>16524</v>
      </c>
      <c r="O3692" s="5" t="s">
        <v>26</v>
      </c>
      <c r="P3692" s="15"/>
      <c r="Q3692" s="15"/>
      <c r="R3692" s="422"/>
      <c r="S3692" s="15"/>
      <c r="T3692" s="15"/>
      <c r="U3692" s="15"/>
      <c r="V3692" s="15"/>
      <c r="W3692" s="15"/>
      <c r="X3692" s="15"/>
      <c r="Y3692" s="15"/>
      <c r="Z3692" s="15"/>
      <c r="AA3692" s="15"/>
    </row>
    <row r="3693">
      <c r="A3693" s="5" t="s">
        <v>16476</v>
      </c>
      <c r="B3693" s="131" t="s">
        <v>16525</v>
      </c>
      <c r="C3693" s="40" t="s">
        <v>16526</v>
      </c>
      <c r="D3693" s="11"/>
      <c r="E3693" s="11" t="s">
        <v>7897</v>
      </c>
      <c r="F3693" s="90">
        <v>1000.0</v>
      </c>
      <c r="G3693" s="321"/>
      <c r="H3693" s="11" t="s">
        <v>2662</v>
      </c>
      <c r="I3693" s="423"/>
      <c r="J3693" s="14"/>
      <c r="K3693" s="12"/>
      <c r="L3693" s="12"/>
      <c r="M3693" s="11" t="s">
        <v>7718</v>
      </c>
      <c r="N3693" s="5" t="s">
        <v>16527</v>
      </c>
      <c r="O3693" s="5" t="s">
        <v>108</v>
      </c>
      <c r="P3693" s="15"/>
      <c r="Q3693" s="15"/>
      <c r="R3693" s="422"/>
      <c r="S3693" s="15"/>
      <c r="T3693" s="15"/>
      <c r="U3693" s="15"/>
      <c r="V3693" s="15"/>
      <c r="W3693" s="15"/>
      <c r="X3693" s="15"/>
      <c r="Y3693" s="15"/>
      <c r="Z3693" s="15"/>
      <c r="AA3693" s="15"/>
    </row>
    <row r="3694">
      <c r="A3694" s="5" t="s">
        <v>16476</v>
      </c>
      <c r="B3694" s="131" t="s">
        <v>16528</v>
      </c>
      <c r="C3694" s="40" t="s">
        <v>16529</v>
      </c>
      <c r="D3694" s="11"/>
      <c r="E3694" s="11" t="s">
        <v>7897</v>
      </c>
      <c r="F3694" s="90">
        <v>500.0</v>
      </c>
      <c r="G3694" s="321"/>
      <c r="H3694" s="11" t="s">
        <v>467</v>
      </c>
      <c r="I3694" s="423"/>
      <c r="J3694" s="14"/>
      <c r="K3694" s="12"/>
      <c r="L3694" s="12"/>
      <c r="M3694" s="11" t="s">
        <v>7718</v>
      </c>
      <c r="N3694" s="5" t="s">
        <v>16530</v>
      </c>
      <c r="O3694" s="5" t="s">
        <v>108</v>
      </c>
      <c r="P3694" s="15"/>
      <c r="Q3694" s="15"/>
      <c r="R3694" s="422"/>
      <c r="S3694" s="15"/>
      <c r="T3694" s="15"/>
      <c r="U3694" s="15"/>
      <c r="V3694" s="15"/>
      <c r="W3694" s="15"/>
      <c r="X3694" s="15"/>
      <c r="Y3694" s="15"/>
      <c r="Z3694" s="15"/>
      <c r="AA3694" s="15"/>
    </row>
    <row r="3695">
      <c r="A3695" s="5" t="s">
        <v>16476</v>
      </c>
      <c r="B3695" s="131" t="s">
        <v>16531</v>
      </c>
      <c r="C3695" s="40" t="s">
        <v>16532</v>
      </c>
      <c r="D3695" s="11"/>
      <c r="E3695" s="11" t="s">
        <v>267</v>
      </c>
      <c r="F3695" s="90">
        <v>100.0</v>
      </c>
      <c r="G3695" s="321"/>
      <c r="H3695" s="11" t="s">
        <v>44</v>
      </c>
      <c r="I3695" s="276"/>
      <c r="J3695" s="11" t="s">
        <v>8773</v>
      </c>
      <c r="K3695" s="12"/>
      <c r="L3695" s="12"/>
      <c r="M3695" s="11" t="s">
        <v>8348</v>
      </c>
      <c r="N3695" s="5" t="s">
        <v>16533</v>
      </c>
      <c r="O3695" s="5" t="s">
        <v>14119</v>
      </c>
      <c r="P3695" s="15"/>
      <c r="Q3695" s="15"/>
      <c r="R3695" s="422"/>
      <c r="S3695" s="15"/>
      <c r="T3695" s="15"/>
      <c r="U3695" s="15"/>
      <c r="V3695" s="15"/>
      <c r="W3695" s="15"/>
      <c r="X3695" s="15"/>
      <c r="Y3695" s="15"/>
      <c r="Z3695" s="15"/>
      <c r="AA3695" s="15"/>
    </row>
    <row r="3696">
      <c r="A3696" s="5" t="s">
        <v>16476</v>
      </c>
      <c r="B3696" s="131" t="s">
        <v>16534</v>
      </c>
      <c r="C3696" s="40" t="s">
        <v>11130</v>
      </c>
      <c r="D3696" s="11"/>
      <c r="E3696" s="11" t="s">
        <v>3165</v>
      </c>
      <c r="F3696" s="90">
        <v>500.0</v>
      </c>
      <c r="G3696" s="321"/>
      <c r="H3696" s="11" t="s">
        <v>131</v>
      </c>
      <c r="I3696" s="276"/>
      <c r="J3696" s="11" t="s">
        <v>8773</v>
      </c>
      <c r="K3696" s="12"/>
      <c r="L3696" s="12"/>
      <c r="M3696" s="11" t="s">
        <v>14117</v>
      </c>
      <c r="N3696" s="5" t="s">
        <v>16535</v>
      </c>
      <c r="O3696" s="5" t="s">
        <v>26</v>
      </c>
      <c r="P3696" s="15"/>
      <c r="Q3696" s="15"/>
      <c r="R3696" s="422"/>
      <c r="S3696" s="15"/>
      <c r="T3696" s="15"/>
      <c r="U3696" s="15"/>
      <c r="V3696" s="15"/>
      <c r="W3696" s="15"/>
      <c r="X3696" s="15"/>
      <c r="Y3696" s="15"/>
      <c r="Z3696" s="15"/>
      <c r="AA3696" s="15"/>
    </row>
    <row r="3697">
      <c r="A3697" s="5" t="s">
        <v>16476</v>
      </c>
      <c r="B3697" s="131" t="s">
        <v>16536</v>
      </c>
      <c r="C3697" s="40" t="s">
        <v>16537</v>
      </c>
      <c r="D3697" s="11"/>
      <c r="E3697" s="11" t="s">
        <v>6027</v>
      </c>
      <c r="F3697" s="90">
        <v>1000.0</v>
      </c>
      <c r="G3697" s="321"/>
      <c r="H3697" s="11" t="s">
        <v>906</v>
      </c>
      <c r="I3697" s="276"/>
      <c r="J3697" s="11" t="s">
        <v>25</v>
      </c>
      <c r="K3697" s="13"/>
      <c r="L3697" s="13"/>
      <c r="M3697" s="14"/>
      <c r="N3697" s="15"/>
      <c r="O3697" s="5" t="s">
        <v>108</v>
      </c>
      <c r="P3697" s="15"/>
      <c r="Q3697" s="15"/>
      <c r="R3697" s="422"/>
      <c r="S3697" s="15"/>
      <c r="T3697" s="15"/>
      <c r="U3697" s="15"/>
      <c r="V3697" s="15"/>
      <c r="W3697" s="15"/>
      <c r="X3697" s="15"/>
      <c r="Y3697" s="15"/>
      <c r="Z3697" s="15"/>
      <c r="AA3697" s="15"/>
    </row>
    <row r="3698">
      <c r="A3698" s="5" t="s">
        <v>16538</v>
      </c>
      <c r="B3698" s="131" t="s">
        <v>16539</v>
      </c>
      <c r="C3698" s="40" t="s">
        <v>16540</v>
      </c>
      <c r="D3698" s="11"/>
      <c r="E3698" s="11" t="s">
        <v>6042</v>
      </c>
      <c r="F3698" s="90" t="s">
        <v>16541</v>
      </c>
      <c r="G3698" s="321"/>
      <c r="H3698" s="11" t="s">
        <v>3167</v>
      </c>
      <c r="I3698" s="423"/>
      <c r="J3698" s="14"/>
      <c r="K3698" s="13"/>
      <c r="L3698" s="13"/>
      <c r="M3698" s="14"/>
      <c r="N3698" s="15"/>
      <c r="O3698" s="5" t="s">
        <v>26</v>
      </c>
      <c r="P3698" s="15"/>
      <c r="Q3698" s="15"/>
      <c r="R3698" s="422"/>
      <c r="S3698" s="15"/>
      <c r="T3698" s="15"/>
      <c r="U3698" s="15"/>
      <c r="V3698" s="15"/>
      <c r="W3698" s="15"/>
      <c r="X3698" s="15"/>
      <c r="Y3698" s="15"/>
      <c r="Z3698" s="15"/>
      <c r="AA3698" s="15"/>
    </row>
    <row r="3699">
      <c r="A3699" s="5" t="s">
        <v>16538</v>
      </c>
      <c r="B3699" s="131" t="s">
        <v>16542</v>
      </c>
      <c r="C3699" s="40" t="s">
        <v>16543</v>
      </c>
      <c r="D3699" s="11"/>
      <c r="E3699" s="11" t="s">
        <v>43</v>
      </c>
      <c r="F3699" s="9">
        <v>20000.0</v>
      </c>
      <c r="G3699" s="321"/>
      <c r="H3699" s="11" t="s">
        <v>12134</v>
      </c>
      <c r="I3699" s="423"/>
      <c r="J3699" s="14"/>
      <c r="K3699" s="13"/>
      <c r="L3699" s="13"/>
      <c r="M3699" s="14"/>
      <c r="N3699" s="15"/>
      <c r="O3699" s="5" t="s">
        <v>108</v>
      </c>
      <c r="P3699" s="15"/>
      <c r="Q3699" s="15"/>
      <c r="R3699" s="422"/>
      <c r="S3699" s="15"/>
      <c r="T3699" s="15"/>
      <c r="U3699" s="15"/>
      <c r="V3699" s="15"/>
      <c r="W3699" s="15"/>
      <c r="X3699" s="15"/>
      <c r="Y3699" s="15"/>
      <c r="Z3699" s="15"/>
      <c r="AA3699" s="15"/>
    </row>
    <row r="3700">
      <c r="A3700" s="5" t="s">
        <v>16538</v>
      </c>
      <c r="B3700" s="131" t="s">
        <v>16544</v>
      </c>
      <c r="C3700" s="40" t="s">
        <v>16545</v>
      </c>
      <c r="D3700" s="11"/>
      <c r="E3700" s="11" t="s">
        <v>5293</v>
      </c>
      <c r="F3700" s="90">
        <v>50.0</v>
      </c>
      <c r="G3700" s="321"/>
      <c r="H3700" s="11" t="s">
        <v>906</v>
      </c>
      <c r="I3700" s="276"/>
      <c r="J3700" s="11" t="s">
        <v>25</v>
      </c>
      <c r="K3700" s="13"/>
      <c r="L3700" s="13"/>
      <c r="M3700" s="14"/>
      <c r="N3700" s="15"/>
      <c r="O3700" s="5" t="s">
        <v>14119</v>
      </c>
      <c r="P3700" s="15"/>
      <c r="Q3700" s="15"/>
      <c r="R3700" s="422"/>
      <c r="S3700" s="15"/>
      <c r="T3700" s="15"/>
      <c r="U3700" s="15"/>
      <c r="V3700" s="15"/>
      <c r="W3700" s="15"/>
      <c r="X3700" s="15"/>
      <c r="Y3700" s="15"/>
      <c r="Z3700" s="15"/>
      <c r="AA3700" s="15"/>
    </row>
    <row r="3701">
      <c r="A3701" s="5" t="s">
        <v>16538</v>
      </c>
      <c r="B3701" s="131" t="s">
        <v>16546</v>
      </c>
      <c r="C3701" s="40" t="s">
        <v>16547</v>
      </c>
      <c r="D3701" s="11"/>
      <c r="E3701" s="11" t="s">
        <v>1749</v>
      </c>
      <c r="F3701" s="90">
        <v>50.0</v>
      </c>
      <c r="G3701" s="321"/>
      <c r="H3701" s="11" t="s">
        <v>2478</v>
      </c>
      <c r="I3701" s="276"/>
      <c r="J3701" s="11" t="s">
        <v>25</v>
      </c>
      <c r="K3701" s="13"/>
      <c r="L3701" s="13"/>
      <c r="M3701" s="14"/>
      <c r="N3701" s="15"/>
      <c r="O3701" s="5" t="s">
        <v>14119</v>
      </c>
      <c r="P3701" s="15"/>
      <c r="Q3701" s="15"/>
      <c r="R3701" s="422"/>
      <c r="S3701" s="15"/>
      <c r="T3701" s="15"/>
      <c r="U3701" s="15"/>
      <c r="V3701" s="15"/>
      <c r="W3701" s="15"/>
      <c r="X3701" s="15"/>
      <c r="Y3701" s="15"/>
      <c r="Z3701" s="15"/>
      <c r="AA3701" s="15"/>
    </row>
    <row r="3702">
      <c r="A3702" s="5" t="s">
        <v>16538</v>
      </c>
      <c r="B3702" s="131" t="s">
        <v>16548</v>
      </c>
      <c r="C3702" s="40" t="s">
        <v>16549</v>
      </c>
      <c r="D3702" s="11"/>
      <c r="E3702" s="11" t="s">
        <v>147</v>
      </c>
      <c r="F3702" s="90">
        <v>50.0</v>
      </c>
      <c r="G3702" s="321"/>
      <c r="H3702" s="11" t="s">
        <v>16550</v>
      </c>
      <c r="I3702" s="276"/>
      <c r="J3702" s="11" t="s">
        <v>25</v>
      </c>
      <c r="K3702" s="13"/>
      <c r="L3702" s="13"/>
      <c r="M3702" s="14"/>
      <c r="N3702" s="15"/>
      <c r="O3702" s="5" t="s">
        <v>14119</v>
      </c>
      <c r="P3702" s="15"/>
      <c r="Q3702" s="15"/>
      <c r="R3702" s="422"/>
      <c r="S3702" s="15"/>
      <c r="T3702" s="15"/>
      <c r="U3702" s="15"/>
      <c r="V3702" s="15"/>
      <c r="W3702" s="15"/>
      <c r="X3702" s="15"/>
      <c r="Y3702" s="15"/>
      <c r="Z3702" s="15"/>
      <c r="AA3702" s="15"/>
    </row>
    <row r="3703">
      <c r="A3703" s="5" t="s">
        <v>16538</v>
      </c>
      <c r="B3703" s="131" t="s">
        <v>16551</v>
      </c>
      <c r="C3703" s="40" t="s">
        <v>16552</v>
      </c>
      <c r="D3703" s="11"/>
      <c r="E3703" s="11" t="s">
        <v>16553</v>
      </c>
      <c r="F3703" s="90">
        <v>40.0</v>
      </c>
      <c r="G3703" s="321"/>
      <c r="H3703" s="11" t="s">
        <v>2882</v>
      </c>
      <c r="I3703" s="276"/>
      <c r="J3703" s="11" t="s">
        <v>16554</v>
      </c>
      <c r="K3703" s="13"/>
      <c r="L3703" s="13"/>
      <c r="M3703" s="14"/>
      <c r="N3703" s="15"/>
      <c r="O3703" s="5" t="s">
        <v>14119</v>
      </c>
      <c r="P3703" s="15"/>
      <c r="Q3703" s="15"/>
      <c r="R3703" s="422"/>
      <c r="S3703" s="15"/>
      <c r="T3703" s="15"/>
      <c r="U3703" s="15"/>
      <c r="V3703" s="15"/>
      <c r="W3703" s="15"/>
      <c r="X3703" s="15"/>
      <c r="Y3703" s="15"/>
      <c r="Z3703" s="15"/>
      <c r="AA3703" s="15"/>
    </row>
    <row r="3704">
      <c r="A3704" s="5" t="s">
        <v>16538</v>
      </c>
      <c r="B3704" s="131" t="s">
        <v>16555</v>
      </c>
      <c r="C3704" s="40" t="s">
        <v>16556</v>
      </c>
      <c r="D3704" s="11"/>
      <c r="E3704" s="11" t="s">
        <v>7197</v>
      </c>
      <c r="F3704" s="9">
        <v>22000.0</v>
      </c>
      <c r="G3704" s="321"/>
      <c r="H3704" s="11" t="s">
        <v>328</v>
      </c>
      <c r="I3704" s="276"/>
      <c r="J3704" s="11" t="s">
        <v>4008</v>
      </c>
      <c r="K3704" s="13"/>
      <c r="L3704" s="13"/>
      <c r="M3704" s="14"/>
      <c r="N3704" s="15"/>
      <c r="O3704" s="5" t="s">
        <v>108</v>
      </c>
      <c r="P3704" s="15"/>
      <c r="Q3704" s="15"/>
      <c r="R3704" s="422"/>
      <c r="S3704" s="15"/>
      <c r="T3704" s="15"/>
      <c r="U3704" s="15"/>
      <c r="V3704" s="15"/>
      <c r="W3704" s="15"/>
      <c r="X3704" s="15"/>
      <c r="Y3704" s="15"/>
      <c r="Z3704" s="15"/>
      <c r="AA3704" s="15"/>
    </row>
    <row r="3705">
      <c r="A3705" s="5" t="s">
        <v>16538</v>
      </c>
      <c r="B3705" s="131" t="s">
        <v>16557</v>
      </c>
      <c r="C3705" s="40" t="s">
        <v>16558</v>
      </c>
      <c r="D3705" s="11"/>
      <c r="E3705" s="11" t="s">
        <v>16559</v>
      </c>
      <c r="F3705" s="90">
        <v>5000.0</v>
      </c>
      <c r="G3705" s="321"/>
      <c r="H3705" s="11" t="s">
        <v>44</v>
      </c>
      <c r="I3705" s="276"/>
      <c r="J3705" s="11" t="s">
        <v>4008</v>
      </c>
      <c r="K3705" s="13"/>
      <c r="L3705" s="13"/>
      <c r="M3705" s="14"/>
      <c r="N3705" s="15"/>
      <c r="O3705" s="5" t="s">
        <v>26</v>
      </c>
      <c r="P3705" s="15"/>
      <c r="Q3705" s="15"/>
      <c r="R3705" s="422"/>
      <c r="S3705" s="15"/>
      <c r="T3705" s="15"/>
      <c r="U3705" s="15"/>
      <c r="V3705" s="15"/>
      <c r="W3705" s="15"/>
      <c r="X3705" s="15"/>
      <c r="Y3705" s="15"/>
      <c r="Z3705" s="15"/>
      <c r="AA3705" s="15"/>
    </row>
    <row r="3706">
      <c r="A3706" s="5" t="s">
        <v>16560</v>
      </c>
      <c r="B3706" s="131" t="s">
        <v>16561</v>
      </c>
      <c r="C3706" s="40" t="s">
        <v>16562</v>
      </c>
      <c r="D3706" s="11"/>
      <c r="E3706" s="11" t="s">
        <v>5502</v>
      </c>
      <c r="F3706" s="90" t="s">
        <v>15446</v>
      </c>
      <c r="G3706" s="321"/>
      <c r="H3706" s="11" t="s">
        <v>519</v>
      </c>
      <c r="I3706" s="423"/>
      <c r="J3706" s="14"/>
      <c r="K3706" s="12"/>
      <c r="L3706" s="12"/>
      <c r="M3706" s="11" t="s">
        <v>14392</v>
      </c>
      <c r="N3706" s="5" t="s">
        <v>16563</v>
      </c>
      <c r="O3706" s="5" t="s">
        <v>108</v>
      </c>
      <c r="P3706" s="15"/>
      <c r="Q3706" s="15"/>
      <c r="R3706" s="422"/>
      <c r="S3706" s="15"/>
      <c r="T3706" s="15"/>
      <c r="U3706" s="15"/>
      <c r="V3706" s="15"/>
      <c r="W3706" s="15"/>
      <c r="X3706" s="15"/>
      <c r="Y3706" s="15"/>
      <c r="Z3706" s="15"/>
      <c r="AA3706" s="15"/>
    </row>
    <row r="3707">
      <c r="A3707" s="5" t="s">
        <v>16560</v>
      </c>
      <c r="B3707" s="131" t="s">
        <v>16564</v>
      </c>
      <c r="C3707" s="40" t="s">
        <v>16565</v>
      </c>
      <c r="D3707" s="11"/>
      <c r="E3707" s="11" t="s">
        <v>539</v>
      </c>
      <c r="F3707" s="90">
        <v>200.0</v>
      </c>
      <c r="G3707" s="321"/>
      <c r="H3707" s="11" t="s">
        <v>2682</v>
      </c>
      <c r="I3707" s="423"/>
      <c r="J3707" s="14"/>
      <c r="K3707" s="13"/>
      <c r="L3707" s="13"/>
      <c r="M3707" s="14"/>
      <c r="N3707" s="15"/>
      <c r="O3707" s="5" t="s">
        <v>14119</v>
      </c>
      <c r="P3707" s="15"/>
      <c r="Q3707" s="15"/>
      <c r="R3707" s="422"/>
      <c r="S3707" s="15"/>
      <c r="T3707" s="15"/>
      <c r="U3707" s="15"/>
      <c r="V3707" s="15"/>
      <c r="W3707" s="15"/>
      <c r="X3707" s="15"/>
      <c r="Y3707" s="15"/>
      <c r="Z3707" s="15"/>
      <c r="AA3707" s="15"/>
    </row>
    <row r="3708">
      <c r="A3708" s="5" t="s">
        <v>16560</v>
      </c>
      <c r="B3708" s="131" t="s">
        <v>16566</v>
      </c>
      <c r="C3708" s="40" t="s">
        <v>16567</v>
      </c>
      <c r="D3708" s="11"/>
      <c r="E3708" s="11" t="s">
        <v>11377</v>
      </c>
      <c r="F3708" s="90">
        <v>1000.0</v>
      </c>
      <c r="G3708" s="321"/>
      <c r="H3708" s="11" t="s">
        <v>184</v>
      </c>
      <c r="I3708" s="423"/>
      <c r="J3708" s="14"/>
      <c r="K3708" s="13"/>
      <c r="L3708" s="13"/>
      <c r="M3708" s="14"/>
      <c r="N3708" s="15"/>
      <c r="O3708" s="5" t="s">
        <v>26</v>
      </c>
      <c r="P3708" s="15"/>
      <c r="Q3708" s="15"/>
      <c r="R3708" s="422"/>
      <c r="S3708" s="15"/>
      <c r="T3708" s="15"/>
      <c r="U3708" s="15"/>
      <c r="V3708" s="15"/>
      <c r="W3708" s="15"/>
      <c r="X3708" s="15"/>
      <c r="Y3708" s="15"/>
      <c r="Z3708" s="15"/>
      <c r="AA3708" s="15"/>
    </row>
    <row r="3709">
      <c r="A3709" s="5" t="s">
        <v>16560</v>
      </c>
      <c r="B3709" s="131" t="s">
        <v>16568</v>
      </c>
      <c r="C3709" s="40" t="s">
        <v>16569</v>
      </c>
      <c r="D3709" s="11"/>
      <c r="E3709" s="11" t="s">
        <v>412</v>
      </c>
      <c r="F3709" s="90">
        <v>100.0</v>
      </c>
      <c r="G3709" s="321"/>
      <c r="H3709" s="11" t="s">
        <v>981</v>
      </c>
      <c r="I3709" s="423"/>
      <c r="J3709" s="14"/>
      <c r="K3709" s="13"/>
      <c r="L3709" s="13"/>
      <c r="M3709" s="14"/>
      <c r="N3709" s="15"/>
      <c r="O3709" s="5" t="s">
        <v>14119</v>
      </c>
      <c r="P3709" s="15"/>
      <c r="Q3709" s="15"/>
      <c r="R3709" s="422"/>
      <c r="S3709" s="15"/>
      <c r="T3709" s="15"/>
      <c r="U3709" s="15"/>
      <c r="V3709" s="15"/>
      <c r="W3709" s="15"/>
      <c r="X3709" s="15"/>
      <c r="Y3709" s="15"/>
      <c r="Z3709" s="15"/>
      <c r="AA3709" s="15"/>
    </row>
    <row r="3710">
      <c r="A3710" s="5" t="s">
        <v>16560</v>
      </c>
      <c r="B3710" s="131" t="s">
        <v>16570</v>
      </c>
      <c r="C3710" s="40" t="s">
        <v>16571</v>
      </c>
      <c r="D3710" s="11"/>
      <c r="E3710" s="11" t="s">
        <v>517</v>
      </c>
      <c r="F3710" s="9">
        <v>40000.0</v>
      </c>
      <c r="G3710" s="321"/>
      <c r="H3710" s="11" t="s">
        <v>16572</v>
      </c>
      <c r="I3710" s="276"/>
      <c r="J3710" s="11" t="s">
        <v>4008</v>
      </c>
      <c r="K3710" s="12"/>
      <c r="L3710" s="12"/>
      <c r="M3710" s="11" t="s">
        <v>8782</v>
      </c>
      <c r="N3710" s="5" t="s">
        <v>16573</v>
      </c>
      <c r="O3710" s="5" t="s">
        <v>108</v>
      </c>
      <c r="P3710" s="15"/>
      <c r="Q3710" s="15"/>
      <c r="R3710" s="422"/>
      <c r="S3710" s="15"/>
      <c r="T3710" s="15"/>
      <c r="U3710" s="15"/>
      <c r="V3710" s="15"/>
      <c r="W3710" s="15"/>
      <c r="X3710" s="15"/>
      <c r="Y3710" s="15"/>
      <c r="Z3710" s="15"/>
      <c r="AA3710" s="15"/>
    </row>
    <row r="3711">
      <c r="A3711" s="5" t="s">
        <v>16560</v>
      </c>
      <c r="B3711" s="131" t="s">
        <v>16574</v>
      </c>
      <c r="C3711" s="40" t="s">
        <v>16575</v>
      </c>
      <c r="D3711" s="11"/>
      <c r="E3711" s="11" t="s">
        <v>1280</v>
      </c>
      <c r="F3711" s="90">
        <v>100.0</v>
      </c>
      <c r="G3711" s="321"/>
      <c r="H3711" s="11" t="s">
        <v>3167</v>
      </c>
      <c r="I3711" s="423"/>
      <c r="J3711" s="14"/>
      <c r="K3711" s="12"/>
      <c r="L3711" s="12"/>
      <c r="M3711" s="11" t="s">
        <v>8638</v>
      </c>
      <c r="N3711" s="5" t="s">
        <v>16576</v>
      </c>
      <c r="O3711" s="5" t="s">
        <v>14119</v>
      </c>
      <c r="P3711" s="15"/>
      <c r="Q3711" s="15"/>
      <c r="R3711" s="422"/>
      <c r="S3711" s="15"/>
      <c r="T3711" s="15"/>
      <c r="U3711" s="15"/>
      <c r="V3711" s="15"/>
      <c r="W3711" s="15"/>
      <c r="X3711" s="15"/>
      <c r="Y3711" s="15"/>
      <c r="Z3711" s="15"/>
      <c r="AA3711" s="15"/>
    </row>
    <row r="3712">
      <c r="A3712" s="5" t="s">
        <v>16560</v>
      </c>
      <c r="B3712" s="131" t="s">
        <v>16577</v>
      </c>
      <c r="C3712" s="40" t="s">
        <v>16578</v>
      </c>
      <c r="D3712" s="11"/>
      <c r="E3712" s="11" t="s">
        <v>97</v>
      </c>
      <c r="F3712" s="90">
        <v>200.0</v>
      </c>
      <c r="G3712" s="321"/>
      <c r="H3712" s="11" t="s">
        <v>8430</v>
      </c>
      <c r="I3712" s="276"/>
      <c r="J3712" s="11" t="s">
        <v>4008</v>
      </c>
      <c r="K3712" s="12"/>
      <c r="L3712" s="12"/>
      <c r="M3712" s="11" t="s">
        <v>9298</v>
      </c>
      <c r="N3712" s="5" t="s">
        <v>16579</v>
      </c>
      <c r="O3712" s="5" t="s">
        <v>14119</v>
      </c>
      <c r="P3712" s="15"/>
      <c r="Q3712" s="15"/>
      <c r="R3712" s="422"/>
      <c r="S3712" s="15"/>
      <c r="T3712" s="15"/>
      <c r="U3712" s="15"/>
      <c r="V3712" s="15"/>
      <c r="W3712" s="15"/>
      <c r="X3712" s="15"/>
      <c r="Y3712" s="15"/>
      <c r="Z3712" s="15"/>
      <c r="AA3712" s="15"/>
    </row>
    <row r="3713">
      <c r="A3713" s="5" t="s">
        <v>16560</v>
      </c>
      <c r="B3713" s="131" t="s">
        <v>16580</v>
      </c>
      <c r="C3713" s="40" t="s">
        <v>16581</v>
      </c>
      <c r="D3713" s="11"/>
      <c r="E3713" s="11" t="s">
        <v>1182</v>
      </c>
      <c r="F3713" s="90">
        <v>50.0</v>
      </c>
      <c r="G3713" s="321"/>
      <c r="H3713" s="11" t="s">
        <v>906</v>
      </c>
      <c r="I3713" s="423"/>
      <c r="J3713" s="14"/>
      <c r="K3713" s="13"/>
      <c r="L3713" s="13"/>
      <c r="M3713" s="14"/>
      <c r="N3713" s="15"/>
      <c r="O3713" s="5" t="s">
        <v>14119</v>
      </c>
      <c r="P3713" s="15"/>
      <c r="Q3713" s="15"/>
      <c r="R3713" s="422"/>
      <c r="S3713" s="15"/>
      <c r="T3713" s="15"/>
      <c r="U3713" s="15"/>
      <c r="V3713" s="15"/>
      <c r="W3713" s="15"/>
      <c r="X3713" s="15"/>
      <c r="Y3713" s="15"/>
      <c r="Z3713" s="15"/>
      <c r="AA3713" s="15"/>
    </row>
    <row r="3714">
      <c r="A3714" s="5" t="s">
        <v>16560</v>
      </c>
      <c r="B3714" s="131" t="s">
        <v>16582</v>
      </c>
      <c r="C3714" s="40" t="s">
        <v>16583</v>
      </c>
      <c r="D3714" s="11"/>
      <c r="E3714" s="11" t="s">
        <v>10377</v>
      </c>
      <c r="F3714" s="90">
        <v>4000.0</v>
      </c>
      <c r="G3714" s="321"/>
      <c r="H3714" s="11" t="s">
        <v>2682</v>
      </c>
      <c r="I3714" s="423"/>
      <c r="J3714" s="14"/>
      <c r="K3714" s="13"/>
      <c r="L3714" s="13"/>
      <c r="M3714" s="14"/>
      <c r="N3714" s="15"/>
      <c r="O3714" s="5" t="s">
        <v>108</v>
      </c>
      <c r="P3714" s="15"/>
      <c r="Q3714" s="15"/>
      <c r="R3714" s="422"/>
      <c r="S3714" s="15"/>
      <c r="T3714" s="15"/>
      <c r="U3714" s="15"/>
      <c r="V3714" s="15"/>
      <c r="W3714" s="15"/>
      <c r="X3714" s="15"/>
      <c r="Y3714" s="15"/>
      <c r="Z3714" s="15"/>
      <c r="AA3714" s="15"/>
    </row>
    <row r="3715">
      <c r="A3715" s="5" t="s">
        <v>16560</v>
      </c>
      <c r="B3715" s="131" t="s">
        <v>16584</v>
      </c>
      <c r="C3715" s="40" t="s">
        <v>16585</v>
      </c>
      <c r="D3715" s="11"/>
      <c r="E3715" s="11" t="s">
        <v>130</v>
      </c>
      <c r="F3715" s="9">
        <v>1000000.0</v>
      </c>
      <c r="G3715" s="321"/>
      <c r="H3715" s="11" t="s">
        <v>930</v>
      </c>
      <c r="I3715" s="276"/>
      <c r="J3715" s="11" t="s">
        <v>25</v>
      </c>
      <c r="K3715" s="13"/>
      <c r="L3715" s="13"/>
      <c r="M3715" s="14"/>
      <c r="N3715" s="15"/>
      <c r="O3715" s="5" t="s">
        <v>108</v>
      </c>
      <c r="P3715" s="15"/>
      <c r="Q3715" s="15"/>
      <c r="R3715" s="422"/>
      <c r="S3715" s="15"/>
      <c r="T3715" s="15"/>
      <c r="U3715" s="15"/>
      <c r="V3715" s="15"/>
      <c r="W3715" s="15"/>
      <c r="X3715" s="15"/>
      <c r="Y3715" s="15"/>
      <c r="Z3715" s="15"/>
      <c r="AA3715" s="15"/>
    </row>
    <row r="3716">
      <c r="A3716" s="5" t="s">
        <v>16560</v>
      </c>
      <c r="B3716" s="131" t="s">
        <v>16586</v>
      </c>
      <c r="C3716" s="40" t="s">
        <v>16587</v>
      </c>
      <c r="D3716" s="11"/>
      <c r="E3716" s="11" t="s">
        <v>152</v>
      </c>
      <c r="F3716" s="9">
        <v>300000.0</v>
      </c>
      <c r="G3716" s="321"/>
      <c r="H3716" s="11" t="s">
        <v>7768</v>
      </c>
      <c r="I3716" s="423"/>
      <c r="J3716" s="14"/>
      <c r="K3716" s="13"/>
      <c r="L3716" s="13"/>
      <c r="M3716" s="14"/>
      <c r="N3716" s="15"/>
      <c r="O3716" s="5" t="s">
        <v>26</v>
      </c>
      <c r="P3716" s="15"/>
      <c r="Q3716" s="15"/>
      <c r="R3716" s="422"/>
      <c r="S3716" s="15"/>
      <c r="T3716" s="15"/>
      <c r="U3716" s="15"/>
      <c r="V3716" s="15"/>
      <c r="W3716" s="15"/>
      <c r="X3716" s="15"/>
      <c r="Y3716" s="15"/>
      <c r="Z3716" s="15"/>
      <c r="AA3716" s="15"/>
    </row>
    <row r="3717">
      <c r="A3717" s="5" t="s">
        <v>16588</v>
      </c>
      <c r="B3717" s="131" t="s">
        <v>16589</v>
      </c>
      <c r="C3717" s="40" t="s">
        <v>16590</v>
      </c>
      <c r="D3717" s="11"/>
      <c r="E3717" s="11" t="s">
        <v>539</v>
      </c>
      <c r="F3717" s="90">
        <v>5000.0</v>
      </c>
      <c r="G3717" s="321"/>
      <c r="H3717" s="11" t="s">
        <v>44</v>
      </c>
      <c r="I3717" s="276"/>
      <c r="J3717" s="11" t="s">
        <v>4008</v>
      </c>
      <c r="K3717" s="12"/>
      <c r="L3717" s="12"/>
      <c r="M3717" s="11" t="s">
        <v>16591</v>
      </c>
      <c r="N3717" s="5" t="s">
        <v>16592</v>
      </c>
      <c r="O3717" s="5" t="s">
        <v>26</v>
      </c>
      <c r="P3717" s="15"/>
      <c r="Q3717" s="15"/>
      <c r="R3717" s="422"/>
      <c r="S3717" s="15"/>
      <c r="T3717" s="15"/>
      <c r="U3717" s="15"/>
      <c r="V3717" s="15"/>
      <c r="W3717" s="15"/>
      <c r="X3717" s="15"/>
      <c r="Y3717" s="15"/>
      <c r="Z3717" s="15"/>
      <c r="AA3717" s="15"/>
    </row>
    <row r="3718">
      <c r="A3718" s="5" t="s">
        <v>16588</v>
      </c>
      <c r="B3718" s="131" t="s">
        <v>16593</v>
      </c>
      <c r="C3718" s="40" t="s">
        <v>14784</v>
      </c>
      <c r="D3718" s="11"/>
      <c r="E3718" s="11" t="s">
        <v>16594</v>
      </c>
      <c r="F3718" s="9">
        <v>100000.0</v>
      </c>
      <c r="G3718" s="321"/>
      <c r="H3718" s="11" t="s">
        <v>519</v>
      </c>
      <c r="I3718" s="423"/>
      <c r="J3718" s="14"/>
      <c r="K3718" s="13"/>
      <c r="L3718" s="13"/>
      <c r="M3718" s="14"/>
      <c r="N3718" s="15"/>
      <c r="O3718" s="5" t="s">
        <v>108</v>
      </c>
      <c r="P3718" s="15"/>
      <c r="Q3718" s="15"/>
      <c r="R3718" s="422"/>
      <c r="S3718" s="15"/>
      <c r="T3718" s="15"/>
      <c r="U3718" s="15"/>
      <c r="V3718" s="15"/>
      <c r="W3718" s="15"/>
      <c r="X3718" s="15"/>
      <c r="Y3718" s="15"/>
      <c r="Z3718" s="15"/>
      <c r="AA3718" s="15"/>
    </row>
    <row r="3719">
      <c r="A3719" s="5" t="s">
        <v>16588</v>
      </c>
      <c r="B3719" s="131" t="s">
        <v>16595</v>
      </c>
      <c r="C3719" s="40" t="s">
        <v>16596</v>
      </c>
      <c r="D3719" s="11"/>
      <c r="E3719" s="11" t="s">
        <v>16597</v>
      </c>
      <c r="F3719" s="90" t="s">
        <v>16598</v>
      </c>
      <c r="G3719" s="321"/>
      <c r="H3719" s="11" t="s">
        <v>15380</v>
      </c>
      <c r="I3719" s="423"/>
      <c r="J3719" s="14"/>
      <c r="K3719" s="13"/>
      <c r="L3719" s="13"/>
      <c r="M3719" s="14"/>
      <c r="N3719" s="15"/>
      <c r="O3719" s="5" t="s">
        <v>26</v>
      </c>
      <c r="P3719" s="15"/>
      <c r="Q3719" s="15"/>
      <c r="R3719" s="422"/>
      <c r="S3719" s="15"/>
      <c r="T3719" s="15"/>
      <c r="U3719" s="15"/>
      <c r="V3719" s="15"/>
      <c r="W3719" s="15"/>
      <c r="X3719" s="15"/>
      <c r="Y3719" s="15"/>
      <c r="Z3719" s="15"/>
      <c r="AA3719" s="15"/>
    </row>
    <row r="3720">
      <c r="A3720" s="5" t="s">
        <v>16588</v>
      </c>
      <c r="B3720" s="131" t="s">
        <v>16599</v>
      </c>
      <c r="C3720" s="40" t="s">
        <v>16600</v>
      </c>
      <c r="D3720" s="11"/>
      <c r="E3720" s="11" t="s">
        <v>5502</v>
      </c>
      <c r="F3720" s="90" t="s">
        <v>8507</v>
      </c>
      <c r="G3720" s="321"/>
      <c r="H3720" s="11" t="s">
        <v>16601</v>
      </c>
      <c r="I3720" s="276"/>
      <c r="J3720" s="11" t="s">
        <v>4008</v>
      </c>
      <c r="K3720" s="12"/>
      <c r="L3720" s="12"/>
      <c r="M3720" s="11" t="s">
        <v>16602</v>
      </c>
      <c r="N3720" s="5" t="s">
        <v>16603</v>
      </c>
      <c r="O3720" s="5" t="s">
        <v>108</v>
      </c>
      <c r="P3720" s="15"/>
      <c r="Q3720" s="15"/>
      <c r="R3720" s="422"/>
      <c r="S3720" s="15"/>
      <c r="T3720" s="15"/>
      <c r="U3720" s="15"/>
      <c r="V3720" s="15"/>
      <c r="W3720" s="15"/>
      <c r="X3720" s="15"/>
      <c r="Y3720" s="15"/>
      <c r="Z3720" s="15"/>
      <c r="AA3720" s="15"/>
    </row>
    <row r="3721">
      <c r="A3721" s="5" t="s">
        <v>16588</v>
      </c>
      <c r="B3721" s="131" t="s">
        <v>16604</v>
      </c>
      <c r="C3721" s="40" t="s">
        <v>16605</v>
      </c>
      <c r="D3721" s="11"/>
      <c r="E3721" s="11" t="s">
        <v>16606</v>
      </c>
      <c r="F3721" s="90">
        <v>50.0</v>
      </c>
      <c r="G3721" s="321"/>
      <c r="H3721" s="11" t="s">
        <v>15380</v>
      </c>
      <c r="I3721" s="423"/>
      <c r="J3721" s="14"/>
      <c r="K3721" s="13"/>
      <c r="L3721" s="13"/>
      <c r="M3721" s="14"/>
      <c r="N3721" s="15"/>
      <c r="O3721" s="5" t="s">
        <v>14119</v>
      </c>
      <c r="P3721" s="15"/>
      <c r="Q3721" s="15"/>
      <c r="R3721" s="422"/>
      <c r="S3721" s="15"/>
      <c r="T3721" s="15"/>
      <c r="U3721" s="15"/>
      <c r="V3721" s="15"/>
      <c r="W3721" s="15"/>
      <c r="X3721" s="15"/>
      <c r="Y3721" s="15"/>
      <c r="Z3721" s="15"/>
      <c r="AA3721" s="15"/>
    </row>
    <row r="3722">
      <c r="A3722" s="5" t="s">
        <v>16588</v>
      </c>
      <c r="B3722" s="131" t="s">
        <v>16607</v>
      </c>
      <c r="C3722" s="40" t="s">
        <v>16608</v>
      </c>
      <c r="D3722" s="11"/>
      <c r="E3722" s="11" t="s">
        <v>3736</v>
      </c>
      <c r="F3722" s="90">
        <v>2000.0</v>
      </c>
      <c r="G3722" s="321"/>
      <c r="H3722" s="11" t="s">
        <v>44</v>
      </c>
      <c r="I3722" s="276"/>
      <c r="J3722" s="11" t="s">
        <v>4008</v>
      </c>
      <c r="K3722" s="13"/>
      <c r="L3722" s="13"/>
      <c r="M3722" s="14"/>
      <c r="N3722" s="15"/>
      <c r="O3722" s="5" t="s">
        <v>26</v>
      </c>
      <c r="P3722" s="15"/>
      <c r="Q3722" s="15"/>
      <c r="R3722" s="422"/>
      <c r="S3722" s="15"/>
      <c r="T3722" s="15"/>
      <c r="U3722" s="15"/>
      <c r="V3722" s="15"/>
      <c r="W3722" s="15"/>
      <c r="X3722" s="15"/>
      <c r="Y3722" s="15"/>
      <c r="Z3722" s="15"/>
      <c r="AA3722" s="15"/>
    </row>
    <row r="3723">
      <c r="A3723" s="5" t="s">
        <v>16588</v>
      </c>
      <c r="B3723" s="131" t="s">
        <v>16609</v>
      </c>
      <c r="C3723" s="40" t="s">
        <v>16610</v>
      </c>
      <c r="D3723" s="11"/>
      <c r="E3723" s="11" t="s">
        <v>213</v>
      </c>
      <c r="F3723" s="90">
        <v>50.0</v>
      </c>
      <c r="G3723" s="321"/>
      <c r="H3723" s="11" t="s">
        <v>14723</v>
      </c>
      <c r="I3723" s="423"/>
      <c r="J3723" s="14"/>
      <c r="K3723" s="13"/>
      <c r="L3723" s="13"/>
      <c r="M3723" s="14"/>
      <c r="N3723" s="15"/>
      <c r="O3723" s="5" t="s">
        <v>14119</v>
      </c>
      <c r="P3723" s="15"/>
      <c r="Q3723" s="15"/>
      <c r="R3723" s="422"/>
      <c r="S3723" s="15"/>
      <c r="T3723" s="15"/>
      <c r="U3723" s="15"/>
      <c r="V3723" s="15"/>
      <c r="W3723" s="15"/>
      <c r="X3723" s="15"/>
      <c r="Y3723" s="15"/>
      <c r="Z3723" s="15"/>
      <c r="AA3723" s="15"/>
    </row>
    <row r="3724">
      <c r="A3724" s="5" t="s">
        <v>16588</v>
      </c>
      <c r="B3724" s="131" t="s">
        <v>16611</v>
      </c>
      <c r="C3724" s="40" t="s">
        <v>16612</v>
      </c>
      <c r="D3724" s="11"/>
      <c r="E3724" s="11" t="s">
        <v>894</v>
      </c>
      <c r="F3724" s="90">
        <v>1000.0</v>
      </c>
      <c r="G3724" s="321"/>
      <c r="H3724" s="11" t="s">
        <v>184</v>
      </c>
      <c r="I3724" s="276"/>
      <c r="J3724" s="11" t="s">
        <v>25</v>
      </c>
      <c r="K3724" s="12"/>
      <c r="L3724" s="12"/>
      <c r="M3724" s="11" t="s">
        <v>10656</v>
      </c>
      <c r="N3724" s="5" t="s">
        <v>16613</v>
      </c>
      <c r="O3724" s="5" t="s">
        <v>26</v>
      </c>
      <c r="P3724" s="15"/>
      <c r="Q3724" s="15"/>
      <c r="R3724" s="422"/>
      <c r="S3724" s="15"/>
      <c r="T3724" s="15"/>
      <c r="U3724" s="15"/>
      <c r="V3724" s="15"/>
      <c r="W3724" s="15"/>
      <c r="X3724" s="15"/>
      <c r="Y3724" s="15"/>
      <c r="Z3724" s="15"/>
      <c r="AA3724" s="15"/>
    </row>
    <row r="3725">
      <c r="A3725" s="5" t="s">
        <v>16588</v>
      </c>
      <c r="B3725" s="131" t="s">
        <v>16614</v>
      </c>
      <c r="C3725" s="40" t="s">
        <v>16615</v>
      </c>
      <c r="D3725" s="11"/>
      <c r="E3725" s="11" t="s">
        <v>16616</v>
      </c>
      <c r="F3725" s="9">
        <v>20000.0</v>
      </c>
      <c r="G3725" s="321"/>
      <c r="H3725" s="11" t="s">
        <v>16617</v>
      </c>
      <c r="I3725" s="276"/>
      <c r="J3725" s="11" t="s">
        <v>4008</v>
      </c>
      <c r="K3725" s="13"/>
      <c r="L3725" s="13"/>
      <c r="M3725" s="14"/>
      <c r="N3725" s="15"/>
      <c r="O3725" s="5" t="s">
        <v>108</v>
      </c>
      <c r="P3725" s="15"/>
      <c r="Q3725" s="15"/>
      <c r="R3725" s="422"/>
      <c r="S3725" s="15"/>
      <c r="T3725" s="15"/>
      <c r="U3725" s="15"/>
      <c r="V3725" s="15"/>
      <c r="W3725" s="15"/>
      <c r="X3725" s="15"/>
      <c r="Y3725" s="15"/>
      <c r="Z3725" s="15"/>
      <c r="AA3725" s="15"/>
    </row>
    <row r="3726">
      <c r="A3726" s="5" t="s">
        <v>16588</v>
      </c>
      <c r="B3726" s="131" t="s">
        <v>16618</v>
      </c>
      <c r="C3726" s="40" t="s">
        <v>16619</v>
      </c>
      <c r="D3726" s="11"/>
      <c r="E3726" s="11" t="s">
        <v>14399</v>
      </c>
      <c r="F3726" s="90">
        <v>500.0</v>
      </c>
      <c r="G3726" s="321"/>
      <c r="H3726" s="11" t="s">
        <v>44</v>
      </c>
      <c r="I3726" s="423"/>
      <c r="J3726" s="14"/>
      <c r="K3726" s="13"/>
      <c r="L3726" s="13"/>
      <c r="M3726" s="14"/>
      <c r="N3726" s="15"/>
      <c r="O3726" s="5" t="s">
        <v>26</v>
      </c>
      <c r="P3726" s="15"/>
      <c r="Q3726" s="15"/>
      <c r="R3726" s="422"/>
      <c r="S3726" s="15"/>
      <c r="T3726" s="15"/>
      <c r="U3726" s="15"/>
      <c r="V3726" s="15"/>
      <c r="W3726" s="15"/>
      <c r="X3726" s="15"/>
      <c r="Y3726" s="15"/>
      <c r="Z3726" s="15"/>
      <c r="AA3726" s="15"/>
    </row>
    <row r="3727">
      <c r="A3727" s="5" t="s">
        <v>16588</v>
      </c>
      <c r="B3727" s="131" t="s">
        <v>16620</v>
      </c>
      <c r="C3727" s="40" t="s">
        <v>16621</v>
      </c>
      <c r="D3727" s="11"/>
      <c r="E3727" s="11" t="s">
        <v>16415</v>
      </c>
      <c r="F3727" s="90">
        <v>50.0</v>
      </c>
      <c r="G3727" s="321"/>
      <c r="H3727" s="11" t="s">
        <v>131</v>
      </c>
      <c r="I3727" s="423"/>
      <c r="J3727" s="14"/>
      <c r="K3727" s="13"/>
      <c r="L3727" s="13"/>
      <c r="M3727" s="14"/>
      <c r="N3727" s="15"/>
      <c r="O3727" s="5" t="s">
        <v>14119</v>
      </c>
      <c r="P3727" s="15"/>
      <c r="Q3727" s="15"/>
      <c r="R3727" s="422"/>
      <c r="S3727" s="15"/>
      <c r="T3727" s="15"/>
      <c r="U3727" s="15"/>
      <c r="V3727" s="15"/>
      <c r="W3727" s="15"/>
      <c r="X3727" s="15"/>
      <c r="Y3727" s="15"/>
      <c r="Z3727" s="15"/>
      <c r="AA3727" s="15"/>
    </row>
    <row r="3728">
      <c r="A3728" s="5" t="s">
        <v>16588</v>
      </c>
      <c r="B3728" s="131" t="s">
        <v>16622</v>
      </c>
      <c r="C3728" s="40" t="s">
        <v>16623</v>
      </c>
      <c r="D3728" s="11"/>
      <c r="E3728" s="11" t="s">
        <v>8536</v>
      </c>
      <c r="F3728" s="90">
        <v>500.0</v>
      </c>
      <c r="G3728" s="321"/>
      <c r="H3728" s="11" t="s">
        <v>107</v>
      </c>
      <c r="I3728" s="423"/>
      <c r="J3728" s="14"/>
      <c r="K3728" s="13"/>
      <c r="L3728" s="13"/>
      <c r="M3728" s="14"/>
      <c r="N3728" s="15"/>
      <c r="O3728" s="5" t="s">
        <v>108</v>
      </c>
      <c r="P3728" s="15"/>
      <c r="Q3728" s="15"/>
      <c r="R3728" s="422"/>
      <c r="S3728" s="15"/>
      <c r="T3728" s="15"/>
      <c r="U3728" s="15"/>
      <c r="V3728" s="15"/>
      <c r="W3728" s="15"/>
      <c r="X3728" s="15"/>
      <c r="Y3728" s="15"/>
      <c r="Z3728" s="15"/>
      <c r="AA3728" s="15"/>
    </row>
    <row r="3729">
      <c r="A3729" s="5" t="s">
        <v>16588</v>
      </c>
      <c r="B3729" s="131" t="s">
        <v>16624</v>
      </c>
      <c r="C3729" s="40" t="s">
        <v>4773</v>
      </c>
      <c r="D3729" s="11"/>
      <c r="E3729" s="11" t="s">
        <v>10689</v>
      </c>
      <c r="F3729" s="90">
        <v>500.0</v>
      </c>
      <c r="G3729" s="321"/>
      <c r="H3729" s="11" t="s">
        <v>16625</v>
      </c>
      <c r="I3729" s="423"/>
      <c r="J3729" s="14"/>
      <c r="K3729" s="12"/>
      <c r="L3729" s="12"/>
      <c r="M3729" s="11" t="s">
        <v>9707</v>
      </c>
      <c r="N3729" s="5" t="s">
        <v>16626</v>
      </c>
      <c r="O3729" s="5" t="s">
        <v>26</v>
      </c>
      <c r="P3729" s="15"/>
      <c r="Q3729" s="15"/>
      <c r="R3729" s="422"/>
      <c r="S3729" s="15"/>
      <c r="T3729" s="15"/>
      <c r="U3729" s="15"/>
      <c r="V3729" s="15"/>
      <c r="W3729" s="15"/>
      <c r="X3729" s="15"/>
      <c r="Y3729" s="15"/>
      <c r="Z3729" s="15"/>
      <c r="AA3729" s="15"/>
    </row>
    <row r="3730">
      <c r="A3730" s="5" t="s">
        <v>16588</v>
      </c>
      <c r="B3730" s="131" t="s">
        <v>16627</v>
      </c>
      <c r="C3730" s="40" t="s">
        <v>16628</v>
      </c>
      <c r="D3730" s="11"/>
      <c r="E3730" s="11" t="s">
        <v>16629</v>
      </c>
      <c r="F3730" s="90" t="s">
        <v>16630</v>
      </c>
      <c r="G3730" s="90" t="s">
        <v>16630</v>
      </c>
      <c r="H3730" s="11" t="s">
        <v>16432</v>
      </c>
      <c r="I3730" s="423"/>
      <c r="J3730" s="14"/>
      <c r="K3730" s="12"/>
      <c r="L3730" s="12"/>
      <c r="M3730" s="11" t="s">
        <v>16631</v>
      </c>
      <c r="N3730" s="5" t="s">
        <v>16632</v>
      </c>
      <c r="O3730" s="5" t="s">
        <v>26</v>
      </c>
      <c r="P3730" s="15"/>
      <c r="Q3730" s="15"/>
      <c r="R3730" s="422"/>
      <c r="S3730" s="15"/>
      <c r="T3730" s="15"/>
      <c r="U3730" s="15"/>
      <c r="V3730" s="15"/>
      <c r="W3730" s="15"/>
      <c r="X3730" s="15"/>
      <c r="Y3730" s="15"/>
      <c r="Z3730" s="15"/>
      <c r="AA3730" s="15"/>
    </row>
    <row r="3731">
      <c r="A3731" s="5" t="s">
        <v>16588</v>
      </c>
      <c r="B3731" s="131" t="s">
        <v>16633</v>
      </c>
      <c r="C3731" s="40" t="s">
        <v>16634</v>
      </c>
      <c r="D3731" s="11"/>
      <c r="E3731" s="11" t="s">
        <v>152</v>
      </c>
      <c r="F3731" s="90">
        <v>1000.0</v>
      </c>
      <c r="G3731" s="321"/>
      <c r="H3731" s="11" t="s">
        <v>1337</v>
      </c>
      <c r="I3731" s="423"/>
      <c r="J3731" s="14"/>
      <c r="K3731" s="12"/>
      <c r="L3731" s="12"/>
      <c r="M3731" s="11" t="s">
        <v>9587</v>
      </c>
      <c r="N3731" s="5" t="s">
        <v>16635</v>
      </c>
      <c r="O3731" s="5" t="s">
        <v>26</v>
      </c>
      <c r="P3731" s="15"/>
      <c r="Q3731" s="15"/>
      <c r="R3731" s="422"/>
      <c r="S3731" s="15"/>
      <c r="T3731" s="15"/>
      <c r="U3731" s="15"/>
      <c r="V3731" s="15"/>
      <c r="W3731" s="15"/>
      <c r="X3731" s="15"/>
      <c r="Y3731" s="15"/>
      <c r="Z3731" s="15"/>
      <c r="AA3731" s="15"/>
    </row>
    <row r="3732">
      <c r="A3732" s="5" t="s">
        <v>16588</v>
      </c>
      <c r="B3732" s="131" t="s">
        <v>16636</v>
      </c>
      <c r="C3732" s="40" t="s">
        <v>16637</v>
      </c>
      <c r="D3732" s="11"/>
      <c r="E3732" s="11" t="s">
        <v>92</v>
      </c>
      <c r="F3732" s="90">
        <v>1000.0</v>
      </c>
      <c r="G3732" s="321"/>
      <c r="H3732" s="11" t="s">
        <v>278</v>
      </c>
      <c r="I3732" s="423"/>
      <c r="J3732" s="14"/>
      <c r="K3732" s="12"/>
      <c r="L3732" s="12"/>
      <c r="M3732" s="11" t="s">
        <v>15494</v>
      </c>
      <c r="N3732" s="5" t="s">
        <v>16638</v>
      </c>
      <c r="O3732" s="5" t="s">
        <v>26</v>
      </c>
      <c r="P3732" s="15"/>
      <c r="Q3732" s="15"/>
      <c r="R3732" s="422"/>
      <c r="S3732" s="15"/>
      <c r="T3732" s="15"/>
      <c r="U3732" s="15"/>
      <c r="V3732" s="15"/>
      <c r="W3732" s="15"/>
      <c r="X3732" s="15"/>
      <c r="Y3732" s="15"/>
      <c r="Z3732" s="15"/>
      <c r="AA3732" s="15"/>
    </row>
    <row r="3733">
      <c r="A3733" s="5" t="s">
        <v>16639</v>
      </c>
      <c r="B3733" s="131" t="s">
        <v>16640</v>
      </c>
      <c r="C3733" s="40" t="s">
        <v>16641</v>
      </c>
      <c r="D3733" s="11"/>
      <c r="E3733" s="11" t="s">
        <v>7897</v>
      </c>
      <c r="F3733" s="90">
        <v>100.0</v>
      </c>
      <c r="G3733" s="321"/>
      <c r="H3733" s="11" t="s">
        <v>16642</v>
      </c>
      <c r="I3733" s="423"/>
      <c r="J3733" s="14"/>
      <c r="K3733" s="12"/>
      <c r="L3733" s="12"/>
      <c r="M3733" s="11" t="s">
        <v>9848</v>
      </c>
      <c r="N3733" s="5" t="s">
        <v>16643</v>
      </c>
      <c r="O3733" s="5" t="s">
        <v>14119</v>
      </c>
      <c r="P3733" s="15"/>
      <c r="Q3733" s="15"/>
      <c r="R3733" s="422"/>
      <c r="S3733" s="15"/>
      <c r="T3733" s="15"/>
      <c r="U3733" s="15"/>
      <c r="V3733" s="15"/>
      <c r="W3733" s="15"/>
      <c r="X3733" s="15"/>
      <c r="Y3733" s="15"/>
      <c r="Z3733" s="15"/>
      <c r="AA3733" s="15"/>
    </row>
    <row r="3734">
      <c r="A3734" s="5" t="s">
        <v>16639</v>
      </c>
      <c r="B3734" s="131" t="s">
        <v>16644</v>
      </c>
      <c r="C3734" s="40" t="s">
        <v>16645</v>
      </c>
      <c r="D3734" s="11"/>
      <c r="E3734" s="11" t="s">
        <v>116</v>
      </c>
      <c r="F3734" s="90">
        <v>1000.0</v>
      </c>
      <c r="G3734" s="321"/>
      <c r="H3734" s="11" t="s">
        <v>906</v>
      </c>
      <c r="I3734" s="423"/>
      <c r="J3734" s="14"/>
      <c r="K3734" s="12"/>
      <c r="L3734" s="12"/>
      <c r="M3734" s="11" t="s">
        <v>7928</v>
      </c>
      <c r="N3734" s="5" t="s">
        <v>16646</v>
      </c>
      <c r="O3734" s="5" t="s">
        <v>108</v>
      </c>
      <c r="P3734" s="15"/>
      <c r="Q3734" s="15"/>
      <c r="R3734" s="422"/>
      <c r="S3734" s="15"/>
      <c r="T3734" s="15"/>
      <c r="U3734" s="15"/>
      <c r="V3734" s="15"/>
      <c r="W3734" s="15"/>
      <c r="X3734" s="15"/>
      <c r="Y3734" s="15"/>
      <c r="Z3734" s="15"/>
      <c r="AA3734" s="15"/>
    </row>
    <row r="3735">
      <c r="A3735" s="5" t="s">
        <v>16639</v>
      </c>
      <c r="B3735" s="131" t="s">
        <v>16647</v>
      </c>
      <c r="C3735" s="40" t="s">
        <v>16648</v>
      </c>
      <c r="D3735" s="11"/>
      <c r="E3735" s="11" t="s">
        <v>1749</v>
      </c>
      <c r="F3735" s="90">
        <v>500.0</v>
      </c>
      <c r="G3735" s="321"/>
      <c r="H3735" s="11" t="s">
        <v>49</v>
      </c>
      <c r="I3735" s="423"/>
      <c r="J3735" s="14"/>
      <c r="K3735" s="12"/>
      <c r="L3735" s="12"/>
      <c r="M3735" s="11" t="s">
        <v>16649</v>
      </c>
      <c r="N3735" s="5" t="s">
        <v>16650</v>
      </c>
      <c r="O3735" s="5" t="s">
        <v>26</v>
      </c>
      <c r="P3735" s="15"/>
      <c r="Q3735" s="15"/>
      <c r="R3735" s="422"/>
      <c r="S3735" s="15"/>
      <c r="T3735" s="15"/>
      <c r="U3735" s="15"/>
      <c r="V3735" s="15"/>
      <c r="W3735" s="15"/>
      <c r="X3735" s="15"/>
      <c r="Y3735" s="15"/>
      <c r="Z3735" s="15"/>
      <c r="AA3735" s="15"/>
    </row>
    <row r="3736">
      <c r="A3736" s="5" t="s">
        <v>16639</v>
      </c>
      <c r="B3736" s="131" t="s">
        <v>16651</v>
      </c>
      <c r="C3736" s="40" t="s">
        <v>16652</v>
      </c>
      <c r="D3736" s="11"/>
      <c r="E3736" s="11" t="s">
        <v>4481</v>
      </c>
      <c r="F3736" s="9">
        <v>10000.0</v>
      </c>
      <c r="G3736" s="321"/>
      <c r="H3736" s="11" t="s">
        <v>11568</v>
      </c>
      <c r="I3736" s="276"/>
      <c r="J3736" s="11" t="s">
        <v>25</v>
      </c>
      <c r="K3736" s="12"/>
      <c r="L3736" s="12"/>
      <c r="M3736" s="11" t="s">
        <v>14386</v>
      </c>
      <c r="N3736" s="5" t="s">
        <v>16653</v>
      </c>
      <c r="O3736" s="5" t="s">
        <v>26</v>
      </c>
      <c r="P3736" s="15"/>
      <c r="Q3736" s="15"/>
      <c r="R3736" s="422"/>
      <c r="S3736" s="15"/>
      <c r="T3736" s="15"/>
      <c r="U3736" s="15"/>
      <c r="V3736" s="15"/>
      <c r="W3736" s="15"/>
      <c r="X3736" s="15"/>
      <c r="Y3736" s="15"/>
      <c r="Z3736" s="15"/>
      <c r="AA3736" s="15"/>
    </row>
    <row r="3737">
      <c r="A3737" s="5" t="s">
        <v>16639</v>
      </c>
      <c r="B3737" s="131" t="s">
        <v>16654</v>
      </c>
      <c r="C3737" s="40" t="s">
        <v>16655</v>
      </c>
      <c r="D3737" s="11"/>
      <c r="E3737" s="11" t="s">
        <v>718</v>
      </c>
      <c r="F3737" s="9">
        <v>12000.0</v>
      </c>
      <c r="G3737" s="321"/>
      <c r="H3737" s="11" t="s">
        <v>906</v>
      </c>
      <c r="I3737" s="276"/>
      <c r="J3737" s="11" t="s">
        <v>25</v>
      </c>
      <c r="K3737" s="13"/>
      <c r="L3737" s="13"/>
      <c r="M3737" s="14"/>
      <c r="N3737" s="15"/>
      <c r="O3737" s="5" t="s">
        <v>108</v>
      </c>
      <c r="P3737" s="15"/>
      <c r="Q3737" s="15"/>
      <c r="R3737" s="422"/>
      <c r="S3737" s="15"/>
      <c r="T3737" s="15"/>
      <c r="U3737" s="15"/>
      <c r="V3737" s="15"/>
      <c r="W3737" s="15"/>
      <c r="X3737" s="15"/>
      <c r="Y3737" s="15"/>
      <c r="Z3737" s="15"/>
      <c r="AA3737" s="15"/>
    </row>
    <row r="3738">
      <c r="A3738" s="5" t="s">
        <v>16639</v>
      </c>
      <c r="B3738" s="131" t="s">
        <v>16656</v>
      </c>
      <c r="C3738" s="40" t="s">
        <v>16657</v>
      </c>
      <c r="D3738" s="11"/>
      <c r="E3738" s="11" t="s">
        <v>353</v>
      </c>
      <c r="F3738" s="90">
        <v>50.0</v>
      </c>
      <c r="G3738" s="321"/>
      <c r="H3738" s="11" t="s">
        <v>49</v>
      </c>
      <c r="I3738" s="423"/>
      <c r="J3738" s="14"/>
      <c r="K3738" s="13"/>
      <c r="L3738" s="13"/>
      <c r="M3738" s="14"/>
      <c r="N3738" s="15"/>
      <c r="O3738" s="5" t="s">
        <v>14119</v>
      </c>
      <c r="P3738" s="15"/>
      <c r="Q3738" s="15"/>
      <c r="R3738" s="422"/>
      <c r="S3738" s="15"/>
      <c r="T3738" s="15"/>
      <c r="U3738" s="15"/>
      <c r="V3738" s="15"/>
      <c r="W3738" s="15"/>
      <c r="X3738" s="15"/>
      <c r="Y3738" s="15"/>
      <c r="Z3738" s="15"/>
      <c r="AA3738" s="15"/>
    </row>
    <row r="3739">
      <c r="A3739" s="5" t="s">
        <v>16639</v>
      </c>
      <c r="B3739" s="131" t="s">
        <v>16658</v>
      </c>
      <c r="C3739" s="40" t="s">
        <v>16659</v>
      </c>
      <c r="D3739" s="11"/>
      <c r="E3739" s="11" t="s">
        <v>1509</v>
      </c>
      <c r="F3739" s="9">
        <v>50000.0</v>
      </c>
      <c r="G3739" s="321"/>
      <c r="H3739" s="11" t="s">
        <v>495</v>
      </c>
      <c r="I3739" s="423"/>
      <c r="J3739" s="14"/>
      <c r="K3739" s="12"/>
      <c r="L3739" s="12"/>
      <c r="M3739" s="11" t="s">
        <v>11202</v>
      </c>
      <c r="N3739" s="5" t="s">
        <v>16660</v>
      </c>
      <c r="O3739" s="5" t="s">
        <v>26</v>
      </c>
      <c r="P3739" s="15"/>
      <c r="Q3739" s="15"/>
      <c r="R3739" s="422"/>
      <c r="S3739" s="15"/>
      <c r="T3739" s="15"/>
      <c r="U3739" s="15"/>
      <c r="V3739" s="15"/>
      <c r="W3739" s="15"/>
      <c r="X3739" s="15"/>
      <c r="Y3739" s="15"/>
      <c r="Z3739" s="15"/>
      <c r="AA3739" s="15"/>
    </row>
    <row r="3740">
      <c r="A3740" s="5" t="s">
        <v>16639</v>
      </c>
      <c r="B3740" s="131" t="s">
        <v>16661</v>
      </c>
      <c r="C3740" s="40" t="s">
        <v>16662</v>
      </c>
      <c r="D3740" s="11"/>
      <c r="E3740" s="11" t="s">
        <v>625</v>
      </c>
      <c r="F3740" s="90" t="s">
        <v>16663</v>
      </c>
      <c r="G3740" s="321"/>
      <c r="H3740" s="11" t="s">
        <v>44</v>
      </c>
      <c r="I3740" s="423"/>
      <c r="J3740" s="14"/>
      <c r="K3740" s="12"/>
      <c r="L3740" s="12"/>
      <c r="M3740" s="11" t="s">
        <v>10171</v>
      </c>
      <c r="N3740" s="5" t="s">
        <v>16664</v>
      </c>
      <c r="O3740" s="5" t="s">
        <v>26</v>
      </c>
      <c r="P3740" s="15"/>
      <c r="Q3740" s="15"/>
      <c r="R3740" s="422"/>
      <c r="S3740" s="15"/>
      <c r="T3740" s="15"/>
      <c r="U3740" s="15"/>
      <c r="V3740" s="15"/>
      <c r="W3740" s="15"/>
      <c r="X3740" s="15"/>
      <c r="Y3740" s="15"/>
      <c r="Z3740" s="15"/>
      <c r="AA3740" s="15"/>
    </row>
    <row r="3741">
      <c r="A3741" s="5" t="s">
        <v>16639</v>
      </c>
      <c r="B3741" s="131" t="s">
        <v>16665</v>
      </c>
      <c r="C3741" s="40" t="s">
        <v>16666</v>
      </c>
      <c r="D3741" s="11"/>
      <c r="E3741" s="11" t="s">
        <v>16667</v>
      </c>
      <c r="F3741" s="90" t="s">
        <v>16668</v>
      </c>
      <c r="G3741" s="321"/>
      <c r="H3741" s="11" t="s">
        <v>44</v>
      </c>
      <c r="I3741" s="423"/>
      <c r="J3741" s="14"/>
      <c r="K3741" s="13"/>
      <c r="L3741" s="13"/>
      <c r="M3741" s="14"/>
      <c r="N3741" s="15"/>
      <c r="O3741" s="5" t="s">
        <v>26</v>
      </c>
      <c r="P3741" s="15"/>
      <c r="Q3741" s="15"/>
      <c r="R3741" s="422"/>
      <c r="S3741" s="15"/>
      <c r="T3741" s="15"/>
      <c r="U3741" s="15"/>
      <c r="V3741" s="15"/>
      <c r="W3741" s="15"/>
      <c r="X3741" s="15"/>
      <c r="Y3741" s="15"/>
      <c r="Z3741" s="15"/>
      <c r="AA3741" s="15"/>
    </row>
    <row r="3742">
      <c r="A3742" s="5" t="s">
        <v>16639</v>
      </c>
      <c r="B3742" s="131" t="s">
        <v>16669</v>
      </c>
      <c r="C3742" s="40" t="s">
        <v>16670</v>
      </c>
      <c r="D3742" s="11"/>
      <c r="E3742" s="11" t="s">
        <v>16052</v>
      </c>
      <c r="F3742" s="90">
        <v>1000.0</v>
      </c>
      <c r="G3742" s="321"/>
      <c r="H3742" s="11" t="s">
        <v>5709</v>
      </c>
      <c r="I3742" s="423"/>
      <c r="J3742" s="14"/>
      <c r="K3742" s="12"/>
      <c r="L3742" s="12"/>
      <c r="M3742" s="11" t="s">
        <v>16671</v>
      </c>
      <c r="N3742" s="5" t="s">
        <v>16672</v>
      </c>
      <c r="O3742" s="5" t="s">
        <v>26</v>
      </c>
      <c r="P3742" s="15"/>
      <c r="Q3742" s="15"/>
      <c r="R3742" s="422"/>
      <c r="S3742" s="15"/>
      <c r="T3742" s="15"/>
      <c r="U3742" s="15"/>
      <c r="V3742" s="15"/>
      <c r="W3742" s="15"/>
      <c r="X3742" s="15"/>
      <c r="Y3742" s="15"/>
      <c r="Z3742" s="15"/>
      <c r="AA3742" s="15"/>
    </row>
    <row r="3743">
      <c r="A3743" s="5" t="s">
        <v>16639</v>
      </c>
      <c r="B3743" s="131" t="s">
        <v>16673</v>
      </c>
      <c r="C3743" s="40" t="s">
        <v>16674</v>
      </c>
      <c r="D3743" s="11"/>
      <c r="E3743" s="11" t="s">
        <v>16675</v>
      </c>
      <c r="F3743" s="90">
        <v>50.0</v>
      </c>
      <c r="G3743" s="321"/>
      <c r="H3743" s="11" t="s">
        <v>44</v>
      </c>
      <c r="I3743" s="423"/>
      <c r="J3743" s="14"/>
      <c r="K3743" s="13"/>
      <c r="L3743" s="13"/>
      <c r="M3743" s="14"/>
      <c r="N3743" s="15"/>
      <c r="O3743" s="5" t="s">
        <v>14119</v>
      </c>
      <c r="P3743" s="15"/>
      <c r="Q3743" s="15"/>
      <c r="R3743" s="422"/>
      <c r="S3743" s="15"/>
      <c r="T3743" s="15"/>
      <c r="U3743" s="15"/>
      <c r="V3743" s="15"/>
      <c r="W3743" s="15"/>
      <c r="X3743" s="15"/>
      <c r="Y3743" s="15"/>
      <c r="Z3743" s="15"/>
      <c r="AA3743" s="15"/>
    </row>
    <row r="3744">
      <c r="A3744" s="5" t="s">
        <v>16639</v>
      </c>
      <c r="B3744" s="131" t="s">
        <v>16676</v>
      </c>
      <c r="C3744" s="40" t="s">
        <v>15850</v>
      </c>
      <c r="D3744" s="11"/>
      <c r="E3744" s="11" t="s">
        <v>894</v>
      </c>
      <c r="F3744" s="90">
        <v>1000.0</v>
      </c>
      <c r="G3744" s="321"/>
      <c r="H3744" s="11" t="s">
        <v>742</v>
      </c>
      <c r="I3744" s="423"/>
      <c r="J3744" s="14"/>
      <c r="K3744" s="12"/>
      <c r="L3744" s="12"/>
      <c r="M3744" s="11" t="s">
        <v>9685</v>
      </c>
      <c r="N3744" s="5" t="s">
        <v>16677</v>
      </c>
      <c r="O3744" s="5" t="s">
        <v>108</v>
      </c>
      <c r="P3744" s="15"/>
      <c r="Q3744" s="15"/>
      <c r="R3744" s="422"/>
      <c r="S3744" s="15"/>
      <c r="T3744" s="15"/>
      <c r="U3744" s="15"/>
      <c r="V3744" s="15"/>
      <c r="W3744" s="15"/>
      <c r="X3744" s="15"/>
      <c r="Y3744" s="15"/>
      <c r="Z3744" s="15"/>
      <c r="AA3744" s="15"/>
    </row>
    <row r="3745">
      <c r="A3745" s="5" t="s">
        <v>16639</v>
      </c>
      <c r="B3745" s="131" t="s">
        <v>16678</v>
      </c>
      <c r="C3745" s="40" t="s">
        <v>15850</v>
      </c>
      <c r="D3745" s="11"/>
      <c r="E3745" s="11" t="s">
        <v>235</v>
      </c>
      <c r="F3745" s="90">
        <v>5000.0</v>
      </c>
      <c r="G3745" s="321"/>
      <c r="H3745" s="11" t="s">
        <v>742</v>
      </c>
      <c r="I3745" s="276"/>
      <c r="J3745" s="11" t="s">
        <v>4008</v>
      </c>
      <c r="K3745" s="12"/>
      <c r="L3745" s="12"/>
      <c r="M3745" s="11" t="s">
        <v>9298</v>
      </c>
      <c r="N3745" s="5" t="s">
        <v>16679</v>
      </c>
      <c r="O3745" s="5" t="s">
        <v>1030</v>
      </c>
      <c r="P3745" s="15"/>
      <c r="Q3745" s="15"/>
      <c r="R3745" s="422"/>
      <c r="S3745" s="15"/>
      <c r="T3745" s="15"/>
      <c r="U3745" s="15"/>
      <c r="V3745" s="15"/>
      <c r="W3745" s="15"/>
      <c r="X3745" s="15"/>
      <c r="Y3745" s="15"/>
      <c r="Z3745" s="15"/>
      <c r="AA3745" s="15"/>
    </row>
    <row r="3746">
      <c r="A3746" s="5" t="s">
        <v>16680</v>
      </c>
      <c r="B3746" s="131" t="s">
        <v>16681</v>
      </c>
      <c r="C3746" s="40" t="s">
        <v>16682</v>
      </c>
      <c r="D3746" s="11"/>
      <c r="E3746" s="11" t="s">
        <v>116</v>
      </c>
      <c r="F3746" s="90">
        <v>1000.0</v>
      </c>
      <c r="G3746" s="321"/>
      <c r="H3746" s="11" t="s">
        <v>16683</v>
      </c>
      <c r="I3746" s="276"/>
      <c r="J3746" s="11" t="s">
        <v>4008</v>
      </c>
      <c r="K3746" s="12"/>
      <c r="L3746" s="12"/>
      <c r="M3746" s="11" t="s">
        <v>7928</v>
      </c>
      <c r="N3746" s="5" t="s">
        <v>16684</v>
      </c>
      <c r="O3746" s="5" t="s">
        <v>108</v>
      </c>
      <c r="P3746" s="15"/>
      <c r="Q3746" s="15"/>
      <c r="R3746" s="422"/>
      <c r="S3746" s="15"/>
      <c r="T3746" s="15"/>
      <c r="U3746" s="15"/>
      <c r="V3746" s="15"/>
      <c r="W3746" s="15"/>
      <c r="X3746" s="15"/>
      <c r="Y3746" s="15"/>
      <c r="Z3746" s="15"/>
      <c r="AA3746" s="15"/>
    </row>
    <row r="3747">
      <c r="A3747" s="5" t="s">
        <v>16680</v>
      </c>
      <c r="B3747" s="131" t="s">
        <v>16685</v>
      </c>
      <c r="C3747" s="40" t="s">
        <v>16686</v>
      </c>
      <c r="D3747" s="11"/>
      <c r="E3747" s="11" t="s">
        <v>4487</v>
      </c>
      <c r="F3747" s="90">
        <v>2000.0</v>
      </c>
      <c r="G3747" s="321"/>
      <c r="H3747" s="11" t="s">
        <v>16219</v>
      </c>
      <c r="I3747" s="423"/>
      <c r="J3747" s="14"/>
      <c r="K3747" s="13"/>
      <c r="L3747" s="13"/>
      <c r="M3747" s="14"/>
      <c r="N3747" s="15"/>
      <c r="O3747" s="5" t="s">
        <v>26</v>
      </c>
      <c r="P3747" s="15"/>
      <c r="Q3747" s="15"/>
      <c r="R3747" s="422"/>
      <c r="S3747" s="15"/>
      <c r="T3747" s="15"/>
      <c r="U3747" s="15"/>
      <c r="V3747" s="15"/>
      <c r="W3747" s="15"/>
      <c r="X3747" s="15"/>
      <c r="Y3747" s="15"/>
      <c r="Z3747" s="15"/>
      <c r="AA3747" s="15"/>
    </row>
    <row r="3748">
      <c r="A3748" s="5" t="s">
        <v>16680</v>
      </c>
      <c r="B3748" s="131" t="s">
        <v>16687</v>
      </c>
      <c r="C3748" s="40" t="s">
        <v>16688</v>
      </c>
      <c r="D3748" s="11"/>
      <c r="E3748" s="11" t="s">
        <v>16689</v>
      </c>
      <c r="F3748" s="90">
        <v>1000.0</v>
      </c>
      <c r="G3748" s="321"/>
      <c r="H3748" s="11" t="s">
        <v>16355</v>
      </c>
      <c r="I3748" s="423"/>
      <c r="J3748" s="14"/>
      <c r="K3748" s="13"/>
      <c r="L3748" s="13"/>
      <c r="M3748" s="14"/>
      <c r="N3748" s="15"/>
      <c r="O3748" s="5" t="s">
        <v>26</v>
      </c>
      <c r="P3748" s="15"/>
      <c r="Q3748" s="15"/>
      <c r="R3748" s="422"/>
      <c r="S3748" s="15"/>
      <c r="T3748" s="15"/>
      <c r="U3748" s="15"/>
      <c r="V3748" s="15"/>
      <c r="W3748" s="15"/>
      <c r="X3748" s="15"/>
      <c r="Y3748" s="15"/>
      <c r="Z3748" s="15"/>
      <c r="AA3748" s="15"/>
    </row>
    <row r="3749">
      <c r="A3749" s="5" t="s">
        <v>16680</v>
      </c>
      <c r="B3749" s="131" t="s">
        <v>16690</v>
      </c>
      <c r="C3749" s="40" t="s">
        <v>16691</v>
      </c>
      <c r="D3749" s="11"/>
      <c r="E3749" s="11" t="s">
        <v>16692</v>
      </c>
      <c r="F3749" s="90">
        <v>100.0</v>
      </c>
      <c r="G3749" s="321"/>
      <c r="H3749" s="11" t="s">
        <v>44</v>
      </c>
      <c r="I3749" s="423"/>
      <c r="J3749" s="14"/>
      <c r="K3749" s="13"/>
      <c r="L3749" s="13"/>
      <c r="M3749" s="14"/>
      <c r="N3749" s="15"/>
      <c r="O3749" s="5" t="s">
        <v>14119</v>
      </c>
      <c r="P3749" s="15"/>
      <c r="Q3749" s="15"/>
      <c r="R3749" s="422"/>
      <c r="S3749" s="15"/>
      <c r="T3749" s="15"/>
      <c r="U3749" s="15"/>
      <c r="V3749" s="15"/>
      <c r="W3749" s="15"/>
      <c r="X3749" s="15"/>
      <c r="Y3749" s="15"/>
      <c r="Z3749" s="15"/>
      <c r="AA3749" s="15"/>
    </row>
    <row r="3750">
      <c r="A3750" s="5" t="s">
        <v>16680</v>
      </c>
      <c r="B3750" s="131" t="s">
        <v>16693</v>
      </c>
      <c r="C3750" s="40" t="s">
        <v>16694</v>
      </c>
      <c r="D3750" s="11"/>
      <c r="E3750" s="11" t="s">
        <v>152</v>
      </c>
      <c r="F3750" s="90">
        <v>5000.0</v>
      </c>
      <c r="G3750" s="321"/>
      <c r="H3750" s="11" t="s">
        <v>2662</v>
      </c>
      <c r="I3750" s="276"/>
      <c r="J3750" s="11" t="s">
        <v>25</v>
      </c>
      <c r="K3750" s="12"/>
      <c r="L3750" s="12"/>
      <c r="M3750" s="11" t="s">
        <v>9983</v>
      </c>
      <c r="N3750" s="5" t="s">
        <v>16695</v>
      </c>
      <c r="O3750" s="5" t="s">
        <v>108</v>
      </c>
      <c r="P3750" s="15"/>
      <c r="Q3750" s="15"/>
      <c r="R3750" s="422"/>
      <c r="S3750" s="15"/>
      <c r="T3750" s="15"/>
      <c r="U3750" s="15"/>
      <c r="V3750" s="15"/>
      <c r="W3750" s="15"/>
      <c r="X3750" s="15"/>
      <c r="Y3750" s="15"/>
      <c r="Z3750" s="15"/>
      <c r="AA3750" s="15"/>
    </row>
    <row r="3751">
      <c r="A3751" s="5" t="s">
        <v>16680</v>
      </c>
      <c r="B3751" s="131" t="s">
        <v>16696</v>
      </c>
      <c r="C3751" s="40" t="s">
        <v>16201</v>
      </c>
      <c r="D3751" s="11"/>
      <c r="E3751" s="11" t="s">
        <v>16202</v>
      </c>
      <c r="F3751" s="90">
        <v>5000.0</v>
      </c>
      <c r="G3751" s="321"/>
      <c r="H3751" s="11" t="s">
        <v>16203</v>
      </c>
      <c r="I3751" s="423"/>
      <c r="J3751" s="14"/>
      <c r="K3751" s="13"/>
      <c r="L3751" s="13"/>
      <c r="M3751" s="14"/>
      <c r="N3751" s="15"/>
      <c r="O3751" s="5" t="s">
        <v>26</v>
      </c>
      <c r="P3751" s="15"/>
      <c r="Q3751" s="15"/>
      <c r="R3751" s="422"/>
      <c r="S3751" s="15"/>
      <c r="T3751" s="15"/>
      <c r="U3751" s="15"/>
      <c r="V3751" s="15"/>
      <c r="W3751" s="15"/>
      <c r="X3751" s="15"/>
      <c r="Y3751" s="15"/>
      <c r="Z3751" s="15"/>
      <c r="AA3751" s="15"/>
    </row>
    <row r="3752">
      <c r="A3752" s="5" t="s">
        <v>16680</v>
      </c>
      <c r="B3752" s="131" t="s">
        <v>16697</v>
      </c>
      <c r="C3752" s="40" t="s">
        <v>16698</v>
      </c>
      <c r="D3752" s="11"/>
      <c r="E3752" s="11" t="s">
        <v>3165</v>
      </c>
      <c r="F3752" s="9">
        <v>15000.0</v>
      </c>
      <c r="G3752" s="321"/>
      <c r="H3752" s="11" t="s">
        <v>44</v>
      </c>
      <c r="I3752" s="423"/>
      <c r="J3752" s="14"/>
      <c r="K3752" s="12"/>
      <c r="L3752" s="12"/>
      <c r="M3752" s="11" t="s">
        <v>13307</v>
      </c>
      <c r="N3752" s="5" t="s">
        <v>16699</v>
      </c>
      <c r="O3752" s="5" t="s">
        <v>26</v>
      </c>
      <c r="P3752" s="15"/>
      <c r="Q3752" s="15"/>
      <c r="R3752" s="422"/>
      <c r="S3752" s="15"/>
      <c r="T3752" s="15"/>
      <c r="U3752" s="15"/>
      <c r="V3752" s="15"/>
      <c r="W3752" s="15"/>
      <c r="X3752" s="15"/>
      <c r="Y3752" s="15"/>
      <c r="Z3752" s="15"/>
      <c r="AA3752" s="15"/>
    </row>
    <row r="3753">
      <c r="A3753" s="5" t="s">
        <v>16680</v>
      </c>
      <c r="B3753" s="131" t="s">
        <v>16700</v>
      </c>
      <c r="C3753" s="40" t="s">
        <v>16701</v>
      </c>
      <c r="D3753" s="11"/>
      <c r="E3753" s="11" t="s">
        <v>207</v>
      </c>
      <c r="F3753" s="90">
        <v>100.0</v>
      </c>
      <c r="G3753" s="321"/>
      <c r="H3753" s="11" t="s">
        <v>14739</v>
      </c>
      <c r="I3753" s="276"/>
      <c r="J3753" s="11" t="s">
        <v>25</v>
      </c>
      <c r="K3753" s="13"/>
      <c r="L3753" s="13"/>
      <c r="M3753" s="14"/>
      <c r="N3753" s="15"/>
      <c r="O3753" s="5" t="s">
        <v>14119</v>
      </c>
      <c r="P3753" s="15"/>
      <c r="Q3753" s="15"/>
      <c r="R3753" s="422"/>
      <c r="S3753" s="15"/>
      <c r="T3753" s="15"/>
      <c r="U3753" s="15"/>
      <c r="V3753" s="15"/>
      <c r="W3753" s="15"/>
      <c r="X3753" s="15"/>
      <c r="Y3753" s="15"/>
      <c r="Z3753" s="15"/>
      <c r="AA3753" s="15"/>
    </row>
    <row r="3754">
      <c r="A3754" s="5" t="s">
        <v>16680</v>
      </c>
      <c r="B3754" s="131" t="s">
        <v>16702</v>
      </c>
      <c r="C3754" s="40" t="s">
        <v>16703</v>
      </c>
      <c r="D3754" s="11"/>
      <c r="E3754" s="11" t="s">
        <v>16704</v>
      </c>
      <c r="F3754" s="90">
        <v>100.0</v>
      </c>
      <c r="G3754" s="321"/>
      <c r="H3754" s="11" t="s">
        <v>16705</v>
      </c>
      <c r="I3754" s="423"/>
      <c r="J3754" s="14"/>
      <c r="K3754" s="13"/>
      <c r="L3754" s="13"/>
      <c r="M3754" s="14"/>
      <c r="N3754" s="15"/>
      <c r="O3754" s="5" t="s">
        <v>14119</v>
      </c>
      <c r="P3754" s="15"/>
      <c r="Q3754" s="15"/>
      <c r="R3754" s="422"/>
      <c r="S3754" s="15"/>
      <c r="T3754" s="15"/>
      <c r="U3754" s="15"/>
      <c r="V3754" s="15"/>
      <c r="W3754" s="15"/>
      <c r="X3754" s="15"/>
      <c r="Y3754" s="15"/>
      <c r="Z3754" s="15"/>
      <c r="AA3754" s="15"/>
    </row>
    <row r="3755">
      <c r="A3755" s="5" t="s">
        <v>16680</v>
      </c>
      <c r="B3755" s="131" t="s">
        <v>16706</v>
      </c>
      <c r="C3755" s="40" t="s">
        <v>16707</v>
      </c>
      <c r="D3755" s="11"/>
      <c r="E3755" s="11" t="s">
        <v>16708</v>
      </c>
      <c r="F3755" s="9">
        <v>10000.0</v>
      </c>
      <c r="G3755" s="321"/>
      <c r="H3755" s="11" t="s">
        <v>906</v>
      </c>
      <c r="I3755" s="423"/>
      <c r="J3755" s="14"/>
      <c r="K3755" s="12"/>
      <c r="L3755" s="12"/>
      <c r="M3755" s="11" t="s">
        <v>7965</v>
      </c>
      <c r="N3755" s="5" t="s">
        <v>16709</v>
      </c>
      <c r="O3755" s="5" t="s">
        <v>108</v>
      </c>
      <c r="P3755" s="15"/>
      <c r="Q3755" s="15"/>
      <c r="R3755" s="422"/>
      <c r="S3755" s="15"/>
      <c r="T3755" s="15"/>
      <c r="U3755" s="15"/>
      <c r="V3755" s="15"/>
      <c r="W3755" s="15"/>
      <c r="X3755" s="15"/>
      <c r="Y3755" s="15"/>
      <c r="Z3755" s="15"/>
      <c r="AA3755" s="15"/>
    </row>
    <row r="3756">
      <c r="A3756" s="5" t="s">
        <v>16680</v>
      </c>
      <c r="B3756" s="131" t="s">
        <v>16710</v>
      </c>
      <c r="C3756" s="40" t="s">
        <v>16711</v>
      </c>
      <c r="D3756" s="11"/>
      <c r="E3756" s="11" t="s">
        <v>10433</v>
      </c>
      <c r="F3756" s="90">
        <v>500.0</v>
      </c>
      <c r="G3756" s="321"/>
      <c r="H3756" s="11" t="s">
        <v>16712</v>
      </c>
      <c r="I3756" s="423"/>
      <c r="J3756" s="14"/>
      <c r="K3756" s="12"/>
      <c r="L3756" s="12"/>
      <c r="M3756" s="11" t="s">
        <v>16713</v>
      </c>
      <c r="N3756" s="5" t="s">
        <v>16714</v>
      </c>
      <c r="O3756" s="5" t="s">
        <v>26</v>
      </c>
      <c r="P3756" s="15"/>
      <c r="Q3756" s="15"/>
      <c r="R3756" s="422"/>
      <c r="S3756" s="15"/>
      <c r="T3756" s="15"/>
      <c r="U3756" s="15"/>
      <c r="V3756" s="15"/>
      <c r="W3756" s="15"/>
      <c r="X3756" s="15"/>
      <c r="Y3756" s="15"/>
      <c r="Z3756" s="15"/>
      <c r="AA3756" s="15"/>
    </row>
    <row r="3757">
      <c r="A3757" s="5" t="s">
        <v>16680</v>
      </c>
      <c r="B3757" s="131" t="s">
        <v>16715</v>
      </c>
      <c r="C3757" s="40" t="s">
        <v>16716</v>
      </c>
      <c r="D3757" s="11"/>
      <c r="E3757" s="11" t="s">
        <v>130</v>
      </c>
      <c r="F3757" s="9">
        <v>100000.0</v>
      </c>
      <c r="G3757" s="321"/>
      <c r="H3757" s="11" t="s">
        <v>16717</v>
      </c>
      <c r="I3757" s="276"/>
      <c r="J3757" s="11" t="s">
        <v>4008</v>
      </c>
      <c r="K3757" s="12"/>
      <c r="L3757" s="12"/>
      <c r="M3757" s="11" t="s">
        <v>9983</v>
      </c>
      <c r="N3757" s="5" t="s">
        <v>16718</v>
      </c>
      <c r="O3757" s="5" t="s">
        <v>108</v>
      </c>
      <c r="P3757" s="15"/>
      <c r="Q3757" s="15"/>
      <c r="R3757" s="422"/>
      <c r="S3757" s="15"/>
      <c r="T3757" s="15"/>
      <c r="U3757" s="15"/>
      <c r="V3757" s="15"/>
      <c r="W3757" s="15"/>
      <c r="X3757" s="15"/>
      <c r="Y3757" s="15"/>
      <c r="Z3757" s="15"/>
      <c r="AA3757" s="15"/>
    </row>
    <row r="3758">
      <c r="A3758" s="5" t="s">
        <v>16680</v>
      </c>
      <c r="B3758" s="131" t="s">
        <v>16719</v>
      </c>
      <c r="C3758" s="40" t="s">
        <v>16720</v>
      </c>
      <c r="D3758" s="11"/>
      <c r="E3758" s="11" t="s">
        <v>794</v>
      </c>
      <c r="F3758" s="90">
        <v>3000.0</v>
      </c>
      <c r="G3758" s="321"/>
      <c r="H3758" s="11" t="s">
        <v>44</v>
      </c>
      <c r="I3758" s="276"/>
      <c r="J3758" s="11" t="s">
        <v>25</v>
      </c>
      <c r="K3758" s="12"/>
      <c r="L3758" s="12"/>
      <c r="M3758" s="11" t="s">
        <v>7965</v>
      </c>
      <c r="N3758" s="5" t="s">
        <v>16721</v>
      </c>
      <c r="O3758" s="5" t="s">
        <v>26</v>
      </c>
      <c r="P3758" s="15"/>
      <c r="Q3758" s="15"/>
      <c r="R3758" s="422"/>
      <c r="S3758" s="15"/>
      <c r="T3758" s="15"/>
      <c r="U3758" s="15"/>
      <c r="V3758" s="15"/>
      <c r="W3758" s="15"/>
      <c r="X3758" s="15"/>
      <c r="Y3758" s="15"/>
      <c r="Z3758" s="15"/>
      <c r="AA3758" s="15"/>
    </row>
    <row r="3759">
      <c r="A3759" s="5" t="s">
        <v>16722</v>
      </c>
      <c r="B3759" s="131" t="s">
        <v>16723</v>
      </c>
      <c r="C3759" s="40" t="s">
        <v>16724</v>
      </c>
      <c r="D3759" s="11"/>
      <c r="E3759" s="11" t="s">
        <v>4892</v>
      </c>
      <c r="F3759" s="90">
        <v>300.0</v>
      </c>
      <c r="G3759" s="321"/>
      <c r="H3759" s="11" t="s">
        <v>1492</v>
      </c>
      <c r="I3759" s="423"/>
      <c r="J3759" s="14"/>
      <c r="K3759" s="12"/>
      <c r="L3759" s="12"/>
      <c r="M3759" s="11" t="s">
        <v>9298</v>
      </c>
      <c r="N3759" s="5" t="s">
        <v>16725</v>
      </c>
      <c r="O3759" s="5" t="s">
        <v>14119</v>
      </c>
      <c r="P3759" s="15"/>
      <c r="Q3759" s="15"/>
      <c r="R3759" s="422"/>
      <c r="S3759" s="15"/>
      <c r="T3759" s="15"/>
      <c r="U3759" s="15"/>
      <c r="V3759" s="15"/>
      <c r="W3759" s="15"/>
      <c r="X3759" s="15"/>
      <c r="Y3759" s="15"/>
      <c r="Z3759" s="15"/>
      <c r="AA3759" s="15"/>
    </row>
    <row r="3760">
      <c r="A3760" s="5" t="s">
        <v>16722</v>
      </c>
      <c r="B3760" s="131" t="s">
        <v>16726</v>
      </c>
      <c r="C3760" s="40" t="s">
        <v>3768</v>
      </c>
      <c r="D3760" s="11"/>
      <c r="E3760" s="11" t="s">
        <v>152</v>
      </c>
      <c r="F3760" s="9">
        <v>20000.0</v>
      </c>
      <c r="G3760" s="321"/>
      <c r="H3760" s="11" t="s">
        <v>9094</v>
      </c>
      <c r="I3760" s="423"/>
      <c r="J3760" s="14"/>
      <c r="K3760" s="12"/>
      <c r="L3760" s="12"/>
      <c r="M3760" s="11" t="s">
        <v>9104</v>
      </c>
      <c r="N3760" s="5" t="s">
        <v>16727</v>
      </c>
      <c r="O3760" s="5" t="s">
        <v>108</v>
      </c>
      <c r="P3760" s="15"/>
      <c r="Q3760" s="15"/>
      <c r="R3760" s="422"/>
      <c r="S3760" s="15"/>
      <c r="T3760" s="15"/>
      <c r="U3760" s="15"/>
      <c r="V3760" s="15"/>
      <c r="W3760" s="15"/>
      <c r="X3760" s="15"/>
      <c r="Y3760" s="15"/>
      <c r="Z3760" s="15"/>
      <c r="AA3760" s="15"/>
    </row>
    <row r="3761">
      <c r="A3761" s="5" t="s">
        <v>16722</v>
      </c>
      <c r="B3761" s="131" t="s">
        <v>16728</v>
      </c>
      <c r="C3761" s="40" t="s">
        <v>16729</v>
      </c>
      <c r="D3761" s="11"/>
      <c r="E3761" s="11" t="s">
        <v>5502</v>
      </c>
      <c r="F3761" s="90" t="s">
        <v>14893</v>
      </c>
      <c r="G3761" s="321"/>
      <c r="H3761" s="11" t="s">
        <v>16730</v>
      </c>
      <c r="I3761" s="423"/>
      <c r="J3761" s="14"/>
      <c r="K3761" s="12"/>
      <c r="L3761" s="12"/>
      <c r="M3761" s="11" t="s">
        <v>14087</v>
      </c>
      <c r="N3761" s="5" t="s">
        <v>16731</v>
      </c>
      <c r="O3761" s="5" t="s">
        <v>108</v>
      </c>
      <c r="P3761" s="15"/>
      <c r="Q3761" s="15"/>
      <c r="R3761" s="422"/>
      <c r="S3761" s="15"/>
      <c r="T3761" s="15"/>
      <c r="U3761" s="15"/>
      <c r="V3761" s="15"/>
      <c r="W3761" s="15"/>
      <c r="X3761" s="15"/>
      <c r="Y3761" s="15"/>
      <c r="Z3761" s="15"/>
      <c r="AA3761" s="15"/>
    </row>
    <row r="3762">
      <c r="A3762" s="5" t="s">
        <v>16722</v>
      </c>
      <c r="B3762" s="131" t="s">
        <v>16732</v>
      </c>
      <c r="C3762" s="40" t="s">
        <v>16733</v>
      </c>
      <c r="D3762" s="11"/>
      <c r="E3762" s="11" t="s">
        <v>16734</v>
      </c>
      <c r="F3762" s="90">
        <v>1000.0</v>
      </c>
      <c r="G3762" s="321"/>
      <c r="H3762" s="11" t="s">
        <v>16735</v>
      </c>
      <c r="I3762" s="276"/>
      <c r="J3762" s="11" t="s">
        <v>25</v>
      </c>
      <c r="K3762" s="13"/>
      <c r="L3762" s="13"/>
      <c r="M3762" s="14"/>
      <c r="N3762" s="15"/>
      <c r="O3762" s="5" t="s">
        <v>108</v>
      </c>
      <c r="P3762" s="15"/>
      <c r="Q3762" s="15"/>
      <c r="R3762" s="422"/>
      <c r="S3762" s="15"/>
      <c r="T3762" s="15"/>
      <c r="U3762" s="15"/>
      <c r="V3762" s="15"/>
      <c r="W3762" s="15"/>
      <c r="X3762" s="15"/>
      <c r="Y3762" s="15"/>
      <c r="Z3762" s="15"/>
      <c r="AA3762" s="15"/>
    </row>
    <row r="3763">
      <c r="A3763" s="5" t="s">
        <v>16722</v>
      </c>
      <c r="B3763" s="131" t="s">
        <v>16736</v>
      </c>
      <c r="C3763" s="40" t="s">
        <v>16737</v>
      </c>
      <c r="D3763" s="11"/>
      <c r="E3763" s="11" t="s">
        <v>167</v>
      </c>
      <c r="F3763" s="90">
        <v>200.0</v>
      </c>
      <c r="G3763" s="321"/>
      <c r="H3763" s="11" t="s">
        <v>16738</v>
      </c>
      <c r="I3763" s="423"/>
      <c r="J3763" s="14"/>
      <c r="K3763" s="12"/>
      <c r="L3763" s="12"/>
      <c r="M3763" s="11" t="s">
        <v>6155</v>
      </c>
      <c r="N3763" s="5" t="s">
        <v>16739</v>
      </c>
      <c r="O3763" s="5" t="s">
        <v>14119</v>
      </c>
      <c r="P3763" s="15"/>
      <c r="Q3763" s="15"/>
      <c r="R3763" s="422"/>
      <c r="S3763" s="15"/>
      <c r="T3763" s="15"/>
      <c r="U3763" s="15"/>
      <c r="V3763" s="15"/>
      <c r="W3763" s="15"/>
      <c r="X3763" s="15"/>
      <c r="Y3763" s="15"/>
      <c r="Z3763" s="15"/>
      <c r="AA3763" s="15"/>
    </row>
    <row r="3764">
      <c r="A3764" s="5" t="s">
        <v>16722</v>
      </c>
      <c r="B3764" s="131" t="s">
        <v>16740</v>
      </c>
      <c r="C3764" s="40" t="s">
        <v>16741</v>
      </c>
      <c r="D3764" s="11"/>
      <c r="E3764" s="11" t="s">
        <v>207</v>
      </c>
      <c r="F3764" s="90">
        <v>100.0</v>
      </c>
      <c r="G3764" s="321"/>
      <c r="H3764" s="11" t="s">
        <v>16742</v>
      </c>
      <c r="I3764" s="423"/>
      <c r="J3764" s="14"/>
      <c r="K3764" s="13"/>
      <c r="L3764" s="13"/>
      <c r="M3764" s="14"/>
      <c r="N3764" s="15"/>
      <c r="O3764" s="5" t="s">
        <v>14119</v>
      </c>
      <c r="P3764" s="15"/>
      <c r="Q3764" s="15"/>
      <c r="R3764" s="422"/>
      <c r="S3764" s="15"/>
      <c r="T3764" s="15"/>
      <c r="U3764" s="15"/>
      <c r="V3764" s="15"/>
      <c r="W3764" s="15"/>
      <c r="X3764" s="15"/>
      <c r="Y3764" s="15"/>
      <c r="Z3764" s="15"/>
      <c r="AA3764" s="15"/>
    </row>
    <row r="3765">
      <c r="A3765" s="5" t="s">
        <v>16722</v>
      </c>
      <c r="B3765" s="131" t="s">
        <v>16743</v>
      </c>
      <c r="C3765" s="40" t="s">
        <v>5456</v>
      </c>
      <c r="D3765" s="11"/>
      <c r="E3765" s="11" t="s">
        <v>16744</v>
      </c>
      <c r="F3765" s="90">
        <v>500.0</v>
      </c>
      <c r="G3765" s="321"/>
      <c r="H3765" s="11" t="s">
        <v>9094</v>
      </c>
      <c r="I3765" s="423"/>
      <c r="J3765" s="14"/>
      <c r="K3765" s="13"/>
      <c r="L3765" s="13"/>
      <c r="M3765" s="14"/>
      <c r="N3765" s="15"/>
      <c r="O3765" s="5" t="s">
        <v>108</v>
      </c>
      <c r="P3765" s="15"/>
      <c r="Q3765" s="15"/>
      <c r="R3765" s="422"/>
      <c r="S3765" s="15"/>
      <c r="T3765" s="15"/>
      <c r="U3765" s="15"/>
      <c r="V3765" s="15"/>
      <c r="W3765" s="15"/>
      <c r="X3765" s="15"/>
      <c r="Y3765" s="15"/>
      <c r="Z3765" s="15"/>
      <c r="AA3765" s="15"/>
    </row>
    <row r="3766">
      <c r="A3766" s="5" t="s">
        <v>16722</v>
      </c>
      <c r="B3766" s="131" t="s">
        <v>16745</v>
      </c>
      <c r="C3766" s="40" t="s">
        <v>16746</v>
      </c>
      <c r="D3766" s="11"/>
      <c r="E3766" s="11" t="s">
        <v>16747</v>
      </c>
      <c r="F3766" s="90">
        <v>1000.0</v>
      </c>
      <c r="G3766" s="321"/>
      <c r="H3766" s="11" t="s">
        <v>16748</v>
      </c>
      <c r="I3766" s="276"/>
      <c r="J3766" s="11" t="s">
        <v>25</v>
      </c>
      <c r="K3766" s="13"/>
      <c r="L3766" s="13"/>
      <c r="M3766" s="14"/>
      <c r="N3766" s="15"/>
      <c r="O3766" s="5" t="s">
        <v>26</v>
      </c>
      <c r="P3766" s="15"/>
      <c r="Q3766" s="15"/>
      <c r="R3766" s="422"/>
      <c r="S3766" s="15"/>
      <c r="T3766" s="15"/>
      <c r="U3766" s="15"/>
      <c r="V3766" s="15"/>
      <c r="W3766" s="15"/>
      <c r="X3766" s="15"/>
      <c r="Y3766" s="15"/>
      <c r="Z3766" s="15"/>
      <c r="AA3766" s="15"/>
    </row>
    <row r="3767">
      <c r="A3767" s="5" t="s">
        <v>16722</v>
      </c>
      <c r="B3767" s="131" t="s">
        <v>16749</v>
      </c>
      <c r="C3767" s="40" t="s">
        <v>16750</v>
      </c>
      <c r="D3767" s="11"/>
      <c r="E3767" s="11" t="s">
        <v>1182</v>
      </c>
      <c r="F3767" s="90">
        <v>100.0</v>
      </c>
      <c r="G3767" s="321"/>
      <c r="H3767" s="11" t="s">
        <v>906</v>
      </c>
      <c r="I3767" s="423"/>
      <c r="J3767" s="14"/>
      <c r="K3767" s="13"/>
      <c r="L3767" s="13"/>
      <c r="M3767" s="14"/>
      <c r="N3767" s="15"/>
      <c r="O3767" s="5" t="s">
        <v>14119</v>
      </c>
      <c r="P3767" s="15"/>
      <c r="Q3767" s="15"/>
      <c r="R3767" s="422"/>
      <c r="S3767" s="15"/>
      <c r="T3767" s="15"/>
      <c r="U3767" s="15"/>
      <c r="V3767" s="15"/>
      <c r="W3767" s="15"/>
      <c r="X3767" s="15"/>
      <c r="Y3767" s="15"/>
      <c r="Z3767" s="15"/>
      <c r="AA3767" s="15"/>
    </row>
    <row r="3768">
      <c r="A3768" s="5" t="s">
        <v>16722</v>
      </c>
      <c r="B3768" s="131" t="s">
        <v>16751</v>
      </c>
      <c r="C3768" s="40" t="s">
        <v>16752</v>
      </c>
      <c r="D3768" s="11"/>
      <c r="E3768" s="11" t="s">
        <v>13311</v>
      </c>
      <c r="F3768" s="9">
        <v>54000.0</v>
      </c>
      <c r="G3768" s="321"/>
      <c r="H3768" s="11" t="s">
        <v>906</v>
      </c>
      <c r="I3768" s="423"/>
      <c r="J3768" s="14"/>
      <c r="K3768" s="13"/>
      <c r="L3768" s="13"/>
      <c r="M3768" s="14"/>
      <c r="N3768" s="15"/>
      <c r="O3768" s="5" t="s">
        <v>108</v>
      </c>
      <c r="P3768" s="15"/>
      <c r="Q3768" s="15"/>
      <c r="R3768" s="422"/>
      <c r="S3768" s="15"/>
      <c r="T3768" s="15"/>
      <c r="U3768" s="15"/>
      <c r="V3768" s="15"/>
      <c r="W3768" s="15"/>
      <c r="X3768" s="15"/>
      <c r="Y3768" s="15"/>
      <c r="Z3768" s="15"/>
      <c r="AA3768" s="15"/>
    </row>
    <row r="3769">
      <c r="A3769" s="5" t="s">
        <v>16722</v>
      </c>
      <c r="B3769" s="131" t="s">
        <v>16753</v>
      </c>
      <c r="C3769" s="40" t="s">
        <v>16754</v>
      </c>
      <c r="D3769" s="11"/>
      <c r="E3769" s="11" t="s">
        <v>6168</v>
      </c>
      <c r="F3769" s="90">
        <v>500.0</v>
      </c>
      <c r="G3769" s="321"/>
      <c r="H3769" s="11" t="s">
        <v>3167</v>
      </c>
      <c r="I3769" s="423"/>
      <c r="J3769" s="14"/>
      <c r="K3769" s="13"/>
      <c r="L3769" s="13"/>
      <c r="M3769" s="14"/>
      <c r="N3769" s="15"/>
      <c r="O3769" s="5" t="s">
        <v>14119</v>
      </c>
      <c r="P3769" s="15"/>
      <c r="Q3769" s="15"/>
      <c r="R3769" s="422"/>
      <c r="S3769" s="15"/>
      <c r="T3769" s="15"/>
      <c r="U3769" s="15"/>
      <c r="V3769" s="15"/>
      <c r="W3769" s="15"/>
      <c r="X3769" s="15"/>
      <c r="Y3769" s="15"/>
      <c r="Z3769" s="15"/>
      <c r="AA3769" s="15"/>
    </row>
    <row r="3770">
      <c r="A3770" s="5" t="s">
        <v>16722</v>
      </c>
      <c r="B3770" s="131" t="s">
        <v>16755</v>
      </c>
      <c r="C3770" s="40" t="s">
        <v>16756</v>
      </c>
      <c r="D3770" s="11"/>
      <c r="E3770" s="11" t="s">
        <v>5502</v>
      </c>
      <c r="F3770" s="90" t="s">
        <v>14893</v>
      </c>
      <c r="G3770" s="321"/>
      <c r="H3770" s="11" t="s">
        <v>13612</v>
      </c>
      <c r="I3770" s="276"/>
      <c r="J3770" s="11" t="s">
        <v>25</v>
      </c>
      <c r="K3770" s="12"/>
      <c r="L3770" s="12"/>
      <c r="M3770" s="11" t="s">
        <v>14087</v>
      </c>
      <c r="N3770" s="5" t="s">
        <v>16757</v>
      </c>
      <c r="O3770" s="5" t="s">
        <v>108</v>
      </c>
      <c r="P3770" s="15"/>
      <c r="Q3770" s="15"/>
      <c r="R3770" s="422"/>
      <c r="S3770" s="15"/>
      <c r="T3770" s="15"/>
      <c r="U3770" s="15"/>
      <c r="V3770" s="15"/>
      <c r="W3770" s="15"/>
      <c r="X3770" s="15"/>
      <c r="Y3770" s="15"/>
      <c r="Z3770" s="15"/>
      <c r="AA3770" s="15"/>
    </row>
    <row r="3771">
      <c r="A3771" s="5" t="s">
        <v>16722</v>
      </c>
      <c r="B3771" s="131" t="s">
        <v>16758</v>
      </c>
      <c r="C3771" s="40" t="s">
        <v>16759</v>
      </c>
      <c r="D3771" s="11"/>
      <c r="E3771" s="11" t="s">
        <v>16760</v>
      </c>
      <c r="F3771" s="9">
        <v>10000.0</v>
      </c>
      <c r="G3771" s="321"/>
      <c r="H3771" s="11" t="s">
        <v>16761</v>
      </c>
      <c r="I3771" s="423"/>
      <c r="J3771" s="14"/>
      <c r="K3771" s="12"/>
      <c r="L3771" s="12"/>
      <c r="M3771" s="11" t="s">
        <v>8638</v>
      </c>
      <c r="N3771" s="5" t="s">
        <v>16762</v>
      </c>
      <c r="O3771" s="5" t="s">
        <v>108</v>
      </c>
      <c r="P3771" s="15"/>
      <c r="Q3771" s="15"/>
      <c r="R3771" s="422"/>
      <c r="S3771" s="15"/>
      <c r="T3771" s="15"/>
      <c r="U3771" s="15"/>
      <c r="V3771" s="15"/>
      <c r="W3771" s="15"/>
      <c r="X3771" s="15"/>
      <c r="Y3771" s="15"/>
      <c r="Z3771" s="15"/>
      <c r="AA3771" s="15"/>
    </row>
    <row r="3772">
      <c r="A3772" s="5" t="s">
        <v>16722</v>
      </c>
      <c r="B3772" s="131" t="s">
        <v>16763</v>
      </c>
      <c r="C3772" s="40" t="s">
        <v>16764</v>
      </c>
      <c r="D3772" s="11"/>
      <c r="E3772" s="11" t="s">
        <v>3073</v>
      </c>
      <c r="F3772" s="90">
        <v>100.0</v>
      </c>
      <c r="G3772" s="321"/>
      <c r="H3772" s="11" t="s">
        <v>16765</v>
      </c>
      <c r="I3772" s="423"/>
      <c r="J3772" s="14"/>
      <c r="K3772" s="12"/>
      <c r="L3772" s="12"/>
      <c r="M3772" s="11" t="s">
        <v>16766</v>
      </c>
      <c r="N3772" s="5" t="s">
        <v>16767</v>
      </c>
      <c r="O3772" s="5" t="s">
        <v>14119</v>
      </c>
      <c r="P3772" s="15"/>
      <c r="Q3772" s="15"/>
      <c r="R3772" s="422"/>
      <c r="S3772" s="15"/>
      <c r="T3772" s="15"/>
      <c r="U3772" s="15"/>
      <c r="V3772" s="15"/>
      <c r="W3772" s="15"/>
      <c r="X3772" s="15"/>
      <c r="Y3772" s="15"/>
      <c r="Z3772" s="15"/>
      <c r="AA3772" s="15"/>
    </row>
    <row r="3773">
      <c r="A3773" s="5" t="s">
        <v>16722</v>
      </c>
      <c r="B3773" s="131" t="s">
        <v>16768</v>
      </c>
      <c r="C3773" s="40" t="s">
        <v>16769</v>
      </c>
      <c r="D3773" s="11"/>
      <c r="E3773" s="11" t="s">
        <v>539</v>
      </c>
      <c r="F3773" s="9">
        <v>100000.0</v>
      </c>
      <c r="G3773" s="321"/>
      <c r="H3773" s="11" t="s">
        <v>44</v>
      </c>
      <c r="I3773" s="423"/>
      <c r="J3773" s="14"/>
      <c r="K3773" s="12"/>
      <c r="L3773" s="12"/>
      <c r="M3773" s="11" t="s">
        <v>8722</v>
      </c>
      <c r="N3773" s="5" t="s">
        <v>16770</v>
      </c>
      <c r="O3773" s="5" t="s">
        <v>26</v>
      </c>
      <c r="P3773" s="15"/>
      <c r="Q3773" s="15"/>
      <c r="R3773" s="422"/>
      <c r="S3773" s="15"/>
      <c r="T3773" s="15"/>
      <c r="U3773" s="15"/>
      <c r="V3773" s="15"/>
      <c r="W3773" s="15"/>
      <c r="X3773" s="15"/>
      <c r="Y3773" s="15"/>
      <c r="Z3773" s="15"/>
      <c r="AA3773" s="15"/>
    </row>
    <row r="3774">
      <c r="A3774" s="5" t="s">
        <v>16722</v>
      </c>
      <c r="B3774" s="131" t="s">
        <v>16771</v>
      </c>
      <c r="C3774" s="40" t="s">
        <v>4273</v>
      </c>
      <c r="D3774" s="11"/>
      <c r="E3774" s="11" t="s">
        <v>9283</v>
      </c>
      <c r="F3774" s="90">
        <v>500.0</v>
      </c>
      <c r="G3774" s="321"/>
      <c r="H3774" s="11" t="s">
        <v>44</v>
      </c>
      <c r="I3774" s="276"/>
      <c r="J3774" s="11" t="s">
        <v>4008</v>
      </c>
      <c r="K3774" s="13"/>
      <c r="L3774" s="13"/>
      <c r="M3774" s="14"/>
      <c r="N3774" s="15"/>
      <c r="O3774" s="5" t="s">
        <v>14119</v>
      </c>
      <c r="P3774" s="15"/>
      <c r="Q3774" s="15"/>
      <c r="R3774" s="422"/>
      <c r="S3774" s="15"/>
      <c r="T3774" s="15"/>
      <c r="U3774" s="15"/>
      <c r="V3774" s="15"/>
      <c r="W3774" s="15"/>
      <c r="X3774" s="15"/>
      <c r="Y3774" s="15"/>
      <c r="Z3774" s="15"/>
      <c r="AA3774" s="15"/>
    </row>
    <row r="3775">
      <c r="A3775" s="5" t="s">
        <v>16722</v>
      </c>
      <c r="B3775" s="131" t="s">
        <v>16772</v>
      </c>
      <c r="C3775" s="40" t="s">
        <v>16773</v>
      </c>
      <c r="D3775" s="11"/>
      <c r="E3775" s="11" t="s">
        <v>11377</v>
      </c>
      <c r="F3775" s="90">
        <v>50.0</v>
      </c>
      <c r="G3775" s="321"/>
      <c r="H3775" s="11" t="s">
        <v>638</v>
      </c>
      <c r="I3775" s="276"/>
      <c r="J3775" s="11" t="s">
        <v>25</v>
      </c>
      <c r="K3775" s="13"/>
      <c r="L3775" s="13"/>
      <c r="M3775" s="14"/>
      <c r="N3775" s="15"/>
      <c r="O3775" s="5" t="s">
        <v>14119</v>
      </c>
      <c r="P3775" s="15"/>
      <c r="Q3775" s="15"/>
      <c r="R3775" s="422"/>
      <c r="S3775" s="15"/>
      <c r="T3775" s="15"/>
      <c r="U3775" s="15"/>
      <c r="V3775" s="15"/>
      <c r="W3775" s="15"/>
      <c r="X3775" s="15"/>
      <c r="Y3775" s="15"/>
      <c r="Z3775" s="15"/>
      <c r="AA3775" s="15"/>
    </row>
    <row r="3776">
      <c r="A3776" s="5" t="s">
        <v>16722</v>
      </c>
      <c r="B3776" s="131" t="s">
        <v>16774</v>
      </c>
      <c r="C3776" s="40" t="s">
        <v>14572</v>
      </c>
      <c r="D3776" s="11"/>
      <c r="E3776" s="11" t="s">
        <v>70</v>
      </c>
      <c r="F3776" s="90">
        <v>7000.0</v>
      </c>
      <c r="G3776" s="321"/>
      <c r="H3776" s="11" t="s">
        <v>14837</v>
      </c>
      <c r="I3776" s="276"/>
      <c r="J3776" s="11" t="s">
        <v>4008</v>
      </c>
      <c r="K3776" s="12"/>
      <c r="L3776" s="12"/>
      <c r="M3776" s="11" t="s">
        <v>16775</v>
      </c>
      <c r="N3776" s="5" t="s">
        <v>16776</v>
      </c>
      <c r="O3776" s="5" t="s">
        <v>26</v>
      </c>
      <c r="P3776" s="15"/>
      <c r="Q3776" s="15"/>
      <c r="R3776" s="422"/>
      <c r="S3776" s="15"/>
      <c r="T3776" s="15"/>
      <c r="U3776" s="15"/>
      <c r="V3776" s="15"/>
      <c r="W3776" s="15"/>
      <c r="X3776" s="15"/>
      <c r="Y3776" s="15"/>
      <c r="Z3776" s="15"/>
      <c r="AA3776" s="15"/>
    </row>
    <row r="3777">
      <c r="A3777" s="5" t="s">
        <v>16722</v>
      </c>
      <c r="B3777" s="131" t="s">
        <v>16777</v>
      </c>
      <c r="C3777" s="40" t="s">
        <v>16778</v>
      </c>
      <c r="D3777" s="11"/>
      <c r="E3777" s="11" t="s">
        <v>5502</v>
      </c>
      <c r="F3777" s="90" t="s">
        <v>5839</v>
      </c>
      <c r="G3777" s="321"/>
      <c r="H3777" s="11" t="s">
        <v>2682</v>
      </c>
      <c r="I3777" s="276"/>
      <c r="J3777" s="11" t="s">
        <v>25</v>
      </c>
      <c r="K3777" s="12"/>
      <c r="L3777" s="12"/>
      <c r="M3777" s="11" t="s">
        <v>16779</v>
      </c>
      <c r="N3777" s="5" t="s">
        <v>16780</v>
      </c>
      <c r="O3777" s="5" t="s">
        <v>108</v>
      </c>
      <c r="P3777" s="15"/>
      <c r="Q3777" s="15"/>
      <c r="R3777" s="422"/>
      <c r="S3777" s="15"/>
      <c r="T3777" s="15"/>
      <c r="U3777" s="15"/>
      <c r="V3777" s="15"/>
      <c r="W3777" s="15"/>
      <c r="X3777" s="15"/>
      <c r="Y3777" s="15"/>
      <c r="Z3777" s="15"/>
      <c r="AA3777" s="15"/>
    </row>
    <row r="3778">
      <c r="A3778" s="5" t="s">
        <v>16722</v>
      </c>
      <c r="B3778" s="131" t="s">
        <v>16781</v>
      </c>
      <c r="C3778" s="40" t="s">
        <v>16782</v>
      </c>
      <c r="D3778" s="11"/>
      <c r="E3778" s="11" t="s">
        <v>16783</v>
      </c>
      <c r="F3778" s="90">
        <v>1000.0</v>
      </c>
      <c r="G3778" s="321"/>
      <c r="H3778" s="11" t="s">
        <v>1082</v>
      </c>
      <c r="I3778" s="423"/>
      <c r="J3778" s="14"/>
      <c r="K3778" s="12"/>
      <c r="L3778" s="12"/>
      <c r="M3778" s="11" t="s">
        <v>16784</v>
      </c>
      <c r="N3778" s="5" t="s">
        <v>16785</v>
      </c>
      <c r="O3778" s="5" t="s">
        <v>26</v>
      </c>
      <c r="P3778" s="15"/>
      <c r="Q3778" s="15"/>
      <c r="R3778" s="422"/>
      <c r="S3778" s="15"/>
      <c r="T3778" s="15"/>
      <c r="U3778" s="15"/>
      <c r="V3778" s="15"/>
      <c r="W3778" s="15"/>
      <c r="X3778" s="15"/>
      <c r="Y3778" s="15"/>
      <c r="Z3778" s="15"/>
      <c r="AA3778" s="15"/>
    </row>
    <row r="3779">
      <c r="A3779" s="5" t="s">
        <v>16786</v>
      </c>
      <c r="B3779" s="131" t="s">
        <v>16787</v>
      </c>
      <c r="C3779" s="40" t="s">
        <v>16788</v>
      </c>
      <c r="D3779" s="11"/>
      <c r="E3779" s="11" t="s">
        <v>130</v>
      </c>
      <c r="F3779" s="90">
        <v>1000.0</v>
      </c>
      <c r="G3779" s="321"/>
      <c r="H3779" s="11" t="s">
        <v>472</v>
      </c>
      <c r="I3779" s="276"/>
      <c r="J3779" s="11" t="s">
        <v>25</v>
      </c>
      <c r="K3779" s="12"/>
      <c r="L3779" s="12"/>
      <c r="M3779" s="11" t="s">
        <v>9587</v>
      </c>
      <c r="N3779" s="5" t="s">
        <v>16789</v>
      </c>
      <c r="O3779" s="5" t="s">
        <v>26</v>
      </c>
      <c r="P3779" s="15"/>
      <c r="Q3779" s="15"/>
      <c r="R3779" s="422"/>
      <c r="S3779" s="15"/>
      <c r="T3779" s="15"/>
      <c r="U3779" s="15"/>
      <c r="V3779" s="15"/>
      <c r="W3779" s="15"/>
      <c r="X3779" s="15"/>
      <c r="Y3779" s="15"/>
      <c r="Z3779" s="15"/>
      <c r="AA3779" s="15"/>
    </row>
    <row r="3780">
      <c r="A3780" s="5" t="s">
        <v>16786</v>
      </c>
      <c r="B3780" s="131" t="s">
        <v>16790</v>
      </c>
      <c r="C3780" s="40" t="s">
        <v>16791</v>
      </c>
      <c r="D3780" s="11"/>
      <c r="E3780" s="11" t="s">
        <v>841</v>
      </c>
      <c r="F3780" s="90">
        <v>500.0</v>
      </c>
      <c r="G3780" s="321"/>
      <c r="H3780" s="11" t="s">
        <v>16792</v>
      </c>
      <c r="I3780" s="276"/>
      <c r="J3780" s="11" t="s">
        <v>25</v>
      </c>
      <c r="K3780" s="12"/>
      <c r="L3780" s="12"/>
      <c r="M3780" s="11" t="s">
        <v>9949</v>
      </c>
      <c r="N3780" s="5" t="s">
        <v>16793</v>
      </c>
      <c r="O3780" s="5" t="s">
        <v>26</v>
      </c>
      <c r="P3780" s="15"/>
      <c r="Q3780" s="15"/>
      <c r="R3780" s="422"/>
      <c r="S3780" s="15"/>
      <c r="T3780" s="15"/>
      <c r="U3780" s="15"/>
      <c r="V3780" s="15"/>
      <c r="W3780" s="15"/>
      <c r="X3780" s="15"/>
      <c r="Y3780" s="15"/>
      <c r="Z3780" s="15"/>
      <c r="AA3780" s="15"/>
    </row>
    <row r="3781">
      <c r="A3781" s="5" t="s">
        <v>16786</v>
      </c>
      <c r="B3781" s="131" t="s">
        <v>16794</v>
      </c>
      <c r="C3781" s="40" t="s">
        <v>9681</v>
      </c>
      <c r="D3781" s="11"/>
      <c r="E3781" s="11" t="s">
        <v>13311</v>
      </c>
      <c r="F3781" s="9">
        <v>200000.0</v>
      </c>
      <c r="G3781" s="321"/>
      <c r="H3781" s="11" t="s">
        <v>107</v>
      </c>
      <c r="I3781" s="423"/>
      <c r="J3781" s="14"/>
      <c r="K3781" s="13"/>
      <c r="L3781" s="13"/>
      <c r="M3781" s="14"/>
      <c r="N3781" s="15"/>
      <c r="O3781" s="5" t="s">
        <v>108</v>
      </c>
      <c r="P3781" s="15"/>
      <c r="Q3781" s="15"/>
      <c r="R3781" s="422"/>
      <c r="S3781" s="15"/>
      <c r="T3781" s="15"/>
      <c r="U3781" s="15"/>
      <c r="V3781" s="15"/>
      <c r="W3781" s="15"/>
      <c r="X3781" s="15"/>
      <c r="Y3781" s="15"/>
      <c r="Z3781" s="15"/>
      <c r="AA3781" s="15"/>
    </row>
    <row r="3782">
      <c r="A3782" s="5" t="s">
        <v>16786</v>
      </c>
      <c r="B3782" s="131" t="s">
        <v>16795</v>
      </c>
      <c r="C3782" s="40" t="s">
        <v>16796</v>
      </c>
      <c r="D3782" s="11"/>
      <c r="E3782" s="11" t="s">
        <v>152</v>
      </c>
      <c r="F3782" s="90">
        <v>100.0</v>
      </c>
      <c r="G3782" s="321"/>
      <c r="H3782" s="11" t="s">
        <v>99</v>
      </c>
      <c r="I3782" s="423"/>
      <c r="J3782" s="14"/>
      <c r="K3782" s="13"/>
      <c r="L3782" s="13"/>
      <c r="M3782" s="14"/>
      <c r="N3782" s="15"/>
      <c r="O3782" s="5" t="s">
        <v>14119</v>
      </c>
      <c r="P3782" s="15"/>
      <c r="Q3782" s="15"/>
      <c r="R3782" s="422"/>
      <c r="S3782" s="15"/>
      <c r="T3782" s="15"/>
      <c r="U3782" s="15"/>
      <c r="V3782" s="15"/>
      <c r="W3782" s="15"/>
      <c r="X3782" s="15"/>
      <c r="Y3782" s="15"/>
      <c r="Z3782" s="15"/>
      <c r="AA3782" s="15"/>
    </row>
    <row r="3783">
      <c r="A3783" s="5" t="s">
        <v>16786</v>
      </c>
      <c r="B3783" s="131" t="s">
        <v>16797</v>
      </c>
      <c r="C3783" s="40" t="s">
        <v>16798</v>
      </c>
      <c r="D3783" s="11"/>
      <c r="E3783" s="11" t="s">
        <v>16799</v>
      </c>
      <c r="F3783" s="90">
        <v>50.0</v>
      </c>
      <c r="G3783" s="321"/>
      <c r="H3783" s="11" t="s">
        <v>14873</v>
      </c>
      <c r="I3783" s="423"/>
      <c r="J3783" s="14"/>
      <c r="K3783" s="13"/>
      <c r="L3783" s="13"/>
      <c r="M3783" s="14"/>
      <c r="N3783" s="15"/>
      <c r="O3783" s="5" t="s">
        <v>14119</v>
      </c>
      <c r="P3783" s="15"/>
      <c r="Q3783" s="15"/>
      <c r="R3783" s="422"/>
      <c r="S3783" s="15"/>
      <c r="T3783" s="15"/>
      <c r="U3783" s="15"/>
      <c r="V3783" s="15"/>
      <c r="W3783" s="15"/>
      <c r="X3783" s="15"/>
      <c r="Y3783" s="15"/>
      <c r="Z3783" s="15"/>
      <c r="AA3783" s="15"/>
    </row>
    <row r="3784">
      <c r="A3784" s="5" t="s">
        <v>16786</v>
      </c>
      <c r="B3784" s="131" t="s">
        <v>16800</v>
      </c>
      <c r="C3784" s="40" t="s">
        <v>16801</v>
      </c>
      <c r="D3784" s="11"/>
      <c r="E3784" s="11" t="s">
        <v>1280</v>
      </c>
      <c r="F3784" s="9">
        <v>10000.0</v>
      </c>
      <c r="G3784" s="321"/>
      <c r="H3784" s="11" t="s">
        <v>16802</v>
      </c>
      <c r="I3784" s="423"/>
      <c r="J3784" s="14"/>
      <c r="K3784" s="12"/>
      <c r="L3784" s="12"/>
      <c r="M3784" s="11" t="s">
        <v>16803</v>
      </c>
      <c r="N3784" s="5" t="s">
        <v>16804</v>
      </c>
      <c r="O3784" s="5" t="s">
        <v>108</v>
      </c>
      <c r="P3784" s="15"/>
      <c r="Q3784" s="15"/>
      <c r="R3784" s="422"/>
      <c r="S3784" s="15"/>
      <c r="T3784" s="15"/>
      <c r="U3784" s="15"/>
      <c r="V3784" s="15"/>
      <c r="W3784" s="15"/>
      <c r="X3784" s="15"/>
      <c r="Y3784" s="15"/>
      <c r="Z3784" s="15"/>
      <c r="AA3784" s="15"/>
    </row>
    <row r="3785">
      <c r="A3785" s="5" t="s">
        <v>16786</v>
      </c>
      <c r="B3785" s="131" t="s">
        <v>16805</v>
      </c>
      <c r="C3785" s="40" t="s">
        <v>16806</v>
      </c>
      <c r="D3785" s="11"/>
      <c r="E3785" s="11" t="s">
        <v>5293</v>
      </c>
      <c r="F3785" s="90">
        <v>500.0</v>
      </c>
      <c r="G3785" s="321"/>
      <c r="H3785" s="11" t="s">
        <v>16807</v>
      </c>
      <c r="I3785" s="423"/>
      <c r="J3785" s="14"/>
      <c r="K3785" s="12"/>
      <c r="L3785" s="12"/>
      <c r="M3785" s="11" t="s">
        <v>16808</v>
      </c>
      <c r="N3785" s="5" t="s">
        <v>16809</v>
      </c>
      <c r="O3785" s="5" t="s">
        <v>26</v>
      </c>
      <c r="P3785" s="15"/>
      <c r="Q3785" s="15"/>
      <c r="R3785" s="422"/>
      <c r="S3785" s="15"/>
      <c r="T3785" s="15"/>
      <c r="U3785" s="15"/>
      <c r="V3785" s="15"/>
      <c r="W3785" s="15"/>
      <c r="X3785" s="15"/>
      <c r="Y3785" s="15"/>
      <c r="Z3785" s="15"/>
      <c r="AA3785" s="15"/>
    </row>
    <row r="3786">
      <c r="A3786" s="5" t="s">
        <v>16786</v>
      </c>
      <c r="B3786" s="131" t="s">
        <v>16810</v>
      </c>
      <c r="C3786" s="40" t="s">
        <v>16811</v>
      </c>
      <c r="D3786" s="11"/>
      <c r="E3786" s="11" t="s">
        <v>152</v>
      </c>
      <c r="F3786" s="9">
        <v>10000.0</v>
      </c>
      <c r="G3786" s="321"/>
      <c r="H3786" s="11" t="s">
        <v>822</v>
      </c>
      <c r="I3786" s="423"/>
      <c r="J3786" s="14"/>
      <c r="K3786" s="12"/>
      <c r="L3786" s="12"/>
      <c r="M3786" s="11" t="s">
        <v>9104</v>
      </c>
      <c r="N3786" s="5" t="s">
        <v>16812</v>
      </c>
      <c r="O3786" s="5" t="s">
        <v>26</v>
      </c>
      <c r="P3786" s="15"/>
      <c r="Q3786" s="15"/>
      <c r="R3786" s="422"/>
      <c r="S3786" s="15"/>
      <c r="T3786" s="15"/>
      <c r="U3786" s="15"/>
      <c r="V3786" s="15"/>
      <c r="W3786" s="15"/>
      <c r="X3786" s="15"/>
      <c r="Y3786" s="15"/>
      <c r="Z3786" s="15"/>
      <c r="AA3786" s="15"/>
    </row>
    <row r="3787">
      <c r="A3787" s="5" t="s">
        <v>16786</v>
      </c>
      <c r="B3787" s="131" t="s">
        <v>16813</v>
      </c>
      <c r="C3787" s="40" t="s">
        <v>16814</v>
      </c>
      <c r="D3787" s="11"/>
      <c r="E3787" s="11" t="s">
        <v>539</v>
      </c>
      <c r="F3787" s="9">
        <v>100000.0</v>
      </c>
      <c r="G3787" s="321"/>
      <c r="H3787" s="11" t="s">
        <v>16815</v>
      </c>
      <c r="I3787" s="423"/>
      <c r="J3787" s="14"/>
      <c r="K3787" s="12"/>
      <c r="L3787" s="12"/>
      <c r="M3787" s="11" t="s">
        <v>9414</v>
      </c>
      <c r="N3787" s="5" t="s">
        <v>16816</v>
      </c>
      <c r="O3787" s="5" t="s">
        <v>108</v>
      </c>
      <c r="P3787" s="15"/>
      <c r="Q3787" s="15"/>
      <c r="R3787" s="422"/>
      <c r="S3787" s="15"/>
      <c r="T3787" s="15"/>
      <c r="U3787" s="15"/>
      <c r="V3787" s="15"/>
      <c r="W3787" s="15"/>
      <c r="X3787" s="15"/>
      <c r="Y3787" s="15"/>
      <c r="Z3787" s="15"/>
      <c r="AA3787" s="15"/>
    </row>
    <row r="3788">
      <c r="A3788" s="5" t="s">
        <v>16786</v>
      </c>
      <c r="B3788" s="131" t="s">
        <v>16817</v>
      </c>
      <c r="C3788" s="40" t="s">
        <v>16818</v>
      </c>
      <c r="D3788" s="11"/>
      <c r="E3788" s="11" t="s">
        <v>116</v>
      </c>
      <c r="F3788" s="90">
        <v>1000.0</v>
      </c>
      <c r="G3788" s="321"/>
      <c r="H3788" s="11" t="s">
        <v>16819</v>
      </c>
      <c r="I3788" s="276"/>
      <c r="J3788" s="11" t="s">
        <v>16820</v>
      </c>
      <c r="K3788" s="12"/>
      <c r="L3788" s="12"/>
      <c r="M3788" s="11" t="s">
        <v>7928</v>
      </c>
      <c r="N3788" s="5" t="s">
        <v>16821</v>
      </c>
      <c r="O3788" s="5" t="s">
        <v>108</v>
      </c>
      <c r="P3788" s="15"/>
      <c r="Q3788" s="15"/>
      <c r="R3788" s="422"/>
      <c r="S3788" s="15"/>
      <c r="T3788" s="15"/>
      <c r="U3788" s="15"/>
      <c r="V3788" s="15"/>
      <c r="W3788" s="15"/>
      <c r="X3788" s="15"/>
      <c r="Y3788" s="15"/>
      <c r="Z3788" s="15"/>
      <c r="AA3788" s="15"/>
    </row>
    <row r="3789">
      <c r="A3789" s="5" t="s">
        <v>16786</v>
      </c>
      <c r="B3789" s="131" t="s">
        <v>16822</v>
      </c>
      <c r="C3789" s="40" t="s">
        <v>16823</v>
      </c>
      <c r="D3789" s="11"/>
      <c r="E3789" s="11" t="s">
        <v>152</v>
      </c>
      <c r="F3789" s="9">
        <v>25000.0</v>
      </c>
      <c r="G3789" s="321"/>
      <c r="H3789" s="11" t="s">
        <v>1461</v>
      </c>
      <c r="I3789" s="276"/>
      <c r="J3789" s="11" t="s">
        <v>25</v>
      </c>
      <c r="K3789" s="12"/>
      <c r="L3789" s="12"/>
      <c r="M3789" s="11" t="s">
        <v>9104</v>
      </c>
      <c r="N3789" s="5" t="s">
        <v>16824</v>
      </c>
      <c r="O3789" s="5" t="s">
        <v>108</v>
      </c>
      <c r="P3789" s="15"/>
      <c r="Q3789" s="15"/>
      <c r="R3789" s="422"/>
      <c r="S3789" s="15"/>
      <c r="T3789" s="15"/>
      <c r="U3789" s="15"/>
      <c r="V3789" s="15"/>
      <c r="W3789" s="15"/>
      <c r="X3789" s="15"/>
      <c r="Y3789" s="15"/>
      <c r="Z3789" s="15"/>
      <c r="AA3789" s="15"/>
    </row>
    <row r="3790">
      <c r="A3790" s="5" t="s">
        <v>16786</v>
      </c>
      <c r="B3790" s="131" t="s">
        <v>16825</v>
      </c>
      <c r="C3790" s="40" t="s">
        <v>16826</v>
      </c>
      <c r="D3790" s="11"/>
      <c r="E3790" s="11" t="s">
        <v>5502</v>
      </c>
      <c r="F3790" s="90" t="s">
        <v>15762</v>
      </c>
      <c r="G3790" s="321"/>
      <c r="H3790" s="11" t="s">
        <v>107</v>
      </c>
      <c r="I3790" s="423"/>
      <c r="J3790" s="14"/>
      <c r="K3790" s="12"/>
      <c r="L3790" s="12"/>
      <c r="M3790" s="11" t="s">
        <v>16827</v>
      </c>
      <c r="N3790" s="5" t="s">
        <v>16828</v>
      </c>
      <c r="O3790" s="5" t="s">
        <v>108</v>
      </c>
      <c r="P3790" s="15"/>
      <c r="Q3790" s="15"/>
      <c r="R3790" s="422"/>
      <c r="S3790" s="15"/>
      <c r="T3790" s="15"/>
      <c r="U3790" s="15"/>
      <c r="V3790" s="15"/>
      <c r="W3790" s="15"/>
      <c r="X3790" s="15"/>
      <c r="Y3790" s="15"/>
      <c r="Z3790" s="15"/>
      <c r="AA3790" s="15"/>
    </row>
    <row r="3791">
      <c r="A3791" s="5" t="s">
        <v>16786</v>
      </c>
      <c r="B3791" s="131" t="s">
        <v>16829</v>
      </c>
      <c r="C3791" s="40" t="s">
        <v>16830</v>
      </c>
      <c r="D3791" s="11"/>
      <c r="E3791" s="11" t="s">
        <v>31</v>
      </c>
      <c r="F3791" s="9">
        <v>20000.0</v>
      </c>
      <c r="G3791" s="321"/>
      <c r="H3791" s="11" t="s">
        <v>906</v>
      </c>
      <c r="I3791" s="276"/>
      <c r="J3791" s="11" t="s">
        <v>12882</v>
      </c>
      <c r="K3791" s="12"/>
      <c r="L3791" s="12"/>
      <c r="M3791" s="11" t="s">
        <v>8860</v>
      </c>
      <c r="N3791" s="5" t="s">
        <v>16831</v>
      </c>
      <c r="O3791" s="5" t="s">
        <v>108</v>
      </c>
      <c r="P3791" s="15"/>
      <c r="Q3791" s="15"/>
      <c r="R3791" s="422"/>
      <c r="S3791" s="15"/>
      <c r="T3791" s="15"/>
      <c r="U3791" s="15"/>
      <c r="V3791" s="15"/>
      <c r="W3791" s="15"/>
      <c r="X3791" s="15"/>
      <c r="Y3791" s="15"/>
      <c r="Z3791" s="15"/>
      <c r="AA3791" s="15"/>
    </row>
    <row r="3792">
      <c r="A3792" s="5" t="s">
        <v>16786</v>
      </c>
      <c r="B3792" s="131" t="s">
        <v>16832</v>
      </c>
      <c r="C3792" s="40" t="s">
        <v>16833</v>
      </c>
      <c r="D3792" s="11"/>
      <c r="E3792" s="11" t="s">
        <v>16834</v>
      </c>
      <c r="F3792" s="90">
        <v>50.0</v>
      </c>
      <c r="G3792" s="321"/>
      <c r="H3792" s="11" t="s">
        <v>44</v>
      </c>
      <c r="I3792" s="423"/>
      <c r="J3792" s="14"/>
      <c r="K3792" s="13"/>
      <c r="L3792" s="13"/>
      <c r="M3792" s="14"/>
      <c r="N3792" s="15"/>
      <c r="O3792" s="5" t="s">
        <v>14119</v>
      </c>
      <c r="P3792" s="15"/>
      <c r="Q3792" s="15"/>
      <c r="R3792" s="422"/>
      <c r="S3792" s="15"/>
      <c r="T3792" s="15"/>
      <c r="U3792" s="15"/>
      <c r="V3792" s="15"/>
      <c r="W3792" s="15"/>
      <c r="X3792" s="15"/>
      <c r="Y3792" s="15"/>
      <c r="Z3792" s="15"/>
      <c r="AA3792" s="15"/>
    </row>
    <row r="3793">
      <c r="A3793" s="5" t="s">
        <v>16786</v>
      </c>
      <c r="B3793" s="131" t="s">
        <v>16835</v>
      </c>
      <c r="C3793" s="40" t="s">
        <v>16836</v>
      </c>
      <c r="D3793" s="11"/>
      <c r="E3793" s="11" t="s">
        <v>5502</v>
      </c>
      <c r="F3793" s="90" t="s">
        <v>8192</v>
      </c>
      <c r="G3793" s="321"/>
      <c r="H3793" s="11" t="s">
        <v>2882</v>
      </c>
      <c r="I3793" s="276"/>
      <c r="J3793" s="11" t="s">
        <v>25</v>
      </c>
      <c r="K3793" s="12"/>
      <c r="L3793" s="12"/>
      <c r="M3793" s="11" t="s">
        <v>14189</v>
      </c>
      <c r="N3793" s="5" t="s">
        <v>16837</v>
      </c>
      <c r="O3793" s="5" t="s">
        <v>108</v>
      </c>
      <c r="P3793" s="15"/>
      <c r="Q3793" s="15"/>
      <c r="R3793" s="422"/>
      <c r="S3793" s="15"/>
      <c r="T3793" s="15"/>
      <c r="U3793" s="15"/>
      <c r="V3793" s="15"/>
      <c r="W3793" s="15"/>
      <c r="X3793" s="15"/>
      <c r="Y3793" s="15"/>
      <c r="Z3793" s="15"/>
      <c r="AA3793" s="15"/>
    </row>
    <row r="3794">
      <c r="A3794" s="5" t="s">
        <v>16786</v>
      </c>
      <c r="B3794" s="131" t="s">
        <v>16838</v>
      </c>
      <c r="C3794" s="40" t="s">
        <v>16839</v>
      </c>
      <c r="D3794" s="11"/>
      <c r="E3794" s="11" t="s">
        <v>794</v>
      </c>
      <c r="F3794" s="90">
        <v>500.0</v>
      </c>
      <c r="G3794" s="321"/>
      <c r="H3794" s="11" t="s">
        <v>16840</v>
      </c>
      <c r="I3794" s="423"/>
      <c r="J3794" s="14"/>
      <c r="K3794" s="12"/>
      <c r="L3794" s="12"/>
      <c r="M3794" s="11" t="s">
        <v>7884</v>
      </c>
      <c r="N3794" s="5" t="s">
        <v>16841</v>
      </c>
      <c r="O3794" s="5" t="s">
        <v>26</v>
      </c>
      <c r="P3794" s="15"/>
      <c r="Q3794" s="15"/>
      <c r="R3794" s="422"/>
      <c r="S3794" s="15"/>
      <c r="T3794" s="15"/>
      <c r="U3794" s="15"/>
      <c r="V3794" s="15"/>
      <c r="W3794" s="15"/>
      <c r="X3794" s="15"/>
      <c r="Y3794" s="15"/>
      <c r="Z3794" s="15"/>
      <c r="AA3794" s="15"/>
    </row>
    <row r="3795">
      <c r="A3795" s="5" t="s">
        <v>16842</v>
      </c>
      <c r="B3795" s="131" t="s">
        <v>16843</v>
      </c>
      <c r="C3795" s="40" t="s">
        <v>16756</v>
      </c>
      <c r="D3795" s="11"/>
      <c r="E3795" s="11" t="s">
        <v>5502</v>
      </c>
      <c r="F3795" s="90" t="s">
        <v>14893</v>
      </c>
      <c r="G3795" s="321"/>
      <c r="H3795" s="11" t="s">
        <v>13612</v>
      </c>
      <c r="I3795" s="423"/>
      <c r="J3795" s="14"/>
      <c r="K3795" s="12"/>
      <c r="L3795" s="12"/>
      <c r="M3795" s="11" t="s">
        <v>14894</v>
      </c>
      <c r="N3795" s="5" t="s">
        <v>16844</v>
      </c>
      <c r="O3795" s="5" t="s">
        <v>108</v>
      </c>
      <c r="P3795" s="15"/>
      <c r="Q3795" s="15"/>
      <c r="R3795" s="422"/>
      <c r="S3795" s="15"/>
      <c r="T3795" s="15"/>
      <c r="U3795" s="15"/>
      <c r="V3795" s="15"/>
      <c r="W3795" s="15"/>
      <c r="X3795" s="15"/>
      <c r="Y3795" s="15"/>
      <c r="Z3795" s="15"/>
      <c r="AA3795" s="15"/>
    </row>
    <row r="3796">
      <c r="A3796" s="5" t="s">
        <v>16842</v>
      </c>
      <c r="B3796" s="131" t="s">
        <v>16845</v>
      </c>
      <c r="C3796" s="40" t="s">
        <v>2352</v>
      </c>
      <c r="D3796" s="11"/>
      <c r="E3796" s="11" t="s">
        <v>3341</v>
      </c>
      <c r="F3796" s="90">
        <v>100.0</v>
      </c>
      <c r="G3796" s="321"/>
      <c r="H3796" s="11" t="s">
        <v>44</v>
      </c>
      <c r="I3796" s="423"/>
      <c r="J3796" s="14"/>
      <c r="K3796" s="13"/>
      <c r="L3796" s="13"/>
      <c r="M3796" s="14"/>
      <c r="N3796" s="15"/>
      <c r="O3796" s="5" t="s">
        <v>14119</v>
      </c>
      <c r="P3796" s="15"/>
      <c r="Q3796" s="15"/>
      <c r="R3796" s="422"/>
      <c r="S3796" s="15"/>
      <c r="T3796" s="15"/>
      <c r="U3796" s="15"/>
      <c r="V3796" s="15"/>
      <c r="W3796" s="15"/>
      <c r="X3796" s="15"/>
      <c r="Y3796" s="15"/>
      <c r="Z3796" s="15"/>
      <c r="AA3796" s="15"/>
    </row>
    <row r="3797">
      <c r="A3797" s="5" t="s">
        <v>16842</v>
      </c>
      <c r="B3797" s="131" t="s">
        <v>16846</v>
      </c>
      <c r="C3797" s="40" t="s">
        <v>16847</v>
      </c>
      <c r="D3797" s="11"/>
      <c r="E3797" s="11" t="s">
        <v>6421</v>
      </c>
      <c r="F3797" s="90">
        <v>50.0</v>
      </c>
      <c r="G3797" s="321"/>
      <c r="H3797" s="11" t="s">
        <v>44</v>
      </c>
      <c r="I3797" s="423"/>
      <c r="J3797" s="14"/>
      <c r="K3797" s="13"/>
      <c r="L3797" s="13"/>
      <c r="M3797" s="14"/>
      <c r="N3797" s="15"/>
      <c r="O3797" s="5" t="s">
        <v>14119</v>
      </c>
      <c r="P3797" s="15"/>
      <c r="Q3797" s="15"/>
      <c r="R3797" s="422"/>
      <c r="S3797" s="15"/>
      <c r="T3797" s="15"/>
      <c r="U3797" s="15"/>
      <c r="V3797" s="15"/>
      <c r="W3797" s="15"/>
      <c r="X3797" s="15"/>
      <c r="Y3797" s="15"/>
      <c r="Z3797" s="15"/>
      <c r="AA3797" s="15"/>
    </row>
    <row r="3798">
      <c r="A3798" s="5" t="s">
        <v>16842</v>
      </c>
      <c r="B3798" s="131" t="s">
        <v>16848</v>
      </c>
      <c r="C3798" s="40" t="s">
        <v>16849</v>
      </c>
      <c r="D3798" s="11"/>
      <c r="E3798" s="11" t="s">
        <v>16850</v>
      </c>
      <c r="F3798" s="90">
        <v>1000.0</v>
      </c>
      <c r="G3798" s="321"/>
      <c r="H3798" s="11" t="s">
        <v>44</v>
      </c>
      <c r="I3798" s="423"/>
      <c r="J3798" s="14"/>
      <c r="K3798" s="12"/>
      <c r="L3798" s="12"/>
      <c r="M3798" s="11" t="s">
        <v>15494</v>
      </c>
      <c r="N3798" s="5" t="s">
        <v>16851</v>
      </c>
      <c r="O3798" s="5" t="s">
        <v>26</v>
      </c>
      <c r="P3798" s="15"/>
      <c r="Q3798" s="15"/>
      <c r="R3798" s="422"/>
      <c r="S3798" s="15"/>
      <c r="T3798" s="15"/>
      <c r="U3798" s="15"/>
      <c r="V3798" s="15"/>
      <c r="W3798" s="15"/>
      <c r="X3798" s="15"/>
      <c r="Y3798" s="15"/>
      <c r="Z3798" s="15"/>
      <c r="AA3798" s="15"/>
    </row>
    <row r="3799">
      <c r="A3799" s="5" t="s">
        <v>16842</v>
      </c>
      <c r="B3799" s="131" t="s">
        <v>16852</v>
      </c>
      <c r="C3799" s="40" t="s">
        <v>1985</v>
      </c>
      <c r="D3799" s="11"/>
      <c r="E3799" s="11" t="s">
        <v>9462</v>
      </c>
      <c r="F3799" s="90">
        <v>200.0</v>
      </c>
      <c r="G3799" s="321"/>
      <c r="H3799" s="11" t="s">
        <v>44</v>
      </c>
      <c r="I3799" s="423"/>
      <c r="J3799" s="14"/>
      <c r="K3799" s="12"/>
      <c r="L3799" s="12"/>
      <c r="M3799" s="11" t="s">
        <v>10090</v>
      </c>
      <c r="N3799" s="5" t="s">
        <v>16853</v>
      </c>
      <c r="O3799" s="5" t="s">
        <v>26</v>
      </c>
      <c r="P3799" s="15"/>
      <c r="Q3799" s="15"/>
      <c r="R3799" s="422"/>
      <c r="S3799" s="15"/>
      <c r="T3799" s="15"/>
      <c r="U3799" s="15"/>
      <c r="V3799" s="15"/>
      <c r="W3799" s="15"/>
      <c r="X3799" s="15"/>
      <c r="Y3799" s="15"/>
      <c r="Z3799" s="15"/>
      <c r="AA3799" s="15"/>
    </row>
    <row r="3800">
      <c r="A3800" s="5" t="s">
        <v>16842</v>
      </c>
      <c r="B3800" s="429" t="s">
        <v>16854</v>
      </c>
      <c r="C3800" s="40" t="s">
        <v>16855</v>
      </c>
      <c r="D3800" s="11"/>
      <c r="E3800" s="11" t="s">
        <v>3165</v>
      </c>
      <c r="F3800" s="90">
        <v>2000.0</v>
      </c>
      <c r="G3800" s="321"/>
      <c r="H3800" s="11" t="s">
        <v>1006</v>
      </c>
      <c r="I3800" s="423"/>
      <c r="J3800" s="14"/>
      <c r="K3800" s="12"/>
      <c r="L3800" s="12"/>
      <c r="M3800" s="11" t="s">
        <v>16856</v>
      </c>
      <c r="N3800" s="5" t="s">
        <v>16322</v>
      </c>
      <c r="O3800" s="5" t="s">
        <v>108</v>
      </c>
      <c r="P3800" s="15"/>
      <c r="Q3800" s="15"/>
      <c r="R3800" s="422"/>
      <c r="S3800" s="15"/>
      <c r="T3800" s="15"/>
      <c r="U3800" s="15"/>
      <c r="V3800" s="15"/>
      <c r="W3800" s="15"/>
      <c r="X3800" s="15"/>
      <c r="Y3800" s="15"/>
      <c r="Z3800" s="15"/>
      <c r="AA3800" s="15"/>
    </row>
    <row r="3801">
      <c r="A3801" s="5" t="s">
        <v>16842</v>
      </c>
      <c r="B3801" s="131" t="s">
        <v>16857</v>
      </c>
      <c r="C3801" s="40" t="s">
        <v>16858</v>
      </c>
      <c r="D3801" s="11"/>
      <c r="E3801" s="11" t="s">
        <v>16859</v>
      </c>
      <c r="F3801" s="90">
        <v>500.0</v>
      </c>
      <c r="G3801" s="321"/>
      <c r="H3801" s="11" t="s">
        <v>16860</v>
      </c>
      <c r="I3801" s="423"/>
      <c r="J3801" s="14"/>
      <c r="K3801" s="12"/>
      <c r="L3801" s="12"/>
      <c r="M3801" s="11" t="s">
        <v>9949</v>
      </c>
      <c r="N3801" s="5" t="s">
        <v>16861</v>
      </c>
      <c r="O3801" s="5" t="s">
        <v>26</v>
      </c>
      <c r="P3801" s="15"/>
      <c r="Q3801" s="15"/>
      <c r="R3801" s="422"/>
      <c r="S3801" s="15"/>
      <c r="T3801" s="15"/>
      <c r="U3801" s="15"/>
      <c r="V3801" s="15"/>
      <c r="W3801" s="15"/>
      <c r="X3801" s="15"/>
      <c r="Y3801" s="15"/>
      <c r="Z3801" s="15"/>
      <c r="AA3801" s="15"/>
    </row>
    <row r="3802">
      <c r="A3802" s="5" t="s">
        <v>16842</v>
      </c>
      <c r="B3802" s="131" t="s">
        <v>16862</v>
      </c>
      <c r="C3802" s="40" t="s">
        <v>16863</v>
      </c>
      <c r="D3802" s="11"/>
      <c r="E3802" s="11" t="s">
        <v>16864</v>
      </c>
      <c r="F3802" s="90">
        <v>200.0</v>
      </c>
      <c r="G3802" s="321"/>
      <c r="H3802" s="11" t="s">
        <v>44</v>
      </c>
      <c r="I3802" s="423"/>
      <c r="J3802" s="14"/>
      <c r="K3802" s="12"/>
      <c r="L3802" s="12"/>
      <c r="M3802" s="11" t="s">
        <v>9587</v>
      </c>
      <c r="N3802" s="5" t="s">
        <v>16865</v>
      </c>
      <c r="O3802" s="5" t="s">
        <v>26</v>
      </c>
      <c r="P3802" s="15"/>
      <c r="Q3802" s="15"/>
      <c r="R3802" s="422"/>
      <c r="S3802" s="15"/>
      <c r="T3802" s="15"/>
      <c r="U3802" s="15"/>
      <c r="V3802" s="15"/>
      <c r="W3802" s="15"/>
      <c r="X3802" s="15"/>
      <c r="Y3802" s="15"/>
      <c r="Z3802" s="15"/>
      <c r="AA3802" s="15"/>
    </row>
    <row r="3803">
      <c r="A3803" s="5" t="s">
        <v>16842</v>
      </c>
      <c r="B3803" s="131" t="s">
        <v>16866</v>
      </c>
      <c r="C3803" s="40" t="s">
        <v>16867</v>
      </c>
      <c r="D3803" s="11"/>
      <c r="E3803" s="11" t="s">
        <v>15908</v>
      </c>
      <c r="F3803" s="90" t="s">
        <v>16868</v>
      </c>
      <c r="G3803" s="321"/>
      <c r="H3803" s="11" t="s">
        <v>44</v>
      </c>
      <c r="I3803" s="423"/>
      <c r="J3803" s="14"/>
      <c r="K3803" s="12"/>
      <c r="L3803" s="12"/>
      <c r="M3803" s="11" t="s">
        <v>16869</v>
      </c>
      <c r="N3803" s="5" t="s">
        <v>16870</v>
      </c>
      <c r="O3803" s="5" t="s">
        <v>26</v>
      </c>
      <c r="P3803" s="15"/>
      <c r="Q3803" s="15"/>
      <c r="R3803" s="422"/>
      <c r="S3803" s="15"/>
      <c r="T3803" s="15"/>
      <c r="U3803" s="15"/>
      <c r="V3803" s="15"/>
      <c r="W3803" s="15"/>
      <c r="X3803" s="15"/>
      <c r="Y3803" s="15"/>
      <c r="Z3803" s="15"/>
      <c r="AA3803" s="15"/>
    </row>
    <row r="3804">
      <c r="A3804" s="5" t="s">
        <v>16842</v>
      </c>
      <c r="B3804" s="131" t="s">
        <v>16871</v>
      </c>
      <c r="C3804" s="40" t="s">
        <v>14749</v>
      </c>
      <c r="D3804" s="11"/>
      <c r="E3804" s="11" t="s">
        <v>16872</v>
      </c>
      <c r="F3804" s="90" t="s">
        <v>16233</v>
      </c>
      <c r="G3804" s="321"/>
      <c r="H3804" s="11" t="s">
        <v>44</v>
      </c>
      <c r="I3804" s="423"/>
      <c r="J3804" s="14"/>
      <c r="K3804" s="12"/>
      <c r="L3804" s="12"/>
      <c r="M3804" s="11" t="s">
        <v>16873</v>
      </c>
      <c r="N3804" s="5" t="s">
        <v>16874</v>
      </c>
      <c r="O3804" s="5" t="s">
        <v>26</v>
      </c>
      <c r="P3804" s="15"/>
      <c r="Q3804" s="15"/>
      <c r="R3804" s="422"/>
      <c r="S3804" s="15"/>
      <c r="T3804" s="15"/>
      <c r="U3804" s="15"/>
      <c r="V3804" s="15"/>
      <c r="W3804" s="15"/>
      <c r="X3804" s="15"/>
      <c r="Y3804" s="15"/>
      <c r="Z3804" s="15"/>
      <c r="AA3804" s="15"/>
    </row>
    <row r="3805">
      <c r="A3805" s="5" t="s">
        <v>16842</v>
      </c>
      <c r="B3805" s="131" t="s">
        <v>16875</v>
      </c>
      <c r="C3805" s="40" t="s">
        <v>16876</v>
      </c>
      <c r="D3805" s="11"/>
      <c r="E3805" s="11" t="s">
        <v>794</v>
      </c>
      <c r="F3805" s="90">
        <v>1000.0</v>
      </c>
      <c r="G3805" s="321"/>
      <c r="H3805" s="11" t="s">
        <v>44</v>
      </c>
      <c r="I3805" s="276"/>
      <c r="J3805" s="11" t="s">
        <v>25</v>
      </c>
      <c r="K3805" s="12"/>
      <c r="L3805" s="12"/>
      <c r="M3805" s="11" t="s">
        <v>9034</v>
      </c>
      <c r="N3805" s="5" t="s">
        <v>16877</v>
      </c>
      <c r="O3805" s="5" t="s">
        <v>26</v>
      </c>
      <c r="P3805" s="15"/>
      <c r="Q3805" s="15"/>
      <c r="R3805" s="422"/>
      <c r="S3805" s="15"/>
      <c r="T3805" s="15"/>
      <c r="U3805" s="15"/>
      <c r="V3805" s="15"/>
      <c r="W3805" s="15"/>
      <c r="X3805" s="15"/>
      <c r="Y3805" s="15"/>
      <c r="Z3805" s="15"/>
      <c r="AA3805" s="15"/>
    </row>
    <row r="3806">
      <c r="A3806" s="5" t="s">
        <v>16842</v>
      </c>
      <c r="B3806" s="131" t="s">
        <v>16878</v>
      </c>
      <c r="C3806" s="40" t="s">
        <v>16879</v>
      </c>
      <c r="D3806" s="11"/>
      <c r="E3806" s="11" t="s">
        <v>15357</v>
      </c>
      <c r="F3806" s="90">
        <v>1000.0</v>
      </c>
      <c r="G3806" s="321"/>
      <c r="H3806" s="11" t="s">
        <v>906</v>
      </c>
      <c r="I3806" s="276"/>
      <c r="J3806" s="11" t="s">
        <v>25</v>
      </c>
      <c r="K3806" s="12"/>
      <c r="L3806" s="12"/>
      <c r="M3806" s="11" t="s">
        <v>12825</v>
      </c>
      <c r="N3806" s="5" t="s">
        <v>16880</v>
      </c>
      <c r="O3806" s="5" t="s">
        <v>108</v>
      </c>
      <c r="P3806" s="15"/>
      <c r="Q3806" s="15"/>
      <c r="R3806" s="422"/>
      <c r="S3806" s="15"/>
      <c r="T3806" s="15"/>
      <c r="U3806" s="15"/>
      <c r="V3806" s="15"/>
      <c r="W3806" s="15"/>
      <c r="X3806" s="15"/>
      <c r="Y3806" s="15"/>
      <c r="Z3806" s="15"/>
      <c r="AA3806" s="15"/>
    </row>
    <row r="3807">
      <c r="A3807" s="5" t="s">
        <v>16842</v>
      </c>
      <c r="B3807" s="131" t="s">
        <v>16881</v>
      </c>
      <c r="C3807" s="40" t="s">
        <v>16882</v>
      </c>
      <c r="D3807" s="11"/>
      <c r="E3807" s="11" t="s">
        <v>16883</v>
      </c>
      <c r="F3807" s="90">
        <v>100.0</v>
      </c>
      <c r="G3807" s="321"/>
      <c r="H3807" s="11" t="s">
        <v>555</v>
      </c>
      <c r="I3807" s="276"/>
      <c r="J3807" s="11" t="s">
        <v>4008</v>
      </c>
      <c r="K3807" s="13"/>
      <c r="L3807" s="13"/>
      <c r="M3807" s="14"/>
      <c r="N3807" s="15"/>
      <c r="O3807" s="5" t="s">
        <v>14119</v>
      </c>
      <c r="P3807" s="15"/>
      <c r="Q3807" s="15"/>
      <c r="R3807" s="422"/>
      <c r="S3807" s="15"/>
      <c r="T3807" s="15"/>
      <c r="U3807" s="15"/>
      <c r="V3807" s="15"/>
      <c r="W3807" s="15"/>
      <c r="X3807" s="15"/>
      <c r="Y3807" s="15"/>
      <c r="Z3807" s="15"/>
      <c r="AA3807" s="15"/>
    </row>
    <row r="3808">
      <c r="A3808" s="5" t="s">
        <v>16842</v>
      </c>
      <c r="B3808" s="131" t="s">
        <v>16884</v>
      </c>
      <c r="C3808" s="40" t="s">
        <v>16885</v>
      </c>
      <c r="D3808" s="11"/>
      <c r="E3808" s="11" t="s">
        <v>1373</v>
      </c>
      <c r="F3808" s="90" t="s">
        <v>16886</v>
      </c>
      <c r="G3808" s="321"/>
      <c r="H3808" s="11" t="s">
        <v>16887</v>
      </c>
      <c r="I3808" s="276"/>
      <c r="J3808" s="11" t="s">
        <v>4008</v>
      </c>
      <c r="K3808" s="12"/>
      <c r="L3808" s="12"/>
      <c r="M3808" s="11" t="s">
        <v>9587</v>
      </c>
      <c r="N3808" s="5" t="s">
        <v>16888</v>
      </c>
      <c r="O3808" s="5" t="s">
        <v>14119</v>
      </c>
      <c r="P3808" s="15"/>
      <c r="Q3808" s="15"/>
      <c r="R3808" s="422"/>
      <c r="S3808" s="15"/>
      <c r="T3808" s="15"/>
      <c r="U3808" s="15"/>
      <c r="V3808" s="15"/>
      <c r="W3808" s="15"/>
      <c r="X3808" s="15"/>
      <c r="Y3808" s="15"/>
      <c r="Z3808" s="15"/>
      <c r="AA3808" s="15"/>
    </row>
    <row r="3809">
      <c r="A3809" s="5" t="s">
        <v>16842</v>
      </c>
      <c r="B3809" s="131" t="s">
        <v>16889</v>
      </c>
      <c r="C3809" s="40" t="s">
        <v>16890</v>
      </c>
      <c r="D3809" s="11"/>
      <c r="E3809" s="11" t="s">
        <v>14178</v>
      </c>
      <c r="F3809" s="90" t="s">
        <v>16891</v>
      </c>
      <c r="G3809" s="321"/>
      <c r="H3809" s="11" t="s">
        <v>44</v>
      </c>
      <c r="I3809" s="423"/>
      <c r="J3809" s="14"/>
      <c r="K3809" s="12"/>
      <c r="L3809" s="12"/>
      <c r="M3809" s="11" t="s">
        <v>16892</v>
      </c>
      <c r="N3809" s="5" t="s">
        <v>16893</v>
      </c>
      <c r="O3809" s="5" t="s">
        <v>26</v>
      </c>
      <c r="P3809" s="15"/>
      <c r="Q3809" s="15"/>
      <c r="R3809" s="422"/>
      <c r="S3809" s="15"/>
      <c r="T3809" s="15"/>
      <c r="U3809" s="15"/>
      <c r="V3809" s="15"/>
      <c r="W3809" s="15"/>
      <c r="X3809" s="15"/>
      <c r="Y3809" s="15"/>
      <c r="Z3809" s="15"/>
      <c r="AA3809" s="15"/>
    </row>
    <row r="3810">
      <c r="A3810" s="5" t="s">
        <v>16842</v>
      </c>
      <c r="B3810" s="131" t="s">
        <v>16894</v>
      </c>
      <c r="C3810" s="40" t="s">
        <v>16895</v>
      </c>
      <c r="D3810" s="11"/>
      <c r="E3810" s="11" t="s">
        <v>5844</v>
      </c>
      <c r="F3810" s="90">
        <v>5000.0</v>
      </c>
      <c r="G3810" s="321"/>
      <c r="H3810" s="11" t="s">
        <v>467</v>
      </c>
      <c r="I3810" s="276"/>
      <c r="J3810" s="11" t="s">
        <v>4008</v>
      </c>
      <c r="K3810" s="12"/>
      <c r="L3810" s="12"/>
      <c r="M3810" s="11" t="s">
        <v>16896</v>
      </c>
      <c r="N3810" s="5" t="s">
        <v>16897</v>
      </c>
      <c r="O3810" s="5" t="s">
        <v>108</v>
      </c>
      <c r="P3810" s="15"/>
      <c r="Q3810" s="15"/>
      <c r="R3810" s="422"/>
      <c r="S3810" s="15"/>
      <c r="T3810" s="15"/>
      <c r="U3810" s="15"/>
      <c r="V3810" s="15"/>
      <c r="W3810" s="15"/>
      <c r="X3810" s="15"/>
      <c r="Y3810" s="15"/>
      <c r="Z3810" s="15"/>
      <c r="AA3810" s="15"/>
    </row>
    <row r="3811">
      <c r="A3811" s="5" t="s">
        <v>16898</v>
      </c>
      <c r="B3811" s="131" t="s">
        <v>16899</v>
      </c>
      <c r="C3811" s="40" t="s">
        <v>16900</v>
      </c>
      <c r="D3811" s="11"/>
      <c r="E3811" s="11" t="s">
        <v>16391</v>
      </c>
      <c r="F3811" s="90">
        <v>500.0</v>
      </c>
      <c r="G3811" s="321"/>
      <c r="H3811" s="11" t="s">
        <v>16901</v>
      </c>
      <c r="I3811" s="276"/>
      <c r="J3811" s="11" t="s">
        <v>4008</v>
      </c>
      <c r="K3811" s="12"/>
      <c r="L3811" s="12"/>
      <c r="M3811" s="11" t="s">
        <v>8722</v>
      </c>
      <c r="N3811" s="5" t="s">
        <v>16902</v>
      </c>
      <c r="O3811" s="5" t="s">
        <v>108</v>
      </c>
      <c r="P3811" s="15"/>
      <c r="Q3811" s="15"/>
      <c r="R3811" s="422"/>
      <c r="S3811" s="15"/>
      <c r="T3811" s="15"/>
      <c r="U3811" s="15"/>
      <c r="V3811" s="15"/>
      <c r="W3811" s="15"/>
      <c r="X3811" s="15"/>
      <c r="Y3811" s="15"/>
      <c r="Z3811" s="15"/>
      <c r="AA3811" s="15"/>
    </row>
    <row r="3812">
      <c r="A3812" s="5" t="s">
        <v>16898</v>
      </c>
      <c r="B3812" s="131" t="s">
        <v>16903</v>
      </c>
      <c r="C3812" s="40" t="s">
        <v>4438</v>
      </c>
      <c r="D3812" s="11"/>
      <c r="E3812" s="11" t="s">
        <v>8247</v>
      </c>
      <c r="F3812" s="90">
        <v>1000.0</v>
      </c>
      <c r="G3812" s="321"/>
      <c r="H3812" s="11" t="s">
        <v>184</v>
      </c>
      <c r="I3812" s="276"/>
      <c r="J3812" s="11" t="s">
        <v>16904</v>
      </c>
      <c r="K3812" s="12"/>
      <c r="L3812" s="12"/>
      <c r="M3812" s="11" t="s">
        <v>16905</v>
      </c>
      <c r="N3812" s="5" t="s">
        <v>16906</v>
      </c>
      <c r="O3812" s="5" t="s">
        <v>26</v>
      </c>
      <c r="P3812" s="15"/>
      <c r="Q3812" s="15"/>
      <c r="R3812" s="422"/>
      <c r="S3812" s="15"/>
      <c r="T3812" s="15"/>
      <c r="U3812" s="15"/>
      <c r="V3812" s="15"/>
      <c r="W3812" s="15"/>
      <c r="X3812" s="15"/>
      <c r="Y3812" s="15"/>
      <c r="Z3812" s="15"/>
      <c r="AA3812" s="15"/>
    </row>
    <row r="3813">
      <c r="A3813" s="5" t="s">
        <v>16898</v>
      </c>
      <c r="B3813" s="131" t="s">
        <v>16907</v>
      </c>
      <c r="C3813" s="40" t="s">
        <v>16908</v>
      </c>
      <c r="D3813" s="11"/>
      <c r="E3813" s="11" t="s">
        <v>15708</v>
      </c>
      <c r="F3813" s="90">
        <v>1000.0</v>
      </c>
      <c r="G3813" s="321"/>
      <c r="H3813" s="11" t="s">
        <v>16909</v>
      </c>
      <c r="I3813" s="276"/>
      <c r="J3813" s="11" t="s">
        <v>16904</v>
      </c>
      <c r="K3813" s="12"/>
      <c r="L3813" s="12"/>
      <c r="M3813" s="11" t="s">
        <v>14925</v>
      </c>
      <c r="N3813" s="5" t="s">
        <v>16910</v>
      </c>
      <c r="O3813" s="5" t="s">
        <v>26</v>
      </c>
      <c r="P3813" s="15"/>
      <c r="Q3813" s="15"/>
      <c r="R3813" s="422"/>
      <c r="S3813" s="15"/>
      <c r="T3813" s="15"/>
      <c r="U3813" s="15"/>
      <c r="V3813" s="15"/>
      <c r="W3813" s="15"/>
      <c r="X3813" s="15"/>
      <c r="Y3813" s="15"/>
      <c r="Z3813" s="15"/>
      <c r="AA3813" s="15"/>
    </row>
    <row r="3814">
      <c r="A3814" s="5" t="s">
        <v>16898</v>
      </c>
      <c r="B3814" s="131" t="s">
        <v>16911</v>
      </c>
      <c r="C3814" s="40" t="s">
        <v>16912</v>
      </c>
      <c r="D3814" s="11"/>
      <c r="E3814" s="11" t="s">
        <v>286</v>
      </c>
      <c r="F3814" s="90">
        <v>5000.0</v>
      </c>
      <c r="G3814" s="321"/>
      <c r="H3814" s="11" t="s">
        <v>2682</v>
      </c>
      <c r="I3814" s="276"/>
      <c r="J3814" s="11" t="s">
        <v>4008</v>
      </c>
      <c r="K3814" s="12"/>
      <c r="L3814" s="12"/>
      <c r="M3814" s="11" t="s">
        <v>9707</v>
      </c>
      <c r="N3814" s="5" t="s">
        <v>16913</v>
      </c>
      <c r="O3814" s="5" t="s">
        <v>108</v>
      </c>
      <c r="P3814" s="15"/>
      <c r="Q3814" s="15"/>
      <c r="R3814" s="422"/>
      <c r="S3814" s="15"/>
      <c r="T3814" s="15"/>
      <c r="U3814" s="15"/>
      <c r="V3814" s="15"/>
      <c r="W3814" s="15"/>
      <c r="X3814" s="15"/>
      <c r="Y3814" s="15"/>
      <c r="Z3814" s="15"/>
      <c r="AA3814" s="15"/>
    </row>
    <row r="3815">
      <c r="A3815" s="5" t="s">
        <v>16898</v>
      </c>
      <c r="B3815" s="131" t="s">
        <v>16914</v>
      </c>
      <c r="C3815" s="40" t="s">
        <v>16915</v>
      </c>
      <c r="D3815" s="11"/>
      <c r="E3815" s="11" t="s">
        <v>152</v>
      </c>
      <c r="F3815" s="90">
        <v>100.0</v>
      </c>
      <c r="G3815" s="321"/>
      <c r="H3815" s="11" t="s">
        <v>2682</v>
      </c>
      <c r="I3815" s="423"/>
      <c r="J3815" s="14"/>
      <c r="K3815" s="13"/>
      <c r="L3815" s="13"/>
      <c r="M3815" s="14"/>
      <c r="N3815" s="15"/>
      <c r="O3815" s="5" t="s">
        <v>14119</v>
      </c>
      <c r="P3815" s="15"/>
      <c r="Q3815" s="15"/>
      <c r="R3815" s="422"/>
      <c r="S3815" s="15"/>
      <c r="T3815" s="15"/>
      <c r="U3815" s="15"/>
      <c r="V3815" s="15"/>
      <c r="W3815" s="15"/>
      <c r="X3815" s="15"/>
      <c r="Y3815" s="15"/>
      <c r="Z3815" s="15"/>
      <c r="AA3815" s="15"/>
    </row>
    <row r="3816">
      <c r="A3816" s="5" t="s">
        <v>16898</v>
      </c>
      <c r="B3816" s="131" t="s">
        <v>16916</v>
      </c>
      <c r="C3816" s="40" t="s">
        <v>16917</v>
      </c>
      <c r="D3816" s="11"/>
      <c r="E3816" s="11" t="s">
        <v>794</v>
      </c>
      <c r="F3816" s="9">
        <v>15000.0</v>
      </c>
      <c r="G3816" s="321"/>
      <c r="H3816" s="11" t="s">
        <v>44</v>
      </c>
      <c r="I3816" s="423"/>
      <c r="J3816" s="14"/>
      <c r="K3816" s="12"/>
      <c r="L3816" s="12"/>
      <c r="M3816" s="11" t="s">
        <v>9901</v>
      </c>
      <c r="N3816" s="5" t="s">
        <v>16918</v>
      </c>
      <c r="O3816" s="5" t="s">
        <v>26</v>
      </c>
      <c r="P3816" s="15"/>
      <c r="Q3816" s="15"/>
      <c r="R3816" s="422"/>
      <c r="S3816" s="15"/>
      <c r="T3816" s="15"/>
      <c r="U3816" s="15"/>
      <c r="V3816" s="15"/>
      <c r="W3816" s="15"/>
      <c r="X3816" s="15"/>
      <c r="Y3816" s="15"/>
      <c r="Z3816" s="15"/>
      <c r="AA3816" s="15"/>
    </row>
    <row r="3817">
      <c r="A3817" s="5" t="s">
        <v>16898</v>
      </c>
      <c r="B3817" s="131" t="s">
        <v>16919</v>
      </c>
      <c r="C3817" s="40" t="s">
        <v>16920</v>
      </c>
      <c r="D3817" s="11"/>
      <c r="E3817" s="11" t="s">
        <v>10426</v>
      </c>
      <c r="F3817" s="90">
        <v>1000.0</v>
      </c>
      <c r="G3817" s="321"/>
      <c r="H3817" s="11" t="s">
        <v>11311</v>
      </c>
      <c r="I3817" s="423"/>
      <c r="J3817" s="14"/>
      <c r="K3817" s="13"/>
      <c r="L3817" s="13"/>
      <c r="M3817" s="14"/>
      <c r="N3817" s="15"/>
      <c r="O3817" s="5" t="s">
        <v>108</v>
      </c>
      <c r="P3817" s="15"/>
      <c r="Q3817" s="15"/>
      <c r="R3817" s="422"/>
      <c r="S3817" s="15"/>
      <c r="T3817" s="15"/>
      <c r="U3817" s="15"/>
      <c r="V3817" s="15"/>
      <c r="W3817" s="15"/>
      <c r="X3817" s="15"/>
      <c r="Y3817" s="15"/>
      <c r="Z3817" s="15"/>
      <c r="AA3817" s="15"/>
    </row>
    <row r="3818">
      <c r="A3818" s="5" t="s">
        <v>16898</v>
      </c>
      <c r="B3818" s="131" t="s">
        <v>16921</v>
      </c>
      <c r="C3818" s="40" t="s">
        <v>16922</v>
      </c>
      <c r="D3818" s="11"/>
      <c r="E3818" s="11" t="s">
        <v>16923</v>
      </c>
      <c r="F3818" s="90">
        <v>200.0</v>
      </c>
      <c r="G3818" s="321"/>
      <c r="H3818" s="11" t="s">
        <v>906</v>
      </c>
      <c r="I3818" s="423"/>
      <c r="J3818" s="14"/>
      <c r="K3818" s="12"/>
      <c r="L3818" s="12"/>
      <c r="M3818" s="11" t="s">
        <v>12825</v>
      </c>
      <c r="N3818" s="5" t="s">
        <v>16924</v>
      </c>
      <c r="O3818" s="5" t="s">
        <v>14119</v>
      </c>
      <c r="P3818" s="15"/>
      <c r="Q3818" s="15"/>
      <c r="R3818" s="422"/>
      <c r="S3818" s="15"/>
      <c r="T3818" s="15"/>
      <c r="U3818" s="15"/>
      <c r="V3818" s="15"/>
      <c r="W3818" s="15"/>
      <c r="X3818" s="15"/>
      <c r="Y3818" s="15"/>
      <c r="Z3818" s="15"/>
      <c r="AA3818" s="15"/>
    </row>
    <row r="3819">
      <c r="A3819" s="5" t="s">
        <v>16898</v>
      </c>
      <c r="B3819" s="131" t="s">
        <v>16925</v>
      </c>
      <c r="C3819" s="40" t="s">
        <v>16926</v>
      </c>
      <c r="D3819" s="11"/>
      <c r="E3819" s="11" t="s">
        <v>1749</v>
      </c>
      <c r="F3819" s="90">
        <v>50.0</v>
      </c>
      <c r="G3819" s="321"/>
      <c r="H3819" s="11" t="s">
        <v>44</v>
      </c>
      <c r="I3819" s="276"/>
      <c r="J3819" s="11" t="s">
        <v>25</v>
      </c>
      <c r="K3819" s="13"/>
      <c r="L3819" s="13"/>
      <c r="M3819" s="14"/>
      <c r="N3819" s="15"/>
      <c r="O3819" s="5" t="s">
        <v>14119</v>
      </c>
      <c r="P3819" s="15"/>
      <c r="Q3819" s="15"/>
      <c r="R3819" s="422"/>
      <c r="S3819" s="15"/>
      <c r="T3819" s="15"/>
      <c r="U3819" s="15"/>
      <c r="V3819" s="15"/>
      <c r="W3819" s="15"/>
      <c r="X3819" s="15"/>
      <c r="Y3819" s="15"/>
      <c r="Z3819" s="15"/>
      <c r="AA3819" s="15"/>
    </row>
    <row r="3820">
      <c r="A3820" s="5" t="s">
        <v>16898</v>
      </c>
      <c r="B3820" s="131" t="s">
        <v>16927</v>
      </c>
      <c r="C3820" s="40" t="s">
        <v>16928</v>
      </c>
      <c r="D3820" s="11"/>
      <c r="E3820" s="11" t="s">
        <v>794</v>
      </c>
      <c r="F3820" s="9">
        <v>30000.0</v>
      </c>
      <c r="G3820" s="321"/>
      <c r="H3820" s="11" t="s">
        <v>16929</v>
      </c>
      <c r="I3820" s="276"/>
      <c r="J3820" s="11" t="s">
        <v>25</v>
      </c>
      <c r="K3820" s="12"/>
      <c r="L3820" s="12"/>
      <c r="M3820" s="11" t="s">
        <v>9901</v>
      </c>
      <c r="N3820" s="5" t="s">
        <v>16930</v>
      </c>
      <c r="O3820" s="5" t="s">
        <v>26</v>
      </c>
      <c r="P3820" s="15"/>
      <c r="Q3820" s="15"/>
      <c r="R3820" s="422"/>
      <c r="S3820" s="15"/>
      <c r="T3820" s="15"/>
      <c r="U3820" s="15"/>
      <c r="V3820" s="15"/>
      <c r="W3820" s="15"/>
      <c r="X3820" s="15"/>
      <c r="Y3820" s="15"/>
      <c r="Z3820" s="15"/>
      <c r="AA3820" s="15"/>
    </row>
    <row r="3821">
      <c r="A3821" s="5" t="s">
        <v>16898</v>
      </c>
      <c r="B3821" s="131" t="s">
        <v>16931</v>
      </c>
      <c r="C3821" s="40" t="s">
        <v>16932</v>
      </c>
      <c r="D3821" s="11"/>
      <c r="E3821" s="11" t="s">
        <v>5502</v>
      </c>
      <c r="F3821" s="90" t="s">
        <v>5839</v>
      </c>
      <c r="G3821" s="321"/>
      <c r="H3821" s="11" t="s">
        <v>467</v>
      </c>
      <c r="I3821" s="276"/>
      <c r="J3821" s="11" t="s">
        <v>25</v>
      </c>
      <c r="K3821" s="12"/>
      <c r="L3821" s="12"/>
      <c r="M3821" s="11" t="s">
        <v>14093</v>
      </c>
      <c r="N3821" s="5" t="s">
        <v>16933</v>
      </c>
      <c r="O3821" s="5" t="s">
        <v>108</v>
      </c>
      <c r="P3821" s="15"/>
      <c r="Q3821" s="15"/>
      <c r="R3821" s="422"/>
      <c r="S3821" s="15"/>
      <c r="T3821" s="15"/>
      <c r="U3821" s="15"/>
      <c r="V3821" s="15"/>
      <c r="W3821" s="15"/>
      <c r="X3821" s="15"/>
      <c r="Y3821" s="15"/>
      <c r="Z3821" s="15"/>
      <c r="AA3821" s="15"/>
    </row>
    <row r="3822">
      <c r="A3822" s="5" t="s">
        <v>16898</v>
      </c>
      <c r="B3822" s="131" t="s">
        <v>16934</v>
      </c>
      <c r="C3822" s="40" t="s">
        <v>16847</v>
      </c>
      <c r="D3822" s="11"/>
      <c r="E3822" s="11" t="s">
        <v>9283</v>
      </c>
      <c r="F3822" s="90">
        <v>50.0</v>
      </c>
      <c r="G3822" s="321"/>
      <c r="H3822" s="11" t="s">
        <v>44</v>
      </c>
      <c r="I3822" s="276"/>
      <c r="J3822" s="11" t="s">
        <v>4008</v>
      </c>
      <c r="K3822" s="13"/>
      <c r="L3822" s="13"/>
      <c r="M3822" s="14"/>
      <c r="N3822" s="15"/>
      <c r="O3822" s="5" t="s">
        <v>15325</v>
      </c>
      <c r="P3822" s="15"/>
      <c r="Q3822" s="15"/>
      <c r="R3822" s="422"/>
      <c r="S3822" s="15"/>
      <c r="T3822" s="15"/>
      <c r="U3822" s="15"/>
      <c r="V3822" s="15"/>
      <c r="W3822" s="15"/>
      <c r="X3822" s="15"/>
      <c r="Y3822" s="15"/>
      <c r="Z3822" s="15"/>
      <c r="AA3822" s="15"/>
    </row>
    <row r="3823">
      <c r="A3823" s="5" t="s">
        <v>16898</v>
      </c>
      <c r="B3823" s="131" t="s">
        <v>16935</v>
      </c>
      <c r="C3823" s="40" t="s">
        <v>16936</v>
      </c>
      <c r="D3823" s="11"/>
      <c r="E3823" s="11" t="s">
        <v>5102</v>
      </c>
      <c r="F3823" s="9">
        <v>200000.0</v>
      </c>
      <c r="G3823" s="321"/>
      <c r="H3823" s="11" t="s">
        <v>44</v>
      </c>
      <c r="I3823" s="276"/>
      <c r="J3823" s="11" t="s">
        <v>16356</v>
      </c>
      <c r="K3823" s="13"/>
      <c r="L3823" s="13"/>
      <c r="M3823" s="14"/>
      <c r="N3823" s="15"/>
      <c r="O3823" s="5" t="s">
        <v>26</v>
      </c>
      <c r="P3823" s="15"/>
      <c r="Q3823" s="15"/>
      <c r="R3823" s="422"/>
      <c r="S3823" s="15"/>
      <c r="T3823" s="15"/>
      <c r="U3823" s="15"/>
      <c r="V3823" s="15"/>
      <c r="W3823" s="15"/>
      <c r="X3823" s="15"/>
      <c r="Y3823" s="15"/>
      <c r="Z3823" s="15"/>
      <c r="AA3823" s="15"/>
    </row>
    <row r="3824">
      <c r="A3824" s="5" t="s">
        <v>16898</v>
      </c>
      <c r="B3824" s="131" t="s">
        <v>16937</v>
      </c>
      <c r="C3824" s="40" t="s">
        <v>16938</v>
      </c>
      <c r="D3824" s="11"/>
      <c r="E3824" s="11" t="s">
        <v>1749</v>
      </c>
      <c r="F3824" s="90">
        <v>1000.0</v>
      </c>
      <c r="G3824" s="321"/>
      <c r="H3824" s="11" t="s">
        <v>8781</v>
      </c>
      <c r="I3824" s="276"/>
      <c r="J3824" s="11" t="s">
        <v>4008</v>
      </c>
      <c r="K3824" s="12"/>
      <c r="L3824" s="12"/>
      <c r="M3824" s="11" t="s">
        <v>10483</v>
      </c>
      <c r="N3824" s="5" t="s">
        <v>16939</v>
      </c>
      <c r="O3824" s="5" t="s">
        <v>26</v>
      </c>
      <c r="P3824" s="15"/>
      <c r="Q3824" s="15"/>
      <c r="R3824" s="422"/>
      <c r="S3824" s="15"/>
      <c r="T3824" s="15"/>
      <c r="U3824" s="15"/>
      <c r="V3824" s="15"/>
      <c r="W3824" s="15"/>
      <c r="X3824" s="15"/>
      <c r="Y3824" s="15"/>
      <c r="Z3824" s="15"/>
      <c r="AA3824" s="15"/>
    </row>
    <row r="3825">
      <c r="A3825" s="5" t="s">
        <v>16898</v>
      </c>
      <c r="B3825" s="131" t="s">
        <v>16940</v>
      </c>
      <c r="C3825" s="40" t="s">
        <v>16941</v>
      </c>
      <c r="D3825" s="11"/>
      <c r="E3825" s="11" t="s">
        <v>130</v>
      </c>
      <c r="F3825" s="9">
        <v>15000.0</v>
      </c>
      <c r="G3825" s="321"/>
      <c r="H3825" s="11" t="s">
        <v>44</v>
      </c>
      <c r="I3825" s="276"/>
      <c r="J3825" s="11" t="s">
        <v>4008</v>
      </c>
      <c r="K3825" s="12"/>
      <c r="L3825" s="12"/>
      <c r="M3825" s="11" t="s">
        <v>10171</v>
      </c>
      <c r="N3825" s="5" t="s">
        <v>16942</v>
      </c>
      <c r="O3825" s="5" t="s">
        <v>26</v>
      </c>
      <c r="P3825" s="15"/>
      <c r="Q3825" s="15"/>
      <c r="R3825" s="422"/>
      <c r="S3825" s="15"/>
      <c r="T3825" s="15"/>
      <c r="U3825" s="15"/>
      <c r="V3825" s="15"/>
      <c r="W3825" s="15"/>
      <c r="X3825" s="15"/>
      <c r="Y3825" s="15"/>
      <c r="Z3825" s="15"/>
      <c r="AA3825" s="15"/>
    </row>
    <row r="3826">
      <c r="A3826" s="5" t="s">
        <v>16898</v>
      </c>
      <c r="B3826" s="131" t="s">
        <v>16943</v>
      </c>
      <c r="C3826" s="40" t="s">
        <v>15768</v>
      </c>
      <c r="D3826" s="11"/>
      <c r="E3826" s="11" t="s">
        <v>5102</v>
      </c>
      <c r="F3826" s="9">
        <v>200000.0</v>
      </c>
      <c r="G3826" s="321"/>
      <c r="H3826" s="11" t="s">
        <v>44</v>
      </c>
      <c r="I3826" s="276"/>
      <c r="J3826" s="11" t="s">
        <v>16944</v>
      </c>
      <c r="K3826" s="13"/>
      <c r="L3826" s="13"/>
      <c r="M3826" s="14"/>
      <c r="N3826" s="15"/>
      <c r="O3826" s="5" t="s">
        <v>26</v>
      </c>
      <c r="P3826" s="15"/>
      <c r="Q3826" s="15"/>
      <c r="R3826" s="422"/>
      <c r="S3826" s="15"/>
      <c r="T3826" s="15"/>
      <c r="U3826" s="15"/>
      <c r="V3826" s="15"/>
      <c r="W3826" s="15"/>
      <c r="X3826" s="15"/>
      <c r="Y3826" s="15"/>
      <c r="Z3826" s="15"/>
      <c r="AA3826" s="15"/>
    </row>
    <row r="3827">
      <c r="A3827" s="5" t="s">
        <v>16898</v>
      </c>
      <c r="B3827" s="131" t="s">
        <v>16945</v>
      </c>
      <c r="C3827" s="40" t="s">
        <v>16946</v>
      </c>
      <c r="D3827" s="11"/>
      <c r="E3827" s="11" t="s">
        <v>5102</v>
      </c>
      <c r="F3827" s="90">
        <v>1000.0</v>
      </c>
      <c r="G3827" s="321"/>
      <c r="H3827" s="11" t="s">
        <v>16947</v>
      </c>
      <c r="I3827" s="276"/>
      <c r="J3827" s="11" t="s">
        <v>16948</v>
      </c>
      <c r="K3827" s="13"/>
      <c r="L3827" s="13"/>
      <c r="M3827" s="14"/>
      <c r="N3827" s="15"/>
      <c r="O3827" s="5" t="s">
        <v>26</v>
      </c>
      <c r="P3827" s="15"/>
      <c r="Q3827" s="15"/>
      <c r="R3827" s="422"/>
      <c r="S3827" s="15"/>
      <c r="T3827" s="15"/>
      <c r="U3827" s="15"/>
      <c r="V3827" s="15"/>
      <c r="W3827" s="15"/>
      <c r="X3827" s="15"/>
      <c r="Y3827" s="15"/>
      <c r="Z3827" s="15"/>
      <c r="AA3827" s="15"/>
    </row>
    <row r="3828">
      <c r="A3828" s="5" t="s">
        <v>16898</v>
      </c>
      <c r="B3828" s="131" t="s">
        <v>16949</v>
      </c>
      <c r="C3828" s="40" t="s">
        <v>16950</v>
      </c>
      <c r="D3828" s="11"/>
      <c r="E3828" s="11" t="s">
        <v>1749</v>
      </c>
      <c r="F3828" s="90">
        <v>100.0</v>
      </c>
      <c r="G3828" s="321"/>
      <c r="H3828" s="11" t="s">
        <v>16951</v>
      </c>
      <c r="I3828" s="276"/>
      <c r="J3828" s="11" t="s">
        <v>25</v>
      </c>
      <c r="K3828" s="12"/>
      <c r="L3828" s="12"/>
      <c r="M3828" s="11" t="s">
        <v>10476</v>
      </c>
      <c r="N3828" s="5" t="s">
        <v>16952</v>
      </c>
      <c r="O3828" s="5" t="s">
        <v>14119</v>
      </c>
      <c r="P3828" s="15"/>
      <c r="Q3828" s="15"/>
      <c r="R3828" s="422"/>
      <c r="S3828" s="15"/>
      <c r="T3828" s="15"/>
      <c r="U3828" s="15"/>
      <c r="V3828" s="15"/>
      <c r="W3828" s="15"/>
      <c r="X3828" s="15"/>
      <c r="Y3828" s="15"/>
      <c r="Z3828" s="15"/>
      <c r="AA3828" s="15"/>
    </row>
    <row r="3829">
      <c r="A3829" s="5" t="s">
        <v>16898</v>
      </c>
      <c r="B3829" s="131" t="s">
        <v>16953</v>
      </c>
      <c r="C3829" s="40" t="s">
        <v>16954</v>
      </c>
      <c r="D3829" s="11"/>
      <c r="E3829" s="11" t="s">
        <v>794</v>
      </c>
      <c r="F3829" s="9">
        <v>10000.0</v>
      </c>
      <c r="G3829" s="321"/>
      <c r="H3829" s="11" t="s">
        <v>44</v>
      </c>
      <c r="I3829" s="276"/>
      <c r="J3829" s="11" t="s">
        <v>25</v>
      </c>
      <c r="K3829" s="12"/>
      <c r="L3829" s="12"/>
      <c r="M3829" s="11" t="s">
        <v>9901</v>
      </c>
      <c r="N3829" s="5" t="s">
        <v>16955</v>
      </c>
      <c r="O3829" s="5" t="s">
        <v>26</v>
      </c>
      <c r="P3829" s="15"/>
      <c r="Q3829" s="15"/>
      <c r="R3829" s="422"/>
      <c r="S3829" s="15"/>
      <c r="T3829" s="15"/>
      <c r="U3829" s="15"/>
      <c r="V3829" s="15"/>
      <c r="W3829" s="15"/>
      <c r="X3829" s="15"/>
      <c r="Y3829" s="15"/>
      <c r="Z3829" s="15"/>
      <c r="AA3829" s="15"/>
    </row>
    <row r="3830">
      <c r="A3830" s="5" t="s">
        <v>16956</v>
      </c>
      <c r="B3830" s="131" t="s">
        <v>16957</v>
      </c>
      <c r="C3830" s="40" t="s">
        <v>16958</v>
      </c>
      <c r="D3830" s="11"/>
      <c r="E3830" s="11" t="s">
        <v>16959</v>
      </c>
      <c r="F3830" s="9">
        <v>10000.0</v>
      </c>
      <c r="G3830" s="321"/>
      <c r="H3830" s="11" t="s">
        <v>16960</v>
      </c>
      <c r="I3830" s="423"/>
      <c r="J3830" s="14"/>
      <c r="K3830" s="13"/>
      <c r="L3830" s="13"/>
      <c r="M3830" s="14"/>
      <c r="N3830" s="15"/>
      <c r="O3830" s="5" t="s">
        <v>108</v>
      </c>
      <c r="P3830" s="15"/>
      <c r="Q3830" s="15"/>
      <c r="R3830" s="422"/>
      <c r="S3830" s="15"/>
      <c r="T3830" s="15"/>
      <c r="U3830" s="15"/>
      <c r="V3830" s="15"/>
      <c r="W3830" s="15"/>
      <c r="X3830" s="15"/>
      <c r="Y3830" s="15"/>
      <c r="Z3830" s="15"/>
      <c r="AA3830" s="15"/>
    </row>
    <row r="3831">
      <c r="A3831" s="5" t="s">
        <v>16956</v>
      </c>
      <c r="B3831" s="131" t="s">
        <v>16961</v>
      </c>
      <c r="C3831" s="40" t="s">
        <v>7424</v>
      </c>
      <c r="D3831" s="11"/>
      <c r="E3831" s="11" t="s">
        <v>14695</v>
      </c>
      <c r="F3831" s="90">
        <v>200.0</v>
      </c>
      <c r="G3831" s="321"/>
      <c r="H3831" s="11" t="s">
        <v>44</v>
      </c>
      <c r="I3831" s="423"/>
      <c r="J3831" s="14"/>
      <c r="K3831" s="13"/>
      <c r="L3831" s="13"/>
      <c r="M3831" s="14"/>
      <c r="N3831" s="15"/>
      <c r="O3831" s="5" t="s">
        <v>14119</v>
      </c>
      <c r="P3831" s="15"/>
      <c r="Q3831" s="15"/>
      <c r="R3831" s="422"/>
      <c r="S3831" s="15"/>
      <c r="T3831" s="15"/>
      <c r="U3831" s="15"/>
      <c r="V3831" s="15"/>
      <c r="W3831" s="15"/>
      <c r="X3831" s="15"/>
      <c r="Y3831" s="15"/>
      <c r="Z3831" s="15"/>
      <c r="AA3831" s="15"/>
    </row>
    <row r="3832">
      <c r="A3832" s="5" t="s">
        <v>16956</v>
      </c>
      <c r="B3832" s="131" t="s">
        <v>16962</v>
      </c>
      <c r="C3832" s="40" t="s">
        <v>16963</v>
      </c>
      <c r="D3832" s="11"/>
      <c r="E3832" s="11" t="s">
        <v>11748</v>
      </c>
      <c r="F3832" s="9">
        <v>50000.0</v>
      </c>
      <c r="G3832" s="321"/>
      <c r="H3832" s="11" t="s">
        <v>14739</v>
      </c>
      <c r="I3832" s="276"/>
      <c r="J3832" s="11" t="s">
        <v>25</v>
      </c>
      <c r="K3832" s="12"/>
      <c r="L3832" s="12"/>
      <c r="M3832" s="11" t="s">
        <v>9776</v>
      </c>
      <c r="N3832" s="5" t="s">
        <v>16964</v>
      </c>
      <c r="O3832" s="5" t="s">
        <v>108</v>
      </c>
      <c r="P3832" s="15"/>
      <c r="Q3832" s="15"/>
      <c r="R3832" s="422"/>
      <c r="S3832" s="15"/>
      <c r="T3832" s="15"/>
      <c r="U3832" s="15"/>
      <c r="V3832" s="15"/>
      <c r="W3832" s="15"/>
      <c r="X3832" s="15"/>
      <c r="Y3832" s="15"/>
      <c r="Z3832" s="15"/>
      <c r="AA3832" s="15"/>
    </row>
    <row r="3833">
      <c r="A3833" s="5" t="s">
        <v>16956</v>
      </c>
      <c r="B3833" s="131" t="s">
        <v>16965</v>
      </c>
      <c r="C3833" s="40" t="s">
        <v>16966</v>
      </c>
      <c r="D3833" s="11"/>
      <c r="E3833" s="11" t="s">
        <v>16967</v>
      </c>
      <c r="F3833" s="9">
        <v>25000.0</v>
      </c>
      <c r="G3833" s="321"/>
      <c r="H3833" s="11" t="s">
        <v>461</v>
      </c>
      <c r="I3833" s="423"/>
      <c r="J3833" s="14"/>
      <c r="K3833" s="13"/>
      <c r="L3833" s="13"/>
      <c r="M3833" s="14"/>
      <c r="N3833" s="15"/>
      <c r="O3833" s="5" t="s">
        <v>108</v>
      </c>
      <c r="P3833" s="15"/>
      <c r="Q3833" s="15"/>
      <c r="R3833" s="422"/>
      <c r="S3833" s="15"/>
      <c r="T3833" s="15"/>
      <c r="U3833" s="15"/>
      <c r="V3833" s="15"/>
      <c r="W3833" s="15"/>
      <c r="X3833" s="15"/>
      <c r="Y3833" s="15"/>
      <c r="Z3833" s="15"/>
      <c r="AA3833" s="15"/>
    </row>
    <row r="3834">
      <c r="A3834" s="5" t="s">
        <v>16956</v>
      </c>
      <c r="B3834" s="131" t="s">
        <v>16968</v>
      </c>
      <c r="C3834" s="40" t="s">
        <v>16969</v>
      </c>
      <c r="D3834" s="11"/>
      <c r="E3834" s="11" t="s">
        <v>189</v>
      </c>
      <c r="F3834" s="90">
        <v>7500.0</v>
      </c>
      <c r="G3834" s="321"/>
      <c r="H3834" s="11" t="s">
        <v>44</v>
      </c>
      <c r="I3834" s="423"/>
      <c r="J3834" s="14"/>
      <c r="K3834" s="12"/>
      <c r="L3834" s="12"/>
      <c r="M3834" s="11" t="s">
        <v>9034</v>
      </c>
      <c r="N3834" s="5" t="s">
        <v>16970</v>
      </c>
      <c r="O3834" s="5" t="s">
        <v>26</v>
      </c>
      <c r="P3834" s="15"/>
      <c r="Q3834" s="15"/>
      <c r="R3834" s="422"/>
      <c r="S3834" s="15"/>
      <c r="T3834" s="15"/>
      <c r="U3834" s="15"/>
      <c r="V3834" s="15"/>
      <c r="W3834" s="15"/>
      <c r="X3834" s="15"/>
      <c r="Y3834" s="15"/>
      <c r="Z3834" s="15"/>
      <c r="AA3834" s="15"/>
    </row>
    <row r="3835">
      <c r="A3835" s="5" t="s">
        <v>16956</v>
      </c>
      <c r="B3835" s="131" t="s">
        <v>16971</v>
      </c>
      <c r="C3835" s="40" t="s">
        <v>16972</v>
      </c>
      <c r="D3835" s="11"/>
      <c r="E3835" s="11" t="s">
        <v>10377</v>
      </c>
      <c r="F3835" s="90" t="s">
        <v>8507</v>
      </c>
      <c r="G3835" s="321"/>
      <c r="H3835" s="11" t="s">
        <v>16973</v>
      </c>
      <c r="I3835" s="423"/>
      <c r="J3835" s="14"/>
      <c r="K3835" s="13"/>
      <c r="L3835" s="13"/>
      <c r="M3835" s="14"/>
      <c r="N3835" s="15"/>
      <c r="O3835" s="5" t="s">
        <v>26</v>
      </c>
      <c r="P3835" s="15"/>
      <c r="Q3835" s="15"/>
      <c r="R3835" s="422"/>
      <c r="S3835" s="15"/>
      <c r="T3835" s="15"/>
      <c r="U3835" s="15"/>
      <c r="V3835" s="15"/>
      <c r="W3835" s="15"/>
      <c r="X3835" s="15"/>
      <c r="Y3835" s="15"/>
      <c r="Z3835" s="15"/>
      <c r="AA3835" s="15"/>
    </row>
    <row r="3836">
      <c r="A3836" s="5" t="s">
        <v>16956</v>
      </c>
      <c r="B3836" s="131" t="s">
        <v>16974</v>
      </c>
      <c r="C3836" s="40" t="s">
        <v>16975</v>
      </c>
      <c r="D3836" s="11"/>
      <c r="E3836" s="11" t="s">
        <v>16976</v>
      </c>
      <c r="F3836" s="90" t="s">
        <v>16977</v>
      </c>
      <c r="G3836" s="321"/>
      <c r="H3836" s="11" t="s">
        <v>906</v>
      </c>
      <c r="I3836" s="423"/>
      <c r="J3836" s="14"/>
      <c r="K3836" s="13"/>
      <c r="L3836" s="13"/>
      <c r="M3836" s="14"/>
      <c r="N3836" s="15"/>
      <c r="O3836" s="5" t="s">
        <v>14119</v>
      </c>
      <c r="P3836" s="15"/>
      <c r="Q3836" s="15"/>
      <c r="R3836" s="422"/>
      <c r="S3836" s="15"/>
      <c r="T3836" s="15"/>
      <c r="U3836" s="15"/>
      <c r="V3836" s="15"/>
      <c r="W3836" s="15"/>
      <c r="X3836" s="15"/>
      <c r="Y3836" s="15"/>
      <c r="Z3836" s="15"/>
      <c r="AA3836" s="15"/>
    </row>
    <row r="3837">
      <c r="A3837" s="5" t="s">
        <v>16956</v>
      </c>
      <c r="B3837" s="131" t="s">
        <v>16978</v>
      </c>
      <c r="C3837" s="40" t="s">
        <v>16979</v>
      </c>
      <c r="D3837" s="11"/>
      <c r="E3837" s="11" t="s">
        <v>523</v>
      </c>
      <c r="F3837" s="90">
        <v>500.0</v>
      </c>
      <c r="G3837" s="321"/>
      <c r="H3837" s="11" t="s">
        <v>44</v>
      </c>
      <c r="I3837" s="423"/>
      <c r="J3837" s="14"/>
      <c r="K3837" s="12"/>
      <c r="L3837" s="12"/>
      <c r="M3837" s="11" t="s">
        <v>8348</v>
      </c>
      <c r="N3837" s="5" t="s">
        <v>16980</v>
      </c>
      <c r="O3837" s="5" t="s">
        <v>26</v>
      </c>
      <c r="P3837" s="15"/>
      <c r="Q3837" s="15"/>
      <c r="R3837" s="422"/>
      <c r="S3837" s="15"/>
      <c r="T3837" s="15"/>
      <c r="U3837" s="15"/>
      <c r="V3837" s="15"/>
      <c r="W3837" s="15"/>
      <c r="X3837" s="15"/>
      <c r="Y3837" s="15"/>
      <c r="Z3837" s="15"/>
      <c r="AA3837" s="15"/>
    </row>
    <row r="3838">
      <c r="A3838" s="5" t="s">
        <v>16956</v>
      </c>
      <c r="B3838" s="131" t="s">
        <v>16981</v>
      </c>
      <c r="C3838" s="40" t="s">
        <v>16982</v>
      </c>
      <c r="D3838" s="11"/>
      <c r="E3838" s="11" t="s">
        <v>152</v>
      </c>
      <c r="F3838" s="90">
        <v>200.0</v>
      </c>
      <c r="G3838" s="321"/>
      <c r="H3838" s="11" t="s">
        <v>2682</v>
      </c>
      <c r="I3838" s="276"/>
      <c r="J3838" s="11" t="s">
        <v>4008</v>
      </c>
      <c r="K3838" s="12"/>
      <c r="L3838" s="12"/>
      <c r="M3838" s="11" t="s">
        <v>10721</v>
      </c>
      <c r="N3838" s="5" t="s">
        <v>16983</v>
      </c>
      <c r="O3838" s="5" t="s">
        <v>14119</v>
      </c>
      <c r="P3838" s="15"/>
      <c r="Q3838" s="15"/>
      <c r="R3838" s="422"/>
      <c r="S3838" s="15"/>
      <c r="T3838" s="15"/>
      <c r="U3838" s="15"/>
      <c r="V3838" s="15"/>
      <c r="W3838" s="15"/>
      <c r="X3838" s="15"/>
      <c r="Y3838" s="15"/>
      <c r="Z3838" s="15"/>
      <c r="AA3838" s="15"/>
    </row>
    <row r="3839">
      <c r="A3839" s="5" t="s">
        <v>16956</v>
      </c>
      <c r="B3839" s="131" t="s">
        <v>16984</v>
      </c>
      <c r="C3839" s="40" t="s">
        <v>16985</v>
      </c>
      <c r="D3839" s="11"/>
      <c r="E3839" s="11" t="s">
        <v>794</v>
      </c>
      <c r="F3839" s="90">
        <v>4000.0</v>
      </c>
      <c r="G3839" s="321"/>
      <c r="H3839" s="11" t="s">
        <v>44</v>
      </c>
      <c r="I3839" s="276"/>
      <c r="J3839" s="11" t="s">
        <v>25</v>
      </c>
      <c r="K3839" s="12"/>
      <c r="L3839" s="12"/>
      <c r="M3839" s="11" t="s">
        <v>7965</v>
      </c>
      <c r="N3839" s="5" t="s">
        <v>16986</v>
      </c>
      <c r="O3839" s="5" t="s">
        <v>26</v>
      </c>
      <c r="P3839" s="15"/>
      <c r="Q3839" s="15"/>
      <c r="R3839" s="422"/>
      <c r="S3839" s="15"/>
      <c r="T3839" s="15"/>
      <c r="U3839" s="15"/>
      <c r="V3839" s="15"/>
      <c r="W3839" s="15"/>
      <c r="X3839" s="15"/>
      <c r="Y3839" s="15"/>
      <c r="Z3839" s="15"/>
      <c r="AA3839" s="15"/>
    </row>
    <row r="3840">
      <c r="A3840" s="5" t="s">
        <v>16956</v>
      </c>
      <c r="B3840" s="131" t="s">
        <v>16987</v>
      </c>
      <c r="C3840" s="40" t="s">
        <v>16988</v>
      </c>
      <c r="D3840" s="11"/>
      <c r="E3840" s="11" t="s">
        <v>5244</v>
      </c>
      <c r="F3840" s="9">
        <v>50000.0</v>
      </c>
      <c r="G3840" s="321"/>
      <c r="H3840" s="11" t="s">
        <v>16989</v>
      </c>
      <c r="I3840" s="276"/>
      <c r="J3840" s="11" t="s">
        <v>25</v>
      </c>
      <c r="K3840" s="13"/>
      <c r="L3840" s="13"/>
      <c r="M3840" s="14"/>
      <c r="N3840" s="15"/>
      <c r="O3840" s="5" t="s">
        <v>108</v>
      </c>
      <c r="P3840" s="15"/>
      <c r="Q3840" s="15"/>
      <c r="R3840" s="422"/>
      <c r="S3840" s="15"/>
      <c r="T3840" s="15"/>
      <c r="U3840" s="15"/>
      <c r="V3840" s="15"/>
      <c r="W3840" s="15"/>
      <c r="X3840" s="15"/>
      <c r="Y3840" s="15"/>
      <c r="Z3840" s="15"/>
      <c r="AA3840" s="15"/>
    </row>
    <row r="3841">
      <c r="A3841" s="5" t="s">
        <v>16956</v>
      </c>
      <c r="B3841" s="131" t="s">
        <v>16990</v>
      </c>
      <c r="C3841" s="40" t="s">
        <v>16991</v>
      </c>
      <c r="D3841" s="11"/>
      <c r="E3841" s="11" t="s">
        <v>38</v>
      </c>
      <c r="F3841" s="90">
        <v>500.0</v>
      </c>
      <c r="G3841" s="321"/>
      <c r="H3841" s="11" t="s">
        <v>184</v>
      </c>
      <c r="I3841" s="423"/>
      <c r="J3841" s="14"/>
      <c r="K3841" s="12"/>
      <c r="L3841" s="12"/>
      <c r="M3841" s="11" t="s">
        <v>16992</v>
      </c>
      <c r="N3841" s="5" t="s">
        <v>16993</v>
      </c>
      <c r="O3841" s="5" t="s">
        <v>26</v>
      </c>
      <c r="P3841" s="15"/>
      <c r="Q3841" s="15"/>
      <c r="R3841" s="422"/>
      <c r="S3841" s="15"/>
      <c r="T3841" s="15"/>
      <c r="U3841" s="15"/>
      <c r="V3841" s="15"/>
      <c r="W3841" s="15"/>
      <c r="X3841" s="15"/>
      <c r="Y3841" s="15"/>
      <c r="Z3841" s="15"/>
      <c r="AA3841" s="15"/>
    </row>
    <row r="3842">
      <c r="A3842" s="5" t="s">
        <v>16956</v>
      </c>
      <c r="B3842" s="131" t="s">
        <v>16994</v>
      </c>
      <c r="C3842" s="40" t="s">
        <v>16995</v>
      </c>
      <c r="D3842" s="11"/>
      <c r="E3842" s="11" t="s">
        <v>16996</v>
      </c>
      <c r="F3842" s="90" t="s">
        <v>16997</v>
      </c>
      <c r="G3842" s="321"/>
      <c r="H3842" s="11" t="s">
        <v>196</v>
      </c>
      <c r="I3842" s="276"/>
      <c r="J3842" s="11" t="s">
        <v>9874</v>
      </c>
      <c r="K3842" s="12"/>
      <c r="L3842" s="12"/>
      <c r="M3842" s="11" t="s">
        <v>16998</v>
      </c>
      <c r="N3842" s="5" t="s">
        <v>16999</v>
      </c>
      <c r="O3842" s="5" t="s">
        <v>26</v>
      </c>
      <c r="P3842" s="15"/>
      <c r="Q3842" s="15"/>
      <c r="R3842" s="422"/>
      <c r="S3842" s="15"/>
      <c r="T3842" s="15"/>
      <c r="U3842" s="15"/>
      <c r="V3842" s="15"/>
      <c r="W3842" s="15"/>
      <c r="X3842" s="15"/>
      <c r="Y3842" s="15"/>
      <c r="Z3842" s="15"/>
      <c r="AA3842" s="15"/>
    </row>
    <row r="3843">
      <c r="A3843" s="5" t="s">
        <v>17000</v>
      </c>
      <c r="B3843" s="131" t="s">
        <v>17001</v>
      </c>
      <c r="C3843" s="40" t="s">
        <v>10325</v>
      </c>
      <c r="D3843" s="11"/>
      <c r="E3843" s="11" t="s">
        <v>5502</v>
      </c>
      <c r="F3843" s="90" t="s">
        <v>17002</v>
      </c>
      <c r="G3843" s="321"/>
      <c r="H3843" s="11" t="s">
        <v>17003</v>
      </c>
      <c r="I3843" s="423"/>
      <c r="J3843" s="14"/>
      <c r="K3843" s="12"/>
      <c r="L3843" s="12"/>
      <c r="M3843" s="11" t="s">
        <v>17004</v>
      </c>
      <c r="N3843" s="5" t="s">
        <v>17005</v>
      </c>
      <c r="O3843" s="5" t="s">
        <v>108</v>
      </c>
      <c r="P3843" s="15"/>
      <c r="Q3843" s="15"/>
      <c r="R3843" s="422"/>
      <c r="S3843" s="15"/>
      <c r="T3843" s="15"/>
      <c r="U3843" s="15"/>
      <c r="V3843" s="15"/>
      <c r="W3843" s="15"/>
      <c r="X3843" s="15"/>
      <c r="Y3843" s="15"/>
      <c r="Z3843" s="15"/>
      <c r="AA3843" s="15"/>
    </row>
    <row r="3844">
      <c r="A3844" s="5" t="s">
        <v>17000</v>
      </c>
      <c r="B3844" s="131" t="s">
        <v>17006</v>
      </c>
      <c r="C3844" s="40" t="s">
        <v>17007</v>
      </c>
      <c r="D3844" s="11"/>
      <c r="E3844" s="11" t="s">
        <v>17008</v>
      </c>
      <c r="F3844" s="90">
        <v>500.0</v>
      </c>
      <c r="G3844" s="321"/>
      <c r="H3844" s="11" t="s">
        <v>2662</v>
      </c>
      <c r="I3844" s="423"/>
      <c r="J3844" s="14"/>
      <c r="K3844" s="13"/>
      <c r="L3844" s="13"/>
      <c r="M3844" s="14"/>
      <c r="N3844" s="15"/>
      <c r="O3844" s="5" t="s">
        <v>108</v>
      </c>
      <c r="P3844" s="15"/>
      <c r="Q3844" s="15"/>
      <c r="R3844" s="422"/>
      <c r="S3844" s="15"/>
      <c r="T3844" s="15"/>
      <c r="U3844" s="15"/>
      <c r="V3844" s="15"/>
      <c r="W3844" s="15"/>
      <c r="X3844" s="15"/>
      <c r="Y3844" s="15"/>
      <c r="Z3844" s="15"/>
      <c r="AA3844" s="15"/>
    </row>
    <row r="3845">
      <c r="A3845" s="5" t="s">
        <v>17000</v>
      </c>
      <c r="B3845" s="131" t="s">
        <v>17009</v>
      </c>
      <c r="C3845" s="40" t="s">
        <v>17010</v>
      </c>
      <c r="D3845" s="11"/>
      <c r="E3845" s="11" t="s">
        <v>116</v>
      </c>
      <c r="F3845" s="90">
        <v>100.0</v>
      </c>
      <c r="G3845" s="321"/>
      <c r="H3845" s="11" t="s">
        <v>17011</v>
      </c>
      <c r="I3845" s="423"/>
      <c r="J3845" s="14"/>
      <c r="K3845" s="12"/>
      <c r="L3845" s="12"/>
      <c r="M3845" s="11" t="s">
        <v>15128</v>
      </c>
      <c r="N3845" s="5" t="s">
        <v>17012</v>
      </c>
      <c r="O3845" s="5" t="s">
        <v>14119</v>
      </c>
      <c r="P3845" s="15"/>
      <c r="Q3845" s="15"/>
      <c r="R3845" s="422"/>
      <c r="S3845" s="15"/>
      <c r="T3845" s="15"/>
      <c r="U3845" s="15"/>
      <c r="V3845" s="15"/>
      <c r="W3845" s="15"/>
      <c r="X3845" s="15"/>
      <c r="Y3845" s="15"/>
      <c r="Z3845" s="15"/>
      <c r="AA3845" s="15"/>
    </row>
    <row r="3846">
      <c r="A3846" s="5" t="s">
        <v>17000</v>
      </c>
      <c r="B3846" s="131" t="s">
        <v>17013</v>
      </c>
      <c r="C3846" s="40" t="s">
        <v>17014</v>
      </c>
      <c r="D3846" s="11"/>
      <c r="E3846" s="11" t="s">
        <v>794</v>
      </c>
      <c r="F3846" s="90">
        <v>2500.0</v>
      </c>
      <c r="G3846" s="321"/>
      <c r="H3846" s="11" t="s">
        <v>44</v>
      </c>
      <c r="I3846" s="423"/>
      <c r="J3846" s="14"/>
      <c r="K3846" s="13"/>
      <c r="L3846" s="13"/>
      <c r="M3846" s="14"/>
      <c r="N3846" s="15"/>
      <c r="O3846" s="5" t="s">
        <v>26</v>
      </c>
      <c r="P3846" s="15"/>
      <c r="Q3846" s="15"/>
      <c r="R3846" s="422"/>
      <c r="S3846" s="15"/>
      <c r="T3846" s="15"/>
      <c r="U3846" s="15"/>
      <c r="V3846" s="15"/>
      <c r="W3846" s="15"/>
      <c r="X3846" s="15"/>
      <c r="Y3846" s="15"/>
      <c r="Z3846" s="15"/>
      <c r="AA3846" s="15"/>
    </row>
    <row r="3847">
      <c r="A3847" s="5" t="s">
        <v>17000</v>
      </c>
      <c r="B3847" s="131" t="s">
        <v>17015</v>
      </c>
      <c r="C3847" s="40" t="s">
        <v>17016</v>
      </c>
      <c r="D3847" s="11"/>
      <c r="E3847" s="11" t="s">
        <v>841</v>
      </c>
      <c r="F3847" s="90">
        <v>2000.0</v>
      </c>
      <c r="G3847" s="321"/>
      <c r="H3847" s="11" t="s">
        <v>44</v>
      </c>
      <c r="I3847" s="423"/>
      <c r="J3847" s="14"/>
      <c r="K3847" s="12"/>
      <c r="L3847" s="12"/>
      <c r="M3847" s="11" t="s">
        <v>7651</v>
      </c>
      <c r="N3847" s="5" t="s">
        <v>17017</v>
      </c>
      <c r="O3847" s="5" t="s">
        <v>26</v>
      </c>
      <c r="P3847" s="15"/>
      <c r="Q3847" s="15"/>
      <c r="R3847" s="422"/>
      <c r="S3847" s="15"/>
      <c r="T3847" s="15"/>
      <c r="U3847" s="15"/>
      <c r="V3847" s="15"/>
      <c r="W3847" s="15"/>
      <c r="X3847" s="15"/>
      <c r="Y3847" s="15"/>
      <c r="Z3847" s="15"/>
      <c r="AA3847" s="15"/>
    </row>
    <row r="3848">
      <c r="A3848" s="5" t="s">
        <v>17000</v>
      </c>
      <c r="B3848" s="131" t="s">
        <v>17018</v>
      </c>
      <c r="C3848" s="40" t="s">
        <v>17019</v>
      </c>
      <c r="D3848" s="11"/>
      <c r="E3848" s="11" t="s">
        <v>43</v>
      </c>
      <c r="F3848" s="9">
        <v>50000.0</v>
      </c>
      <c r="G3848" s="321"/>
      <c r="H3848" s="11" t="s">
        <v>44</v>
      </c>
      <c r="I3848" s="276"/>
      <c r="J3848" s="11" t="s">
        <v>25</v>
      </c>
      <c r="K3848" s="13"/>
      <c r="L3848" s="13"/>
      <c r="M3848" s="14"/>
      <c r="N3848" s="15"/>
      <c r="O3848" s="5" t="s">
        <v>26</v>
      </c>
      <c r="P3848" s="15"/>
      <c r="Q3848" s="15"/>
      <c r="R3848" s="422"/>
      <c r="S3848" s="15"/>
      <c r="T3848" s="15"/>
      <c r="U3848" s="15"/>
      <c r="V3848" s="15"/>
      <c r="W3848" s="15"/>
      <c r="X3848" s="15"/>
      <c r="Y3848" s="15"/>
      <c r="Z3848" s="15"/>
      <c r="AA3848" s="15"/>
    </row>
    <row r="3849">
      <c r="A3849" s="5" t="s">
        <v>17000</v>
      </c>
      <c r="B3849" s="131" t="s">
        <v>17020</v>
      </c>
      <c r="C3849" s="40" t="s">
        <v>17021</v>
      </c>
      <c r="D3849" s="11"/>
      <c r="E3849" s="11" t="s">
        <v>3165</v>
      </c>
      <c r="F3849" s="90">
        <v>100.0</v>
      </c>
      <c r="G3849" s="321"/>
      <c r="H3849" s="11" t="s">
        <v>44</v>
      </c>
      <c r="I3849" s="423"/>
      <c r="J3849" s="14"/>
      <c r="K3849" s="13"/>
      <c r="L3849" s="13"/>
      <c r="M3849" s="14"/>
      <c r="N3849" s="15"/>
      <c r="O3849" s="5" t="s">
        <v>14119</v>
      </c>
      <c r="P3849" s="15"/>
      <c r="Q3849" s="15"/>
      <c r="R3849" s="422"/>
      <c r="S3849" s="15"/>
      <c r="T3849" s="15"/>
      <c r="U3849" s="15"/>
      <c r="V3849" s="15"/>
      <c r="W3849" s="15"/>
      <c r="X3849" s="15"/>
      <c r="Y3849" s="15"/>
      <c r="Z3849" s="15"/>
      <c r="AA3849" s="15"/>
    </row>
    <row r="3850">
      <c r="A3850" s="5" t="s">
        <v>17000</v>
      </c>
      <c r="B3850" s="131" t="s">
        <v>17022</v>
      </c>
      <c r="C3850" s="40" t="s">
        <v>17023</v>
      </c>
      <c r="D3850" s="11"/>
      <c r="E3850" s="11" t="s">
        <v>152</v>
      </c>
      <c r="F3850" s="90">
        <v>900.0</v>
      </c>
      <c r="G3850" s="321"/>
      <c r="H3850" s="11" t="s">
        <v>930</v>
      </c>
      <c r="I3850" s="276"/>
      <c r="J3850" s="11" t="s">
        <v>25</v>
      </c>
      <c r="K3850" s="12"/>
      <c r="L3850" s="12"/>
      <c r="M3850" s="11" t="s">
        <v>9298</v>
      </c>
      <c r="N3850" s="5" t="s">
        <v>17024</v>
      </c>
      <c r="O3850" s="5" t="s">
        <v>108</v>
      </c>
      <c r="P3850" s="15"/>
      <c r="Q3850" s="15"/>
      <c r="R3850" s="422"/>
      <c r="S3850" s="15"/>
      <c r="T3850" s="15"/>
      <c r="U3850" s="15"/>
      <c r="V3850" s="15"/>
      <c r="W3850" s="15"/>
      <c r="X3850" s="15"/>
      <c r="Y3850" s="15"/>
      <c r="Z3850" s="15"/>
      <c r="AA3850" s="15"/>
    </row>
    <row r="3851">
      <c r="A3851" s="5" t="s">
        <v>17000</v>
      </c>
      <c r="B3851" s="131" t="s">
        <v>17025</v>
      </c>
      <c r="C3851" s="40" t="s">
        <v>17026</v>
      </c>
      <c r="D3851" s="11"/>
      <c r="E3851" s="11" t="s">
        <v>17027</v>
      </c>
      <c r="F3851" s="90">
        <v>2000.0</v>
      </c>
      <c r="G3851" s="321"/>
      <c r="H3851" s="11" t="s">
        <v>2662</v>
      </c>
      <c r="I3851" s="423"/>
      <c r="J3851" s="14"/>
      <c r="K3851" s="12"/>
      <c r="L3851" s="12"/>
      <c r="M3851" s="11" t="s">
        <v>17028</v>
      </c>
      <c r="N3851" s="5" t="s">
        <v>17029</v>
      </c>
      <c r="O3851" s="5" t="s">
        <v>108</v>
      </c>
      <c r="P3851" s="15"/>
      <c r="Q3851" s="15"/>
      <c r="R3851" s="422"/>
      <c r="S3851" s="15"/>
      <c r="T3851" s="15"/>
      <c r="U3851" s="15"/>
      <c r="V3851" s="15"/>
      <c r="W3851" s="15"/>
      <c r="X3851" s="15"/>
      <c r="Y3851" s="15"/>
      <c r="Z3851" s="15"/>
      <c r="AA3851" s="15"/>
    </row>
    <row r="3852">
      <c r="A3852" s="5" t="s">
        <v>17000</v>
      </c>
      <c r="B3852" s="131" t="s">
        <v>17030</v>
      </c>
      <c r="C3852" s="40" t="s">
        <v>17031</v>
      </c>
      <c r="D3852" s="11"/>
      <c r="E3852" s="11" t="s">
        <v>17032</v>
      </c>
      <c r="F3852" s="9">
        <v>50000.0</v>
      </c>
      <c r="G3852" s="321"/>
      <c r="H3852" s="11" t="s">
        <v>99</v>
      </c>
      <c r="I3852" s="423"/>
      <c r="J3852" s="14"/>
      <c r="K3852" s="13"/>
      <c r="L3852" s="13"/>
      <c r="M3852" s="14"/>
      <c r="N3852" s="15"/>
      <c r="O3852" s="5" t="s">
        <v>26</v>
      </c>
      <c r="P3852" s="15"/>
      <c r="Q3852" s="15"/>
      <c r="R3852" s="422"/>
      <c r="S3852" s="15"/>
      <c r="T3852" s="15"/>
      <c r="U3852" s="15"/>
      <c r="V3852" s="15"/>
      <c r="W3852" s="15"/>
      <c r="X3852" s="15"/>
      <c r="Y3852" s="15"/>
      <c r="Z3852" s="15"/>
      <c r="AA3852" s="15"/>
    </row>
    <row r="3853">
      <c r="A3853" s="5" t="s">
        <v>17000</v>
      </c>
      <c r="B3853" s="131" t="s">
        <v>17033</v>
      </c>
      <c r="C3853" s="40" t="s">
        <v>17034</v>
      </c>
      <c r="D3853" s="11"/>
      <c r="E3853" s="11" t="s">
        <v>1890</v>
      </c>
      <c r="F3853" s="90">
        <v>250.0</v>
      </c>
      <c r="G3853" s="321"/>
      <c r="H3853" s="11" t="s">
        <v>467</v>
      </c>
      <c r="I3853" s="276"/>
      <c r="J3853" s="11" t="s">
        <v>25</v>
      </c>
      <c r="K3853" s="13"/>
      <c r="L3853" s="13"/>
      <c r="M3853" s="14"/>
      <c r="N3853" s="15"/>
      <c r="O3853" s="5" t="s">
        <v>14119</v>
      </c>
      <c r="P3853" s="15"/>
      <c r="Q3853" s="15"/>
      <c r="R3853" s="422"/>
      <c r="S3853" s="15"/>
      <c r="T3853" s="15"/>
      <c r="U3853" s="15"/>
      <c r="V3853" s="15"/>
      <c r="W3853" s="15"/>
      <c r="X3853" s="15"/>
      <c r="Y3853" s="15"/>
      <c r="Z3853" s="15"/>
      <c r="AA3853" s="15"/>
    </row>
    <row r="3854">
      <c r="A3854" s="5" t="s">
        <v>17000</v>
      </c>
      <c r="B3854" s="131" t="s">
        <v>17035</v>
      </c>
      <c r="C3854" s="40" t="s">
        <v>17036</v>
      </c>
      <c r="D3854" s="11"/>
      <c r="E3854" s="11" t="s">
        <v>3073</v>
      </c>
      <c r="F3854" s="90">
        <v>25.0</v>
      </c>
      <c r="G3854" s="321"/>
      <c r="H3854" s="11" t="s">
        <v>17037</v>
      </c>
      <c r="I3854" s="423"/>
      <c r="J3854" s="14"/>
      <c r="K3854" s="13"/>
      <c r="L3854" s="13"/>
      <c r="M3854" s="14"/>
      <c r="N3854" s="15"/>
      <c r="O3854" s="5" t="s">
        <v>14119</v>
      </c>
      <c r="P3854" s="15"/>
      <c r="Q3854" s="15"/>
      <c r="R3854" s="422"/>
      <c r="S3854" s="15"/>
      <c r="T3854" s="15"/>
      <c r="U3854" s="15"/>
      <c r="V3854" s="15"/>
      <c r="W3854" s="15"/>
      <c r="X3854" s="15"/>
      <c r="Y3854" s="15"/>
      <c r="Z3854" s="15"/>
      <c r="AA3854" s="15"/>
    </row>
    <row r="3855">
      <c r="A3855" s="5" t="s">
        <v>17000</v>
      </c>
      <c r="B3855" s="131" t="s">
        <v>17038</v>
      </c>
      <c r="C3855" s="40" t="s">
        <v>17039</v>
      </c>
      <c r="D3855" s="11"/>
      <c r="E3855" s="11" t="s">
        <v>12336</v>
      </c>
      <c r="F3855" s="90">
        <v>1000.0</v>
      </c>
      <c r="G3855" s="321"/>
      <c r="H3855" s="11" t="s">
        <v>519</v>
      </c>
      <c r="I3855" s="276"/>
      <c r="J3855" s="11" t="s">
        <v>4008</v>
      </c>
      <c r="K3855" s="13"/>
      <c r="L3855" s="13"/>
      <c r="M3855" s="14"/>
      <c r="N3855" s="15"/>
      <c r="O3855" s="5" t="s">
        <v>108</v>
      </c>
      <c r="P3855" s="15"/>
      <c r="Q3855" s="15"/>
      <c r="R3855" s="422"/>
      <c r="S3855" s="15"/>
      <c r="T3855" s="15"/>
      <c r="U3855" s="15"/>
      <c r="V3855" s="15"/>
      <c r="W3855" s="15"/>
      <c r="X3855" s="15"/>
      <c r="Y3855" s="15"/>
      <c r="Z3855" s="15"/>
      <c r="AA3855" s="15"/>
    </row>
    <row r="3856">
      <c r="A3856" s="5" t="s">
        <v>17000</v>
      </c>
      <c r="B3856" s="131" t="s">
        <v>17040</v>
      </c>
      <c r="C3856" s="40" t="s">
        <v>17041</v>
      </c>
      <c r="D3856" s="11"/>
      <c r="E3856" s="11" t="s">
        <v>8931</v>
      </c>
      <c r="F3856" s="90">
        <v>25.0</v>
      </c>
      <c r="G3856" s="321"/>
      <c r="H3856" s="11" t="s">
        <v>930</v>
      </c>
      <c r="I3856" s="423"/>
      <c r="J3856" s="14"/>
      <c r="K3856" s="13"/>
      <c r="L3856" s="13"/>
      <c r="M3856" s="14"/>
      <c r="N3856" s="15"/>
      <c r="O3856" s="5" t="s">
        <v>14119</v>
      </c>
      <c r="P3856" s="15"/>
      <c r="Q3856" s="15"/>
      <c r="R3856" s="422"/>
      <c r="S3856" s="15"/>
      <c r="T3856" s="15"/>
      <c r="U3856" s="15"/>
      <c r="V3856" s="15"/>
      <c r="W3856" s="15"/>
      <c r="X3856" s="15"/>
      <c r="Y3856" s="15"/>
      <c r="Z3856" s="15"/>
      <c r="AA3856" s="15"/>
    </row>
    <row r="3857">
      <c r="A3857" s="5" t="s">
        <v>17000</v>
      </c>
      <c r="B3857" s="131" t="s">
        <v>17042</v>
      </c>
      <c r="C3857" s="40" t="s">
        <v>17043</v>
      </c>
      <c r="D3857" s="11"/>
      <c r="E3857" s="11" t="s">
        <v>130</v>
      </c>
      <c r="F3857" s="90">
        <v>1000.0</v>
      </c>
      <c r="G3857" s="321"/>
      <c r="H3857" s="11" t="s">
        <v>17044</v>
      </c>
      <c r="I3857" s="276"/>
      <c r="J3857" s="11" t="s">
        <v>25</v>
      </c>
      <c r="K3857" s="12"/>
      <c r="L3857" s="12"/>
      <c r="M3857" s="11" t="s">
        <v>9587</v>
      </c>
      <c r="N3857" s="5" t="s">
        <v>17045</v>
      </c>
      <c r="O3857" s="5" t="s">
        <v>108</v>
      </c>
      <c r="P3857" s="15"/>
      <c r="Q3857" s="15"/>
      <c r="R3857" s="422"/>
      <c r="S3857" s="15"/>
      <c r="T3857" s="15"/>
      <c r="U3857" s="15"/>
      <c r="V3857" s="15"/>
      <c r="W3857" s="15"/>
      <c r="X3857" s="15"/>
      <c r="Y3857" s="15"/>
      <c r="Z3857" s="15"/>
      <c r="AA3857" s="15"/>
    </row>
    <row r="3858">
      <c r="A3858" s="5" t="s">
        <v>17000</v>
      </c>
      <c r="B3858" s="131" t="s">
        <v>17046</v>
      </c>
      <c r="C3858" s="40" t="s">
        <v>17047</v>
      </c>
      <c r="D3858" s="11"/>
      <c r="E3858" s="11" t="s">
        <v>17048</v>
      </c>
      <c r="F3858" s="90">
        <v>1000.0</v>
      </c>
      <c r="G3858" s="321"/>
      <c r="H3858" s="11" t="s">
        <v>906</v>
      </c>
      <c r="I3858" s="276"/>
      <c r="J3858" s="11" t="s">
        <v>25</v>
      </c>
      <c r="K3858" s="12"/>
      <c r="L3858" s="12"/>
      <c r="M3858" s="11" t="s">
        <v>9587</v>
      </c>
      <c r="N3858" s="5" t="s">
        <v>17049</v>
      </c>
      <c r="O3858" s="5" t="s">
        <v>108</v>
      </c>
      <c r="P3858" s="15"/>
      <c r="Q3858" s="15"/>
      <c r="R3858" s="422"/>
      <c r="S3858" s="15"/>
      <c r="T3858" s="15"/>
      <c r="U3858" s="15"/>
      <c r="V3858" s="15"/>
      <c r="W3858" s="15"/>
      <c r="X3858" s="15"/>
      <c r="Y3858" s="15"/>
      <c r="Z3858" s="15"/>
      <c r="AA3858" s="15"/>
    </row>
    <row r="3859">
      <c r="A3859" s="5" t="s">
        <v>17000</v>
      </c>
      <c r="B3859" s="131" t="s">
        <v>17050</v>
      </c>
      <c r="C3859" s="40" t="s">
        <v>9653</v>
      </c>
      <c r="D3859" s="11"/>
      <c r="E3859" s="11" t="s">
        <v>262</v>
      </c>
      <c r="F3859" s="90">
        <v>2000.0</v>
      </c>
      <c r="G3859" s="321"/>
      <c r="H3859" s="11" t="s">
        <v>8781</v>
      </c>
      <c r="I3859" s="276"/>
      <c r="J3859" s="11" t="s">
        <v>25</v>
      </c>
      <c r="K3859" s="13"/>
      <c r="L3859" s="13"/>
      <c r="M3859" s="14"/>
      <c r="N3859" s="15"/>
      <c r="O3859" s="5" t="s">
        <v>26</v>
      </c>
      <c r="P3859" s="15"/>
      <c r="Q3859" s="15"/>
      <c r="R3859" s="422"/>
      <c r="S3859" s="15"/>
      <c r="T3859" s="15"/>
      <c r="U3859" s="15"/>
      <c r="V3859" s="15"/>
      <c r="W3859" s="15"/>
      <c r="X3859" s="15"/>
      <c r="Y3859" s="15"/>
      <c r="Z3859" s="15"/>
      <c r="AA3859" s="15"/>
    </row>
    <row r="3860">
      <c r="A3860" s="5" t="s">
        <v>17051</v>
      </c>
      <c r="B3860" s="131" t="s">
        <v>17052</v>
      </c>
      <c r="C3860" s="40" t="s">
        <v>17053</v>
      </c>
      <c r="D3860" s="11"/>
      <c r="E3860" s="11" t="s">
        <v>1579</v>
      </c>
      <c r="F3860" s="9">
        <v>100000.0</v>
      </c>
      <c r="G3860" s="321"/>
      <c r="H3860" s="11" t="s">
        <v>16042</v>
      </c>
      <c r="I3860" s="423"/>
      <c r="J3860" s="14"/>
      <c r="K3860" s="12"/>
      <c r="L3860" s="12"/>
      <c r="M3860" s="11" t="s">
        <v>10342</v>
      </c>
      <c r="N3860" s="5" t="s">
        <v>17054</v>
      </c>
      <c r="O3860" s="5" t="s">
        <v>108</v>
      </c>
      <c r="P3860" s="15"/>
      <c r="Q3860" s="15"/>
      <c r="R3860" s="422"/>
      <c r="S3860" s="15"/>
      <c r="T3860" s="15"/>
      <c r="U3860" s="15"/>
      <c r="V3860" s="15"/>
      <c r="W3860" s="15"/>
      <c r="X3860" s="15"/>
      <c r="Y3860" s="15"/>
      <c r="Z3860" s="15"/>
      <c r="AA3860" s="15"/>
    </row>
    <row r="3861">
      <c r="A3861" s="5" t="s">
        <v>17051</v>
      </c>
      <c r="B3861" s="131" t="s">
        <v>17055</v>
      </c>
      <c r="C3861" s="40" t="s">
        <v>17056</v>
      </c>
      <c r="D3861" s="11"/>
      <c r="E3861" s="11" t="s">
        <v>794</v>
      </c>
      <c r="F3861" s="9">
        <v>56000.0</v>
      </c>
      <c r="G3861" s="321"/>
      <c r="H3861" s="11" t="s">
        <v>906</v>
      </c>
      <c r="I3861" s="423"/>
      <c r="J3861" s="14"/>
      <c r="K3861" s="12"/>
      <c r="L3861" s="12"/>
      <c r="M3861" s="11" t="s">
        <v>9901</v>
      </c>
      <c r="N3861" s="5" t="s">
        <v>17057</v>
      </c>
      <c r="O3861" s="5" t="s">
        <v>108</v>
      </c>
      <c r="P3861" s="15"/>
      <c r="Q3861" s="15"/>
      <c r="R3861" s="422"/>
      <c r="S3861" s="15"/>
      <c r="T3861" s="15"/>
      <c r="U3861" s="15"/>
      <c r="V3861" s="15"/>
      <c r="W3861" s="15"/>
      <c r="X3861" s="15"/>
      <c r="Y3861" s="15"/>
      <c r="Z3861" s="15"/>
      <c r="AA3861" s="15"/>
    </row>
    <row r="3862">
      <c r="A3862" s="5" t="s">
        <v>17051</v>
      </c>
      <c r="B3862" s="131" t="s">
        <v>17058</v>
      </c>
      <c r="C3862" s="40" t="s">
        <v>4438</v>
      </c>
      <c r="D3862" s="11"/>
      <c r="E3862" s="11" t="s">
        <v>3073</v>
      </c>
      <c r="F3862" s="9">
        <v>20000.0</v>
      </c>
      <c r="G3862" s="321"/>
      <c r="H3862" s="11" t="s">
        <v>906</v>
      </c>
      <c r="I3862" s="423"/>
      <c r="J3862" s="14"/>
      <c r="K3862" s="12"/>
      <c r="L3862" s="12"/>
      <c r="M3862" s="11" t="s">
        <v>17059</v>
      </c>
      <c r="N3862" s="5" t="s">
        <v>17060</v>
      </c>
      <c r="O3862" s="5" t="s">
        <v>108</v>
      </c>
      <c r="P3862" s="15"/>
      <c r="Q3862" s="15"/>
      <c r="R3862" s="422"/>
      <c r="S3862" s="15"/>
      <c r="T3862" s="15"/>
      <c r="U3862" s="15"/>
      <c r="V3862" s="15"/>
      <c r="W3862" s="15"/>
      <c r="X3862" s="15"/>
      <c r="Y3862" s="15"/>
      <c r="Z3862" s="15"/>
      <c r="AA3862" s="15"/>
    </row>
    <row r="3863">
      <c r="A3863" s="5" t="s">
        <v>17051</v>
      </c>
      <c r="B3863" s="131" t="s">
        <v>17061</v>
      </c>
      <c r="C3863" s="40" t="s">
        <v>17062</v>
      </c>
      <c r="D3863" s="11"/>
      <c r="E3863" s="11" t="s">
        <v>412</v>
      </c>
      <c r="F3863" s="90">
        <v>1000.0</v>
      </c>
      <c r="G3863" s="321"/>
      <c r="H3863" s="11" t="s">
        <v>16712</v>
      </c>
      <c r="I3863" s="423"/>
      <c r="J3863" s="14"/>
      <c r="K3863" s="12"/>
      <c r="L3863" s="12"/>
      <c r="M3863" s="11" t="s">
        <v>16054</v>
      </c>
      <c r="N3863" s="5" t="s">
        <v>17063</v>
      </c>
      <c r="O3863" s="5" t="s">
        <v>26</v>
      </c>
      <c r="P3863" s="15"/>
      <c r="Q3863" s="15"/>
      <c r="R3863" s="422"/>
      <c r="S3863" s="15"/>
      <c r="T3863" s="15"/>
      <c r="U3863" s="15"/>
      <c r="V3863" s="15"/>
      <c r="W3863" s="15"/>
      <c r="X3863" s="15"/>
      <c r="Y3863" s="15"/>
      <c r="Z3863" s="15"/>
      <c r="AA3863" s="15"/>
    </row>
    <row r="3864">
      <c r="A3864" s="5" t="s">
        <v>17051</v>
      </c>
      <c r="B3864" s="131" t="s">
        <v>17064</v>
      </c>
      <c r="C3864" s="40" t="s">
        <v>17065</v>
      </c>
      <c r="D3864" s="11"/>
      <c r="E3864" s="11" t="s">
        <v>152</v>
      </c>
      <c r="F3864" s="90">
        <v>5000.0</v>
      </c>
      <c r="G3864" s="321"/>
      <c r="H3864" s="11" t="s">
        <v>17066</v>
      </c>
      <c r="I3864" s="276"/>
      <c r="J3864" s="11" t="s">
        <v>4008</v>
      </c>
      <c r="K3864" s="12"/>
      <c r="L3864" s="12"/>
      <c r="M3864" s="11" t="s">
        <v>9983</v>
      </c>
      <c r="N3864" s="5" t="s">
        <v>17067</v>
      </c>
      <c r="O3864" s="5" t="s">
        <v>108</v>
      </c>
      <c r="P3864" s="15"/>
      <c r="Q3864" s="15"/>
      <c r="R3864" s="422"/>
      <c r="S3864" s="15"/>
      <c r="T3864" s="15"/>
      <c r="U3864" s="15"/>
      <c r="V3864" s="15"/>
      <c r="W3864" s="15"/>
      <c r="X3864" s="15"/>
      <c r="Y3864" s="15"/>
      <c r="Z3864" s="15"/>
      <c r="AA3864" s="15"/>
    </row>
    <row r="3865">
      <c r="A3865" s="5" t="s">
        <v>17051</v>
      </c>
      <c r="B3865" s="131" t="s">
        <v>17068</v>
      </c>
      <c r="C3865" s="40" t="s">
        <v>17069</v>
      </c>
      <c r="D3865" s="11"/>
      <c r="E3865" s="11" t="s">
        <v>12336</v>
      </c>
      <c r="F3865" s="90">
        <v>300.0</v>
      </c>
      <c r="G3865" s="321"/>
      <c r="H3865" s="11" t="s">
        <v>17070</v>
      </c>
      <c r="I3865" s="423"/>
      <c r="J3865" s="14"/>
      <c r="K3865" s="13"/>
      <c r="L3865" s="13"/>
      <c r="M3865" s="14"/>
      <c r="N3865" s="15"/>
      <c r="O3865" s="5" t="s">
        <v>108</v>
      </c>
      <c r="P3865" s="15"/>
      <c r="Q3865" s="15"/>
      <c r="R3865" s="422"/>
      <c r="S3865" s="15"/>
      <c r="T3865" s="15"/>
      <c r="U3865" s="15"/>
      <c r="V3865" s="15"/>
      <c r="W3865" s="15"/>
      <c r="X3865" s="15"/>
      <c r="Y3865" s="15"/>
      <c r="Z3865" s="15"/>
      <c r="AA3865" s="15"/>
    </row>
    <row r="3866">
      <c r="A3866" s="5" t="s">
        <v>17051</v>
      </c>
      <c r="B3866" s="131" t="s">
        <v>17071</v>
      </c>
      <c r="C3866" s="40" t="s">
        <v>17072</v>
      </c>
      <c r="D3866" s="11"/>
      <c r="E3866" s="11" t="s">
        <v>5293</v>
      </c>
      <c r="F3866" s="9">
        <v>20000.0</v>
      </c>
      <c r="G3866" s="321"/>
      <c r="H3866" s="11" t="s">
        <v>467</v>
      </c>
      <c r="I3866" s="423"/>
      <c r="J3866" s="14"/>
      <c r="K3866" s="12"/>
      <c r="L3866" s="12"/>
      <c r="M3866" s="11" t="s">
        <v>11935</v>
      </c>
      <c r="N3866" s="5" t="s">
        <v>17073</v>
      </c>
      <c r="O3866" s="5" t="s">
        <v>108</v>
      </c>
      <c r="P3866" s="15"/>
      <c r="Q3866" s="15"/>
      <c r="R3866" s="422"/>
      <c r="S3866" s="15"/>
      <c r="T3866" s="15"/>
      <c r="U3866" s="15"/>
      <c r="V3866" s="15"/>
      <c r="W3866" s="15"/>
      <c r="X3866" s="15"/>
      <c r="Y3866" s="15"/>
      <c r="Z3866" s="15"/>
      <c r="AA3866" s="15"/>
    </row>
    <row r="3867">
      <c r="A3867" s="5" t="s">
        <v>17051</v>
      </c>
      <c r="B3867" s="131" t="s">
        <v>17074</v>
      </c>
      <c r="C3867" s="40" t="s">
        <v>17075</v>
      </c>
      <c r="D3867" s="11"/>
      <c r="E3867" s="11" t="s">
        <v>17076</v>
      </c>
      <c r="F3867" s="9">
        <v>100000.0</v>
      </c>
      <c r="G3867" s="321"/>
      <c r="H3867" s="11" t="s">
        <v>99</v>
      </c>
      <c r="I3867" s="423"/>
      <c r="J3867" s="14"/>
      <c r="K3867" s="13"/>
      <c r="L3867" s="13"/>
      <c r="M3867" s="14"/>
      <c r="N3867" s="15"/>
      <c r="O3867" s="5" t="s">
        <v>26</v>
      </c>
      <c r="P3867" s="15"/>
      <c r="Q3867" s="15"/>
      <c r="R3867" s="422"/>
      <c r="S3867" s="15"/>
      <c r="T3867" s="15"/>
      <c r="U3867" s="15"/>
      <c r="V3867" s="15"/>
      <c r="W3867" s="15"/>
      <c r="X3867" s="15"/>
      <c r="Y3867" s="15"/>
      <c r="Z3867" s="15"/>
      <c r="AA3867" s="15"/>
    </row>
    <row r="3868">
      <c r="A3868" s="5" t="s">
        <v>17051</v>
      </c>
      <c r="B3868" s="131" t="s">
        <v>17077</v>
      </c>
      <c r="C3868" s="40" t="s">
        <v>17078</v>
      </c>
      <c r="D3868" s="11"/>
      <c r="E3868" s="11" t="s">
        <v>116</v>
      </c>
      <c r="F3868" s="9">
        <v>10000.0</v>
      </c>
      <c r="G3868" s="321"/>
      <c r="H3868" s="11" t="s">
        <v>99</v>
      </c>
      <c r="I3868" s="276"/>
      <c r="J3868" s="11" t="s">
        <v>4008</v>
      </c>
      <c r="K3868" s="12"/>
      <c r="L3868" s="12"/>
      <c r="M3868" s="11" t="s">
        <v>8162</v>
      </c>
      <c r="N3868" s="5" t="s">
        <v>17079</v>
      </c>
      <c r="O3868" s="5" t="s">
        <v>26</v>
      </c>
      <c r="P3868" s="15"/>
      <c r="Q3868" s="15"/>
      <c r="R3868" s="422"/>
      <c r="S3868" s="15"/>
      <c r="T3868" s="15"/>
      <c r="U3868" s="15"/>
      <c r="V3868" s="15"/>
      <c r="W3868" s="15"/>
      <c r="X3868" s="15"/>
      <c r="Y3868" s="15"/>
      <c r="Z3868" s="15"/>
      <c r="AA3868" s="15"/>
    </row>
    <row r="3869">
      <c r="A3869" s="5" t="s">
        <v>17051</v>
      </c>
      <c r="B3869" s="131" t="s">
        <v>17080</v>
      </c>
      <c r="C3869" s="40" t="s">
        <v>17081</v>
      </c>
      <c r="D3869" s="11"/>
      <c r="E3869" s="11" t="s">
        <v>3073</v>
      </c>
      <c r="F3869" s="90">
        <v>100.0</v>
      </c>
      <c r="G3869" s="321"/>
      <c r="H3869" s="11" t="s">
        <v>4766</v>
      </c>
      <c r="I3869" s="276"/>
      <c r="J3869" s="11" t="s">
        <v>25</v>
      </c>
      <c r="K3869" s="13"/>
      <c r="L3869" s="13"/>
      <c r="M3869" s="14"/>
      <c r="N3869" s="15"/>
      <c r="O3869" s="5" t="s">
        <v>14119</v>
      </c>
      <c r="P3869" s="15"/>
      <c r="Q3869" s="15"/>
      <c r="R3869" s="422"/>
      <c r="S3869" s="15"/>
      <c r="T3869" s="15"/>
      <c r="U3869" s="15"/>
      <c r="V3869" s="15"/>
      <c r="W3869" s="15"/>
      <c r="X3869" s="15"/>
      <c r="Y3869" s="15"/>
      <c r="Z3869" s="15"/>
      <c r="AA3869" s="15"/>
    </row>
    <row r="3870">
      <c r="A3870" s="5" t="s">
        <v>17051</v>
      </c>
      <c r="B3870" s="131" t="s">
        <v>17082</v>
      </c>
      <c r="C3870" s="40" t="s">
        <v>17083</v>
      </c>
      <c r="D3870" s="11"/>
      <c r="E3870" s="11" t="s">
        <v>116</v>
      </c>
      <c r="F3870" s="90">
        <v>500.0</v>
      </c>
      <c r="G3870" s="321"/>
      <c r="H3870" s="11" t="s">
        <v>906</v>
      </c>
      <c r="I3870" s="423"/>
      <c r="J3870" s="14"/>
      <c r="K3870" s="12"/>
      <c r="L3870" s="12"/>
      <c r="M3870" s="11" t="s">
        <v>15128</v>
      </c>
      <c r="N3870" s="5" t="s">
        <v>17084</v>
      </c>
      <c r="O3870" s="5" t="s">
        <v>108</v>
      </c>
      <c r="P3870" s="15"/>
      <c r="Q3870" s="15"/>
      <c r="R3870" s="422"/>
      <c r="S3870" s="15"/>
      <c r="T3870" s="15"/>
      <c r="U3870" s="15"/>
      <c r="V3870" s="15"/>
      <c r="W3870" s="15"/>
      <c r="X3870" s="15"/>
      <c r="Y3870" s="15"/>
      <c r="Z3870" s="15"/>
      <c r="AA3870" s="15"/>
    </row>
    <row r="3871">
      <c r="A3871" s="5" t="s">
        <v>17051</v>
      </c>
      <c r="B3871" s="131" t="s">
        <v>17085</v>
      </c>
      <c r="C3871" s="40" t="s">
        <v>17086</v>
      </c>
      <c r="D3871" s="11"/>
      <c r="E3871" s="11" t="s">
        <v>14677</v>
      </c>
      <c r="F3871" s="90">
        <v>50.0</v>
      </c>
      <c r="G3871" s="321"/>
      <c r="H3871" s="11" t="s">
        <v>608</v>
      </c>
      <c r="I3871" s="423"/>
      <c r="J3871" s="14"/>
      <c r="K3871" s="13"/>
      <c r="L3871" s="13"/>
      <c r="M3871" s="14"/>
      <c r="N3871" s="15"/>
      <c r="O3871" s="5" t="s">
        <v>14119</v>
      </c>
      <c r="P3871" s="15"/>
      <c r="Q3871" s="15"/>
      <c r="R3871" s="422"/>
      <c r="S3871" s="15"/>
      <c r="T3871" s="15"/>
      <c r="U3871" s="15"/>
      <c r="V3871" s="15"/>
      <c r="W3871" s="15"/>
      <c r="X3871" s="15"/>
      <c r="Y3871" s="15"/>
      <c r="Z3871" s="15"/>
      <c r="AA3871" s="15"/>
    </row>
    <row r="3872">
      <c r="A3872" s="5" t="s">
        <v>17051</v>
      </c>
      <c r="B3872" s="131" t="s">
        <v>17087</v>
      </c>
      <c r="C3872" s="40" t="s">
        <v>17088</v>
      </c>
      <c r="D3872" s="11"/>
      <c r="E3872" s="11" t="s">
        <v>14538</v>
      </c>
      <c r="F3872" s="9">
        <v>25000.0</v>
      </c>
      <c r="G3872" s="321"/>
      <c r="H3872" s="11" t="s">
        <v>44</v>
      </c>
      <c r="I3872" s="423"/>
      <c r="J3872" s="14"/>
      <c r="K3872" s="12"/>
      <c r="L3872" s="12"/>
      <c r="M3872" s="11" t="s">
        <v>10656</v>
      </c>
      <c r="N3872" s="5" t="s">
        <v>17089</v>
      </c>
      <c r="O3872" s="5" t="s">
        <v>26</v>
      </c>
      <c r="P3872" s="15"/>
      <c r="Q3872" s="15"/>
      <c r="R3872" s="422"/>
      <c r="S3872" s="15"/>
      <c r="T3872" s="15"/>
      <c r="U3872" s="15"/>
      <c r="V3872" s="15"/>
      <c r="W3872" s="15"/>
      <c r="X3872" s="15"/>
      <c r="Y3872" s="15"/>
      <c r="Z3872" s="15"/>
      <c r="AA3872" s="15"/>
    </row>
    <row r="3873">
      <c r="A3873" s="5" t="s">
        <v>17051</v>
      </c>
      <c r="B3873" s="131" t="s">
        <v>17090</v>
      </c>
      <c r="C3873" s="40" t="s">
        <v>17091</v>
      </c>
      <c r="D3873" s="11"/>
      <c r="E3873" s="11" t="s">
        <v>17092</v>
      </c>
      <c r="F3873" s="90">
        <v>8240.0</v>
      </c>
      <c r="G3873" s="321"/>
      <c r="H3873" s="11" t="s">
        <v>3216</v>
      </c>
      <c r="I3873" s="276"/>
      <c r="J3873" s="11" t="s">
        <v>14223</v>
      </c>
      <c r="K3873" s="12"/>
      <c r="L3873" s="12"/>
      <c r="M3873" s="11" t="s">
        <v>17093</v>
      </c>
      <c r="N3873" s="5" t="s">
        <v>17094</v>
      </c>
      <c r="O3873" s="5" t="s">
        <v>26</v>
      </c>
      <c r="P3873" s="15"/>
      <c r="Q3873" s="15"/>
      <c r="R3873" s="422"/>
      <c r="S3873" s="15"/>
      <c r="T3873" s="15"/>
      <c r="U3873" s="15"/>
      <c r="V3873" s="15"/>
      <c r="W3873" s="15"/>
      <c r="X3873" s="15"/>
      <c r="Y3873" s="15"/>
      <c r="Z3873" s="15"/>
      <c r="AA3873" s="15"/>
    </row>
    <row r="3874">
      <c r="A3874" s="5" t="s">
        <v>17095</v>
      </c>
      <c r="B3874" s="131" t="s">
        <v>17096</v>
      </c>
      <c r="C3874" s="40" t="s">
        <v>17097</v>
      </c>
      <c r="D3874" s="11"/>
      <c r="E3874" s="11" t="s">
        <v>17098</v>
      </c>
      <c r="F3874" s="90">
        <v>171.0</v>
      </c>
      <c r="G3874" s="321"/>
      <c r="H3874" s="11" t="s">
        <v>196</v>
      </c>
      <c r="I3874" s="423"/>
      <c r="J3874" s="14"/>
      <c r="K3874" s="12"/>
      <c r="L3874" s="12"/>
      <c r="M3874" s="11" t="s">
        <v>17099</v>
      </c>
      <c r="N3874" s="15"/>
      <c r="O3874" s="5" t="s">
        <v>34</v>
      </c>
      <c r="P3874" s="15"/>
      <c r="Q3874" s="15"/>
      <c r="R3874" s="422"/>
      <c r="S3874" s="15"/>
      <c r="T3874" s="15"/>
      <c r="U3874" s="15"/>
      <c r="V3874" s="15"/>
      <c r="W3874" s="15"/>
      <c r="X3874" s="15"/>
      <c r="Y3874" s="15"/>
      <c r="Z3874" s="15"/>
      <c r="AA3874" s="15"/>
    </row>
    <row r="3875">
      <c r="A3875" s="5" t="s">
        <v>17095</v>
      </c>
      <c r="B3875" s="131" t="s">
        <v>17100</v>
      </c>
      <c r="C3875" s="40" t="s">
        <v>14644</v>
      </c>
      <c r="D3875" s="11"/>
      <c r="E3875" s="11" t="s">
        <v>9283</v>
      </c>
      <c r="F3875" s="90">
        <v>500.0</v>
      </c>
      <c r="G3875" s="321"/>
      <c r="H3875" s="11" t="s">
        <v>44</v>
      </c>
      <c r="I3875" s="423"/>
      <c r="J3875" s="14"/>
      <c r="K3875" s="13"/>
      <c r="L3875" s="13"/>
      <c r="M3875" s="14"/>
      <c r="N3875" s="15"/>
      <c r="O3875" s="5" t="s">
        <v>14119</v>
      </c>
      <c r="P3875" s="15"/>
      <c r="Q3875" s="15"/>
      <c r="R3875" s="422"/>
      <c r="S3875" s="15"/>
      <c r="T3875" s="15"/>
      <c r="U3875" s="15"/>
      <c r="V3875" s="15"/>
      <c r="W3875" s="15"/>
      <c r="X3875" s="15"/>
      <c r="Y3875" s="15"/>
      <c r="Z3875" s="15"/>
      <c r="AA3875" s="15"/>
    </row>
    <row r="3876">
      <c r="A3876" s="5" t="s">
        <v>17095</v>
      </c>
      <c r="B3876" s="131" t="s">
        <v>17101</v>
      </c>
      <c r="C3876" s="40" t="s">
        <v>17102</v>
      </c>
      <c r="D3876" s="11"/>
      <c r="E3876" s="11" t="s">
        <v>794</v>
      </c>
      <c r="F3876" s="90">
        <v>1000.0</v>
      </c>
      <c r="G3876" s="321"/>
      <c r="H3876" s="11" t="s">
        <v>906</v>
      </c>
      <c r="I3876" s="423"/>
      <c r="J3876" s="14"/>
      <c r="K3876" s="12"/>
      <c r="L3876" s="12"/>
      <c r="M3876" s="11" t="s">
        <v>7884</v>
      </c>
      <c r="N3876" s="5" t="s">
        <v>17103</v>
      </c>
      <c r="O3876" s="5" t="s">
        <v>108</v>
      </c>
      <c r="P3876" s="15"/>
      <c r="Q3876" s="15"/>
      <c r="R3876" s="422"/>
      <c r="S3876" s="15"/>
      <c r="T3876" s="15"/>
      <c r="U3876" s="15"/>
      <c r="V3876" s="15"/>
      <c r="W3876" s="15"/>
      <c r="X3876" s="15"/>
      <c r="Y3876" s="15"/>
      <c r="Z3876" s="15"/>
      <c r="AA3876" s="15"/>
    </row>
    <row r="3877">
      <c r="A3877" s="5" t="s">
        <v>17095</v>
      </c>
      <c r="B3877" s="131" t="s">
        <v>17104</v>
      </c>
      <c r="C3877" s="40" t="s">
        <v>17105</v>
      </c>
      <c r="D3877" s="11"/>
      <c r="E3877" s="11" t="s">
        <v>17106</v>
      </c>
      <c r="F3877" s="90">
        <v>1000.0</v>
      </c>
      <c r="G3877" s="321"/>
      <c r="H3877" s="11" t="s">
        <v>44</v>
      </c>
      <c r="I3877" s="276"/>
      <c r="J3877" s="11" t="s">
        <v>25</v>
      </c>
      <c r="K3877" s="13"/>
      <c r="L3877" s="13"/>
      <c r="M3877" s="14"/>
      <c r="N3877" s="15"/>
      <c r="O3877" s="5" t="s">
        <v>26</v>
      </c>
      <c r="P3877" s="15"/>
      <c r="Q3877" s="15"/>
      <c r="R3877" s="422"/>
      <c r="S3877" s="15"/>
      <c r="T3877" s="15"/>
      <c r="U3877" s="15"/>
      <c r="V3877" s="15"/>
      <c r="W3877" s="15"/>
      <c r="X3877" s="15"/>
      <c r="Y3877" s="15"/>
      <c r="Z3877" s="15"/>
      <c r="AA3877" s="15"/>
    </row>
    <row r="3878">
      <c r="A3878" s="5" t="s">
        <v>17095</v>
      </c>
      <c r="B3878" s="131" t="s">
        <v>17107</v>
      </c>
      <c r="C3878" s="40" t="s">
        <v>17108</v>
      </c>
      <c r="D3878" s="11"/>
      <c r="E3878" s="11" t="s">
        <v>10404</v>
      </c>
      <c r="F3878" s="90">
        <v>50.0</v>
      </c>
      <c r="G3878" s="321"/>
      <c r="H3878" s="11" t="s">
        <v>44</v>
      </c>
      <c r="I3878" s="276"/>
      <c r="J3878" s="11" t="s">
        <v>17109</v>
      </c>
      <c r="K3878" s="13"/>
      <c r="L3878" s="13"/>
      <c r="M3878" s="14"/>
      <c r="N3878" s="15"/>
      <c r="O3878" s="5" t="s">
        <v>14119</v>
      </c>
      <c r="P3878" s="15"/>
      <c r="Q3878" s="15"/>
      <c r="R3878" s="422"/>
      <c r="S3878" s="15"/>
      <c r="T3878" s="15"/>
      <c r="U3878" s="15"/>
      <c r="V3878" s="15"/>
      <c r="W3878" s="15"/>
      <c r="X3878" s="15"/>
      <c r="Y3878" s="15"/>
      <c r="Z3878" s="15"/>
      <c r="AA3878" s="15"/>
    </row>
    <row r="3879">
      <c r="A3879" s="5" t="s">
        <v>17095</v>
      </c>
      <c r="B3879" s="131" t="s">
        <v>17110</v>
      </c>
      <c r="C3879" s="40" t="s">
        <v>17111</v>
      </c>
      <c r="D3879" s="11"/>
      <c r="E3879" s="11" t="s">
        <v>178</v>
      </c>
      <c r="F3879" s="9">
        <v>25000.0</v>
      </c>
      <c r="G3879" s="321"/>
      <c r="H3879" s="11" t="s">
        <v>184</v>
      </c>
      <c r="I3879" s="423"/>
      <c r="J3879" s="14"/>
      <c r="K3879" s="12"/>
      <c r="L3879" s="12"/>
      <c r="M3879" s="11" t="s">
        <v>17112</v>
      </c>
      <c r="N3879" s="5" t="s">
        <v>17113</v>
      </c>
      <c r="O3879" s="5" t="s">
        <v>26</v>
      </c>
      <c r="P3879" s="15"/>
      <c r="Q3879" s="15"/>
      <c r="R3879" s="422"/>
      <c r="S3879" s="15"/>
      <c r="T3879" s="15"/>
      <c r="U3879" s="15"/>
      <c r="V3879" s="15"/>
      <c r="W3879" s="15"/>
      <c r="X3879" s="15"/>
      <c r="Y3879" s="15"/>
      <c r="Z3879" s="15"/>
      <c r="AA3879" s="15"/>
    </row>
    <row r="3880">
      <c r="A3880" s="5" t="s">
        <v>17095</v>
      </c>
      <c r="B3880" s="131" t="s">
        <v>17114</v>
      </c>
      <c r="C3880" s="40" t="s">
        <v>17115</v>
      </c>
      <c r="D3880" s="11"/>
      <c r="E3880" s="11" t="s">
        <v>116</v>
      </c>
      <c r="F3880" s="90">
        <v>1000.0</v>
      </c>
      <c r="G3880" s="321"/>
      <c r="H3880" s="11" t="s">
        <v>519</v>
      </c>
      <c r="I3880" s="276"/>
      <c r="J3880" s="11" t="s">
        <v>4008</v>
      </c>
      <c r="K3880" s="12"/>
      <c r="L3880" s="12"/>
      <c r="M3880" s="11" t="s">
        <v>15128</v>
      </c>
      <c r="N3880" s="5" t="s">
        <v>17116</v>
      </c>
      <c r="O3880" s="5" t="s">
        <v>108</v>
      </c>
      <c r="P3880" s="15"/>
      <c r="Q3880" s="15"/>
      <c r="R3880" s="422"/>
      <c r="S3880" s="15"/>
      <c r="T3880" s="15"/>
      <c r="U3880" s="15"/>
      <c r="V3880" s="15"/>
      <c r="W3880" s="15"/>
      <c r="X3880" s="15"/>
      <c r="Y3880" s="15"/>
      <c r="Z3880" s="15"/>
      <c r="AA3880" s="15"/>
    </row>
    <row r="3881">
      <c r="A3881" s="5" t="s">
        <v>17095</v>
      </c>
      <c r="B3881" s="131" t="s">
        <v>17117</v>
      </c>
      <c r="C3881" s="40" t="s">
        <v>17118</v>
      </c>
      <c r="D3881" s="11"/>
      <c r="E3881" s="11" t="s">
        <v>152</v>
      </c>
      <c r="F3881" s="90">
        <v>1000.0</v>
      </c>
      <c r="G3881" s="321"/>
      <c r="H3881" s="11" t="s">
        <v>2662</v>
      </c>
      <c r="I3881" s="276"/>
      <c r="J3881" s="11" t="s">
        <v>9536</v>
      </c>
      <c r="K3881" s="12"/>
      <c r="L3881" s="12"/>
      <c r="M3881" s="11" t="s">
        <v>15852</v>
      </c>
      <c r="N3881" s="5" t="s">
        <v>17119</v>
      </c>
      <c r="O3881" s="5" t="s">
        <v>108</v>
      </c>
      <c r="P3881" s="15"/>
      <c r="Q3881" s="15"/>
      <c r="R3881" s="422"/>
      <c r="S3881" s="15"/>
      <c r="T3881" s="15"/>
      <c r="U3881" s="15"/>
      <c r="V3881" s="15"/>
      <c r="W3881" s="15"/>
      <c r="X3881" s="15"/>
      <c r="Y3881" s="15"/>
      <c r="Z3881" s="15"/>
      <c r="AA3881" s="15"/>
    </row>
    <row r="3882">
      <c r="A3882" s="5" t="s">
        <v>17095</v>
      </c>
      <c r="B3882" s="131" t="s">
        <v>17120</v>
      </c>
      <c r="C3882" s="40" t="s">
        <v>17121</v>
      </c>
      <c r="D3882" s="11"/>
      <c r="E3882" s="11" t="s">
        <v>152</v>
      </c>
      <c r="F3882" s="90">
        <v>100.0</v>
      </c>
      <c r="G3882" s="321"/>
      <c r="H3882" s="11" t="s">
        <v>17122</v>
      </c>
      <c r="I3882" s="276"/>
      <c r="J3882" s="11" t="s">
        <v>16326</v>
      </c>
      <c r="K3882" s="13"/>
      <c r="L3882" s="13"/>
      <c r="M3882" s="14"/>
      <c r="N3882" s="15"/>
      <c r="O3882" s="5" t="s">
        <v>14119</v>
      </c>
      <c r="P3882" s="15"/>
      <c r="Q3882" s="15"/>
      <c r="R3882" s="422"/>
      <c r="S3882" s="15"/>
      <c r="T3882" s="15"/>
      <c r="U3882" s="15"/>
      <c r="V3882" s="15"/>
      <c r="W3882" s="15"/>
      <c r="X3882" s="15"/>
      <c r="Y3882" s="15"/>
      <c r="Z3882" s="15"/>
      <c r="AA3882" s="15"/>
    </row>
    <row r="3883">
      <c r="A3883" s="5" t="s">
        <v>17095</v>
      </c>
      <c r="B3883" s="131" t="s">
        <v>17123</v>
      </c>
      <c r="C3883" s="40" t="s">
        <v>17124</v>
      </c>
      <c r="D3883" s="11"/>
      <c r="E3883" s="11" t="s">
        <v>130</v>
      </c>
      <c r="F3883" s="9">
        <v>10000.0</v>
      </c>
      <c r="G3883" s="321"/>
      <c r="H3883" s="11" t="s">
        <v>11396</v>
      </c>
      <c r="I3883" s="276"/>
      <c r="J3883" s="11" t="s">
        <v>4008</v>
      </c>
      <c r="K3883" s="13"/>
      <c r="L3883" s="13"/>
      <c r="M3883" s="14"/>
      <c r="N3883" s="15"/>
      <c r="O3883" s="5" t="s">
        <v>108</v>
      </c>
      <c r="P3883" s="15"/>
      <c r="Q3883" s="15"/>
      <c r="R3883" s="422"/>
      <c r="S3883" s="15"/>
      <c r="T3883" s="15"/>
      <c r="U3883" s="15"/>
      <c r="V3883" s="15"/>
      <c r="W3883" s="15"/>
      <c r="X3883" s="15"/>
      <c r="Y3883" s="15"/>
      <c r="Z3883" s="15"/>
      <c r="AA3883" s="15"/>
    </row>
    <row r="3884">
      <c r="A3884" s="5" t="s">
        <v>17095</v>
      </c>
      <c r="B3884" s="131" t="s">
        <v>17125</v>
      </c>
      <c r="C3884" s="40" t="s">
        <v>17126</v>
      </c>
      <c r="D3884" s="11"/>
      <c r="E3884" s="11" t="s">
        <v>794</v>
      </c>
      <c r="F3884" s="90">
        <v>200.0</v>
      </c>
      <c r="G3884" s="321"/>
      <c r="H3884" s="11" t="s">
        <v>930</v>
      </c>
      <c r="I3884" s="276"/>
      <c r="J3884" s="11" t="s">
        <v>25</v>
      </c>
      <c r="K3884" s="13"/>
      <c r="L3884" s="13"/>
      <c r="M3884" s="14"/>
      <c r="N3884" s="15"/>
      <c r="O3884" s="5" t="s">
        <v>14119</v>
      </c>
      <c r="P3884" s="15"/>
      <c r="Q3884" s="15"/>
      <c r="R3884" s="422"/>
      <c r="S3884" s="15"/>
      <c r="T3884" s="15"/>
      <c r="U3884" s="15"/>
      <c r="V3884" s="15"/>
      <c r="W3884" s="15"/>
      <c r="X3884" s="15"/>
      <c r="Y3884" s="15"/>
      <c r="Z3884" s="15"/>
      <c r="AA3884" s="15"/>
    </row>
    <row r="3885">
      <c r="A3885" s="5" t="s">
        <v>17095</v>
      </c>
      <c r="B3885" s="131" t="s">
        <v>17127</v>
      </c>
      <c r="C3885" s="40" t="s">
        <v>17128</v>
      </c>
      <c r="D3885" s="11"/>
      <c r="E3885" s="11" t="s">
        <v>794</v>
      </c>
      <c r="F3885" s="90">
        <v>5000.0</v>
      </c>
      <c r="G3885" s="321"/>
      <c r="H3885" s="11" t="s">
        <v>44</v>
      </c>
      <c r="I3885" s="276"/>
      <c r="J3885" s="11" t="s">
        <v>25</v>
      </c>
      <c r="K3885" s="12"/>
      <c r="L3885" s="12"/>
      <c r="M3885" s="11" t="s">
        <v>9034</v>
      </c>
      <c r="N3885" s="5" t="s">
        <v>17129</v>
      </c>
      <c r="O3885" s="5" t="s">
        <v>26</v>
      </c>
      <c r="P3885" s="15"/>
      <c r="Q3885" s="15"/>
      <c r="R3885" s="422"/>
      <c r="S3885" s="15"/>
      <c r="T3885" s="15"/>
      <c r="U3885" s="15"/>
      <c r="V3885" s="15"/>
      <c r="W3885" s="15"/>
      <c r="X3885" s="15"/>
      <c r="Y3885" s="15"/>
      <c r="Z3885" s="15"/>
      <c r="AA3885" s="15"/>
    </row>
    <row r="3886">
      <c r="A3886" s="5" t="s">
        <v>17095</v>
      </c>
      <c r="B3886" s="131" t="s">
        <v>17130</v>
      </c>
      <c r="C3886" s="40" t="s">
        <v>17131</v>
      </c>
      <c r="D3886" s="11"/>
      <c r="E3886" s="11" t="s">
        <v>1749</v>
      </c>
      <c r="F3886" s="90">
        <v>100.0</v>
      </c>
      <c r="G3886" s="321"/>
      <c r="H3886" s="11" t="s">
        <v>196</v>
      </c>
      <c r="I3886" s="276"/>
      <c r="J3886" s="11" t="s">
        <v>14170</v>
      </c>
      <c r="K3886" s="13"/>
      <c r="L3886" s="13"/>
      <c r="M3886" s="14"/>
      <c r="N3886" s="15"/>
      <c r="O3886" s="5" t="s">
        <v>14119</v>
      </c>
      <c r="P3886" s="15"/>
      <c r="Q3886" s="15"/>
      <c r="R3886" s="422"/>
      <c r="S3886" s="15"/>
      <c r="T3886" s="15"/>
      <c r="U3886" s="15"/>
      <c r="V3886" s="15"/>
      <c r="W3886" s="15"/>
      <c r="X3886" s="15"/>
      <c r="Y3886" s="15"/>
      <c r="Z3886" s="15"/>
      <c r="AA3886" s="15"/>
    </row>
    <row r="3887">
      <c r="A3887" s="5" t="s">
        <v>17095</v>
      </c>
      <c r="B3887" s="131" t="s">
        <v>17132</v>
      </c>
      <c r="C3887" s="40" t="s">
        <v>17133</v>
      </c>
      <c r="D3887" s="11"/>
      <c r="E3887" s="11" t="s">
        <v>53</v>
      </c>
      <c r="F3887" s="9">
        <v>10000.0</v>
      </c>
      <c r="G3887" s="321"/>
      <c r="H3887" s="11" t="s">
        <v>44</v>
      </c>
      <c r="I3887" s="423"/>
      <c r="J3887" s="14"/>
      <c r="K3887" s="13"/>
      <c r="L3887" s="13"/>
      <c r="M3887" s="14"/>
      <c r="N3887" s="15"/>
      <c r="O3887" s="5" t="s">
        <v>26</v>
      </c>
      <c r="P3887" s="15"/>
      <c r="Q3887" s="15"/>
      <c r="R3887" s="422"/>
      <c r="S3887" s="15"/>
      <c r="T3887" s="15"/>
      <c r="U3887" s="15"/>
      <c r="V3887" s="15"/>
      <c r="W3887" s="15"/>
      <c r="X3887" s="15"/>
      <c r="Y3887" s="15"/>
      <c r="Z3887" s="15"/>
      <c r="AA3887" s="15"/>
    </row>
    <row r="3888">
      <c r="A3888" s="5" t="s">
        <v>17095</v>
      </c>
      <c r="B3888" s="131" t="s">
        <v>17134</v>
      </c>
      <c r="C3888" s="40" t="s">
        <v>17135</v>
      </c>
      <c r="D3888" s="11"/>
      <c r="E3888" s="11" t="s">
        <v>17136</v>
      </c>
      <c r="F3888" s="90">
        <v>5000.0</v>
      </c>
      <c r="G3888" s="321"/>
      <c r="H3888" s="11" t="s">
        <v>99</v>
      </c>
      <c r="I3888" s="276"/>
      <c r="J3888" s="11" t="s">
        <v>4008</v>
      </c>
      <c r="K3888" s="13"/>
      <c r="L3888" s="13"/>
      <c r="M3888" s="14"/>
      <c r="N3888" s="15"/>
      <c r="O3888" s="5" t="s">
        <v>26</v>
      </c>
      <c r="P3888" s="15"/>
      <c r="Q3888" s="15"/>
      <c r="R3888" s="422"/>
      <c r="S3888" s="15"/>
      <c r="T3888" s="15"/>
      <c r="U3888" s="15"/>
      <c r="V3888" s="15"/>
      <c r="W3888" s="15"/>
      <c r="X3888" s="15"/>
      <c r="Y3888" s="15"/>
      <c r="Z3888" s="15"/>
      <c r="AA3888" s="15"/>
    </row>
    <row r="3889">
      <c r="A3889" s="5" t="s">
        <v>17095</v>
      </c>
      <c r="B3889" s="131" t="s">
        <v>17137</v>
      </c>
      <c r="C3889" s="40" t="s">
        <v>17138</v>
      </c>
      <c r="D3889" s="11"/>
      <c r="E3889" s="11" t="s">
        <v>257</v>
      </c>
      <c r="F3889" s="9">
        <v>10000.0</v>
      </c>
      <c r="G3889" s="321"/>
      <c r="H3889" s="11" t="s">
        <v>2478</v>
      </c>
      <c r="I3889" s="423"/>
      <c r="J3889" s="14"/>
      <c r="K3889" s="13"/>
      <c r="L3889" s="13"/>
      <c r="M3889" s="14"/>
      <c r="N3889" s="15"/>
      <c r="O3889" s="5" t="s">
        <v>26</v>
      </c>
      <c r="P3889" s="15"/>
      <c r="Q3889" s="15"/>
      <c r="R3889" s="422"/>
      <c r="S3889" s="15"/>
      <c r="T3889" s="15"/>
      <c r="U3889" s="15"/>
      <c r="V3889" s="15"/>
      <c r="W3889" s="15"/>
      <c r="X3889" s="15"/>
      <c r="Y3889" s="15"/>
      <c r="Z3889" s="15"/>
      <c r="AA3889" s="15"/>
    </row>
    <row r="3890">
      <c r="A3890" s="5" t="s">
        <v>17095</v>
      </c>
      <c r="B3890" s="131" t="s">
        <v>17139</v>
      </c>
      <c r="C3890" s="40" t="s">
        <v>17140</v>
      </c>
      <c r="D3890" s="11"/>
      <c r="E3890" s="11" t="s">
        <v>5102</v>
      </c>
      <c r="F3890" s="9">
        <v>100000.0</v>
      </c>
      <c r="G3890" s="321"/>
      <c r="H3890" s="11" t="s">
        <v>17141</v>
      </c>
      <c r="I3890" s="423"/>
      <c r="J3890" s="14"/>
      <c r="K3890" s="13"/>
      <c r="L3890" s="13"/>
      <c r="M3890" s="14"/>
      <c r="N3890" s="15"/>
      <c r="O3890" s="5" t="s">
        <v>26</v>
      </c>
      <c r="P3890" s="15"/>
      <c r="Q3890" s="15"/>
      <c r="R3890" s="422"/>
      <c r="S3890" s="15"/>
      <c r="T3890" s="15"/>
      <c r="U3890" s="15"/>
      <c r="V3890" s="15"/>
      <c r="W3890" s="15"/>
      <c r="X3890" s="15"/>
      <c r="Y3890" s="15"/>
      <c r="Z3890" s="15"/>
      <c r="AA3890" s="15"/>
    </row>
    <row r="3891">
      <c r="A3891" s="5" t="s">
        <v>17095</v>
      </c>
      <c r="B3891" s="131" t="s">
        <v>17142</v>
      </c>
      <c r="C3891" s="40" t="s">
        <v>17143</v>
      </c>
      <c r="D3891" s="11"/>
      <c r="E3891" s="11" t="s">
        <v>77</v>
      </c>
      <c r="F3891" s="90">
        <v>5000.0</v>
      </c>
      <c r="G3891" s="321"/>
      <c r="H3891" s="11" t="s">
        <v>44</v>
      </c>
      <c r="I3891" s="423"/>
      <c r="J3891" s="14"/>
      <c r="K3891" s="13"/>
      <c r="L3891" s="13"/>
      <c r="M3891" s="14"/>
      <c r="N3891" s="15"/>
      <c r="O3891" s="5" t="s">
        <v>26</v>
      </c>
      <c r="P3891" s="15"/>
      <c r="Q3891" s="15"/>
      <c r="R3891" s="422"/>
      <c r="S3891" s="15"/>
      <c r="T3891" s="15"/>
      <c r="U3891" s="15"/>
      <c r="V3891" s="15"/>
      <c r="W3891" s="15"/>
      <c r="X3891" s="15"/>
      <c r="Y3891" s="15"/>
      <c r="Z3891" s="15"/>
      <c r="AA3891" s="15"/>
    </row>
    <row r="3892">
      <c r="A3892" s="5" t="s">
        <v>17095</v>
      </c>
      <c r="B3892" s="131" t="s">
        <v>17144</v>
      </c>
      <c r="C3892" s="40" t="s">
        <v>17145</v>
      </c>
      <c r="D3892" s="11"/>
      <c r="E3892" s="11" t="s">
        <v>17146</v>
      </c>
      <c r="F3892" s="90" t="s">
        <v>17147</v>
      </c>
      <c r="G3892" s="321"/>
      <c r="H3892" s="11" t="s">
        <v>17148</v>
      </c>
      <c r="I3892" s="423"/>
      <c r="J3892" s="14"/>
      <c r="K3892" s="13"/>
      <c r="L3892" s="13"/>
      <c r="M3892" s="14"/>
      <c r="N3892" s="15"/>
      <c r="O3892" s="5" t="s">
        <v>14119</v>
      </c>
      <c r="P3892" s="15"/>
      <c r="Q3892" s="15"/>
      <c r="R3892" s="422"/>
      <c r="S3892" s="15"/>
      <c r="T3892" s="15"/>
      <c r="U3892" s="15"/>
      <c r="V3892" s="15"/>
      <c r="W3892" s="15"/>
      <c r="X3892" s="15"/>
      <c r="Y3892" s="15"/>
      <c r="Z3892" s="15"/>
      <c r="AA3892" s="15"/>
    </row>
    <row r="3893">
      <c r="A3893" s="5" t="s">
        <v>17149</v>
      </c>
      <c r="B3893" s="131" t="s">
        <v>17150</v>
      </c>
      <c r="C3893" s="40" t="s">
        <v>16185</v>
      </c>
      <c r="D3893" s="11"/>
      <c r="E3893" s="11" t="s">
        <v>17151</v>
      </c>
      <c r="F3893" s="90">
        <v>5000.0</v>
      </c>
      <c r="G3893" s="321"/>
      <c r="H3893" s="11" t="s">
        <v>16186</v>
      </c>
      <c r="I3893" s="276"/>
      <c r="J3893" s="11" t="s">
        <v>4008</v>
      </c>
      <c r="K3893" s="13"/>
      <c r="L3893" s="13"/>
      <c r="M3893" s="14"/>
      <c r="N3893" s="15"/>
      <c r="O3893" s="5" t="s">
        <v>26</v>
      </c>
      <c r="P3893" s="15"/>
      <c r="Q3893" s="15"/>
      <c r="R3893" s="422"/>
      <c r="S3893" s="15"/>
      <c r="T3893" s="15"/>
      <c r="U3893" s="15"/>
      <c r="V3893" s="15"/>
      <c r="W3893" s="15"/>
      <c r="X3893" s="15"/>
      <c r="Y3893" s="15"/>
      <c r="Z3893" s="15"/>
      <c r="AA3893" s="15"/>
    </row>
    <row r="3894">
      <c r="A3894" s="5" t="s">
        <v>17149</v>
      </c>
      <c r="B3894" s="131" t="s">
        <v>17152</v>
      </c>
      <c r="C3894" s="40" t="s">
        <v>17153</v>
      </c>
      <c r="D3894" s="11"/>
      <c r="E3894" s="11" t="s">
        <v>116</v>
      </c>
      <c r="F3894" s="90">
        <v>100.0</v>
      </c>
      <c r="G3894" s="321"/>
      <c r="H3894" s="11" t="s">
        <v>2682</v>
      </c>
      <c r="I3894" s="276"/>
      <c r="J3894" s="11" t="s">
        <v>25</v>
      </c>
      <c r="K3894" s="12"/>
      <c r="L3894" s="12"/>
      <c r="M3894" s="11" t="s">
        <v>17154</v>
      </c>
      <c r="N3894" s="5" t="s">
        <v>17155</v>
      </c>
      <c r="O3894" s="5" t="s">
        <v>26</v>
      </c>
      <c r="P3894" s="15"/>
      <c r="Q3894" s="15"/>
      <c r="R3894" s="422"/>
      <c r="S3894" s="15"/>
      <c r="T3894" s="15"/>
      <c r="U3894" s="15"/>
      <c r="V3894" s="15"/>
      <c r="W3894" s="15"/>
      <c r="X3894" s="15"/>
      <c r="Y3894" s="15"/>
      <c r="Z3894" s="15"/>
      <c r="AA3894" s="15"/>
    </row>
    <row r="3895">
      <c r="A3895" s="5" t="s">
        <v>17149</v>
      </c>
      <c r="B3895" s="131" t="s">
        <v>17156</v>
      </c>
      <c r="C3895" s="40" t="s">
        <v>17157</v>
      </c>
      <c r="D3895" s="11"/>
      <c r="E3895" s="11" t="s">
        <v>841</v>
      </c>
      <c r="F3895" s="90">
        <v>500.0</v>
      </c>
      <c r="G3895" s="321"/>
      <c r="H3895" s="11" t="s">
        <v>906</v>
      </c>
      <c r="I3895" s="423"/>
      <c r="J3895" s="14"/>
      <c r="K3895" s="12"/>
      <c r="L3895" s="12"/>
      <c r="M3895" s="11" t="s">
        <v>15179</v>
      </c>
      <c r="N3895" s="5" t="s">
        <v>17158</v>
      </c>
      <c r="O3895" s="5" t="s">
        <v>108</v>
      </c>
      <c r="P3895" s="15"/>
      <c r="Q3895" s="15"/>
      <c r="R3895" s="422"/>
      <c r="S3895" s="15"/>
      <c r="T3895" s="15"/>
      <c r="U3895" s="15"/>
      <c r="V3895" s="15"/>
      <c r="W3895" s="15"/>
      <c r="X3895" s="15"/>
      <c r="Y3895" s="15"/>
      <c r="Z3895" s="15"/>
      <c r="AA3895" s="15"/>
    </row>
    <row r="3896">
      <c r="A3896" s="5" t="s">
        <v>17149</v>
      </c>
      <c r="B3896" s="131" t="s">
        <v>17159</v>
      </c>
      <c r="C3896" s="40" t="s">
        <v>17160</v>
      </c>
      <c r="D3896" s="11"/>
      <c r="E3896" s="11" t="s">
        <v>147</v>
      </c>
      <c r="F3896" s="90">
        <v>100.0</v>
      </c>
      <c r="G3896" s="321"/>
      <c r="H3896" s="11" t="s">
        <v>1006</v>
      </c>
      <c r="I3896" s="423"/>
      <c r="J3896" s="14"/>
      <c r="K3896" s="13"/>
      <c r="L3896" s="13"/>
      <c r="M3896" s="14"/>
      <c r="N3896" s="15"/>
      <c r="O3896" s="5" t="s">
        <v>14119</v>
      </c>
      <c r="P3896" s="15"/>
      <c r="Q3896" s="15"/>
      <c r="R3896" s="422"/>
      <c r="S3896" s="15"/>
      <c r="T3896" s="15"/>
      <c r="U3896" s="15"/>
      <c r="V3896" s="15"/>
      <c r="W3896" s="15"/>
      <c r="X3896" s="15"/>
      <c r="Y3896" s="15"/>
      <c r="Z3896" s="15"/>
      <c r="AA3896" s="15"/>
    </row>
    <row r="3897">
      <c r="A3897" s="5" t="s">
        <v>17149</v>
      </c>
      <c r="B3897" s="131" t="s">
        <v>17161</v>
      </c>
      <c r="C3897" s="40" t="s">
        <v>15427</v>
      </c>
      <c r="D3897" s="11"/>
      <c r="E3897" s="11" t="s">
        <v>17162</v>
      </c>
      <c r="F3897" s="90">
        <v>500.0</v>
      </c>
      <c r="G3897" s="321"/>
      <c r="H3897" s="11" t="s">
        <v>44</v>
      </c>
      <c r="I3897" s="423"/>
      <c r="J3897" s="14"/>
      <c r="K3897" s="13"/>
      <c r="L3897" s="13"/>
      <c r="M3897" s="14"/>
      <c r="N3897" s="15"/>
      <c r="O3897" s="5" t="s">
        <v>26</v>
      </c>
      <c r="P3897" s="15"/>
      <c r="Q3897" s="15"/>
      <c r="R3897" s="422"/>
      <c r="S3897" s="15"/>
      <c r="T3897" s="15"/>
      <c r="U3897" s="15"/>
      <c r="V3897" s="15"/>
      <c r="W3897" s="15"/>
      <c r="X3897" s="15"/>
      <c r="Y3897" s="15"/>
      <c r="Z3897" s="15"/>
      <c r="AA3897" s="15"/>
    </row>
    <row r="3898">
      <c r="A3898" s="5" t="s">
        <v>17149</v>
      </c>
      <c r="B3898" s="131" t="s">
        <v>17163</v>
      </c>
      <c r="C3898" s="40" t="s">
        <v>17164</v>
      </c>
      <c r="D3898" s="11"/>
      <c r="E3898" s="11" t="s">
        <v>152</v>
      </c>
      <c r="F3898" s="9">
        <v>100000.0</v>
      </c>
      <c r="G3898" s="321"/>
      <c r="H3898" s="11" t="s">
        <v>1445</v>
      </c>
      <c r="I3898" s="423"/>
      <c r="J3898" s="14"/>
      <c r="K3898" s="12"/>
      <c r="L3898" s="12"/>
      <c r="M3898" s="11" t="s">
        <v>7718</v>
      </c>
      <c r="N3898" s="5" t="s">
        <v>17165</v>
      </c>
      <c r="O3898" s="5" t="s">
        <v>108</v>
      </c>
      <c r="P3898" s="15"/>
      <c r="Q3898" s="15"/>
      <c r="R3898" s="422"/>
      <c r="S3898" s="15"/>
      <c r="T3898" s="15"/>
      <c r="U3898" s="15"/>
      <c r="V3898" s="15"/>
      <c r="W3898" s="15"/>
      <c r="X3898" s="15"/>
      <c r="Y3898" s="15"/>
      <c r="Z3898" s="15"/>
      <c r="AA3898" s="15"/>
    </row>
    <row r="3899">
      <c r="A3899" s="5" t="s">
        <v>17149</v>
      </c>
      <c r="B3899" s="131" t="s">
        <v>17166</v>
      </c>
      <c r="C3899" s="40" t="s">
        <v>17167</v>
      </c>
      <c r="D3899" s="11"/>
      <c r="E3899" s="11" t="s">
        <v>17168</v>
      </c>
      <c r="F3899" s="90">
        <v>1000.0</v>
      </c>
      <c r="G3899" s="321"/>
      <c r="H3899" s="11" t="s">
        <v>822</v>
      </c>
      <c r="I3899" s="276"/>
      <c r="J3899" s="11" t="s">
        <v>25</v>
      </c>
      <c r="K3899" s="12"/>
      <c r="L3899" s="12"/>
      <c r="M3899" s="11" t="s">
        <v>17169</v>
      </c>
      <c r="N3899" s="5" t="s">
        <v>17170</v>
      </c>
      <c r="O3899" s="5" t="s">
        <v>26</v>
      </c>
      <c r="P3899" s="15"/>
      <c r="Q3899" s="15"/>
      <c r="R3899" s="422"/>
      <c r="S3899" s="15"/>
      <c r="T3899" s="15"/>
      <c r="U3899" s="15"/>
      <c r="V3899" s="15"/>
      <c r="W3899" s="15"/>
      <c r="X3899" s="15"/>
      <c r="Y3899" s="15"/>
      <c r="Z3899" s="15"/>
      <c r="AA3899" s="15"/>
    </row>
    <row r="3900">
      <c r="A3900" s="5" t="s">
        <v>17149</v>
      </c>
      <c r="B3900" s="131" t="s">
        <v>17171</v>
      </c>
      <c r="C3900" s="40" t="s">
        <v>17172</v>
      </c>
      <c r="D3900" s="11"/>
      <c r="E3900" s="11" t="s">
        <v>444</v>
      </c>
      <c r="F3900" s="90">
        <v>200.0</v>
      </c>
      <c r="G3900" s="321"/>
      <c r="H3900" s="11" t="s">
        <v>184</v>
      </c>
      <c r="I3900" s="423"/>
      <c r="J3900" s="14"/>
      <c r="K3900" s="12"/>
      <c r="L3900" s="12"/>
      <c r="M3900" s="11" t="s">
        <v>9587</v>
      </c>
      <c r="N3900" s="5" t="s">
        <v>17173</v>
      </c>
      <c r="O3900" s="5" t="s">
        <v>14119</v>
      </c>
      <c r="P3900" s="15"/>
      <c r="Q3900" s="15"/>
      <c r="R3900" s="422"/>
      <c r="S3900" s="15"/>
      <c r="T3900" s="15"/>
      <c r="U3900" s="15"/>
      <c r="V3900" s="15"/>
      <c r="W3900" s="15"/>
      <c r="X3900" s="15"/>
      <c r="Y3900" s="15"/>
      <c r="Z3900" s="15"/>
      <c r="AA3900" s="15"/>
    </row>
    <row r="3901">
      <c r="A3901" s="5" t="s">
        <v>17149</v>
      </c>
      <c r="B3901" s="131" t="s">
        <v>17174</v>
      </c>
      <c r="C3901" s="40" t="s">
        <v>17175</v>
      </c>
      <c r="D3901" s="11"/>
      <c r="E3901" s="11" t="s">
        <v>718</v>
      </c>
      <c r="F3901" s="9">
        <v>20000.0</v>
      </c>
      <c r="G3901" s="321"/>
      <c r="H3901" s="11" t="s">
        <v>44</v>
      </c>
      <c r="I3901" s="276"/>
      <c r="J3901" s="11" t="s">
        <v>25</v>
      </c>
      <c r="K3901" s="13"/>
      <c r="L3901" s="13"/>
      <c r="M3901" s="14"/>
      <c r="N3901" s="15"/>
      <c r="O3901" s="5" t="s">
        <v>26</v>
      </c>
      <c r="P3901" s="15"/>
      <c r="Q3901" s="15"/>
      <c r="R3901" s="422"/>
      <c r="S3901" s="15"/>
      <c r="T3901" s="15"/>
      <c r="U3901" s="15"/>
      <c r="V3901" s="15"/>
      <c r="W3901" s="15"/>
      <c r="X3901" s="15"/>
      <c r="Y3901" s="15"/>
      <c r="Z3901" s="15"/>
      <c r="AA3901" s="15"/>
    </row>
    <row r="3902">
      <c r="A3902" s="5" t="s">
        <v>17149</v>
      </c>
      <c r="B3902" s="131" t="s">
        <v>17176</v>
      </c>
      <c r="C3902" s="40" t="s">
        <v>17177</v>
      </c>
      <c r="D3902" s="11"/>
      <c r="E3902" s="11" t="s">
        <v>17178</v>
      </c>
      <c r="F3902" s="9">
        <v>300000.0</v>
      </c>
      <c r="G3902" s="321"/>
      <c r="H3902" s="11" t="s">
        <v>3167</v>
      </c>
      <c r="I3902" s="423"/>
      <c r="J3902" s="14"/>
      <c r="K3902" s="13"/>
      <c r="L3902" s="13"/>
      <c r="M3902" s="14"/>
      <c r="N3902" s="15"/>
      <c r="O3902" s="5" t="s">
        <v>14409</v>
      </c>
      <c r="P3902" s="15"/>
      <c r="Q3902" s="15"/>
      <c r="R3902" s="422"/>
      <c r="S3902" s="15"/>
      <c r="T3902" s="15"/>
      <c r="U3902" s="15"/>
      <c r="V3902" s="15"/>
      <c r="W3902" s="15"/>
      <c r="X3902" s="15"/>
      <c r="Y3902" s="15"/>
      <c r="Z3902" s="15"/>
      <c r="AA3902" s="15"/>
    </row>
    <row r="3903">
      <c r="A3903" s="5" t="s">
        <v>17149</v>
      </c>
      <c r="B3903" s="131" t="s">
        <v>17179</v>
      </c>
      <c r="C3903" s="40" t="s">
        <v>17180</v>
      </c>
      <c r="D3903" s="11"/>
      <c r="E3903" s="11" t="s">
        <v>1550</v>
      </c>
      <c r="F3903" s="90">
        <v>50.0</v>
      </c>
      <c r="G3903" s="321"/>
      <c r="H3903" s="11" t="s">
        <v>44</v>
      </c>
      <c r="I3903" s="276"/>
      <c r="J3903" s="11" t="s">
        <v>25</v>
      </c>
      <c r="K3903" s="13"/>
      <c r="L3903" s="13"/>
      <c r="M3903" s="14"/>
      <c r="N3903" s="15"/>
      <c r="O3903" s="5" t="s">
        <v>14119</v>
      </c>
      <c r="P3903" s="15"/>
      <c r="Q3903" s="15"/>
      <c r="R3903" s="422"/>
      <c r="S3903" s="15"/>
      <c r="T3903" s="15"/>
      <c r="U3903" s="15"/>
      <c r="V3903" s="15"/>
      <c r="W3903" s="15"/>
      <c r="X3903" s="15"/>
      <c r="Y3903" s="15"/>
      <c r="Z3903" s="15"/>
      <c r="AA3903" s="15"/>
    </row>
    <row r="3904">
      <c r="A3904" s="5" t="s">
        <v>17149</v>
      </c>
      <c r="B3904" s="131" t="s">
        <v>17181</v>
      </c>
      <c r="C3904" s="40" t="s">
        <v>17182</v>
      </c>
      <c r="D3904" s="11"/>
      <c r="E3904" s="11" t="s">
        <v>97</v>
      </c>
      <c r="F3904" s="9">
        <v>200000.0</v>
      </c>
      <c r="G3904" s="321"/>
      <c r="H3904" s="11" t="s">
        <v>17183</v>
      </c>
      <c r="I3904" s="423"/>
      <c r="J3904" s="14"/>
      <c r="K3904" s="13"/>
      <c r="L3904" s="13"/>
      <c r="M3904" s="14"/>
      <c r="N3904" s="15"/>
      <c r="O3904" s="5" t="s">
        <v>26</v>
      </c>
      <c r="P3904" s="15"/>
      <c r="Q3904" s="15"/>
      <c r="R3904" s="422"/>
      <c r="S3904" s="15"/>
      <c r="T3904" s="15"/>
      <c r="U3904" s="15"/>
      <c r="V3904" s="15"/>
      <c r="W3904" s="15"/>
      <c r="X3904" s="15"/>
      <c r="Y3904" s="15"/>
      <c r="Z3904" s="15"/>
      <c r="AA3904" s="15"/>
    </row>
    <row r="3905">
      <c r="A3905" s="5" t="s">
        <v>17149</v>
      </c>
      <c r="B3905" s="131" t="s">
        <v>17184</v>
      </c>
      <c r="C3905" s="40" t="s">
        <v>17185</v>
      </c>
      <c r="D3905" s="11"/>
      <c r="E3905" s="11" t="s">
        <v>17186</v>
      </c>
      <c r="F3905" s="9">
        <v>30000.0</v>
      </c>
      <c r="G3905" s="321"/>
      <c r="H3905" s="11" t="s">
        <v>11615</v>
      </c>
      <c r="I3905" s="423"/>
      <c r="J3905" s="14"/>
      <c r="K3905" s="13"/>
      <c r="L3905" s="13"/>
      <c r="M3905" s="14"/>
      <c r="N3905" s="15"/>
      <c r="O3905" s="5" t="s">
        <v>26</v>
      </c>
      <c r="P3905" s="15"/>
      <c r="Q3905" s="15"/>
      <c r="R3905" s="422"/>
      <c r="S3905" s="15"/>
      <c r="T3905" s="15"/>
      <c r="U3905" s="15"/>
      <c r="V3905" s="15"/>
      <c r="W3905" s="15"/>
      <c r="X3905" s="15"/>
      <c r="Y3905" s="15"/>
      <c r="Z3905" s="15"/>
      <c r="AA3905" s="15"/>
    </row>
    <row r="3906">
      <c r="A3906" s="5" t="s">
        <v>17149</v>
      </c>
      <c r="B3906" s="131" t="s">
        <v>17187</v>
      </c>
      <c r="C3906" s="40" t="s">
        <v>17188</v>
      </c>
      <c r="D3906" s="11"/>
      <c r="E3906" s="11" t="s">
        <v>17189</v>
      </c>
      <c r="F3906" s="90">
        <v>300.0</v>
      </c>
      <c r="G3906" s="321"/>
      <c r="H3906" s="11" t="s">
        <v>44</v>
      </c>
      <c r="I3906" s="423"/>
      <c r="J3906" s="14"/>
      <c r="K3906" s="13"/>
      <c r="L3906" s="13"/>
      <c r="M3906" s="14"/>
      <c r="N3906" s="15"/>
      <c r="O3906" s="5" t="s">
        <v>26</v>
      </c>
      <c r="P3906" s="15"/>
      <c r="Q3906" s="15"/>
      <c r="R3906" s="422"/>
      <c r="S3906" s="15"/>
      <c r="T3906" s="15"/>
      <c r="U3906" s="15"/>
      <c r="V3906" s="15"/>
      <c r="W3906" s="15"/>
      <c r="X3906" s="15"/>
      <c r="Y3906" s="15"/>
      <c r="Z3906" s="15"/>
      <c r="AA3906" s="15"/>
    </row>
    <row r="3907">
      <c r="A3907" s="5" t="s">
        <v>17149</v>
      </c>
      <c r="B3907" s="131" t="s">
        <v>17190</v>
      </c>
      <c r="C3907" s="40" t="s">
        <v>17191</v>
      </c>
      <c r="D3907" s="11"/>
      <c r="E3907" s="11" t="s">
        <v>17192</v>
      </c>
      <c r="F3907" s="90">
        <v>5000.0</v>
      </c>
      <c r="G3907" s="321"/>
      <c r="H3907" s="11" t="s">
        <v>17193</v>
      </c>
      <c r="I3907" s="423"/>
      <c r="J3907" s="14"/>
      <c r="K3907" s="12"/>
      <c r="L3907" s="12"/>
      <c r="M3907" s="11" t="s">
        <v>9901</v>
      </c>
      <c r="N3907" s="5" t="s">
        <v>17194</v>
      </c>
      <c r="O3907" s="5" t="s">
        <v>108</v>
      </c>
      <c r="P3907" s="15"/>
      <c r="Q3907" s="15"/>
      <c r="R3907" s="422"/>
      <c r="S3907" s="15"/>
      <c r="T3907" s="15"/>
      <c r="U3907" s="15"/>
      <c r="V3907" s="15"/>
      <c r="W3907" s="15"/>
      <c r="X3907" s="15"/>
      <c r="Y3907" s="15"/>
      <c r="Z3907" s="15"/>
      <c r="AA3907" s="15"/>
    </row>
    <row r="3908">
      <c r="A3908" s="5" t="s">
        <v>17149</v>
      </c>
      <c r="B3908" s="131" t="s">
        <v>17195</v>
      </c>
      <c r="C3908" s="40" t="s">
        <v>17196</v>
      </c>
      <c r="D3908" s="11"/>
      <c r="E3908" s="11" t="s">
        <v>841</v>
      </c>
      <c r="F3908" s="90">
        <v>3000.0</v>
      </c>
      <c r="G3908" s="321"/>
      <c r="H3908" s="11" t="s">
        <v>44</v>
      </c>
      <c r="I3908" s="276"/>
      <c r="J3908" s="11" t="s">
        <v>25</v>
      </c>
      <c r="K3908" s="12"/>
      <c r="L3908" s="12"/>
      <c r="M3908" s="11" t="s">
        <v>7965</v>
      </c>
      <c r="N3908" s="5" t="s">
        <v>17197</v>
      </c>
      <c r="O3908" s="5" t="s">
        <v>26</v>
      </c>
      <c r="P3908" s="15"/>
      <c r="Q3908" s="15"/>
      <c r="R3908" s="422"/>
      <c r="S3908" s="15"/>
      <c r="T3908" s="15"/>
      <c r="U3908" s="15"/>
      <c r="V3908" s="15"/>
      <c r="W3908" s="15"/>
      <c r="X3908" s="15"/>
      <c r="Y3908" s="15"/>
      <c r="Z3908" s="15"/>
      <c r="AA3908" s="15"/>
    </row>
    <row r="3909">
      <c r="A3909" s="5" t="s">
        <v>17149</v>
      </c>
      <c r="B3909" s="131" t="s">
        <v>17198</v>
      </c>
      <c r="C3909" s="40" t="s">
        <v>17199</v>
      </c>
      <c r="D3909" s="11"/>
      <c r="E3909" s="11" t="s">
        <v>17200</v>
      </c>
      <c r="F3909" s="90">
        <v>50.0</v>
      </c>
      <c r="G3909" s="321"/>
      <c r="H3909" s="11" t="s">
        <v>44</v>
      </c>
      <c r="I3909" s="423"/>
      <c r="J3909" s="14"/>
      <c r="K3909" s="13"/>
      <c r="L3909" s="13"/>
      <c r="M3909" s="14"/>
      <c r="N3909" s="15"/>
      <c r="O3909" s="5" t="s">
        <v>14119</v>
      </c>
      <c r="P3909" s="15"/>
      <c r="Q3909" s="15"/>
      <c r="R3909" s="422"/>
      <c r="S3909" s="15"/>
      <c r="T3909" s="15"/>
      <c r="U3909" s="15"/>
      <c r="V3909" s="15"/>
      <c r="W3909" s="15"/>
      <c r="X3909" s="15"/>
      <c r="Y3909" s="15"/>
      <c r="Z3909" s="15"/>
      <c r="AA3909" s="15"/>
    </row>
    <row r="3910">
      <c r="A3910" s="5" t="s">
        <v>17201</v>
      </c>
      <c r="B3910" s="131" t="s">
        <v>17202</v>
      </c>
      <c r="C3910" s="40" t="s">
        <v>17203</v>
      </c>
      <c r="D3910" s="11"/>
      <c r="E3910" s="11" t="s">
        <v>8247</v>
      </c>
      <c r="F3910" s="90">
        <v>1000.0</v>
      </c>
      <c r="G3910" s="321"/>
      <c r="H3910" s="11" t="s">
        <v>184</v>
      </c>
      <c r="I3910" s="423"/>
      <c r="J3910" s="14"/>
      <c r="K3910" s="13"/>
      <c r="L3910" s="13"/>
      <c r="M3910" s="14"/>
      <c r="N3910" s="15"/>
      <c r="O3910" s="5" t="s">
        <v>26</v>
      </c>
      <c r="P3910" s="15"/>
      <c r="Q3910" s="15"/>
      <c r="R3910" s="422"/>
      <c r="S3910" s="15"/>
      <c r="T3910" s="15"/>
      <c r="U3910" s="15"/>
      <c r="V3910" s="15"/>
      <c r="W3910" s="15"/>
      <c r="X3910" s="15"/>
      <c r="Y3910" s="15"/>
      <c r="Z3910" s="15"/>
      <c r="AA3910" s="15"/>
    </row>
    <row r="3911">
      <c r="A3911" s="5" t="s">
        <v>17201</v>
      </c>
      <c r="B3911" s="131" t="s">
        <v>17204</v>
      </c>
      <c r="C3911" s="40" t="s">
        <v>17205</v>
      </c>
      <c r="D3911" s="11"/>
      <c r="E3911" s="11" t="s">
        <v>116</v>
      </c>
      <c r="F3911" s="90">
        <v>100.0</v>
      </c>
      <c r="G3911" s="321"/>
      <c r="H3911" s="11" t="s">
        <v>2662</v>
      </c>
      <c r="I3911" s="276"/>
      <c r="J3911" s="11" t="s">
        <v>25</v>
      </c>
      <c r="K3911" s="13"/>
      <c r="L3911" s="13"/>
      <c r="M3911" s="14"/>
      <c r="N3911" s="15"/>
      <c r="O3911" s="5" t="s">
        <v>14119</v>
      </c>
      <c r="P3911" s="15"/>
      <c r="Q3911" s="15"/>
      <c r="R3911" s="422"/>
      <c r="S3911" s="15"/>
      <c r="T3911" s="15"/>
      <c r="U3911" s="15"/>
      <c r="V3911" s="15"/>
      <c r="W3911" s="15"/>
      <c r="X3911" s="15"/>
      <c r="Y3911" s="15"/>
      <c r="Z3911" s="15"/>
      <c r="AA3911" s="15"/>
    </row>
    <row r="3912">
      <c r="A3912" s="5" t="s">
        <v>17201</v>
      </c>
      <c r="B3912" s="131" t="s">
        <v>17206</v>
      </c>
      <c r="C3912" s="40" t="s">
        <v>2880</v>
      </c>
      <c r="D3912" s="11"/>
      <c r="E3912" s="11" t="s">
        <v>539</v>
      </c>
      <c r="F3912" s="9">
        <v>15000.0</v>
      </c>
      <c r="G3912" s="321"/>
      <c r="H3912" s="11" t="s">
        <v>1414</v>
      </c>
      <c r="I3912" s="423"/>
      <c r="J3912" s="14"/>
      <c r="K3912" s="12"/>
      <c r="L3912" s="12"/>
      <c r="M3912" s="11" t="s">
        <v>10342</v>
      </c>
      <c r="N3912" s="5" t="s">
        <v>17207</v>
      </c>
      <c r="O3912" s="5" t="s">
        <v>26</v>
      </c>
      <c r="P3912" s="15"/>
      <c r="Q3912" s="15"/>
      <c r="R3912" s="422"/>
      <c r="S3912" s="15"/>
      <c r="T3912" s="15"/>
      <c r="U3912" s="15"/>
      <c r="V3912" s="15"/>
      <c r="W3912" s="15"/>
      <c r="X3912" s="15"/>
      <c r="Y3912" s="15"/>
      <c r="Z3912" s="15"/>
      <c r="AA3912" s="15"/>
    </row>
    <row r="3913">
      <c r="A3913" s="5" t="s">
        <v>17201</v>
      </c>
      <c r="B3913" s="131" t="s">
        <v>17208</v>
      </c>
      <c r="C3913" s="40" t="s">
        <v>17209</v>
      </c>
      <c r="D3913" s="11"/>
      <c r="E3913" s="11" t="s">
        <v>2402</v>
      </c>
      <c r="F3913" s="90">
        <v>200.0</v>
      </c>
      <c r="G3913" s="321"/>
      <c r="H3913" s="11" t="s">
        <v>17210</v>
      </c>
      <c r="I3913" s="276"/>
      <c r="J3913" s="11" t="s">
        <v>25</v>
      </c>
      <c r="K3913" s="12"/>
      <c r="L3913" s="12"/>
      <c r="M3913" s="11" t="s">
        <v>9719</v>
      </c>
      <c r="N3913" s="5" t="s">
        <v>17211</v>
      </c>
      <c r="O3913" s="5" t="s">
        <v>14119</v>
      </c>
      <c r="P3913" s="15"/>
      <c r="Q3913" s="15"/>
      <c r="R3913" s="422"/>
      <c r="S3913" s="15"/>
      <c r="T3913" s="15"/>
      <c r="U3913" s="15"/>
      <c r="V3913" s="15"/>
      <c r="W3913" s="15"/>
      <c r="X3913" s="15"/>
      <c r="Y3913" s="15"/>
      <c r="Z3913" s="15"/>
      <c r="AA3913" s="15"/>
    </row>
    <row r="3914">
      <c r="A3914" s="5" t="s">
        <v>17201</v>
      </c>
      <c r="B3914" s="131" t="s">
        <v>17212</v>
      </c>
      <c r="C3914" s="40" t="s">
        <v>16823</v>
      </c>
      <c r="D3914" s="11"/>
      <c r="E3914" s="11" t="s">
        <v>10501</v>
      </c>
      <c r="F3914" s="90">
        <v>100.0</v>
      </c>
      <c r="G3914" s="321"/>
      <c r="H3914" s="11" t="s">
        <v>17213</v>
      </c>
      <c r="I3914" s="423"/>
      <c r="J3914" s="14"/>
      <c r="K3914" s="12"/>
      <c r="L3914" s="12"/>
      <c r="M3914" s="11" t="s">
        <v>9298</v>
      </c>
      <c r="N3914" s="5" t="s">
        <v>17214</v>
      </c>
      <c r="O3914" s="5" t="s">
        <v>14119</v>
      </c>
      <c r="P3914" s="15"/>
      <c r="Q3914" s="15"/>
      <c r="R3914" s="422"/>
      <c r="S3914" s="15"/>
      <c r="T3914" s="15"/>
      <c r="U3914" s="15"/>
      <c r="V3914" s="15"/>
      <c r="W3914" s="15"/>
      <c r="X3914" s="15"/>
      <c r="Y3914" s="15"/>
      <c r="Z3914" s="15"/>
      <c r="AA3914" s="15"/>
    </row>
    <row r="3915">
      <c r="A3915" s="5" t="s">
        <v>17201</v>
      </c>
      <c r="B3915" s="131" t="s">
        <v>17215</v>
      </c>
      <c r="C3915" s="40" t="s">
        <v>17216</v>
      </c>
      <c r="D3915" s="11"/>
      <c r="E3915" s="11" t="s">
        <v>10404</v>
      </c>
      <c r="F3915" s="90">
        <v>100.0</v>
      </c>
      <c r="G3915" s="321"/>
      <c r="H3915" s="11" t="s">
        <v>1408</v>
      </c>
      <c r="I3915" s="423"/>
      <c r="J3915" s="14"/>
      <c r="K3915" s="12"/>
      <c r="L3915" s="12"/>
      <c r="M3915" s="11" t="s">
        <v>9587</v>
      </c>
      <c r="N3915" s="5" t="s">
        <v>17217</v>
      </c>
      <c r="O3915" s="5" t="s">
        <v>14119</v>
      </c>
      <c r="P3915" s="15"/>
      <c r="Q3915" s="15"/>
      <c r="R3915" s="422"/>
      <c r="S3915" s="15"/>
      <c r="T3915" s="15"/>
      <c r="U3915" s="15"/>
      <c r="V3915" s="15"/>
      <c r="W3915" s="15"/>
      <c r="X3915" s="15"/>
      <c r="Y3915" s="15"/>
      <c r="Z3915" s="15"/>
      <c r="AA3915" s="15"/>
    </row>
    <row r="3916">
      <c r="A3916" s="5" t="s">
        <v>17201</v>
      </c>
      <c r="B3916" s="131" t="s">
        <v>17218</v>
      </c>
      <c r="C3916" s="40" t="s">
        <v>17219</v>
      </c>
      <c r="D3916" s="11"/>
      <c r="E3916" s="11" t="s">
        <v>92</v>
      </c>
      <c r="F3916" s="90">
        <v>500.0</v>
      </c>
      <c r="G3916" s="321"/>
      <c r="H3916" s="11" t="s">
        <v>44</v>
      </c>
      <c r="I3916" s="423"/>
      <c r="J3916" s="14"/>
      <c r="K3916" s="12"/>
      <c r="L3916" s="12"/>
      <c r="M3916" s="11" t="s">
        <v>11016</v>
      </c>
      <c r="N3916" s="5" t="s">
        <v>17220</v>
      </c>
      <c r="O3916" s="5" t="s">
        <v>26</v>
      </c>
      <c r="P3916" s="15"/>
      <c r="Q3916" s="15"/>
      <c r="R3916" s="422"/>
      <c r="S3916" s="15"/>
      <c r="T3916" s="15"/>
      <c r="U3916" s="15"/>
      <c r="V3916" s="15"/>
      <c r="W3916" s="15"/>
      <c r="X3916" s="15"/>
      <c r="Y3916" s="15"/>
      <c r="Z3916" s="15"/>
      <c r="AA3916" s="15"/>
    </row>
    <row r="3917">
      <c r="A3917" s="5" t="s">
        <v>17201</v>
      </c>
      <c r="B3917" s="131" t="s">
        <v>17221</v>
      </c>
      <c r="C3917" s="40" t="s">
        <v>17222</v>
      </c>
      <c r="D3917" s="11"/>
      <c r="E3917" s="11" t="s">
        <v>412</v>
      </c>
      <c r="F3917" s="90">
        <v>5000.0</v>
      </c>
      <c r="G3917" s="321"/>
      <c r="H3917" s="11" t="s">
        <v>44</v>
      </c>
      <c r="I3917" s="423"/>
      <c r="J3917" s="14"/>
      <c r="K3917" s="12"/>
      <c r="L3917" s="12"/>
      <c r="M3917" s="11" t="s">
        <v>12955</v>
      </c>
      <c r="N3917" s="5" t="s">
        <v>17223</v>
      </c>
      <c r="O3917" s="5" t="s">
        <v>26</v>
      </c>
      <c r="P3917" s="15"/>
      <c r="Q3917" s="15"/>
      <c r="R3917" s="422"/>
      <c r="S3917" s="15"/>
      <c r="T3917" s="15"/>
      <c r="U3917" s="15"/>
      <c r="V3917" s="15"/>
      <c r="W3917" s="15"/>
      <c r="X3917" s="15"/>
      <c r="Y3917" s="15"/>
      <c r="Z3917" s="15"/>
      <c r="AA3917" s="15"/>
    </row>
    <row r="3918">
      <c r="A3918" s="5" t="s">
        <v>17201</v>
      </c>
      <c r="B3918" s="131" t="s">
        <v>17224</v>
      </c>
      <c r="C3918" s="40" t="s">
        <v>17225</v>
      </c>
      <c r="D3918" s="11"/>
      <c r="E3918" s="11" t="s">
        <v>794</v>
      </c>
      <c r="F3918" s="90">
        <v>1000.0</v>
      </c>
      <c r="G3918" s="321"/>
      <c r="H3918" s="11" t="s">
        <v>15165</v>
      </c>
      <c r="I3918" s="423"/>
      <c r="J3918" s="14"/>
      <c r="K3918" s="13"/>
      <c r="L3918" s="13"/>
      <c r="M3918" s="14"/>
      <c r="N3918" s="15"/>
      <c r="O3918" s="5" t="s">
        <v>26</v>
      </c>
      <c r="P3918" s="15"/>
      <c r="Q3918" s="15"/>
      <c r="R3918" s="422"/>
      <c r="S3918" s="15"/>
      <c r="T3918" s="15"/>
      <c r="U3918" s="15"/>
      <c r="V3918" s="15"/>
      <c r="W3918" s="15"/>
      <c r="X3918" s="15"/>
      <c r="Y3918" s="15"/>
      <c r="Z3918" s="15"/>
      <c r="AA3918" s="15"/>
    </row>
    <row r="3919">
      <c r="A3919" s="5" t="s">
        <v>17226</v>
      </c>
      <c r="B3919" s="131" t="s">
        <v>17227</v>
      </c>
      <c r="C3919" s="40" t="s">
        <v>17228</v>
      </c>
      <c r="D3919" s="11"/>
      <c r="E3919" s="11" t="s">
        <v>10622</v>
      </c>
      <c r="F3919" s="90">
        <v>300.0</v>
      </c>
      <c r="G3919" s="321"/>
      <c r="H3919" s="11" t="s">
        <v>519</v>
      </c>
      <c r="I3919" s="423"/>
      <c r="J3919" s="14"/>
      <c r="K3919" s="12"/>
      <c r="L3919" s="12"/>
      <c r="M3919" s="11" t="s">
        <v>12016</v>
      </c>
      <c r="N3919" s="5" t="s">
        <v>17229</v>
      </c>
      <c r="O3919" s="5" t="s">
        <v>14119</v>
      </c>
      <c r="P3919" s="15"/>
      <c r="Q3919" s="15"/>
      <c r="R3919" s="422"/>
      <c r="S3919" s="15"/>
      <c r="T3919" s="15"/>
      <c r="U3919" s="15"/>
      <c r="V3919" s="15"/>
      <c r="W3919" s="15"/>
      <c r="X3919" s="15"/>
      <c r="Y3919" s="15"/>
      <c r="Z3919" s="15"/>
      <c r="AA3919" s="15"/>
    </row>
    <row r="3920">
      <c r="A3920" s="5" t="s">
        <v>17226</v>
      </c>
      <c r="B3920" s="131" t="s">
        <v>17230</v>
      </c>
      <c r="C3920" s="40" t="s">
        <v>17231</v>
      </c>
      <c r="D3920" s="11"/>
      <c r="E3920" s="11" t="s">
        <v>38</v>
      </c>
      <c r="F3920" s="90">
        <v>1000.0</v>
      </c>
      <c r="G3920" s="321"/>
      <c r="H3920" s="11" t="s">
        <v>44</v>
      </c>
      <c r="I3920" s="276"/>
      <c r="J3920" s="11" t="s">
        <v>25</v>
      </c>
      <c r="K3920" s="12"/>
      <c r="L3920" s="12"/>
      <c r="M3920" s="11" t="s">
        <v>17232</v>
      </c>
      <c r="N3920" s="5" t="s">
        <v>17233</v>
      </c>
      <c r="O3920" s="5" t="s">
        <v>26</v>
      </c>
      <c r="P3920" s="15"/>
      <c r="Q3920" s="15"/>
      <c r="R3920" s="422"/>
      <c r="S3920" s="15"/>
      <c r="T3920" s="15"/>
      <c r="U3920" s="15"/>
      <c r="V3920" s="15"/>
      <c r="W3920" s="15"/>
      <c r="X3920" s="15"/>
      <c r="Y3920" s="15"/>
      <c r="Z3920" s="15"/>
      <c r="AA3920" s="15"/>
    </row>
    <row r="3921">
      <c r="A3921" s="5" t="s">
        <v>17226</v>
      </c>
      <c r="B3921" s="131" t="s">
        <v>17234</v>
      </c>
      <c r="C3921" s="40" t="s">
        <v>17235</v>
      </c>
      <c r="D3921" s="11"/>
      <c r="E3921" s="11" t="s">
        <v>4171</v>
      </c>
      <c r="F3921" s="90">
        <v>100.0</v>
      </c>
      <c r="G3921" s="321"/>
      <c r="H3921" s="11" t="s">
        <v>44</v>
      </c>
      <c r="I3921" s="423"/>
      <c r="J3921" s="14"/>
      <c r="K3921" s="12"/>
      <c r="L3921" s="12"/>
      <c r="M3921" s="11" t="s">
        <v>12825</v>
      </c>
      <c r="N3921" s="5" t="s">
        <v>17236</v>
      </c>
      <c r="O3921" s="5" t="s">
        <v>14119</v>
      </c>
      <c r="P3921" s="15"/>
      <c r="Q3921" s="15"/>
      <c r="R3921" s="422"/>
      <c r="S3921" s="15"/>
      <c r="T3921" s="15"/>
      <c r="U3921" s="15"/>
      <c r="V3921" s="15"/>
      <c r="W3921" s="15"/>
      <c r="X3921" s="15"/>
      <c r="Y3921" s="15"/>
      <c r="Z3921" s="15"/>
      <c r="AA3921" s="15"/>
    </row>
    <row r="3922">
      <c r="A3922" s="5" t="s">
        <v>17226</v>
      </c>
      <c r="B3922" s="131" t="s">
        <v>17237</v>
      </c>
      <c r="C3922" s="40" t="s">
        <v>17238</v>
      </c>
      <c r="D3922" s="11"/>
      <c r="E3922" s="11" t="s">
        <v>17239</v>
      </c>
      <c r="F3922" s="90">
        <v>100.0</v>
      </c>
      <c r="G3922" s="321"/>
      <c r="H3922" s="11" t="s">
        <v>184</v>
      </c>
      <c r="I3922" s="276"/>
      <c r="J3922" s="11" t="s">
        <v>25</v>
      </c>
      <c r="K3922" s="13"/>
      <c r="L3922" s="13"/>
      <c r="M3922" s="14"/>
      <c r="N3922" s="15"/>
      <c r="O3922" s="5" t="s">
        <v>14119</v>
      </c>
      <c r="P3922" s="15"/>
      <c r="Q3922" s="15"/>
      <c r="R3922" s="422"/>
      <c r="S3922" s="15"/>
      <c r="T3922" s="15"/>
      <c r="U3922" s="15"/>
      <c r="V3922" s="15"/>
      <c r="W3922" s="15"/>
      <c r="X3922" s="15"/>
      <c r="Y3922" s="15"/>
      <c r="Z3922" s="15"/>
      <c r="AA3922" s="15"/>
    </row>
    <row r="3923">
      <c r="A3923" s="5" t="s">
        <v>17226</v>
      </c>
      <c r="B3923" s="131" t="s">
        <v>17240</v>
      </c>
      <c r="C3923" s="40" t="s">
        <v>16368</v>
      </c>
      <c r="D3923" s="11"/>
      <c r="E3923" s="11" t="s">
        <v>3971</v>
      </c>
      <c r="F3923" s="90">
        <v>1000.0</v>
      </c>
      <c r="G3923" s="321"/>
      <c r="H3923" s="11" t="s">
        <v>44</v>
      </c>
      <c r="I3923" s="276"/>
      <c r="J3923" s="11" t="s">
        <v>4008</v>
      </c>
      <c r="K3923" s="13"/>
      <c r="L3923" s="13"/>
      <c r="M3923" s="14"/>
      <c r="N3923" s="15"/>
      <c r="O3923" s="5" t="s">
        <v>26</v>
      </c>
      <c r="P3923" s="15"/>
      <c r="Q3923" s="15"/>
      <c r="R3923" s="422"/>
      <c r="S3923" s="15"/>
      <c r="T3923" s="15"/>
      <c r="U3923" s="15"/>
      <c r="V3923" s="15"/>
      <c r="W3923" s="15"/>
      <c r="X3923" s="15"/>
      <c r="Y3923" s="15"/>
      <c r="Z3923" s="15"/>
      <c r="AA3923" s="15"/>
    </row>
    <row r="3924">
      <c r="A3924" s="5" t="s">
        <v>17226</v>
      </c>
      <c r="B3924" s="131" t="s">
        <v>17241</v>
      </c>
      <c r="C3924" s="40" t="s">
        <v>17242</v>
      </c>
      <c r="D3924" s="11"/>
      <c r="E3924" s="11" t="s">
        <v>207</v>
      </c>
      <c r="F3924" s="90">
        <v>5000.0</v>
      </c>
      <c r="G3924" s="321"/>
      <c r="H3924" s="11" t="s">
        <v>184</v>
      </c>
      <c r="I3924" s="423"/>
      <c r="J3924" s="14"/>
      <c r="K3924" s="12"/>
      <c r="L3924" s="12"/>
      <c r="M3924" s="11" t="s">
        <v>14458</v>
      </c>
      <c r="N3924" s="5" t="s">
        <v>17243</v>
      </c>
      <c r="O3924" s="5" t="s">
        <v>26</v>
      </c>
      <c r="P3924" s="15"/>
      <c r="Q3924" s="15"/>
      <c r="R3924" s="422"/>
      <c r="S3924" s="15"/>
      <c r="T3924" s="15"/>
      <c r="U3924" s="15"/>
      <c r="V3924" s="15"/>
      <c r="W3924" s="15"/>
      <c r="X3924" s="15"/>
      <c r="Y3924" s="15"/>
      <c r="Z3924" s="15"/>
      <c r="AA3924" s="15"/>
    </row>
    <row r="3925">
      <c r="A3925" s="5" t="s">
        <v>17226</v>
      </c>
      <c r="B3925" s="131" t="s">
        <v>17244</v>
      </c>
      <c r="C3925" s="40" t="s">
        <v>17245</v>
      </c>
      <c r="D3925" s="11"/>
      <c r="E3925" s="11" t="s">
        <v>10622</v>
      </c>
      <c r="F3925" s="90">
        <v>100.0</v>
      </c>
      <c r="G3925" s="321"/>
      <c r="H3925" s="11" t="s">
        <v>17246</v>
      </c>
      <c r="I3925" s="423"/>
      <c r="J3925" s="14"/>
      <c r="K3925" s="12"/>
      <c r="L3925" s="12"/>
      <c r="M3925" s="11" t="s">
        <v>17154</v>
      </c>
      <c r="N3925" s="5" t="s">
        <v>17247</v>
      </c>
      <c r="O3925" s="5" t="s">
        <v>14119</v>
      </c>
      <c r="P3925" s="15"/>
      <c r="Q3925" s="15"/>
      <c r="R3925" s="422"/>
      <c r="S3925" s="15"/>
      <c r="T3925" s="15"/>
      <c r="U3925" s="15"/>
      <c r="V3925" s="15"/>
      <c r="W3925" s="15"/>
      <c r="X3925" s="15"/>
      <c r="Y3925" s="15"/>
      <c r="Z3925" s="15"/>
      <c r="AA3925" s="15"/>
    </row>
    <row r="3926">
      <c r="A3926" s="5" t="s">
        <v>17226</v>
      </c>
      <c r="B3926" s="131" t="s">
        <v>17248</v>
      </c>
      <c r="C3926" s="40" t="s">
        <v>17249</v>
      </c>
      <c r="D3926" s="11"/>
      <c r="E3926" s="11" t="s">
        <v>17250</v>
      </c>
      <c r="F3926" s="9">
        <v>10000.0</v>
      </c>
      <c r="G3926" s="321"/>
      <c r="H3926" s="11" t="s">
        <v>519</v>
      </c>
      <c r="I3926" s="423"/>
      <c r="J3926" s="14"/>
      <c r="K3926" s="13"/>
      <c r="L3926" s="13"/>
      <c r="M3926" s="14"/>
      <c r="N3926" s="15"/>
      <c r="O3926" s="5" t="s">
        <v>108</v>
      </c>
      <c r="P3926" s="15"/>
      <c r="Q3926" s="15"/>
      <c r="R3926" s="422"/>
      <c r="S3926" s="15"/>
      <c r="T3926" s="15"/>
      <c r="U3926" s="15"/>
      <c r="V3926" s="15"/>
      <c r="W3926" s="15"/>
      <c r="X3926" s="15"/>
      <c r="Y3926" s="15"/>
      <c r="Z3926" s="15"/>
      <c r="AA3926" s="15"/>
    </row>
    <row r="3927">
      <c r="A3927" s="5" t="s">
        <v>17226</v>
      </c>
      <c r="B3927" s="131" t="s">
        <v>17251</v>
      </c>
      <c r="C3927" s="40" t="s">
        <v>17252</v>
      </c>
      <c r="D3927" s="11"/>
      <c r="E3927" s="11" t="s">
        <v>794</v>
      </c>
      <c r="F3927" s="90">
        <v>5000.0</v>
      </c>
      <c r="G3927" s="321"/>
      <c r="H3927" s="11" t="s">
        <v>44</v>
      </c>
      <c r="I3927" s="276"/>
      <c r="J3927" s="11" t="s">
        <v>4008</v>
      </c>
      <c r="K3927" s="12"/>
      <c r="L3927" s="12"/>
      <c r="M3927" s="11" t="s">
        <v>9034</v>
      </c>
      <c r="N3927" s="5" t="s">
        <v>17253</v>
      </c>
      <c r="O3927" s="5" t="s">
        <v>26</v>
      </c>
      <c r="P3927" s="15"/>
      <c r="Q3927" s="15"/>
      <c r="R3927" s="422"/>
      <c r="S3927" s="15"/>
      <c r="T3927" s="15"/>
      <c r="U3927" s="15"/>
      <c r="V3927" s="15"/>
      <c r="W3927" s="15"/>
      <c r="X3927" s="15"/>
      <c r="Y3927" s="15"/>
      <c r="Z3927" s="15"/>
      <c r="AA3927" s="15"/>
    </row>
    <row r="3928">
      <c r="A3928" s="5" t="s">
        <v>17226</v>
      </c>
      <c r="B3928" s="131" t="s">
        <v>17254</v>
      </c>
      <c r="C3928" s="40" t="s">
        <v>17255</v>
      </c>
      <c r="D3928" s="11"/>
      <c r="E3928" s="11" t="s">
        <v>17256</v>
      </c>
      <c r="F3928" s="9">
        <v>80000.0</v>
      </c>
      <c r="G3928" s="321"/>
      <c r="H3928" s="11" t="s">
        <v>44</v>
      </c>
      <c r="I3928" s="276"/>
      <c r="J3928" s="11" t="s">
        <v>4008</v>
      </c>
      <c r="K3928" s="13"/>
      <c r="L3928" s="13"/>
      <c r="M3928" s="14"/>
      <c r="N3928" s="15"/>
      <c r="O3928" s="5" t="s">
        <v>26</v>
      </c>
      <c r="P3928" s="15"/>
      <c r="Q3928" s="15"/>
      <c r="R3928" s="422"/>
      <c r="S3928" s="15"/>
      <c r="T3928" s="15"/>
      <c r="U3928" s="15"/>
      <c r="V3928" s="15"/>
      <c r="W3928" s="15"/>
      <c r="X3928" s="15"/>
      <c r="Y3928" s="15"/>
      <c r="Z3928" s="15"/>
      <c r="AA3928" s="15"/>
    </row>
    <row r="3929">
      <c r="A3929" s="5" t="s">
        <v>17226</v>
      </c>
      <c r="B3929" s="131" t="s">
        <v>17257</v>
      </c>
      <c r="C3929" s="40" t="s">
        <v>17258</v>
      </c>
      <c r="D3929" s="11"/>
      <c r="E3929" s="11" t="s">
        <v>16967</v>
      </c>
      <c r="F3929" s="90">
        <v>1000.0</v>
      </c>
      <c r="G3929" s="321"/>
      <c r="H3929" s="11" t="s">
        <v>17259</v>
      </c>
      <c r="I3929" s="423"/>
      <c r="J3929" s="14"/>
      <c r="K3929" s="13"/>
      <c r="L3929" s="13"/>
      <c r="M3929" s="14"/>
      <c r="N3929" s="15"/>
      <c r="O3929" s="5" t="s">
        <v>26</v>
      </c>
      <c r="P3929" s="15"/>
      <c r="Q3929" s="15"/>
      <c r="R3929" s="422"/>
      <c r="S3929" s="15"/>
      <c r="T3929" s="15"/>
      <c r="U3929" s="15"/>
      <c r="V3929" s="15"/>
      <c r="W3929" s="15"/>
      <c r="X3929" s="15"/>
      <c r="Y3929" s="15"/>
      <c r="Z3929" s="15"/>
      <c r="AA3929" s="15"/>
    </row>
    <row r="3930">
      <c r="A3930" s="5" t="s">
        <v>17226</v>
      </c>
      <c r="B3930" s="131" t="s">
        <v>17260</v>
      </c>
      <c r="C3930" s="40" t="s">
        <v>17261</v>
      </c>
      <c r="D3930" s="11"/>
      <c r="E3930" s="11" t="s">
        <v>10622</v>
      </c>
      <c r="F3930" s="90">
        <v>100.0</v>
      </c>
      <c r="G3930" s="321"/>
      <c r="H3930" s="11" t="s">
        <v>906</v>
      </c>
      <c r="I3930" s="423"/>
      <c r="J3930" s="14"/>
      <c r="K3930" s="12"/>
      <c r="L3930" s="12"/>
      <c r="M3930" s="11" t="s">
        <v>17154</v>
      </c>
      <c r="N3930" s="5" t="s">
        <v>17262</v>
      </c>
      <c r="O3930" s="5" t="s">
        <v>14119</v>
      </c>
      <c r="P3930" s="15"/>
      <c r="Q3930" s="15"/>
      <c r="R3930" s="422"/>
      <c r="S3930" s="15"/>
      <c r="T3930" s="15"/>
      <c r="U3930" s="15"/>
      <c r="V3930" s="15"/>
      <c r="W3930" s="15"/>
      <c r="X3930" s="15"/>
      <c r="Y3930" s="15"/>
      <c r="Z3930" s="15"/>
      <c r="AA3930" s="15"/>
    </row>
    <row r="3931">
      <c r="A3931" s="5" t="s">
        <v>17226</v>
      </c>
      <c r="B3931" s="131" t="s">
        <v>17263</v>
      </c>
      <c r="C3931" s="40" t="s">
        <v>17264</v>
      </c>
      <c r="D3931" s="11"/>
      <c r="E3931" s="11" t="s">
        <v>38</v>
      </c>
      <c r="F3931" s="90">
        <v>1000.0</v>
      </c>
      <c r="G3931" s="321"/>
      <c r="H3931" s="11" t="s">
        <v>268</v>
      </c>
      <c r="I3931" s="276"/>
      <c r="J3931" s="11" t="s">
        <v>4008</v>
      </c>
      <c r="K3931" s="12"/>
      <c r="L3931" s="12"/>
      <c r="M3931" s="11" t="s">
        <v>17169</v>
      </c>
      <c r="N3931" s="5" t="s">
        <v>17265</v>
      </c>
      <c r="O3931" s="5" t="s">
        <v>26</v>
      </c>
      <c r="P3931" s="15"/>
      <c r="Q3931" s="15"/>
      <c r="R3931" s="422"/>
      <c r="S3931" s="15"/>
      <c r="T3931" s="15"/>
      <c r="U3931" s="15"/>
      <c r="V3931" s="15"/>
      <c r="W3931" s="15"/>
      <c r="X3931" s="15"/>
      <c r="Y3931" s="15"/>
      <c r="Z3931" s="15"/>
      <c r="AA3931" s="15"/>
    </row>
    <row r="3932">
      <c r="A3932" s="5" t="s">
        <v>17226</v>
      </c>
      <c r="B3932" s="131" t="s">
        <v>17266</v>
      </c>
      <c r="C3932" s="40" t="s">
        <v>17267</v>
      </c>
      <c r="D3932" s="11"/>
      <c r="E3932" s="11" t="s">
        <v>794</v>
      </c>
      <c r="F3932" s="9">
        <v>10000.0</v>
      </c>
      <c r="G3932" s="321"/>
      <c r="H3932" s="11" t="s">
        <v>44</v>
      </c>
      <c r="I3932" s="423"/>
      <c r="J3932" s="14"/>
      <c r="K3932" s="12"/>
      <c r="L3932" s="12"/>
      <c r="M3932" s="11" t="s">
        <v>8860</v>
      </c>
      <c r="N3932" s="5" t="s">
        <v>17268</v>
      </c>
      <c r="O3932" s="5" t="s">
        <v>26</v>
      </c>
      <c r="P3932" s="15"/>
      <c r="Q3932" s="15"/>
      <c r="R3932" s="422"/>
      <c r="S3932" s="15"/>
      <c r="T3932" s="15"/>
      <c r="U3932" s="15"/>
      <c r="V3932" s="15"/>
      <c r="W3932" s="15"/>
      <c r="X3932" s="15"/>
      <c r="Y3932" s="15"/>
      <c r="Z3932" s="15"/>
      <c r="AA3932" s="15"/>
    </row>
    <row r="3933">
      <c r="A3933" s="5" t="s">
        <v>17269</v>
      </c>
      <c r="B3933" s="131" t="s">
        <v>17270</v>
      </c>
      <c r="C3933" s="40" t="s">
        <v>17271</v>
      </c>
      <c r="D3933" s="11"/>
      <c r="E3933" s="11" t="s">
        <v>1285</v>
      </c>
      <c r="F3933" s="9">
        <v>100000.0</v>
      </c>
      <c r="G3933" s="321"/>
      <c r="H3933" s="11" t="s">
        <v>44</v>
      </c>
      <c r="I3933" s="276"/>
      <c r="J3933" s="11" t="s">
        <v>25</v>
      </c>
      <c r="K3933" s="13"/>
      <c r="L3933" s="13"/>
      <c r="M3933" s="14"/>
      <c r="N3933" s="15"/>
      <c r="O3933" s="5" t="s">
        <v>26</v>
      </c>
      <c r="P3933" s="15"/>
      <c r="Q3933" s="15"/>
      <c r="R3933" s="422"/>
      <c r="S3933" s="15"/>
      <c r="T3933" s="15"/>
      <c r="U3933" s="15"/>
      <c r="V3933" s="15"/>
      <c r="W3933" s="15"/>
      <c r="X3933" s="15"/>
      <c r="Y3933" s="15"/>
      <c r="Z3933" s="15"/>
      <c r="AA3933" s="15"/>
    </row>
    <row r="3934">
      <c r="A3934" s="5" t="s">
        <v>17269</v>
      </c>
      <c r="B3934" s="131" t="s">
        <v>17272</v>
      </c>
      <c r="C3934" s="40" t="s">
        <v>2880</v>
      </c>
      <c r="D3934" s="11"/>
      <c r="E3934" s="11" t="s">
        <v>11692</v>
      </c>
      <c r="F3934" s="90">
        <v>100.0</v>
      </c>
      <c r="G3934" s="321"/>
      <c r="H3934" s="11" t="s">
        <v>742</v>
      </c>
      <c r="I3934" s="423"/>
      <c r="J3934" s="14"/>
      <c r="K3934" s="12"/>
      <c r="L3934" s="12"/>
      <c r="M3934" s="11" t="s">
        <v>10200</v>
      </c>
      <c r="N3934" s="5" t="s">
        <v>17273</v>
      </c>
      <c r="O3934" s="5" t="s">
        <v>14119</v>
      </c>
      <c r="P3934" s="15"/>
      <c r="Q3934" s="15"/>
      <c r="R3934" s="422"/>
      <c r="S3934" s="15"/>
      <c r="T3934" s="15"/>
      <c r="U3934" s="15"/>
      <c r="V3934" s="15"/>
      <c r="W3934" s="15"/>
      <c r="X3934" s="15"/>
      <c r="Y3934" s="15"/>
      <c r="Z3934" s="15"/>
      <c r="AA3934" s="15"/>
    </row>
    <row r="3935">
      <c r="A3935" s="5" t="s">
        <v>17269</v>
      </c>
      <c r="B3935" s="131" t="s">
        <v>17274</v>
      </c>
      <c r="C3935" s="40" t="s">
        <v>17275</v>
      </c>
      <c r="D3935" s="11"/>
      <c r="E3935" s="11" t="s">
        <v>8247</v>
      </c>
      <c r="F3935" s="90">
        <v>100.0</v>
      </c>
      <c r="G3935" s="321"/>
      <c r="H3935" s="11" t="s">
        <v>44</v>
      </c>
      <c r="I3935" s="423"/>
      <c r="J3935" s="14"/>
      <c r="K3935" s="12"/>
      <c r="L3935" s="12"/>
      <c r="M3935" s="11" t="s">
        <v>17276</v>
      </c>
      <c r="N3935" s="5" t="s">
        <v>17277</v>
      </c>
      <c r="O3935" s="5" t="s">
        <v>14119</v>
      </c>
      <c r="P3935" s="15"/>
      <c r="Q3935" s="15"/>
      <c r="R3935" s="422"/>
      <c r="S3935" s="15"/>
      <c r="T3935" s="15"/>
      <c r="U3935" s="15"/>
      <c r="V3935" s="15"/>
      <c r="W3935" s="15"/>
      <c r="X3935" s="15"/>
      <c r="Y3935" s="15"/>
      <c r="Z3935" s="15"/>
      <c r="AA3935" s="15"/>
    </row>
    <row r="3936">
      <c r="A3936" s="5" t="s">
        <v>17269</v>
      </c>
      <c r="B3936" s="131" t="s">
        <v>17278</v>
      </c>
      <c r="C3936" s="40" t="s">
        <v>17279</v>
      </c>
      <c r="D3936" s="11"/>
      <c r="E3936" s="11" t="s">
        <v>152</v>
      </c>
      <c r="F3936" s="9">
        <v>20000.0</v>
      </c>
      <c r="G3936" s="321"/>
      <c r="H3936" s="11" t="s">
        <v>17280</v>
      </c>
      <c r="I3936" s="276"/>
      <c r="J3936" s="11" t="s">
        <v>25</v>
      </c>
      <c r="K3936" s="13"/>
      <c r="L3936" s="13"/>
      <c r="M3936" s="14"/>
      <c r="N3936" s="15"/>
      <c r="O3936" s="5" t="s">
        <v>108</v>
      </c>
      <c r="P3936" s="15"/>
      <c r="Q3936" s="15"/>
      <c r="R3936" s="422"/>
      <c r="S3936" s="15"/>
      <c r="T3936" s="15"/>
      <c r="U3936" s="15"/>
      <c r="V3936" s="15"/>
      <c r="W3936" s="15"/>
      <c r="X3936" s="15"/>
      <c r="Y3936" s="15"/>
      <c r="Z3936" s="15"/>
      <c r="AA3936" s="15"/>
    </row>
    <row r="3937">
      <c r="A3937" s="5" t="s">
        <v>17269</v>
      </c>
      <c r="B3937" s="131" t="s">
        <v>17281</v>
      </c>
      <c r="C3937" s="40" t="s">
        <v>2028</v>
      </c>
      <c r="D3937" s="11"/>
      <c r="E3937" s="11" t="s">
        <v>17282</v>
      </c>
      <c r="F3937" s="90">
        <v>500.0</v>
      </c>
      <c r="G3937" s="321"/>
      <c r="H3937" s="11" t="s">
        <v>906</v>
      </c>
      <c r="I3937" s="423"/>
      <c r="J3937" s="14"/>
      <c r="K3937" s="13"/>
      <c r="L3937" s="13"/>
      <c r="M3937" s="14"/>
      <c r="N3937" s="15"/>
      <c r="O3937" s="5" t="s">
        <v>14119</v>
      </c>
      <c r="P3937" s="15"/>
      <c r="Q3937" s="15"/>
      <c r="R3937" s="422"/>
      <c r="S3937" s="15"/>
      <c r="T3937" s="15"/>
      <c r="U3937" s="15"/>
      <c r="V3937" s="15"/>
      <c r="W3937" s="15"/>
      <c r="X3937" s="15"/>
      <c r="Y3937" s="15"/>
      <c r="Z3937" s="15"/>
      <c r="AA3937" s="15"/>
    </row>
    <row r="3938">
      <c r="A3938" s="5" t="s">
        <v>17269</v>
      </c>
      <c r="B3938" s="131" t="s">
        <v>17283</v>
      </c>
      <c r="C3938" s="40" t="s">
        <v>17284</v>
      </c>
      <c r="D3938" s="11"/>
      <c r="E3938" s="11" t="s">
        <v>12775</v>
      </c>
      <c r="F3938" s="90">
        <v>100.0</v>
      </c>
      <c r="G3938" s="321"/>
      <c r="H3938" s="11" t="s">
        <v>44</v>
      </c>
      <c r="I3938" s="423"/>
      <c r="J3938" s="14"/>
      <c r="K3938" s="13"/>
      <c r="L3938" s="13"/>
      <c r="M3938" s="14"/>
      <c r="N3938" s="15"/>
      <c r="O3938" s="5" t="s">
        <v>14119</v>
      </c>
      <c r="P3938" s="15"/>
      <c r="Q3938" s="15"/>
      <c r="R3938" s="422"/>
      <c r="S3938" s="15"/>
      <c r="T3938" s="15"/>
      <c r="U3938" s="15"/>
      <c r="V3938" s="15"/>
      <c r="W3938" s="15"/>
      <c r="X3938" s="15"/>
      <c r="Y3938" s="15"/>
      <c r="Z3938" s="15"/>
      <c r="AA3938" s="15"/>
    </row>
    <row r="3939">
      <c r="A3939" s="5" t="s">
        <v>17269</v>
      </c>
      <c r="B3939" s="131" t="s">
        <v>17285</v>
      </c>
      <c r="C3939" s="40" t="s">
        <v>17286</v>
      </c>
      <c r="D3939" s="11"/>
      <c r="E3939" s="11" t="s">
        <v>17287</v>
      </c>
      <c r="F3939" s="90">
        <v>1000.0</v>
      </c>
      <c r="G3939" s="321"/>
      <c r="H3939" s="11" t="s">
        <v>3861</v>
      </c>
      <c r="I3939" s="423"/>
      <c r="J3939" s="14"/>
      <c r="K3939" s="13"/>
      <c r="L3939" s="13"/>
      <c r="M3939" s="14"/>
      <c r="N3939" s="15"/>
      <c r="O3939" s="5" t="s">
        <v>108</v>
      </c>
      <c r="P3939" s="15"/>
      <c r="Q3939" s="15"/>
      <c r="R3939" s="422"/>
      <c r="S3939" s="15"/>
      <c r="T3939" s="15"/>
      <c r="U3939" s="15"/>
      <c r="V3939" s="15"/>
      <c r="W3939" s="15"/>
      <c r="X3939" s="15"/>
      <c r="Y3939" s="15"/>
      <c r="Z3939" s="15"/>
      <c r="AA3939" s="15"/>
    </row>
    <row r="3940">
      <c r="A3940" s="5" t="s">
        <v>17269</v>
      </c>
      <c r="B3940" s="131" t="s">
        <v>17288</v>
      </c>
      <c r="C3940" s="40" t="s">
        <v>17289</v>
      </c>
      <c r="D3940" s="11"/>
      <c r="E3940" s="11" t="s">
        <v>17290</v>
      </c>
      <c r="F3940" s="9">
        <v>10000.0</v>
      </c>
      <c r="G3940" s="321"/>
      <c r="H3940" s="11" t="s">
        <v>12134</v>
      </c>
      <c r="I3940" s="423"/>
      <c r="J3940" s="14"/>
      <c r="K3940" s="13"/>
      <c r="L3940" s="13"/>
      <c r="M3940" s="14"/>
      <c r="N3940" s="15"/>
      <c r="O3940" s="5" t="s">
        <v>108</v>
      </c>
      <c r="P3940" s="15"/>
      <c r="Q3940" s="15"/>
      <c r="R3940" s="422"/>
      <c r="S3940" s="15"/>
      <c r="T3940" s="15"/>
      <c r="U3940" s="15"/>
      <c r="V3940" s="15"/>
      <c r="W3940" s="15"/>
      <c r="X3940" s="15"/>
      <c r="Y3940" s="15"/>
      <c r="Z3940" s="15"/>
      <c r="AA3940" s="15"/>
    </row>
    <row r="3941">
      <c r="A3941" s="5" t="s">
        <v>17269</v>
      </c>
      <c r="B3941" s="131" t="s">
        <v>17291</v>
      </c>
      <c r="C3941" s="40" t="s">
        <v>17292</v>
      </c>
      <c r="D3941" s="11"/>
      <c r="E3941" s="11" t="s">
        <v>53</v>
      </c>
      <c r="F3941" s="90">
        <v>500.0</v>
      </c>
      <c r="G3941" s="321"/>
      <c r="H3941" s="11" t="s">
        <v>16765</v>
      </c>
      <c r="I3941" s="423"/>
      <c r="J3941" s="14"/>
      <c r="K3941" s="12"/>
      <c r="L3941" s="12"/>
      <c r="M3941" s="11" t="s">
        <v>9445</v>
      </c>
      <c r="N3941" s="5" t="s">
        <v>17293</v>
      </c>
      <c r="O3941" s="5" t="s">
        <v>108</v>
      </c>
      <c r="P3941" s="15"/>
      <c r="Q3941" s="15"/>
      <c r="R3941" s="422"/>
      <c r="S3941" s="15"/>
      <c r="T3941" s="15"/>
      <c r="U3941" s="15"/>
      <c r="V3941" s="15"/>
      <c r="W3941" s="15"/>
      <c r="X3941" s="15"/>
      <c r="Y3941" s="15"/>
      <c r="Z3941" s="15"/>
      <c r="AA3941" s="15"/>
    </row>
    <row r="3942">
      <c r="A3942" s="5" t="s">
        <v>17269</v>
      </c>
      <c r="B3942" s="131" t="s">
        <v>17294</v>
      </c>
      <c r="C3942" s="40" t="s">
        <v>17295</v>
      </c>
      <c r="D3942" s="11"/>
      <c r="E3942" s="11" t="s">
        <v>17250</v>
      </c>
      <c r="F3942" s="90">
        <v>5000.0</v>
      </c>
      <c r="G3942" s="321"/>
      <c r="H3942" s="11" t="s">
        <v>17296</v>
      </c>
      <c r="I3942" s="423"/>
      <c r="J3942" s="14"/>
      <c r="K3942" s="13"/>
      <c r="L3942" s="13"/>
      <c r="M3942" s="14"/>
      <c r="N3942" s="15"/>
      <c r="O3942" s="5" t="s">
        <v>108</v>
      </c>
      <c r="P3942" s="15"/>
      <c r="Q3942" s="15"/>
      <c r="R3942" s="422"/>
      <c r="S3942" s="15"/>
      <c r="T3942" s="15"/>
      <c r="U3942" s="15"/>
      <c r="V3942" s="15"/>
      <c r="W3942" s="15"/>
      <c r="X3942" s="15"/>
      <c r="Y3942" s="15"/>
      <c r="Z3942" s="15"/>
      <c r="AA3942" s="15"/>
    </row>
    <row r="3943">
      <c r="A3943" s="5" t="s">
        <v>17269</v>
      </c>
      <c r="B3943" s="131" t="s">
        <v>17297</v>
      </c>
      <c r="C3943" s="40" t="s">
        <v>17298</v>
      </c>
      <c r="D3943" s="11"/>
      <c r="E3943" s="11" t="s">
        <v>17299</v>
      </c>
      <c r="F3943" s="90">
        <v>500.0</v>
      </c>
      <c r="G3943" s="321"/>
      <c r="H3943" s="11" t="s">
        <v>906</v>
      </c>
      <c r="I3943" s="423"/>
      <c r="J3943" s="14"/>
      <c r="K3943" s="13"/>
      <c r="L3943" s="13"/>
      <c r="M3943" s="14"/>
      <c r="N3943" s="15"/>
      <c r="O3943" s="5" t="s">
        <v>108</v>
      </c>
      <c r="P3943" s="15"/>
      <c r="Q3943" s="15"/>
      <c r="R3943" s="422"/>
      <c r="S3943" s="15"/>
      <c r="T3943" s="15"/>
      <c r="U3943" s="15"/>
      <c r="V3943" s="15"/>
      <c r="W3943" s="15"/>
      <c r="X3943" s="15"/>
      <c r="Y3943" s="15"/>
      <c r="Z3943" s="15"/>
      <c r="AA3943" s="15"/>
    </row>
    <row r="3944">
      <c r="A3944" s="5" t="s">
        <v>17269</v>
      </c>
      <c r="B3944" s="131" t="s">
        <v>17300</v>
      </c>
      <c r="C3944" s="40" t="s">
        <v>17301</v>
      </c>
      <c r="D3944" s="11"/>
      <c r="E3944" s="11" t="s">
        <v>11049</v>
      </c>
      <c r="F3944" s="90" t="s">
        <v>17302</v>
      </c>
      <c r="G3944" s="321"/>
      <c r="H3944" s="11" t="s">
        <v>184</v>
      </c>
      <c r="I3944" s="276"/>
      <c r="J3944" s="11" t="s">
        <v>25</v>
      </c>
      <c r="K3944" s="12"/>
      <c r="L3944" s="12"/>
      <c r="M3944" s="11" t="s">
        <v>17303</v>
      </c>
      <c r="N3944" s="5" t="s">
        <v>17304</v>
      </c>
      <c r="O3944" s="5" t="s">
        <v>26</v>
      </c>
      <c r="P3944" s="15"/>
      <c r="Q3944" s="15"/>
      <c r="R3944" s="422"/>
      <c r="S3944" s="15"/>
      <c r="T3944" s="15"/>
      <c r="U3944" s="15"/>
      <c r="V3944" s="15"/>
      <c r="W3944" s="15"/>
      <c r="X3944" s="15"/>
      <c r="Y3944" s="15"/>
      <c r="Z3944" s="15"/>
      <c r="AA3944" s="15"/>
    </row>
    <row r="3945">
      <c r="A3945" s="5" t="s">
        <v>17269</v>
      </c>
      <c r="B3945" s="131" t="s">
        <v>17305</v>
      </c>
      <c r="C3945" s="40" t="s">
        <v>17306</v>
      </c>
      <c r="D3945" s="11"/>
      <c r="E3945" s="11" t="s">
        <v>130</v>
      </c>
      <c r="F3945" s="9">
        <v>20000.0</v>
      </c>
      <c r="G3945" s="321"/>
      <c r="H3945" s="11" t="s">
        <v>1232</v>
      </c>
      <c r="I3945" s="423"/>
      <c r="J3945" s="14"/>
      <c r="K3945" s="13"/>
      <c r="L3945" s="13"/>
      <c r="M3945" s="14"/>
      <c r="N3945" s="15"/>
      <c r="O3945" s="5" t="s">
        <v>26</v>
      </c>
      <c r="P3945" s="15"/>
      <c r="Q3945" s="15"/>
      <c r="R3945" s="422"/>
      <c r="S3945" s="15"/>
      <c r="T3945" s="15"/>
      <c r="U3945" s="15"/>
      <c r="V3945" s="15"/>
      <c r="W3945" s="15"/>
      <c r="X3945" s="15"/>
      <c r="Y3945" s="15"/>
      <c r="Z3945" s="15"/>
      <c r="AA3945" s="15"/>
    </row>
    <row r="3946">
      <c r="A3946" s="5" t="s">
        <v>17269</v>
      </c>
      <c r="B3946" s="131" t="s">
        <v>17307</v>
      </c>
      <c r="C3946" s="40" t="s">
        <v>17308</v>
      </c>
      <c r="D3946" s="11"/>
      <c r="E3946" s="11" t="s">
        <v>16923</v>
      </c>
      <c r="F3946" s="90">
        <v>500.0</v>
      </c>
      <c r="G3946" s="321"/>
      <c r="H3946" s="11" t="s">
        <v>44</v>
      </c>
      <c r="I3946" s="423"/>
      <c r="J3946" s="14"/>
      <c r="K3946" s="13"/>
      <c r="L3946" s="13"/>
      <c r="M3946" s="14"/>
      <c r="N3946" s="15"/>
      <c r="O3946" s="5" t="s">
        <v>26</v>
      </c>
      <c r="P3946" s="15"/>
      <c r="Q3946" s="15"/>
      <c r="R3946" s="422"/>
      <c r="S3946" s="15"/>
      <c r="T3946" s="15"/>
      <c r="U3946" s="15"/>
      <c r="V3946" s="15"/>
      <c r="W3946" s="15"/>
      <c r="X3946" s="15"/>
      <c r="Y3946" s="15"/>
      <c r="Z3946" s="15"/>
      <c r="AA3946" s="15"/>
    </row>
    <row r="3947">
      <c r="A3947" s="5" t="s">
        <v>17269</v>
      </c>
      <c r="B3947" s="131" t="s">
        <v>17309</v>
      </c>
      <c r="C3947" s="40" t="s">
        <v>17310</v>
      </c>
      <c r="D3947" s="11"/>
      <c r="E3947" s="11" t="s">
        <v>794</v>
      </c>
      <c r="F3947" s="90">
        <v>2000.0</v>
      </c>
      <c r="G3947" s="321"/>
      <c r="H3947" s="11" t="s">
        <v>44</v>
      </c>
      <c r="I3947" s="276"/>
      <c r="J3947" s="11" t="s">
        <v>25</v>
      </c>
      <c r="K3947" s="12"/>
      <c r="L3947" s="12"/>
      <c r="M3947" s="11" t="s">
        <v>9034</v>
      </c>
      <c r="N3947" s="5" t="s">
        <v>17311</v>
      </c>
      <c r="O3947" s="5" t="s">
        <v>26</v>
      </c>
      <c r="P3947" s="15"/>
      <c r="Q3947" s="15"/>
      <c r="R3947" s="422"/>
      <c r="S3947" s="15"/>
      <c r="T3947" s="15"/>
      <c r="U3947" s="15"/>
      <c r="V3947" s="15"/>
      <c r="W3947" s="15"/>
      <c r="X3947" s="15"/>
      <c r="Y3947" s="15"/>
      <c r="Z3947" s="15"/>
      <c r="AA3947" s="15"/>
    </row>
    <row r="3948">
      <c r="A3948" s="5" t="s">
        <v>17312</v>
      </c>
      <c r="B3948" s="131" t="s">
        <v>17313</v>
      </c>
      <c r="C3948" s="40" t="s">
        <v>17314</v>
      </c>
      <c r="D3948" s="11"/>
      <c r="E3948" s="11" t="s">
        <v>152</v>
      </c>
      <c r="F3948" s="9">
        <v>20000.0</v>
      </c>
      <c r="G3948" s="321"/>
      <c r="H3948" s="11" t="s">
        <v>906</v>
      </c>
      <c r="I3948" s="276"/>
      <c r="J3948" s="11" t="s">
        <v>25</v>
      </c>
      <c r="K3948" s="12"/>
      <c r="L3948" s="12"/>
      <c r="M3948" s="11" t="s">
        <v>16591</v>
      </c>
      <c r="N3948" s="5" t="s">
        <v>17315</v>
      </c>
      <c r="O3948" s="5" t="s">
        <v>108</v>
      </c>
      <c r="P3948" s="15"/>
      <c r="Q3948" s="15"/>
      <c r="R3948" s="422"/>
      <c r="S3948" s="15"/>
      <c r="T3948" s="15"/>
      <c r="U3948" s="15"/>
      <c r="V3948" s="15"/>
      <c r="W3948" s="15"/>
      <c r="X3948" s="15"/>
      <c r="Y3948" s="15"/>
      <c r="Z3948" s="15"/>
      <c r="AA3948" s="15"/>
    </row>
    <row r="3949">
      <c r="A3949" s="5" t="s">
        <v>17312</v>
      </c>
      <c r="B3949" s="131" t="s">
        <v>17316</v>
      </c>
      <c r="C3949" s="40" t="s">
        <v>17317</v>
      </c>
      <c r="D3949" s="11"/>
      <c r="E3949" s="11" t="s">
        <v>152</v>
      </c>
      <c r="F3949" s="90">
        <v>1000.0</v>
      </c>
      <c r="G3949" s="321"/>
      <c r="H3949" s="11" t="s">
        <v>2662</v>
      </c>
      <c r="I3949" s="276"/>
      <c r="J3949" s="11" t="s">
        <v>17318</v>
      </c>
      <c r="K3949" s="12"/>
      <c r="L3949" s="12"/>
      <c r="M3949" s="11" t="s">
        <v>11262</v>
      </c>
      <c r="N3949" s="5" t="s">
        <v>17319</v>
      </c>
      <c r="O3949" s="5" t="s">
        <v>108</v>
      </c>
      <c r="P3949" s="15"/>
      <c r="Q3949" s="15"/>
      <c r="R3949" s="422"/>
      <c r="S3949" s="15"/>
      <c r="T3949" s="15"/>
      <c r="U3949" s="15"/>
      <c r="V3949" s="15"/>
      <c r="W3949" s="15"/>
      <c r="X3949" s="15"/>
      <c r="Y3949" s="15"/>
      <c r="Z3949" s="15"/>
      <c r="AA3949" s="15"/>
    </row>
    <row r="3950">
      <c r="A3950" s="5" t="s">
        <v>17312</v>
      </c>
      <c r="B3950" s="131" t="s">
        <v>17320</v>
      </c>
      <c r="C3950" s="40" t="s">
        <v>17321</v>
      </c>
      <c r="D3950" s="11"/>
      <c r="E3950" s="11" t="s">
        <v>1675</v>
      </c>
      <c r="F3950" s="90">
        <v>1000.0</v>
      </c>
      <c r="G3950" s="321"/>
      <c r="H3950" s="11" t="s">
        <v>906</v>
      </c>
      <c r="I3950" s="276"/>
      <c r="J3950" s="11" t="s">
        <v>25</v>
      </c>
      <c r="K3950" s="13"/>
      <c r="L3950" s="13"/>
      <c r="M3950" s="14"/>
      <c r="N3950" s="15"/>
      <c r="O3950" s="5" t="s">
        <v>108</v>
      </c>
      <c r="P3950" s="15"/>
      <c r="Q3950" s="15"/>
      <c r="R3950" s="422"/>
      <c r="S3950" s="15"/>
      <c r="T3950" s="15"/>
      <c r="U3950" s="15"/>
      <c r="V3950" s="15"/>
      <c r="W3950" s="15"/>
      <c r="X3950" s="15"/>
      <c r="Y3950" s="15"/>
      <c r="Z3950" s="15"/>
      <c r="AA3950" s="15"/>
    </row>
    <row r="3951">
      <c r="A3951" s="5" t="s">
        <v>17312</v>
      </c>
      <c r="B3951" s="131" t="s">
        <v>17322</v>
      </c>
      <c r="C3951" s="40" t="s">
        <v>17323</v>
      </c>
      <c r="D3951" s="11"/>
      <c r="E3951" s="11" t="s">
        <v>6719</v>
      </c>
      <c r="F3951" s="90">
        <v>3500.0</v>
      </c>
      <c r="G3951" s="321"/>
      <c r="H3951" s="11" t="s">
        <v>495</v>
      </c>
      <c r="I3951" s="276"/>
      <c r="J3951" s="11" t="s">
        <v>4008</v>
      </c>
      <c r="K3951" s="12"/>
      <c r="L3951" s="12"/>
      <c r="M3951" s="11" t="s">
        <v>11262</v>
      </c>
      <c r="N3951" s="5" t="s">
        <v>17324</v>
      </c>
      <c r="O3951" s="5" t="s">
        <v>26</v>
      </c>
      <c r="P3951" s="15"/>
      <c r="Q3951" s="15"/>
      <c r="R3951" s="422"/>
      <c r="S3951" s="15"/>
      <c r="T3951" s="15"/>
      <c r="U3951" s="15"/>
      <c r="V3951" s="15"/>
      <c r="W3951" s="15"/>
      <c r="X3951" s="15"/>
      <c r="Y3951" s="15"/>
      <c r="Z3951" s="15"/>
      <c r="AA3951" s="15"/>
    </row>
    <row r="3952">
      <c r="A3952" s="5" t="s">
        <v>17312</v>
      </c>
      <c r="B3952" s="131" t="s">
        <v>17325</v>
      </c>
      <c r="C3952" s="40" t="s">
        <v>11980</v>
      </c>
      <c r="D3952" s="11"/>
      <c r="E3952" s="11" t="s">
        <v>14706</v>
      </c>
      <c r="F3952" s="90">
        <v>500.0</v>
      </c>
      <c r="G3952" s="321"/>
      <c r="H3952" s="11" t="s">
        <v>44</v>
      </c>
      <c r="I3952" s="423"/>
      <c r="J3952" s="14"/>
      <c r="K3952" s="12"/>
      <c r="L3952" s="12"/>
      <c r="M3952" s="11" t="s">
        <v>9531</v>
      </c>
      <c r="N3952" s="5" t="s">
        <v>17326</v>
      </c>
      <c r="O3952" s="5" t="s">
        <v>26</v>
      </c>
      <c r="P3952" s="15"/>
      <c r="Q3952" s="15"/>
      <c r="R3952" s="422"/>
      <c r="S3952" s="15"/>
      <c r="T3952" s="15"/>
      <c r="U3952" s="15"/>
      <c r="V3952" s="15"/>
      <c r="W3952" s="15"/>
      <c r="X3952" s="15"/>
      <c r="Y3952" s="15"/>
      <c r="Z3952" s="15"/>
      <c r="AA3952" s="15"/>
    </row>
    <row r="3953">
      <c r="A3953" s="5" t="s">
        <v>17312</v>
      </c>
      <c r="B3953" s="131" t="s">
        <v>17327</v>
      </c>
      <c r="C3953" s="40" t="s">
        <v>17328</v>
      </c>
      <c r="D3953" s="11"/>
      <c r="E3953" s="11" t="s">
        <v>8779</v>
      </c>
      <c r="F3953" s="90">
        <v>100.0</v>
      </c>
      <c r="G3953" s="321"/>
      <c r="H3953" s="11" t="s">
        <v>981</v>
      </c>
      <c r="I3953" s="276"/>
      <c r="J3953" s="11" t="s">
        <v>25</v>
      </c>
      <c r="K3953" s="12"/>
      <c r="L3953" s="12"/>
      <c r="M3953" s="11" t="s">
        <v>10483</v>
      </c>
      <c r="N3953" s="5" t="s">
        <v>17329</v>
      </c>
      <c r="O3953" s="5" t="s">
        <v>14119</v>
      </c>
      <c r="P3953" s="15"/>
      <c r="Q3953" s="15"/>
      <c r="R3953" s="422"/>
      <c r="S3953" s="15"/>
      <c r="T3953" s="15"/>
      <c r="U3953" s="15"/>
      <c r="V3953" s="15"/>
      <c r="W3953" s="15"/>
      <c r="X3953" s="15"/>
      <c r="Y3953" s="15"/>
      <c r="Z3953" s="15"/>
      <c r="AA3953" s="15"/>
    </row>
    <row r="3954">
      <c r="A3954" s="5" t="s">
        <v>17312</v>
      </c>
      <c r="B3954" s="131" t="s">
        <v>17330</v>
      </c>
      <c r="C3954" s="40" t="s">
        <v>17331</v>
      </c>
      <c r="D3954" s="11"/>
      <c r="E3954" s="11" t="s">
        <v>8674</v>
      </c>
      <c r="F3954" s="9">
        <v>20000.0</v>
      </c>
      <c r="G3954" s="321"/>
      <c r="H3954" s="11" t="s">
        <v>44</v>
      </c>
      <c r="I3954" s="276"/>
      <c r="J3954" s="11" t="s">
        <v>25</v>
      </c>
      <c r="K3954" s="12"/>
      <c r="L3954" s="12"/>
      <c r="M3954" s="11" t="s">
        <v>7928</v>
      </c>
      <c r="N3954" s="5" t="s">
        <v>17332</v>
      </c>
      <c r="O3954" s="5" t="s">
        <v>26</v>
      </c>
      <c r="P3954" s="15"/>
      <c r="Q3954" s="15"/>
      <c r="R3954" s="422"/>
      <c r="S3954" s="15"/>
      <c r="T3954" s="15"/>
      <c r="U3954" s="15"/>
      <c r="V3954" s="15"/>
      <c r="W3954" s="15"/>
      <c r="X3954" s="15"/>
      <c r="Y3954" s="15"/>
      <c r="Z3954" s="15"/>
      <c r="AA3954" s="15"/>
    </row>
    <row r="3955">
      <c r="A3955" s="5" t="s">
        <v>17312</v>
      </c>
      <c r="B3955" s="131" t="s">
        <v>17333</v>
      </c>
      <c r="C3955" s="40" t="s">
        <v>14660</v>
      </c>
      <c r="D3955" s="11"/>
      <c r="E3955" s="11" t="s">
        <v>523</v>
      </c>
      <c r="F3955" s="90">
        <v>2000.0</v>
      </c>
      <c r="G3955" s="321"/>
      <c r="H3955" s="11" t="s">
        <v>9891</v>
      </c>
      <c r="I3955" s="423"/>
      <c r="J3955" s="14"/>
      <c r="K3955" s="12"/>
      <c r="L3955" s="12"/>
      <c r="M3955" s="11" t="s">
        <v>7965</v>
      </c>
      <c r="N3955" s="5" t="s">
        <v>17334</v>
      </c>
      <c r="O3955" s="5" t="s">
        <v>108</v>
      </c>
      <c r="P3955" s="15"/>
      <c r="Q3955" s="15"/>
      <c r="R3955" s="422"/>
      <c r="S3955" s="15"/>
      <c r="T3955" s="15"/>
      <c r="U3955" s="15"/>
      <c r="V3955" s="15"/>
      <c r="W3955" s="15"/>
      <c r="X3955" s="15"/>
      <c r="Y3955" s="15"/>
      <c r="Z3955" s="15"/>
      <c r="AA3955" s="15"/>
    </row>
    <row r="3956">
      <c r="A3956" s="5" t="s">
        <v>17335</v>
      </c>
      <c r="B3956" s="131" t="s">
        <v>17336</v>
      </c>
      <c r="C3956" s="40" t="s">
        <v>17337</v>
      </c>
      <c r="D3956" s="11"/>
      <c r="E3956" s="11" t="s">
        <v>3634</v>
      </c>
      <c r="F3956" s="9">
        <v>20000.0</v>
      </c>
      <c r="G3956" s="321"/>
      <c r="H3956" s="11" t="s">
        <v>2682</v>
      </c>
      <c r="I3956" s="423"/>
      <c r="J3956" s="14"/>
      <c r="K3956" s="12"/>
      <c r="L3956" s="12"/>
      <c r="M3956" s="11" t="s">
        <v>9587</v>
      </c>
      <c r="N3956" s="5" t="s">
        <v>17338</v>
      </c>
      <c r="O3956" s="5" t="s">
        <v>108</v>
      </c>
      <c r="P3956" s="15"/>
      <c r="Q3956" s="15"/>
      <c r="R3956" s="422"/>
      <c r="S3956" s="15"/>
      <c r="T3956" s="15"/>
      <c r="U3956" s="15"/>
      <c r="V3956" s="15"/>
      <c r="W3956" s="15"/>
      <c r="X3956" s="15"/>
      <c r="Y3956" s="15"/>
      <c r="Z3956" s="15"/>
      <c r="AA3956" s="15"/>
    </row>
    <row r="3957">
      <c r="A3957" s="5" t="s">
        <v>17335</v>
      </c>
      <c r="B3957" s="131" t="s">
        <v>17339</v>
      </c>
      <c r="C3957" s="40" t="s">
        <v>17340</v>
      </c>
      <c r="D3957" s="11"/>
      <c r="E3957" s="11" t="s">
        <v>152</v>
      </c>
      <c r="F3957" s="9">
        <v>15000.0</v>
      </c>
      <c r="G3957" s="321"/>
      <c r="H3957" s="11" t="s">
        <v>17341</v>
      </c>
      <c r="I3957" s="276"/>
      <c r="J3957" s="11" t="s">
        <v>25</v>
      </c>
      <c r="K3957" s="13"/>
      <c r="L3957" s="13"/>
      <c r="M3957" s="14"/>
      <c r="N3957" s="15"/>
      <c r="O3957" s="5" t="s">
        <v>108</v>
      </c>
      <c r="P3957" s="15"/>
      <c r="Q3957" s="15"/>
      <c r="R3957" s="422"/>
      <c r="S3957" s="15"/>
      <c r="T3957" s="15"/>
      <c r="U3957" s="15"/>
      <c r="V3957" s="15"/>
      <c r="W3957" s="15"/>
      <c r="X3957" s="15"/>
      <c r="Y3957" s="15"/>
      <c r="Z3957" s="15"/>
      <c r="AA3957" s="15"/>
    </row>
    <row r="3958">
      <c r="A3958" s="5" t="s">
        <v>17335</v>
      </c>
      <c r="B3958" s="131" t="s">
        <v>17342</v>
      </c>
      <c r="C3958" s="40" t="s">
        <v>17343</v>
      </c>
      <c r="D3958" s="11"/>
      <c r="E3958" s="11" t="s">
        <v>5244</v>
      </c>
      <c r="F3958" s="90">
        <v>500.0</v>
      </c>
      <c r="G3958" s="321"/>
      <c r="H3958" s="11" t="s">
        <v>17344</v>
      </c>
      <c r="I3958" s="276"/>
      <c r="J3958" s="11" t="s">
        <v>25</v>
      </c>
      <c r="K3958" s="13"/>
      <c r="L3958" s="13"/>
      <c r="M3958" s="14"/>
      <c r="N3958" s="15"/>
      <c r="O3958" s="5" t="s">
        <v>26</v>
      </c>
      <c r="P3958" s="15"/>
      <c r="Q3958" s="15"/>
      <c r="R3958" s="422"/>
      <c r="S3958" s="15"/>
      <c r="T3958" s="15"/>
      <c r="U3958" s="15"/>
      <c r="V3958" s="15"/>
      <c r="W3958" s="15"/>
      <c r="X3958" s="15"/>
      <c r="Y3958" s="15"/>
      <c r="Z3958" s="15"/>
      <c r="AA3958" s="15"/>
    </row>
    <row r="3959">
      <c r="A3959" s="5" t="s">
        <v>17335</v>
      </c>
      <c r="B3959" s="131" t="s">
        <v>17345</v>
      </c>
      <c r="C3959" s="40" t="s">
        <v>17346</v>
      </c>
      <c r="D3959" s="11"/>
      <c r="E3959" s="11" t="s">
        <v>4481</v>
      </c>
      <c r="F3959" s="9">
        <v>33000.0</v>
      </c>
      <c r="G3959" s="321"/>
      <c r="H3959" s="11" t="s">
        <v>17347</v>
      </c>
      <c r="I3959" s="276"/>
      <c r="J3959" s="11" t="s">
        <v>4008</v>
      </c>
      <c r="K3959" s="12"/>
      <c r="L3959" s="12"/>
      <c r="M3959" s="11" t="s">
        <v>15725</v>
      </c>
      <c r="N3959" s="5" t="s">
        <v>17348</v>
      </c>
      <c r="O3959" s="5" t="s">
        <v>108</v>
      </c>
      <c r="P3959" s="15"/>
      <c r="Q3959" s="15"/>
      <c r="R3959" s="422"/>
      <c r="S3959" s="15"/>
      <c r="T3959" s="15"/>
      <c r="U3959" s="15"/>
      <c r="V3959" s="15"/>
      <c r="W3959" s="15"/>
      <c r="X3959" s="15"/>
      <c r="Y3959" s="15"/>
      <c r="Z3959" s="15"/>
      <c r="AA3959" s="15"/>
    </row>
    <row r="3960">
      <c r="A3960" s="5" t="s">
        <v>17335</v>
      </c>
      <c r="B3960" s="131" t="s">
        <v>17349</v>
      </c>
      <c r="C3960" s="40" t="s">
        <v>17350</v>
      </c>
      <c r="D3960" s="11"/>
      <c r="E3960" s="11" t="s">
        <v>4123</v>
      </c>
      <c r="F3960" s="90">
        <v>500.0</v>
      </c>
      <c r="G3960" s="321"/>
      <c r="H3960" s="11" t="s">
        <v>11758</v>
      </c>
      <c r="I3960" s="276"/>
      <c r="J3960" s="11" t="s">
        <v>4008</v>
      </c>
      <c r="K3960" s="13"/>
      <c r="L3960" s="13"/>
      <c r="M3960" s="14"/>
      <c r="N3960" s="15"/>
      <c r="O3960" s="5" t="s">
        <v>108</v>
      </c>
      <c r="P3960" s="15"/>
      <c r="Q3960" s="15"/>
      <c r="R3960" s="422"/>
      <c r="S3960" s="15"/>
      <c r="T3960" s="15"/>
      <c r="U3960" s="15"/>
      <c r="V3960" s="15"/>
      <c r="W3960" s="15"/>
      <c r="X3960" s="15"/>
      <c r="Y3960" s="15"/>
      <c r="Z3960" s="15"/>
      <c r="AA3960" s="15"/>
    </row>
    <row r="3961">
      <c r="A3961" s="5" t="s">
        <v>17335</v>
      </c>
      <c r="B3961" s="131" t="s">
        <v>17351</v>
      </c>
      <c r="C3961" s="40" t="s">
        <v>17352</v>
      </c>
      <c r="D3961" s="11"/>
      <c r="E3961" s="11" t="s">
        <v>17353</v>
      </c>
      <c r="F3961" s="90">
        <v>100.0</v>
      </c>
      <c r="G3961" s="321"/>
      <c r="H3961" s="11" t="s">
        <v>44</v>
      </c>
      <c r="I3961" s="423"/>
      <c r="J3961" s="14"/>
      <c r="K3961" s="12"/>
      <c r="L3961" s="12"/>
      <c r="M3961" s="11" t="s">
        <v>17276</v>
      </c>
      <c r="N3961" s="5" t="s">
        <v>17354</v>
      </c>
      <c r="O3961" s="5" t="s">
        <v>14119</v>
      </c>
      <c r="P3961" s="15"/>
      <c r="Q3961" s="15"/>
      <c r="R3961" s="422"/>
      <c r="S3961" s="15"/>
      <c r="T3961" s="15"/>
      <c r="U3961" s="15"/>
      <c r="V3961" s="15"/>
      <c r="W3961" s="15"/>
      <c r="X3961" s="15"/>
      <c r="Y3961" s="15"/>
      <c r="Z3961" s="15"/>
      <c r="AA3961" s="15"/>
    </row>
    <row r="3962">
      <c r="A3962" s="5" t="s">
        <v>17335</v>
      </c>
      <c r="B3962" s="131" t="s">
        <v>17355</v>
      </c>
      <c r="C3962" s="40" t="s">
        <v>17356</v>
      </c>
      <c r="D3962" s="11"/>
      <c r="E3962" s="11" t="s">
        <v>130</v>
      </c>
      <c r="F3962" s="90">
        <v>1000.0</v>
      </c>
      <c r="G3962" s="321"/>
      <c r="H3962" s="11" t="s">
        <v>11660</v>
      </c>
      <c r="I3962" s="423"/>
      <c r="J3962" s="14"/>
      <c r="K3962" s="12"/>
      <c r="L3962" s="12"/>
      <c r="M3962" s="11" t="s">
        <v>8638</v>
      </c>
      <c r="N3962" s="5" t="s">
        <v>17357</v>
      </c>
      <c r="O3962" s="5" t="s">
        <v>26</v>
      </c>
      <c r="P3962" s="15"/>
      <c r="Q3962" s="15"/>
      <c r="R3962" s="422"/>
      <c r="S3962" s="15"/>
      <c r="T3962" s="15"/>
      <c r="U3962" s="15"/>
      <c r="V3962" s="15"/>
      <c r="W3962" s="15"/>
      <c r="X3962" s="15"/>
      <c r="Y3962" s="15"/>
      <c r="Z3962" s="15"/>
      <c r="AA3962" s="15"/>
    </row>
    <row r="3963">
      <c r="A3963" s="5" t="s">
        <v>17335</v>
      </c>
      <c r="B3963" s="131" t="s">
        <v>17358</v>
      </c>
      <c r="C3963" s="40" t="s">
        <v>17359</v>
      </c>
      <c r="D3963" s="11"/>
      <c r="E3963" s="11" t="s">
        <v>178</v>
      </c>
      <c r="F3963" s="90">
        <v>2000.0</v>
      </c>
      <c r="G3963" s="321"/>
      <c r="H3963" s="11" t="s">
        <v>906</v>
      </c>
      <c r="I3963" s="276"/>
      <c r="J3963" s="11" t="s">
        <v>25</v>
      </c>
      <c r="K3963" s="12"/>
      <c r="L3963" s="12"/>
      <c r="M3963" s="11" t="s">
        <v>9445</v>
      </c>
      <c r="N3963" s="5" t="s">
        <v>17360</v>
      </c>
      <c r="O3963" s="5" t="s">
        <v>108</v>
      </c>
      <c r="P3963" s="15"/>
      <c r="Q3963" s="15"/>
      <c r="R3963" s="422"/>
      <c r="S3963" s="15"/>
      <c r="T3963" s="15"/>
      <c r="U3963" s="15"/>
      <c r="V3963" s="15"/>
      <c r="W3963" s="15"/>
      <c r="X3963" s="15"/>
      <c r="Y3963" s="15"/>
      <c r="Z3963" s="15"/>
      <c r="AA3963" s="15"/>
    </row>
    <row r="3964">
      <c r="A3964" s="5" t="s">
        <v>17335</v>
      </c>
      <c r="B3964" s="131" t="s">
        <v>17361</v>
      </c>
      <c r="C3964" s="40" t="s">
        <v>17362</v>
      </c>
      <c r="D3964" s="11"/>
      <c r="E3964" s="11" t="s">
        <v>5502</v>
      </c>
      <c r="F3964" s="90" t="s">
        <v>15446</v>
      </c>
      <c r="G3964" s="321"/>
      <c r="H3964" s="11" t="s">
        <v>930</v>
      </c>
      <c r="I3964" s="276"/>
      <c r="J3964" s="11" t="s">
        <v>4008</v>
      </c>
      <c r="K3964" s="12"/>
      <c r="L3964" s="12"/>
      <c r="M3964" s="11" t="s">
        <v>15584</v>
      </c>
      <c r="N3964" s="5" t="s">
        <v>17363</v>
      </c>
      <c r="O3964" s="5" t="s">
        <v>108</v>
      </c>
      <c r="P3964" s="15"/>
      <c r="Q3964" s="15"/>
      <c r="R3964" s="422"/>
      <c r="S3964" s="15"/>
      <c r="T3964" s="15"/>
      <c r="U3964" s="15"/>
      <c r="V3964" s="15"/>
      <c r="W3964" s="15"/>
      <c r="X3964" s="15"/>
      <c r="Y3964" s="15"/>
      <c r="Z3964" s="15"/>
      <c r="AA3964" s="15"/>
    </row>
    <row r="3965">
      <c r="A3965" s="5" t="s">
        <v>17335</v>
      </c>
      <c r="B3965" s="131" t="s">
        <v>17364</v>
      </c>
      <c r="C3965" s="40" t="s">
        <v>17365</v>
      </c>
      <c r="D3965" s="11"/>
      <c r="E3965" s="11" t="s">
        <v>6168</v>
      </c>
      <c r="F3965" s="90">
        <v>500.0</v>
      </c>
      <c r="G3965" s="321"/>
      <c r="H3965" s="11" t="s">
        <v>44</v>
      </c>
      <c r="I3965" s="423"/>
      <c r="J3965" s="14"/>
      <c r="K3965" s="13"/>
      <c r="L3965" s="13"/>
      <c r="M3965" s="14"/>
      <c r="N3965" s="15"/>
      <c r="O3965" s="5" t="s">
        <v>26</v>
      </c>
      <c r="P3965" s="15"/>
      <c r="Q3965" s="15"/>
      <c r="R3965" s="422"/>
      <c r="S3965" s="15"/>
      <c r="T3965" s="15"/>
      <c r="U3965" s="15"/>
      <c r="V3965" s="15"/>
      <c r="W3965" s="15"/>
      <c r="X3965" s="15"/>
      <c r="Y3965" s="15"/>
      <c r="Z3965" s="15"/>
      <c r="AA3965" s="15"/>
    </row>
    <row r="3966">
      <c r="A3966" s="5" t="s">
        <v>17335</v>
      </c>
      <c r="B3966" s="131" t="s">
        <v>17366</v>
      </c>
      <c r="C3966" s="40" t="s">
        <v>17367</v>
      </c>
      <c r="D3966" s="11"/>
      <c r="E3966" s="11" t="s">
        <v>10622</v>
      </c>
      <c r="F3966" s="90">
        <v>500.0</v>
      </c>
      <c r="G3966" s="321"/>
      <c r="H3966" s="11" t="s">
        <v>11351</v>
      </c>
      <c r="I3966" s="276"/>
      <c r="J3966" s="11" t="s">
        <v>12841</v>
      </c>
      <c r="K3966" s="12"/>
      <c r="L3966" s="12"/>
      <c r="M3966" s="11" t="s">
        <v>15128</v>
      </c>
      <c r="N3966" s="5" t="s">
        <v>17368</v>
      </c>
      <c r="O3966" s="5" t="s">
        <v>108</v>
      </c>
      <c r="P3966" s="15"/>
      <c r="Q3966" s="15"/>
      <c r="R3966" s="422"/>
      <c r="S3966" s="15"/>
      <c r="T3966" s="15"/>
      <c r="U3966" s="15"/>
      <c r="V3966" s="15"/>
      <c r="W3966" s="15"/>
      <c r="X3966" s="15"/>
      <c r="Y3966" s="15"/>
      <c r="Z3966" s="15"/>
      <c r="AA3966" s="15"/>
    </row>
    <row r="3967">
      <c r="A3967" s="5" t="s">
        <v>17335</v>
      </c>
      <c r="B3967" s="131" t="s">
        <v>17369</v>
      </c>
      <c r="C3967" s="40" t="s">
        <v>17370</v>
      </c>
      <c r="D3967" s="11"/>
      <c r="E3967" s="11" t="s">
        <v>83</v>
      </c>
      <c r="F3967" s="9">
        <v>10000.0</v>
      </c>
      <c r="G3967" s="321"/>
      <c r="H3967" s="11" t="s">
        <v>906</v>
      </c>
      <c r="I3967" s="423"/>
      <c r="J3967" s="14"/>
      <c r="K3967" s="12"/>
      <c r="L3967" s="12"/>
      <c r="M3967" s="11" t="s">
        <v>8782</v>
      </c>
      <c r="N3967" s="5" t="s">
        <v>17371</v>
      </c>
      <c r="O3967" s="5" t="s">
        <v>108</v>
      </c>
      <c r="P3967" s="15"/>
      <c r="Q3967" s="15"/>
      <c r="R3967" s="422"/>
      <c r="S3967" s="15"/>
      <c r="T3967" s="15"/>
      <c r="U3967" s="15"/>
      <c r="V3967" s="15"/>
      <c r="W3967" s="15"/>
      <c r="X3967" s="15"/>
      <c r="Y3967" s="15"/>
      <c r="Z3967" s="15"/>
      <c r="AA3967" s="15"/>
    </row>
    <row r="3968">
      <c r="A3968" s="5" t="s">
        <v>17335</v>
      </c>
      <c r="B3968" s="131" t="s">
        <v>17372</v>
      </c>
      <c r="C3968" s="40" t="s">
        <v>17373</v>
      </c>
      <c r="D3968" s="11"/>
      <c r="E3968" s="11" t="s">
        <v>6275</v>
      </c>
      <c r="F3968" s="9">
        <v>200000.0</v>
      </c>
      <c r="G3968" s="321"/>
      <c r="H3968" s="11" t="s">
        <v>467</v>
      </c>
      <c r="I3968" s="423"/>
      <c r="J3968" s="14"/>
      <c r="K3968" s="13"/>
      <c r="L3968" s="13"/>
      <c r="M3968" s="14"/>
      <c r="N3968" s="15"/>
      <c r="O3968" s="5" t="s">
        <v>108</v>
      </c>
      <c r="P3968" s="15"/>
      <c r="Q3968" s="15"/>
      <c r="R3968" s="422"/>
      <c r="S3968" s="15"/>
      <c r="T3968" s="15"/>
      <c r="U3968" s="15"/>
      <c r="V3968" s="15"/>
      <c r="W3968" s="15"/>
      <c r="X3968" s="15"/>
      <c r="Y3968" s="15"/>
      <c r="Z3968" s="15"/>
      <c r="AA3968" s="15"/>
    </row>
    <row r="3969">
      <c r="A3969" s="5" t="s">
        <v>17335</v>
      </c>
      <c r="B3969" s="131" t="s">
        <v>17374</v>
      </c>
      <c r="C3969" s="40" t="s">
        <v>17375</v>
      </c>
      <c r="D3969" s="11"/>
      <c r="E3969" s="11" t="s">
        <v>6719</v>
      </c>
      <c r="F3969" s="90">
        <v>50.0</v>
      </c>
      <c r="G3969" s="321"/>
      <c r="H3969" s="11" t="s">
        <v>44</v>
      </c>
      <c r="I3969" s="423"/>
      <c r="J3969" s="14"/>
      <c r="K3969" s="13"/>
      <c r="L3969" s="13"/>
      <c r="M3969" s="14"/>
      <c r="N3969" s="15"/>
      <c r="O3969" s="5" t="s">
        <v>14119</v>
      </c>
      <c r="P3969" s="15"/>
      <c r="Q3969" s="15"/>
      <c r="R3969" s="422"/>
      <c r="S3969" s="15"/>
      <c r="T3969" s="15"/>
      <c r="U3969" s="15"/>
      <c r="V3969" s="15"/>
      <c r="W3969" s="15"/>
      <c r="X3969" s="15"/>
      <c r="Y3969" s="15"/>
      <c r="Z3969" s="15"/>
      <c r="AA3969" s="15"/>
    </row>
    <row r="3970">
      <c r="A3970" s="5" t="s">
        <v>17335</v>
      </c>
      <c r="B3970" s="131" t="s">
        <v>17376</v>
      </c>
      <c r="C3970" s="40" t="s">
        <v>17377</v>
      </c>
      <c r="D3970" s="11"/>
      <c r="E3970" s="11" t="s">
        <v>116</v>
      </c>
      <c r="F3970" s="90">
        <v>500.0</v>
      </c>
      <c r="G3970" s="321"/>
      <c r="H3970" s="11" t="s">
        <v>507</v>
      </c>
      <c r="I3970" s="423"/>
      <c r="J3970" s="14"/>
      <c r="K3970" s="12"/>
      <c r="L3970" s="12"/>
      <c r="M3970" s="11" t="s">
        <v>15128</v>
      </c>
      <c r="N3970" s="5" t="s">
        <v>17378</v>
      </c>
      <c r="O3970" s="5" t="s">
        <v>108</v>
      </c>
      <c r="P3970" s="15"/>
      <c r="Q3970" s="15"/>
      <c r="R3970" s="422"/>
      <c r="S3970" s="15"/>
      <c r="T3970" s="15"/>
      <c r="U3970" s="15"/>
      <c r="V3970" s="15"/>
      <c r="W3970" s="15"/>
      <c r="X3970" s="15"/>
      <c r="Y3970" s="15"/>
      <c r="Z3970" s="15"/>
      <c r="AA3970" s="15"/>
    </row>
    <row r="3971">
      <c r="A3971" s="5" t="s">
        <v>17335</v>
      </c>
      <c r="B3971" s="131" t="s">
        <v>17379</v>
      </c>
      <c r="C3971" s="40" t="s">
        <v>17380</v>
      </c>
      <c r="D3971" s="11"/>
      <c r="E3971" s="11" t="s">
        <v>167</v>
      </c>
      <c r="F3971" s="90">
        <v>5000.0</v>
      </c>
      <c r="G3971" s="321"/>
      <c r="H3971" s="11" t="s">
        <v>17381</v>
      </c>
      <c r="I3971" s="276"/>
      <c r="J3971" s="11" t="s">
        <v>4008</v>
      </c>
      <c r="K3971" s="13"/>
      <c r="L3971" s="13"/>
      <c r="M3971" s="14"/>
      <c r="N3971" s="15"/>
      <c r="O3971" s="5" t="s">
        <v>26</v>
      </c>
      <c r="P3971" s="15"/>
      <c r="Q3971" s="15"/>
      <c r="R3971" s="422"/>
      <c r="S3971" s="15"/>
      <c r="T3971" s="15"/>
      <c r="U3971" s="15"/>
      <c r="V3971" s="15"/>
      <c r="W3971" s="15"/>
      <c r="X3971" s="15"/>
      <c r="Y3971" s="15"/>
      <c r="Z3971" s="15"/>
      <c r="AA3971" s="15"/>
    </row>
    <row r="3972">
      <c r="A3972" s="5" t="s">
        <v>17335</v>
      </c>
      <c r="B3972" s="131" t="s">
        <v>17382</v>
      </c>
      <c r="C3972" s="40" t="s">
        <v>17383</v>
      </c>
      <c r="D3972" s="11"/>
      <c r="E3972" s="11" t="s">
        <v>3073</v>
      </c>
      <c r="F3972" s="90">
        <v>100.0</v>
      </c>
      <c r="G3972" s="321"/>
      <c r="H3972" s="11" t="s">
        <v>44</v>
      </c>
      <c r="I3972" s="423"/>
      <c r="J3972" s="14"/>
      <c r="K3972" s="13"/>
      <c r="L3972" s="13"/>
      <c r="M3972" s="14"/>
      <c r="N3972" s="15"/>
      <c r="O3972" s="5" t="s">
        <v>14119</v>
      </c>
      <c r="P3972" s="15"/>
      <c r="Q3972" s="15"/>
      <c r="R3972" s="422"/>
      <c r="S3972" s="15"/>
      <c r="T3972" s="15"/>
      <c r="U3972" s="15"/>
      <c r="V3972" s="15"/>
      <c r="W3972" s="15"/>
      <c r="X3972" s="15"/>
      <c r="Y3972" s="15"/>
      <c r="Z3972" s="15"/>
      <c r="AA3972" s="15"/>
    </row>
    <row r="3973">
      <c r="A3973" s="5" t="s">
        <v>17335</v>
      </c>
      <c r="B3973" s="131" t="s">
        <v>17384</v>
      </c>
      <c r="C3973" s="40" t="s">
        <v>17385</v>
      </c>
      <c r="D3973" s="11"/>
      <c r="E3973" s="11" t="s">
        <v>568</v>
      </c>
      <c r="F3973" s="9">
        <v>10000.0</v>
      </c>
      <c r="G3973" s="321"/>
      <c r="H3973" s="11" t="s">
        <v>6492</v>
      </c>
      <c r="I3973" s="276"/>
      <c r="J3973" s="11" t="s">
        <v>25</v>
      </c>
      <c r="K3973" s="13"/>
      <c r="L3973" s="13"/>
      <c r="M3973" s="14"/>
      <c r="N3973" s="15"/>
      <c r="O3973" s="5" t="s">
        <v>108</v>
      </c>
      <c r="P3973" s="15"/>
      <c r="Q3973" s="15"/>
      <c r="R3973" s="422"/>
      <c r="S3973" s="15"/>
      <c r="T3973" s="15"/>
      <c r="U3973" s="15"/>
      <c r="V3973" s="15"/>
      <c r="W3973" s="15"/>
      <c r="X3973" s="15"/>
      <c r="Y3973" s="15"/>
      <c r="Z3973" s="15"/>
      <c r="AA3973" s="15"/>
    </row>
    <row r="3974">
      <c r="A3974" s="5" t="s">
        <v>17335</v>
      </c>
      <c r="B3974" s="131" t="s">
        <v>17386</v>
      </c>
      <c r="C3974" s="40" t="s">
        <v>17387</v>
      </c>
      <c r="D3974" s="11"/>
      <c r="E3974" s="11" t="s">
        <v>152</v>
      </c>
      <c r="F3974" s="90">
        <v>200.0</v>
      </c>
      <c r="G3974" s="321"/>
      <c r="H3974" s="11" t="s">
        <v>507</v>
      </c>
      <c r="I3974" s="276"/>
      <c r="J3974" s="11" t="s">
        <v>25</v>
      </c>
      <c r="K3974" s="13"/>
      <c r="L3974" s="13"/>
      <c r="M3974" s="14"/>
      <c r="N3974" s="15"/>
      <c r="O3974" s="5" t="s">
        <v>14119</v>
      </c>
      <c r="P3974" s="15"/>
      <c r="Q3974" s="15"/>
      <c r="R3974" s="422"/>
      <c r="S3974" s="15"/>
      <c r="T3974" s="15"/>
      <c r="U3974" s="15"/>
      <c r="V3974" s="15"/>
      <c r="W3974" s="15"/>
      <c r="X3974" s="15"/>
      <c r="Y3974" s="15"/>
      <c r="Z3974" s="15"/>
      <c r="AA3974" s="15"/>
    </row>
    <row r="3975">
      <c r="A3975" s="5" t="s">
        <v>17335</v>
      </c>
      <c r="B3975" s="131" t="s">
        <v>17388</v>
      </c>
      <c r="C3975" s="40" t="s">
        <v>17389</v>
      </c>
      <c r="D3975" s="11"/>
      <c r="E3975" s="11" t="s">
        <v>17353</v>
      </c>
      <c r="F3975" s="90">
        <v>1000.0</v>
      </c>
      <c r="G3975" s="321"/>
      <c r="H3975" s="11" t="s">
        <v>11660</v>
      </c>
      <c r="I3975" s="276"/>
      <c r="J3975" s="11" t="s">
        <v>25</v>
      </c>
      <c r="K3975" s="12"/>
      <c r="L3975" s="12"/>
      <c r="M3975" s="11" t="s">
        <v>17232</v>
      </c>
      <c r="N3975" s="5" t="s">
        <v>17390</v>
      </c>
      <c r="O3975" s="5" t="s">
        <v>26</v>
      </c>
      <c r="P3975" s="15"/>
      <c r="Q3975" s="15"/>
      <c r="R3975" s="422"/>
      <c r="S3975" s="15"/>
      <c r="T3975" s="15"/>
      <c r="U3975" s="15"/>
      <c r="V3975" s="15"/>
      <c r="W3975" s="15"/>
      <c r="X3975" s="15"/>
      <c r="Y3975" s="15"/>
      <c r="Z3975" s="15"/>
      <c r="AA3975" s="15"/>
    </row>
    <row r="3976">
      <c r="A3976" s="5" t="s">
        <v>17335</v>
      </c>
      <c r="B3976" s="131" t="s">
        <v>17391</v>
      </c>
      <c r="C3976" s="40" t="s">
        <v>17392</v>
      </c>
      <c r="D3976" s="11"/>
      <c r="E3976" s="11" t="s">
        <v>17393</v>
      </c>
      <c r="F3976" s="90">
        <v>5000.0</v>
      </c>
      <c r="G3976" s="321"/>
      <c r="H3976" s="11" t="s">
        <v>2662</v>
      </c>
      <c r="I3976" s="423"/>
      <c r="J3976" s="14"/>
      <c r="K3976" s="12"/>
      <c r="L3976" s="12"/>
      <c r="M3976" s="11" t="s">
        <v>11020</v>
      </c>
      <c r="N3976" s="5" t="s">
        <v>17394</v>
      </c>
      <c r="O3976" s="5" t="s">
        <v>108</v>
      </c>
      <c r="P3976" s="15"/>
      <c r="Q3976" s="15"/>
      <c r="R3976" s="422"/>
      <c r="S3976" s="15"/>
      <c r="T3976" s="15"/>
      <c r="U3976" s="15"/>
      <c r="V3976" s="15"/>
      <c r="W3976" s="15"/>
      <c r="X3976" s="15"/>
      <c r="Y3976" s="15"/>
      <c r="Z3976" s="15"/>
      <c r="AA3976" s="15"/>
    </row>
    <row r="3977">
      <c r="A3977" s="5" t="s">
        <v>17395</v>
      </c>
      <c r="B3977" s="131" t="s">
        <v>17396</v>
      </c>
      <c r="C3977" s="40" t="s">
        <v>17397</v>
      </c>
      <c r="D3977" s="11"/>
      <c r="E3977" s="11" t="s">
        <v>9611</v>
      </c>
      <c r="F3977" s="90">
        <v>5000.0</v>
      </c>
      <c r="G3977" s="321"/>
      <c r="H3977" s="11" t="s">
        <v>12215</v>
      </c>
      <c r="I3977" s="276"/>
      <c r="J3977" s="11" t="s">
        <v>25</v>
      </c>
      <c r="K3977" s="13"/>
      <c r="L3977" s="13"/>
      <c r="M3977" s="14"/>
      <c r="N3977" s="15"/>
      <c r="O3977" s="5" t="s">
        <v>26</v>
      </c>
      <c r="P3977" s="15"/>
      <c r="Q3977" s="15"/>
      <c r="R3977" s="422"/>
      <c r="S3977" s="15"/>
      <c r="T3977" s="15"/>
      <c r="U3977" s="15"/>
      <c r="V3977" s="15"/>
      <c r="W3977" s="15"/>
      <c r="X3977" s="15"/>
      <c r="Y3977" s="15"/>
      <c r="Z3977" s="15"/>
      <c r="AA3977" s="15"/>
    </row>
    <row r="3978">
      <c r="A3978" s="5" t="s">
        <v>17395</v>
      </c>
      <c r="B3978" s="131" t="s">
        <v>17398</v>
      </c>
      <c r="C3978" s="40" t="s">
        <v>17399</v>
      </c>
      <c r="D3978" s="11"/>
      <c r="E3978" s="11" t="s">
        <v>152</v>
      </c>
      <c r="F3978" s="9">
        <v>20000.0</v>
      </c>
      <c r="G3978" s="321"/>
      <c r="H3978" s="11" t="s">
        <v>17400</v>
      </c>
      <c r="I3978" s="276"/>
      <c r="J3978" s="11" t="s">
        <v>4008</v>
      </c>
      <c r="K3978" s="12"/>
      <c r="L3978" s="12"/>
      <c r="M3978" s="11" t="s">
        <v>11262</v>
      </c>
      <c r="N3978" s="5" t="s">
        <v>17401</v>
      </c>
      <c r="O3978" s="5" t="s">
        <v>108</v>
      </c>
      <c r="P3978" s="15"/>
      <c r="Q3978" s="15"/>
      <c r="R3978" s="422"/>
      <c r="S3978" s="15"/>
      <c r="T3978" s="15"/>
      <c r="U3978" s="15"/>
      <c r="V3978" s="15"/>
      <c r="W3978" s="15"/>
      <c r="X3978" s="15"/>
      <c r="Y3978" s="15"/>
      <c r="Z3978" s="15"/>
      <c r="AA3978" s="15"/>
    </row>
    <row r="3979">
      <c r="A3979" s="5" t="s">
        <v>17395</v>
      </c>
      <c r="B3979" s="131" t="s">
        <v>17402</v>
      </c>
      <c r="C3979" s="40" t="s">
        <v>17403</v>
      </c>
      <c r="D3979" s="11"/>
      <c r="E3979" s="11" t="s">
        <v>17404</v>
      </c>
      <c r="F3979" s="90">
        <v>250.0</v>
      </c>
      <c r="G3979" s="321"/>
      <c r="H3979" s="11" t="s">
        <v>1053</v>
      </c>
      <c r="I3979" s="276"/>
      <c r="J3979" s="11" t="s">
        <v>4008</v>
      </c>
      <c r="K3979" s="13"/>
      <c r="L3979" s="13"/>
      <c r="M3979" s="14"/>
      <c r="N3979" s="15"/>
      <c r="O3979" s="5" t="s">
        <v>14119</v>
      </c>
      <c r="P3979" s="15"/>
      <c r="Q3979" s="15"/>
      <c r="R3979" s="422"/>
      <c r="S3979" s="15"/>
      <c r="T3979" s="15"/>
      <c r="U3979" s="15"/>
      <c r="V3979" s="15"/>
      <c r="W3979" s="15"/>
      <c r="X3979" s="15"/>
      <c r="Y3979" s="15"/>
      <c r="Z3979" s="15"/>
      <c r="AA3979" s="15"/>
    </row>
    <row r="3980">
      <c r="A3980" s="5" t="s">
        <v>17395</v>
      </c>
      <c r="B3980" s="131" t="s">
        <v>17405</v>
      </c>
      <c r="C3980" s="40" t="s">
        <v>16429</v>
      </c>
      <c r="D3980" s="11"/>
      <c r="E3980" s="11" t="s">
        <v>17406</v>
      </c>
      <c r="F3980" s="90">
        <v>1000.0</v>
      </c>
      <c r="G3980" s="321"/>
      <c r="H3980" s="11" t="s">
        <v>2682</v>
      </c>
      <c r="I3980" s="423"/>
      <c r="J3980" s="14"/>
      <c r="K3980" s="13"/>
      <c r="L3980" s="13"/>
      <c r="M3980" s="14"/>
      <c r="N3980" s="15"/>
      <c r="O3980" s="5" t="s">
        <v>108</v>
      </c>
      <c r="P3980" s="15"/>
      <c r="Q3980" s="15"/>
      <c r="R3980" s="422"/>
      <c r="S3980" s="15"/>
      <c r="T3980" s="15"/>
      <c r="U3980" s="15"/>
      <c r="V3980" s="15"/>
      <c r="W3980" s="15"/>
      <c r="X3980" s="15"/>
      <c r="Y3980" s="15"/>
      <c r="Z3980" s="15"/>
      <c r="AA3980" s="15"/>
    </row>
    <row r="3981">
      <c r="A3981" s="5" t="s">
        <v>17395</v>
      </c>
      <c r="B3981" s="131" t="s">
        <v>17407</v>
      </c>
      <c r="C3981" s="40" t="s">
        <v>17408</v>
      </c>
      <c r="D3981" s="11"/>
      <c r="E3981" s="11" t="s">
        <v>3165</v>
      </c>
      <c r="F3981" s="90">
        <v>200.0</v>
      </c>
      <c r="G3981" s="321"/>
      <c r="H3981" s="11" t="s">
        <v>1029</v>
      </c>
      <c r="I3981" s="423"/>
      <c r="J3981" s="14"/>
      <c r="K3981" s="13"/>
      <c r="L3981" s="13"/>
      <c r="M3981" s="14"/>
      <c r="N3981" s="15"/>
      <c r="O3981" s="5" t="s">
        <v>14119</v>
      </c>
      <c r="P3981" s="15"/>
      <c r="Q3981" s="15"/>
      <c r="R3981" s="422"/>
      <c r="S3981" s="15"/>
      <c r="T3981" s="15"/>
      <c r="U3981" s="15"/>
      <c r="V3981" s="15"/>
      <c r="W3981" s="15"/>
      <c r="X3981" s="15"/>
      <c r="Y3981" s="15"/>
      <c r="Z3981" s="15"/>
      <c r="AA3981" s="15"/>
    </row>
    <row r="3982">
      <c r="A3982" s="5" t="s">
        <v>17395</v>
      </c>
      <c r="B3982" s="131" t="s">
        <v>17409</v>
      </c>
      <c r="C3982" s="40" t="s">
        <v>17410</v>
      </c>
      <c r="D3982" s="11"/>
      <c r="E3982" s="11" t="s">
        <v>152</v>
      </c>
      <c r="F3982" s="90">
        <v>1000.0</v>
      </c>
      <c r="G3982" s="321"/>
      <c r="H3982" s="11" t="s">
        <v>2662</v>
      </c>
      <c r="I3982" s="423"/>
      <c r="J3982" s="14"/>
      <c r="K3982" s="13"/>
      <c r="L3982" s="13"/>
      <c r="M3982" s="14"/>
      <c r="N3982" s="15"/>
      <c r="O3982" s="5" t="s">
        <v>108</v>
      </c>
      <c r="P3982" s="15"/>
      <c r="Q3982" s="15"/>
      <c r="R3982" s="422"/>
      <c r="S3982" s="15"/>
      <c r="T3982" s="15"/>
      <c r="U3982" s="15"/>
      <c r="V3982" s="15"/>
      <c r="W3982" s="15"/>
      <c r="X3982" s="15"/>
      <c r="Y3982" s="15"/>
      <c r="Z3982" s="15"/>
      <c r="AA3982" s="15"/>
    </row>
    <row r="3983">
      <c r="A3983" s="5" t="s">
        <v>17395</v>
      </c>
      <c r="B3983" s="131" t="s">
        <v>17411</v>
      </c>
      <c r="C3983" s="40" t="s">
        <v>17412</v>
      </c>
      <c r="D3983" s="11"/>
      <c r="E3983" s="11" t="s">
        <v>152</v>
      </c>
      <c r="F3983" s="90">
        <v>120.0</v>
      </c>
      <c r="G3983" s="321"/>
      <c r="H3983" s="11" t="s">
        <v>906</v>
      </c>
      <c r="I3983" s="423"/>
      <c r="J3983" s="14"/>
      <c r="K3983" s="13"/>
      <c r="L3983" s="13"/>
      <c r="M3983" s="14"/>
      <c r="N3983" s="15"/>
      <c r="O3983" s="5" t="s">
        <v>14119</v>
      </c>
      <c r="P3983" s="15"/>
      <c r="Q3983" s="15"/>
      <c r="R3983" s="422"/>
      <c r="S3983" s="15"/>
      <c r="T3983" s="15"/>
      <c r="U3983" s="15"/>
      <c r="V3983" s="15"/>
      <c r="W3983" s="15"/>
      <c r="X3983" s="15"/>
      <c r="Y3983" s="15"/>
      <c r="Z3983" s="15"/>
      <c r="AA3983" s="15"/>
    </row>
    <row r="3984">
      <c r="A3984" s="5" t="s">
        <v>17395</v>
      </c>
      <c r="B3984" s="131" t="s">
        <v>17413</v>
      </c>
      <c r="C3984" s="40" t="s">
        <v>17414</v>
      </c>
      <c r="D3984" s="11"/>
      <c r="E3984" s="11" t="s">
        <v>1509</v>
      </c>
      <c r="F3984" s="9">
        <v>25000.0</v>
      </c>
      <c r="G3984" s="321"/>
      <c r="H3984" s="11" t="s">
        <v>467</v>
      </c>
      <c r="I3984" s="423"/>
      <c r="J3984" s="14"/>
      <c r="K3984" s="12"/>
      <c r="L3984" s="12"/>
      <c r="M3984" s="11" t="s">
        <v>11202</v>
      </c>
      <c r="N3984" s="5" t="s">
        <v>17415</v>
      </c>
      <c r="O3984" s="5" t="s">
        <v>108</v>
      </c>
      <c r="P3984" s="15"/>
      <c r="Q3984" s="15"/>
      <c r="R3984" s="422"/>
      <c r="S3984" s="15"/>
      <c r="T3984" s="15"/>
      <c r="U3984" s="15"/>
      <c r="V3984" s="15"/>
      <c r="W3984" s="15"/>
      <c r="X3984" s="15"/>
      <c r="Y3984" s="15"/>
      <c r="Z3984" s="15"/>
      <c r="AA3984" s="15"/>
    </row>
    <row r="3985">
      <c r="A3985" s="5" t="s">
        <v>17395</v>
      </c>
      <c r="B3985" s="131" t="s">
        <v>17416</v>
      </c>
      <c r="C3985" s="40" t="s">
        <v>17417</v>
      </c>
      <c r="D3985" s="11"/>
      <c r="E3985" s="11" t="s">
        <v>8779</v>
      </c>
      <c r="F3985" s="90">
        <v>100.0</v>
      </c>
      <c r="G3985" s="321"/>
      <c r="H3985" s="11" t="s">
        <v>906</v>
      </c>
      <c r="I3985" s="276"/>
      <c r="J3985" s="11" t="s">
        <v>25</v>
      </c>
      <c r="K3985" s="13"/>
      <c r="L3985" s="13"/>
      <c r="M3985" s="14"/>
      <c r="N3985" s="15"/>
      <c r="O3985" s="5" t="s">
        <v>14119</v>
      </c>
      <c r="P3985" s="15"/>
      <c r="Q3985" s="15"/>
      <c r="R3985" s="422"/>
      <c r="S3985" s="15"/>
      <c r="T3985" s="15"/>
      <c r="U3985" s="15"/>
      <c r="V3985" s="15"/>
      <c r="W3985" s="15"/>
      <c r="X3985" s="15"/>
      <c r="Y3985" s="15"/>
      <c r="Z3985" s="15"/>
      <c r="AA3985" s="15"/>
    </row>
    <row r="3986">
      <c r="A3986" s="5" t="s">
        <v>17395</v>
      </c>
      <c r="B3986" s="131" t="s">
        <v>17418</v>
      </c>
      <c r="C3986" s="40" t="s">
        <v>15190</v>
      </c>
      <c r="D3986" s="11"/>
      <c r="E3986" s="11" t="s">
        <v>152</v>
      </c>
      <c r="F3986" s="9">
        <v>35000.0</v>
      </c>
      <c r="G3986" s="321"/>
      <c r="H3986" s="11" t="s">
        <v>985</v>
      </c>
      <c r="I3986" s="276"/>
      <c r="J3986" s="11" t="s">
        <v>4008</v>
      </c>
      <c r="K3986" s="13"/>
      <c r="L3986" s="13"/>
      <c r="M3986" s="14"/>
      <c r="N3986" s="15"/>
      <c r="O3986" s="5" t="s">
        <v>26</v>
      </c>
      <c r="P3986" s="15"/>
      <c r="Q3986" s="15"/>
      <c r="R3986" s="422"/>
      <c r="S3986" s="15"/>
      <c r="T3986" s="15"/>
      <c r="U3986" s="15"/>
      <c r="V3986" s="15"/>
      <c r="W3986" s="15"/>
      <c r="X3986" s="15"/>
      <c r="Y3986" s="15"/>
      <c r="Z3986" s="15"/>
      <c r="AA3986" s="15"/>
    </row>
    <row r="3987">
      <c r="A3987" s="5" t="s">
        <v>17395</v>
      </c>
      <c r="B3987" s="131" t="s">
        <v>17419</v>
      </c>
      <c r="C3987" s="40" t="s">
        <v>17420</v>
      </c>
      <c r="D3987" s="11"/>
      <c r="E3987" s="11" t="s">
        <v>6042</v>
      </c>
      <c r="F3987" s="90">
        <v>50.0</v>
      </c>
      <c r="G3987" s="321"/>
      <c r="H3987" s="11" t="s">
        <v>44</v>
      </c>
      <c r="I3987" s="423"/>
      <c r="J3987" s="14"/>
      <c r="K3987" s="13"/>
      <c r="L3987" s="13"/>
      <c r="M3987" s="14"/>
      <c r="N3987" s="15"/>
      <c r="O3987" s="5" t="s">
        <v>14119</v>
      </c>
      <c r="P3987" s="15"/>
      <c r="Q3987" s="15"/>
      <c r="R3987" s="422"/>
      <c r="S3987" s="15"/>
      <c r="T3987" s="15"/>
      <c r="U3987" s="15"/>
      <c r="V3987" s="15"/>
      <c r="W3987" s="15"/>
      <c r="X3987" s="15"/>
      <c r="Y3987" s="15"/>
      <c r="Z3987" s="15"/>
      <c r="AA3987" s="15"/>
    </row>
    <row r="3988">
      <c r="A3988" s="5" t="s">
        <v>17395</v>
      </c>
      <c r="B3988" s="131" t="s">
        <v>17421</v>
      </c>
      <c r="C3988" s="40" t="s">
        <v>17422</v>
      </c>
      <c r="D3988" s="11"/>
      <c r="E3988" s="11" t="s">
        <v>353</v>
      </c>
      <c r="F3988" s="90">
        <v>100.0</v>
      </c>
      <c r="G3988" s="321"/>
      <c r="H3988" s="11" t="s">
        <v>196</v>
      </c>
      <c r="I3988" s="276"/>
      <c r="J3988" s="11" t="s">
        <v>25</v>
      </c>
      <c r="K3988" s="13"/>
      <c r="L3988" s="13"/>
      <c r="M3988" s="14"/>
      <c r="N3988" s="15"/>
      <c r="O3988" s="5" t="s">
        <v>14119</v>
      </c>
      <c r="P3988" s="15"/>
      <c r="Q3988" s="15"/>
      <c r="R3988" s="422"/>
      <c r="S3988" s="15"/>
      <c r="T3988" s="15"/>
      <c r="U3988" s="15"/>
      <c r="V3988" s="15"/>
      <c r="W3988" s="15"/>
      <c r="X3988" s="15"/>
      <c r="Y3988" s="15"/>
      <c r="Z3988" s="15"/>
      <c r="AA3988" s="15"/>
    </row>
    <row r="3989">
      <c r="A3989" s="5" t="s">
        <v>17395</v>
      </c>
      <c r="B3989" s="131" t="s">
        <v>17423</v>
      </c>
      <c r="C3989" s="40" t="s">
        <v>17389</v>
      </c>
      <c r="D3989" s="11"/>
      <c r="E3989" s="11" t="s">
        <v>12775</v>
      </c>
      <c r="F3989" s="90">
        <v>50.0</v>
      </c>
      <c r="G3989" s="321"/>
      <c r="H3989" s="11" t="s">
        <v>44</v>
      </c>
      <c r="I3989" s="423"/>
      <c r="J3989" s="14"/>
      <c r="K3989" s="13"/>
      <c r="L3989" s="13"/>
      <c r="M3989" s="14"/>
      <c r="N3989" s="15"/>
      <c r="O3989" s="5" t="s">
        <v>14119</v>
      </c>
      <c r="P3989" s="15"/>
      <c r="Q3989" s="15"/>
      <c r="R3989" s="422"/>
      <c r="S3989" s="15"/>
      <c r="T3989" s="15"/>
      <c r="U3989" s="15"/>
      <c r="V3989" s="15"/>
      <c r="W3989" s="15"/>
      <c r="X3989" s="15"/>
      <c r="Y3989" s="15"/>
      <c r="Z3989" s="15"/>
      <c r="AA3989" s="15"/>
    </row>
    <row r="3990">
      <c r="A3990" s="5" t="s">
        <v>17395</v>
      </c>
      <c r="B3990" s="131" t="s">
        <v>17424</v>
      </c>
      <c r="C3990" s="40" t="s">
        <v>5400</v>
      </c>
      <c r="D3990" s="11"/>
      <c r="E3990" s="11" t="s">
        <v>3555</v>
      </c>
      <c r="F3990" s="9">
        <v>25000.0</v>
      </c>
      <c r="G3990" s="321"/>
      <c r="H3990" s="11" t="s">
        <v>44</v>
      </c>
      <c r="I3990" s="276"/>
      <c r="J3990" s="11" t="s">
        <v>25</v>
      </c>
      <c r="K3990" s="13"/>
      <c r="L3990" s="13"/>
      <c r="M3990" s="14"/>
      <c r="N3990" s="15"/>
      <c r="O3990" s="5" t="s">
        <v>26</v>
      </c>
      <c r="P3990" s="15"/>
      <c r="Q3990" s="15"/>
      <c r="R3990" s="422"/>
      <c r="S3990" s="15"/>
      <c r="T3990" s="15"/>
      <c r="U3990" s="15"/>
      <c r="V3990" s="15"/>
      <c r="W3990" s="15"/>
      <c r="X3990" s="15"/>
      <c r="Y3990" s="15"/>
      <c r="Z3990" s="15"/>
      <c r="AA3990" s="15"/>
    </row>
    <row r="3991">
      <c r="A3991" s="5" t="s">
        <v>17395</v>
      </c>
      <c r="B3991" s="131" t="s">
        <v>17425</v>
      </c>
      <c r="C3991" s="40" t="s">
        <v>17426</v>
      </c>
      <c r="D3991" s="11"/>
      <c r="E3991" s="11" t="s">
        <v>7197</v>
      </c>
      <c r="F3991" s="9">
        <v>15000.0</v>
      </c>
      <c r="G3991" s="321"/>
      <c r="H3991" s="11" t="s">
        <v>17427</v>
      </c>
      <c r="I3991" s="276"/>
      <c r="J3991" s="11" t="s">
        <v>4008</v>
      </c>
      <c r="K3991" s="12"/>
      <c r="L3991" s="12"/>
      <c r="M3991" s="11" t="s">
        <v>9875</v>
      </c>
      <c r="N3991" s="5" t="s">
        <v>17428</v>
      </c>
      <c r="O3991" s="5" t="s">
        <v>108</v>
      </c>
      <c r="P3991" s="15"/>
      <c r="Q3991" s="15"/>
      <c r="R3991" s="422"/>
      <c r="S3991" s="15"/>
      <c r="T3991" s="15"/>
      <c r="U3991" s="15"/>
      <c r="V3991" s="15"/>
      <c r="W3991" s="15"/>
      <c r="X3991" s="15"/>
      <c r="Y3991" s="15"/>
      <c r="Z3991" s="15"/>
      <c r="AA3991" s="15"/>
    </row>
    <row r="3992">
      <c r="A3992" s="5" t="s">
        <v>17429</v>
      </c>
      <c r="B3992" s="131" t="s">
        <v>17430</v>
      </c>
      <c r="C3992" s="40" t="s">
        <v>17431</v>
      </c>
      <c r="D3992" s="11"/>
      <c r="E3992" s="11" t="s">
        <v>4481</v>
      </c>
      <c r="F3992" s="90">
        <v>300.0</v>
      </c>
      <c r="G3992" s="321"/>
      <c r="H3992" s="11" t="s">
        <v>44</v>
      </c>
      <c r="I3992" s="423"/>
      <c r="J3992" s="14"/>
      <c r="K3992" s="13"/>
      <c r="L3992" s="13"/>
      <c r="M3992" s="14"/>
      <c r="N3992" s="15"/>
      <c r="O3992" s="5" t="s">
        <v>14119</v>
      </c>
      <c r="P3992" s="15"/>
      <c r="Q3992" s="15"/>
      <c r="R3992" s="422"/>
      <c r="S3992" s="15"/>
      <c r="T3992" s="15"/>
      <c r="U3992" s="15"/>
      <c r="V3992" s="15"/>
      <c r="W3992" s="15"/>
      <c r="X3992" s="15"/>
      <c r="Y3992" s="15"/>
      <c r="Z3992" s="15"/>
      <c r="AA3992" s="15"/>
    </row>
    <row r="3993">
      <c r="A3993" s="5" t="s">
        <v>17429</v>
      </c>
      <c r="B3993" s="131" t="s">
        <v>17432</v>
      </c>
      <c r="C3993" s="40" t="s">
        <v>17433</v>
      </c>
      <c r="D3993" s="11"/>
      <c r="E3993" s="11" t="s">
        <v>38</v>
      </c>
      <c r="F3993" s="9">
        <v>100000.0</v>
      </c>
      <c r="G3993" s="321"/>
      <c r="H3993" s="11" t="s">
        <v>44</v>
      </c>
      <c r="I3993" s="276"/>
      <c r="J3993" s="11" t="s">
        <v>4008</v>
      </c>
      <c r="K3993" s="12"/>
      <c r="L3993" s="12"/>
      <c r="M3993" s="11" t="s">
        <v>17434</v>
      </c>
      <c r="N3993" s="5" t="s">
        <v>17435</v>
      </c>
      <c r="O3993" s="5" t="s">
        <v>26</v>
      </c>
      <c r="P3993" s="15"/>
      <c r="Q3993" s="15"/>
      <c r="R3993" s="422"/>
      <c r="S3993" s="15"/>
      <c r="T3993" s="15"/>
      <c r="U3993" s="15"/>
      <c r="V3993" s="15"/>
      <c r="W3993" s="15"/>
      <c r="X3993" s="15"/>
      <c r="Y3993" s="15"/>
      <c r="Z3993" s="15"/>
      <c r="AA3993" s="15"/>
    </row>
    <row r="3994">
      <c r="A3994" s="5" t="s">
        <v>17429</v>
      </c>
      <c r="B3994" s="131" t="s">
        <v>17436</v>
      </c>
      <c r="C3994" s="40" t="s">
        <v>17437</v>
      </c>
      <c r="D3994" s="11"/>
      <c r="E3994" s="11" t="s">
        <v>17438</v>
      </c>
      <c r="F3994" s="90" t="s">
        <v>17439</v>
      </c>
      <c r="G3994" s="321"/>
      <c r="H3994" s="11" t="s">
        <v>17440</v>
      </c>
      <c r="I3994" s="276"/>
      <c r="J3994" s="11" t="s">
        <v>4008</v>
      </c>
      <c r="K3994" s="12"/>
      <c r="L3994" s="12"/>
      <c r="M3994" s="11" t="s">
        <v>17441</v>
      </c>
      <c r="N3994" s="5" t="s">
        <v>17442</v>
      </c>
      <c r="O3994" s="5" t="s">
        <v>11367</v>
      </c>
      <c r="P3994" s="15"/>
      <c r="Q3994" s="15"/>
      <c r="R3994" s="422"/>
      <c r="S3994" s="15"/>
      <c r="T3994" s="15"/>
      <c r="U3994" s="15"/>
      <c r="V3994" s="15"/>
      <c r="W3994" s="15"/>
      <c r="X3994" s="15"/>
      <c r="Y3994" s="15"/>
      <c r="Z3994" s="15"/>
      <c r="AA3994" s="15"/>
    </row>
    <row r="3995">
      <c r="A3995" s="5" t="s">
        <v>17429</v>
      </c>
      <c r="B3995" s="131" t="s">
        <v>17443</v>
      </c>
      <c r="C3995" s="40" t="s">
        <v>17444</v>
      </c>
      <c r="D3995" s="11"/>
      <c r="E3995" s="11" t="s">
        <v>17445</v>
      </c>
      <c r="F3995" s="90" t="s">
        <v>17446</v>
      </c>
      <c r="G3995" s="321"/>
      <c r="H3995" s="11" t="s">
        <v>44</v>
      </c>
      <c r="I3995" s="276"/>
      <c r="J3995" s="11" t="s">
        <v>17447</v>
      </c>
      <c r="K3995" s="13"/>
      <c r="L3995" s="13"/>
      <c r="M3995" s="14"/>
      <c r="N3995" s="15"/>
      <c r="O3995" s="5" t="s">
        <v>11367</v>
      </c>
      <c r="P3995" s="15"/>
      <c r="Q3995" s="15"/>
      <c r="R3995" s="422"/>
      <c r="S3995" s="15"/>
      <c r="T3995" s="15"/>
      <c r="U3995" s="15"/>
      <c r="V3995" s="15"/>
      <c r="W3995" s="15"/>
      <c r="X3995" s="15"/>
      <c r="Y3995" s="15"/>
      <c r="Z3995" s="15"/>
      <c r="AA3995" s="15"/>
    </row>
    <row r="3996">
      <c r="A3996" s="5" t="s">
        <v>17429</v>
      </c>
      <c r="B3996" s="131" t="s">
        <v>17448</v>
      </c>
      <c r="C3996" s="40" t="s">
        <v>17449</v>
      </c>
      <c r="D3996" s="11"/>
      <c r="E3996" s="11" t="s">
        <v>5613</v>
      </c>
      <c r="F3996" s="90">
        <v>2000.0</v>
      </c>
      <c r="G3996" s="321"/>
      <c r="H3996" s="11" t="s">
        <v>507</v>
      </c>
      <c r="I3996" s="423"/>
      <c r="J3996" s="14"/>
      <c r="K3996" s="13"/>
      <c r="L3996" s="13"/>
      <c r="M3996" s="14"/>
      <c r="N3996" s="15"/>
      <c r="O3996" s="5" t="s">
        <v>108</v>
      </c>
      <c r="P3996" s="15"/>
      <c r="Q3996" s="15"/>
      <c r="R3996" s="422"/>
      <c r="S3996" s="15"/>
      <c r="T3996" s="15"/>
      <c r="U3996" s="15"/>
      <c r="V3996" s="15"/>
      <c r="W3996" s="15"/>
      <c r="X3996" s="15"/>
      <c r="Y3996" s="15"/>
      <c r="Z3996" s="15"/>
      <c r="AA3996" s="15"/>
    </row>
    <row r="3997">
      <c r="A3997" s="5" t="s">
        <v>17429</v>
      </c>
      <c r="B3997" s="131" t="s">
        <v>17450</v>
      </c>
      <c r="C3997" s="40" t="s">
        <v>16769</v>
      </c>
      <c r="D3997" s="11"/>
      <c r="E3997" s="11" t="s">
        <v>6719</v>
      </c>
      <c r="F3997" s="90">
        <v>30.0</v>
      </c>
      <c r="G3997" s="321"/>
      <c r="H3997" s="11" t="s">
        <v>44</v>
      </c>
      <c r="I3997" s="423"/>
      <c r="J3997" s="14"/>
      <c r="K3997" s="13"/>
      <c r="L3997" s="13"/>
      <c r="M3997" s="14"/>
      <c r="N3997" s="15"/>
      <c r="O3997" s="5" t="s">
        <v>14119</v>
      </c>
      <c r="P3997" s="15"/>
      <c r="Q3997" s="15"/>
      <c r="R3997" s="422"/>
      <c r="S3997" s="15"/>
      <c r="T3997" s="15"/>
      <c r="U3997" s="15"/>
      <c r="V3997" s="15"/>
      <c r="W3997" s="15"/>
      <c r="X3997" s="15"/>
      <c r="Y3997" s="15"/>
      <c r="Z3997" s="15"/>
      <c r="AA3997" s="15"/>
    </row>
    <row r="3998">
      <c r="A3998" s="5" t="s">
        <v>17429</v>
      </c>
      <c r="B3998" s="131" t="s">
        <v>17451</v>
      </c>
      <c r="C3998" s="40" t="s">
        <v>17452</v>
      </c>
      <c r="D3998" s="11"/>
      <c r="E3998" s="11" t="s">
        <v>17453</v>
      </c>
      <c r="F3998" s="90">
        <v>1000.0</v>
      </c>
      <c r="G3998" s="321"/>
      <c r="H3998" s="11" t="s">
        <v>1414</v>
      </c>
      <c r="I3998" s="276"/>
      <c r="J3998" s="11" t="s">
        <v>14563</v>
      </c>
      <c r="K3998" s="13"/>
      <c r="L3998" s="13"/>
      <c r="M3998" s="14"/>
      <c r="N3998" s="15"/>
      <c r="O3998" s="5" t="s">
        <v>26</v>
      </c>
      <c r="P3998" s="15"/>
      <c r="Q3998" s="15"/>
      <c r="R3998" s="422"/>
      <c r="S3998" s="15"/>
      <c r="T3998" s="15"/>
      <c r="U3998" s="15"/>
      <c r="V3998" s="15"/>
      <c r="W3998" s="15"/>
      <c r="X3998" s="15"/>
      <c r="Y3998" s="15"/>
      <c r="Z3998" s="15"/>
      <c r="AA3998" s="15"/>
    </row>
    <row r="3999">
      <c r="A3999" s="5" t="s">
        <v>17429</v>
      </c>
      <c r="B3999" s="131" t="s">
        <v>17454</v>
      </c>
      <c r="C3999" s="40" t="s">
        <v>17455</v>
      </c>
      <c r="D3999" s="11"/>
      <c r="E3999" s="11" t="s">
        <v>17456</v>
      </c>
      <c r="F3999" s="90">
        <v>500.0</v>
      </c>
      <c r="G3999" s="321"/>
      <c r="H3999" s="11" t="s">
        <v>283</v>
      </c>
      <c r="I3999" s="423"/>
      <c r="J3999" s="14"/>
      <c r="K3999" s="13"/>
      <c r="L3999" s="13"/>
      <c r="M3999" s="14"/>
      <c r="N3999" s="15"/>
      <c r="O3999" s="5" t="s">
        <v>26</v>
      </c>
      <c r="P3999" s="15"/>
      <c r="Q3999" s="15"/>
      <c r="R3999" s="422"/>
      <c r="S3999" s="15"/>
      <c r="T3999" s="15"/>
      <c r="U3999" s="15"/>
      <c r="V3999" s="15"/>
      <c r="W3999" s="15"/>
      <c r="X3999" s="15"/>
      <c r="Y3999" s="15"/>
      <c r="Z3999" s="15"/>
      <c r="AA3999" s="15"/>
    </row>
    <row r="4000">
      <c r="A4000" s="5" t="s">
        <v>17429</v>
      </c>
      <c r="B4000" s="131" t="s">
        <v>17457</v>
      </c>
      <c r="C4000" s="40" t="s">
        <v>11381</v>
      </c>
      <c r="D4000" s="11"/>
      <c r="E4000" s="11" t="s">
        <v>3165</v>
      </c>
      <c r="F4000" s="90">
        <v>200.0</v>
      </c>
      <c r="G4000" s="321"/>
      <c r="H4000" s="11" t="s">
        <v>184</v>
      </c>
      <c r="I4000" s="423"/>
      <c r="J4000" s="14"/>
      <c r="K4000" s="12"/>
      <c r="L4000" s="12"/>
      <c r="M4000" s="11" t="s">
        <v>17458</v>
      </c>
      <c r="N4000" s="5" t="s">
        <v>17459</v>
      </c>
      <c r="O4000" s="5" t="s">
        <v>14119</v>
      </c>
      <c r="P4000" s="15"/>
      <c r="Q4000" s="15"/>
      <c r="R4000" s="422"/>
      <c r="S4000" s="15"/>
      <c r="T4000" s="15"/>
      <c r="U4000" s="15"/>
      <c r="V4000" s="15"/>
      <c r="W4000" s="15"/>
      <c r="X4000" s="15"/>
      <c r="Y4000" s="15"/>
      <c r="Z4000" s="15"/>
      <c r="AA4000" s="15"/>
    </row>
    <row r="4001">
      <c r="A4001" s="5" t="s">
        <v>17429</v>
      </c>
      <c r="B4001" s="131" t="s">
        <v>17460</v>
      </c>
      <c r="C4001" s="40" t="s">
        <v>17461</v>
      </c>
      <c r="D4001" s="11"/>
      <c r="E4001" s="11" t="s">
        <v>152</v>
      </c>
      <c r="F4001" s="90">
        <v>100.0</v>
      </c>
      <c r="G4001" s="321"/>
      <c r="H4001" s="11" t="s">
        <v>44</v>
      </c>
      <c r="I4001" s="423"/>
      <c r="J4001" s="14"/>
      <c r="K4001" s="13"/>
      <c r="L4001" s="13"/>
      <c r="M4001" s="14"/>
      <c r="N4001" s="15"/>
      <c r="O4001" s="5" t="s">
        <v>14119</v>
      </c>
      <c r="P4001" s="15"/>
      <c r="Q4001" s="15"/>
      <c r="R4001" s="422"/>
      <c r="S4001" s="15"/>
      <c r="T4001" s="15"/>
      <c r="U4001" s="15"/>
      <c r="V4001" s="15"/>
      <c r="W4001" s="15"/>
      <c r="X4001" s="15"/>
      <c r="Y4001" s="15"/>
      <c r="Z4001" s="15"/>
      <c r="AA4001" s="15"/>
    </row>
    <row r="4002">
      <c r="A4002" s="5" t="s">
        <v>17429</v>
      </c>
      <c r="B4002" s="131" t="s">
        <v>17462</v>
      </c>
      <c r="C4002" s="40" t="s">
        <v>17463</v>
      </c>
      <c r="D4002" s="11"/>
      <c r="E4002" s="11" t="s">
        <v>17464</v>
      </c>
      <c r="F4002" s="90" t="s">
        <v>17465</v>
      </c>
      <c r="G4002" s="321"/>
      <c r="H4002" s="11" t="s">
        <v>44</v>
      </c>
      <c r="I4002" s="423"/>
      <c r="J4002" s="14"/>
      <c r="K4002" s="13"/>
      <c r="L4002" s="13"/>
      <c r="M4002" s="14"/>
      <c r="N4002" s="15"/>
      <c r="O4002" s="5" t="s">
        <v>14119</v>
      </c>
      <c r="P4002" s="15"/>
      <c r="Q4002" s="15"/>
      <c r="R4002" s="422"/>
      <c r="S4002" s="15"/>
      <c r="T4002" s="15"/>
      <c r="U4002" s="15"/>
      <c r="V4002" s="15"/>
      <c r="W4002" s="15"/>
      <c r="X4002" s="15"/>
      <c r="Y4002" s="15"/>
      <c r="Z4002" s="15"/>
      <c r="AA4002" s="15"/>
    </row>
    <row r="4003">
      <c r="A4003" s="5" t="s">
        <v>17429</v>
      </c>
      <c r="B4003" s="131" t="s">
        <v>17466</v>
      </c>
      <c r="C4003" s="40" t="s">
        <v>17467</v>
      </c>
      <c r="D4003" s="11"/>
      <c r="E4003" s="11" t="s">
        <v>3571</v>
      </c>
      <c r="F4003" s="90">
        <v>1000.0</v>
      </c>
      <c r="G4003" s="321"/>
      <c r="H4003" s="11" t="s">
        <v>131</v>
      </c>
      <c r="I4003" s="423"/>
      <c r="J4003" s="14"/>
      <c r="K4003" s="12"/>
      <c r="L4003" s="12"/>
      <c r="M4003" s="11" t="s">
        <v>9983</v>
      </c>
      <c r="N4003" s="5" t="s">
        <v>17468</v>
      </c>
      <c r="O4003" s="5" t="s">
        <v>108</v>
      </c>
      <c r="P4003" s="15"/>
      <c r="Q4003" s="15"/>
      <c r="R4003" s="422"/>
      <c r="S4003" s="15"/>
      <c r="T4003" s="15"/>
      <c r="U4003" s="15"/>
      <c r="V4003" s="15"/>
      <c r="W4003" s="15"/>
      <c r="X4003" s="15"/>
      <c r="Y4003" s="15"/>
      <c r="Z4003" s="15"/>
      <c r="AA4003" s="15"/>
    </row>
    <row r="4004">
      <c r="A4004" s="5" t="s">
        <v>17429</v>
      </c>
      <c r="B4004" s="131" t="s">
        <v>17469</v>
      </c>
      <c r="C4004" s="40" t="s">
        <v>17470</v>
      </c>
      <c r="D4004" s="11"/>
      <c r="E4004" s="11" t="s">
        <v>38</v>
      </c>
      <c r="F4004" s="90">
        <v>200.0</v>
      </c>
      <c r="G4004" s="321"/>
      <c r="H4004" s="11" t="s">
        <v>8781</v>
      </c>
      <c r="I4004" s="276"/>
      <c r="J4004" s="11" t="s">
        <v>4008</v>
      </c>
      <c r="K4004" s="12"/>
      <c r="L4004" s="12"/>
      <c r="M4004" s="11" t="s">
        <v>8707</v>
      </c>
      <c r="N4004" s="5" t="s">
        <v>17471</v>
      </c>
      <c r="O4004" s="5" t="s">
        <v>14119</v>
      </c>
      <c r="P4004" s="15"/>
      <c r="Q4004" s="15"/>
      <c r="R4004" s="422"/>
      <c r="S4004" s="15"/>
      <c r="T4004" s="15"/>
      <c r="U4004" s="15"/>
      <c r="V4004" s="15"/>
      <c r="W4004" s="15"/>
      <c r="X4004" s="15"/>
      <c r="Y4004" s="15"/>
      <c r="Z4004" s="15"/>
      <c r="AA4004" s="15"/>
    </row>
    <row r="4005">
      <c r="A4005" s="5" t="s">
        <v>17429</v>
      </c>
      <c r="B4005" s="131" t="s">
        <v>17472</v>
      </c>
      <c r="C4005" s="40" t="s">
        <v>17473</v>
      </c>
      <c r="D4005" s="11"/>
      <c r="E4005" s="11" t="s">
        <v>152</v>
      </c>
      <c r="F4005" s="90">
        <v>600.0</v>
      </c>
      <c r="G4005" s="321"/>
      <c r="H4005" s="11" t="s">
        <v>17474</v>
      </c>
      <c r="I4005" s="276"/>
      <c r="J4005" s="11" t="s">
        <v>25</v>
      </c>
      <c r="K4005" s="12"/>
      <c r="L4005" s="12"/>
      <c r="M4005" s="11" t="s">
        <v>9742</v>
      </c>
      <c r="N4005" s="5" t="s">
        <v>17475</v>
      </c>
      <c r="O4005" s="5" t="s">
        <v>108</v>
      </c>
      <c r="P4005" s="15"/>
      <c r="Q4005" s="15"/>
      <c r="R4005" s="422"/>
      <c r="S4005" s="15"/>
      <c r="T4005" s="15"/>
      <c r="U4005" s="15"/>
      <c r="V4005" s="15"/>
      <c r="W4005" s="15"/>
      <c r="X4005" s="15"/>
      <c r="Y4005" s="15"/>
      <c r="Z4005" s="15"/>
      <c r="AA4005" s="15"/>
    </row>
    <row r="4006">
      <c r="A4006" s="5" t="s">
        <v>17476</v>
      </c>
      <c r="B4006" s="131" t="s">
        <v>17477</v>
      </c>
      <c r="C4006" s="40" t="s">
        <v>10511</v>
      </c>
      <c r="D4006" s="11"/>
      <c r="E4006" s="11" t="s">
        <v>6110</v>
      </c>
      <c r="F4006" s="9">
        <v>25000.0</v>
      </c>
      <c r="G4006" s="321"/>
      <c r="H4006" s="11" t="s">
        <v>17478</v>
      </c>
      <c r="I4006" s="276"/>
      <c r="J4006" s="11" t="s">
        <v>4008</v>
      </c>
      <c r="K4006" s="13"/>
      <c r="L4006" s="13"/>
      <c r="M4006" s="14"/>
      <c r="N4006" s="15"/>
      <c r="O4006" s="5" t="s">
        <v>108</v>
      </c>
      <c r="P4006" s="15"/>
      <c r="Q4006" s="15"/>
      <c r="R4006" s="422"/>
      <c r="S4006" s="15"/>
      <c r="T4006" s="15"/>
      <c r="U4006" s="15"/>
      <c r="V4006" s="15"/>
      <c r="W4006" s="15"/>
      <c r="X4006" s="15"/>
      <c r="Y4006" s="15"/>
      <c r="Z4006" s="15"/>
      <c r="AA4006" s="15"/>
    </row>
    <row r="4007">
      <c r="A4007" s="5" t="s">
        <v>17476</v>
      </c>
      <c r="B4007" s="131" t="s">
        <v>17479</v>
      </c>
      <c r="C4007" s="40" t="s">
        <v>17480</v>
      </c>
      <c r="D4007" s="11"/>
      <c r="E4007" s="11" t="s">
        <v>152</v>
      </c>
      <c r="F4007" s="90">
        <v>200.0</v>
      </c>
      <c r="G4007" s="321"/>
      <c r="H4007" s="11" t="s">
        <v>930</v>
      </c>
      <c r="I4007" s="423"/>
      <c r="J4007" s="14"/>
      <c r="K4007" s="13"/>
      <c r="L4007" s="13"/>
      <c r="M4007" s="14"/>
      <c r="N4007" s="15"/>
      <c r="O4007" s="5" t="s">
        <v>14119</v>
      </c>
      <c r="P4007" s="15"/>
      <c r="Q4007" s="15"/>
      <c r="R4007" s="422"/>
      <c r="S4007" s="15"/>
      <c r="T4007" s="15"/>
      <c r="U4007" s="15"/>
      <c r="V4007" s="15"/>
      <c r="W4007" s="15"/>
      <c r="X4007" s="15"/>
      <c r="Y4007" s="15"/>
      <c r="Z4007" s="15"/>
      <c r="AA4007" s="15"/>
    </row>
    <row r="4008">
      <c r="A4008" s="5" t="s">
        <v>17476</v>
      </c>
      <c r="B4008" s="131" t="s">
        <v>17481</v>
      </c>
      <c r="C4008" s="40" t="s">
        <v>17482</v>
      </c>
      <c r="D4008" s="11"/>
      <c r="E4008" s="11" t="s">
        <v>11430</v>
      </c>
      <c r="F4008" s="9">
        <v>100000.0</v>
      </c>
      <c r="G4008" s="321"/>
      <c r="H4008" s="11" t="s">
        <v>44</v>
      </c>
      <c r="I4008" s="276"/>
      <c r="J4008" s="11" t="s">
        <v>4008</v>
      </c>
      <c r="K4008" s="13"/>
      <c r="L4008" s="13"/>
      <c r="M4008" s="14"/>
      <c r="N4008" s="15"/>
      <c r="O4008" s="5" t="s">
        <v>26</v>
      </c>
      <c r="P4008" s="15"/>
      <c r="Q4008" s="15"/>
      <c r="R4008" s="422"/>
      <c r="S4008" s="15"/>
      <c r="T4008" s="15"/>
      <c r="U4008" s="15"/>
      <c r="V4008" s="15"/>
      <c r="W4008" s="15"/>
      <c r="X4008" s="15"/>
      <c r="Y4008" s="15"/>
      <c r="Z4008" s="15"/>
      <c r="AA4008" s="15"/>
    </row>
    <row r="4009">
      <c r="A4009" s="5" t="s">
        <v>17476</v>
      </c>
      <c r="B4009" s="131" t="s">
        <v>17483</v>
      </c>
      <c r="C4009" s="40" t="s">
        <v>17484</v>
      </c>
      <c r="D4009" s="11"/>
      <c r="E4009" s="11" t="s">
        <v>576</v>
      </c>
      <c r="F4009" s="90">
        <v>500.0</v>
      </c>
      <c r="G4009" s="321"/>
      <c r="H4009" s="11" t="s">
        <v>17485</v>
      </c>
      <c r="I4009" s="423"/>
      <c r="J4009" s="14"/>
      <c r="K4009" s="13"/>
      <c r="L4009" s="13"/>
      <c r="M4009" s="14"/>
      <c r="N4009" s="15"/>
      <c r="O4009" s="5" t="s">
        <v>108</v>
      </c>
      <c r="P4009" s="15"/>
      <c r="Q4009" s="15"/>
      <c r="R4009" s="422"/>
      <c r="S4009" s="15"/>
      <c r="T4009" s="15"/>
      <c r="U4009" s="15"/>
      <c r="V4009" s="15"/>
      <c r="W4009" s="15"/>
      <c r="X4009" s="15"/>
      <c r="Y4009" s="15"/>
      <c r="Z4009" s="15"/>
      <c r="AA4009" s="15"/>
    </row>
    <row r="4010">
      <c r="A4010" s="5" t="s">
        <v>17476</v>
      </c>
      <c r="B4010" s="131" t="s">
        <v>17486</v>
      </c>
      <c r="C4010" s="40" t="s">
        <v>14572</v>
      </c>
      <c r="D4010" s="11"/>
      <c r="E4010" s="11" t="s">
        <v>38</v>
      </c>
      <c r="F4010" s="90">
        <v>100.0</v>
      </c>
      <c r="G4010" s="321"/>
      <c r="H4010" s="11" t="s">
        <v>17487</v>
      </c>
      <c r="I4010" s="423"/>
      <c r="J4010" s="14"/>
      <c r="K4010" s="12"/>
      <c r="L4010" s="12"/>
      <c r="M4010" s="11" t="s">
        <v>17276</v>
      </c>
      <c r="N4010" s="5" t="s">
        <v>17488</v>
      </c>
      <c r="O4010" s="5" t="s">
        <v>14119</v>
      </c>
      <c r="P4010" s="15"/>
      <c r="Q4010" s="15"/>
      <c r="R4010" s="422"/>
      <c r="S4010" s="15"/>
      <c r="T4010" s="15"/>
      <c r="U4010" s="15"/>
      <c r="V4010" s="15"/>
      <c r="W4010" s="15"/>
      <c r="X4010" s="15"/>
      <c r="Y4010" s="15"/>
      <c r="Z4010" s="15"/>
      <c r="AA4010" s="15"/>
    </row>
    <row r="4011">
      <c r="A4011" s="5" t="s">
        <v>17476</v>
      </c>
      <c r="B4011" s="131" t="s">
        <v>17489</v>
      </c>
      <c r="C4011" s="40" t="s">
        <v>17490</v>
      </c>
      <c r="D4011" s="11"/>
      <c r="E4011" s="11" t="s">
        <v>576</v>
      </c>
      <c r="F4011" s="90">
        <v>100.0</v>
      </c>
      <c r="G4011" s="321"/>
      <c r="H4011" s="11" t="s">
        <v>44</v>
      </c>
      <c r="I4011" s="423"/>
      <c r="J4011" s="14"/>
      <c r="K4011" s="13"/>
      <c r="L4011" s="13"/>
      <c r="M4011" s="14"/>
      <c r="N4011" s="15"/>
      <c r="O4011" s="5" t="s">
        <v>14119</v>
      </c>
      <c r="P4011" s="15"/>
      <c r="Q4011" s="15"/>
      <c r="R4011" s="422"/>
      <c r="S4011" s="15"/>
      <c r="T4011" s="15"/>
      <c r="U4011" s="15"/>
      <c r="V4011" s="15"/>
      <c r="W4011" s="15"/>
      <c r="X4011" s="15"/>
      <c r="Y4011" s="15"/>
      <c r="Z4011" s="15"/>
      <c r="AA4011" s="15"/>
    </row>
    <row r="4012">
      <c r="A4012" s="5" t="s">
        <v>17476</v>
      </c>
      <c r="B4012" s="131" t="s">
        <v>17491</v>
      </c>
      <c r="C4012" s="40" t="s">
        <v>17492</v>
      </c>
      <c r="D4012" s="11"/>
      <c r="E4012" s="11" t="s">
        <v>5774</v>
      </c>
      <c r="F4012" s="90">
        <v>1000.0</v>
      </c>
      <c r="G4012" s="321"/>
      <c r="H4012" s="11" t="s">
        <v>99</v>
      </c>
      <c r="I4012" s="276"/>
      <c r="J4012" s="11" t="s">
        <v>7221</v>
      </c>
      <c r="K4012" s="13"/>
      <c r="L4012" s="13"/>
      <c r="M4012" s="14"/>
      <c r="N4012" s="15"/>
      <c r="O4012" s="5" t="s">
        <v>108</v>
      </c>
      <c r="P4012" s="15"/>
      <c r="Q4012" s="15"/>
      <c r="R4012" s="422"/>
      <c r="S4012" s="15"/>
      <c r="T4012" s="15"/>
      <c r="U4012" s="15"/>
      <c r="V4012" s="15"/>
      <c r="W4012" s="15"/>
      <c r="X4012" s="15"/>
      <c r="Y4012" s="15"/>
      <c r="Z4012" s="15"/>
      <c r="AA4012" s="15"/>
    </row>
    <row r="4013">
      <c r="A4013" s="5" t="s">
        <v>17476</v>
      </c>
      <c r="B4013" s="131" t="s">
        <v>17493</v>
      </c>
      <c r="C4013" s="40" t="s">
        <v>17494</v>
      </c>
      <c r="D4013" s="11"/>
      <c r="E4013" s="11" t="s">
        <v>38</v>
      </c>
      <c r="F4013" s="90">
        <v>200.0</v>
      </c>
      <c r="G4013" s="321"/>
      <c r="H4013" s="11" t="s">
        <v>44</v>
      </c>
      <c r="I4013" s="423"/>
      <c r="J4013" s="14"/>
      <c r="K4013" s="12"/>
      <c r="L4013" s="12"/>
      <c r="M4013" s="11" t="s">
        <v>8707</v>
      </c>
      <c r="N4013" s="5" t="s">
        <v>17495</v>
      </c>
      <c r="O4013" s="5" t="s">
        <v>14119</v>
      </c>
      <c r="P4013" s="15"/>
      <c r="Q4013" s="15"/>
      <c r="R4013" s="422"/>
      <c r="S4013" s="15"/>
      <c r="T4013" s="15"/>
      <c r="U4013" s="15"/>
      <c r="V4013" s="15"/>
      <c r="W4013" s="15"/>
      <c r="X4013" s="15"/>
      <c r="Y4013" s="15"/>
      <c r="Z4013" s="15"/>
      <c r="AA4013" s="15"/>
    </row>
    <row r="4014">
      <c r="A4014" s="5" t="s">
        <v>17476</v>
      </c>
      <c r="B4014" s="131" t="s">
        <v>17496</v>
      </c>
      <c r="C4014" s="40" t="s">
        <v>17497</v>
      </c>
      <c r="D4014" s="11"/>
      <c r="E4014" s="11" t="s">
        <v>960</v>
      </c>
      <c r="F4014" s="90">
        <v>100.0</v>
      </c>
      <c r="G4014" s="321"/>
      <c r="H4014" s="11" t="s">
        <v>17498</v>
      </c>
      <c r="I4014" s="423"/>
      <c r="J4014" s="14"/>
      <c r="K4014" s="13"/>
      <c r="L4014" s="13"/>
      <c r="M4014" s="14"/>
      <c r="N4014" s="15"/>
      <c r="O4014" s="5" t="s">
        <v>14119</v>
      </c>
      <c r="P4014" s="15"/>
      <c r="Q4014" s="15"/>
      <c r="R4014" s="422"/>
      <c r="S4014" s="15"/>
      <c r="T4014" s="15"/>
      <c r="U4014" s="15"/>
      <c r="V4014" s="15"/>
      <c r="W4014" s="15"/>
      <c r="X4014" s="15"/>
      <c r="Y4014" s="15"/>
      <c r="Z4014" s="15"/>
      <c r="AA4014" s="15"/>
    </row>
    <row r="4015">
      <c r="A4015" s="5" t="s">
        <v>17476</v>
      </c>
      <c r="B4015" s="131" t="s">
        <v>17499</v>
      </c>
      <c r="C4015" s="40" t="s">
        <v>5856</v>
      </c>
      <c r="D4015" s="11"/>
      <c r="E4015" s="11" t="s">
        <v>894</v>
      </c>
      <c r="F4015" s="90">
        <v>200.0</v>
      </c>
      <c r="G4015" s="321"/>
      <c r="H4015" s="11" t="s">
        <v>11951</v>
      </c>
      <c r="I4015" s="423"/>
      <c r="J4015" s="14"/>
      <c r="K4015" s="13"/>
      <c r="L4015" s="13"/>
      <c r="M4015" s="14"/>
      <c r="N4015" s="15"/>
      <c r="O4015" s="5" t="s">
        <v>14119</v>
      </c>
      <c r="P4015" s="15"/>
      <c r="Q4015" s="15"/>
      <c r="R4015" s="422"/>
      <c r="S4015" s="15"/>
      <c r="T4015" s="15"/>
      <c r="U4015" s="15"/>
      <c r="V4015" s="15"/>
      <c r="W4015" s="15"/>
      <c r="X4015" s="15"/>
      <c r="Y4015" s="15"/>
      <c r="Z4015" s="15"/>
      <c r="AA4015" s="15"/>
    </row>
    <row r="4016">
      <c r="A4016" s="5" t="s">
        <v>17476</v>
      </c>
      <c r="B4016" s="131" t="s">
        <v>17500</v>
      </c>
      <c r="C4016" s="40" t="s">
        <v>17501</v>
      </c>
      <c r="D4016" s="11"/>
      <c r="E4016" s="11" t="s">
        <v>11748</v>
      </c>
      <c r="F4016" s="9">
        <v>10000.0</v>
      </c>
      <c r="G4016" s="321"/>
      <c r="H4016" s="11" t="s">
        <v>17502</v>
      </c>
      <c r="I4016" s="423"/>
      <c r="J4016" s="14"/>
      <c r="K4016" s="13"/>
      <c r="L4016" s="13"/>
      <c r="M4016" s="14"/>
      <c r="N4016" s="15"/>
      <c r="O4016" s="5" t="s">
        <v>108</v>
      </c>
      <c r="P4016" s="15"/>
      <c r="Q4016" s="15"/>
      <c r="R4016" s="422"/>
      <c r="S4016" s="15"/>
      <c r="T4016" s="15"/>
      <c r="U4016" s="15"/>
      <c r="V4016" s="15"/>
      <c r="W4016" s="15"/>
      <c r="X4016" s="15"/>
      <c r="Y4016" s="15"/>
      <c r="Z4016" s="15"/>
      <c r="AA4016" s="15"/>
    </row>
    <row r="4017">
      <c r="A4017" s="5" t="s">
        <v>17476</v>
      </c>
      <c r="B4017" s="131" t="s">
        <v>17503</v>
      </c>
      <c r="C4017" s="40" t="s">
        <v>17504</v>
      </c>
      <c r="D4017" s="11"/>
      <c r="E4017" s="11" t="s">
        <v>5502</v>
      </c>
      <c r="F4017" s="90" t="s">
        <v>15446</v>
      </c>
      <c r="G4017" s="321"/>
      <c r="H4017" s="11" t="s">
        <v>17505</v>
      </c>
      <c r="I4017" s="276"/>
      <c r="J4017" s="11" t="s">
        <v>25</v>
      </c>
      <c r="K4017" s="12"/>
      <c r="L4017" s="12"/>
      <c r="M4017" s="11" t="s">
        <v>16827</v>
      </c>
      <c r="N4017" s="5" t="s">
        <v>17506</v>
      </c>
      <c r="O4017" s="5" t="s">
        <v>108</v>
      </c>
      <c r="P4017" s="15"/>
      <c r="Q4017" s="15"/>
      <c r="R4017" s="422"/>
      <c r="S4017" s="15"/>
      <c r="T4017" s="15"/>
      <c r="U4017" s="15"/>
      <c r="V4017" s="15"/>
      <c r="W4017" s="15"/>
      <c r="X4017" s="15"/>
      <c r="Y4017" s="15"/>
      <c r="Z4017" s="15"/>
      <c r="AA4017" s="15"/>
    </row>
    <row r="4018">
      <c r="A4018" s="5" t="s">
        <v>17507</v>
      </c>
      <c r="B4018" s="131" t="s">
        <v>17508</v>
      </c>
      <c r="C4018" s="40" t="s">
        <v>17509</v>
      </c>
      <c r="D4018" s="11"/>
      <c r="E4018" s="11" t="s">
        <v>539</v>
      </c>
      <c r="F4018" s="90">
        <v>300.0</v>
      </c>
      <c r="G4018" s="321"/>
      <c r="H4018" s="11" t="s">
        <v>268</v>
      </c>
      <c r="I4018" s="423"/>
      <c r="J4018" s="14"/>
      <c r="K4018" s="12"/>
      <c r="L4018" s="12"/>
      <c r="M4018" s="11" t="s">
        <v>17510</v>
      </c>
      <c r="N4018" s="5" t="s">
        <v>17511</v>
      </c>
      <c r="O4018" s="5" t="s">
        <v>14119</v>
      </c>
      <c r="P4018" s="15"/>
      <c r="Q4018" s="15"/>
      <c r="R4018" s="422"/>
      <c r="S4018" s="15"/>
      <c r="T4018" s="15"/>
      <c r="U4018" s="15"/>
      <c r="V4018" s="15"/>
      <c r="W4018" s="15"/>
      <c r="X4018" s="15"/>
      <c r="Y4018" s="15"/>
      <c r="Z4018" s="15"/>
      <c r="AA4018" s="15"/>
    </row>
    <row r="4019">
      <c r="A4019" s="5" t="s">
        <v>17507</v>
      </c>
      <c r="B4019" s="131" t="s">
        <v>17512</v>
      </c>
      <c r="C4019" s="40" t="s">
        <v>17513</v>
      </c>
      <c r="D4019" s="11"/>
      <c r="E4019" s="11" t="s">
        <v>5502</v>
      </c>
      <c r="F4019" s="90" t="s">
        <v>14893</v>
      </c>
      <c r="G4019" s="321"/>
      <c r="H4019" s="11" t="s">
        <v>17514</v>
      </c>
      <c r="I4019" s="423"/>
      <c r="J4019" s="14"/>
      <c r="K4019" s="12"/>
      <c r="L4019" s="12"/>
      <c r="M4019" s="11" t="s">
        <v>17515</v>
      </c>
      <c r="N4019" s="5" t="s">
        <v>17516</v>
      </c>
      <c r="O4019" s="5" t="s">
        <v>108</v>
      </c>
      <c r="P4019" s="15"/>
      <c r="Q4019" s="15"/>
      <c r="R4019" s="422"/>
      <c r="S4019" s="15"/>
      <c r="T4019" s="15"/>
      <c r="U4019" s="15"/>
      <c r="V4019" s="15"/>
      <c r="W4019" s="15"/>
      <c r="X4019" s="15"/>
      <c r="Y4019" s="15"/>
      <c r="Z4019" s="15"/>
      <c r="AA4019" s="15"/>
    </row>
    <row r="4020">
      <c r="A4020" s="5" t="s">
        <v>17507</v>
      </c>
      <c r="B4020" s="131" t="s">
        <v>17517</v>
      </c>
      <c r="C4020" s="40" t="s">
        <v>17518</v>
      </c>
      <c r="D4020" s="11"/>
      <c r="E4020" s="11" t="s">
        <v>156</v>
      </c>
      <c r="F4020" s="9">
        <v>20000.0</v>
      </c>
      <c r="G4020" s="321"/>
      <c r="H4020" s="11" t="s">
        <v>13897</v>
      </c>
      <c r="I4020" s="423"/>
      <c r="J4020" s="14"/>
      <c r="K4020" s="12"/>
      <c r="L4020" s="12"/>
      <c r="M4020" s="11" t="s">
        <v>9649</v>
      </c>
      <c r="N4020" s="5" t="s">
        <v>17519</v>
      </c>
      <c r="O4020" s="5" t="s">
        <v>26</v>
      </c>
      <c r="P4020" s="15"/>
      <c r="Q4020" s="15"/>
      <c r="R4020" s="422"/>
      <c r="S4020" s="15"/>
      <c r="T4020" s="15"/>
      <c r="U4020" s="15"/>
      <c r="V4020" s="15"/>
      <c r="W4020" s="15"/>
      <c r="X4020" s="15"/>
      <c r="Y4020" s="15"/>
      <c r="Z4020" s="15"/>
      <c r="AA4020" s="15"/>
    </row>
    <row r="4021">
      <c r="A4021" s="5" t="s">
        <v>17507</v>
      </c>
      <c r="B4021" s="131" t="s">
        <v>17520</v>
      </c>
      <c r="C4021" s="40" t="s">
        <v>17521</v>
      </c>
      <c r="D4021" s="11"/>
      <c r="E4021" s="11" t="s">
        <v>3571</v>
      </c>
      <c r="F4021" s="9">
        <v>50000.0</v>
      </c>
      <c r="G4021" s="321"/>
      <c r="H4021" s="11" t="s">
        <v>507</v>
      </c>
      <c r="I4021" s="423"/>
      <c r="J4021" s="14"/>
      <c r="K4021" s="12"/>
      <c r="L4021" s="12"/>
      <c r="M4021" s="11" t="s">
        <v>10171</v>
      </c>
      <c r="N4021" s="5" t="s">
        <v>17522</v>
      </c>
      <c r="O4021" s="5" t="s">
        <v>108</v>
      </c>
      <c r="P4021" s="15"/>
      <c r="Q4021" s="15"/>
      <c r="R4021" s="422"/>
      <c r="S4021" s="15"/>
      <c r="T4021" s="15"/>
      <c r="U4021" s="15"/>
      <c r="V4021" s="15"/>
      <c r="W4021" s="15"/>
      <c r="X4021" s="15"/>
      <c r="Y4021" s="15"/>
      <c r="Z4021" s="15"/>
      <c r="AA4021" s="15"/>
    </row>
    <row r="4022">
      <c r="A4022" s="5" t="s">
        <v>17523</v>
      </c>
      <c r="B4022" s="131" t="s">
        <v>17524</v>
      </c>
      <c r="C4022" s="40" t="s">
        <v>17525</v>
      </c>
      <c r="D4022" s="11"/>
      <c r="E4022" s="11" t="s">
        <v>17353</v>
      </c>
      <c r="F4022" s="90">
        <v>2000.0</v>
      </c>
      <c r="G4022" s="321"/>
      <c r="H4022" s="11" t="s">
        <v>44</v>
      </c>
      <c r="I4022" s="276"/>
      <c r="J4022" s="11" t="s">
        <v>25</v>
      </c>
      <c r="K4022" s="12"/>
      <c r="L4022" s="12"/>
      <c r="M4022" s="11" t="s">
        <v>17232</v>
      </c>
      <c r="N4022" s="5" t="s">
        <v>17526</v>
      </c>
      <c r="O4022" s="5" t="s">
        <v>14119</v>
      </c>
      <c r="P4022" s="15"/>
      <c r="Q4022" s="15"/>
      <c r="R4022" s="422"/>
      <c r="S4022" s="15"/>
      <c r="T4022" s="15"/>
      <c r="U4022" s="15"/>
      <c r="V4022" s="15"/>
      <c r="W4022" s="15"/>
      <c r="X4022" s="15"/>
      <c r="Y4022" s="15"/>
      <c r="Z4022" s="15"/>
      <c r="AA4022" s="15"/>
    </row>
    <row r="4023">
      <c r="A4023" s="5" t="s">
        <v>17523</v>
      </c>
      <c r="B4023" s="131" t="s">
        <v>17527</v>
      </c>
      <c r="C4023" s="40" t="s">
        <v>17528</v>
      </c>
      <c r="D4023" s="11"/>
      <c r="E4023" s="11" t="s">
        <v>8247</v>
      </c>
      <c r="F4023" s="90">
        <v>100.0</v>
      </c>
      <c r="G4023" s="321"/>
      <c r="H4023" s="11" t="s">
        <v>906</v>
      </c>
      <c r="I4023" s="276"/>
      <c r="J4023" s="11" t="s">
        <v>25</v>
      </c>
      <c r="K4023" s="12"/>
      <c r="L4023" s="12"/>
      <c r="M4023" s="11" t="s">
        <v>17276</v>
      </c>
      <c r="N4023" s="5" t="s">
        <v>17529</v>
      </c>
      <c r="O4023" s="5" t="s">
        <v>14119</v>
      </c>
      <c r="P4023" s="15"/>
      <c r="Q4023" s="15"/>
      <c r="R4023" s="422"/>
      <c r="S4023" s="15"/>
      <c r="T4023" s="15"/>
      <c r="U4023" s="15"/>
      <c r="V4023" s="15"/>
      <c r="W4023" s="15"/>
      <c r="X4023" s="15"/>
      <c r="Y4023" s="15"/>
      <c r="Z4023" s="15"/>
      <c r="AA4023" s="15"/>
    </row>
    <row r="4024">
      <c r="A4024" s="5" t="s">
        <v>17523</v>
      </c>
      <c r="B4024" s="131" t="s">
        <v>17530</v>
      </c>
      <c r="C4024" s="40" t="s">
        <v>17531</v>
      </c>
      <c r="D4024" s="11"/>
      <c r="E4024" s="11" t="s">
        <v>17532</v>
      </c>
      <c r="F4024" s="90">
        <v>100.0</v>
      </c>
      <c r="G4024" s="321"/>
      <c r="H4024" s="11" t="s">
        <v>44</v>
      </c>
      <c r="I4024" s="276"/>
      <c r="J4024" s="11" t="s">
        <v>25</v>
      </c>
      <c r="K4024" s="13"/>
      <c r="L4024" s="13"/>
      <c r="M4024" s="14"/>
      <c r="N4024" s="15"/>
      <c r="O4024" s="5" t="s">
        <v>14119</v>
      </c>
      <c r="P4024" s="15"/>
      <c r="Q4024" s="15"/>
      <c r="R4024" s="422"/>
      <c r="S4024" s="15"/>
      <c r="T4024" s="15"/>
      <c r="U4024" s="15"/>
      <c r="V4024" s="15"/>
      <c r="W4024" s="15"/>
      <c r="X4024" s="15"/>
      <c r="Y4024" s="15"/>
      <c r="Z4024" s="15"/>
      <c r="AA4024" s="15"/>
    </row>
    <row r="4025">
      <c r="A4025" s="5" t="s">
        <v>17523</v>
      </c>
      <c r="B4025" s="131" t="s">
        <v>17533</v>
      </c>
      <c r="C4025" s="40" t="s">
        <v>17534</v>
      </c>
      <c r="D4025" s="11"/>
      <c r="E4025" s="11" t="s">
        <v>17535</v>
      </c>
      <c r="F4025" s="90">
        <v>1000.0</v>
      </c>
      <c r="G4025" s="321"/>
      <c r="H4025" s="11" t="s">
        <v>507</v>
      </c>
      <c r="I4025" s="276"/>
      <c r="J4025" s="11" t="s">
        <v>25</v>
      </c>
      <c r="K4025" s="12"/>
      <c r="L4025" s="12"/>
      <c r="M4025" s="11" t="s">
        <v>17232</v>
      </c>
      <c r="N4025" s="5" t="s">
        <v>17536</v>
      </c>
      <c r="O4025" s="5" t="s">
        <v>108</v>
      </c>
      <c r="P4025" s="15"/>
      <c r="Q4025" s="15"/>
      <c r="R4025" s="422"/>
      <c r="S4025" s="15"/>
      <c r="T4025" s="15"/>
      <c r="U4025" s="15"/>
      <c r="V4025" s="15"/>
      <c r="W4025" s="15"/>
      <c r="X4025" s="15"/>
      <c r="Y4025" s="15"/>
      <c r="Z4025" s="15"/>
      <c r="AA4025" s="15"/>
    </row>
    <row r="4026">
      <c r="A4026" s="5" t="s">
        <v>17523</v>
      </c>
      <c r="B4026" s="131" t="s">
        <v>17537</v>
      </c>
      <c r="C4026" s="40" t="s">
        <v>17538</v>
      </c>
      <c r="D4026" s="11"/>
      <c r="E4026" s="11" t="s">
        <v>152</v>
      </c>
      <c r="F4026" s="9">
        <v>20000.0</v>
      </c>
      <c r="G4026" s="321"/>
      <c r="H4026" s="11" t="s">
        <v>44</v>
      </c>
      <c r="I4026" s="276"/>
      <c r="J4026" s="11" t="s">
        <v>4008</v>
      </c>
      <c r="K4026" s="12"/>
      <c r="L4026" s="12"/>
      <c r="M4026" s="11" t="s">
        <v>9776</v>
      </c>
      <c r="N4026" s="5" t="s">
        <v>17539</v>
      </c>
      <c r="O4026" s="5" t="s">
        <v>26</v>
      </c>
      <c r="P4026" s="15"/>
      <c r="Q4026" s="15"/>
      <c r="R4026" s="422"/>
      <c r="S4026" s="15"/>
      <c r="T4026" s="15"/>
      <c r="U4026" s="15"/>
      <c r="V4026" s="15"/>
      <c r="W4026" s="15"/>
      <c r="X4026" s="15"/>
      <c r="Y4026" s="15"/>
      <c r="Z4026" s="15"/>
      <c r="AA4026" s="15"/>
    </row>
    <row r="4027">
      <c r="A4027" s="5" t="s">
        <v>17523</v>
      </c>
      <c r="B4027" s="131" t="s">
        <v>17540</v>
      </c>
      <c r="C4027" s="40" t="s">
        <v>17541</v>
      </c>
      <c r="D4027" s="11"/>
      <c r="E4027" s="11" t="s">
        <v>5613</v>
      </c>
      <c r="F4027" s="90">
        <v>1000.0</v>
      </c>
      <c r="G4027" s="321"/>
      <c r="H4027" s="11" t="s">
        <v>507</v>
      </c>
      <c r="I4027" s="276"/>
      <c r="J4027" s="11" t="s">
        <v>25</v>
      </c>
      <c r="K4027" s="13"/>
      <c r="L4027" s="13"/>
      <c r="M4027" s="14"/>
      <c r="N4027" s="15"/>
      <c r="O4027" s="5" t="s">
        <v>108</v>
      </c>
      <c r="P4027" s="15"/>
      <c r="Q4027" s="15"/>
      <c r="R4027" s="422"/>
      <c r="S4027" s="15"/>
      <c r="T4027" s="15"/>
      <c r="U4027" s="15"/>
      <c r="V4027" s="15"/>
      <c r="W4027" s="15"/>
      <c r="X4027" s="15"/>
      <c r="Y4027" s="15"/>
      <c r="Z4027" s="15"/>
      <c r="AA4027" s="15"/>
    </row>
    <row r="4028">
      <c r="A4028" s="5" t="s">
        <v>17523</v>
      </c>
      <c r="B4028" s="131" t="s">
        <v>17542</v>
      </c>
      <c r="C4028" s="40" t="s">
        <v>17543</v>
      </c>
      <c r="D4028" s="11"/>
      <c r="E4028" s="11" t="s">
        <v>8247</v>
      </c>
      <c r="F4028" s="90">
        <v>250.0</v>
      </c>
      <c r="G4028" s="321"/>
      <c r="H4028" s="11" t="s">
        <v>44</v>
      </c>
      <c r="I4028" s="276"/>
      <c r="J4028" s="11" t="s">
        <v>4008</v>
      </c>
      <c r="K4028" s="12"/>
      <c r="L4028" s="12"/>
      <c r="M4028" s="11" t="s">
        <v>17544</v>
      </c>
      <c r="N4028" s="5" t="s">
        <v>17545</v>
      </c>
      <c r="O4028" s="5" t="s">
        <v>14119</v>
      </c>
      <c r="P4028" s="15"/>
      <c r="Q4028" s="15"/>
      <c r="R4028" s="422"/>
      <c r="S4028" s="15"/>
      <c r="T4028" s="15"/>
      <c r="U4028" s="15"/>
      <c r="V4028" s="15"/>
      <c r="W4028" s="15"/>
      <c r="X4028" s="15"/>
      <c r="Y4028" s="15"/>
      <c r="Z4028" s="15"/>
      <c r="AA4028" s="15"/>
    </row>
    <row r="4029">
      <c r="A4029" s="5" t="s">
        <v>17523</v>
      </c>
      <c r="B4029" s="131" t="s">
        <v>17546</v>
      </c>
      <c r="C4029" s="40" t="s">
        <v>17547</v>
      </c>
      <c r="D4029" s="11"/>
      <c r="E4029" s="11" t="s">
        <v>6168</v>
      </c>
      <c r="F4029" s="90">
        <v>50.0</v>
      </c>
      <c r="G4029" s="321"/>
      <c r="H4029" s="11" t="s">
        <v>507</v>
      </c>
      <c r="I4029" s="423"/>
      <c r="J4029" s="14"/>
      <c r="K4029" s="13"/>
      <c r="L4029" s="13"/>
      <c r="M4029" s="14"/>
      <c r="N4029" s="15"/>
      <c r="O4029" s="5" t="s">
        <v>14119</v>
      </c>
      <c r="P4029" s="15"/>
      <c r="Q4029" s="15"/>
      <c r="R4029" s="422"/>
      <c r="S4029" s="15"/>
      <c r="T4029" s="15"/>
      <c r="U4029" s="15"/>
      <c r="V4029" s="15"/>
      <c r="W4029" s="15"/>
      <c r="X4029" s="15"/>
      <c r="Y4029" s="15"/>
      <c r="Z4029" s="15"/>
      <c r="AA4029" s="15"/>
    </row>
    <row r="4030">
      <c r="A4030" s="5" t="s">
        <v>17523</v>
      </c>
      <c r="B4030" s="131" t="s">
        <v>17548</v>
      </c>
      <c r="C4030" s="40" t="s">
        <v>17549</v>
      </c>
      <c r="D4030" s="11"/>
      <c r="E4030" s="11" t="s">
        <v>17550</v>
      </c>
      <c r="F4030" s="90">
        <v>1000.0</v>
      </c>
      <c r="G4030" s="321"/>
      <c r="H4030" s="11" t="s">
        <v>44</v>
      </c>
      <c r="I4030" s="423"/>
      <c r="J4030" s="14"/>
      <c r="K4030" s="13"/>
      <c r="L4030" s="13"/>
      <c r="M4030" s="14"/>
      <c r="N4030" s="15"/>
      <c r="O4030" s="5" t="s">
        <v>26</v>
      </c>
      <c r="P4030" s="15"/>
      <c r="Q4030" s="15"/>
      <c r="R4030" s="422"/>
      <c r="S4030" s="15"/>
      <c r="T4030" s="15"/>
      <c r="U4030" s="15"/>
      <c r="V4030" s="15"/>
      <c r="W4030" s="15"/>
      <c r="X4030" s="15"/>
      <c r="Y4030" s="15"/>
      <c r="Z4030" s="15"/>
      <c r="AA4030" s="15"/>
    </row>
    <row r="4031">
      <c r="A4031" s="5" t="s">
        <v>17523</v>
      </c>
      <c r="B4031" s="131" t="s">
        <v>17551</v>
      </c>
      <c r="C4031" s="40" t="s">
        <v>17552</v>
      </c>
      <c r="D4031" s="11"/>
      <c r="E4031" s="11" t="s">
        <v>17553</v>
      </c>
      <c r="F4031" s="9">
        <v>30000.0</v>
      </c>
      <c r="G4031" s="321"/>
      <c r="H4031" s="11" t="s">
        <v>507</v>
      </c>
      <c r="I4031" s="423"/>
      <c r="J4031" s="14"/>
      <c r="K4031" s="13"/>
      <c r="L4031" s="13"/>
      <c r="M4031" s="14"/>
      <c r="N4031" s="15"/>
      <c r="O4031" s="5" t="s">
        <v>108</v>
      </c>
      <c r="P4031" s="15"/>
      <c r="Q4031" s="15"/>
      <c r="R4031" s="422"/>
      <c r="S4031" s="15"/>
      <c r="T4031" s="15"/>
      <c r="U4031" s="15"/>
      <c r="V4031" s="15"/>
      <c r="W4031" s="15"/>
      <c r="X4031" s="15"/>
      <c r="Y4031" s="15"/>
      <c r="Z4031" s="15"/>
      <c r="AA4031" s="15"/>
    </row>
    <row r="4032">
      <c r="A4032" s="5" t="s">
        <v>17523</v>
      </c>
      <c r="B4032" s="131" t="s">
        <v>17554</v>
      </c>
      <c r="C4032" s="40" t="s">
        <v>16890</v>
      </c>
      <c r="D4032" s="11"/>
      <c r="E4032" s="11" t="s">
        <v>2402</v>
      </c>
      <c r="F4032" s="90">
        <v>40.0</v>
      </c>
      <c r="G4032" s="321"/>
      <c r="H4032" s="11" t="s">
        <v>44</v>
      </c>
      <c r="I4032" s="276"/>
      <c r="J4032" s="11" t="s">
        <v>25</v>
      </c>
      <c r="K4032" s="13"/>
      <c r="L4032" s="13"/>
      <c r="M4032" s="14"/>
      <c r="N4032" s="15"/>
      <c r="O4032" s="5" t="s">
        <v>14119</v>
      </c>
      <c r="P4032" s="15"/>
      <c r="Q4032" s="15"/>
      <c r="R4032" s="422"/>
      <c r="S4032" s="15"/>
      <c r="T4032" s="15"/>
      <c r="U4032" s="15"/>
      <c r="V4032" s="15"/>
      <c r="W4032" s="15"/>
      <c r="X4032" s="15"/>
      <c r="Y4032" s="15"/>
      <c r="Z4032" s="15"/>
      <c r="AA4032" s="15"/>
    </row>
    <row r="4033">
      <c r="A4033" s="5" t="s">
        <v>17523</v>
      </c>
      <c r="B4033" s="131" t="s">
        <v>17555</v>
      </c>
      <c r="C4033" s="40" t="s">
        <v>17556</v>
      </c>
      <c r="D4033" s="11"/>
      <c r="E4033" s="11" t="s">
        <v>167</v>
      </c>
      <c r="F4033" s="90">
        <v>1000.0</v>
      </c>
      <c r="G4033" s="321"/>
      <c r="H4033" s="11" t="s">
        <v>507</v>
      </c>
      <c r="I4033" s="276"/>
      <c r="J4033" s="11" t="s">
        <v>25</v>
      </c>
      <c r="K4033" s="12"/>
      <c r="L4033" s="12"/>
      <c r="M4033" s="11" t="s">
        <v>10171</v>
      </c>
      <c r="N4033" s="5" t="s">
        <v>17557</v>
      </c>
      <c r="O4033" s="5" t="s">
        <v>108</v>
      </c>
      <c r="P4033" s="15"/>
      <c r="Q4033" s="15"/>
      <c r="R4033" s="422"/>
      <c r="S4033" s="15"/>
      <c r="T4033" s="15"/>
      <c r="U4033" s="15"/>
      <c r="V4033" s="15"/>
      <c r="W4033" s="15"/>
      <c r="X4033" s="15"/>
      <c r="Y4033" s="15"/>
      <c r="Z4033" s="15"/>
      <c r="AA4033" s="15"/>
    </row>
    <row r="4034">
      <c r="A4034" s="5" t="s">
        <v>17523</v>
      </c>
      <c r="B4034" s="131" t="s">
        <v>17558</v>
      </c>
      <c r="C4034" s="40" t="s">
        <v>15673</v>
      </c>
      <c r="D4034" s="11"/>
      <c r="E4034" s="11" t="s">
        <v>2402</v>
      </c>
      <c r="F4034" s="90">
        <v>50.0</v>
      </c>
      <c r="G4034" s="321"/>
      <c r="H4034" s="11" t="s">
        <v>158</v>
      </c>
      <c r="I4034" s="276"/>
      <c r="J4034" s="11" t="s">
        <v>25</v>
      </c>
      <c r="K4034" s="13"/>
      <c r="L4034" s="13"/>
      <c r="M4034" s="14"/>
      <c r="N4034" s="15"/>
      <c r="O4034" s="5" t="s">
        <v>14119</v>
      </c>
      <c r="P4034" s="15"/>
      <c r="Q4034" s="15"/>
      <c r="R4034" s="422"/>
      <c r="S4034" s="15"/>
      <c r="T4034" s="15"/>
      <c r="U4034" s="15"/>
      <c r="V4034" s="15"/>
      <c r="W4034" s="15"/>
      <c r="X4034" s="15"/>
      <c r="Y4034" s="15"/>
      <c r="Z4034" s="15"/>
      <c r="AA4034" s="15"/>
    </row>
    <row r="4035">
      <c r="A4035" s="5" t="s">
        <v>17523</v>
      </c>
      <c r="B4035" s="131" t="s">
        <v>17559</v>
      </c>
      <c r="C4035" s="40" t="s">
        <v>17560</v>
      </c>
      <c r="D4035" s="11"/>
      <c r="E4035" s="11" t="s">
        <v>17561</v>
      </c>
      <c r="F4035" s="90" t="s">
        <v>17562</v>
      </c>
      <c r="G4035" s="321"/>
      <c r="H4035" s="11" t="s">
        <v>44</v>
      </c>
      <c r="I4035" s="423"/>
      <c r="J4035" s="14"/>
      <c r="K4035" s="13"/>
      <c r="L4035" s="13"/>
      <c r="M4035" s="14"/>
      <c r="N4035" s="15"/>
      <c r="O4035" s="5" t="s">
        <v>14119</v>
      </c>
      <c r="P4035" s="15"/>
      <c r="Q4035" s="15"/>
      <c r="R4035" s="422"/>
      <c r="S4035" s="15"/>
      <c r="T4035" s="15"/>
      <c r="U4035" s="15"/>
      <c r="V4035" s="15"/>
      <c r="W4035" s="15"/>
      <c r="X4035" s="15"/>
      <c r="Y4035" s="15"/>
      <c r="Z4035" s="15"/>
      <c r="AA4035" s="15"/>
    </row>
    <row r="4036">
      <c r="A4036" s="5" t="s">
        <v>17523</v>
      </c>
      <c r="B4036" s="131" t="s">
        <v>17563</v>
      </c>
      <c r="C4036" s="40" t="s">
        <v>17564</v>
      </c>
      <c r="D4036" s="11"/>
      <c r="E4036" s="11" t="s">
        <v>17565</v>
      </c>
      <c r="F4036" s="9">
        <v>200000.0</v>
      </c>
      <c r="G4036" s="321"/>
      <c r="H4036" s="11" t="s">
        <v>906</v>
      </c>
      <c r="I4036" s="276"/>
      <c r="J4036" s="11" t="s">
        <v>25</v>
      </c>
      <c r="K4036" s="12"/>
      <c r="L4036" s="12"/>
      <c r="M4036" s="11" t="s">
        <v>17566</v>
      </c>
      <c r="N4036" s="5" t="s">
        <v>17567</v>
      </c>
      <c r="O4036" s="5" t="s">
        <v>108</v>
      </c>
      <c r="P4036" s="15"/>
      <c r="Q4036" s="15"/>
      <c r="R4036" s="422"/>
      <c r="S4036" s="15"/>
      <c r="T4036" s="15"/>
      <c r="U4036" s="15"/>
      <c r="V4036" s="15"/>
      <c r="W4036" s="15"/>
      <c r="X4036" s="15"/>
      <c r="Y4036" s="15"/>
      <c r="Z4036" s="15"/>
      <c r="AA4036" s="15"/>
    </row>
    <row r="4037">
      <c r="A4037" s="5" t="s">
        <v>17523</v>
      </c>
      <c r="B4037" s="131" t="s">
        <v>17568</v>
      </c>
      <c r="C4037" s="40" t="s">
        <v>17569</v>
      </c>
      <c r="D4037" s="11"/>
      <c r="E4037" s="11" t="s">
        <v>794</v>
      </c>
      <c r="F4037" s="90">
        <v>5000.0</v>
      </c>
      <c r="G4037" s="321"/>
      <c r="H4037" s="11" t="s">
        <v>44</v>
      </c>
      <c r="I4037" s="276"/>
      <c r="J4037" s="11" t="s">
        <v>25</v>
      </c>
      <c r="K4037" s="12"/>
      <c r="L4037" s="12"/>
      <c r="M4037" s="11" t="s">
        <v>9034</v>
      </c>
      <c r="N4037" s="5" t="s">
        <v>17570</v>
      </c>
      <c r="O4037" s="5" t="s">
        <v>26</v>
      </c>
      <c r="P4037" s="15"/>
      <c r="Q4037" s="15"/>
      <c r="R4037" s="422"/>
      <c r="S4037" s="15"/>
      <c r="T4037" s="15"/>
      <c r="U4037" s="15"/>
      <c r="V4037" s="15"/>
      <c r="W4037" s="15"/>
      <c r="X4037" s="15"/>
      <c r="Y4037" s="15"/>
      <c r="Z4037" s="15"/>
      <c r="AA4037" s="15"/>
    </row>
    <row r="4038">
      <c r="A4038" s="5" t="s">
        <v>17571</v>
      </c>
      <c r="B4038" s="131" t="s">
        <v>17572</v>
      </c>
      <c r="C4038" s="40" t="s">
        <v>17573</v>
      </c>
      <c r="D4038" s="11"/>
      <c r="E4038" s="11" t="s">
        <v>3729</v>
      </c>
      <c r="F4038" s="90">
        <v>1000.0</v>
      </c>
      <c r="G4038" s="321"/>
      <c r="H4038" s="11" t="s">
        <v>495</v>
      </c>
      <c r="I4038" s="276"/>
      <c r="J4038" s="11" t="s">
        <v>17574</v>
      </c>
      <c r="K4038" s="12"/>
      <c r="L4038" s="12"/>
      <c r="M4038" s="11" t="s">
        <v>9949</v>
      </c>
      <c r="N4038" s="5" t="s">
        <v>17575</v>
      </c>
      <c r="O4038" s="5" t="s">
        <v>108</v>
      </c>
      <c r="P4038" s="15"/>
      <c r="Q4038" s="15"/>
      <c r="R4038" s="422"/>
      <c r="S4038" s="15"/>
      <c r="T4038" s="15"/>
      <c r="U4038" s="15"/>
      <c r="V4038" s="15"/>
      <c r="W4038" s="15"/>
      <c r="X4038" s="15"/>
      <c r="Y4038" s="15"/>
      <c r="Z4038" s="15"/>
      <c r="AA4038" s="15"/>
    </row>
    <row r="4039">
      <c r="A4039" s="5" t="s">
        <v>17571</v>
      </c>
      <c r="B4039" s="131" t="s">
        <v>17576</v>
      </c>
      <c r="C4039" s="40" t="s">
        <v>17577</v>
      </c>
      <c r="D4039" s="11"/>
      <c r="E4039" s="11" t="s">
        <v>539</v>
      </c>
      <c r="F4039" s="90">
        <v>500.0</v>
      </c>
      <c r="G4039" s="321"/>
      <c r="H4039" s="11" t="s">
        <v>472</v>
      </c>
      <c r="I4039" s="423"/>
      <c r="J4039" s="14"/>
      <c r="K4039" s="12"/>
      <c r="L4039" s="12"/>
      <c r="M4039" s="11" t="s">
        <v>9298</v>
      </c>
      <c r="N4039" s="5" t="s">
        <v>17578</v>
      </c>
      <c r="O4039" s="5" t="s">
        <v>26</v>
      </c>
      <c r="P4039" s="15"/>
      <c r="Q4039" s="15"/>
      <c r="R4039" s="422"/>
      <c r="S4039" s="15"/>
      <c r="T4039" s="15"/>
      <c r="U4039" s="15"/>
      <c r="V4039" s="15"/>
      <c r="W4039" s="15"/>
      <c r="X4039" s="15"/>
      <c r="Y4039" s="15"/>
      <c r="Z4039" s="15"/>
      <c r="AA4039" s="15"/>
    </row>
    <row r="4040">
      <c r="A4040" s="5" t="s">
        <v>17571</v>
      </c>
      <c r="B4040" s="131" t="s">
        <v>17579</v>
      </c>
      <c r="C4040" s="40" t="s">
        <v>17580</v>
      </c>
      <c r="D4040" s="11"/>
      <c r="E4040" s="11" t="s">
        <v>14607</v>
      </c>
      <c r="F4040" s="90">
        <v>100.0</v>
      </c>
      <c r="G4040" s="321"/>
      <c r="H4040" s="11" t="s">
        <v>44</v>
      </c>
      <c r="I4040" s="276"/>
      <c r="J4040" s="11" t="s">
        <v>25</v>
      </c>
      <c r="K4040" s="13"/>
      <c r="L4040" s="13"/>
      <c r="M4040" s="14"/>
      <c r="N4040" s="15"/>
      <c r="O4040" s="5" t="s">
        <v>14119</v>
      </c>
      <c r="P4040" s="15"/>
      <c r="Q4040" s="15"/>
      <c r="R4040" s="422"/>
      <c r="S4040" s="15"/>
      <c r="T4040" s="15"/>
      <c r="U4040" s="15"/>
      <c r="V4040" s="15"/>
      <c r="W4040" s="15"/>
      <c r="X4040" s="15"/>
      <c r="Y4040" s="15"/>
      <c r="Z4040" s="15"/>
      <c r="AA4040" s="15"/>
    </row>
    <row r="4041">
      <c r="A4041" s="5" t="s">
        <v>17571</v>
      </c>
      <c r="B4041" s="131" t="s">
        <v>17581</v>
      </c>
      <c r="C4041" s="40" t="s">
        <v>17582</v>
      </c>
      <c r="D4041" s="11"/>
      <c r="E4041" s="11" t="s">
        <v>11284</v>
      </c>
      <c r="F4041" s="90">
        <v>1000.0</v>
      </c>
      <c r="G4041" s="321"/>
      <c r="H4041" s="11" t="s">
        <v>519</v>
      </c>
      <c r="I4041" s="276"/>
      <c r="J4041" s="11" t="s">
        <v>25</v>
      </c>
      <c r="K4041" s="13"/>
      <c r="L4041" s="13"/>
      <c r="M4041" s="14"/>
      <c r="N4041" s="15"/>
      <c r="O4041" s="5" t="s">
        <v>108</v>
      </c>
      <c r="P4041" s="15"/>
      <c r="Q4041" s="15"/>
      <c r="R4041" s="422"/>
      <c r="S4041" s="15"/>
      <c r="T4041" s="15"/>
      <c r="U4041" s="15"/>
      <c r="V4041" s="15"/>
      <c r="W4041" s="15"/>
      <c r="X4041" s="15"/>
      <c r="Y4041" s="15"/>
      <c r="Z4041" s="15"/>
      <c r="AA4041" s="15"/>
    </row>
    <row r="4042">
      <c r="A4042" s="5" t="s">
        <v>17571</v>
      </c>
      <c r="B4042" s="131" t="s">
        <v>17583</v>
      </c>
      <c r="C4042" s="40" t="s">
        <v>17584</v>
      </c>
      <c r="D4042" s="11"/>
      <c r="E4042" s="11" t="s">
        <v>17585</v>
      </c>
      <c r="F4042" s="9">
        <v>40000.0</v>
      </c>
      <c r="G4042" s="321"/>
      <c r="H4042" s="11" t="s">
        <v>17586</v>
      </c>
      <c r="I4042" s="276"/>
      <c r="J4042" s="11" t="s">
        <v>4008</v>
      </c>
      <c r="K4042" s="12"/>
      <c r="L4042" s="12"/>
      <c r="M4042" s="11" t="s">
        <v>8860</v>
      </c>
      <c r="N4042" s="5" t="s">
        <v>17587</v>
      </c>
      <c r="O4042" s="5" t="s">
        <v>26</v>
      </c>
      <c r="P4042" s="15"/>
      <c r="Q4042" s="15"/>
      <c r="R4042" s="422"/>
      <c r="S4042" s="15"/>
      <c r="T4042" s="15"/>
      <c r="U4042" s="15"/>
      <c r="V4042" s="15"/>
      <c r="W4042" s="15"/>
      <c r="X4042" s="15"/>
      <c r="Y4042" s="15"/>
      <c r="Z4042" s="15"/>
      <c r="AA4042" s="15"/>
    </row>
    <row r="4043">
      <c r="A4043" s="5" t="s">
        <v>17571</v>
      </c>
      <c r="B4043" s="131" t="s">
        <v>17588</v>
      </c>
      <c r="C4043" s="40" t="s">
        <v>17589</v>
      </c>
      <c r="D4043" s="11"/>
      <c r="E4043" s="11" t="s">
        <v>83</v>
      </c>
      <c r="F4043" s="90">
        <v>1000.0</v>
      </c>
      <c r="G4043" s="321"/>
      <c r="H4043" s="11" t="s">
        <v>2882</v>
      </c>
      <c r="I4043" s="276"/>
      <c r="J4043" s="11" t="s">
        <v>25</v>
      </c>
      <c r="K4043" s="12"/>
      <c r="L4043" s="12"/>
      <c r="M4043" s="11" t="s">
        <v>13938</v>
      </c>
      <c r="N4043" s="5" t="s">
        <v>17590</v>
      </c>
      <c r="O4043" s="5" t="s">
        <v>108</v>
      </c>
      <c r="P4043" s="15"/>
      <c r="Q4043" s="15"/>
      <c r="R4043" s="422"/>
      <c r="S4043" s="15"/>
      <c r="T4043" s="15"/>
      <c r="U4043" s="15"/>
      <c r="V4043" s="15"/>
      <c r="W4043" s="15"/>
      <c r="X4043" s="15"/>
      <c r="Y4043" s="15"/>
      <c r="Z4043" s="15"/>
      <c r="AA4043" s="15"/>
    </row>
    <row r="4044">
      <c r="A4044" s="5" t="s">
        <v>17571</v>
      </c>
      <c r="B4044" s="131" t="s">
        <v>17591</v>
      </c>
      <c r="C4044" s="40" t="s">
        <v>17592</v>
      </c>
      <c r="D4044" s="11"/>
      <c r="E4044" s="11" t="s">
        <v>38</v>
      </c>
      <c r="F4044" s="9">
        <v>10000.0</v>
      </c>
      <c r="G4044" s="321"/>
      <c r="H4044" s="11" t="s">
        <v>507</v>
      </c>
      <c r="I4044" s="276"/>
      <c r="J4044" s="11" t="s">
        <v>17593</v>
      </c>
      <c r="K4044" s="12"/>
      <c r="L4044" s="12"/>
      <c r="M4044" s="11" t="s">
        <v>17594</v>
      </c>
      <c r="N4044" s="5" t="s">
        <v>17595</v>
      </c>
      <c r="O4044" s="5" t="s">
        <v>108</v>
      </c>
      <c r="P4044" s="15"/>
      <c r="Q4044" s="15"/>
      <c r="R4044" s="422"/>
      <c r="S4044" s="15"/>
      <c r="T4044" s="15"/>
      <c r="U4044" s="15"/>
      <c r="V4044" s="15"/>
      <c r="W4044" s="15"/>
      <c r="X4044" s="15"/>
      <c r="Y4044" s="15"/>
      <c r="Z4044" s="15"/>
      <c r="AA4044" s="15"/>
    </row>
    <row r="4045">
      <c r="A4045" s="5" t="s">
        <v>17571</v>
      </c>
      <c r="B4045" s="131" t="s">
        <v>17596</v>
      </c>
      <c r="C4045" s="40" t="s">
        <v>17597</v>
      </c>
      <c r="D4045" s="11"/>
      <c r="E4045" s="11" t="s">
        <v>6168</v>
      </c>
      <c r="F4045" s="90">
        <v>1000.0</v>
      </c>
      <c r="G4045" s="321"/>
      <c r="H4045" s="11" t="s">
        <v>44</v>
      </c>
      <c r="I4045" s="276"/>
      <c r="J4045" s="11" t="s">
        <v>25</v>
      </c>
      <c r="K4045" s="13"/>
      <c r="L4045" s="13"/>
      <c r="M4045" s="14"/>
      <c r="N4045" s="15"/>
      <c r="O4045" s="5" t="s">
        <v>26</v>
      </c>
      <c r="P4045" s="15"/>
      <c r="Q4045" s="15"/>
      <c r="R4045" s="422"/>
      <c r="S4045" s="15"/>
      <c r="T4045" s="15"/>
      <c r="U4045" s="15"/>
      <c r="V4045" s="15"/>
      <c r="W4045" s="15"/>
      <c r="X4045" s="15"/>
      <c r="Y4045" s="15"/>
      <c r="Z4045" s="15"/>
      <c r="AA4045" s="15"/>
    </row>
    <row r="4046">
      <c r="A4046" s="5" t="s">
        <v>17571</v>
      </c>
      <c r="B4046" s="131" t="s">
        <v>17598</v>
      </c>
      <c r="C4046" s="40" t="s">
        <v>17599</v>
      </c>
      <c r="D4046" s="11"/>
      <c r="E4046" s="11" t="s">
        <v>130</v>
      </c>
      <c r="F4046" s="90">
        <v>4000.0</v>
      </c>
      <c r="G4046" s="321"/>
      <c r="H4046" s="11" t="s">
        <v>44</v>
      </c>
      <c r="I4046" s="276"/>
      <c r="J4046" s="11" t="s">
        <v>25</v>
      </c>
      <c r="K4046" s="12"/>
      <c r="L4046" s="12"/>
      <c r="M4046" s="11" t="s">
        <v>9875</v>
      </c>
      <c r="N4046" s="5" t="s">
        <v>17600</v>
      </c>
      <c r="O4046" s="5" t="s">
        <v>26</v>
      </c>
      <c r="P4046" s="15"/>
      <c r="Q4046" s="15"/>
      <c r="R4046" s="422"/>
      <c r="S4046" s="15"/>
      <c r="T4046" s="15"/>
      <c r="U4046" s="15"/>
      <c r="V4046" s="15"/>
      <c r="W4046" s="15"/>
      <c r="X4046" s="15"/>
      <c r="Y4046" s="15"/>
      <c r="Z4046" s="15"/>
      <c r="AA4046" s="15"/>
    </row>
    <row r="4047">
      <c r="A4047" s="5" t="s">
        <v>17571</v>
      </c>
      <c r="B4047" s="131" t="s">
        <v>17601</v>
      </c>
      <c r="C4047" s="40" t="s">
        <v>17602</v>
      </c>
      <c r="D4047" s="11"/>
      <c r="E4047" s="11" t="s">
        <v>5502</v>
      </c>
      <c r="F4047" s="90">
        <v>1000.0</v>
      </c>
      <c r="G4047" s="321"/>
      <c r="H4047" s="11" t="s">
        <v>17603</v>
      </c>
      <c r="I4047" s="276"/>
      <c r="J4047" s="11" t="s">
        <v>25</v>
      </c>
      <c r="K4047" s="12"/>
      <c r="L4047" s="12"/>
      <c r="M4047" s="11" t="s">
        <v>17604</v>
      </c>
      <c r="N4047" s="5" t="s">
        <v>17605</v>
      </c>
      <c r="O4047" s="5" t="s">
        <v>108</v>
      </c>
      <c r="P4047" s="15"/>
      <c r="Q4047" s="15"/>
      <c r="R4047" s="422"/>
      <c r="S4047" s="15"/>
      <c r="T4047" s="15"/>
      <c r="U4047" s="15"/>
      <c r="V4047" s="15"/>
      <c r="W4047" s="15"/>
      <c r="X4047" s="15"/>
      <c r="Y4047" s="15"/>
      <c r="Z4047" s="15"/>
      <c r="AA4047" s="15"/>
    </row>
    <row r="4048">
      <c r="A4048" s="5" t="s">
        <v>17571</v>
      </c>
      <c r="B4048" s="131" t="s">
        <v>17606</v>
      </c>
      <c r="C4048" s="40" t="s">
        <v>17607</v>
      </c>
      <c r="D4048" s="11"/>
      <c r="E4048" s="11" t="s">
        <v>6275</v>
      </c>
      <c r="F4048" s="9">
        <v>100000.0</v>
      </c>
      <c r="G4048" s="321"/>
      <c r="H4048" s="11" t="s">
        <v>17608</v>
      </c>
      <c r="I4048" s="276"/>
      <c r="J4048" s="11" t="s">
        <v>25</v>
      </c>
      <c r="K4048" s="13"/>
      <c r="L4048" s="13"/>
      <c r="M4048" s="14"/>
      <c r="N4048" s="15"/>
      <c r="O4048" s="5" t="s">
        <v>108</v>
      </c>
      <c r="P4048" s="15"/>
      <c r="Q4048" s="15"/>
      <c r="R4048" s="422"/>
      <c r="S4048" s="15"/>
      <c r="T4048" s="15"/>
      <c r="U4048" s="15"/>
      <c r="V4048" s="15"/>
      <c r="W4048" s="15"/>
      <c r="X4048" s="15"/>
      <c r="Y4048" s="15"/>
      <c r="Z4048" s="15"/>
      <c r="AA4048" s="15"/>
    </row>
    <row r="4049">
      <c r="A4049" s="5" t="s">
        <v>17609</v>
      </c>
      <c r="B4049" s="131" t="s">
        <v>17610</v>
      </c>
      <c r="C4049" s="40" t="s">
        <v>17611</v>
      </c>
      <c r="D4049" s="11"/>
      <c r="E4049" s="11" t="s">
        <v>8931</v>
      </c>
      <c r="F4049" s="90">
        <v>1500.0</v>
      </c>
      <c r="G4049" s="321"/>
      <c r="H4049" s="11" t="s">
        <v>12559</v>
      </c>
      <c r="I4049" s="423"/>
      <c r="J4049" s="14"/>
      <c r="K4049" s="13"/>
      <c r="L4049" s="13"/>
      <c r="M4049" s="14"/>
      <c r="N4049" s="15"/>
      <c r="O4049" s="5" t="s">
        <v>108</v>
      </c>
      <c r="P4049" s="15"/>
      <c r="Q4049" s="15"/>
      <c r="R4049" s="422"/>
      <c r="S4049" s="15"/>
      <c r="T4049" s="15"/>
      <c r="U4049" s="15"/>
      <c r="V4049" s="15"/>
      <c r="W4049" s="15"/>
      <c r="X4049" s="15"/>
      <c r="Y4049" s="15"/>
      <c r="Z4049" s="15"/>
      <c r="AA4049" s="15"/>
    </row>
    <row r="4050">
      <c r="A4050" s="5" t="s">
        <v>17609</v>
      </c>
      <c r="B4050" s="131" t="s">
        <v>17612</v>
      </c>
      <c r="C4050" s="40" t="s">
        <v>17613</v>
      </c>
      <c r="D4050" s="11"/>
      <c r="E4050" s="11" t="s">
        <v>11049</v>
      </c>
      <c r="F4050" s="90">
        <v>500.0</v>
      </c>
      <c r="G4050" s="321"/>
      <c r="H4050" s="11" t="s">
        <v>977</v>
      </c>
      <c r="I4050" s="276"/>
      <c r="J4050" s="11" t="s">
        <v>25</v>
      </c>
      <c r="K4050" s="12"/>
      <c r="L4050" s="12"/>
      <c r="M4050" s="11" t="s">
        <v>17614</v>
      </c>
      <c r="N4050" s="5" t="s">
        <v>17615</v>
      </c>
      <c r="O4050" s="5" t="s">
        <v>26</v>
      </c>
      <c r="P4050" s="15"/>
      <c r="Q4050" s="15"/>
      <c r="R4050" s="422"/>
      <c r="S4050" s="15"/>
      <c r="T4050" s="15"/>
      <c r="U4050" s="15"/>
      <c r="V4050" s="15"/>
      <c r="W4050" s="15"/>
      <c r="X4050" s="15"/>
      <c r="Y4050" s="15"/>
      <c r="Z4050" s="15"/>
      <c r="AA4050" s="15"/>
    </row>
    <row r="4051">
      <c r="A4051" s="5" t="s">
        <v>17609</v>
      </c>
      <c r="B4051" s="131" t="s">
        <v>17616</v>
      </c>
      <c r="C4051" s="40" t="s">
        <v>17617</v>
      </c>
      <c r="D4051" s="11"/>
      <c r="E4051" s="11" t="s">
        <v>17618</v>
      </c>
      <c r="F4051" s="9">
        <v>100000.0</v>
      </c>
      <c r="G4051" s="321"/>
      <c r="H4051" s="11" t="s">
        <v>11810</v>
      </c>
      <c r="I4051" s="276"/>
      <c r="J4051" s="11" t="s">
        <v>4008</v>
      </c>
      <c r="K4051" s="12"/>
      <c r="L4051" s="12"/>
      <c r="M4051" s="11" t="s">
        <v>9800</v>
      </c>
      <c r="N4051" s="5" t="s">
        <v>17619</v>
      </c>
      <c r="O4051" s="5" t="s">
        <v>26</v>
      </c>
      <c r="P4051" s="15"/>
      <c r="Q4051" s="15"/>
      <c r="R4051" s="422"/>
      <c r="S4051" s="15"/>
      <c r="T4051" s="15"/>
      <c r="U4051" s="15"/>
      <c r="V4051" s="15"/>
      <c r="W4051" s="15"/>
      <c r="X4051" s="15"/>
      <c r="Y4051" s="15"/>
      <c r="Z4051" s="15"/>
      <c r="AA4051" s="15"/>
    </row>
    <row r="4052">
      <c r="A4052" s="5" t="s">
        <v>17609</v>
      </c>
      <c r="B4052" s="131" t="s">
        <v>17620</v>
      </c>
      <c r="C4052" s="40" t="s">
        <v>3400</v>
      </c>
      <c r="D4052" s="11"/>
      <c r="E4052" s="11" t="s">
        <v>16967</v>
      </c>
      <c r="F4052" s="90">
        <v>500.0</v>
      </c>
      <c r="G4052" s="321"/>
      <c r="H4052" s="11" t="s">
        <v>17213</v>
      </c>
      <c r="I4052" s="276"/>
      <c r="J4052" s="11" t="s">
        <v>25</v>
      </c>
      <c r="K4052" s="13"/>
      <c r="L4052" s="13"/>
      <c r="M4052" s="14"/>
      <c r="N4052" s="15"/>
      <c r="O4052" s="5" t="s">
        <v>26</v>
      </c>
      <c r="P4052" s="15"/>
      <c r="Q4052" s="15"/>
      <c r="R4052" s="422"/>
      <c r="S4052" s="15"/>
      <c r="T4052" s="15"/>
      <c r="U4052" s="15"/>
      <c r="V4052" s="15"/>
      <c r="W4052" s="15"/>
      <c r="X4052" s="15"/>
      <c r="Y4052" s="15"/>
      <c r="Z4052" s="15"/>
      <c r="AA4052" s="15"/>
    </row>
    <row r="4053">
      <c r="A4053" s="5" t="s">
        <v>17609</v>
      </c>
      <c r="B4053" s="131" t="s">
        <v>17621</v>
      </c>
      <c r="C4053" s="40" t="s">
        <v>17622</v>
      </c>
      <c r="D4053" s="11"/>
      <c r="E4053" s="11" t="s">
        <v>8617</v>
      </c>
      <c r="F4053" s="90">
        <v>1000.0</v>
      </c>
      <c r="G4053" s="321"/>
      <c r="H4053" s="11" t="s">
        <v>519</v>
      </c>
      <c r="I4053" s="276"/>
      <c r="J4053" s="11" t="s">
        <v>4008</v>
      </c>
      <c r="K4053" s="13"/>
      <c r="L4053" s="13"/>
      <c r="M4053" s="14"/>
      <c r="N4053" s="15"/>
      <c r="O4053" s="5" t="s">
        <v>108</v>
      </c>
      <c r="P4053" s="15"/>
      <c r="Q4053" s="15"/>
      <c r="R4053" s="422"/>
      <c r="S4053" s="15"/>
      <c r="T4053" s="15"/>
      <c r="U4053" s="15"/>
      <c r="V4053" s="15"/>
      <c r="W4053" s="15"/>
      <c r="X4053" s="15"/>
      <c r="Y4053" s="15"/>
      <c r="Z4053" s="15"/>
      <c r="AA4053" s="15"/>
    </row>
    <row r="4054">
      <c r="A4054" s="5" t="s">
        <v>17609</v>
      </c>
      <c r="B4054" s="131" t="s">
        <v>17623</v>
      </c>
      <c r="C4054" s="40" t="s">
        <v>17624</v>
      </c>
      <c r="D4054" s="11"/>
      <c r="E4054" s="11" t="s">
        <v>17625</v>
      </c>
      <c r="F4054" s="90">
        <v>5000.0</v>
      </c>
      <c r="G4054" s="321"/>
      <c r="H4054" s="11" t="s">
        <v>17626</v>
      </c>
      <c r="I4054" s="276"/>
      <c r="J4054" s="11" t="s">
        <v>25</v>
      </c>
      <c r="K4054" s="12"/>
      <c r="L4054" s="12"/>
      <c r="M4054" s="11" t="s">
        <v>8722</v>
      </c>
      <c r="N4054" s="5" t="s">
        <v>17627</v>
      </c>
      <c r="O4054" s="5" t="s">
        <v>108</v>
      </c>
      <c r="P4054" s="15"/>
      <c r="Q4054" s="15"/>
      <c r="R4054" s="422"/>
      <c r="S4054" s="15"/>
      <c r="T4054" s="15"/>
      <c r="U4054" s="15"/>
      <c r="V4054" s="15"/>
      <c r="W4054" s="15"/>
      <c r="X4054" s="15"/>
      <c r="Y4054" s="15"/>
      <c r="Z4054" s="15"/>
      <c r="AA4054" s="15"/>
    </row>
    <row r="4055">
      <c r="A4055" s="5" t="s">
        <v>17609</v>
      </c>
      <c r="B4055" s="131" t="s">
        <v>17628</v>
      </c>
      <c r="C4055" s="40" t="s">
        <v>17629</v>
      </c>
      <c r="D4055" s="11"/>
      <c r="E4055" s="11" t="s">
        <v>17630</v>
      </c>
      <c r="F4055" s="90">
        <v>25.0</v>
      </c>
      <c r="G4055" s="321"/>
      <c r="H4055" s="11" t="s">
        <v>44</v>
      </c>
      <c r="I4055" s="276"/>
      <c r="J4055" s="11" t="s">
        <v>25</v>
      </c>
      <c r="K4055" s="13"/>
      <c r="L4055" s="13"/>
      <c r="M4055" s="14"/>
      <c r="N4055" s="15"/>
      <c r="O4055" s="5" t="s">
        <v>14119</v>
      </c>
      <c r="P4055" s="15"/>
      <c r="Q4055" s="15"/>
      <c r="R4055" s="422"/>
      <c r="S4055" s="15"/>
      <c r="T4055" s="15"/>
      <c r="U4055" s="15"/>
      <c r="V4055" s="15"/>
      <c r="W4055" s="15"/>
      <c r="X4055" s="15"/>
      <c r="Y4055" s="15"/>
      <c r="Z4055" s="15"/>
      <c r="AA4055" s="15"/>
    </row>
    <row r="4056">
      <c r="A4056" s="5" t="s">
        <v>17609</v>
      </c>
      <c r="B4056" s="131" t="s">
        <v>17631</v>
      </c>
      <c r="C4056" s="40" t="s">
        <v>17632</v>
      </c>
      <c r="D4056" s="11"/>
      <c r="E4056" s="11" t="s">
        <v>130</v>
      </c>
      <c r="F4056" s="90">
        <v>500.0</v>
      </c>
      <c r="G4056" s="321"/>
      <c r="H4056" s="11" t="s">
        <v>44</v>
      </c>
      <c r="I4056" s="276"/>
      <c r="J4056" s="11" t="s">
        <v>4008</v>
      </c>
      <c r="K4056" s="12"/>
      <c r="L4056" s="12"/>
      <c r="M4056" s="11" t="s">
        <v>9875</v>
      </c>
      <c r="N4056" s="5" t="s">
        <v>17633</v>
      </c>
      <c r="O4056" s="5" t="s">
        <v>26</v>
      </c>
      <c r="P4056" s="15"/>
      <c r="Q4056" s="15"/>
      <c r="R4056" s="422"/>
      <c r="S4056" s="15"/>
      <c r="T4056" s="15"/>
      <c r="U4056" s="15"/>
      <c r="V4056" s="15"/>
      <c r="W4056" s="15"/>
      <c r="X4056" s="15"/>
      <c r="Y4056" s="15"/>
      <c r="Z4056" s="15"/>
      <c r="AA4056" s="15"/>
    </row>
    <row r="4057">
      <c r="A4057" s="5" t="s">
        <v>17609</v>
      </c>
      <c r="B4057" s="131" t="s">
        <v>17634</v>
      </c>
      <c r="C4057" s="40" t="s">
        <v>17635</v>
      </c>
      <c r="D4057" s="11"/>
      <c r="E4057" s="11" t="s">
        <v>6889</v>
      </c>
      <c r="F4057" s="90">
        <v>100.0</v>
      </c>
      <c r="G4057" s="321"/>
      <c r="H4057" s="11" t="s">
        <v>17636</v>
      </c>
      <c r="I4057" s="276"/>
      <c r="J4057" s="11" t="s">
        <v>25</v>
      </c>
      <c r="K4057" s="12"/>
      <c r="L4057" s="12"/>
      <c r="M4057" s="11" t="s">
        <v>16418</v>
      </c>
      <c r="N4057" s="5" t="s">
        <v>17637</v>
      </c>
      <c r="O4057" s="5" t="s">
        <v>14119</v>
      </c>
      <c r="P4057" s="15"/>
      <c r="Q4057" s="15"/>
      <c r="R4057" s="422"/>
      <c r="S4057" s="15"/>
      <c r="T4057" s="15"/>
      <c r="U4057" s="15"/>
      <c r="V4057" s="15"/>
      <c r="W4057" s="15"/>
      <c r="X4057" s="15"/>
      <c r="Y4057" s="15"/>
      <c r="Z4057" s="15"/>
      <c r="AA4057" s="15"/>
    </row>
    <row r="4058">
      <c r="A4058" s="5" t="s">
        <v>17609</v>
      </c>
      <c r="B4058" s="131" t="s">
        <v>17638</v>
      </c>
      <c r="C4058" s="40" t="s">
        <v>17639</v>
      </c>
      <c r="D4058" s="11"/>
      <c r="E4058" s="11" t="s">
        <v>116</v>
      </c>
      <c r="F4058" s="90">
        <v>2000.0</v>
      </c>
      <c r="G4058" s="321"/>
      <c r="H4058" s="11" t="s">
        <v>2662</v>
      </c>
      <c r="I4058" s="276"/>
      <c r="J4058" s="11" t="s">
        <v>7109</v>
      </c>
      <c r="K4058" s="12"/>
      <c r="L4058" s="12"/>
      <c r="M4058" s="11" t="s">
        <v>16992</v>
      </c>
      <c r="N4058" s="5" t="s">
        <v>17640</v>
      </c>
      <c r="O4058" s="5" t="s">
        <v>108</v>
      </c>
      <c r="P4058" s="15"/>
      <c r="Q4058" s="15"/>
      <c r="R4058" s="422"/>
      <c r="S4058" s="15"/>
      <c r="T4058" s="15"/>
      <c r="U4058" s="15"/>
      <c r="V4058" s="15"/>
      <c r="W4058" s="15"/>
      <c r="X4058" s="15"/>
      <c r="Y4058" s="15"/>
      <c r="Z4058" s="15"/>
      <c r="AA4058" s="15"/>
    </row>
    <row r="4059">
      <c r="A4059" s="5" t="s">
        <v>17641</v>
      </c>
      <c r="B4059" s="131" t="s">
        <v>17642</v>
      </c>
      <c r="C4059" s="40" t="s">
        <v>17643</v>
      </c>
      <c r="D4059" s="11"/>
      <c r="E4059" s="11" t="s">
        <v>12775</v>
      </c>
      <c r="F4059" s="90">
        <v>4000.0</v>
      </c>
      <c r="G4059" s="321"/>
      <c r="H4059" s="11" t="s">
        <v>17644</v>
      </c>
      <c r="I4059" s="276"/>
      <c r="J4059" s="11" t="s">
        <v>17593</v>
      </c>
      <c r="K4059" s="12"/>
      <c r="L4059" s="12"/>
      <c r="M4059" s="11" t="s">
        <v>15494</v>
      </c>
      <c r="N4059" s="5" t="s">
        <v>17645</v>
      </c>
      <c r="O4059" s="5" t="s">
        <v>26</v>
      </c>
      <c r="P4059" s="15"/>
      <c r="Q4059" s="15"/>
      <c r="R4059" s="422"/>
      <c r="S4059" s="15"/>
      <c r="T4059" s="15"/>
      <c r="U4059" s="15"/>
      <c r="V4059" s="15"/>
      <c r="W4059" s="15"/>
      <c r="X4059" s="15"/>
      <c r="Y4059" s="15"/>
      <c r="Z4059" s="15"/>
      <c r="AA4059" s="15"/>
    </row>
    <row r="4060">
      <c r="A4060" s="5" t="s">
        <v>17641</v>
      </c>
      <c r="B4060" s="131" t="s">
        <v>17646</v>
      </c>
      <c r="C4060" s="40" t="s">
        <v>17647</v>
      </c>
      <c r="D4060" s="11"/>
      <c r="E4060" s="11" t="s">
        <v>38</v>
      </c>
      <c r="F4060" s="90">
        <v>500.0</v>
      </c>
      <c r="G4060" s="321"/>
      <c r="H4060" s="11" t="s">
        <v>472</v>
      </c>
      <c r="I4060" s="423"/>
      <c r="J4060" s="14"/>
      <c r="K4060" s="12"/>
      <c r="L4060" s="12"/>
      <c r="M4060" s="11" t="s">
        <v>17648</v>
      </c>
      <c r="N4060" s="5" t="s">
        <v>17649</v>
      </c>
      <c r="O4060" s="5" t="s">
        <v>26</v>
      </c>
      <c r="P4060" s="15"/>
      <c r="Q4060" s="15"/>
      <c r="R4060" s="422"/>
      <c r="S4060" s="15"/>
      <c r="T4060" s="15"/>
      <c r="U4060" s="15"/>
      <c r="V4060" s="15"/>
      <c r="W4060" s="15"/>
      <c r="X4060" s="15"/>
      <c r="Y4060" s="15"/>
      <c r="Z4060" s="15"/>
      <c r="AA4060" s="15"/>
    </row>
    <row r="4061">
      <c r="A4061" s="5" t="s">
        <v>17641</v>
      </c>
      <c r="B4061" s="131" t="s">
        <v>17650</v>
      </c>
      <c r="C4061" s="40" t="s">
        <v>17589</v>
      </c>
      <c r="D4061" s="11"/>
      <c r="E4061" s="11" t="s">
        <v>7197</v>
      </c>
      <c r="F4061" s="90">
        <v>1000.0</v>
      </c>
      <c r="G4061" s="321"/>
      <c r="H4061" s="11" t="s">
        <v>2882</v>
      </c>
      <c r="I4061" s="276"/>
      <c r="J4061" s="11" t="s">
        <v>25</v>
      </c>
      <c r="K4061" s="12"/>
      <c r="L4061" s="12"/>
      <c r="M4061" s="11" t="s">
        <v>7510</v>
      </c>
      <c r="N4061" s="5" t="s">
        <v>17651</v>
      </c>
      <c r="O4061" s="5" t="s">
        <v>108</v>
      </c>
      <c r="P4061" s="15"/>
      <c r="Q4061" s="15"/>
      <c r="R4061" s="422"/>
      <c r="S4061" s="15"/>
      <c r="T4061" s="15"/>
      <c r="U4061" s="15"/>
      <c r="V4061" s="15"/>
      <c r="W4061" s="15"/>
      <c r="X4061" s="15"/>
      <c r="Y4061" s="15"/>
      <c r="Z4061" s="15"/>
      <c r="AA4061" s="15"/>
    </row>
    <row r="4062">
      <c r="A4062" s="5" t="s">
        <v>17641</v>
      </c>
      <c r="B4062" s="131" t="s">
        <v>17652</v>
      </c>
      <c r="C4062" s="40" t="s">
        <v>17653</v>
      </c>
      <c r="D4062" s="11"/>
      <c r="E4062" s="11" t="s">
        <v>16923</v>
      </c>
      <c r="F4062" s="90">
        <v>100.0</v>
      </c>
      <c r="G4062" s="321"/>
      <c r="H4062" s="11" t="s">
        <v>17654</v>
      </c>
      <c r="I4062" s="276"/>
      <c r="J4062" s="11" t="s">
        <v>25</v>
      </c>
      <c r="K4062" s="12"/>
      <c r="L4062" s="12"/>
      <c r="M4062" s="11" t="s">
        <v>17276</v>
      </c>
      <c r="N4062" s="5" t="s">
        <v>17655</v>
      </c>
      <c r="O4062" s="5" t="s">
        <v>14119</v>
      </c>
      <c r="P4062" s="15"/>
      <c r="Q4062" s="15"/>
      <c r="R4062" s="422"/>
      <c r="S4062" s="15"/>
      <c r="T4062" s="15"/>
      <c r="U4062" s="15"/>
      <c r="V4062" s="15"/>
      <c r="W4062" s="15"/>
      <c r="X4062" s="15"/>
      <c r="Y4062" s="15"/>
      <c r="Z4062" s="15"/>
      <c r="AA4062" s="15"/>
    </row>
    <row r="4063">
      <c r="A4063" s="5" t="s">
        <v>17641</v>
      </c>
      <c r="B4063" s="131" t="s">
        <v>17656</v>
      </c>
      <c r="C4063" s="40" t="s">
        <v>16703</v>
      </c>
      <c r="D4063" s="11"/>
      <c r="E4063" s="11" t="s">
        <v>8247</v>
      </c>
      <c r="F4063" s="90">
        <v>100.0</v>
      </c>
      <c r="G4063" s="321"/>
      <c r="H4063" s="11" t="s">
        <v>5627</v>
      </c>
      <c r="I4063" s="276"/>
      <c r="J4063" s="11" t="s">
        <v>25</v>
      </c>
      <c r="K4063" s="13"/>
      <c r="L4063" s="13"/>
      <c r="M4063" s="14"/>
      <c r="N4063" s="15"/>
      <c r="O4063" s="5" t="s">
        <v>14119</v>
      </c>
      <c r="P4063" s="15"/>
      <c r="Q4063" s="15"/>
      <c r="R4063" s="422"/>
      <c r="S4063" s="15"/>
      <c r="T4063" s="15"/>
      <c r="U4063" s="15"/>
      <c r="V4063" s="15"/>
      <c r="W4063" s="15"/>
      <c r="X4063" s="15"/>
      <c r="Y4063" s="15"/>
      <c r="Z4063" s="15"/>
      <c r="AA4063" s="15"/>
    </row>
    <row r="4064">
      <c r="A4064" s="5" t="s">
        <v>17641</v>
      </c>
      <c r="B4064" s="131" t="s">
        <v>17657</v>
      </c>
      <c r="C4064" s="40" t="s">
        <v>1730</v>
      </c>
      <c r="D4064" s="11"/>
      <c r="E4064" s="11" t="s">
        <v>10433</v>
      </c>
      <c r="F4064" s="90">
        <v>100.0</v>
      </c>
      <c r="G4064" s="321"/>
      <c r="H4064" s="11" t="s">
        <v>24</v>
      </c>
      <c r="I4064" s="276"/>
      <c r="J4064" s="11" t="s">
        <v>25</v>
      </c>
      <c r="K4064" s="12"/>
      <c r="L4064" s="12"/>
      <c r="M4064" s="11" t="s">
        <v>17276</v>
      </c>
      <c r="N4064" s="5" t="s">
        <v>17658</v>
      </c>
      <c r="O4064" s="5" t="s">
        <v>14119</v>
      </c>
      <c r="P4064" s="15"/>
      <c r="Q4064" s="15"/>
      <c r="R4064" s="422"/>
      <c r="S4064" s="15"/>
      <c r="T4064" s="15"/>
      <c r="U4064" s="15"/>
      <c r="V4064" s="15"/>
      <c r="W4064" s="15"/>
      <c r="X4064" s="15"/>
      <c r="Y4064" s="15"/>
      <c r="Z4064" s="15"/>
      <c r="AA4064" s="15"/>
    </row>
    <row r="4065">
      <c r="A4065" s="5" t="s">
        <v>17641</v>
      </c>
      <c r="B4065" s="131" t="s">
        <v>17659</v>
      </c>
      <c r="C4065" s="40" t="s">
        <v>17660</v>
      </c>
      <c r="D4065" s="11"/>
      <c r="E4065" s="11" t="s">
        <v>10508</v>
      </c>
      <c r="F4065" s="90">
        <v>1000.0</v>
      </c>
      <c r="G4065" s="321"/>
      <c r="H4065" s="11" t="s">
        <v>906</v>
      </c>
      <c r="I4065" s="423"/>
      <c r="J4065" s="14"/>
      <c r="K4065" s="12"/>
      <c r="L4065" s="12"/>
      <c r="M4065" s="11" t="s">
        <v>17169</v>
      </c>
      <c r="N4065" s="5" t="s">
        <v>17661</v>
      </c>
      <c r="O4065" s="5" t="s">
        <v>108</v>
      </c>
      <c r="P4065" s="15"/>
      <c r="Q4065" s="15"/>
      <c r="R4065" s="422"/>
      <c r="S4065" s="15"/>
      <c r="T4065" s="15"/>
      <c r="U4065" s="15"/>
      <c r="V4065" s="15"/>
      <c r="W4065" s="15"/>
      <c r="X4065" s="15"/>
      <c r="Y4065" s="15"/>
      <c r="Z4065" s="15"/>
      <c r="AA4065" s="15"/>
    </row>
    <row r="4066">
      <c r="A4066" s="5" t="s">
        <v>17641</v>
      </c>
      <c r="B4066" s="131" t="s">
        <v>17662</v>
      </c>
      <c r="C4066" s="40" t="s">
        <v>17663</v>
      </c>
      <c r="D4066" s="11"/>
      <c r="E4066" s="11" t="s">
        <v>6766</v>
      </c>
      <c r="F4066" s="90">
        <v>300.0</v>
      </c>
      <c r="G4066" s="321"/>
      <c r="H4066" s="11" t="s">
        <v>44</v>
      </c>
      <c r="I4066" s="276"/>
      <c r="J4066" s="11" t="s">
        <v>25</v>
      </c>
      <c r="K4066" s="12"/>
      <c r="L4066" s="12"/>
      <c r="M4066" s="11" t="s">
        <v>17664</v>
      </c>
      <c r="N4066" s="5" t="s">
        <v>17665</v>
      </c>
      <c r="O4066" s="5" t="s">
        <v>14119</v>
      </c>
      <c r="P4066" s="15"/>
      <c r="Q4066" s="15"/>
      <c r="R4066" s="422"/>
      <c r="S4066" s="15"/>
      <c r="T4066" s="15"/>
      <c r="U4066" s="15"/>
      <c r="V4066" s="15"/>
      <c r="W4066" s="15"/>
      <c r="X4066" s="15"/>
      <c r="Y4066" s="15"/>
      <c r="Z4066" s="15"/>
      <c r="AA4066" s="15"/>
    </row>
    <row r="4067">
      <c r="A4067" s="5" t="s">
        <v>17641</v>
      </c>
      <c r="B4067" s="131" t="s">
        <v>17666</v>
      </c>
      <c r="C4067" s="40" t="s">
        <v>15315</v>
      </c>
      <c r="D4067" s="11"/>
      <c r="E4067" s="11" t="s">
        <v>444</v>
      </c>
      <c r="F4067" s="90">
        <v>600.0</v>
      </c>
      <c r="G4067" s="321"/>
      <c r="H4067" s="11" t="s">
        <v>15316</v>
      </c>
      <c r="I4067" s="423"/>
      <c r="J4067" s="14"/>
      <c r="K4067" s="13"/>
      <c r="L4067" s="13"/>
      <c r="M4067" s="14"/>
      <c r="N4067" s="15"/>
      <c r="O4067" s="5" t="s">
        <v>26</v>
      </c>
      <c r="P4067" s="15"/>
      <c r="Q4067" s="15"/>
      <c r="R4067" s="422"/>
      <c r="S4067" s="15"/>
      <c r="T4067" s="15"/>
      <c r="U4067" s="15"/>
      <c r="V4067" s="15"/>
      <c r="W4067" s="15"/>
      <c r="X4067" s="15"/>
      <c r="Y4067" s="15"/>
      <c r="Z4067" s="15"/>
      <c r="AA4067" s="15"/>
    </row>
    <row r="4068">
      <c r="A4068" s="5" t="s">
        <v>17641</v>
      </c>
      <c r="B4068" s="131" t="s">
        <v>17667</v>
      </c>
      <c r="C4068" s="40" t="s">
        <v>17668</v>
      </c>
      <c r="D4068" s="11"/>
      <c r="E4068" s="11" t="s">
        <v>38</v>
      </c>
      <c r="F4068" s="90">
        <v>50.0</v>
      </c>
      <c r="G4068" s="321"/>
      <c r="H4068" s="11" t="s">
        <v>44</v>
      </c>
      <c r="I4068" s="276"/>
      <c r="J4068" s="11" t="s">
        <v>25</v>
      </c>
      <c r="K4068" s="13"/>
      <c r="L4068" s="13"/>
      <c r="M4068" s="14"/>
      <c r="N4068" s="15"/>
      <c r="O4068" s="5" t="s">
        <v>14119</v>
      </c>
      <c r="P4068" s="15"/>
      <c r="Q4068" s="15"/>
      <c r="R4068" s="422"/>
      <c r="S4068" s="15"/>
      <c r="T4068" s="15"/>
      <c r="U4068" s="15"/>
      <c r="V4068" s="15"/>
      <c r="W4068" s="15"/>
      <c r="X4068" s="15"/>
      <c r="Y4068" s="15"/>
      <c r="Z4068" s="15"/>
      <c r="AA4068" s="15"/>
    </row>
    <row r="4069">
      <c r="A4069" s="5" t="s">
        <v>17641</v>
      </c>
      <c r="B4069" s="131" t="s">
        <v>17669</v>
      </c>
      <c r="C4069" s="40" t="s">
        <v>17670</v>
      </c>
      <c r="D4069" s="11"/>
      <c r="E4069" s="11" t="s">
        <v>17671</v>
      </c>
      <c r="F4069" s="90">
        <v>100.0</v>
      </c>
      <c r="G4069" s="321"/>
      <c r="H4069" s="11" t="s">
        <v>4841</v>
      </c>
      <c r="I4069" s="276"/>
      <c r="J4069" s="11" t="s">
        <v>25</v>
      </c>
      <c r="K4069" s="13"/>
      <c r="L4069" s="13"/>
      <c r="M4069" s="14"/>
      <c r="N4069" s="15"/>
      <c r="O4069" s="5" t="s">
        <v>14119</v>
      </c>
      <c r="P4069" s="15"/>
      <c r="Q4069" s="15"/>
      <c r="R4069" s="422"/>
      <c r="S4069" s="15"/>
      <c r="T4069" s="15"/>
      <c r="U4069" s="15"/>
      <c r="V4069" s="15"/>
      <c r="W4069" s="15"/>
      <c r="X4069" s="15"/>
      <c r="Y4069" s="15"/>
      <c r="Z4069" s="15"/>
      <c r="AA4069" s="15"/>
    </row>
    <row r="4070">
      <c r="A4070" s="5" t="s">
        <v>17641</v>
      </c>
      <c r="B4070" s="131" t="s">
        <v>17672</v>
      </c>
      <c r="C4070" s="40" t="s">
        <v>17673</v>
      </c>
      <c r="D4070" s="11"/>
      <c r="E4070" s="11" t="s">
        <v>17674</v>
      </c>
      <c r="F4070" s="90">
        <v>100.0</v>
      </c>
      <c r="G4070" s="321"/>
      <c r="H4070" s="11" t="s">
        <v>44</v>
      </c>
      <c r="I4070" s="276"/>
      <c r="J4070" s="11" t="s">
        <v>25</v>
      </c>
      <c r="K4070" s="13"/>
      <c r="L4070" s="13"/>
      <c r="M4070" s="14"/>
      <c r="N4070" s="15"/>
      <c r="O4070" s="5" t="s">
        <v>14119</v>
      </c>
      <c r="P4070" s="15"/>
      <c r="Q4070" s="15"/>
      <c r="R4070" s="422"/>
      <c r="S4070" s="15"/>
      <c r="T4070" s="15"/>
      <c r="U4070" s="15"/>
      <c r="V4070" s="15"/>
      <c r="W4070" s="15"/>
      <c r="X4070" s="15"/>
      <c r="Y4070" s="15"/>
      <c r="Z4070" s="15"/>
      <c r="AA4070" s="15"/>
    </row>
    <row r="4071">
      <c r="A4071" s="5" t="s">
        <v>17641</v>
      </c>
      <c r="B4071" s="131" t="s">
        <v>17675</v>
      </c>
      <c r="C4071" s="40" t="s">
        <v>17676</v>
      </c>
      <c r="D4071" s="11"/>
      <c r="E4071" s="11" t="s">
        <v>5502</v>
      </c>
      <c r="F4071" s="90" t="s">
        <v>15446</v>
      </c>
      <c r="G4071" s="321"/>
      <c r="H4071" s="11" t="s">
        <v>507</v>
      </c>
      <c r="I4071" s="276"/>
      <c r="J4071" s="11" t="s">
        <v>4008</v>
      </c>
      <c r="K4071" s="12"/>
      <c r="L4071" s="12"/>
      <c r="M4071" s="11" t="s">
        <v>16827</v>
      </c>
      <c r="N4071" s="5" t="s">
        <v>17677</v>
      </c>
      <c r="O4071" s="5" t="s">
        <v>108</v>
      </c>
      <c r="P4071" s="15"/>
      <c r="Q4071" s="15"/>
      <c r="R4071" s="422"/>
      <c r="S4071" s="15"/>
      <c r="T4071" s="15"/>
      <c r="U4071" s="15"/>
      <c r="V4071" s="15"/>
      <c r="W4071" s="15"/>
      <c r="X4071" s="15"/>
      <c r="Y4071" s="15"/>
      <c r="Z4071" s="15"/>
      <c r="AA4071" s="15"/>
    </row>
    <row r="4072">
      <c r="A4072" s="5" t="s">
        <v>17641</v>
      </c>
      <c r="B4072" s="131" t="s">
        <v>17678</v>
      </c>
      <c r="C4072" s="40" t="s">
        <v>17679</v>
      </c>
      <c r="D4072" s="11"/>
      <c r="E4072" s="11" t="s">
        <v>11149</v>
      </c>
      <c r="F4072" s="90">
        <v>200.0</v>
      </c>
      <c r="G4072" s="321"/>
      <c r="H4072" s="11" t="s">
        <v>2682</v>
      </c>
      <c r="I4072" s="423"/>
      <c r="J4072" s="14"/>
      <c r="K4072" s="13"/>
      <c r="L4072" s="13"/>
      <c r="M4072" s="14"/>
      <c r="N4072" s="15"/>
      <c r="O4072" s="5" t="s">
        <v>14119</v>
      </c>
      <c r="P4072" s="15"/>
      <c r="Q4072" s="15"/>
      <c r="R4072" s="422"/>
      <c r="S4072" s="15"/>
      <c r="T4072" s="15"/>
      <c r="U4072" s="15"/>
      <c r="V4072" s="15"/>
      <c r="W4072" s="15"/>
      <c r="X4072" s="15"/>
      <c r="Y4072" s="15"/>
      <c r="Z4072" s="15"/>
      <c r="AA4072" s="15"/>
    </row>
    <row r="4073">
      <c r="A4073" s="5" t="s">
        <v>17641</v>
      </c>
      <c r="B4073" s="131" t="s">
        <v>17680</v>
      </c>
      <c r="C4073" s="40" t="s">
        <v>17681</v>
      </c>
      <c r="D4073" s="11"/>
      <c r="E4073" s="11" t="s">
        <v>116</v>
      </c>
      <c r="F4073" s="9">
        <v>10000.0</v>
      </c>
      <c r="G4073" s="321"/>
      <c r="H4073" s="11" t="s">
        <v>495</v>
      </c>
      <c r="I4073" s="276"/>
      <c r="J4073" s="11" t="s">
        <v>17682</v>
      </c>
      <c r="K4073" s="12"/>
      <c r="L4073" s="12"/>
      <c r="M4073" s="11" t="s">
        <v>7928</v>
      </c>
      <c r="N4073" s="5" t="s">
        <v>17683</v>
      </c>
      <c r="O4073" s="5" t="s">
        <v>108</v>
      </c>
      <c r="P4073" s="15"/>
      <c r="Q4073" s="15"/>
      <c r="R4073" s="422"/>
      <c r="S4073" s="15"/>
      <c r="T4073" s="15"/>
      <c r="U4073" s="15"/>
      <c r="V4073" s="15"/>
      <c r="W4073" s="15"/>
      <c r="X4073" s="15"/>
      <c r="Y4073" s="15"/>
      <c r="Z4073" s="15"/>
      <c r="AA4073" s="15"/>
    </row>
    <row r="4074">
      <c r="A4074" s="5" t="s">
        <v>17641</v>
      </c>
      <c r="B4074" s="131" t="s">
        <v>17684</v>
      </c>
      <c r="C4074" s="40" t="s">
        <v>17685</v>
      </c>
      <c r="D4074" s="11"/>
      <c r="E4074" s="11" t="s">
        <v>4892</v>
      </c>
      <c r="F4074" s="90">
        <v>100.0</v>
      </c>
      <c r="G4074" s="321"/>
      <c r="H4074" s="11" t="s">
        <v>196</v>
      </c>
      <c r="I4074" s="423"/>
      <c r="J4074" s="14"/>
      <c r="K4074" s="13"/>
      <c r="L4074" s="13"/>
      <c r="M4074" s="14"/>
      <c r="N4074" s="15"/>
      <c r="O4074" s="5" t="s">
        <v>14119</v>
      </c>
      <c r="P4074" s="15"/>
      <c r="Q4074" s="15"/>
      <c r="R4074" s="422"/>
      <c r="S4074" s="15"/>
      <c r="T4074" s="15"/>
      <c r="U4074" s="15"/>
      <c r="V4074" s="15"/>
      <c r="W4074" s="15"/>
      <c r="X4074" s="15"/>
      <c r="Y4074" s="15"/>
      <c r="Z4074" s="15"/>
      <c r="AA4074" s="15"/>
    </row>
    <row r="4075">
      <c r="A4075" s="5" t="s">
        <v>17641</v>
      </c>
      <c r="B4075" s="131" t="s">
        <v>17686</v>
      </c>
      <c r="C4075" s="40" t="s">
        <v>17687</v>
      </c>
      <c r="D4075" s="11"/>
      <c r="E4075" s="11" t="s">
        <v>3073</v>
      </c>
      <c r="F4075" s="90">
        <v>1000.0</v>
      </c>
      <c r="G4075" s="321"/>
      <c r="H4075" s="11" t="s">
        <v>507</v>
      </c>
      <c r="I4075" s="423"/>
      <c r="J4075" s="14"/>
      <c r="K4075" s="12"/>
      <c r="L4075" s="12"/>
      <c r="M4075" s="11" t="s">
        <v>17688</v>
      </c>
      <c r="N4075" s="5" t="s">
        <v>17689</v>
      </c>
      <c r="O4075" s="5" t="s">
        <v>108</v>
      </c>
      <c r="P4075" s="15"/>
      <c r="Q4075" s="15"/>
      <c r="R4075" s="422"/>
      <c r="S4075" s="15"/>
      <c r="T4075" s="15"/>
      <c r="U4075" s="15"/>
      <c r="V4075" s="15"/>
      <c r="W4075" s="15"/>
      <c r="X4075" s="15"/>
      <c r="Y4075" s="15"/>
      <c r="Z4075" s="15"/>
      <c r="AA4075" s="15"/>
    </row>
    <row r="4076">
      <c r="A4076" s="5" t="s">
        <v>17641</v>
      </c>
      <c r="B4076" s="131" t="s">
        <v>17690</v>
      </c>
      <c r="C4076" s="40" t="s">
        <v>17691</v>
      </c>
      <c r="D4076" s="11"/>
      <c r="E4076" s="11" t="s">
        <v>17692</v>
      </c>
      <c r="F4076" s="90">
        <v>1000.0</v>
      </c>
      <c r="G4076" s="321"/>
      <c r="H4076" s="11" t="s">
        <v>2882</v>
      </c>
      <c r="I4076" s="276"/>
      <c r="J4076" s="11" t="s">
        <v>25</v>
      </c>
      <c r="K4076" s="13"/>
      <c r="L4076" s="13"/>
      <c r="M4076" s="14"/>
      <c r="N4076" s="15"/>
      <c r="O4076" s="5" t="s">
        <v>108</v>
      </c>
      <c r="P4076" s="15"/>
      <c r="Q4076" s="15"/>
      <c r="R4076" s="422"/>
      <c r="S4076" s="15"/>
      <c r="T4076" s="15"/>
      <c r="U4076" s="15"/>
      <c r="V4076" s="15"/>
      <c r="W4076" s="15"/>
      <c r="X4076" s="15"/>
      <c r="Y4076" s="15"/>
      <c r="Z4076" s="15"/>
      <c r="AA4076" s="15"/>
    </row>
    <row r="4077">
      <c r="A4077" s="5" t="s">
        <v>17641</v>
      </c>
      <c r="B4077" s="131" t="s">
        <v>17693</v>
      </c>
      <c r="C4077" s="40" t="s">
        <v>3768</v>
      </c>
      <c r="D4077" s="11"/>
      <c r="E4077" s="11" t="s">
        <v>116</v>
      </c>
      <c r="F4077" s="90">
        <v>500.0</v>
      </c>
      <c r="G4077" s="321"/>
      <c r="H4077" s="11" t="s">
        <v>507</v>
      </c>
      <c r="I4077" s="276"/>
      <c r="J4077" s="11" t="s">
        <v>25</v>
      </c>
      <c r="K4077" s="12"/>
      <c r="L4077" s="12"/>
      <c r="M4077" s="11" t="s">
        <v>9497</v>
      </c>
      <c r="N4077" s="5" t="s">
        <v>17694</v>
      </c>
      <c r="O4077" s="5" t="s">
        <v>108</v>
      </c>
      <c r="P4077" s="15"/>
      <c r="Q4077" s="15"/>
      <c r="R4077" s="422"/>
      <c r="S4077" s="15"/>
      <c r="T4077" s="15"/>
      <c r="U4077" s="15"/>
      <c r="V4077" s="15"/>
      <c r="W4077" s="15"/>
      <c r="X4077" s="15"/>
      <c r="Y4077" s="15"/>
      <c r="Z4077" s="15"/>
      <c r="AA4077" s="15"/>
    </row>
    <row r="4078">
      <c r="A4078" s="5" t="s">
        <v>17695</v>
      </c>
      <c r="B4078" s="131" t="s">
        <v>17696</v>
      </c>
      <c r="C4078" s="40" t="s">
        <v>17697</v>
      </c>
      <c r="D4078" s="11"/>
      <c r="E4078" s="11" t="s">
        <v>5502</v>
      </c>
      <c r="F4078" s="90" t="s">
        <v>17698</v>
      </c>
      <c r="G4078" s="321"/>
      <c r="H4078" s="11" t="s">
        <v>17699</v>
      </c>
      <c r="I4078" s="423"/>
      <c r="J4078" s="14"/>
      <c r="K4078" s="12"/>
      <c r="L4078" s="12"/>
      <c r="M4078" s="11" t="s">
        <v>16827</v>
      </c>
      <c r="N4078" s="5" t="s">
        <v>17700</v>
      </c>
      <c r="O4078" s="5" t="s">
        <v>108</v>
      </c>
      <c r="P4078" s="15"/>
      <c r="Q4078" s="15"/>
      <c r="R4078" s="422"/>
      <c r="S4078" s="15"/>
      <c r="T4078" s="15"/>
      <c r="U4078" s="15"/>
      <c r="V4078" s="15"/>
      <c r="W4078" s="15"/>
      <c r="X4078" s="15"/>
      <c r="Y4078" s="15"/>
      <c r="Z4078" s="15"/>
      <c r="AA4078" s="15"/>
    </row>
    <row r="4079">
      <c r="A4079" s="5" t="s">
        <v>17695</v>
      </c>
      <c r="B4079" s="131" t="s">
        <v>17701</v>
      </c>
      <c r="C4079" s="40" t="s">
        <v>17702</v>
      </c>
      <c r="D4079" s="11"/>
      <c r="E4079" s="11" t="s">
        <v>344</v>
      </c>
      <c r="F4079" s="9">
        <v>1000000.0</v>
      </c>
      <c r="G4079" s="321"/>
      <c r="H4079" s="11" t="s">
        <v>17703</v>
      </c>
      <c r="I4079" s="423"/>
      <c r="J4079" s="14"/>
      <c r="K4079" s="13"/>
      <c r="L4079" s="13"/>
      <c r="M4079" s="14"/>
      <c r="N4079" s="15"/>
      <c r="O4079" s="5" t="s">
        <v>108</v>
      </c>
      <c r="P4079" s="15"/>
      <c r="Q4079" s="15"/>
      <c r="R4079" s="422"/>
      <c r="S4079" s="15"/>
      <c r="T4079" s="15"/>
      <c r="U4079" s="15"/>
      <c r="V4079" s="15"/>
      <c r="W4079" s="15"/>
      <c r="X4079" s="15"/>
      <c r="Y4079" s="15"/>
      <c r="Z4079" s="15"/>
      <c r="AA4079" s="15"/>
    </row>
    <row r="4080">
      <c r="A4080" s="5" t="s">
        <v>17695</v>
      </c>
      <c r="B4080" s="131" t="s">
        <v>17704</v>
      </c>
      <c r="C4080" s="40" t="s">
        <v>17705</v>
      </c>
      <c r="D4080" s="11"/>
      <c r="E4080" s="11" t="s">
        <v>2546</v>
      </c>
      <c r="F4080" s="90">
        <v>200.0</v>
      </c>
      <c r="G4080" s="321"/>
      <c r="H4080" s="11" t="s">
        <v>99</v>
      </c>
      <c r="I4080" s="423"/>
      <c r="J4080" s="14"/>
      <c r="K4080" s="12"/>
      <c r="L4080" s="12"/>
      <c r="M4080" s="11" t="s">
        <v>17706</v>
      </c>
      <c r="N4080" s="5" t="s">
        <v>17707</v>
      </c>
      <c r="O4080" s="5" t="s">
        <v>14119</v>
      </c>
      <c r="P4080" s="15"/>
      <c r="Q4080" s="15"/>
      <c r="R4080" s="422"/>
      <c r="S4080" s="15"/>
      <c r="T4080" s="15"/>
      <c r="U4080" s="15"/>
      <c r="V4080" s="15"/>
      <c r="W4080" s="15"/>
      <c r="X4080" s="15"/>
      <c r="Y4080" s="15"/>
      <c r="Z4080" s="15"/>
      <c r="AA4080" s="15"/>
    </row>
    <row r="4081">
      <c r="A4081" s="5" t="s">
        <v>17695</v>
      </c>
      <c r="B4081" s="131" t="s">
        <v>17708</v>
      </c>
      <c r="C4081" s="40" t="s">
        <v>17709</v>
      </c>
      <c r="D4081" s="11"/>
      <c r="E4081" s="11" t="s">
        <v>11049</v>
      </c>
      <c r="F4081" s="90">
        <v>200.0</v>
      </c>
      <c r="G4081" s="321"/>
      <c r="H4081" s="11" t="s">
        <v>17710</v>
      </c>
      <c r="I4081" s="276"/>
      <c r="J4081" s="11" t="s">
        <v>4008</v>
      </c>
      <c r="K4081" s="12"/>
      <c r="L4081" s="12"/>
      <c r="M4081" s="11" t="s">
        <v>17711</v>
      </c>
      <c r="N4081" s="5" t="s">
        <v>17712</v>
      </c>
      <c r="O4081" s="5" t="s">
        <v>14119</v>
      </c>
      <c r="P4081" s="15"/>
      <c r="Q4081" s="15"/>
      <c r="R4081" s="422"/>
      <c r="S4081" s="15"/>
      <c r="T4081" s="15"/>
      <c r="U4081" s="15"/>
      <c r="V4081" s="15"/>
      <c r="W4081" s="15"/>
      <c r="X4081" s="15"/>
      <c r="Y4081" s="15"/>
      <c r="Z4081" s="15"/>
      <c r="AA4081" s="15"/>
    </row>
    <row r="4082">
      <c r="A4082" s="5" t="s">
        <v>17695</v>
      </c>
      <c r="B4082" s="131" t="s">
        <v>17713</v>
      </c>
      <c r="C4082" s="40" t="s">
        <v>17714</v>
      </c>
      <c r="D4082" s="11"/>
      <c r="E4082" s="11" t="s">
        <v>14778</v>
      </c>
      <c r="F4082" s="90">
        <v>800.0</v>
      </c>
      <c r="G4082" s="321"/>
      <c r="H4082" s="11" t="s">
        <v>11311</v>
      </c>
      <c r="I4082" s="276"/>
      <c r="J4082" s="11" t="s">
        <v>4008</v>
      </c>
      <c r="K4082" s="13"/>
      <c r="L4082" s="13"/>
      <c r="M4082" s="14"/>
      <c r="N4082" s="15"/>
      <c r="O4082" s="5" t="s">
        <v>108</v>
      </c>
      <c r="P4082" s="15"/>
      <c r="Q4082" s="15"/>
      <c r="R4082" s="422"/>
      <c r="S4082" s="15"/>
      <c r="T4082" s="15"/>
      <c r="U4082" s="15"/>
      <c r="V4082" s="15"/>
      <c r="W4082" s="15"/>
      <c r="X4082" s="15"/>
      <c r="Y4082" s="15"/>
      <c r="Z4082" s="15"/>
      <c r="AA4082" s="15"/>
    </row>
    <row r="4083">
      <c r="A4083" s="5" t="s">
        <v>17695</v>
      </c>
      <c r="B4083" s="131" t="s">
        <v>17715</v>
      </c>
      <c r="C4083" s="40" t="s">
        <v>17716</v>
      </c>
      <c r="D4083" s="11"/>
      <c r="E4083" s="11" t="s">
        <v>17717</v>
      </c>
      <c r="F4083" s="90">
        <v>1000.0</v>
      </c>
      <c r="G4083" s="321"/>
      <c r="H4083" s="11" t="s">
        <v>17718</v>
      </c>
      <c r="I4083" s="423"/>
      <c r="J4083" s="14"/>
      <c r="K4083" s="13"/>
      <c r="L4083" s="13"/>
      <c r="M4083" s="14"/>
      <c r="N4083" s="15"/>
      <c r="O4083" s="5" t="s">
        <v>26</v>
      </c>
      <c r="P4083" s="15"/>
      <c r="Q4083" s="15"/>
      <c r="R4083" s="422"/>
      <c r="S4083" s="15"/>
      <c r="T4083" s="15"/>
      <c r="U4083" s="15"/>
      <c r="V4083" s="15"/>
      <c r="W4083" s="15"/>
      <c r="X4083" s="15"/>
      <c r="Y4083" s="15"/>
      <c r="Z4083" s="15"/>
      <c r="AA4083" s="15"/>
    </row>
    <row r="4084">
      <c r="A4084" s="5" t="s">
        <v>17695</v>
      </c>
      <c r="B4084" s="131" t="s">
        <v>17719</v>
      </c>
      <c r="C4084" s="40" t="s">
        <v>17720</v>
      </c>
      <c r="D4084" s="11"/>
      <c r="E4084" s="11" t="s">
        <v>43</v>
      </c>
      <c r="F4084" s="90">
        <v>1000.0</v>
      </c>
      <c r="G4084" s="321"/>
      <c r="H4084" s="11" t="s">
        <v>44</v>
      </c>
      <c r="I4084" s="276"/>
      <c r="J4084" s="11" t="s">
        <v>25</v>
      </c>
      <c r="K4084" s="12"/>
      <c r="L4084" s="12"/>
      <c r="M4084" s="11" t="s">
        <v>9445</v>
      </c>
      <c r="N4084" s="5" t="s">
        <v>17721</v>
      </c>
      <c r="O4084" s="5" t="s">
        <v>26</v>
      </c>
      <c r="P4084" s="15"/>
      <c r="Q4084" s="15"/>
      <c r="R4084" s="422"/>
      <c r="S4084" s="15"/>
      <c r="T4084" s="15"/>
      <c r="U4084" s="15"/>
      <c r="V4084" s="15"/>
      <c r="W4084" s="15"/>
      <c r="X4084" s="15"/>
      <c r="Y4084" s="15"/>
      <c r="Z4084" s="15"/>
      <c r="AA4084" s="15"/>
    </row>
    <row r="4085">
      <c r="A4085" s="5" t="s">
        <v>17695</v>
      </c>
      <c r="B4085" s="131" t="s">
        <v>17722</v>
      </c>
      <c r="C4085" s="40" t="s">
        <v>17723</v>
      </c>
      <c r="D4085" s="11"/>
      <c r="E4085" s="11" t="s">
        <v>17724</v>
      </c>
      <c r="F4085" s="90">
        <v>300.0</v>
      </c>
      <c r="G4085" s="321"/>
      <c r="H4085" s="11" t="s">
        <v>906</v>
      </c>
      <c r="I4085" s="423"/>
      <c r="J4085" s="14"/>
      <c r="K4085" s="12"/>
      <c r="L4085" s="12"/>
      <c r="M4085" s="11" t="s">
        <v>13651</v>
      </c>
      <c r="N4085" s="5" t="s">
        <v>17725</v>
      </c>
      <c r="O4085" s="5" t="s">
        <v>14119</v>
      </c>
      <c r="P4085" s="15"/>
      <c r="Q4085" s="15"/>
      <c r="R4085" s="422"/>
      <c r="S4085" s="15"/>
      <c r="T4085" s="15"/>
      <c r="U4085" s="15"/>
      <c r="V4085" s="15"/>
      <c r="W4085" s="15"/>
      <c r="X4085" s="15"/>
      <c r="Y4085" s="15"/>
      <c r="Z4085" s="15"/>
      <c r="AA4085" s="15"/>
    </row>
    <row r="4086">
      <c r="A4086" s="5" t="s">
        <v>17695</v>
      </c>
      <c r="B4086" s="131" t="s">
        <v>17726</v>
      </c>
      <c r="C4086" s="40" t="s">
        <v>17727</v>
      </c>
      <c r="D4086" s="11"/>
      <c r="E4086" s="11" t="s">
        <v>6889</v>
      </c>
      <c r="F4086" s="90">
        <v>50.0</v>
      </c>
      <c r="G4086" s="321"/>
      <c r="H4086" s="11" t="s">
        <v>44</v>
      </c>
      <c r="I4086" s="276"/>
      <c r="J4086" s="11" t="s">
        <v>25</v>
      </c>
      <c r="K4086" s="13"/>
      <c r="L4086" s="13"/>
      <c r="M4086" s="14"/>
      <c r="N4086" s="15"/>
      <c r="O4086" s="5" t="s">
        <v>14119</v>
      </c>
      <c r="P4086" s="15"/>
      <c r="Q4086" s="15"/>
      <c r="R4086" s="422"/>
      <c r="S4086" s="15"/>
      <c r="T4086" s="15"/>
      <c r="U4086" s="15"/>
      <c r="V4086" s="15"/>
      <c r="W4086" s="15"/>
      <c r="X4086" s="15"/>
      <c r="Y4086" s="15"/>
      <c r="Z4086" s="15"/>
      <c r="AA4086" s="15"/>
    </row>
    <row r="4087">
      <c r="A4087" s="5" t="s">
        <v>17695</v>
      </c>
      <c r="B4087" s="131" t="s">
        <v>17728</v>
      </c>
      <c r="C4087" s="40" t="s">
        <v>17729</v>
      </c>
      <c r="D4087" s="11"/>
      <c r="E4087" s="11" t="s">
        <v>9434</v>
      </c>
      <c r="F4087" s="9">
        <v>30000.0</v>
      </c>
      <c r="G4087" s="321"/>
      <c r="H4087" s="11" t="s">
        <v>44</v>
      </c>
      <c r="I4087" s="276"/>
      <c r="J4087" s="11" t="s">
        <v>25</v>
      </c>
      <c r="K4087" s="12"/>
      <c r="L4087" s="12"/>
      <c r="M4087" s="11" t="s">
        <v>8638</v>
      </c>
      <c r="N4087" s="5" t="s">
        <v>17730</v>
      </c>
      <c r="O4087" s="5" t="s">
        <v>26</v>
      </c>
      <c r="P4087" s="15"/>
      <c r="Q4087" s="15"/>
      <c r="R4087" s="422"/>
      <c r="S4087" s="15"/>
      <c r="T4087" s="15"/>
      <c r="U4087" s="15"/>
      <c r="V4087" s="15"/>
      <c r="W4087" s="15"/>
      <c r="X4087" s="15"/>
      <c r="Y4087" s="15"/>
      <c r="Z4087" s="15"/>
      <c r="AA4087" s="15"/>
    </row>
    <row r="4088">
      <c r="A4088" s="5" t="s">
        <v>17695</v>
      </c>
      <c r="B4088" s="131" t="s">
        <v>17731</v>
      </c>
      <c r="C4088" s="40" t="s">
        <v>17732</v>
      </c>
      <c r="D4088" s="11"/>
      <c r="E4088" s="11" t="s">
        <v>9050</v>
      </c>
      <c r="F4088" s="90">
        <v>200.0</v>
      </c>
      <c r="G4088" s="321"/>
      <c r="H4088" s="11" t="s">
        <v>44</v>
      </c>
      <c r="I4088" s="423"/>
      <c r="J4088" s="14"/>
      <c r="K4088" s="13"/>
      <c r="L4088" s="13"/>
      <c r="M4088" s="14"/>
      <c r="N4088" s="15"/>
      <c r="O4088" s="5" t="s">
        <v>14119</v>
      </c>
      <c r="P4088" s="15"/>
      <c r="Q4088" s="15"/>
      <c r="R4088" s="422"/>
      <c r="S4088" s="15"/>
      <c r="T4088" s="15"/>
      <c r="U4088" s="15"/>
      <c r="V4088" s="15"/>
      <c r="W4088" s="15"/>
      <c r="X4088" s="15"/>
      <c r="Y4088" s="15"/>
      <c r="Z4088" s="15"/>
      <c r="AA4088" s="15"/>
    </row>
    <row r="4089">
      <c r="A4089" s="5" t="s">
        <v>17695</v>
      </c>
      <c r="B4089" s="131" t="s">
        <v>17733</v>
      </c>
      <c r="C4089" s="40" t="s">
        <v>17734</v>
      </c>
      <c r="D4089" s="11"/>
      <c r="E4089" s="11" t="s">
        <v>167</v>
      </c>
      <c r="F4089" s="9">
        <v>10000.0</v>
      </c>
      <c r="G4089" s="321"/>
      <c r="H4089" s="11" t="s">
        <v>519</v>
      </c>
      <c r="I4089" s="423"/>
      <c r="J4089" s="14"/>
      <c r="K4089" s="13"/>
      <c r="L4089" s="13"/>
      <c r="M4089" s="14"/>
      <c r="N4089" s="15"/>
      <c r="O4089" s="5" t="s">
        <v>108</v>
      </c>
      <c r="P4089" s="15"/>
      <c r="Q4089" s="15"/>
      <c r="R4089" s="422"/>
      <c r="S4089" s="15"/>
      <c r="T4089" s="15"/>
      <c r="U4089" s="15"/>
      <c r="V4089" s="15"/>
      <c r="W4089" s="15"/>
      <c r="X4089" s="15"/>
      <c r="Y4089" s="15"/>
      <c r="Z4089" s="15"/>
      <c r="AA4089" s="15"/>
    </row>
    <row r="4090">
      <c r="A4090" s="5" t="s">
        <v>17695</v>
      </c>
      <c r="B4090" s="131" t="s">
        <v>17735</v>
      </c>
      <c r="C4090" s="40" t="s">
        <v>17736</v>
      </c>
      <c r="D4090" s="11"/>
      <c r="E4090" s="11" t="s">
        <v>4171</v>
      </c>
      <c r="F4090" s="90">
        <v>200.0</v>
      </c>
      <c r="G4090" s="321"/>
      <c r="H4090" s="11" t="s">
        <v>44</v>
      </c>
      <c r="I4090" s="423"/>
      <c r="J4090" s="14"/>
      <c r="K4090" s="12"/>
      <c r="L4090" s="12"/>
      <c r="M4090" s="11" t="s">
        <v>16856</v>
      </c>
      <c r="N4090" s="5" t="s">
        <v>17737</v>
      </c>
      <c r="O4090" s="5" t="s">
        <v>14119</v>
      </c>
      <c r="P4090" s="15"/>
      <c r="Q4090" s="15"/>
      <c r="R4090" s="422"/>
      <c r="S4090" s="15"/>
      <c r="T4090" s="15"/>
      <c r="U4090" s="15"/>
      <c r="V4090" s="15"/>
      <c r="W4090" s="15"/>
      <c r="X4090" s="15"/>
      <c r="Y4090" s="15"/>
      <c r="Z4090" s="15"/>
      <c r="AA4090" s="15"/>
    </row>
    <row r="4091">
      <c r="A4091" s="5" t="s">
        <v>17695</v>
      </c>
      <c r="B4091" s="131" t="s">
        <v>17738</v>
      </c>
      <c r="C4091" s="40" t="s">
        <v>17739</v>
      </c>
      <c r="D4091" s="11"/>
      <c r="E4091" s="11" t="s">
        <v>4481</v>
      </c>
      <c r="F4091" s="90">
        <v>20.0</v>
      </c>
      <c r="G4091" s="321"/>
      <c r="H4091" s="11" t="s">
        <v>44</v>
      </c>
      <c r="I4091" s="276"/>
      <c r="J4091" s="11" t="s">
        <v>25</v>
      </c>
      <c r="K4091" s="13"/>
      <c r="L4091" s="13"/>
      <c r="M4091" s="14"/>
      <c r="N4091" s="15"/>
      <c r="O4091" s="5" t="s">
        <v>14119</v>
      </c>
      <c r="P4091" s="15"/>
      <c r="Q4091" s="15"/>
      <c r="R4091" s="422"/>
      <c r="S4091" s="15"/>
      <c r="T4091" s="15"/>
      <c r="U4091" s="15"/>
      <c r="V4091" s="15"/>
      <c r="W4091" s="15"/>
      <c r="X4091" s="15"/>
      <c r="Y4091" s="15"/>
      <c r="Z4091" s="15"/>
      <c r="AA4091" s="15"/>
    </row>
    <row r="4092">
      <c r="A4092" s="5" t="s">
        <v>17695</v>
      </c>
      <c r="B4092" s="131" t="s">
        <v>17740</v>
      </c>
      <c r="C4092" s="40" t="s">
        <v>17741</v>
      </c>
      <c r="D4092" s="11"/>
      <c r="E4092" s="11" t="s">
        <v>17742</v>
      </c>
      <c r="F4092" s="9">
        <v>20000.0</v>
      </c>
      <c r="G4092" s="321"/>
      <c r="H4092" s="11" t="s">
        <v>359</v>
      </c>
      <c r="I4092" s="423"/>
      <c r="J4092" s="14"/>
      <c r="K4092" s="12"/>
      <c r="L4092" s="12"/>
      <c r="M4092" s="11" t="s">
        <v>8860</v>
      </c>
      <c r="N4092" s="5" t="s">
        <v>17743</v>
      </c>
      <c r="O4092" s="5" t="s">
        <v>26</v>
      </c>
      <c r="P4092" s="15"/>
      <c r="Q4092" s="15"/>
      <c r="R4092" s="422"/>
      <c r="S4092" s="15"/>
      <c r="T4092" s="15"/>
      <c r="U4092" s="15"/>
      <c r="V4092" s="15"/>
      <c r="W4092" s="15"/>
      <c r="X4092" s="15"/>
      <c r="Y4092" s="15"/>
      <c r="Z4092" s="15"/>
      <c r="AA4092" s="15"/>
    </row>
    <row r="4093">
      <c r="A4093" s="5" t="s">
        <v>17695</v>
      </c>
      <c r="B4093" s="131" t="s">
        <v>17744</v>
      </c>
      <c r="C4093" s="40" t="s">
        <v>17745</v>
      </c>
      <c r="D4093" s="11"/>
      <c r="E4093" s="11" t="s">
        <v>17746</v>
      </c>
      <c r="F4093" s="90">
        <v>500.0</v>
      </c>
      <c r="G4093" s="321"/>
      <c r="H4093" s="11" t="s">
        <v>14341</v>
      </c>
      <c r="I4093" s="276"/>
      <c r="J4093" s="11" t="s">
        <v>25</v>
      </c>
      <c r="K4093" s="13"/>
      <c r="L4093" s="13"/>
      <c r="M4093" s="14"/>
      <c r="N4093" s="15"/>
      <c r="O4093" s="5" t="s">
        <v>108</v>
      </c>
      <c r="P4093" s="15"/>
      <c r="Q4093" s="15"/>
      <c r="R4093" s="422"/>
      <c r="S4093" s="15"/>
      <c r="T4093" s="15"/>
      <c r="U4093" s="15"/>
      <c r="V4093" s="15"/>
      <c r="W4093" s="15"/>
      <c r="X4093" s="15"/>
      <c r="Y4093" s="15"/>
      <c r="Z4093" s="15"/>
      <c r="AA4093" s="15"/>
    </row>
    <row r="4094">
      <c r="A4094" s="5" t="s">
        <v>17695</v>
      </c>
      <c r="B4094" s="131" t="s">
        <v>17747</v>
      </c>
      <c r="C4094" s="40" t="s">
        <v>17748</v>
      </c>
      <c r="D4094" s="11"/>
      <c r="E4094" s="11" t="s">
        <v>106</v>
      </c>
      <c r="F4094" s="9">
        <v>10000.0</v>
      </c>
      <c r="G4094" s="321"/>
      <c r="H4094" s="11" t="s">
        <v>17749</v>
      </c>
      <c r="I4094" s="423"/>
      <c r="J4094" s="14"/>
      <c r="K4094" s="12"/>
      <c r="L4094" s="12"/>
      <c r="M4094" s="11" t="s">
        <v>7965</v>
      </c>
      <c r="N4094" s="5" t="s">
        <v>17750</v>
      </c>
      <c r="O4094" s="5" t="s">
        <v>108</v>
      </c>
      <c r="P4094" s="15"/>
      <c r="Q4094" s="15"/>
      <c r="R4094" s="422"/>
      <c r="S4094" s="15"/>
      <c r="T4094" s="15"/>
      <c r="U4094" s="15"/>
      <c r="V4094" s="15"/>
      <c r="W4094" s="15"/>
      <c r="X4094" s="15"/>
      <c r="Y4094" s="15"/>
      <c r="Z4094" s="15"/>
      <c r="AA4094" s="15"/>
    </row>
    <row r="4095">
      <c r="A4095" s="5" t="s">
        <v>17695</v>
      </c>
      <c r="B4095" s="131" t="s">
        <v>17751</v>
      </c>
      <c r="C4095" s="40" t="s">
        <v>17752</v>
      </c>
      <c r="D4095" s="11"/>
      <c r="E4095" s="11" t="s">
        <v>3193</v>
      </c>
      <c r="F4095" s="90">
        <v>100.0</v>
      </c>
      <c r="G4095" s="321"/>
      <c r="H4095" s="11" t="s">
        <v>906</v>
      </c>
      <c r="I4095" s="276"/>
      <c r="J4095" s="11" t="s">
        <v>25</v>
      </c>
      <c r="K4095" s="13"/>
      <c r="L4095" s="13"/>
      <c r="M4095" s="14"/>
      <c r="N4095" s="15"/>
      <c r="O4095" s="5" t="s">
        <v>14119</v>
      </c>
      <c r="P4095" s="15"/>
      <c r="Q4095" s="15"/>
      <c r="R4095" s="422"/>
      <c r="S4095" s="15"/>
      <c r="T4095" s="15"/>
      <c r="U4095" s="15"/>
      <c r="V4095" s="15"/>
      <c r="W4095" s="15"/>
      <c r="X4095" s="15"/>
      <c r="Y4095" s="15"/>
      <c r="Z4095" s="15"/>
      <c r="AA4095" s="15"/>
    </row>
    <row r="4096">
      <c r="A4096" s="5" t="s">
        <v>17695</v>
      </c>
      <c r="B4096" s="131" t="s">
        <v>17753</v>
      </c>
      <c r="C4096" s="40" t="s">
        <v>17754</v>
      </c>
      <c r="D4096" s="11"/>
      <c r="E4096" s="11" t="s">
        <v>17755</v>
      </c>
      <c r="F4096" s="90">
        <v>1000.0</v>
      </c>
      <c r="G4096" s="321"/>
      <c r="H4096" s="11" t="s">
        <v>5427</v>
      </c>
      <c r="I4096" s="276"/>
      <c r="J4096" s="11" t="s">
        <v>25</v>
      </c>
      <c r="K4096" s="12"/>
      <c r="L4096" s="12"/>
      <c r="M4096" s="11" t="s">
        <v>17169</v>
      </c>
      <c r="N4096" s="5" t="s">
        <v>17756</v>
      </c>
      <c r="O4096" s="5" t="s">
        <v>26</v>
      </c>
      <c r="P4096" s="15"/>
      <c r="Q4096" s="15"/>
      <c r="R4096" s="422"/>
      <c r="S4096" s="15"/>
      <c r="T4096" s="15"/>
      <c r="U4096" s="15"/>
      <c r="V4096" s="15"/>
      <c r="W4096" s="15"/>
      <c r="X4096" s="15"/>
      <c r="Y4096" s="15"/>
      <c r="Z4096" s="15"/>
      <c r="AA4096" s="15"/>
    </row>
    <row r="4097">
      <c r="A4097" s="5" t="s">
        <v>17695</v>
      </c>
      <c r="B4097" s="131" t="s">
        <v>17757</v>
      </c>
      <c r="C4097" s="40" t="s">
        <v>17758</v>
      </c>
      <c r="D4097" s="11"/>
      <c r="E4097" s="11" t="s">
        <v>17759</v>
      </c>
      <c r="F4097" s="90">
        <v>500.0</v>
      </c>
      <c r="G4097" s="321"/>
      <c r="H4097" s="11" t="s">
        <v>507</v>
      </c>
      <c r="I4097" s="276"/>
      <c r="J4097" s="11" t="s">
        <v>25</v>
      </c>
      <c r="K4097" s="13"/>
      <c r="L4097" s="13"/>
      <c r="M4097" s="14"/>
      <c r="N4097" s="15"/>
      <c r="O4097" s="5" t="s">
        <v>108</v>
      </c>
      <c r="P4097" s="15"/>
      <c r="Q4097" s="15"/>
      <c r="R4097" s="422"/>
      <c r="S4097" s="15"/>
      <c r="T4097" s="15"/>
      <c r="U4097" s="15"/>
      <c r="V4097" s="15"/>
      <c r="W4097" s="15"/>
      <c r="X4097" s="15"/>
      <c r="Y4097" s="15"/>
      <c r="Z4097" s="15"/>
      <c r="AA4097" s="15"/>
    </row>
    <row r="4098">
      <c r="A4098" s="5" t="s">
        <v>17760</v>
      </c>
      <c r="B4098" s="131" t="s">
        <v>17761</v>
      </c>
      <c r="C4098" s="40" t="s">
        <v>17762</v>
      </c>
      <c r="D4098" s="11"/>
      <c r="E4098" s="11" t="s">
        <v>17763</v>
      </c>
      <c r="F4098" s="90">
        <v>200.0</v>
      </c>
      <c r="G4098" s="321"/>
      <c r="H4098" s="11" t="s">
        <v>44</v>
      </c>
      <c r="I4098" s="276"/>
      <c r="J4098" s="11" t="s">
        <v>25</v>
      </c>
      <c r="K4098" s="12"/>
      <c r="L4098" s="12"/>
      <c r="M4098" s="11" t="s">
        <v>8707</v>
      </c>
      <c r="N4098" s="5" t="s">
        <v>17764</v>
      </c>
      <c r="O4098" s="5" t="s">
        <v>14119</v>
      </c>
      <c r="P4098" s="15"/>
      <c r="Q4098" s="15"/>
      <c r="R4098" s="422"/>
      <c r="S4098" s="15"/>
      <c r="T4098" s="15"/>
      <c r="U4098" s="15"/>
      <c r="V4098" s="15"/>
      <c r="W4098" s="15"/>
      <c r="X4098" s="15"/>
      <c r="Y4098" s="15"/>
      <c r="Z4098" s="15"/>
      <c r="AA4098" s="15"/>
    </row>
    <row r="4099">
      <c r="A4099" s="5" t="s">
        <v>17760</v>
      </c>
      <c r="B4099" s="131" t="s">
        <v>17765</v>
      </c>
      <c r="C4099" s="40" t="s">
        <v>17766</v>
      </c>
      <c r="D4099" s="11"/>
      <c r="E4099" s="11" t="s">
        <v>7897</v>
      </c>
      <c r="F4099" s="90">
        <v>1000.0</v>
      </c>
      <c r="G4099" s="321"/>
      <c r="H4099" s="11" t="s">
        <v>17767</v>
      </c>
      <c r="I4099" s="276"/>
      <c r="J4099" s="11" t="s">
        <v>9536</v>
      </c>
      <c r="K4099" s="12"/>
      <c r="L4099" s="12"/>
      <c r="M4099" s="11" t="s">
        <v>9587</v>
      </c>
      <c r="N4099" s="5" t="s">
        <v>17768</v>
      </c>
      <c r="O4099" s="5" t="s">
        <v>108</v>
      </c>
      <c r="P4099" s="15"/>
      <c r="Q4099" s="15"/>
      <c r="R4099" s="422"/>
      <c r="S4099" s="15"/>
      <c r="T4099" s="15"/>
      <c r="U4099" s="15"/>
      <c r="V4099" s="15"/>
      <c r="W4099" s="15"/>
      <c r="X4099" s="15"/>
      <c r="Y4099" s="15"/>
      <c r="Z4099" s="15"/>
      <c r="AA4099" s="15"/>
    </row>
    <row r="4100">
      <c r="A4100" s="5" t="s">
        <v>17760</v>
      </c>
      <c r="B4100" s="131" t="s">
        <v>17769</v>
      </c>
      <c r="C4100" s="40" t="s">
        <v>17770</v>
      </c>
      <c r="D4100" s="11"/>
      <c r="E4100" s="11" t="s">
        <v>11414</v>
      </c>
      <c r="F4100" s="90">
        <v>100.0</v>
      </c>
      <c r="G4100" s="321"/>
      <c r="H4100" s="11" t="s">
        <v>44</v>
      </c>
      <c r="I4100" s="276"/>
      <c r="J4100" s="11" t="s">
        <v>25</v>
      </c>
      <c r="K4100" s="13"/>
      <c r="L4100" s="13"/>
      <c r="M4100" s="14"/>
      <c r="N4100" s="15"/>
      <c r="O4100" s="5" t="s">
        <v>14119</v>
      </c>
      <c r="P4100" s="15"/>
      <c r="Q4100" s="15"/>
      <c r="R4100" s="422"/>
      <c r="S4100" s="15"/>
      <c r="T4100" s="15"/>
      <c r="U4100" s="15"/>
      <c r="V4100" s="15"/>
      <c r="W4100" s="15"/>
      <c r="X4100" s="15"/>
      <c r="Y4100" s="15"/>
      <c r="Z4100" s="15"/>
      <c r="AA4100" s="15"/>
    </row>
    <row r="4101">
      <c r="A4101" s="5" t="s">
        <v>17760</v>
      </c>
      <c r="B4101" s="131" t="s">
        <v>17771</v>
      </c>
      <c r="C4101" s="40" t="s">
        <v>17772</v>
      </c>
      <c r="D4101" s="11"/>
      <c r="E4101" s="11" t="s">
        <v>10433</v>
      </c>
      <c r="F4101" s="90">
        <v>25.0</v>
      </c>
      <c r="G4101" s="321"/>
      <c r="H4101" s="11" t="s">
        <v>5627</v>
      </c>
      <c r="I4101" s="276"/>
      <c r="J4101" s="11" t="s">
        <v>25</v>
      </c>
      <c r="K4101" s="13"/>
      <c r="L4101" s="13"/>
      <c r="M4101" s="14"/>
      <c r="N4101" s="15"/>
      <c r="O4101" s="5" t="s">
        <v>14119</v>
      </c>
      <c r="P4101" s="15"/>
      <c r="Q4101" s="15"/>
      <c r="R4101" s="422"/>
      <c r="S4101" s="15"/>
      <c r="T4101" s="15"/>
      <c r="U4101" s="15"/>
      <c r="V4101" s="15"/>
      <c r="W4101" s="15"/>
      <c r="X4101" s="15"/>
      <c r="Y4101" s="15"/>
      <c r="Z4101" s="15"/>
      <c r="AA4101" s="15"/>
    </row>
    <row r="4102">
      <c r="A4102" s="5" t="s">
        <v>17760</v>
      </c>
      <c r="B4102" s="131" t="s">
        <v>17773</v>
      </c>
      <c r="C4102" s="40" t="s">
        <v>17774</v>
      </c>
      <c r="D4102" s="11"/>
      <c r="E4102" s="11" t="s">
        <v>17775</v>
      </c>
      <c r="F4102" s="90">
        <v>30.0</v>
      </c>
      <c r="G4102" s="321"/>
      <c r="H4102" s="11" t="s">
        <v>44</v>
      </c>
      <c r="I4102" s="276"/>
      <c r="J4102" s="11" t="s">
        <v>25</v>
      </c>
      <c r="K4102" s="13"/>
      <c r="L4102" s="13"/>
      <c r="M4102" s="14"/>
      <c r="N4102" s="15"/>
      <c r="O4102" s="5" t="s">
        <v>14119</v>
      </c>
      <c r="P4102" s="15"/>
      <c r="Q4102" s="15"/>
      <c r="R4102" s="422"/>
      <c r="S4102" s="15"/>
      <c r="T4102" s="15"/>
      <c r="U4102" s="15"/>
      <c r="V4102" s="15"/>
      <c r="W4102" s="15"/>
      <c r="X4102" s="15"/>
      <c r="Y4102" s="15"/>
      <c r="Z4102" s="15"/>
      <c r="AA4102" s="15"/>
    </row>
    <row r="4103">
      <c r="A4103" s="5" t="s">
        <v>17760</v>
      </c>
      <c r="B4103" s="131" t="s">
        <v>17776</v>
      </c>
      <c r="C4103" s="40" t="s">
        <v>17777</v>
      </c>
      <c r="D4103" s="11"/>
      <c r="E4103" s="11" t="s">
        <v>17778</v>
      </c>
      <c r="F4103" s="90">
        <v>1000.0</v>
      </c>
      <c r="G4103" s="321"/>
      <c r="H4103" s="11" t="s">
        <v>44</v>
      </c>
      <c r="I4103" s="276"/>
      <c r="J4103" s="11" t="s">
        <v>4008</v>
      </c>
      <c r="K4103" s="13"/>
      <c r="L4103" s="13"/>
      <c r="M4103" s="14"/>
      <c r="N4103" s="15"/>
      <c r="O4103" s="5" t="s">
        <v>26</v>
      </c>
      <c r="P4103" s="15"/>
      <c r="Q4103" s="15"/>
      <c r="R4103" s="422"/>
      <c r="S4103" s="15"/>
      <c r="T4103" s="15"/>
      <c r="U4103" s="15"/>
      <c r="V4103" s="15"/>
      <c r="W4103" s="15"/>
      <c r="X4103" s="15"/>
      <c r="Y4103" s="15"/>
      <c r="Z4103" s="15"/>
      <c r="AA4103" s="15"/>
    </row>
    <row r="4104">
      <c r="A4104" s="5" t="s">
        <v>17760</v>
      </c>
      <c r="B4104" s="131" t="s">
        <v>17779</v>
      </c>
      <c r="C4104" s="40" t="s">
        <v>17780</v>
      </c>
      <c r="D4104" s="11"/>
      <c r="E4104" s="11" t="s">
        <v>17781</v>
      </c>
      <c r="F4104" s="90">
        <v>2000.0</v>
      </c>
      <c r="G4104" s="321"/>
      <c r="H4104" s="11" t="s">
        <v>17782</v>
      </c>
      <c r="I4104" s="276"/>
      <c r="J4104" s="11" t="s">
        <v>25</v>
      </c>
      <c r="K4104" s="13"/>
      <c r="L4104" s="13"/>
      <c r="M4104" s="14"/>
      <c r="N4104" s="15"/>
      <c r="O4104" s="5" t="s">
        <v>26</v>
      </c>
      <c r="P4104" s="15"/>
      <c r="Q4104" s="15"/>
      <c r="R4104" s="422"/>
      <c r="S4104" s="15"/>
      <c r="T4104" s="15"/>
      <c r="U4104" s="15"/>
      <c r="V4104" s="15"/>
      <c r="W4104" s="15"/>
      <c r="X4104" s="15"/>
      <c r="Y4104" s="15"/>
      <c r="Z4104" s="15"/>
      <c r="AA4104" s="15"/>
    </row>
    <row r="4105">
      <c r="A4105" s="5" t="s">
        <v>17760</v>
      </c>
      <c r="B4105" s="131" t="s">
        <v>17783</v>
      </c>
      <c r="C4105" s="40" t="s">
        <v>17784</v>
      </c>
      <c r="D4105" s="11"/>
      <c r="E4105" s="11" t="s">
        <v>17535</v>
      </c>
      <c r="F4105" s="90">
        <v>200.0</v>
      </c>
      <c r="G4105" s="321"/>
      <c r="H4105" s="11" t="s">
        <v>507</v>
      </c>
      <c r="I4105" s="423"/>
      <c r="J4105" s="14"/>
      <c r="K4105" s="12"/>
      <c r="L4105" s="12"/>
      <c r="M4105" s="11" t="s">
        <v>8707</v>
      </c>
      <c r="N4105" s="5" t="s">
        <v>17785</v>
      </c>
      <c r="O4105" s="5" t="s">
        <v>14119</v>
      </c>
      <c r="P4105" s="15"/>
      <c r="Q4105" s="15"/>
      <c r="R4105" s="422"/>
      <c r="S4105" s="15"/>
      <c r="T4105" s="15"/>
      <c r="U4105" s="15"/>
      <c r="V4105" s="15"/>
      <c r="W4105" s="15"/>
      <c r="X4105" s="15"/>
      <c r="Y4105" s="15"/>
      <c r="Z4105" s="15"/>
      <c r="AA4105" s="15"/>
    </row>
    <row r="4106">
      <c r="A4106" s="5" t="s">
        <v>17760</v>
      </c>
      <c r="B4106" s="131" t="s">
        <v>17786</v>
      </c>
      <c r="C4106" s="40" t="s">
        <v>17787</v>
      </c>
      <c r="D4106" s="11"/>
      <c r="E4106" s="11" t="s">
        <v>17788</v>
      </c>
      <c r="F4106" s="90">
        <v>4000.0</v>
      </c>
      <c r="G4106" s="321"/>
      <c r="H4106" s="11" t="s">
        <v>44</v>
      </c>
      <c r="I4106" s="276"/>
      <c r="J4106" s="11" t="s">
        <v>25</v>
      </c>
      <c r="K4106" s="13"/>
      <c r="L4106" s="13"/>
      <c r="M4106" s="14"/>
      <c r="N4106" s="15"/>
      <c r="O4106" s="5" t="s">
        <v>26</v>
      </c>
      <c r="P4106" s="15"/>
      <c r="Q4106" s="15"/>
      <c r="R4106" s="422"/>
      <c r="S4106" s="15"/>
      <c r="T4106" s="15"/>
      <c r="U4106" s="15"/>
      <c r="V4106" s="15"/>
      <c r="W4106" s="15"/>
      <c r="X4106" s="15"/>
      <c r="Y4106" s="15"/>
      <c r="Z4106" s="15"/>
      <c r="AA4106" s="15"/>
    </row>
    <row r="4107">
      <c r="A4107" s="5" t="s">
        <v>17760</v>
      </c>
      <c r="B4107" s="131" t="s">
        <v>17789</v>
      </c>
      <c r="C4107" s="40" t="s">
        <v>17790</v>
      </c>
      <c r="D4107" s="11"/>
      <c r="E4107" s="11" t="s">
        <v>7897</v>
      </c>
      <c r="F4107" s="9">
        <v>50000.0</v>
      </c>
      <c r="G4107" s="321"/>
      <c r="H4107" s="11" t="s">
        <v>9266</v>
      </c>
      <c r="I4107" s="276"/>
      <c r="J4107" s="11" t="s">
        <v>25</v>
      </c>
      <c r="K4107" s="13"/>
      <c r="L4107" s="13"/>
      <c r="M4107" s="14"/>
      <c r="N4107" s="15"/>
      <c r="O4107" s="5" t="s">
        <v>108</v>
      </c>
      <c r="P4107" s="15"/>
      <c r="Q4107" s="15"/>
      <c r="R4107" s="422"/>
      <c r="S4107" s="15"/>
      <c r="T4107" s="15"/>
      <c r="U4107" s="15"/>
      <c r="V4107" s="15"/>
      <c r="W4107" s="15"/>
      <c r="X4107" s="15"/>
      <c r="Y4107" s="15"/>
      <c r="Z4107" s="15"/>
      <c r="AA4107" s="15"/>
    </row>
    <row r="4108">
      <c r="A4108" s="5" t="s">
        <v>17760</v>
      </c>
      <c r="B4108" s="131" t="s">
        <v>17791</v>
      </c>
      <c r="C4108" s="40" t="s">
        <v>3768</v>
      </c>
      <c r="D4108" s="11"/>
      <c r="E4108" s="11" t="s">
        <v>7897</v>
      </c>
      <c r="F4108" s="9">
        <v>20000.0</v>
      </c>
      <c r="G4108" s="321"/>
      <c r="H4108" s="11" t="s">
        <v>2682</v>
      </c>
      <c r="I4108" s="276"/>
      <c r="J4108" s="11" t="s">
        <v>4008</v>
      </c>
      <c r="K4108" s="13"/>
      <c r="L4108" s="13"/>
      <c r="M4108" s="14"/>
      <c r="N4108" s="15"/>
      <c r="O4108" s="5" t="s">
        <v>108</v>
      </c>
      <c r="P4108" s="15"/>
      <c r="Q4108" s="15"/>
      <c r="R4108" s="422"/>
      <c r="S4108" s="15"/>
      <c r="T4108" s="15"/>
      <c r="U4108" s="15"/>
      <c r="V4108" s="15"/>
      <c r="W4108" s="15"/>
      <c r="X4108" s="15"/>
      <c r="Y4108" s="15"/>
      <c r="Z4108" s="15"/>
      <c r="AA4108" s="15"/>
    </row>
    <row r="4109">
      <c r="A4109" s="5" t="s">
        <v>17760</v>
      </c>
      <c r="B4109" s="131" t="s">
        <v>17792</v>
      </c>
      <c r="C4109" s="40" t="s">
        <v>17793</v>
      </c>
      <c r="D4109" s="11"/>
      <c r="E4109" s="11" t="s">
        <v>6760</v>
      </c>
      <c r="F4109" s="90">
        <v>500.0</v>
      </c>
      <c r="G4109" s="321"/>
      <c r="H4109" s="11" t="s">
        <v>17794</v>
      </c>
      <c r="I4109" s="423"/>
      <c r="J4109" s="14"/>
      <c r="K4109" s="12"/>
      <c r="L4109" s="12"/>
      <c r="M4109" s="11" t="s">
        <v>17795</v>
      </c>
      <c r="N4109" s="5" t="s">
        <v>17796</v>
      </c>
      <c r="O4109" s="5" t="s">
        <v>108</v>
      </c>
      <c r="P4109" s="15"/>
      <c r="Q4109" s="15"/>
      <c r="R4109" s="422"/>
      <c r="S4109" s="15"/>
      <c r="T4109" s="15"/>
      <c r="U4109" s="15"/>
      <c r="V4109" s="15"/>
      <c r="W4109" s="15"/>
      <c r="X4109" s="15"/>
      <c r="Y4109" s="15"/>
      <c r="Z4109" s="15"/>
      <c r="AA4109" s="15"/>
    </row>
    <row r="4110">
      <c r="A4110" s="5" t="s">
        <v>17760</v>
      </c>
      <c r="B4110" s="131" t="s">
        <v>17797</v>
      </c>
      <c r="C4110" s="40" t="s">
        <v>17798</v>
      </c>
      <c r="D4110" s="11"/>
      <c r="E4110" s="11" t="s">
        <v>794</v>
      </c>
      <c r="F4110" s="90">
        <v>50.0</v>
      </c>
      <c r="G4110" s="321"/>
      <c r="H4110" s="11" t="s">
        <v>44</v>
      </c>
      <c r="I4110" s="276"/>
      <c r="J4110" s="11" t="s">
        <v>25</v>
      </c>
      <c r="K4110" s="13"/>
      <c r="L4110" s="13"/>
      <c r="M4110" s="14"/>
      <c r="N4110" s="15"/>
      <c r="O4110" s="5" t="s">
        <v>14119</v>
      </c>
      <c r="P4110" s="15"/>
      <c r="Q4110" s="15"/>
      <c r="R4110" s="422"/>
      <c r="S4110" s="15"/>
      <c r="T4110" s="15"/>
      <c r="U4110" s="15"/>
      <c r="V4110" s="15"/>
      <c r="W4110" s="15"/>
      <c r="X4110" s="15"/>
      <c r="Y4110" s="15"/>
      <c r="Z4110" s="15"/>
      <c r="AA4110" s="15"/>
    </row>
    <row r="4111">
      <c r="A4111" s="5" t="s">
        <v>17760</v>
      </c>
      <c r="B4111" s="131" t="s">
        <v>17799</v>
      </c>
      <c r="C4111" s="40" t="s">
        <v>17800</v>
      </c>
      <c r="D4111" s="11"/>
      <c r="E4111" s="11" t="s">
        <v>5309</v>
      </c>
      <c r="F4111" s="90">
        <v>50.0</v>
      </c>
      <c r="G4111" s="321"/>
      <c r="H4111" s="11" t="s">
        <v>44</v>
      </c>
      <c r="I4111" s="276"/>
      <c r="J4111" s="11" t="s">
        <v>25</v>
      </c>
      <c r="K4111" s="13"/>
      <c r="L4111" s="13"/>
      <c r="M4111" s="14"/>
      <c r="N4111" s="15"/>
      <c r="O4111" s="5" t="s">
        <v>14119</v>
      </c>
      <c r="P4111" s="15"/>
      <c r="Q4111" s="15"/>
      <c r="R4111" s="422"/>
      <c r="S4111" s="15"/>
      <c r="T4111" s="15"/>
      <c r="U4111" s="15"/>
      <c r="V4111" s="15"/>
      <c r="W4111" s="15"/>
      <c r="X4111" s="15"/>
      <c r="Y4111" s="15"/>
      <c r="Z4111" s="15"/>
      <c r="AA4111" s="15"/>
    </row>
    <row r="4112">
      <c r="A4112" s="5" t="s">
        <v>17760</v>
      </c>
      <c r="B4112" s="131" t="s">
        <v>17801</v>
      </c>
      <c r="C4112" s="40" t="s">
        <v>17802</v>
      </c>
      <c r="D4112" s="11"/>
      <c r="E4112" s="11" t="s">
        <v>12775</v>
      </c>
      <c r="F4112" s="90">
        <v>8.0</v>
      </c>
      <c r="G4112" s="321"/>
      <c r="H4112" s="11" t="s">
        <v>44</v>
      </c>
      <c r="I4112" s="276"/>
      <c r="J4112" s="11" t="s">
        <v>25</v>
      </c>
      <c r="K4112" s="13"/>
      <c r="L4112" s="13"/>
      <c r="M4112" s="14"/>
      <c r="N4112" s="15"/>
      <c r="O4112" s="5" t="s">
        <v>14119</v>
      </c>
      <c r="P4112" s="15"/>
      <c r="Q4112" s="15"/>
      <c r="R4112" s="422"/>
      <c r="S4112" s="15"/>
      <c r="T4112" s="15"/>
      <c r="U4112" s="15"/>
      <c r="V4112" s="15"/>
      <c r="W4112" s="15"/>
      <c r="X4112" s="15"/>
      <c r="Y4112" s="15"/>
      <c r="Z4112" s="15"/>
      <c r="AA4112" s="15"/>
    </row>
    <row r="4113">
      <c r="A4113" s="5" t="s">
        <v>17760</v>
      </c>
      <c r="B4113" s="131" t="s">
        <v>17803</v>
      </c>
      <c r="C4113" s="40" t="s">
        <v>17804</v>
      </c>
      <c r="D4113" s="11"/>
      <c r="E4113" s="11" t="s">
        <v>17805</v>
      </c>
      <c r="F4113" s="90" t="s">
        <v>17806</v>
      </c>
      <c r="G4113" s="321"/>
      <c r="H4113" s="11" t="s">
        <v>17807</v>
      </c>
      <c r="I4113" s="423"/>
      <c r="J4113" s="14"/>
      <c r="K4113" s="13"/>
      <c r="L4113" s="13"/>
      <c r="M4113" s="14"/>
      <c r="N4113" s="15"/>
      <c r="O4113" s="5" t="s">
        <v>26</v>
      </c>
      <c r="P4113" s="15"/>
      <c r="Q4113" s="15"/>
      <c r="R4113" s="422"/>
      <c r="S4113" s="15"/>
      <c r="T4113" s="15"/>
      <c r="U4113" s="15"/>
      <c r="V4113" s="15"/>
      <c r="W4113" s="15"/>
      <c r="X4113" s="15"/>
      <c r="Y4113" s="15"/>
      <c r="Z4113" s="15"/>
      <c r="AA4113" s="15"/>
    </row>
    <row r="4114">
      <c r="A4114" s="5" t="s">
        <v>17808</v>
      </c>
      <c r="B4114" s="131" t="s">
        <v>17809</v>
      </c>
      <c r="C4114" s="40" t="s">
        <v>17810</v>
      </c>
      <c r="D4114" s="11"/>
      <c r="E4114" s="11" t="s">
        <v>17811</v>
      </c>
      <c r="F4114" s="90">
        <v>50.0</v>
      </c>
      <c r="G4114" s="321"/>
      <c r="H4114" s="11" t="s">
        <v>44</v>
      </c>
      <c r="I4114" s="276"/>
      <c r="J4114" s="11" t="s">
        <v>4008</v>
      </c>
      <c r="K4114" s="13"/>
      <c r="L4114" s="13"/>
      <c r="M4114" s="14"/>
      <c r="N4114" s="15"/>
      <c r="O4114" s="5" t="s">
        <v>14119</v>
      </c>
      <c r="P4114" s="15"/>
      <c r="Q4114" s="15"/>
      <c r="R4114" s="422"/>
      <c r="S4114" s="15"/>
      <c r="T4114" s="15"/>
      <c r="U4114" s="15"/>
      <c r="V4114" s="15"/>
      <c r="W4114" s="15"/>
      <c r="X4114" s="15"/>
      <c r="Y4114" s="15"/>
      <c r="Z4114" s="15"/>
      <c r="AA4114" s="15"/>
    </row>
    <row r="4115">
      <c r="A4115" s="5" t="s">
        <v>17808</v>
      </c>
      <c r="B4115" s="131" t="s">
        <v>17812</v>
      </c>
      <c r="C4115" s="40" t="s">
        <v>14280</v>
      </c>
      <c r="D4115" s="11"/>
      <c r="E4115" s="11" t="s">
        <v>8247</v>
      </c>
      <c r="F4115" s="90">
        <v>200.0</v>
      </c>
      <c r="G4115" s="321"/>
      <c r="H4115" s="11" t="s">
        <v>17813</v>
      </c>
      <c r="I4115" s="276"/>
      <c r="J4115" s="11" t="s">
        <v>25</v>
      </c>
      <c r="K4115" s="13"/>
      <c r="L4115" s="13"/>
      <c r="M4115" s="14"/>
      <c r="N4115" s="15"/>
      <c r="O4115" s="5" t="s">
        <v>14119</v>
      </c>
      <c r="P4115" s="15"/>
      <c r="Q4115" s="15"/>
      <c r="R4115" s="422"/>
      <c r="S4115" s="15"/>
      <c r="T4115" s="15"/>
      <c r="U4115" s="15"/>
      <c r="V4115" s="15"/>
      <c r="W4115" s="15"/>
      <c r="X4115" s="15"/>
      <c r="Y4115" s="15"/>
      <c r="Z4115" s="15"/>
      <c r="AA4115" s="15"/>
    </row>
    <row r="4116">
      <c r="A4116" s="5" t="s">
        <v>17808</v>
      </c>
      <c r="B4116" s="131" t="s">
        <v>17814</v>
      </c>
      <c r="C4116" s="40" t="s">
        <v>17815</v>
      </c>
      <c r="D4116" s="11"/>
      <c r="E4116" s="11" t="s">
        <v>8247</v>
      </c>
      <c r="F4116" s="90">
        <v>50.0</v>
      </c>
      <c r="G4116" s="321"/>
      <c r="H4116" s="11" t="s">
        <v>184</v>
      </c>
      <c r="I4116" s="276"/>
      <c r="J4116" s="11" t="s">
        <v>25</v>
      </c>
      <c r="K4116" s="13"/>
      <c r="L4116" s="13"/>
      <c r="M4116" s="14"/>
      <c r="N4116" s="15"/>
      <c r="O4116" s="5" t="s">
        <v>14119</v>
      </c>
      <c r="P4116" s="15"/>
      <c r="Q4116" s="15"/>
      <c r="R4116" s="422"/>
      <c r="S4116" s="15"/>
      <c r="T4116" s="15"/>
      <c r="U4116" s="15"/>
      <c r="V4116" s="15"/>
      <c r="W4116" s="15"/>
      <c r="X4116" s="15"/>
      <c r="Y4116" s="15"/>
      <c r="Z4116" s="15"/>
      <c r="AA4116" s="15"/>
    </row>
    <row r="4117">
      <c r="A4117" s="5" t="s">
        <v>17808</v>
      </c>
      <c r="B4117" s="131" t="s">
        <v>17816</v>
      </c>
      <c r="C4117" s="40" t="s">
        <v>4709</v>
      </c>
      <c r="D4117" s="11"/>
      <c r="E4117" s="11" t="s">
        <v>5502</v>
      </c>
      <c r="F4117" s="90" t="s">
        <v>5839</v>
      </c>
      <c r="G4117" s="321"/>
      <c r="H4117" s="11" t="s">
        <v>2662</v>
      </c>
      <c r="I4117" s="276"/>
      <c r="J4117" s="11" t="s">
        <v>25</v>
      </c>
      <c r="K4117" s="12"/>
      <c r="L4117" s="12"/>
      <c r="M4117" s="11" t="s">
        <v>15584</v>
      </c>
      <c r="N4117" s="5" t="s">
        <v>17817</v>
      </c>
      <c r="O4117" s="5" t="s">
        <v>108</v>
      </c>
      <c r="P4117" s="15"/>
      <c r="Q4117" s="15"/>
      <c r="R4117" s="422"/>
      <c r="S4117" s="15"/>
      <c r="T4117" s="15"/>
      <c r="U4117" s="15"/>
      <c r="V4117" s="15"/>
      <c r="W4117" s="15"/>
      <c r="X4117" s="15"/>
      <c r="Y4117" s="15"/>
      <c r="Z4117" s="15"/>
      <c r="AA4117" s="15"/>
    </row>
    <row r="4118">
      <c r="A4118" s="5" t="s">
        <v>17808</v>
      </c>
      <c r="B4118" s="131" t="s">
        <v>17818</v>
      </c>
      <c r="C4118" s="40" t="s">
        <v>14572</v>
      </c>
      <c r="D4118" s="11"/>
      <c r="E4118" s="11" t="s">
        <v>5502</v>
      </c>
      <c r="F4118" s="90" t="s">
        <v>8507</v>
      </c>
      <c r="G4118" s="321"/>
      <c r="H4118" s="11" t="s">
        <v>17819</v>
      </c>
      <c r="I4118" s="276"/>
      <c r="J4118" s="11" t="s">
        <v>25</v>
      </c>
      <c r="K4118" s="12"/>
      <c r="L4118" s="12"/>
      <c r="M4118" s="11" t="s">
        <v>15584</v>
      </c>
      <c r="N4118" s="5" t="s">
        <v>17820</v>
      </c>
      <c r="O4118" s="5" t="s">
        <v>108</v>
      </c>
      <c r="P4118" s="15"/>
      <c r="Q4118" s="15"/>
      <c r="R4118" s="422"/>
      <c r="S4118" s="15"/>
      <c r="T4118" s="15"/>
      <c r="U4118" s="15"/>
      <c r="V4118" s="15"/>
      <c r="W4118" s="15"/>
      <c r="X4118" s="15"/>
      <c r="Y4118" s="15"/>
      <c r="Z4118" s="15"/>
      <c r="AA4118" s="15"/>
    </row>
    <row r="4119">
      <c r="A4119" s="5" t="s">
        <v>17808</v>
      </c>
      <c r="B4119" s="131" t="s">
        <v>17821</v>
      </c>
      <c r="C4119" s="40" t="s">
        <v>17822</v>
      </c>
      <c r="D4119" s="11"/>
      <c r="E4119" s="11" t="s">
        <v>7897</v>
      </c>
      <c r="F4119" s="90">
        <v>500.0</v>
      </c>
      <c r="G4119" s="321"/>
      <c r="H4119" s="11" t="s">
        <v>507</v>
      </c>
      <c r="I4119" s="276"/>
      <c r="J4119" s="11" t="s">
        <v>25</v>
      </c>
      <c r="K4119" s="12"/>
      <c r="L4119" s="12"/>
      <c r="M4119" s="11" t="s">
        <v>9742</v>
      </c>
      <c r="N4119" s="5" t="s">
        <v>17823</v>
      </c>
      <c r="O4119" s="5" t="s">
        <v>108</v>
      </c>
      <c r="P4119" s="15"/>
      <c r="Q4119" s="15"/>
      <c r="R4119" s="422"/>
      <c r="S4119" s="15"/>
      <c r="T4119" s="15"/>
      <c r="U4119" s="15"/>
      <c r="V4119" s="15"/>
      <c r="W4119" s="15"/>
      <c r="X4119" s="15"/>
      <c r="Y4119" s="15"/>
      <c r="Z4119" s="15"/>
      <c r="AA4119" s="15"/>
    </row>
    <row r="4120">
      <c r="A4120" s="5" t="s">
        <v>17808</v>
      </c>
      <c r="B4120" s="131" t="s">
        <v>17824</v>
      </c>
      <c r="C4120" s="40" t="s">
        <v>17825</v>
      </c>
      <c r="D4120" s="11"/>
      <c r="E4120" s="11" t="s">
        <v>2402</v>
      </c>
      <c r="F4120" s="90">
        <v>50.0</v>
      </c>
      <c r="G4120" s="321"/>
      <c r="H4120" s="11" t="s">
        <v>985</v>
      </c>
      <c r="I4120" s="276"/>
      <c r="J4120" s="11" t="s">
        <v>25</v>
      </c>
      <c r="K4120" s="13"/>
      <c r="L4120" s="13"/>
      <c r="M4120" s="14"/>
      <c r="N4120" s="15"/>
      <c r="O4120" s="5" t="s">
        <v>14119</v>
      </c>
      <c r="P4120" s="15"/>
      <c r="Q4120" s="15"/>
      <c r="R4120" s="422"/>
      <c r="S4120" s="15"/>
      <c r="T4120" s="15"/>
      <c r="U4120" s="15"/>
      <c r="V4120" s="15"/>
      <c r="W4120" s="15"/>
      <c r="X4120" s="15"/>
      <c r="Y4120" s="15"/>
      <c r="Z4120" s="15"/>
      <c r="AA4120" s="15"/>
    </row>
    <row r="4121">
      <c r="A4121" s="5" t="s">
        <v>17808</v>
      </c>
      <c r="B4121" s="131" t="s">
        <v>17826</v>
      </c>
      <c r="C4121" s="40" t="s">
        <v>17827</v>
      </c>
      <c r="D4121" s="11"/>
      <c r="E4121" s="11" t="s">
        <v>2402</v>
      </c>
      <c r="F4121" s="90">
        <v>25.0</v>
      </c>
      <c r="G4121" s="321"/>
      <c r="H4121" s="11" t="s">
        <v>44</v>
      </c>
      <c r="I4121" s="423"/>
      <c r="J4121" s="14"/>
      <c r="K4121" s="13"/>
      <c r="L4121" s="13"/>
      <c r="M4121" s="14"/>
      <c r="N4121" s="15"/>
      <c r="O4121" s="5" t="s">
        <v>14119</v>
      </c>
      <c r="P4121" s="15"/>
      <c r="Q4121" s="15"/>
      <c r="R4121" s="422"/>
      <c r="S4121" s="15"/>
      <c r="T4121" s="15"/>
      <c r="U4121" s="15"/>
      <c r="V4121" s="15"/>
      <c r="W4121" s="15"/>
      <c r="X4121" s="15"/>
      <c r="Y4121" s="15"/>
      <c r="Z4121" s="15"/>
      <c r="AA4121" s="15"/>
    </row>
    <row r="4122">
      <c r="A4122" s="5" t="s">
        <v>17808</v>
      </c>
      <c r="B4122" s="131" t="s">
        <v>17828</v>
      </c>
      <c r="C4122" s="40" t="s">
        <v>17829</v>
      </c>
      <c r="D4122" s="11"/>
      <c r="E4122" s="11" t="s">
        <v>7897</v>
      </c>
      <c r="F4122" s="9">
        <v>25000.0</v>
      </c>
      <c r="G4122" s="321"/>
      <c r="H4122" s="11" t="s">
        <v>2662</v>
      </c>
      <c r="I4122" s="276"/>
      <c r="J4122" s="11" t="s">
        <v>25</v>
      </c>
      <c r="K4122" s="12"/>
      <c r="L4122" s="12"/>
      <c r="M4122" s="11" t="s">
        <v>7718</v>
      </c>
      <c r="N4122" s="5" t="s">
        <v>17830</v>
      </c>
      <c r="O4122" s="5" t="s">
        <v>108</v>
      </c>
      <c r="P4122" s="15"/>
      <c r="Q4122" s="15"/>
      <c r="R4122" s="422"/>
      <c r="S4122" s="15"/>
      <c r="T4122" s="15"/>
      <c r="U4122" s="15"/>
      <c r="V4122" s="15"/>
      <c r="W4122" s="15"/>
      <c r="X4122" s="15"/>
      <c r="Y4122" s="15"/>
      <c r="Z4122" s="15"/>
      <c r="AA4122" s="15"/>
    </row>
    <row r="4123">
      <c r="A4123" s="5" t="s">
        <v>17808</v>
      </c>
      <c r="B4123" s="131" t="s">
        <v>17831</v>
      </c>
      <c r="C4123" s="40" t="s">
        <v>17832</v>
      </c>
      <c r="D4123" s="11"/>
      <c r="E4123" s="11" t="s">
        <v>17833</v>
      </c>
      <c r="F4123" s="90">
        <v>1000.0</v>
      </c>
      <c r="G4123" s="321"/>
      <c r="H4123" s="11" t="s">
        <v>1561</v>
      </c>
      <c r="I4123" s="276"/>
      <c r="J4123" s="11" t="s">
        <v>4008</v>
      </c>
      <c r="K4123" s="13"/>
      <c r="L4123" s="13"/>
      <c r="M4123" s="14"/>
      <c r="N4123" s="15"/>
      <c r="O4123" s="5" t="s">
        <v>26</v>
      </c>
      <c r="P4123" s="15"/>
      <c r="Q4123" s="15"/>
      <c r="R4123" s="422"/>
      <c r="S4123" s="15"/>
      <c r="T4123" s="15"/>
      <c r="U4123" s="15"/>
      <c r="V4123" s="15"/>
      <c r="W4123" s="15"/>
      <c r="X4123" s="15"/>
      <c r="Y4123" s="15"/>
      <c r="Z4123" s="15"/>
      <c r="AA4123" s="15"/>
    </row>
    <row r="4124">
      <c r="A4124" s="5" t="s">
        <v>17808</v>
      </c>
      <c r="B4124" s="131" t="s">
        <v>17834</v>
      </c>
      <c r="C4124" s="40" t="s">
        <v>17835</v>
      </c>
      <c r="D4124" s="11"/>
      <c r="E4124" s="11" t="s">
        <v>17836</v>
      </c>
      <c r="F4124" s="90">
        <v>300.0</v>
      </c>
      <c r="G4124" s="321"/>
      <c r="H4124" s="11" t="s">
        <v>507</v>
      </c>
      <c r="I4124" s="276"/>
      <c r="J4124" s="11" t="s">
        <v>25</v>
      </c>
      <c r="K4124" s="13"/>
      <c r="L4124" s="13"/>
      <c r="M4124" s="14"/>
      <c r="N4124" s="15"/>
      <c r="O4124" s="5" t="s">
        <v>108</v>
      </c>
      <c r="P4124" s="15"/>
      <c r="Q4124" s="15"/>
      <c r="R4124" s="422"/>
      <c r="S4124" s="15"/>
      <c r="T4124" s="15"/>
      <c r="U4124" s="15"/>
      <c r="V4124" s="15"/>
      <c r="W4124" s="15"/>
      <c r="X4124" s="15"/>
      <c r="Y4124" s="15"/>
      <c r="Z4124" s="15"/>
      <c r="AA4124" s="15"/>
    </row>
    <row r="4125">
      <c r="A4125" s="5" t="s">
        <v>17808</v>
      </c>
      <c r="B4125" s="131" t="s">
        <v>17837</v>
      </c>
      <c r="C4125" s="40" t="s">
        <v>17838</v>
      </c>
      <c r="D4125" s="11"/>
      <c r="E4125" s="11" t="s">
        <v>16415</v>
      </c>
      <c r="F4125" s="90">
        <v>25.0</v>
      </c>
      <c r="G4125" s="321"/>
      <c r="H4125" s="11" t="s">
        <v>44</v>
      </c>
      <c r="I4125" s="276"/>
      <c r="J4125" s="11" t="s">
        <v>25</v>
      </c>
      <c r="K4125" s="13"/>
      <c r="L4125" s="13"/>
      <c r="M4125" s="14"/>
      <c r="N4125" s="15"/>
      <c r="O4125" s="5" t="s">
        <v>14119</v>
      </c>
      <c r="P4125" s="15"/>
      <c r="Q4125" s="15"/>
      <c r="R4125" s="422"/>
      <c r="S4125" s="15"/>
      <c r="T4125" s="15"/>
      <c r="U4125" s="15"/>
      <c r="V4125" s="15"/>
      <c r="W4125" s="15"/>
      <c r="X4125" s="15"/>
      <c r="Y4125" s="15"/>
      <c r="Z4125" s="15"/>
      <c r="AA4125" s="15"/>
    </row>
    <row r="4126">
      <c r="A4126" s="5" t="s">
        <v>17808</v>
      </c>
      <c r="B4126" s="131" t="s">
        <v>17839</v>
      </c>
      <c r="C4126" s="40" t="s">
        <v>17840</v>
      </c>
      <c r="D4126" s="11"/>
      <c r="E4126" s="11" t="s">
        <v>5203</v>
      </c>
      <c r="F4126" s="9">
        <v>300000.0</v>
      </c>
      <c r="G4126" s="321"/>
      <c r="H4126" s="11" t="s">
        <v>398</v>
      </c>
      <c r="I4126" s="423"/>
      <c r="J4126" s="14"/>
      <c r="K4126" s="13"/>
      <c r="L4126" s="13"/>
      <c r="M4126" s="14"/>
      <c r="N4126" s="15"/>
      <c r="O4126" s="5" t="s">
        <v>108</v>
      </c>
      <c r="P4126" s="15"/>
      <c r="Q4126" s="15"/>
      <c r="R4126" s="422"/>
      <c r="S4126" s="15"/>
      <c r="T4126" s="15"/>
      <c r="U4126" s="15"/>
      <c r="V4126" s="15"/>
      <c r="W4126" s="15"/>
      <c r="X4126" s="15"/>
      <c r="Y4126" s="15"/>
      <c r="Z4126" s="15"/>
      <c r="AA4126" s="15"/>
    </row>
    <row r="4127">
      <c r="A4127" s="5" t="s">
        <v>17808</v>
      </c>
      <c r="B4127" s="131" t="s">
        <v>17841</v>
      </c>
      <c r="C4127" s="40" t="s">
        <v>17842</v>
      </c>
      <c r="D4127" s="11"/>
      <c r="E4127" s="11" t="s">
        <v>7897</v>
      </c>
      <c r="F4127" s="9">
        <v>10000.0</v>
      </c>
      <c r="G4127" s="321"/>
      <c r="H4127" s="11" t="s">
        <v>519</v>
      </c>
      <c r="I4127" s="423"/>
      <c r="J4127" s="14"/>
      <c r="K4127" s="12"/>
      <c r="L4127" s="12"/>
      <c r="M4127" s="11" t="s">
        <v>7718</v>
      </c>
      <c r="N4127" s="5" t="s">
        <v>17843</v>
      </c>
      <c r="O4127" s="5" t="s">
        <v>108</v>
      </c>
      <c r="P4127" s="15"/>
      <c r="Q4127" s="15"/>
      <c r="R4127" s="422"/>
      <c r="S4127" s="15"/>
      <c r="T4127" s="15"/>
      <c r="U4127" s="15"/>
      <c r="V4127" s="15"/>
      <c r="W4127" s="15"/>
      <c r="X4127" s="15"/>
      <c r="Y4127" s="15"/>
      <c r="Z4127" s="15"/>
      <c r="AA4127" s="15"/>
    </row>
    <row r="4128">
      <c r="A4128" s="5" t="s">
        <v>17844</v>
      </c>
      <c r="B4128" s="131" t="s">
        <v>17845</v>
      </c>
      <c r="C4128" s="40" t="s">
        <v>17846</v>
      </c>
      <c r="D4128" s="11"/>
      <c r="E4128" s="11" t="s">
        <v>116</v>
      </c>
      <c r="F4128" s="90">
        <v>100.0</v>
      </c>
      <c r="G4128" s="321"/>
      <c r="H4128" s="11" t="s">
        <v>467</v>
      </c>
      <c r="I4128" s="276"/>
      <c r="J4128" s="11" t="s">
        <v>25</v>
      </c>
      <c r="K4128" s="13"/>
      <c r="L4128" s="13"/>
      <c r="M4128" s="14"/>
      <c r="N4128" s="15"/>
      <c r="O4128" s="5" t="s">
        <v>14119</v>
      </c>
      <c r="P4128" s="15"/>
      <c r="Q4128" s="15"/>
      <c r="R4128" s="422"/>
      <c r="S4128" s="15"/>
      <c r="T4128" s="15"/>
      <c r="U4128" s="15"/>
      <c r="V4128" s="15"/>
      <c r="W4128" s="15"/>
      <c r="X4128" s="15"/>
      <c r="Y4128" s="15"/>
      <c r="Z4128" s="15"/>
      <c r="AA4128" s="15"/>
    </row>
    <row r="4129">
      <c r="A4129" s="5" t="s">
        <v>17844</v>
      </c>
      <c r="B4129" s="131" t="s">
        <v>17847</v>
      </c>
      <c r="C4129" s="40" t="s">
        <v>17848</v>
      </c>
      <c r="D4129" s="11"/>
      <c r="E4129" s="11" t="s">
        <v>9434</v>
      </c>
      <c r="F4129" s="90">
        <v>200.0</v>
      </c>
      <c r="G4129" s="321"/>
      <c r="H4129" s="11" t="s">
        <v>906</v>
      </c>
      <c r="I4129" s="276"/>
      <c r="J4129" s="11" t="s">
        <v>25</v>
      </c>
      <c r="K4129" s="12"/>
      <c r="L4129" s="12"/>
      <c r="M4129" s="11" t="s">
        <v>9719</v>
      </c>
      <c r="N4129" s="5" t="s">
        <v>17849</v>
      </c>
      <c r="O4129" s="5" t="s">
        <v>14119</v>
      </c>
      <c r="P4129" s="15"/>
      <c r="Q4129" s="15"/>
      <c r="R4129" s="422"/>
      <c r="S4129" s="15"/>
      <c r="T4129" s="15"/>
      <c r="U4129" s="15"/>
      <c r="V4129" s="15"/>
      <c r="W4129" s="15"/>
      <c r="X4129" s="15"/>
      <c r="Y4129" s="15"/>
      <c r="Z4129" s="15"/>
      <c r="AA4129" s="15"/>
    </row>
    <row r="4130">
      <c r="A4130" s="5" t="s">
        <v>17844</v>
      </c>
      <c r="B4130" s="131" t="s">
        <v>17850</v>
      </c>
      <c r="C4130" s="40" t="s">
        <v>17851</v>
      </c>
      <c r="D4130" s="11"/>
      <c r="E4130" s="11" t="s">
        <v>10433</v>
      </c>
      <c r="F4130" s="90">
        <v>50.0</v>
      </c>
      <c r="G4130" s="321"/>
      <c r="H4130" s="11" t="s">
        <v>44</v>
      </c>
      <c r="I4130" s="276"/>
      <c r="J4130" s="11" t="s">
        <v>4008</v>
      </c>
      <c r="K4130" s="13"/>
      <c r="L4130" s="13"/>
      <c r="M4130" s="14"/>
      <c r="N4130" s="15"/>
      <c r="O4130" s="5" t="s">
        <v>14119</v>
      </c>
      <c r="P4130" s="15"/>
      <c r="Q4130" s="15"/>
      <c r="R4130" s="422"/>
      <c r="S4130" s="15"/>
      <c r="T4130" s="15"/>
      <c r="U4130" s="15"/>
      <c r="V4130" s="15"/>
      <c r="W4130" s="15"/>
      <c r="X4130" s="15"/>
      <c r="Y4130" s="15"/>
      <c r="Z4130" s="15"/>
      <c r="AA4130" s="15"/>
    </row>
    <row r="4131">
      <c r="A4131" s="5" t="s">
        <v>17844</v>
      </c>
      <c r="B4131" s="131" t="s">
        <v>17852</v>
      </c>
      <c r="C4131" s="40" t="s">
        <v>17853</v>
      </c>
      <c r="D4131" s="11"/>
      <c r="E4131" s="11" t="s">
        <v>11279</v>
      </c>
      <c r="F4131" s="90">
        <v>500.0</v>
      </c>
      <c r="G4131" s="321"/>
      <c r="H4131" s="11" t="s">
        <v>17854</v>
      </c>
      <c r="I4131" s="276"/>
      <c r="J4131" s="11" t="s">
        <v>25</v>
      </c>
      <c r="K4131" s="13"/>
      <c r="L4131" s="13"/>
      <c r="M4131" s="14"/>
      <c r="N4131" s="15"/>
      <c r="O4131" s="5" t="s">
        <v>108</v>
      </c>
      <c r="P4131" s="15"/>
      <c r="Q4131" s="15"/>
      <c r="R4131" s="422"/>
      <c r="S4131" s="15"/>
      <c r="T4131" s="15"/>
      <c r="U4131" s="15"/>
      <c r="V4131" s="15"/>
      <c r="W4131" s="15"/>
      <c r="X4131" s="15"/>
      <c r="Y4131" s="15"/>
      <c r="Z4131" s="15"/>
      <c r="AA4131" s="15"/>
    </row>
    <row r="4132">
      <c r="A4132" s="5" t="s">
        <v>17844</v>
      </c>
      <c r="B4132" s="131" t="s">
        <v>17855</v>
      </c>
      <c r="C4132" s="40" t="s">
        <v>17856</v>
      </c>
      <c r="D4132" s="11"/>
      <c r="E4132" s="11" t="s">
        <v>4066</v>
      </c>
      <c r="F4132" s="90">
        <v>20.0</v>
      </c>
      <c r="G4132" s="321"/>
      <c r="H4132" s="11" t="s">
        <v>44</v>
      </c>
      <c r="I4132" s="276"/>
      <c r="J4132" s="11" t="s">
        <v>25</v>
      </c>
      <c r="K4132" s="13"/>
      <c r="L4132" s="13"/>
      <c r="M4132" s="14"/>
      <c r="N4132" s="15"/>
      <c r="O4132" s="5" t="s">
        <v>14119</v>
      </c>
      <c r="P4132" s="15"/>
      <c r="Q4132" s="15"/>
      <c r="R4132" s="422"/>
      <c r="S4132" s="15"/>
      <c r="T4132" s="15"/>
      <c r="U4132" s="15"/>
      <c r="V4132" s="15"/>
      <c r="W4132" s="15"/>
      <c r="X4132" s="15"/>
      <c r="Y4132" s="15"/>
      <c r="Z4132" s="15"/>
      <c r="AA4132" s="15"/>
    </row>
    <row r="4133">
      <c r="A4133" s="5" t="s">
        <v>17844</v>
      </c>
      <c r="B4133" s="131" t="s">
        <v>17857</v>
      </c>
      <c r="C4133" s="40" t="s">
        <v>17858</v>
      </c>
      <c r="D4133" s="11"/>
      <c r="E4133" s="11" t="s">
        <v>539</v>
      </c>
      <c r="F4133" s="90">
        <v>5000.0</v>
      </c>
      <c r="G4133" s="321"/>
      <c r="H4133" s="11" t="s">
        <v>268</v>
      </c>
      <c r="I4133" s="276"/>
      <c r="J4133" s="11" t="s">
        <v>25</v>
      </c>
      <c r="K4133" s="12"/>
      <c r="L4133" s="12"/>
      <c r="M4133" s="11" t="s">
        <v>9983</v>
      </c>
      <c r="N4133" s="5" t="s">
        <v>17859</v>
      </c>
      <c r="O4133" s="5" t="s">
        <v>26</v>
      </c>
      <c r="P4133" s="15"/>
      <c r="Q4133" s="15"/>
      <c r="R4133" s="422"/>
      <c r="S4133" s="15"/>
      <c r="T4133" s="15"/>
      <c r="U4133" s="15"/>
      <c r="V4133" s="15"/>
      <c r="W4133" s="15"/>
      <c r="X4133" s="15"/>
      <c r="Y4133" s="15"/>
      <c r="Z4133" s="15"/>
      <c r="AA4133" s="15"/>
    </row>
    <row r="4134">
      <c r="A4134" s="5" t="s">
        <v>17844</v>
      </c>
      <c r="B4134" s="131" t="s">
        <v>17860</v>
      </c>
      <c r="C4134" s="40" t="s">
        <v>17861</v>
      </c>
      <c r="D4134" s="11"/>
      <c r="E4134" s="11" t="s">
        <v>207</v>
      </c>
      <c r="F4134" s="90">
        <v>1000.0</v>
      </c>
      <c r="G4134" s="321"/>
      <c r="H4134" s="11" t="s">
        <v>17862</v>
      </c>
      <c r="I4134" s="276"/>
      <c r="J4134" s="11" t="s">
        <v>25</v>
      </c>
      <c r="K4134" s="12"/>
      <c r="L4134" s="12"/>
      <c r="M4134" s="11" t="s">
        <v>8638</v>
      </c>
      <c r="N4134" s="5" t="s">
        <v>17863</v>
      </c>
      <c r="O4134" s="5" t="s">
        <v>26</v>
      </c>
      <c r="P4134" s="15"/>
      <c r="Q4134" s="15"/>
      <c r="R4134" s="422"/>
      <c r="S4134" s="15"/>
      <c r="T4134" s="15"/>
      <c r="U4134" s="15"/>
      <c r="V4134" s="15"/>
      <c r="W4134" s="15"/>
      <c r="X4134" s="15"/>
      <c r="Y4134" s="15"/>
      <c r="Z4134" s="15"/>
      <c r="AA4134" s="15"/>
    </row>
    <row r="4135">
      <c r="A4135" s="5" t="s">
        <v>17844</v>
      </c>
      <c r="B4135" s="131" t="s">
        <v>17864</v>
      </c>
      <c r="C4135" s="40" t="s">
        <v>17865</v>
      </c>
      <c r="D4135" s="11"/>
      <c r="E4135" s="11" t="s">
        <v>10404</v>
      </c>
      <c r="F4135" s="90">
        <v>50.0</v>
      </c>
      <c r="G4135" s="321"/>
      <c r="H4135" s="11" t="s">
        <v>44</v>
      </c>
      <c r="I4135" s="423"/>
      <c r="J4135" s="14"/>
      <c r="K4135" s="13"/>
      <c r="L4135" s="13"/>
      <c r="M4135" s="14"/>
      <c r="N4135" s="15"/>
      <c r="O4135" s="5" t="s">
        <v>14119</v>
      </c>
      <c r="P4135" s="15"/>
      <c r="Q4135" s="15"/>
      <c r="R4135" s="422"/>
      <c r="S4135" s="15"/>
      <c r="T4135" s="15"/>
      <c r="U4135" s="15"/>
      <c r="V4135" s="15"/>
      <c r="W4135" s="15"/>
      <c r="X4135" s="15"/>
      <c r="Y4135" s="15"/>
      <c r="Z4135" s="15"/>
      <c r="AA4135" s="15"/>
    </row>
    <row r="4136">
      <c r="A4136" s="5" t="s">
        <v>17844</v>
      </c>
      <c r="B4136" s="131" t="s">
        <v>17866</v>
      </c>
      <c r="C4136" s="40" t="s">
        <v>17867</v>
      </c>
      <c r="D4136" s="11"/>
      <c r="E4136" s="11" t="s">
        <v>9226</v>
      </c>
      <c r="F4136" s="9">
        <v>1000000.0</v>
      </c>
      <c r="G4136" s="321"/>
      <c r="H4136" s="11" t="s">
        <v>2662</v>
      </c>
      <c r="I4136" s="276"/>
      <c r="J4136" s="11" t="s">
        <v>25</v>
      </c>
      <c r="K4136" s="13"/>
      <c r="L4136" s="13"/>
      <c r="M4136" s="14"/>
      <c r="N4136" s="15"/>
      <c r="O4136" s="5" t="s">
        <v>108</v>
      </c>
      <c r="P4136" s="15"/>
      <c r="Q4136" s="15"/>
      <c r="R4136" s="422"/>
      <c r="S4136" s="15"/>
      <c r="T4136" s="15"/>
      <c r="U4136" s="15"/>
      <c r="V4136" s="15"/>
      <c r="W4136" s="15"/>
      <c r="X4136" s="15"/>
      <c r="Y4136" s="15"/>
      <c r="Z4136" s="15"/>
      <c r="AA4136" s="15"/>
    </row>
    <row r="4137">
      <c r="A4137" s="5" t="s">
        <v>17844</v>
      </c>
      <c r="B4137" s="131" t="s">
        <v>17868</v>
      </c>
      <c r="C4137" s="40" t="s">
        <v>17869</v>
      </c>
      <c r="D4137" s="11"/>
      <c r="E4137" s="11" t="s">
        <v>1836</v>
      </c>
      <c r="F4137" s="90">
        <v>20.0</v>
      </c>
      <c r="G4137" s="321"/>
      <c r="H4137" s="11" t="s">
        <v>44</v>
      </c>
      <c r="I4137" s="276"/>
      <c r="J4137" s="11" t="s">
        <v>4008</v>
      </c>
      <c r="K4137" s="13"/>
      <c r="L4137" s="13"/>
      <c r="M4137" s="14"/>
      <c r="N4137" s="15"/>
      <c r="O4137" s="5" t="s">
        <v>14119</v>
      </c>
      <c r="P4137" s="15"/>
      <c r="Q4137" s="15"/>
      <c r="R4137" s="422"/>
      <c r="S4137" s="15"/>
      <c r="T4137" s="15"/>
      <c r="U4137" s="15"/>
      <c r="V4137" s="15"/>
      <c r="W4137" s="15"/>
      <c r="X4137" s="15"/>
      <c r="Y4137" s="15"/>
      <c r="Z4137" s="15"/>
      <c r="AA4137" s="15"/>
    </row>
    <row r="4138">
      <c r="A4138" s="5" t="s">
        <v>17844</v>
      </c>
      <c r="B4138" s="131" t="s">
        <v>17870</v>
      </c>
      <c r="C4138" s="40" t="s">
        <v>17871</v>
      </c>
      <c r="D4138" s="11"/>
      <c r="E4138" s="11" t="s">
        <v>10512</v>
      </c>
      <c r="F4138" s="90">
        <v>500.0</v>
      </c>
      <c r="G4138" s="321"/>
      <c r="H4138" s="11" t="s">
        <v>906</v>
      </c>
      <c r="I4138" s="276"/>
      <c r="J4138" s="11" t="s">
        <v>4008</v>
      </c>
      <c r="K4138" s="12"/>
      <c r="L4138" s="12"/>
      <c r="M4138" s="11" t="s">
        <v>9587</v>
      </c>
      <c r="N4138" s="5" t="s">
        <v>17872</v>
      </c>
      <c r="O4138" s="5" t="s">
        <v>108</v>
      </c>
      <c r="P4138" s="15"/>
      <c r="Q4138" s="15"/>
      <c r="R4138" s="422"/>
      <c r="S4138" s="15"/>
      <c r="T4138" s="15"/>
      <c r="U4138" s="15"/>
      <c r="V4138" s="15"/>
      <c r="W4138" s="15"/>
      <c r="X4138" s="15"/>
      <c r="Y4138" s="15"/>
      <c r="Z4138" s="15"/>
      <c r="AA4138" s="15"/>
    </row>
    <row r="4139">
      <c r="A4139" s="5" t="s">
        <v>17844</v>
      </c>
      <c r="B4139" s="131" t="s">
        <v>17873</v>
      </c>
      <c r="C4139" s="40" t="s">
        <v>17874</v>
      </c>
      <c r="D4139" s="11"/>
      <c r="E4139" s="11" t="s">
        <v>5774</v>
      </c>
      <c r="F4139" s="90">
        <v>100.0</v>
      </c>
      <c r="G4139" s="321"/>
      <c r="H4139" s="11" t="s">
        <v>9266</v>
      </c>
      <c r="I4139" s="276"/>
      <c r="J4139" s="11" t="s">
        <v>4008</v>
      </c>
      <c r="K4139" s="13"/>
      <c r="L4139" s="13"/>
      <c r="M4139" s="14"/>
      <c r="N4139" s="15"/>
      <c r="O4139" s="5" t="s">
        <v>14119</v>
      </c>
      <c r="P4139" s="15"/>
      <c r="Q4139" s="15"/>
      <c r="R4139" s="422"/>
      <c r="S4139" s="15"/>
      <c r="T4139" s="15"/>
      <c r="U4139" s="15"/>
      <c r="V4139" s="15"/>
      <c r="W4139" s="15"/>
      <c r="X4139" s="15"/>
      <c r="Y4139" s="15"/>
      <c r="Z4139" s="15"/>
      <c r="AA4139" s="15"/>
    </row>
    <row r="4140">
      <c r="A4140" s="5" t="s">
        <v>17875</v>
      </c>
      <c r="B4140" s="131" t="s">
        <v>17876</v>
      </c>
      <c r="C4140" s="40" t="s">
        <v>17877</v>
      </c>
      <c r="D4140" s="11"/>
      <c r="E4140" s="11" t="s">
        <v>116</v>
      </c>
      <c r="F4140" s="90">
        <v>1000.0</v>
      </c>
      <c r="G4140" s="430"/>
      <c r="H4140" s="41" t="s">
        <v>519</v>
      </c>
      <c r="I4140" s="276"/>
      <c r="J4140" s="11" t="s">
        <v>25</v>
      </c>
      <c r="K4140" s="12"/>
      <c r="L4140" s="12"/>
      <c r="M4140" s="11" t="s">
        <v>16992</v>
      </c>
      <c r="N4140" s="5" t="s">
        <v>17878</v>
      </c>
      <c r="O4140" s="5" t="s">
        <v>108</v>
      </c>
      <c r="P4140" s="15"/>
      <c r="Q4140" s="15"/>
      <c r="R4140" s="422"/>
      <c r="S4140" s="15"/>
      <c r="T4140" s="15"/>
      <c r="U4140" s="15"/>
      <c r="V4140" s="15"/>
      <c r="W4140" s="15"/>
      <c r="X4140" s="15"/>
      <c r="Y4140" s="15"/>
      <c r="Z4140" s="15"/>
      <c r="AA4140" s="15"/>
    </row>
    <row r="4141">
      <c r="A4141" s="5" t="s">
        <v>17875</v>
      </c>
      <c r="B4141" s="131" t="s">
        <v>17879</v>
      </c>
      <c r="C4141" s="40" t="s">
        <v>14197</v>
      </c>
      <c r="D4141" s="11"/>
      <c r="E4141" s="11" t="s">
        <v>794</v>
      </c>
      <c r="F4141" s="90">
        <v>5000.0</v>
      </c>
      <c r="G4141" s="321"/>
      <c r="H4141" s="11" t="s">
        <v>44</v>
      </c>
      <c r="I4141" s="276"/>
      <c r="J4141" s="11" t="s">
        <v>25</v>
      </c>
      <c r="K4141" s="12"/>
      <c r="L4141" s="12"/>
      <c r="M4141" s="11" t="s">
        <v>9034</v>
      </c>
      <c r="N4141" s="5" t="s">
        <v>17880</v>
      </c>
      <c r="O4141" s="5" t="s">
        <v>26</v>
      </c>
      <c r="P4141" s="15"/>
      <c r="Q4141" s="15"/>
      <c r="R4141" s="422"/>
      <c r="S4141" s="15"/>
      <c r="T4141" s="15"/>
      <c r="U4141" s="15"/>
      <c r="V4141" s="15"/>
      <c r="W4141" s="15"/>
      <c r="X4141" s="15"/>
      <c r="Y4141" s="15"/>
      <c r="Z4141" s="15"/>
      <c r="AA4141" s="15"/>
    </row>
    <row r="4142">
      <c r="A4142" s="5" t="s">
        <v>17875</v>
      </c>
      <c r="B4142" s="131" t="s">
        <v>17881</v>
      </c>
      <c r="C4142" s="40" t="s">
        <v>17882</v>
      </c>
      <c r="D4142" s="11"/>
      <c r="E4142" s="11" t="s">
        <v>152</v>
      </c>
      <c r="F4142" s="9">
        <v>60000.0</v>
      </c>
      <c r="G4142" s="321"/>
      <c r="H4142" s="11" t="s">
        <v>17883</v>
      </c>
      <c r="I4142" s="276"/>
      <c r="J4142" s="11" t="s">
        <v>4008</v>
      </c>
      <c r="K4142" s="12"/>
      <c r="L4142" s="12"/>
      <c r="M4142" s="11" t="s">
        <v>9776</v>
      </c>
      <c r="N4142" s="5" t="s">
        <v>17884</v>
      </c>
      <c r="O4142" s="5" t="s">
        <v>26</v>
      </c>
      <c r="P4142" s="15"/>
      <c r="Q4142" s="15"/>
      <c r="R4142" s="422"/>
      <c r="S4142" s="15"/>
      <c r="T4142" s="15"/>
      <c r="U4142" s="15"/>
      <c r="V4142" s="15"/>
      <c r="W4142" s="15"/>
      <c r="X4142" s="15"/>
      <c r="Y4142" s="15"/>
      <c r="Z4142" s="15"/>
      <c r="AA4142" s="15"/>
    </row>
    <row r="4143">
      <c r="A4143" s="5" t="s">
        <v>17875</v>
      </c>
      <c r="B4143" s="131" t="s">
        <v>17885</v>
      </c>
      <c r="C4143" s="40" t="s">
        <v>15554</v>
      </c>
      <c r="D4143" s="11"/>
      <c r="E4143" s="11" t="s">
        <v>152</v>
      </c>
      <c r="F4143" s="90">
        <v>3000.0</v>
      </c>
      <c r="G4143" s="321"/>
      <c r="H4143" s="11" t="s">
        <v>1696</v>
      </c>
      <c r="I4143" s="276"/>
      <c r="J4143" s="11" t="s">
        <v>25</v>
      </c>
      <c r="K4143" s="13"/>
      <c r="L4143" s="13"/>
      <c r="M4143" s="14"/>
      <c r="N4143" s="15"/>
      <c r="O4143" s="5" t="s">
        <v>108</v>
      </c>
      <c r="P4143" s="15"/>
      <c r="Q4143" s="15"/>
      <c r="R4143" s="422"/>
      <c r="S4143" s="15"/>
      <c r="T4143" s="15"/>
      <c r="U4143" s="15"/>
      <c r="V4143" s="15"/>
      <c r="W4143" s="15"/>
      <c r="X4143" s="15"/>
      <c r="Y4143" s="15"/>
      <c r="Z4143" s="15"/>
      <c r="AA4143" s="15"/>
    </row>
    <row r="4144">
      <c r="A4144" s="5" t="s">
        <v>17875</v>
      </c>
      <c r="B4144" s="131" t="s">
        <v>17886</v>
      </c>
      <c r="C4144" s="40" t="s">
        <v>17887</v>
      </c>
      <c r="D4144" s="11"/>
      <c r="E4144" s="11" t="s">
        <v>17888</v>
      </c>
      <c r="F4144" s="9">
        <v>25000.0</v>
      </c>
      <c r="G4144" s="321"/>
      <c r="H4144" s="11" t="s">
        <v>906</v>
      </c>
      <c r="I4144" s="423"/>
      <c r="J4144" s="14"/>
      <c r="K4144" s="13"/>
      <c r="L4144" s="13"/>
      <c r="M4144" s="14"/>
      <c r="N4144" s="15"/>
      <c r="O4144" s="5" t="s">
        <v>108</v>
      </c>
      <c r="P4144" s="15"/>
      <c r="Q4144" s="15"/>
      <c r="R4144" s="422"/>
      <c r="S4144" s="15"/>
      <c r="T4144" s="15"/>
      <c r="U4144" s="15"/>
      <c r="V4144" s="15"/>
      <c r="W4144" s="15"/>
      <c r="X4144" s="15"/>
      <c r="Y4144" s="15"/>
      <c r="Z4144" s="15"/>
      <c r="AA4144" s="15"/>
    </row>
    <row r="4145">
      <c r="A4145" s="5" t="s">
        <v>17875</v>
      </c>
      <c r="B4145" s="131" t="s">
        <v>17889</v>
      </c>
      <c r="C4145" s="40" t="s">
        <v>17890</v>
      </c>
      <c r="D4145" s="11"/>
      <c r="E4145" s="11" t="s">
        <v>4481</v>
      </c>
      <c r="F4145" s="90">
        <v>50.0</v>
      </c>
      <c r="G4145" s="321"/>
      <c r="H4145" s="11" t="s">
        <v>906</v>
      </c>
      <c r="I4145" s="276"/>
      <c r="J4145" s="11" t="s">
        <v>25</v>
      </c>
      <c r="K4145" s="13"/>
      <c r="L4145" s="13"/>
      <c r="M4145" s="14"/>
      <c r="N4145" s="15"/>
      <c r="O4145" s="5" t="s">
        <v>14119</v>
      </c>
      <c r="P4145" s="15"/>
      <c r="Q4145" s="15"/>
      <c r="R4145" s="422"/>
      <c r="S4145" s="15"/>
      <c r="T4145" s="15"/>
      <c r="U4145" s="15"/>
      <c r="V4145" s="15"/>
      <c r="W4145" s="15"/>
      <c r="X4145" s="15"/>
      <c r="Y4145" s="15"/>
      <c r="Z4145" s="15"/>
      <c r="AA4145" s="15"/>
    </row>
    <row r="4146">
      <c r="A4146" s="5" t="s">
        <v>17875</v>
      </c>
      <c r="B4146" s="131" t="s">
        <v>17891</v>
      </c>
      <c r="C4146" s="40" t="s">
        <v>17892</v>
      </c>
      <c r="D4146" s="11"/>
      <c r="E4146" s="11" t="s">
        <v>11049</v>
      </c>
      <c r="F4146" s="90">
        <v>40.0</v>
      </c>
      <c r="G4146" s="321"/>
      <c r="H4146" s="11" t="s">
        <v>472</v>
      </c>
      <c r="I4146" s="276"/>
      <c r="J4146" s="11" t="s">
        <v>25</v>
      </c>
      <c r="K4146" s="13"/>
      <c r="L4146" s="13"/>
      <c r="M4146" s="14"/>
      <c r="N4146" s="15"/>
      <c r="O4146" s="5" t="s">
        <v>14119</v>
      </c>
      <c r="P4146" s="15"/>
      <c r="Q4146" s="15"/>
      <c r="R4146" s="422"/>
      <c r="S4146" s="15"/>
      <c r="T4146" s="15"/>
      <c r="U4146" s="15"/>
      <c r="V4146" s="15"/>
      <c r="W4146" s="15"/>
      <c r="X4146" s="15"/>
      <c r="Y4146" s="15"/>
      <c r="Z4146" s="15"/>
      <c r="AA4146" s="15"/>
    </row>
    <row r="4147">
      <c r="A4147" s="5" t="s">
        <v>17875</v>
      </c>
      <c r="B4147" s="131" t="s">
        <v>17893</v>
      </c>
      <c r="C4147" s="40" t="s">
        <v>17894</v>
      </c>
      <c r="D4147" s="11"/>
      <c r="E4147" s="11" t="s">
        <v>38</v>
      </c>
      <c r="F4147" s="90">
        <v>10.0</v>
      </c>
      <c r="G4147" s="321"/>
      <c r="H4147" s="11" t="s">
        <v>822</v>
      </c>
      <c r="I4147" s="423"/>
      <c r="J4147" s="14"/>
      <c r="K4147" s="13"/>
      <c r="L4147" s="13"/>
      <c r="M4147" s="14"/>
      <c r="N4147" s="15"/>
      <c r="O4147" s="5" t="s">
        <v>14119</v>
      </c>
      <c r="P4147" s="15"/>
      <c r="Q4147" s="15"/>
      <c r="R4147" s="422"/>
      <c r="S4147" s="15"/>
      <c r="T4147" s="15"/>
      <c r="U4147" s="15"/>
      <c r="V4147" s="15"/>
      <c r="W4147" s="15"/>
      <c r="X4147" s="15"/>
      <c r="Y4147" s="15"/>
      <c r="Z4147" s="15"/>
      <c r="AA4147" s="15"/>
    </row>
    <row r="4148">
      <c r="A4148" s="5" t="s">
        <v>17875</v>
      </c>
      <c r="B4148" s="131" t="s">
        <v>17895</v>
      </c>
      <c r="C4148" s="40" t="s">
        <v>17896</v>
      </c>
      <c r="D4148" s="11"/>
      <c r="E4148" s="11" t="s">
        <v>83</v>
      </c>
      <c r="F4148" s="90">
        <v>25.0</v>
      </c>
      <c r="G4148" s="321"/>
      <c r="H4148" s="11" t="s">
        <v>507</v>
      </c>
      <c r="I4148" s="423"/>
      <c r="J4148" s="14"/>
      <c r="K4148" s="13"/>
      <c r="L4148" s="13"/>
      <c r="M4148" s="14"/>
      <c r="N4148" s="15"/>
      <c r="O4148" s="5" t="s">
        <v>14119</v>
      </c>
      <c r="P4148" s="15"/>
      <c r="Q4148" s="15"/>
      <c r="R4148" s="422"/>
      <c r="S4148" s="15"/>
      <c r="T4148" s="15"/>
      <c r="U4148" s="15"/>
      <c r="V4148" s="15"/>
      <c r="W4148" s="15"/>
      <c r="X4148" s="15"/>
      <c r="Y4148" s="15"/>
      <c r="Z4148" s="15"/>
      <c r="AA4148" s="15"/>
    </row>
    <row r="4149">
      <c r="A4149" s="5" t="s">
        <v>17875</v>
      </c>
      <c r="B4149" s="131" t="s">
        <v>17897</v>
      </c>
      <c r="C4149" s="40" t="s">
        <v>17898</v>
      </c>
      <c r="D4149" s="11"/>
      <c r="E4149" s="11" t="s">
        <v>2402</v>
      </c>
      <c r="F4149" s="90">
        <v>10.0</v>
      </c>
      <c r="G4149" s="321"/>
      <c r="H4149" s="11" t="s">
        <v>1227</v>
      </c>
      <c r="I4149" s="276"/>
      <c r="J4149" s="11" t="s">
        <v>25</v>
      </c>
      <c r="K4149" s="13"/>
      <c r="L4149" s="13"/>
      <c r="M4149" s="14"/>
      <c r="N4149" s="15"/>
      <c r="O4149" s="5" t="s">
        <v>14119</v>
      </c>
      <c r="P4149" s="15"/>
      <c r="Q4149" s="15"/>
      <c r="R4149" s="422"/>
      <c r="S4149" s="15"/>
      <c r="T4149" s="15"/>
      <c r="U4149" s="15"/>
      <c r="V4149" s="15"/>
      <c r="W4149" s="15"/>
      <c r="X4149" s="15"/>
      <c r="Y4149" s="15"/>
      <c r="Z4149" s="15"/>
      <c r="AA4149" s="15"/>
    </row>
    <row r="4150">
      <c r="A4150" s="5" t="s">
        <v>17875</v>
      </c>
      <c r="B4150" s="131" t="s">
        <v>17899</v>
      </c>
      <c r="C4150" s="40" t="s">
        <v>17900</v>
      </c>
      <c r="D4150" s="11"/>
      <c r="E4150" s="11" t="s">
        <v>11748</v>
      </c>
      <c r="F4150" s="90">
        <v>500.0</v>
      </c>
      <c r="G4150" s="321"/>
      <c r="H4150" s="11" t="s">
        <v>507</v>
      </c>
      <c r="I4150" s="276"/>
      <c r="J4150" s="11" t="s">
        <v>25</v>
      </c>
      <c r="K4150" s="12"/>
      <c r="L4150" s="12"/>
      <c r="M4150" s="11" t="s">
        <v>9587</v>
      </c>
      <c r="N4150" s="5" t="s">
        <v>17901</v>
      </c>
      <c r="O4150" s="5" t="s">
        <v>108</v>
      </c>
      <c r="P4150" s="15"/>
      <c r="Q4150" s="15"/>
      <c r="R4150" s="422"/>
      <c r="S4150" s="15"/>
      <c r="T4150" s="15"/>
      <c r="U4150" s="15"/>
      <c r="V4150" s="15"/>
      <c r="W4150" s="15"/>
      <c r="X4150" s="15"/>
      <c r="Y4150" s="15"/>
      <c r="Z4150" s="15"/>
      <c r="AA4150" s="15"/>
    </row>
    <row r="4151">
      <c r="A4151" s="5" t="s">
        <v>17902</v>
      </c>
      <c r="B4151" s="131" t="s">
        <v>17903</v>
      </c>
      <c r="C4151" s="40" t="s">
        <v>17904</v>
      </c>
      <c r="D4151" s="11"/>
      <c r="E4151" s="11" t="s">
        <v>156</v>
      </c>
      <c r="F4151" s="90">
        <v>2000.0</v>
      </c>
      <c r="G4151" s="321"/>
      <c r="H4151" s="11" t="s">
        <v>17905</v>
      </c>
      <c r="I4151" s="276"/>
      <c r="J4151" s="11" t="s">
        <v>25</v>
      </c>
      <c r="K4151" s="13"/>
      <c r="L4151" s="13"/>
      <c r="M4151" s="14"/>
      <c r="N4151" s="15"/>
      <c r="O4151" s="5" t="s">
        <v>26</v>
      </c>
      <c r="P4151" s="15"/>
      <c r="Q4151" s="15"/>
      <c r="R4151" s="422"/>
      <c r="S4151" s="15"/>
      <c r="T4151" s="15"/>
      <c r="U4151" s="15"/>
      <c r="V4151" s="15"/>
      <c r="W4151" s="15"/>
      <c r="X4151" s="15"/>
      <c r="Y4151" s="15"/>
      <c r="Z4151" s="15"/>
      <c r="AA4151" s="15"/>
    </row>
    <row r="4152">
      <c r="A4152" s="5" t="s">
        <v>17902</v>
      </c>
      <c r="B4152" s="131" t="s">
        <v>17906</v>
      </c>
      <c r="C4152" s="40" t="s">
        <v>17907</v>
      </c>
      <c r="D4152" s="11"/>
      <c r="E4152" s="11" t="s">
        <v>17908</v>
      </c>
      <c r="F4152" s="90">
        <v>1000.0</v>
      </c>
      <c r="G4152" s="321"/>
      <c r="H4152" s="11" t="s">
        <v>507</v>
      </c>
      <c r="I4152" s="276"/>
      <c r="J4152" s="11" t="s">
        <v>4008</v>
      </c>
      <c r="K4152" s="12"/>
      <c r="L4152" s="12"/>
      <c r="M4152" s="11" t="s">
        <v>10809</v>
      </c>
      <c r="N4152" s="5" t="s">
        <v>17909</v>
      </c>
      <c r="O4152" s="5" t="s">
        <v>108</v>
      </c>
      <c r="P4152" s="15"/>
      <c r="Q4152" s="15"/>
      <c r="R4152" s="422"/>
      <c r="S4152" s="15"/>
      <c r="T4152" s="15"/>
      <c r="U4152" s="15"/>
      <c r="V4152" s="15"/>
      <c r="W4152" s="15"/>
      <c r="X4152" s="15"/>
      <c r="Y4152" s="15"/>
      <c r="Z4152" s="15"/>
      <c r="AA4152" s="15"/>
    </row>
    <row r="4153">
      <c r="A4153" s="5" t="s">
        <v>17902</v>
      </c>
      <c r="B4153" s="131" t="s">
        <v>17910</v>
      </c>
      <c r="C4153" s="40" t="s">
        <v>17911</v>
      </c>
      <c r="D4153" s="11"/>
      <c r="E4153" s="11" t="s">
        <v>116</v>
      </c>
      <c r="F4153" s="90">
        <v>200.0</v>
      </c>
      <c r="G4153" s="321"/>
      <c r="H4153" s="11" t="s">
        <v>507</v>
      </c>
      <c r="I4153" s="276"/>
      <c r="J4153" s="11" t="s">
        <v>25</v>
      </c>
      <c r="K4153" s="12"/>
      <c r="L4153" s="12"/>
      <c r="M4153" s="11" t="s">
        <v>14463</v>
      </c>
      <c r="N4153" s="5" t="s">
        <v>17912</v>
      </c>
      <c r="O4153" s="5" t="s">
        <v>14119</v>
      </c>
      <c r="P4153" s="15"/>
      <c r="Q4153" s="15"/>
      <c r="R4153" s="422"/>
      <c r="S4153" s="15"/>
      <c r="T4153" s="15"/>
      <c r="U4153" s="15"/>
      <c r="V4153" s="15"/>
      <c r="W4153" s="15"/>
      <c r="X4153" s="15"/>
      <c r="Y4153" s="15"/>
      <c r="Z4153" s="15"/>
      <c r="AA4153" s="15"/>
    </row>
    <row r="4154">
      <c r="A4154" s="5" t="s">
        <v>17902</v>
      </c>
      <c r="B4154" s="131" t="s">
        <v>17913</v>
      </c>
      <c r="C4154" s="40" t="s">
        <v>17914</v>
      </c>
      <c r="D4154" s="11"/>
      <c r="E4154" s="11" t="s">
        <v>6836</v>
      </c>
      <c r="F4154" s="90">
        <v>50.0</v>
      </c>
      <c r="G4154" s="321"/>
      <c r="H4154" s="11" t="s">
        <v>44</v>
      </c>
      <c r="I4154" s="423"/>
      <c r="J4154" s="14"/>
      <c r="K4154" s="13"/>
      <c r="L4154" s="13"/>
      <c r="M4154" s="14"/>
      <c r="N4154" s="15"/>
      <c r="O4154" s="5" t="s">
        <v>14119</v>
      </c>
      <c r="P4154" s="15"/>
      <c r="Q4154" s="15"/>
      <c r="R4154" s="422"/>
      <c r="S4154" s="15"/>
      <c r="T4154" s="15"/>
      <c r="U4154" s="15"/>
      <c r="V4154" s="15"/>
      <c r="W4154" s="15"/>
      <c r="X4154" s="15"/>
      <c r="Y4154" s="15"/>
      <c r="Z4154" s="15"/>
      <c r="AA4154" s="15"/>
    </row>
    <row r="4155">
      <c r="A4155" s="5" t="s">
        <v>17902</v>
      </c>
      <c r="B4155" s="131" t="s">
        <v>17915</v>
      </c>
      <c r="C4155" s="40" t="s">
        <v>17916</v>
      </c>
      <c r="D4155" s="11"/>
      <c r="E4155" s="11" t="s">
        <v>14198</v>
      </c>
      <c r="F4155" s="90">
        <v>500.0</v>
      </c>
      <c r="G4155" s="321"/>
      <c r="H4155" s="11" t="s">
        <v>495</v>
      </c>
      <c r="I4155" s="423"/>
      <c r="J4155" s="14"/>
      <c r="K4155" s="13"/>
      <c r="L4155" s="13"/>
      <c r="M4155" s="14"/>
      <c r="N4155" s="15"/>
      <c r="O4155" s="5" t="s">
        <v>26</v>
      </c>
      <c r="P4155" s="15"/>
      <c r="Q4155" s="15"/>
      <c r="R4155" s="422"/>
      <c r="S4155" s="15"/>
      <c r="T4155" s="15"/>
      <c r="U4155" s="15"/>
      <c r="V4155" s="15"/>
      <c r="W4155" s="15"/>
      <c r="X4155" s="15"/>
      <c r="Y4155" s="15"/>
      <c r="Z4155" s="15"/>
      <c r="AA4155" s="15"/>
    </row>
    <row r="4156">
      <c r="A4156" s="5" t="s">
        <v>17902</v>
      </c>
      <c r="B4156" s="131" t="s">
        <v>17917</v>
      </c>
      <c r="C4156" s="40" t="s">
        <v>17918</v>
      </c>
      <c r="D4156" s="11"/>
      <c r="E4156" s="11" t="s">
        <v>3193</v>
      </c>
      <c r="F4156" s="90">
        <v>1000.0</v>
      </c>
      <c r="G4156" s="321"/>
      <c r="H4156" s="11" t="s">
        <v>44</v>
      </c>
      <c r="I4156" s="276"/>
      <c r="J4156" s="11" t="s">
        <v>25</v>
      </c>
      <c r="K4156" s="12"/>
      <c r="L4156" s="12"/>
      <c r="M4156" s="11" t="s">
        <v>10768</v>
      </c>
      <c r="N4156" s="5" t="s">
        <v>17919</v>
      </c>
      <c r="O4156" s="5" t="s">
        <v>26</v>
      </c>
      <c r="P4156" s="15"/>
      <c r="Q4156" s="15"/>
      <c r="R4156" s="422"/>
      <c r="S4156" s="15"/>
      <c r="T4156" s="15"/>
      <c r="U4156" s="15"/>
      <c r="V4156" s="15"/>
      <c r="W4156" s="15"/>
      <c r="X4156" s="15"/>
      <c r="Y4156" s="15"/>
      <c r="Z4156" s="15"/>
      <c r="AA4156" s="15"/>
    </row>
    <row r="4157">
      <c r="A4157" s="5" t="s">
        <v>17902</v>
      </c>
      <c r="B4157" s="131" t="s">
        <v>17920</v>
      </c>
      <c r="C4157" s="40" t="s">
        <v>17921</v>
      </c>
      <c r="D4157" s="11"/>
      <c r="E4157" s="11" t="s">
        <v>17922</v>
      </c>
      <c r="F4157" s="90">
        <v>200.0</v>
      </c>
      <c r="G4157" s="321"/>
      <c r="H4157" s="11" t="s">
        <v>495</v>
      </c>
      <c r="I4157" s="276"/>
      <c r="J4157" s="11" t="s">
        <v>4008</v>
      </c>
      <c r="K4157" s="13"/>
      <c r="L4157" s="13"/>
      <c r="M4157" s="14"/>
      <c r="N4157" s="15"/>
      <c r="O4157" s="5" t="s">
        <v>14119</v>
      </c>
      <c r="P4157" s="15"/>
      <c r="Q4157" s="15"/>
      <c r="R4157" s="422"/>
      <c r="S4157" s="15"/>
      <c r="T4157" s="15"/>
      <c r="U4157" s="15"/>
      <c r="V4157" s="15"/>
      <c r="W4157" s="15"/>
      <c r="X4157" s="15"/>
      <c r="Y4157" s="15"/>
      <c r="Z4157" s="15"/>
      <c r="AA4157" s="15"/>
    </row>
    <row r="4158">
      <c r="A4158" s="5" t="s">
        <v>17902</v>
      </c>
      <c r="B4158" s="131" t="s">
        <v>17923</v>
      </c>
      <c r="C4158" s="40" t="s">
        <v>17924</v>
      </c>
      <c r="D4158" s="11"/>
      <c r="E4158" s="11" t="s">
        <v>38</v>
      </c>
      <c r="F4158" s="90">
        <v>10.0</v>
      </c>
      <c r="G4158" s="321"/>
      <c r="H4158" s="11" t="s">
        <v>44</v>
      </c>
      <c r="I4158" s="276"/>
      <c r="J4158" s="11" t="s">
        <v>4008</v>
      </c>
      <c r="K4158" s="13"/>
      <c r="L4158" s="13"/>
      <c r="M4158" s="14"/>
      <c r="N4158" s="15"/>
      <c r="O4158" s="5" t="s">
        <v>14119</v>
      </c>
      <c r="P4158" s="15"/>
      <c r="Q4158" s="15"/>
      <c r="R4158" s="422"/>
      <c r="S4158" s="15"/>
      <c r="T4158" s="15"/>
      <c r="U4158" s="15"/>
      <c r="V4158" s="15"/>
      <c r="W4158" s="15"/>
      <c r="X4158" s="15"/>
      <c r="Y4158" s="15"/>
      <c r="Z4158" s="15"/>
      <c r="AA4158" s="15"/>
    </row>
    <row r="4159">
      <c r="A4159" s="5" t="s">
        <v>17925</v>
      </c>
      <c r="B4159" s="131" t="s">
        <v>17926</v>
      </c>
      <c r="C4159" s="40" t="s">
        <v>17927</v>
      </c>
      <c r="D4159" s="11"/>
      <c r="E4159" s="11" t="s">
        <v>17928</v>
      </c>
      <c r="F4159" s="90" t="s">
        <v>17929</v>
      </c>
      <c r="G4159" s="321"/>
      <c r="H4159" s="11" t="s">
        <v>44</v>
      </c>
      <c r="I4159" s="423"/>
      <c r="J4159" s="14"/>
      <c r="K4159" s="12"/>
      <c r="L4159" s="12"/>
      <c r="M4159" s="11" t="s">
        <v>17930</v>
      </c>
      <c r="N4159" s="5" t="s">
        <v>17931</v>
      </c>
      <c r="O4159" s="5" t="s">
        <v>26</v>
      </c>
      <c r="P4159" s="15"/>
      <c r="Q4159" s="15"/>
      <c r="R4159" s="422"/>
      <c r="S4159" s="15"/>
      <c r="T4159" s="15"/>
      <c r="U4159" s="15"/>
      <c r="V4159" s="15"/>
      <c r="W4159" s="15"/>
      <c r="X4159" s="15"/>
      <c r="Y4159" s="15"/>
      <c r="Z4159" s="15"/>
      <c r="AA4159" s="15"/>
    </row>
    <row r="4160">
      <c r="A4160" s="5" t="s">
        <v>17925</v>
      </c>
      <c r="B4160" s="131" t="s">
        <v>17932</v>
      </c>
      <c r="C4160" s="40" t="s">
        <v>17933</v>
      </c>
      <c r="D4160" s="11"/>
      <c r="E4160" s="11" t="s">
        <v>17934</v>
      </c>
      <c r="F4160" s="90">
        <v>250.0</v>
      </c>
      <c r="G4160" s="321"/>
      <c r="H4160" s="11" t="s">
        <v>44</v>
      </c>
      <c r="I4160" s="276"/>
      <c r="J4160" s="11" t="s">
        <v>25</v>
      </c>
      <c r="K4160" s="12"/>
      <c r="L4160" s="12"/>
      <c r="M4160" s="11" t="s">
        <v>11016</v>
      </c>
      <c r="N4160" s="5" t="s">
        <v>17935</v>
      </c>
      <c r="O4160" s="5" t="s">
        <v>14119</v>
      </c>
      <c r="P4160" s="15"/>
      <c r="Q4160" s="15"/>
      <c r="R4160" s="422"/>
      <c r="S4160" s="15"/>
      <c r="T4160" s="15"/>
      <c r="U4160" s="15"/>
      <c r="V4160" s="15"/>
      <c r="W4160" s="15"/>
      <c r="X4160" s="15"/>
      <c r="Y4160" s="15"/>
      <c r="Z4160" s="15"/>
      <c r="AA4160" s="15"/>
    </row>
    <row r="4161">
      <c r="A4161" s="5" t="s">
        <v>17925</v>
      </c>
      <c r="B4161" s="131" t="s">
        <v>17936</v>
      </c>
      <c r="C4161" s="40" t="s">
        <v>10464</v>
      </c>
      <c r="D4161" s="11"/>
      <c r="E4161" s="11" t="s">
        <v>5244</v>
      </c>
      <c r="F4161" s="9">
        <v>15000.0</v>
      </c>
      <c r="G4161" s="321"/>
      <c r="H4161" s="11" t="s">
        <v>44</v>
      </c>
      <c r="I4161" s="423"/>
      <c r="J4161" s="14"/>
      <c r="K4161" s="12"/>
      <c r="L4161" s="12"/>
      <c r="M4161" s="11" t="s">
        <v>16856</v>
      </c>
      <c r="N4161" s="5" t="s">
        <v>17937</v>
      </c>
      <c r="O4161" s="5" t="s">
        <v>26</v>
      </c>
      <c r="P4161" s="15"/>
      <c r="Q4161" s="15"/>
      <c r="R4161" s="422"/>
      <c r="S4161" s="15"/>
      <c r="T4161" s="15"/>
      <c r="U4161" s="15"/>
      <c r="V4161" s="15"/>
      <c r="W4161" s="15"/>
      <c r="X4161" s="15"/>
      <c r="Y4161" s="15"/>
      <c r="Z4161" s="15"/>
      <c r="AA4161" s="15"/>
    </row>
    <row r="4162">
      <c r="A4162" s="5" t="s">
        <v>17925</v>
      </c>
      <c r="B4162" s="131" t="s">
        <v>17938</v>
      </c>
      <c r="C4162" s="40" t="s">
        <v>17939</v>
      </c>
      <c r="D4162" s="11"/>
      <c r="E4162" s="11" t="s">
        <v>794</v>
      </c>
      <c r="F4162" s="9">
        <v>10000.0</v>
      </c>
      <c r="G4162" s="321"/>
      <c r="H4162" s="11" t="s">
        <v>1414</v>
      </c>
      <c r="I4162" s="276"/>
      <c r="J4162" s="11" t="s">
        <v>25</v>
      </c>
      <c r="K4162" s="12"/>
      <c r="L4162" s="12"/>
      <c r="M4162" s="11" t="s">
        <v>8860</v>
      </c>
      <c r="N4162" s="5" t="s">
        <v>17940</v>
      </c>
      <c r="O4162" s="5" t="s">
        <v>26</v>
      </c>
      <c r="P4162" s="15"/>
      <c r="Q4162" s="15"/>
      <c r="R4162" s="422"/>
      <c r="S4162" s="15"/>
      <c r="T4162" s="15"/>
      <c r="U4162" s="15"/>
      <c r="V4162" s="15"/>
      <c r="W4162" s="15"/>
      <c r="X4162" s="15"/>
      <c r="Y4162" s="15"/>
      <c r="Z4162" s="15"/>
      <c r="AA4162" s="15"/>
    </row>
    <row r="4163">
      <c r="A4163" s="5" t="s">
        <v>17925</v>
      </c>
      <c r="B4163" s="131" t="s">
        <v>17941</v>
      </c>
      <c r="C4163" s="40" t="s">
        <v>17942</v>
      </c>
      <c r="D4163" s="11"/>
      <c r="E4163" s="11" t="s">
        <v>5502</v>
      </c>
      <c r="F4163" s="90" t="s">
        <v>17943</v>
      </c>
      <c r="G4163" s="321"/>
      <c r="H4163" s="11" t="s">
        <v>507</v>
      </c>
      <c r="I4163" s="276"/>
      <c r="J4163" s="11" t="s">
        <v>4008</v>
      </c>
      <c r="K4163" s="12"/>
      <c r="L4163" s="12"/>
      <c r="M4163" s="11" t="s">
        <v>15584</v>
      </c>
      <c r="N4163" s="5" t="s">
        <v>17944</v>
      </c>
      <c r="O4163" s="5" t="s">
        <v>108</v>
      </c>
      <c r="P4163" s="15"/>
      <c r="Q4163" s="15"/>
      <c r="R4163" s="422"/>
      <c r="S4163" s="15"/>
      <c r="T4163" s="15"/>
      <c r="U4163" s="15"/>
      <c r="V4163" s="15"/>
      <c r="W4163" s="15"/>
      <c r="X4163" s="15"/>
      <c r="Y4163" s="15"/>
      <c r="Z4163" s="15"/>
      <c r="AA4163" s="15"/>
    </row>
    <row r="4164">
      <c r="A4164" s="5" t="s">
        <v>17925</v>
      </c>
      <c r="B4164" s="131" t="s">
        <v>17945</v>
      </c>
      <c r="C4164" s="40" t="s">
        <v>17946</v>
      </c>
      <c r="D4164" s="11"/>
      <c r="E4164" s="11" t="s">
        <v>22</v>
      </c>
      <c r="F4164" s="90">
        <v>50.0</v>
      </c>
      <c r="G4164" s="321"/>
      <c r="H4164" s="11" t="s">
        <v>184</v>
      </c>
      <c r="I4164" s="423"/>
      <c r="J4164" s="14"/>
      <c r="K4164" s="13"/>
      <c r="L4164" s="13"/>
      <c r="M4164" s="14"/>
      <c r="N4164" s="15"/>
      <c r="O4164" s="5" t="s">
        <v>14119</v>
      </c>
      <c r="P4164" s="15"/>
      <c r="Q4164" s="15"/>
      <c r="R4164" s="422"/>
      <c r="S4164" s="15"/>
      <c r="T4164" s="15"/>
      <c r="U4164" s="15"/>
      <c r="V4164" s="15"/>
      <c r="W4164" s="15"/>
      <c r="X4164" s="15"/>
      <c r="Y4164" s="15"/>
      <c r="Z4164" s="15"/>
      <c r="AA4164" s="15"/>
    </row>
    <row r="4165">
      <c r="A4165" s="5" t="s">
        <v>17925</v>
      </c>
      <c r="B4165" s="131" t="s">
        <v>17947</v>
      </c>
      <c r="C4165" s="40" t="s">
        <v>17948</v>
      </c>
      <c r="D4165" s="11"/>
      <c r="E4165" s="11" t="s">
        <v>8247</v>
      </c>
      <c r="F4165" s="90">
        <v>20.0</v>
      </c>
      <c r="G4165" s="321"/>
      <c r="H4165" s="11" t="s">
        <v>17949</v>
      </c>
      <c r="I4165" s="276"/>
      <c r="J4165" s="11" t="s">
        <v>25</v>
      </c>
      <c r="K4165" s="13"/>
      <c r="L4165" s="13"/>
      <c r="M4165" s="14"/>
      <c r="N4165" s="15"/>
      <c r="O4165" s="5" t="s">
        <v>14119</v>
      </c>
      <c r="P4165" s="15"/>
      <c r="Q4165" s="15"/>
      <c r="R4165" s="422"/>
      <c r="S4165" s="15"/>
      <c r="T4165" s="15"/>
      <c r="U4165" s="15"/>
      <c r="V4165" s="15"/>
      <c r="W4165" s="15"/>
      <c r="X4165" s="15"/>
      <c r="Y4165" s="15"/>
      <c r="Z4165" s="15"/>
      <c r="AA4165" s="15"/>
    </row>
    <row r="4166">
      <c r="A4166" s="5" t="s">
        <v>17925</v>
      </c>
      <c r="B4166" s="131" t="s">
        <v>17950</v>
      </c>
      <c r="C4166" s="40" t="s">
        <v>17951</v>
      </c>
      <c r="D4166" s="11"/>
      <c r="E4166" s="11" t="s">
        <v>10216</v>
      </c>
      <c r="F4166" s="9">
        <v>10000.0</v>
      </c>
      <c r="G4166" s="321"/>
      <c r="H4166" s="11" t="s">
        <v>507</v>
      </c>
      <c r="I4166" s="276"/>
      <c r="J4166" s="11" t="s">
        <v>25</v>
      </c>
      <c r="K4166" s="12"/>
      <c r="L4166" s="12"/>
      <c r="M4166" s="11" t="s">
        <v>15101</v>
      </c>
      <c r="N4166" s="5" t="s">
        <v>17952</v>
      </c>
      <c r="O4166" s="5" t="s">
        <v>108</v>
      </c>
      <c r="P4166" s="15"/>
      <c r="Q4166" s="15"/>
      <c r="R4166" s="422"/>
      <c r="S4166" s="15"/>
      <c r="T4166" s="15"/>
      <c r="U4166" s="15"/>
      <c r="V4166" s="15"/>
      <c r="W4166" s="15"/>
      <c r="X4166" s="15"/>
      <c r="Y4166" s="15"/>
      <c r="Z4166" s="15"/>
      <c r="AA4166" s="15"/>
    </row>
    <row r="4167">
      <c r="A4167" s="5" t="s">
        <v>17925</v>
      </c>
      <c r="B4167" s="131" t="s">
        <v>17953</v>
      </c>
      <c r="C4167" s="40" t="s">
        <v>17954</v>
      </c>
      <c r="D4167" s="11"/>
      <c r="E4167" s="11" t="s">
        <v>14695</v>
      </c>
      <c r="F4167" s="90">
        <v>50.0</v>
      </c>
      <c r="G4167" s="321"/>
      <c r="H4167" s="11" t="s">
        <v>17955</v>
      </c>
      <c r="I4167" s="423"/>
      <c r="J4167" s="14"/>
      <c r="K4167" s="13"/>
      <c r="L4167" s="13"/>
      <c r="M4167" s="14"/>
      <c r="N4167" s="15"/>
      <c r="O4167" s="5" t="s">
        <v>14119</v>
      </c>
      <c r="P4167" s="15"/>
      <c r="Q4167" s="15"/>
      <c r="R4167" s="422"/>
      <c r="S4167" s="15"/>
      <c r="T4167" s="15"/>
      <c r="U4167" s="15"/>
      <c r="V4167" s="15"/>
      <c r="W4167" s="15"/>
      <c r="X4167" s="15"/>
      <c r="Y4167" s="15"/>
      <c r="Z4167" s="15"/>
      <c r="AA4167" s="15"/>
    </row>
    <row r="4168">
      <c r="A4168" s="5" t="s">
        <v>17925</v>
      </c>
      <c r="B4168" s="131" t="s">
        <v>17956</v>
      </c>
      <c r="C4168" s="40" t="s">
        <v>17957</v>
      </c>
      <c r="D4168" s="11"/>
      <c r="E4168" s="11" t="s">
        <v>17958</v>
      </c>
      <c r="F4168" s="90">
        <v>2000.0</v>
      </c>
      <c r="G4168" s="321"/>
      <c r="H4168" s="11" t="s">
        <v>11267</v>
      </c>
      <c r="I4168" s="276"/>
      <c r="J4168" s="11" t="s">
        <v>4008</v>
      </c>
      <c r="K4168" s="12"/>
      <c r="L4168" s="12"/>
      <c r="M4168" s="11" t="s">
        <v>12801</v>
      </c>
      <c r="N4168" s="5" t="s">
        <v>17959</v>
      </c>
      <c r="O4168" s="5" t="s">
        <v>26</v>
      </c>
      <c r="P4168" s="15"/>
      <c r="Q4168" s="15"/>
      <c r="R4168" s="422"/>
      <c r="S4168" s="15"/>
      <c r="T4168" s="15"/>
      <c r="U4168" s="15"/>
      <c r="V4168" s="15"/>
      <c r="W4168" s="15"/>
      <c r="X4168" s="15"/>
      <c r="Y4168" s="15"/>
      <c r="Z4168" s="15"/>
      <c r="AA4168" s="15"/>
    </row>
    <row r="4169">
      <c r="A4169" s="5" t="s">
        <v>17925</v>
      </c>
      <c r="B4169" s="131" t="s">
        <v>17960</v>
      </c>
      <c r="C4169" s="40" t="s">
        <v>17961</v>
      </c>
      <c r="D4169" s="11"/>
      <c r="E4169" s="11" t="s">
        <v>8247</v>
      </c>
      <c r="F4169" s="90">
        <v>500.0</v>
      </c>
      <c r="G4169" s="321"/>
      <c r="H4169" s="11" t="s">
        <v>44</v>
      </c>
      <c r="I4169" s="276"/>
      <c r="J4169" s="11" t="s">
        <v>25</v>
      </c>
      <c r="K4169" s="12"/>
      <c r="L4169" s="12"/>
      <c r="M4169" s="11" t="s">
        <v>17962</v>
      </c>
      <c r="N4169" s="5" t="s">
        <v>17963</v>
      </c>
      <c r="O4169" s="5" t="s">
        <v>26</v>
      </c>
      <c r="P4169" s="15"/>
      <c r="Q4169" s="15"/>
      <c r="R4169" s="422"/>
      <c r="S4169" s="15"/>
      <c r="T4169" s="15"/>
      <c r="U4169" s="15"/>
      <c r="V4169" s="15"/>
      <c r="W4169" s="15"/>
      <c r="X4169" s="15"/>
      <c r="Y4169" s="15"/>
      <c r="Z4169" s="15"/>
      <c r="AA4169" s="15"/>
    </row>
    <row r="4170">
      <c r="A4170" s="5" t="s">
        <v>17925</v>
      </c>
      <c r="B4170" s="131" t="s">
        <v>17964</v>
      </c>
      <c r="C4170" s="40" t="s">
        <v>17965</v>
      </c>
      <c r="D4170" s="11"/>
      <c r="E4170" s="11" t="s">
        <v>14706</v>
      </c>
      <c r="F4170" s="9">
        <v>50000.0</v>
      </c>
      <c r="G4170" s="321"/>
      <c r="H4170" s="11" t="s">
        <v>467</v>
      </c>
      <c r="I4170" s="276"/>
      <c r="J4170" s="11" t="s">
        <v>4008</v>
      </c>
      <c r="K4170" s="12"/>
      <c r="L4170" s="12"/>
      <c r="M4170" s="11" t="s">
        <v>9949</v>
      </c>
      <c r="N4170" s="5" t="s">
        <v>17966</v>
      </c>
      <c r="O4170" s="5" t="s">
        <v>108</v>
      </c>
      <c r="P4170" s="15"/>
      <c r="Q4170" s="15"/>
      <c r="R4170" s="422"/>
      <c r="S4170" s="15"/>
      <c r="T4170" s="15"/>
      <c r="U4170" s="15"/>
      <c r="V4170" s="15"/>
      <c r="W4170" s="15"/>
      <c r="X4170" s="15"/>
      <c r="Y4170" s="15"/>
      <c r="Z4170" s="15"/>
      <c r="AA4170" s="15"/>
    </row>
    <row r="4171">
      <c r="A4171" s="5" t="s">
        <v>17925</v>
      </c>
      <c r="B4171" s="131" t="s">
        <v>17967</v>
      </c>
      <c r="C4171" s="40" t="s">
        <v>17968</v>
      </c>
      <c r="D4171" s="11"/>
      <c r="E4171" s="11" t="s">
        <v>152</v>
      </c>
      <c r="F4171" s="9">
        <v>200000.0</v>
      </c>
      <c r="G4171" s="321"/>
      <c r="H4171" s="11" t="s">
        <v>495</v>
      </c>
      <c r="I4171" s="423"/>
      <c r="J4171" s="14"/>
      <c r="K4171" s="13"/>
      <c r="L4171" s="13"/>
      <c r="M4171" s="14"/>
      <c r="N4171" s="15"/>
      <c r="O4171" s="5" t="s">
        <v>26</v>
      </c>
      <c r="P4171" s="15"/>
      <c r="Q4171" s="15"/>
      <c r="R4171" s="422"/>
      <c r="S4171" s="15"/>
      <c r="T4171" s="15"/>
      <c r="U4171" s="15"/>
      <c r="V4171" s="15"/>
      <c r="W4171" s="15"/>
      <c r="X4171" s="15"/>
      <c r="Y4171" s="15"/>
      <c r="Z4171" s="15"/>
      <c r="AA4171" s="15"/>
    </row>
    <row r="4172">
      <c r="A4172" s="5" t="s">
        <v>17925</v>
      </c>
      <c r="B4172" s="131" t="s">
        <v>17969</v>
      </c>
      <c r="C4172" s="40" t="s">
        <v>17970</v>
      </c>
      <c r="D4172" s="11"/>
      <c r="E4172" s="11" t="s">
        <v>2402</v>
      </c>
      <c r="F4172" s="90">
        <v>600.0</v>
      </c>
      <c r="G4172" s="321"/>
      <c r="H4172" s="11" t="s">
        <v>17971</v>
      </c>
      <c r="I4172" s="276"/>
      <c r="J4172" s="11" t="s">
        <v>25</v>
      </c>
      <c r="K4172" s="12"/>
      <c r="L4172" s="12"/>
      <c r="M4172" s="11" t="s">
        <v>9875</v>
      </c>
      <c r="N4172" s="5" t="s">
        <v>17972</v>
      </c>
      <c r="O4172" s="5" t="s">
        <v>26</v>
      </c>
      <c r="P4172" s="15"/>
      <c r="Q4172" s="15"/>
      <c r="R4172" s="422"/>
      <c r="S4172" s="15"/>
      <c r="T4172" s="15"/>
      <c r="U4172" s="15"/>
      <c r="V4172" s="15"/>
      <c r="W4172" s="15"/>
      <c r="X4172" s="15"/>
      <c r="Y4172" s="15"/>
      <c r="Z4172" s="15"/>
      <c r="AA4172" s="15"/>
    </row>
    <row r="4173">
      <c r="A4173" s="5" t="s">
        <v>17925</v>
      </c>
      <c r="B4173" s="131" t="s">
        <v>17973</v>
      </c>
      <c r="C4173" s="40" t="s">
        <v>17974</v>
      </c>
      <c r="D4173" s="11"/>
      <c r="E4173" s="11" t="s">
        <v>17975</v>
      </c>
      <c r="F4173" s="90">
        <v>100.0</v>
      </c>
      <c r="G4173" s="321"/>
      <c r="H4173" s="11" t="s">
        <v>131</v>
      </c>
      <c r="I4173" s="276"/>
      <c r="J4173" s="11" t="s">
        <v>17976</v>
      </c>
      <c r="K4173" s="13"/>
      <c r="L4173" s="13"/>
      <c r="M4173" s="14"/>
      <c r="N4173" s="15"/>
      <c r="O4173" s="5" t="s">
        <v>14119</v>
      </c>
      <c r="P4173" s="15"/>
      <c r="Q4173" s="15"/>
      <c r="R4173" s="422"/>
      <c r="S4173" s="15"/>
      <c r="T4173" s="15"/>
      <c r="U4173" s="15"/>
      <c r="V4173" s="15"/>
      <c r="W4173" s="15"/>
      <c r="X4173" s="15"/>
      <c r="Y4173" s="15"/>
      <c r="Z4173" s="15"/>
      <c r="AA4173" s="15"/>
    </row>
    <row r="4174">
      <c r="A4174" s="5" t="s">
        <v>17925</v>
      </c>
      <c r="B4174" s="131" t="s">
        <v>17977</v>
      </c>
      <c r="C4174" s="40" t="s">
        <v>17978</v>
      </c>
      <c r="D4174" s="11"/>
      <c r="E4174" s="11" t="s">
        <v>222</v>
      </c>
      <c r="F4174" s="9">
        <v>20000.0</v>
      </c>
      <c r="G4174" s="321"/>
      <c r="H4174" s="11" t="s">
        <v>936</v>
      </c>
      <c r="I4174" s="276"/>
      <c r="J4174" s="11" t="s">
        <v>12135</v>
      </c>
      <c r="K4174" s="12"/>
      <c r="L4174" s="12"/>
      <c r="M4174" s="11" t="s">
        <v>17979</v>
      </c>
      <c r="N4174" s="5" t="s">
        <v>17980</v>
      </c>
      <c r="O4174" s="5" t="s">
        <v>26</v>
      </c>
      <c r="P4174" s="15"/>
      <c r="Q4174" s="15"/>
      <c r="R4174" s="422"/>
      <c r="S4174" s="15"/>
      <c r="T4174" s="15"/>
      <c r="U4174" s="15"/>
      <c r="V4174" s="15"/>
      <c r="W4174" s="15"/>
      <c r="X4174" s="15"/>
      <c r="Y4174" s="15"/>
      <c r="Z4174" s="15"/>
      <c r="AA4174" s="15"/>
    </row>
    <row r="4175">
      <c r="A4175" s="5" t="s">
        <v>17925</v>
      </c>
      <c r="B4175" s="131" t="s">
        <v>17981</v>
      </c>
      <c r="C4175" s="40" t="s">
        <v>17982</v>
      </c>
      <c r="D4175" s="11"/>
      <c r="E4175" s="11" t="s">
        <v>2402</v>
      </c>
      <c r="F4175" s="90">
        <v>100.0</v>
      </c>
      <c r="G4175" s="321"/>
      <c r="H4175" s="11" t="s">
        <v>17983</v>
      </c>
      <c r="I4175" s="276"/>
      <c r="J4175" s="11" t="s">
        <v>25</v>
      </c>
      <c r="K4175" s="13"/>
      <c r="L4175" s="13"/>
      <c r="M4175" s="14"/>
      <c r="N4175" s="15"/>
      <c r="O4175" s="5" t="s">
        <v>14119</v>
      </c>
      <c r="P4175" s="15"/>
      <c r="Q4175" s="15"/>
      <c r="R4175" s="422"/>
      <c r="S4175" s="15"/>
      <c r="T4175" s="15"/>
      <c r="U4175" s="15"/>
      <c r="V4175" s="15"/>
      <c r="W4175" s="15"/>
      <c r="X4175" s="15"/>
      <c r="Y4175" s="15"/>
      <c r="Z4175" s="15"/>
      <c r="AA4175" s="15"/>
    </row>
    <row r="4176">
      <c r="A4176" s="5" t="s">
        <v>17925</v>
      </c>
      <c r="B4176" s="131" t="s">
        <v>17984</v>
      </c>
      <c r="C4176" s="40" t="s">
        <v>17985</v>
      </c>
      <c r="D4176" s="11"/>
      <c r="E4176" s="11" t="s">
        <v>178</v>
      </c>
      <c r="F4176" s="9">
        <v>3600000.0</v>
      </c>
      <c r="G4176" s="321"/>
      <c r="H4176" s="11" t="s">
        <v>44</v>
      </c>
      <c r="I4176" s="276"/>
      <c r="J4176" s="11" t="s">
        <v>25</v>
      </c>
      <c r="K4176" s="13"/>
      <c r="L4176" s="13"/>
      <c r="M4176" s="14"/>
      <c r="N4176" s="15"/>
      <c r="O4176" s="5" t="s">
        <v>26</v>
      </c>
      <c r="P4176" s="15"/>
      <c r="Q4176" s="15"/>
      <c r="R4176" s="422"/>
      <c r="S4176" s="15"/>
      <c r="T4176" s="15"/>
      <c r="U4176" s="15"/>
      <c r="V4176" s="15"/>
      <c r="W4176" s="15"/>
      <c r="X4176" s="15"/>
      <c r="Y4176" s="15"/>
      <c r="Z4176" s="15"/>
      <c r="AA4176" s="15"/>
    </row>
    <row r="4177">
      <c r="A4177" s="5" t="s">
        <v>17925</v>
      </c>
      <c r="B4177" s="131" t="s">
        <v>17986</v>
      </c>
      <c r="C4177" s="40" t="s">
        <v>17987</v>
      </c>
      <c r="D4177" s="11"/>
      <c r="E4177" s="11" t="s">
        <v>17988</v>
      </c>
      <c r="F4177" s="90">
        <v>50.0</v>
      </c>
      <c r="G4177" s="321"/>
      <c r="H4177" s="11" t="s">
        <v>44</v>
      </c>
      <c r="I4177" s="276"/>
      <c r="J4177" s="11" t="s">
        <v>17976</v>
      </c>
      <c r="K4177" s="13"/>
      <c r="L4177" s="13"/>
      <c r="M4177" s="14"/>
      <c r="N4177" s="15"/>
      <c r="O4177" s="5" t="s">
        <v>14119</v>
      </c>
      <c r="P4177" s="15"/>
      <c r="Q4177" s="15"/>
      <c r="R4177" s="422"/>
      <c r="S4177" s="15"/>
      <c r="T4177" s="15"/>
      <c r="U4177" s="15"/>
      <c r="V4177" s="15"/>
      <c r="W4177" s="15"/>
      <c r="X4177" s="15"/>
      <c r="Y4177" s="15"/>
      <c r="Z4177" s="15"/>
      <c r="AA4177" s="15"/>
    </row>
    <row r="4178">
      <c r="A4178" s="5" t="s">
        <v>17925</v>
      </c>
      <c r="B4178" s="131" t="s">
        <v>17989</v>
      </c>
      <c r="C4178" s="40" t="s">
        <v>17990</v>
      </c>
      <c r="D4178" s="11"/>
      <c r="E4178" s="11" t="s">
        <v>16834</v>
      </c>
      <c r="F4178" s="90">
        <v>50.0</v>
      </c>
      <c r="G4178" s="321"/>
      <c r="H4178" s="11" t="s">
        <v>44</v>
      </c>
      <c r="I4178" s="276"/>
      <c r="J4178" s="11" t="s">
        <v>17976</v>
      </c>
      <c r="K4178" s="13"/>
      <c r="L4178" s="13"/>
      <c r="M4178" s="14"/>
      <c r="N4178" s="15"/>
      <c r="O4178" s="5" t="s">
        <v>14119</v>
      </c>
      <c r="P4178" s="15"/>
      <c r="Q4178" s="15"/>
      <c r="R4178" s="422"/>
      <c r="S4178" s="15"/>
      <c r="T4178" s="15"/>
      <c r="U4178" s="15"/>
      <c r="V4178" s="15"/>
      <c r="W4178" s="15"/>
      <c r="X4178" s="15"/>
      <c r="Y4178" s="15"/>
      <c r="Z4178" s="15"/>
      <c r="AA4178" s="15"/>
    </row>
    <row r="4179">
      <c r="A4179" s="5" t="s">
        <v>17991</v>
      </c>
      <c r="B4179" s="131" t="s">
        <v>17992</v>
      </c>
      <c r="C4179" s="40" t="s">
        <v>17993</v>
      </c>
      <c r="D4179" s="11"/>
      <c r="E4179" s="11" t="s">
        <v>6719</v>
      </c>
      <c r="F4179" s="90">
        <v>700.0</v>
      </c>
      <c r="G4179" s="321"/>
      <c r="H4179" s="11" t="s">
        <v>9256</v>
      </c>
      <c r="I4179" s="276"/>
      <c r="J4179" s="11" t="s">
        <v>17976</v>
      </c>
      <c r="K4179" s="12"/>
      <c r="L4179" s="12"/>
      <c r="M4179" s="11" t="s">
        <v>9742</v>
      </c>
      <c r="N4179" s="5" t="s">
        <v>17994</v>
      </c>
      <c r="O4179" s="5" t="s">
        <v>26</v>
      </c>
      <c r="P4179" s="15"/>
      <c r="Q4179" s="15"/>
      <c r="R4179" s="422"/>
      <c r="S4179" s="15"/>
      <c r="T4179" s="15"/>
      <c r="U4179" s="15"/>
      <c r="V4179" s="15"/>
      <c r="W4179" s="15"/>
      <c r="X4179" s="15"/>
      <c r="Y4179" s="15"/>
      <c r="Z4179" s="15"/>
      <c r="AA4179" s="15"/>
    </row>
    <row r="4180">
      <c r="A4180" s="5" t="s">
        <v>17991</v>
      </c>
      <c r="B4180" s="131" t="s">
        <v>17995</v>
      </c>
      <c r="C4180" s="40" t="s">
        <v>17996</v>
      </c>
      <c r="D4180" s="11"/>
      <c r="E4180" s="11" t="s">
        <v>794</v>
      </c>
      <c r="F4180" s="9">
        <v>10000.0</v>
      </c>
      <c r="G4180" s="321"/>
      <c r="H4180" s="11" t="s">
        <v>1640</v>
      </c>
      <c r="I4180" s="276"/>
      <c r="J4180" s="11" t="s">
        <v>25</v>
      </c>
      <c r="K4180" s="12"/>
      <c r="L4180" s="12"/>
      <c r="M4180" s="11" t="s">
        <v>8860</v>
      </c>
      <c r="N4180" s="5" t="s">
        <v>17997</v>
      </c>
      <c r="O4180" s="5" t="s">
        <v>26</v>
      </c>
      <c r="P4180" s="15"/>
      <c r="Q4180" s="15"/>
      <c r="R4180" s="422"/>
      <c r="S4180" s="15"/>
      <c r="T4180" s="15"/>
      <c r="U4180" s="15"/>
      <c r="V4180" s="15"/>
      <c r="W4180" s="15"/>
      <c r="X4180" s="15"/>
      <c r="Y4180" s="15"/>
      <c r="Z4180" s="15"/>
      <c r="AA4180" s="15"/>
    </row>
    <row r="4181">
      <c r="A4181" s="5" t="s">
        <v>17991</v>
      </c>
      <c r="B4181" s="131" t="s">
        <v>17998</v>
      </c>
      <c r="C4181" s="40" t="s">
        <v>17999</v>
      </c>
      <c r="D4181" s="11"/>
      <c r="E4181" s="11" t="s">
        <v>11748</v>
      </c>
      <c r="F4181" s="9">
        <v>15000.0</v>
      </c>
      <c r="G4181" s="321"/>
      <c r="H4181" s="11" t="s">
        <v>18000</v>
      </c>
      <c r="I4181" s="276"/>
      <c r="J4181" s="11" t="s">
        <v>25</v>
      </c>
      <c r="K4181" s="12"/>
      <c r="L4181" s="12"/>
      <c r="M4181" s="11" t="s">
        <v>9298</v>
      </c>
      <c r="N4181" s="5" t="s">
        <v>18001</v>
      </c>
      <c r="O4181" s="5" t="s">
        <v>108</v>
      </c>
      <c r="P4181" s="15"/>
      <c r="Q4181" s="15"/>
      <c r="R4181" s="422"/>
      <c r="S4181" s="15"/>
      <c r="T4181" s="15"/>
      <c r="U4181" s="15"/>
      <c r="V4181" s="15"/>
      <c r="W4181" s="15"/>
      <c r="X4181" s="15"/>
      <c r="Y4181" s="15"/>
      <c r="Z4181" s="15"/>
      <c r="AA4181" s="15"/>
    </row>
    <row r="4182">
      <c r="A4182" s="5" t="s">
        <v>17991</v>
      </c>
      <c r="B4182" s="131" t="s">
        <v>18002</v>
      </c>
      <c r="C4182" s="40" t="s">
        <v>18003</v>
      </c>
      <c r="D4182" s="11"/>
      <c r="E4182" s="11" t="s">
        <v>5502</v>
      </c>
      <c r="F4182" s="90" t="s">
        <v>14893</v>
      </c>
      <c r="G4182" s="321"/>
      <c r="H4182" s="11" t="s">
        <v>15263</v>
      </c>
      <c r="I4182" s="276"/>
      <c r="J4182" s="11" t="s">
        <v>25</v>
      </c>
      <c r="K4182" s="12"/>
      <c r="L4182" s="12"/>
      <c r="M4182" s="11" t="s">
        <v>17515</v>
      </c>
      <c r="N4182" s="5" t="s">
        <v>18004</v>
      </c>
      <c r="O4182" s="5" t="s">
        <v>108</v>
      </c>
      <c r="P4182" s="15"/>
      <c r="Q4182" s="15"/>
      <c r="R4182" s="422"/>
      <c r="S4182" s="15"/>
      <c r="T4182" s="15"/>
      <c r="U4182" s="15"/>
      <c r="V4182" s="15"/>
      <c r="W4182" s="15"/>
      <c r="X4182" s="15"/>
      <c r="Y4182" s="15"/>
      <c r="Z4182" s="15"/>
      <c r="AA4182" s="15"/>
    </row>
    <row r="4183">
      <c r="A4183" s="5" t="s">
        <v>17991</v>
      </c>
      <c r="B4183" s="131" t="s">
        <v>18005</v>
      </c>
      <c r="C4183" s="40" t="s">
        <v>18006</v>
      </c>
      <c r="D4183" s="11"/>
      <c r="E4183" s="11" t="s">
        <v>539</v>
      </c>
      <c r="F4183" s="90">
        <v>200.0</v>
      </c>
      <c r="G4183" s="321"/>
      <c r="H4183" s="11" t="s">
        <v>44</v>
      </c>
      <c r="I4183" s="423"/>
      <c r="J4183" s="14"/>
      <c r="K4183" s="12"/>
      <c r="L4183" s="12"/>
      <c r="M4183" s="11" t="s">
        <v>8782</v>
      </c>
      <c r="N4183" s="5" t="s">
        <v>18007</v>
      </c>
      <c r="O4183" s="5" t="s">
        <v>14119</v>
      </c>
      <c r="P4183" s="15"/>
      <c r="Q4183" s="15"/>
      <c r="R4183" s="422"/>
      <c r="S4183" s="15"/>
      <c r="T4183" s="15"/>
      <c r="U4183" s="15"/>
      <c r="V4183" s="15"/>
      <c r="W4183" s="15"/>
      <c r="X4183" s="15"/>
      <c r="Y4183" s="15"/>
      <c r="Z4183" s="15"/>
      <c r="AA4183" s="15"/>
    </row>
    <row r="4184">
      <c r="A4184" s="5" t="s">
        <v>17991</v>
      </c>
      <c r="B4184" s="131" t="s">
        <v>18008</v>
      </c>
      <c r="C4184" s="40" t="s">
        <v>18009</v>
      </c>
      <c r="D4184" s="11"/>
      <c r="E4184" s="11" t="s">
        <v>3615</v>
      </c>
      <c r="F4184" s="90">
        <v>25.0</v>
      </c>
      <c r="G4184" s="321"/>
      <c r="H4184" s="11" t="s">
        <v>18010</v>
      </c>
      <c r="I4184" s="276"/>
      <c r="J4184" s="11" t="s">
        <v>4008</v>
      </c>
      <c r="K4184" s="13"/>
      <c r="L4184" s="13"/>
      <c r="M4184" s="14"/>
      <c r="N4184" s="15"/>
      <c r="O4184" s="5" t="s">
        <v>14119</v>
      </c>
      <c r="P4184" s="15"/>
      <c r="Q4184" s="15"/>
      <c r="R4184" s="422"/>
      <c r="S4184" s="15"/>
      <c r="T4184" s="15"/>
      <c r="U4184" s="15"/>
      <c r="V4184" s="15"/>
      <c r="W4184" s="15"/>
      <c r="X4184" s="15"/>
      <c r="Y4184" s="15"/>
      <c r="Z4184" s="15"/>
      <c r="AA4184" s="15"/>
    </row>
    <row r="4185">
      <c r="A4185" s="5" t="s">
        <v>17991</v>
      </c>
      <c r="B4185" s="131" t="s">
        <v>18011</v>
      </c>
      <c r="C4185" s="40" t="s">
        <v>18012</v>
      </c>
      <c r="D4185" s="11"/>
      <c r="E4185" s="11" t="s">
        <v>1836</v>
      </c>
      <c r="F4185" s="90">
        <v>50.0</v>
      </c>
      <c r="G4185" s="321"/>
      <c r="H4185" s="11" t="s">
        <v>158</v>
      </c>
      <c r="I4185" s="276"/>
      <c r="J4185" s="11" t="s">
        <v>4008</v>
      </c>
      <c r="K4185" s="13"/>
      <c r="L4185" s="13"/>
      <c r="M4185" s="14"/>
      <c r="N4185" s="15"/>
      <c r="O4185" s="5" t="s">
        <v>14119</v>
      </c>
      <c r="P4185" s="15"/>
      <c r="Q4185" s="15"/>
      <c r="R4185" s="422"/>
      <c r="S4185" s="15"/>
      <c r="T4185" s="15"/>
      <c r="U4185" s="15"/>
      <c r="V4185" s="15"/>
      <c r="W4185" s="15"/>
      <c r="X4185" s="15"/>
      <c r="Y4185" s="15"/>
      <c r="Z4185" s="15"/>
      <c r="AA4185" s="15"/>
    </row>
    <row r="4186">
      <c r="A4186" s="5" t="s">
        <v>17991</v>
      </c>
      <c r="B4186" s="131" t="s">
        <v>18013</v>
      </c>
      <c r="C4186" s="40" t="s">
        <v>18014</v>
      </c>
      <c r="D4186" s="11"/>
      <c r="E4186" s="11" t="s">
        <v>344</v>
      </c>
      <c r="F4186" s="90">
        <v>500.0</v>
      </c>
      <c r="G4186" s="321"/>
      <c r="H4186" s="11" t="s">
        <v>2682</v>
      </c>
      <c r="I4186" s="276"/>
      <c r="J4186" s="11" t="s">
        <v>25</v>
      </c>
      <c r="K4186" s="12"/>
      <c r="L4186" s="12"/>
      <c r="M4186" s="11" t="s">
        <v>18015</v>
      </c>
      <c r="N4186" s="5" t="s">
        <v>18016</v>
      </c>
      <c r="O4186" s="5" t="s">
        <v>108</v>
      </c>
      <c r="P4186" s="15"/>
      <c r="Q4186" s="15"/>
      <c r="R4186" s="422"/>
      <c r="S4186" s="15"/>
      <c r="T4186" s="15"/>
      <c r="U4186" s="15"/>
      <c r="V4186" s="15"/>
      <c r="W4186" s="15"/>
      <c r="X4186" s="15"/>
      <c r="Y4186" s="15"/>
      <c r="Z4186" s="15"/>
      <c r="AA4186" s="15"/>
    </row>
    <row r="4187">
      <c r="A4187" s="5" t="s">
        <v>17991</v>
      </c>
      <c r="B4187" s="131" t="s">
        <v>18017</v>
      </c>
      <c r="C4187" s="40" t="s">
        <v>18018</v>
      </c>
      <c r="D4187" s="11"/>
      <c r="E4187" s="11" t="s">
        <v>5502</v>
      </c>
      <c r="F4187" s="90" t="s">
        <v>15446</v>
      </c>
      <c r="G4187" s="321"/>
      <c r="H4187" s="11" t="s">
        <v>2662</v>
      </c>
      <c r="I4187" s="276"/>
      <c r="J4187" s="11" t="s">
        <v>4008</v>
      </c>
      <c r="K4187" s="12"/>
      <c r="L4187" s="12"/>
      <c r="M4187" s="11" t="s">
        <v>15584</v>
      </c>
      <c r="N4187" s="5" t="s">
        <v>18019</v>
      </c>
      <c r="O4187" s="5" t="s">
        <v>108</v>
      </c>
      <c r="P4187" s="15"/>
      <c r="Q4187" s="15"/>
      <c r="R4187" s="422"/>
      <c r="S4187" s="15"/>
      <c r="T4187" s="15"/>
      <c r="U4187" s="15"/>
      <c r="V4187" s="15"/>
      <c r="W4187" s="15"/>
      <c r="X4187" s="15"/>
      <c r="Y4187" s="15"/>
      <c r="Z4187" s="15"/>
      <c r="AA4187" s="15"/>
    </row>
    <row r="4188">
      <c r="A4188" s="5" t="s">
        <v>17991</v>
      </c>
      <c r="B4188" s="131" t="s">
        <v>18020</v>
      </c>
      <c r="C4188" s="40" t="s">
        <v>18021</v>
      </c>
      <c r="D4188" s="11"/>
      <c r="E4188" s="11" t="s">
        <v>116</v>
      </c>
      <c r="F4188" s="90">
        <v>1000.0</v>
      </c>
      <c r="G4188" s="430"/>
      <c r="H4188" s="41" t="s">
        <v>18022</v>
      </c>
      <c r="I4188" s="276"/>
      <c r="J4188" s="11" t="s">
        <v>4008</v>
      </c>
      <c r="K4188" s="12"/>
      <c r="L4188" s="12"/>
      <c r="M4188" s="11" t="s">
        <v>9497</v>
      </c>
      <c r="N4188" s="5" t="s">
        <v>18023</v>
      </c>
      <c r="O4188" s="5" t="s">
        <v>108</v>
      </c>
      <c r="P4188" s="15"/>
      <c r="Q4188" s="15"/>
      <c r="R4188" s="422"/>
      <c r="S4188" s="15"/>
      <c r="T4188" s="15"/>
      <c r="U4188" s="15"/>
      <c r="V4188" s="15"/>
      <c r="W4188" s="15"/>
      <c r="X4188" s="15"/>
      <c r="Y4188" s="15"/>
      <c r="Z4188" s="15"/>
      <c r="AA4188" s="15"/>
    </row>
    <row r="4189">
      <c r="A4189" s="5" t="s">
        <v>17991</v>
      </c>
      <c r="B4189" s="131" t="s">
        <v>18024</v>
      </c>
      <c r="C4189" s="40" t="s">
        <v>17228</v>
      </c>
      <c r="D4189" s="11"/>
      <c r="E4189" s="11" t="s">
        <v>116</v>
      </c>
      <c r="F4189" s="90">
        <v>100.0</v>
      </c>
      <c r="G4189" s="321"/>
      <c r="H4189" s="11" t="s">
        <v>519</v>
      </c>
      <c r="I4189" s="423"/>
      <c r="J4189" s="14"/>
      <c r="K4189" s="13"/>
      <c r="L4189" s="13"/>
      <c r="M4189" s="14"/>
      <c r="N4189" s="15"/>
      <c r="O4189" s="5" t="s">
        <v>14119</v>
      </c>
      <c r="P4189" s="15"/>
      <c r="Q4189" s="15"/>
      <c r="R4189" s="422"/>
      <c r="S4189" s="15"/>
      <c r="T4189" s="15"/>
      <c r="U4189" s="15"/>
      <c r="V4189" s="15"/>
      <c r="W4189" s="15"/>
      <c r="X4189" s="15"/>
      <c r="Y4189" s="15"/>
      <c r="Z4189" s="15"/>
      <c r="AA4189" s="15"/>
    </row>
    <row r="4190">
      <c r="A4190" s="5" t="s">
        <v>17991</v>
      </c>
      <c r="B4190" s="131" t="s">
        <v>18025</v>
      </c>
      <c r="C4190" s="40" t="s">
        <v>18026</v>
      </c>
      <c r="D4190" s="11"/>
      <c r="E4190" s="11" t="s">
        <v>3555</v>
      </c>
      <c r="F4190" s="90">
        <v>50.0</v>
      </c>
      <c r="G4190" s="321"/>
      <c r="H4190" s="11" t="s">
        <v>12434</v>
      </c>
      <c r="I4190" s="276"/>
      <c r="J4190" s="11" t="s">
        <v>25</v>
      </c>
      <c r="K4190" s="13"/>
      <c r="L4190" s="13"/>
      <c r="M4190" s="14"/>
      <c r="N4190" s="15"/>
      <c r="O4190" s="5" t="s">
        <v>14119</v>
      </c>
      <c r="P4190" s="15"/>
      <c r="Q4190" s="15"/>
      <c r="R4190" s="422"/>
      <c r="S4190" s="15"/>
      <c r="T4190" s="15"/>
      <c r="U4190" s="15"/>
      <c r="V4190" s="15"/>
      <c r="W4190" s="15"/>
      <c r="X4190" s="15"/>
      <c r="Y4190" s="15"/>
      <c r="Z4190" s="15"/>
      <c r="AA4190" s="15"/>
    </row>
    <row r="4191">
      <c r="A4191" s="5" t="s">
        <v>17991</v>
      </c>
      <c r="B4191" s="131" t="s">
        <v>18027</v>
      </c>
      <c r="C4191" s="40" t="s">
        <v>18028</v>
      </c>
      <c r="D4191" s="11"/>
      <c r="E4191" s="11" t="s">
        <v>14654</v>
      </c>
      <c r="F4191" s="90" t="s">
        <v>18029</v>
      </c>
      <c r="G4191" s="321"/>
      <c r="H4191" s="11" t="s">
        <v>1640</v>
      </c>
      <c r="I4191" s="276"/>
      <c r="J4191" s="11" t="s">
        <v>9874</v>
      </c>
      <c r="K4191" s="13"/>
      <c r="L4191" s="13"/>
      <c r="M4191" s="14"/>
      <c r="N4191" s="15"/>
      <c r="O4191" s="5" t="s">
        <v>14119</v>
      </c>
      <c r="P4191" s="15"/>
      <c r="Q4191" s="15"/>
      <c r="R4191" s="422"/>
      <c r="S4191" s="15"/>
      <c r="T4191" s="15"/>
      <c r="U4191" s="15"/>
      <c r="V4191" s="15"/>
      <c r="W4191" s="15"/>
      <c r="X4191" s="15"/>
      <c r="Y4191" s="15"/>
      <c r="Z4191" s="15"/>
      <c r="AA4191" s="15"/>
    </row>
    <row r="4192">
      <c r="A4192" s="5" t="s">
        <v>17991</v>
      </c>
      <c r="B4192" s="131" t="s">
        <v>18030</v>
      </c>
      <c r="C4192" s="40" t="s">
        <v>18031</v>
      </c>
      <c r="D4192" s="11"/>
      <c r="E4192" s="11" t="s">
        <v>18032</v>
      </c>
      <c r="F4192" s="90" t="s">
        <v>18029</v>
      </c>
      <c r="G4192" s="321"/>
      <c r="H4192" s="11" t="s">
        <v>44</v>
      </c>
      <c r="I4192" s="276"/>
      <c r="J4192" s="11" t="s">
        <v>25</v>
      </c>
      <c r="K4192" s="13"/>
      <c r="L4192" s="13"/>
      <c r="M4192" s="14"/>
      <c r="N4192" s="15"/>
      <c r="O4192" s="5" t="s">
        <v>14119</v>
      </c>
      <c r="P4192" s="15"/>
      <c r="Q4192" s="15"/>
      <c r="R4192" s="422"/>
      <c r="S4192" s="15"/>
      <c r="T4192" s="15"/>
      <c r="U4192" s="15"/>
      <c r="V4192" s="15"/>
      <c r="W4192" s="15"/>
      <c r="X4192" s="15"/>
      <c r="Y4192" s="15"/>
      <c r="Z4192" s="15"/>
      <c r="AA4192" s="15"/>
    </row>
    <row r="4193">
      <c r="A4193" s="5" t="s">
        <v>17991</v>
      </c>
      <c r="B4193" s="131" t="s">
        <v>18033</v>
      </c>
      <c r="C4193" s="40" t="s">
        <v>2183</v>
      </c>
      <c r="D4193" s="11"/>
      <c r="E4193" s="11" t="s">
        <v>12775</v>
      </c>
      <c r="F4193" s="90">
        <v>1000.0</v>
      </c>
      <c r="G4193" s="321"/>
      <c r="H4193" s="11" t="s">
        <v>8781</v>
      </c>
      <c r="I4193" s="276"/>
      <c r="J4193" s="11" t="s">
        <v>25</v>
      </c>
      <c r="K4193" s="12"/>
      <c r="L4193" s="12"/>
      <c r="M4193" s="11" t="s">
        <v>15494</v>
      </c>
      <c r="N4193" s="5" t="s">
        <v>18034</v>
      </c>
      <c r="O4193" s="5" t="s">
        <v>26</v>
      </c>
      <c r="P4193" s="15"/>
      <c r="Q4193" s="15"/>
      <c r="R4193" s="422"/>
      <c r="S4193" s="15"/>
      <c r="T4193" s="15"/>
      <c r="U4193" s="15"/>
      <c r="V4193" s="15"/>
      <c r="W4193" s="15"/>
      <c r="X4193" s="15"/>
      <c r="Y4193" s="15"/>
      <c r="Z4193" s="15"/>
      <c r="AA4193" s="15"/>
    </row>
    <row r="4194">
      <c r="A4194" s="5" t="s">
        <v>17991</v>
      </c>
      <c r="B4194" s="131" t="s">
        <v>18035</v>
      </c>
      <c r="C4194" s="40" t="s">
        <v>18036</v>
      </c>
      <c r="D4194" s="11"/>
      <c r="E4194" s="11" t="s">
        <v>18037</v>
      </c>
      <c r="F4194" s="90">
        <v>500.0</v>
      </c>
      <c r="G4194" s="321"/>
      <c r="H4194" s="11" t="s">
        <v>1337</v>
      </c>
      <c r="I4194" s="276"/>
      <c r="J4194" s="11" t="s">
        <v>25</v>
      </c>
      <c r="K4194" s="12"/>
      <c r="L4194" s="12"/>
      <c r="M4194" s="11" t="s">
        <v>10721</v>
      </c>
      <c r="N4194" s="5" t="s">
        <v>18038</v>
      </c>
      <c r="O4194" s="5" t="s">
        <v>26</v>
      </c>
      <c r="P4194" s="15"/>
      <c r="Q4194" s="15"/>
      <c r="R4194" s="422"/>
      <c r="S4194" s="15"/>
      <c r="T4194" s="15"/>
      <c r="U4194" s="15"/>
      <c r="V4194" s="15"/>
      <c r="W4194" s="15"/>
      <c r="X4194" s="15"/>
      <c r="Y4194" s="15"/>
      <c r="Z4194" s="15"/>
      <c r="AA4194" s="15"/>
    </row>
    <row r="4195">
      <c r="A4195" s="5" t="s">
        <v>17991</v>
      </c>
      <c r="B4195" s="131" t="s">
        <v>18039</v>
      </c>
      <c r="C4195" s="40" t="s">
        <v>18040</v>
      </c>
      <c r="D4195" s="11"/>
      <c r="E4195" s="11" t="s">
        <v>257</v>
      </c>
      <c r="F4195" s="90">
        <v>1000.0</v>
      </c>
      <c r="G4195" s="321"/>
      <c r="H4195" s="11" t="s">
        <v>131</v>
      </c>
      <c r="I4195" s="276"/>
      <c r="J4195" s="11" t="s">
        <v>25</v>
      </c>
      <c r="K4195" s="13"/>
      <c r="L4195" s="13"/>
      <c r="M4195" s="14"/>
      <c r="N4195" s="15"/>
      <c r="O4195" s="5" t="s">
        <v>26</v>
      </c>
      <c r="P4195" s="15"/>
      <c r="Q4195" s="15"/>
      <c r="R4195" s="422"/>
      <c r="S4195" s="15"/>
      <c r="T4195" s="15"/>
      <c r="U4195" s="15"/>
      <c r="V4195" s="15"/>
      <c r="W4195" s="15"/>
      <c r="X4195" s="15"/>
      <c r="Y4195" s="15"/>
      <c r="Z4195" s="15"/>
      <c r="AA4195" s="15"/>
    </row>
    <row r="4196">
      <c r="A4196" s="5" t="s">
        <v>17991</v>
      </c>
      <c r="B4196" s="131" t="s">
        <v>18041</v>
      </c>
      <c r="C4196" s="40" t="s">
        <v>17890</v>
      </c>
      <c r="D4196" s="11"/>
      <c r="E4196" s="11" t="s">
        <v>4481</v>
      </c>
      <c r="F4196" s="90">
        <v>30.0</v>
      </c>
      <c r="G4196" s="321"/>
      <c r="H4196" s="11" t="s">
        <v>906</v>
      </c>
      <c r="I4196" s="276"/>
      <c r="J4196" s="11" t="s">
        <v>25</v>
      </c>
      <c r="K4196" s="13"/>
      <c r="L4196" s="13"/>
      <c r="M4196" s="14"/>
      <c r="N4196" s="15"/>
      <c r="O4196" s="5" t="s">
        <v>14119</v>
      </c>
      <c r="P4196" s="15"/>
      <c r="Q4196" s="15"/>
      <c r="R4196" s="422"/>
      <c r="S4196" s="15"/>
      <c r="T4196" s="15"/>
      <c r="U4196" s="15"/>
      <c r="V4196" s="15"/>
      <c r="W4196" s="15"/>
      <c r="X4196" s="15"/>
      <c r="Y4196" s="15"/>
      <c r="Z4196" s="15"/>
      <c r="AA4196" s="15"/>
    </row>
    <row r="4197">
      <c r="A4197" s="5" t="s">
        <v>17991</v>
      </c>
      <c r="B4197" s="131" t="s">
        <v>18042</v>
      </c>
      <c r="C4197" s="40" t="s">
        <v>18043</v>
      </c>
      <c r="D4197" s="11"/>
      <c r="E4197" s="11" t="s">
        <v>1373</v>
      </c>
      <c r="F4197" s="90">
        <v>10.0</v>
      </c>
      <c r="G4197" s="321"/>
      <c r="H4197" s="11" t="s">
        <v>1232</v>
      </c>
      <c r="I4197" s="276"/>
      <c r="J4197" s="11" t="s">
        <v>9874</v>
      </c>
      <c r="K4197" s="13"/>
      <c r="L4197" s="13"/>
      <c r="M4197" s="14"/>
      <c r="N4197" s="15"/>
      <c r="O4197" s="5" t="s">
        <v>14119</v>
      </c>
      <c r="P4197" s="15"/>
      <c r="Q4197" s="15"/>
      <c r="R4197" s="422"/>
      <c r="S4197" s="15"/>
      <c r="T4197" s="15"/>
      <c r="U4197" s="15"/>
      <c r="V4197" s="15"/>
      <c r="W4197" s="15"/>
      <c r="X4197" s="15"/>
      <c r="Y4197" s="15"/>
      <c r="Z4197" s="15"/>
      <c r="AA4197" s="15"/>
    </row>
    <row r="4198">
      <c r="A4198" s="5" t="s">
        <v>17991</v>
      </c>
      <c r="B4198" s="131" t="s">
        <v>18044</v>
      </c>
      <c r="C4198" s="40" t="s">
        <v>18045</v>
      </c>
      <c r="D4198" s="11"/>
      <c r="E4198" s="11" t="s">
        <v>2402</v>
      </c>
      <c r="F4198" s="90">
        <v>10.0</v>
      </c>
      <c r="G4198" s="321"/>
      <c r="H4198" s="11" t="s">
        <v>18046</v>
      </c>
      <c r="I4198" s="276"/>
      <c r="J4198" s="11" t="s">
        <v>25</v>
      </c>
      <c r="K4198" s="13"/>
      <c r="L4198" s="13"/>
      <c r="M4198" s="14"/>
      <c r="N4198" s="15"/>
      <c r="O4198" s="5" t="s">
        <v>14119</v>
      </c>
      <c r="P4198" s="15"/>
      <c r="Q4198" s="15"/>
      <c r="R4198" s="422"/>
      <c r="S4198" s="15"/>
      <c r="T4198" s="15"/>
      <c r="U4198" s="15"/>
      <c r="V4198" s="15"/>
      <c r="W4198" s="15"/>
      <c r="X4198" s="15"/>
      <c r="Y4198" s="15"/>
      <c r="Z4198" s="15"/>
      <c r="AA4198" s="15"/>
    </row>
    <row r="4199">
      <c r="A4199" s="5" t="s">
        <v>17991</v>
      </c>
      <c r="B4199" s="131" t="s">
        <v>18047</v>
      </c>
      <c r="C4199" s="40" t="s">
        <v>18048</v>
      </c>
      <c r="D4199" s="11"/>
      <c r="E4199" s="11" t="s">
        <v>10508</v>
      </c>
      <c r="F4199" s="90">
        <v>15.0</v>
      </c>
      <c r="G4199" s="321"/>
      <c r="H4199" s="11" t="s">
        <v>472</v>
      </c>
      <c r="I4199" s="276"/>
      <c r="J4199" s="11" t="s">
        <v>4008</v>
      </c>
      <c r="K4199" s="13"/>
      <c r="L4199" s="13"/>
      <c r="M4199" s="14"/>
      <c r="N4199" s="15"/>
      <c r="O4199" s="5" t="s">
        <v>14119</v>
      </c>
      <c r="P4199" s="15"/>
      <c r="Q4199" s="15"/>
      <c r="R4199" s="422"/>
      <c r="S4199" s="15"/>
      <c r="T4199" s="15"/>
      <c r="U4199" s="15"/>
      <c r="V4199" s="15"/>
      <c r="W4199" s="15"/>
      <c r="X4199" s="15"/>
      <c r="Y4199" s="15"/>
      <c r="Z4199" s="15"/>
      <c r="AA4199" s="15"/>
    </row>
    <row r="4200">
      <c r="A4200" s="5" t="s">
        <v>17991</v>
      </c>
      <c r="B4200" s="131" t="s">
        <v>18049</v>
      </c>
      <c r="C4200" s="40" t="s">
        <v>18050</v>
      </c>
      <c r="D4200" s="11"/>
      <c r="E4200" s="11" t="s">
        <v>17550</v>
      </c>
      <c r="F4200" s="90">
        <v>1000.0</v>
      </c>
      <c r="G4200" s="321"/>
      <c r="H4200" s="11" t="s">
        <v>18051</v>
      </c>
      <c r="I4200" s="423"/>
      <c r="J4200" s="14"/>
      <c r="K4200" s="13"/>
      <c r="L4200" s="13"/>
      <c r="M4200" s="14"/>
      <c r="N4200" s="15"/>
      <c r="O4200" s="5" t="s">
        <v>108</v>
      </c>
      <c r="P4200" s="15"/>
      <c r="Q4200" s="15"/>
      <c r="R4200" s="422"/>
      <c r="S4200" s="15"/>
      <c r="T4200" s="15"/>
      <c r="U4200" s="15"/>
      <c r="V4200" s="15"/>
      <c r="W4200" s="15"/>
      <c r="X4200" s="15"/>
      <c r="Y4200" s="15"/>
      <c r="Z4200" s="15"/>
      <c r="AA4200" s="15"/>
    </row>
    <row r="4201">
      <c r="A4201" s="5" t="s">
        <v>17991</v>
      </c>
      <c r="B4201" s="131" t="s">
        <v>18052</v>
      </c>
      <c r="C4201" s="40" t="s">
        <v>18053</v>
      </c>
      <c r="D4201" s="11"/>
      <c r="E4201" s="11" t="s">
        <v>8247</v>
      </c>
      <c r="F4201" s="90">
        <v>25.0</v>
      </c>
      <c r="G4201" s="430"/>
      <c r="H4201" s="41" t="s">
        <v>18054</v>
      </c>
      <c r="I4201" s="276"/>
      <c r="J4201" s="11" t="s">
        <v>17593</v>
      </c>
      <c r="K4201" s="12"/>
      <c r="L4201" s="12"/>
      <c r="M4201" s="11" t="s">
        <v>18055</v>
      </c>
      <c r="N4201" s="5" t="s">
        <v>18056</v>
      </c>
      <c r="O4201" s="5" t="s">
        <v>34</v>
      </c>
      <c r="P4201" s="15"/>
      <c r="Q4201" s="15"/>
      <c r="R4201" s="422"/>
      <c r="S4201" s="15"/>
      <c r="T4201" s="15"/>
      <c r="U4201" s="15"/>
      <c r="V4201" s="15"/>
      <c r="W4201" s="15"/>
      <c r="X4201" s="15"/>
      <c r="Y4201" s="15"/>
      <c r="Z4201" s="15"/>
      <c r="AA4201" s="15"/>
    </row>
    <row r="4202">
      <c r="A4202" s="5" t="s">
        <v>17991</v>
      </c>
      <c r="B4202" s="131" t="s">
        <v>18057</v>
      </c>
      <c r="C4202" s="40" t="s">
        <v>18058</v>
      </c>
      <c r="D4202" s="11"/>
      <c r="E4202" s="11" t="s">
        <v>2402</v>
      </c>
      <c r="F4202" s="90">
        <v>50.0</v>
      </c>
      <c r="G4202" s="321"/>
      <c r="H4202" s="11" t="s">
        <v>18059</v>
      </c>
      <c r="I4202" s="276"/>
      <c r="J4202" s="11" t="s">
        <v>25</v>
      </c>
      <c r="K4202" s="13"/>
      <c r="L4202" s="13"/>
      <c r="M4202" s="14"/>
      <c r="N4202" s="15"/>
      <c r="O4202" s="5" t="s">
        <v>14119</v>
      </c>
      <c r="P4202" s="15"/>
      <c r="Q4202" s="15"/>
      <c r="R4202" s="422"/>
      <c r="S4202" s="15"/>
      <c r="T4202" s="15"/>
      <c r="U4202" s="15"/>
      <c r="V4202" s="15"/>
      <c r="W4202" s="15"/>
      <c r="X4202" s="15"/>
      <c r="Y4202" s="15"/>
      <c r="Z4202" s="15"/>
      <c r="AA4202" s="15"/>
    </row>
    <row r="4203">
      <c r="A4203" s="5" t="s">
        <v>18060</v>
      </c>
      <c r="B4203" s="292" t="str">
        <f>HYPERLINK("https://akshar-exim-company-pvt-ltd.odoo.com/web#id=26207&amp;action=152&amp;model=crm.lead&amp;view_type=form&amp;menu_id=111","C2011712")</f>
        <v>C2011712</v>
      </c>
      <c r="C4203" s="40" t="s">
        <v>18061</v>
      </c>
      <c r="D4203" s="11"/>
      <c r="E4203" s="11" t="s">
        <v>8247</v>
      </c>
      <c r="F4203" s="90">
        <v>200.0</v>
      </c>
      <c r="G4203" s="321"/>
      <c r="H4203" s="11" t="s">
        <v>2734</v>
      </c>
      <c r="I4203" s="276"/>
      <c r="J4203" s="11" t="s">
        <v>25</v>
      </c>
      <c r="K4203" s="12"/>
      <c r="L4203" s="12"/>
      <c r="M4203" s="11" t="s">
        <v>18062</v>
      </c>
      <c r="N4203" s="5" t="s">
        <v>18063</v>
      </c>
      <c r="O4203" s="5" t="s">
        <v>26</v>
      </c>
      <c r="P4203" s="15"/>
      <c r="Q4203" s="15"/>
      <c r="R4203" s="422"/>
      <c r="S4203" s="15"/>
      <c r="T4203" s="15"/>
      <c r="U4203" s="15"/>
      <c r="V4203" s="15"/>
      <c r="W4203" s="15"/>
      <c r="X4203" s="15"/>
      <c r="Y4203" s="15"/>
      <c r="Z4203" s="15"/>
      <c r="AA4203" s="15"/>
    </row>
    <row r="4204">
      <c r="A4204" s="5" t="s">
        <v>18060</v>
      </c>
      <c r="B4204" s="292" t="str">
        <f>HYPERLINK("https://akshar-exim-company-pvt-ltd.odoo.com/web#id=26205&amp;action=152&amp;model=crm.lead&amp;view_type=form&amp;menu_id=111","C2011711")</f>
        <v>C2011711</v>
      </c>
      <c r="C4204" s="40" t="s">
        <v>18064</v>
      </c>
      <c r="D4204" s="11"/>
      <c r="E4204" s="11" t="s">
        <v>116</v>
      </c>
      <c r="F4204" s="90">
        <v>5000.0</v>
      </c>
      <c r="G4204" s="430"/>
      <c r="H4204" s="41" t="s">
        <v>18065</v>
      </c>
      <c r="I4204" s="276"/>
      <c r="J4204" s="11" t="s">
        <v>4008</v>
      </c>
      <c r="K4204" s="12"/>
      <c r="L4204" s="12"/>
      <c r="M4204" s="11" t="s">
        <v>16992</v>
      </c>
      <c r="N4204" s="5" t="s">
        <v>18066</v>
      </c>
      <c r="O4204" s="5" t="s">
        <v>108</v>
      </c>
      <c r="P4204" s="15"/>
      <c r="Q4204" s="15"/>
      <c r="R4204" s="422"/>
      <c r="S4204" s="15"/>
      <c r="T4204" s="15"/>
      <c r="U4204" s="15"/>
      <c r="V4204" s="15"/>
      <c r="W4204" s="15"/>
      <c r="X4204" s="15"/>
      <c r="Y4204" s="15"/>
      <c r="Z4204" s="15"/>
      <c r="AA4204" s="15"/>
    </row>
    <row r="4205">
      <c r="A4205" s="5" t="s">
        <v>18060</v>
      </c>
      <c r="B4205" s="292" t="str">
        <f>HYPERLINK("https://akshar-exim-company-pvt-ltd.odoo.com/web#id=26208&amp;action=152&amp;model=crm.lead&amp;view_type=form&amp;menu_id=111","C2011710")</f>
        <v>C2011710</v>
      </c>
      <c r="C4205" s="40" t="s">
        <v>18067</v>
      </c>
      <c r="D4205" s="11"/>
      <c r="E4205" s="11" t="s">
        <v>18068</v>
      </c>
      <c r="F4205" s="90">
        <v>200.0</v>
      </c>
      <c r="G4205" s="321"/>
      <c r="H4205" s="11" t="s">
        <v>158</v>
      </c>
      <c r="I4205" s="276"/>
      <c r="J4205" s="11" t="s">
        <v>17593</v>
      </c>
      <c r="K4205" s="12"/>
      <c r="L4205" s="12"/>
      <c r="M4205" s="11" t="s">
        <v>18069</v>
      </c>
      <c r="N4205" s="5" t="s">
        <v>18070</v>
      </c>
      <c r="O4205" s="5" t="s">
        <v>34</v>
      </c>
      <c r="P4205" s="15"/>
      <c r="Q4205" s="15"/>
      <c r="R4205" s="422"/>
      <c r="S4205" s="15"/>
      <c r="T4205" s="15"/>
      <c r="U4205" s="15"/>
      <c r="V4205" s="15"/>
      <c r="W4205" s="15"/>
      <c r="X4205" s="15"/>
      <c r="Y4205" s="15"/>
      <c r="Z4205" s="15"/>
      <c r="AA4205" s="15"/>
    </row>
    <row r="4206">
      <c r="A4206" s="5" t="s">
        <v>18060</v>
      </c>
      <c r="B4206" s="292" t="str">
        <f>HYPERLINK("https://akshar-exim-company-pvt-ltd.odoo.com/web#id=26202&amp;action=152&amp;model=crm.lead&amp;view_type=form&amp;menu_id=111","C2011709")</f>
        <v>C2011709</v>
      </c>
      <c r="C4206" s="40" t="s">
        <v>16623</v>
      </c>
      <c r="D4206" s="11"/>
      <c r="E4206" s="11" t="s">
        <v>18071</v>
      </c>
      <c r="F4206" s="90">
        <v>2000.0</v>
      </c>
      <c r="G4206" s="430"/>
      <c r="H4206" s="41" t="s">
        <v>18072</v>
      </c>
      <c r="I4206" s="276"/>
      <c r="J4206" s="11" t="s">
        <v>4008</v>
      </c>
      <c r="K4206" s="13"/>
      <c r="L4206" s="13"/>
      <c r="M4206" s="14"/>
      <c r="N4206" s="15"/>
      <c r="O4206" s="5" t="s">
        <v>108</v>
      </c>
      <c r="P4206" s="15"/>
      <c r="Q4206" s="15"/>
      <c r="R4206" s="422"/>
      <c r="S4206" s="15"/>
      <c r="T4206" s="15"/>
      <c r="U4206" s="15"/>
      <c r="V4206" s="15"/>
      <c r="W4206" s="15"/>
      <c r="X4206" s="15"/>
      <c r="Y4206" s="15"/>
      <c r="Z4206" s="15"/>
      <c r="AA4206" s="15"/>
    </row>
    <row r="4207">
      <c r="A4207" s="5" t="s">
        <v>18060</v>
      </c>
      <c r="B4207" s="292" t="str">
        <f>HYPERLINK("https://akshar-exim-company-pvt-ltd.odoo.com/web#id=26199&amp;action=152&amp;model=crm.lead&amp;view_type=form&amp;menu_id=111","C2011708")</f>
        <v>C2011708</v>
      </c>
      <c r="C4207" s="40" t="s">
        <v>18073</v>
      </c>
      <c r="D4207" s="11"/>
      <c r="E4207" s="11" t="s">
        <v>5293</v>
      </c>
      <c r="F4207" s="90">
        <v>500.0</v>
      </c>
      <c r="G4207" s="321"/>
      <c r="H4207" s="11" t="s">
        <v>495</v>
      </c>
      <c r="I4207" s="276"/>
      <c r="J4207" s="11" t="s">
        <v>4008</v>
      </c>
      <c r="K4207" s="13"/>
      <c r="L4207" s="13"/>
      <c r="M4207" s="14"/>
      <c r="N4207" s="15"/>
      <c r="O4207" s="5" t="s">
        <v>26</v>
      </c>
      <c r="P4207" s="15"/>
      <c r="Q4207" s="15"/>
      <c r="R4207" s="422"/>
      <c r="S4207" s="15"/>
      <c r="T4207" s="15"/>
      <c r="U4207" s="15"/>
      <c r="V4207" s="15"/>
      <c r="W4207" s="15"/>
      <c r="X4207" s="15"/>
      <c r="Y4207" s="15"/>
      <c r="Z4207" s="15"/>
      <c r="AA4207" s="15"/>
    </row>
    <row r="4208">
      <c r="A4208" s="5" t="s">
        <v>18060</v>
      </c>
      <c r="B4208" s="292" t="str">
        <f>HYPERLINK("https://akshar-exim-company-pvt-ltd.odoo.com/web#id=26198&amp;action=152&amp;model=crm.lead&amp;view_type=form&amp;menu_id=111","C2011707")</f>
        <v>C2011707</v>
      </c>
      <c r="C4208" s="40" t="s">
        <v>18074</v>
      </c>
      <c r="D4208" s="11"/>
      <c r="E4208" s="11" t="s">
        <v>18075</v>
      </c>
      <c r="F4208" s="90">
        <v>50.0</v>
      </c>
      <c r="G4208" s="321"/>
      <c r="H4208" s="11" t="s">
        <v>49</v>
      </c>
      <c r="I4208" s="276"/>
      <c r="J4208" s="11" t="s">
        <v>7109</v>
      </c>
      <c r="K4208" s="13"/>
      <c r="L4208" s="13"/>
      <c r="M4208" s="14"/>
      <c r="N4208" s="15"/>
      <c r="O4208" s="5" t="s">
        <v>14119</v>
      </c>
      <c r="P4208" s="15"/>
      <c r="Q4208" s="15"/>
      <c r="R4208" s="422"/>
      <c r="S4208" s="15"/>
      <c r="T4208" s="15"/>
      <c r="U4208" s="15"/>
      <c r="V4208" s="15"/>
      <c r="W4208" s="15"/>
      <c r="X4208" s="15"/>
      <c r="Y4208" s="15"/>
      <c r="Z4208" s="15"/>
      <c r="AA4208" s="15"/>
    </row>
    <row r="4209">
      <c r="A4209" s="5" t="s">
        <v>18060</v>
      </c>
      <c r="B4209" s="292" t="str">
        <f>HYPERLINK("https://akshar-exim-company-pvt-ltd.odoo.com/web#id=26182&amp;action=152&amp;model=crm.lead&amp;view_type=form&amp;menu_id=111","C2011706")</f>
        <v>C2011706</v>
      </c>
      <c r="C4209" s="40" t="s">
        <v>18076</v>
      </c>
      <c r="D4209" s="11"/>
      <c r="E4209" s="11" t="s">
        <v>18077</v>
      </c>
      <c r="F4209" s="90" t="s">
        <v>18078</v>
      </c>
      <c r="G4209" s="430"/>
      <c r="H4209" s="41" t="s">
        <v>18079</v>
      </c>
      <c r="I4209" s="276"/>
      <c r="J4209" s="11" t="s">
        <v>17593</v>
      </c>
      <c r="K4209" s="12"/>
      <c r="L4209" s="12"/>
      <c r="M4209" s="11" t="s">
        <v>18080</v>
      </c>
      <c r="N4209" s="5" t="s">
        <v>18081</v>
      </c>
      <c r="O4209" s="5" t="s">
        <v>26</v>
      </c>
      <c r="P4209" s="15"/>
      <c r="Q4209" s="15"/>
      <c r="R4209" s="422"/>
      <c r="S4209" s="15"/>
      <c r="T4209" s="15"/>
      <c r="U4209" s="15"/>
      <c r="V4209" s="15"/>
      <c r="W4209" s="15"/>
      <c r="X4209" s="15"/>
      <c r="Y4209" s="15"/>
      <c r="Z4209" s="15"/>
      <c r="AA4209" s="15"/>
    </row>
    <row r="4210">
      <c r="A4210" s="5" t="s">
        <v>18060</v>
      </c>
      <c r="B4210" s="292" t="str">
        <f>HYPERLINK("https://akshar-exim-company-pvt-ltd.odoo.com/web#id=26177&amp;action=152&amp;model=crm.lead&amp;view_type=form&amp;menu_id=111","C2011705")</f>
        <v>C2011705</v>
      </c>
      <c r="C4210" s="40" t="s">
        <v>18082</v>
      </c>
      <c r="D4210" s="11"/>
      <c r="E4210" s="11" t="s">
        <v>2402</v>
      </c>
      <c r="F4210" s="90">
        <v>100.0</v>
      </c>
      <c r="G4210" s="321"/>
      <c r="H4210" s="11" t="s">
        <v>196</v>
      </c>
      <c r="I4210" s="423"/>
      <c r="J4210" s="14"/>
      <c r="K4210" s="13"/>
      <c r="L4210" s="13"/>
      <c r="M4210" s="14"/>
      <c r="N4210" s="15"/>
      <c r="O4210" s="5" t="s">
        <v>14119</v>
      </c>
      <c r="P4210" s="15"/>
      <c r="Q4210" s="15"/>
      <c r="R4210" s="422"/>
      <c r="S4210" s="15"/>
      <c r="T4210" s="15"/>
      <c r="U4210" s="15"/>
      <c r="V4210" s="15"/>
      <c r="W4210" s="15"/>
      <c r="X4210" s="15"/>
      <c r="Y4210" s="15"/>
      <c r="Z4210" s="15"/>
      <c r="AA4210" s="15"/>
    </row>
    <row r="4211">
      <c r="A4211" s="5" t="s">
        <v>18060</v>
      </c>
      <c r="B4211" s="292" t="str">
        <f>HYPERLINK("https://akshar-exim-company-pvt-ltd.odoo.com/web#id=26194&amp;action=152&amp;model=crm.lead&amp;view_type=form&amp;menu_id=111","C2011704")</f>
        <v>C2011704</v>
      </c>
      <c r="C4211" s="40" t="s">
        <v>18083</v>
      </c>
      <c r="D4211" s="11"/>
      <c r="E4211" s="11" t="s">
        <v>18084</v>
      </c>
      <c r="F4211" s="90">
        <v>50.0</v>
      </c>
      <c r="G4211" s="321"/>
      <c r="H4211" s="11" t="s">
        <v>985</v>
      </c>
      <c r="I4211" s="276"/>
      <c r="J4211" s="11" t="s">
        <v>17976</v>
      </c>
      <c r="K4211" s="13"/>
      <c r="L4211" s="13"/>
      <c r="M4211" s="14"/>
      <c r="N4211" s="15"/>
      <c r="O4211" s="5" t="s">
        <v>14119</v>
      </c>
      <c r="P4211" s="15"/>
      <c r="Q4211" s="15"/>
      <c r="R4211" s="422"/>
      <c r="S4211" s="15"/>
      <c r="T4211" s="15"/>
      <c r="U4211" s="15"/>
      <c r="V4211" s="15"/>
      <c r="W4211" s="15"/>
      <c r="X4211" s="15"/>
      <c r="Y4211" s="15"/>
      <c r="Z4211" s="15"/>
      <c r="AA4211" s="15"/>
    </row>
    <row r="4212">
      <c r="A4212" s="5" t="s">
        <v>18060</v>
      </c>
      <c r="B4212" s="292" t="str">
        <f>HYPERLINK("https://akshar-exim-company-pvt-ltd.odoo.com/web#id=26183&amp;action=152&amp;model=crm.lead&amp;view_type=form&amp;menu_id=111","C2011703")</f>
        <v>C2011703</v>
      </c>
      <c r="C4212" s="40" t="s">
        <v>18085</v>
      </c>
      <c r="D4212" s="11"/>
      <c r="E4212" s="11" t="s">
        <v>18086</v>
      </c>
      <c r="F4212" s="90">
        <v>1000.0</v>
      </c>
      <c r="G4212" s="321"/>
      <c r="H4212" s="11" t="s">
        <v>18087</v>
      </c>
      <c r="I4212" s="276"/>
      <c r="J4212" s="11" t="s">
        <v>25</v>
      </c>
      <c r="K4212" s="13"/>
      <c r="L4212" s="13"/>
      <c r="M4212" s="14"/>
      <c r="N4212" s="15"/>
      <c r="O4212" s="5" t="s">
        <v>26</v>
      </c>
      <c r="P4212" s="15"/>
      <c r="Q4212" s="15"/>
      <c r="R4212" s="422"/>
      <c r="S4212" s="15"/>
      <c r="T4212" s="15"/>
      <c r="U4212" s="15"/>
      <c r="V4212" s="15"/>
      <c r="W4212" s="15"/>
      <c r="X4212" s="15"/>
      <c r="Y4212" s="15"/>
      <c r="Z4212" s="15"/>
      <c r="AA4212" s="15"/>
    </row>
    <row r="4213">
      <c r="A4213" s="5" t="s">
        <v>18060</v>
      </c>
      <c r="B4213" s="292" t="str">
        <f>HYPERLINK("https://akshar-exim-company-pvt-ltd.odoo.com/web#id=26191&amp;action=152&amp;model=crm.lead&amp;view_type=form&amp;menu_id=111","C2011702")</f>
        <v>C2011702</v>
      </c>
      <c r="C4213" s="40" t="s">
        <v>18088</v>
      </c>
      <c r="D4213" s="11"/>
      <c r="E4213" s="11" t="s">
        <v>18089</v>
      </c>
      <c r="F4213" s="90" t="s">
        <v>18090</v>
      </c>
      <c r="G4213" s="321"/>
      <c r="H4213" s="11" t="s">
        <v>18091</v>
      </c>
      <c r="I4213" s="276"/>
      <c r="J4213" s="11" t="s">
        <v>25</v>
      </c>
      <c r="K4213" s="12"/>
      <c r="L4213" s="12"/>
      <c r="M4213" s="11" t="s">
        <v>18092</v>
      </c>
      <c r="N4213" s="5" t="s">
        <v>18093</v>
      </c>
      <c r="O4213" s="5" t="s">
        <v>108</v>
      </c>
      <c r="P4213" s="15"/>
      <c r="Q4213" s="15"/>
      <c r="R4213" s="422"/>
      <c r="S4213" s="15"/>
      <c r="T4213" s="15"/>
      <c r="U4213" s="15"/>
      <c r="V4213" s="15"/>
      <c r="W4213" s="15"/>
      <c r="X4213" s="15"/>
      <c r="Y4213" s="15"/>
      <c r="Z4213" s="15"/>
      <c r="AA4213" s="15"/>
    </row>
    <row r="4214">
      <c r="A4214" s="5" t="s">
        <v>18060</v>
      </c>
      <c r="B4214" s="292" t="str">
        <f>HYPERLINK("https://akshar-exim-company-pvt-ltd.odoo.com/web#id=26188&amp;action=152&amp;model=crm.lead&amp;view_type=form&amp;menu_id=111","C2011701")</f>
        <v>C2011701</v>
      </c>
      <c r="C4214" s="40" t="s">
        <v>18094</v>
      </c>
      <c r="D4214" s="11"/>
      <c r="E4214" s="11" t="s">
        <v>11049</v>
      </c>
      <c r="F4214" s="90">
        <v>700.0</v>
      </c>
      <c r="G4214" s="321"/>
      <c r="H4214" s="11" t="s">
        <v>735</v>
      </c>
      <c r="I4214" s="276"/>
      <c r="J4214" s="11" t="s">
        <v>25</v>
      </c>
      <c r="K4214" s="12"/>
      <c r="L4214" s="12"/>
      <c r="M4214" s="11" t="s">
        <v>17614</v>
      </c>
      <c r="N4214" s="5" t="s">
        <v>18095</v>
      </c>
      <c r="O4214" s="5" t="s">
        <v>26</v>
      </c>
      <c r="P4214" s="15"/>
      <c r="Q4214" s="15"/>
      <c r="R4214" s="422"/>
      <c r="S4214" s="15"/>
      <c r="T4214" s="15"/>
      <c r="U4214" s="15"/>
      <c r="V4214" s="15"/>
      <c r="W4214" s="15"/>
      <c r="X4214" s="15"/>
      <c r="Y4214" s="15"/>
      <c r="Z4214" s="15"/>
      <c r="AA4214" s="15"/>
    </row>
    <row r="4215">
      <c r="A4215" s="5" t="s">
        <v>18060</v>
      </c>
      <c r="B4215" s="292" t="str">
        <f>HYPERLINK("https://akshar-exim-company-pvt-ltd.odoo.com/web#id=26186&amp;action=152&amp;model=crm.lead&amp;view_type=form&amp;menu_id=111","C2011700")</f>
        <v>C2011700</v>
      </c>
      <c r="C4215" s="40" t="s">
        <v>14280</v>
      </c>
      <c r="D4215" s="11"/>
      <c r="E4215" s="11" t="s">
        <v>116</v>
      </c>
      <c r="F4215" s="90">
        <v>500.0</v>
      </c>
      <c r="G4215" s="321"/>
      <c r="H4215" s="11" t="s">
        <v>519</v>
      </c>
      <c r="I4215" s="276"/>
      <c r="J4215" s="11" t="s">
        <v>25</v>
      </c>
      <c r="K4215" s="12"/>
      <c r="L4215" s="12"/>
      <c r="M4215" s="11" t="s">
        <v>18096</v>
      </c>
      <c r="N4215" s="5" t="s">
        <v>18097</v>
      </c>
      <c r="O4215" s="5" t="s">
        <v>108</v>
      </c>
      <c r="P4215" s="15"/>
      <c r="Q4215" s="15"/>
      <c r="R4215" s="422"/>
      <c r="S4215" s="15"/>
      <c r="T4215" s="15"/>
      <c r="U4215" s="15"/>
      <c r="V4215" s="15"/>
      <c r="W4215" s="15"/>
      <c r="X4215" s="15"/>
      <c r="Y4215" s="15"/>
      <c r="Z4215" s="15"/>
      <c r="AA4215" s="15"/>
    </row>
    <row r="4216">
      <c r="A4216" s="5" t="s">
        <v>18060</v>
      </c>
      <c r="B4216" s="292" t="str">
        <f>HYPERLINK("https://akshar-exim-company-pvt-ltd.odoo.com/web#id=26189&amp;action=152&amp;model=crm.lead&amp;view_type=form&amp;menu_id=111","C2011699")</f>
        <v>C2011699</v>
      </c>
      <c r="C4216" s="40" t="s">
        <v>18098</v>
      </c>
      <c r="D4216" s="11"/>
      <c r="E4216" s="11" t="s">
        <v>18099</v>
      </c>
      <c r="F4216" s="90" t="s">
        <v>18100</v>
      </c>
      <c r="G4216" s="321"/>
      <c r="H4216" s="11" t="s">
        <v>44</v>
      </c>
      <c r="I4216" s="276"/>
      <c r="J4216" s="11" t="s">
        <v>25</v>
      </c>
      <c r="K4216" s="12"/>
      <c r="L4216" s="12"/>
      <c r="M4216" s="11" t="s">
        <v>18101</v>
      </c>
      <c r="N4216" s="5" t="s">
        <v>18102</v>
      </c>
      <c r="O4216" s="5" t="s">
        <v>34</v>
      </c>
      <c r="P4216" s="15"/>
      <c r="Q4216" s="15"/>
      <c r="R4216" s="422"/>
      <c r="S4216" s="15"/>
      <c r="T4216" s="15"/>
      <c r="U4216" s="15"/>
      <c r="V4216" s="15"/>
      <c r="W4216" s="15"/>
      <c r="X4216" s="15"/>
      <c r="Y4216" s="15"/>
      <c r="Z4216" s="15"/>
      <c r="AA4216" s="15"/>
    </row>
    <row r="4217">
      <c r="A4217" s="5" t="s">
        <v>18103</v>
      </c>
      <c r="B4217" s="292" t="str">
        <f>HYPERLINK("https://akshar-exim-company-pvt-ltd.odoo.com/web#id=26062&amp;action=152&amp;model=crm.lead&amp;view_type=form&amp;menu_id=111","C2011698")</f>
        <v>C2011698</v>
      </c>
      <c r="C4217" s="40" t="s">
        <v>17982</v>
      </c>
      <c r="D4217" s="11"/>
      <c r="E4217" s="11" t="s">
        <v>18104</v>
      </c>
      <c r="F4217" s="90" t="s">
        <v>18105</v>
      </c>
      <c r="G4217" s="321"/>
      <c r="H4217" s="11" t="s">
        <v>17983</v>
      </c>
      <c r="I4217" s="276"/>
      <c r="J4217" s="11" t="s">
        <v>9874</v>
      </c>
      <c r="K4217" s="13"/>
      <c r="L4217" s="13"/>
      <c r="M4217" s="14"/>
      <c r="N4217" s="15"/>
      <c r="O4217" s="5" t="s">
        <v>14119</v>
      </c>
      <c r="P4217" s="15"/>
      <c r="Q4217" s="15"/>
      <c r="R4217" s="422"/>
      <c r="S4217" s="15"/>
      <c r="T4217" s="15"/>
      <c r="U4217" s="15"/>
      <c r="V4217" s="15"/>
      <c r="W4217" s="15"/>
      <c r="X4217" s="15"/>
      <c r="Y4217" s="15"/>
      <c r="Z4217" s="15"/>
      <c r="AA4217" s="15"/>
    </row>
    <row r="4218">
      <c r="A4218" s="5" t="s">
        <v>18103</v>
      </c>
      <c r="B4218" s="292" t="str">
        <f>HYPERLINK("https://akshar-exim-company-pvt-ltd.odoo.com/web#id=26162&amp;action=152&amp;model=crm.lead&amp;view_type=form&amp;menu_id=111","C2011697")</f>
        <v>C2011697</v>
      </c>
      <c r="C4218" s="40" t="s">
        <v>18106</v>
      </c>
      <c r="D4218" s="11"/>
      <c r="E4218" s="11" t="s">
        <v>167</v>
      </c>
      <c r="F4218" s="90">
        <v>100.0</v>
      </c>
      <c r="G4218" s="321"/>
      <c r="H4218" s="11" t="s">
        <v>507</v>
      </c>
      <c r="I4218" s="276"/>
      <c r="J4218" s="11" t="s">
        <v>18107</v>
      </c>
      <c r="K4218" s="13"/>
      <c r="L4218" s="13"/>
      <c r="M4218" s="14"/>
      <c r="N4218" s="15"/>
      <c r="O4218" s="5" t="s">
        <v>14119</v>
      </c>
      <c r="P4218" s="15"/>
      <c r="Q4218" s="15"/>
      <c r="R4218" s="422"/>
      <c r="S4218" s="15"/>
      <c r="T4218" s="15"/>
      <c r="U4218" s="15"/>
      <c r="V4218" s="15"/>
      <c r="W4218" s="15"/>
      <c r="X4218" s="15"/>
      <c r="Y4218" s="15"/>
      <c r="Z4218" s="15"/>
      <c r="AA4218" s="15"/>
    </row>
    <row r="4219">
      <c r="A4219" s="5" t="s">
        <v>18103</v>
      </c>
      <c r="B4219" s="292" t="str">
        <f>HYPERLINK("https://akshar-exim-company-pvt-ltd.odoo.com/web#id=26068&amp;action=152&amp;model=crm.lead&amp;view_type=form&amp;menu_id=111","C2011696")</f>
        <v>C2011696</v>
      </c>
      <c r="C4219" s="40" t="s">
        <v>5039</v>
      </c>
      <c r="D4219" s="11"/>
      <c r="E4219" s="11" t="s">
        <v>6027</v>
      </c>
      <c r="F4219" s="90">
        <v>200.0</v>
      </c>
      <c r="G4219" s="321"/>
      <c r="H4219" s="11" t="s">
        <v>507</v>
      </c>
      <c r="I4219" s="276"/>
      <c r="J4219" s="11" t="s">
        <v>25</v>
      </c>
      <c r="K4219" s="13"/>
      <c r="L4219" s="13"/>
      <c r="M4219" s="14"/>
      <c r="N4219" s="15"/>
      <c r="O4219" s="5" t="s">
        <v>14119</v>
      </c>
      <c r="P4219" s="15"/>
      <c r="Q4219" s="15"/>
      <c r="R4219" s="422"/>
      <c r="S4219" s="15"/>
      <c r="T4219" s="15"/>
      <c r="U4219" s="15"/>
      <c r="V4219" s="15"/>
      <c r="W4219" s="15"/>
      <c r="X4219" s="15"/>
      <c r="Y4219" s="15"/>
      <c r="Z4219" s="15"/>
      <c r="AA4219" s="15"/>
    </row>
    <row r="4220">
      <c r="A4220" s="5" t="s">
        <v>18103</v>
      </c>
      <c r="B4220" s="292" t="str">
        <f>HYPERLINK("https://akshar-exim-company-pvt-ltd.odoo.com/web#id=26159&amp;action=152&amp;model=crm.lead&amp;view_type=form&amp;menu_id=111","C2011695")</f>
        <v>C2011695</v>
      </c>
      <c r="C4220" s="40" t="s">
        <v>18108</v>
      </c>
      <c r="D4220" s="11"/>
      <c r="E4220" s="11" t="s">
        <v>344</v>
      </c>
      <c r="F4220" s="90">
        <v>50.0</v>
      </c>
      <c r="G4220" s="321"/>
      <c r="H4220" s="11" t="s">
        <v>15127</v>
      </c>
      <c r="I4220" s="423"/>
      <c r="J4220" s="14"/>
      <c r="K4220" s="13"/>
      <c r="L4220" s="13"/>
      <c r="M4220" s="14"/>
      <c r="N4220" s="15"/>
      <c r="O4220" s="5" t="s">
        <v>14119</v>
      </c>
      <c r="P4220" s="15"/>
      <c r="Q4220" s="15"/>
      <c r="R4220" s="422"/>
      <c r="S4220" s="15"/>
      <c r="T4220" s="15"/>
      <c r="U4220" s="15"/>
      <c r="V4220" s="15"/>
      <c r="W4220" s="15"/>
      <c r="X4220" s="15"/>
      <c r="Y4220" s="15"/>
      <c r="Z4220" s="15"/>
      <c r="AA4220" s="15"/>
    </row>
    <row r="4221">
      <c r="A4221" s="5" t="s">
        <v>18103</v>
      </c>
      <c r="B4221" s="292" t="str">
        <f>HYPERLINK("https://akshar-exim-company-pvt-ltd.odoo.com/web#id=26156&amp;action=152&amp;model=crm.lead&amp;view_type=form&amp;menu_id=111","C2011694")</f>
        <v>C2011694</v>
      </c>
      <c r="C4221" s="40" t="s">
        <v>18109</v>
      </c>
      <c r="D4221" s="11"/>
      <c r="E4221" s="11" t="s">
        <v>10508</v>
      </c>
      <c r="F4221" s="90">
        <v>1000.0</v>
      </c>
      <c r="G4221" s="321"/>
      <c r="H4221" s="11" t="s">
        <v>906</v>
      </c>
      <c r="I4221" s="276"/>
      <c r="J4221" s="11" t="s">
        <v>17976</v>
      </c>
      <c r="K4221" s="12"/>
      <c r="L4221" s="12"/>
      <c r="M4221" s="11" t="s">
        <v>18110</v>
      </c>
      <c r="N4221" s="5" t="s">
        <v>18111</v>
      </c>
      <c r="O4221" s="5" t="s">
        <v>108</v>
      </c>
      <c r="P4221" s="15"/>
      <c r="Q4221" s="15"/>
      <c r="R4221" s="422"/>
      <c r="S4221" s="15"/>
      <c r="T4221" s="15"/>
      <c r="U4221" s="15"/>
      <c r="V4221" s="15"/>
      <c r="W4221" s="15"/>
      <c r="X4221" s="15"/>
      <c r="Y4221" s="15"/>
      <c r="Z4221" s="15"/>
      <c r="AA4221" s="15"/>
    </row>
    <row r="4222">
      <c r="A4222" s="5" t="s">
        <v>18103</v>
      </c>
      <c r="B4222" s="292" t="str">
        <f>HYPERLINK("https://akshar-exim-company-pvt-ltd.odoo.com/web#id=26115&amp;action=152&amp;model=crm.lead&amp;view_type=form&amp;menu_id=111","C2011693")</f>
        <v>C2011693</v>
      </c>
      <c r="C4222" s="40" t="s">
        <v>18112</v>
      </c>
      <c r="D4222" s="11"/>
      <c r="E4222" s="11" t="s">
        <v>18113</v>
      </c>
      <c r="F4222" s="90">
        <v>20.0</v>
      </c>
      <c r="G4222" s="321"/>
      <c r="H4222" s="11" t="s">
        <v>44</v>
      </c>
      <c r="I4222" s="276"/>
      <c r="J4222" s="11" t="s">
        <v>18114</v>
      </c>
      <c r="K4222" s="13"/>
      <c r="L4222" s="13"/>
      <c r="M4222" s="14"/>
      <c r="N4222" s="15"/>
      <c r="O4222" s="5" t="s">
        <v>14119</v>
      </c>
      <c r="P4222" s="15"/>
      <c r="Q4222" s="15"/>
      <c r="R4222" s="422"/>
      <c r="S4222" s="15"/>
      <c r="T4222" s="15"/>
      <c r="U4222" s="15"/>
      <c r="V4222" s="15"/>
      <c r="W4222" s="15"/>
      <c r="X4222" s="15"/>
      <c r="Y4222" s="15"/>
      <c r="Z4222" s="15"/>
      <c r="AA4222" s="15"/>
    </row>
    <row r="4223">
      <c r="A4223" s="5" t="s">
        <v>18103</v>
      </c>
      <c r="B4223" s="292" t="str">
        <f>HYPERLINK("https://akshar-exim-company-pvt-ltd.odoo.com/web#id=26155&amp;action=152&amp;model=crm.lead&amp;view_type=form&amp;menu_id=111","C2011692")</f>
        <v>C2011692</v>
      </c>
      <c r="C4223" s="40" t="s">
        <v>18115</v>
      </c>
      <c r="D4223" s="11"/>
      <c r="E4223" s="11" t="s">
        <v>2402</v>
      </c>
      <c r="F4223" s="90">
        <v>60.0</v>
      </c>
      <c r="G4223" s="321"/>
      <c r="H4223" s="11" t="s">
        <v>1640</v>
      </c>
      <c r="I4223" s="276"/>
      <c r="J4223" s="11" t="s">
        <v>17976</v>
      </c>
      <c r="K4223" s="13"/>
      <c r="L4223" s="13"/>
      <c r="M4223" s="14"/>
      <c r="N4223" s="15"/>
      <c r="O4223" s="5" t="s">
        <v>14119</v>
      </c>
      <c r="P4223" s="15"/>
      <c r="Q4223" s="15"/>
      <c r="R4223" s="422"/>
      <c r="S4223" s="15"/>
      <c r="T4223" s="15"/>
      <c r="U4223" s="15"/>
      <c r="V4223" s="15"/>
      <c r="W4223" s="15"/>
      <c r="X4223" s="15"/>
      <c r="Y4223" s="15"/>
      <c r="Z4223" s="15"/>
      <c r="AA4223" s="15"/>
    </row>
    <row r="4224">
      <c r="A4224" s="5" t="s">
        <v>18103</v>
      </c>
      <c r="B4224" s="292" t="str">
        <f>HYPERLINK("https://akshar-exim-company-pvt-ltd.odoo.com/web#id=26130&amp;action=152&amp;model=crm.lead&amp;view_type=form&amp;menu_id=111","C2011691")</f>
        <v>C2011691</v>
      </c>
      <c r="C4224" s="40" t="s">
        <v>18116</v>
      </c>
      <c r="D4224" s="11"/>
      <c r="E4224" s="11" t="s">
        <v>2402</v>
      </c>
      <c r="F4224" s="90">
        <v>10.0</v>
      </c>
      <c r="G4224" s="321"/>
      <c r="H4224" s="11" t="s">
        <v>158</v>
      </c>
      <c r="I4224" s="276"/>
      <c r="J4224" s="11" t="s">
        <v>25</v>
      </c>
      <c r="K4224" s="13"/>
      <c r="L4224" s="13"/>
      <c r="M4224" s="14"/>
      <c r="N4224" s="15"/>
      <c r="O4224" s="5" t="s">
        <v>14119</v>
      </c>
      <c r="P4224" s="15"/>
      <c r="Q4224" s="15"/>
      <c r="R4224" s="422"/>
      <c r="S4224" s="15"/>
      <c r="T4224" s="15"/>
      <c r="U4224" s="15"/>
      <c r="V4224" s="15"/>
      <c r="W4224" s="15"/>
      <c r="X4224" s="15"/>
      <c r="Y4224" s="15"/>
      <c r="Z4224" s="15"/>
      <c r="AA4224" s="15"/>
    </row>
    <row r="4225">
      <c r="A4225" s="5" t="s">
        <v>18103</v>
      </c>
      <c r="B4225" s="292" t="str">
        <f>HYPERLINK("https://akshar-exim-company-pvt-ltd.odoo.com/web#id=26131&amp;action=152&amp;model=crm.lead&amp;view_type=form&amp;menu_id=111","C2011690")</f>
        <v>C2011690</v>
      </c>
      <c r="C4225" s="40" t="s">
        <v>18117</v>
      </c>
      <c r="D4225" s="11"/>
      <c r="E4225" s="11" t="s">
        <v>18118</v>
      </c>
      <c r="F4225" s="90">
        <v>100.0</v>
      </c>
      <c r="G4225" s="321"/>
      <c r="H4225" s="11" t="s">
        <v>1227</v>
      </c>
      <c r="I4225" s="276"/>
      <c r="J4225" s="11" t="s">
        <v>18119</v>
      </c>
      <c r="K4225" s="13"/>
      <c r="L4225" s="13"/>
      <c r="M4225" s="14"/>
      <c r="N4225" s="15"/>
      <c r="O4225" s="5" t="s">
        <v>14119</v>
      </c>
      <c r="P4225" s="15"/>
      <c r="Q4225" s="15"/>
      <c r="R4225" s="422"/>
      <c r="S4225" s="15"/>
      <c r="T4225" s="15"/>
      <c r="U4225" s="15"/>
      <c r="V4225" s="15"/>
      <c r="W4225" s="15"/>
      <c r="X4225" s="15"/>
      <c r="Y4225" s="15"/>
      <c r="Z4225" s="15"/>
      <c r="AA4225" s="15"/>
    </row>
    <row r="4226">
      <c r="A4226" s="5" t="s">
        <v>18103</v>
      </c>
      <c r="B4226" s="292" t="str">
        <f>HYPERLINK("https://akshar-exim-company-pvt-ltd.odoo.com/web#id=26149&amp;action=152&amp;model=crm.lead&amp;view_type=form&amp;menu_id=111","C2011689")</f>
        <v>C2011689</v>
      </c>
      <c r="C4226" s="40" t="s">
        <v>18120</v>
      </c>
      <c r="D4226" s="11"/>
      <c r="E4226" s="11" t="s">
        <v>5293</v>
      </c>
      <c r="F4226" s="90">
        <v>500.0</v>
      </c>
      <c r="G4226" s="321"/>
      <c r="H4226" s="11" t="s">
        <v>507</v>
      </c>
      <c r="I4226" s="276"/>
      <c r="J4226" s="11" t="s">
        <v>25</v>
      </c>
      <c r="K4226" s="12"/>
      <c r="L4226" s="12"/>
      <c r="M4226" s="11" t="s">
        <v>15022</v>
      </c>
      <c r="N4226" s="5" t="s">
        <v>18121</v>
      </c>
      <c r="O4226" s="5" t="s">
        <v>108</v>
      </c>
      <c r="P4226" s="15"/>
      <c r="Q4226" s="15"/>
      <c r="R4226" s="422"/>
      <c r="S4226" s="15"/>
      <c r="T4226" s="15"/>
      <c r="U4226" s="15"/>
      <c r="V4226" s="15"/>
      <c r="W4226" s="15"/>
      <c r="X4226" s="15"/>
      <c r="Y4226" s="15"/>
      <c r="Z4226" s="15"/>
      <c r="AA4226" s="15"/>
    </row>
    <row r="4227">
      <c r="A4227" s="5" t="s">
        <v>18103</v>
      </c>
      <c r="B4227" s="292" t="str">
        <f>HYPERLINK("https://akshar-exim-company-pvt-ltd.odoo.com/web#id=26152&amp;action=152&amp;model=crm.lead&amp;view_type=form&amp;menu_id=111","C2011688")</f>
        <v>C2011688</v>
      </c>
      <c r="C4227" s="40" t="s">
        <v>18122</v>
      </c>
      <c r="D4227" s="11"/>
      <c r="E4227" s="11" t="s">
        <v>10426</v>
      </c>
      <c r="F4227" s="90">
        <v>500.0</v>
      </c>
      <c r="G4227" s="321"/>
      <c r="H4227" s="11" t="s">
        <v>507</v>
      </c>
      <c r="I4227" s="423"/>
      <c r="J4227" s="14"/>
      <c r="K4227" s="12"/>
      <c r="L4227" s="12"/>
      <c r="M4227" s="11" t="s">
        <v>9080</v>
      </c>
      <c r="N4227" s="5" t="s">
        <v>18123</v>
      </c>
      <c r="O4227" s="5" t="s">
        <v>108</v>
      </c>
      <c r="P4227" s="15"/>
      <c r="Q4227" s="15"/>
      <c r="R4227" s="422"/>
      <c r="S4227" s="15"/>
      <c r="T4227" s="15"/>
      <c r="U4227" s="15"/>
      <c r="V4227" s="15"/>
      <c r="W4227" s="15"/>
      <c r="X4227" s="15"/>
      <c r="Y4227" s="15"/>
      <c r="Z4227" s="15"/>
      <c r="AA4227" s="15"/>
    </row>
    <row r="4228">
      <c r="A4228" s="5" t="s">
        <v>18103</v>
      </c>
      <c r="B4228" s="292" t="str">
        <f>HYPERLINK("https://akshar-exim-company-pvt-ltd.odoo.com/web#id=26122&amp;action=152&amp;model=crm.lead&amp;view_type=form&amp;menu_id=111","C2011687")</f>
        <v>C2011687</v>
      </c>
      <c r="C4228" s="40" t="s">
        <v>18124</v>
      </c>
      <c r="D4228" s="11"/>
      <c r="E4228" s="11" t="s">
        <v>344</v>
      </c>
      <c r="F4228" s="90">
        <v>100.0</v>
      </c>
      <c r="G4228" s="321"/>
      <c r="H4228" s="11" t="s">
        <v>507</v>
      </c>
      <c r="I4228" s="423"/>
      <c r="J4228" s="14"/>
      <c r="K4228" s="13"/>
      <c r="L4228" s="13"/>
      <c r="M4228" s="14"/>
      <c r="N4228" s="15"/>
      <c r="O4228" s="5" t="s">
        <v>14119</v>
      </c>
      <c r="P4228" s="15"/>
      <c r="Q4228" s="15"/>
      <c r="R4228" s="422"/>
      <c r="S4228" s="15"/>
      <c r="T4228" s="15"/>
      <c r="U4228" s="15"/>
      <c r="V4228" s="15"/>
      <c r="W4228" s="15"/>
      <c r="X4228" s="15"/>
      <c r="Y4228" s="15"/>
      <c r="Z4228" s="15"/>
      <c r="AA4228" s="15"/>
    </row>
    <row r="4229">
      <c r="A4229" s="5" t="s">
        <v>18103</v>
      </c>
      <c r="B4229" s="292" t="str">
        <f>HYPERLINK("https://akshar-exim-company-pvt-ltd.odoo.com/web#id=26121&amp;action=152&amp;model=crm.lead&amp;view_type=form&amp;menu_id=111","C2011686")</f>
        <v>C2011686</v>
      </c>
      <c r="C4229" s="40" t="s">
        <v>18125</v>
      </c>
      <c r="D4229" s="11"/>
      <c r="E4229" s="11" t="s">
        <v>2402</v>
      </c>
      <c r="F4229" s="90">
        <v>5.0</v>
      </c>
      <c r="G4229" s="321"/>
      <c r="H4229" s="11" t="s">
        <v>14616</v>
      </c>
      <c r="I4229" s="276"/>
      <c r="J4229" s="11" t="s">
        <v>14608</v>
      </c>
      <c r="K4229" s="13"/>
      <c r="L4229" s="13"/>
      <c r="M4229" s="14"/>
      <c r="N4229" s="15"/>
      <c r="O4229" s="5" t="s">
        <v>14119</v>
      </c>
      <c r="P4229" s="15"/>
      <c r="Q4229" s="15"/>
      <c r="R4229" s="422"/>
      <c r="S4229" s="15"/>
      <c r="T4229" s="15"/>
      <c r="U4229" s="15"/>
      <c r="V4229" s="15"/>
      <c r="W4229" s="15"/>
      <c r="X4229" s="15"/>
      <c r="Y4229" s="15"/>
      <c r="Z4229" s="15"/>
      <c r="AA4229" s="15"/>
    </row>
    <row r="4230">
      <c r="A4230" s="5" t="s">
        <v>18103</v>
      </c>
      <c r="B4230" s="292" t="str">
        <f>HYPERLINK("https://akshar-exim-company-pvt-ltd.odoo.com/web#id=26151&amp;action=152&amp;model=crm.lead&amp;view_type=form&amp;menu_id=111","C2011685")</f>
        <v>C2011685</v>
      </c>
      <c r="C4230" s="40" t="s">
        <v>2195</v>
      </c>
      <c r="D4230" s="11"/>
      <c r="E4230" s="11" t="s">
        <v>18126</v>
      </c>
      <c r="F4230" s="90">
        <v>50.0</v>
      </c>
      <c r="G4230" s="321"/>
      <c r="H4230" s="11" t="s">
        <v>24</v>
      </c>
      <c r="I4230" s="276"/>
      <c r="J4230" s="11" t="s">
        <v>25</v>
      </c>
      <c r="K4230" s="13"/>
      <c r="L4230" s="13"/>
      <c r="M4230" s="14"/>
      <c r="N4230" s="15"/>
      <c r="O4230" s="5" t="s">
        <v>14119</v>
      </c>
      <c r="P4230" s="15"/>
      <c r="Q4230" s="15"/>
      <c r="R4230" s="422"/>
      <c r="S4230" s="15"/>
      <c r="T4230" s="15"/>
      <c r="U4230" s="15"/>
      <c r="V4230" s="15"/>
      <c r="W4230" s="15"/>
      <c r="X4230" s="15"/>
      <c r="Y4230" s="15"/>
      <c r="Z4230" s="15"/>
      <c r="AA4230" s="15"/>
    </row>
    <row r="4231">
      <c r="A4231" s="5" t="s">
        <v>18103</v>
      </c>
      <c r="B4231" s="292" t="str">
        <f>HYPERLINK("https://akshar-exim-company-pvt-ltd.odoo.com/web#id=26148&amp;action=152&amp;model=crm.lead&amp;view_type=form&amp;menu_id=111","C2011684")</f>
        <v>C2011684</v>
      </c>
      <c r="C4231" s="40" t="s">
        <v>18127</v>
      </c>
      <c r="D4231" s="11"/>
      <c r="E4231" s="11" t="s">
        <v>18128</v>
      </c>
      <c r="F4231" s="9" t="s">
        <v>18129</v>
      </c>
      <c r="G4231" s="321"/>
      <c r="H4231" s="11" t="s">
        <v>44</v>
      </c>
      <c r="I4231" s="276"/>
      <c r="J4231" s="11" t="s">
        <v>25</v>
      </c>
      <c r="K4231" s="12"/>
      <c r="L4231" s="12"/>
      <c r="M4231" s="11" t="s">
        <v>18130</v>
      </c>
      <c r="N4231" s="5" t="s">
        <v>18131</v>
      </c>
      <c r="O4231" s="5" t="s">
        <v>26</v>
      </c>
      <c r="P4231" s="15"/>
      <c r="Q4231" s="15"/>
      <c r="R4231" s="422"/>
      <c r="S4231" s="15"/>
      <c r="T4231" s="15"/>
      <c r="U4231" s="15"/>
      <c r="V4231" s="15"/>
      <c r="W4231" s="15"/>
      <c r="X4231" s="15"/>
      <c r="Y4231" s="15"/>
      <c r="Z4231" s="15"/>
      <c r="AA4231" s="15"/>
    </row>
    <row r="4232">
      <c r="A4232" s="5" t="s">
        <v>18103</v>
      </c>
      <c r="B4232" s="292" t="str">
        <f>HYPERLINK("https://akshar-exim-company-pvt-ltd.odoo.com/web#id=26146&amp;action=152&amp;model=crm.lead&amp;view_type=form&amp;menu_id=111","C2011683")</f>
        <v>C2011683</v>
      </c>
      <c r="C4232" s="40" t="s">
        <v>18132</v>
      </c>
      <c r="D4232" s="11"/>
      <c r="E4232" s="11" t="s">
        <v>63</v>
      </c>
      <c r="F4232" s="90">
        <v>100.0</v>
      </c>
      <c r="G4232" s="321"/>
      <c r="H4232" s="11" t="s">
        <v>18133</v>
      </c>
      <c r="I4232" s="276"/>
      <c r="J4232" s="11" t="s">
        <v>25</v>
      </c>
      <c r="K4232" s="13"/>
      <c r="L4232" s="13"/>
      <c r="M4232" s="14"/>
      <c r="N4232" s="15"/>
      <c r="O4232" s="5" t="s">
        <v>14119</v>
      </c>
      <c r="P4232" s="15"/>
      <c r="Q4232" s="15"/>
      <c r="R4232" s="422"/>
      <c r="S4232" s="15"/>
      <c r="T4232" s="15"/>
      <c r="U4232" s="15"/>
      <c r="V4232" s="15"/>
      <c r="W4232" s="15"/>
      <c r="X4232" s="15"/>
      <c r="Y4232" s="15"/>
      <c r="Z4232" s="15"/>
      <c r="AA4232" s="15"/>
    </row>
    <row r="4233">
      <c r="A4233" s="5" t="s">
        <v>18103</v>
      </c>
      <c r="B4233" s="292" t="str">
        <f>HYPERLINK("https://akshar-exim-company-pvt-ltd.odoo.com/web#id=26136&amp;action=152&amp;model=crm.lead&amp;view_type=form&amp;menu_id=111","C2011682")</f>
        <v>C2011682</v>
      </c>
      <c r="C4233" s="40" t="s">
        <v>18134</v>
      </c>
      <c r="D4233" s="11"/>
      <c r="E4233" s="11" t="s">
        <v>14399</v>
      </c>
      <c r="F4233" s="90">
        <v>300.0</v>
      </c>
      <c r="G4233" s="321"/>
      <c r="H4233" s="11" t="s">
        <v>18135</v>
      </c>
      <c r="I4233" s="276"/>
      <c r="J4233" s="11" t="s">
        <v>4008</v>
      </c>
      <c r="K4233" s="12"/>
      <c r="L4233" s="12"/>
      <c r="M4233" s="11" t="s">
        <v>18136</v>
      </c>
      <c r="N4233" s="5" t="s">
        <v>18137</v>
      </c>
      <c r="O4233" s="5" t="s">
        <v>34</v>
      </c>
      <c r="P4233" s="15"/>
      <c r="Q4233" s="15"/>
      <c r="R4233" s="422"/>
      <c r="S4233" s="15"/>
      <c r="T4233" s="15"/>
      <c r="U4233" s="15"/>
      <c r="V4233" s="15"/>
      <c r="W4233" s="15"/>
      <c r="X4233" s="15"/>
      <c r="Y4233" s="15"/>
      <c r="Z4233" s="15"/>
      <c r="AA4233" s="15"/>
    </row>
    <row r="4234">
      <c r="A4234" s="5" t="s">
        <v>18103</v>
      </c>
      <c r="B4234" s="292" t="str">
        <f>HYPERLINK("https://akshar-exim-company-pvt-ltd.odoo.com/web#id=26144&amp;action=152&amp;model=crm.lead&amp;view_type=form&amp;menu_id=111","C2011681")</f>
        <v>C2011681</v>
      </c>
      <c r="C4234" s="40" t="s">
        <v>18138</v>
      </c>
      <c r="D4234" s="11"/>
      <c r="E4234" s="11" t="s">
        <v>87</v>
      </c>
      <c r="F4234" s="90">
        <v>2.0</v>
      </c>
      <c r="G4234" s="321"/>
      <c r="H4234" s="11" t="s">
        <v>906</v>
      </c>
      <c r="I4234" s="276"/>
      <c r="J4234" s="11" t="s">
        <v>9536</v>
      </c>
      <c r="K4234" s="13"/>
      <c r="L4234" s="13"/>
      <c r="M4234" s="14"/>
      <c r="N4234" s="15"/>
      <c r="O4234" s="5" t="s">
        <v>14119</v>
      </c>
      <c r="P4234" s="15"/>
      <c r="Q4234" s="15"/>
      <c r="R4234" s="422"/>
      <c r="S4234" s="15"/>
      <c r="T4234" s="15"/>
      <c r="U4234" s="15"/>
      <c r="V4234" s="15"/>
      <c r="W4234" s="15"/>
      <c r="X4234" s="15"/>
      <c r="Y4234" s="15"/>
      <c r="Z4234" s="15"/>
      <c r="AA4234" s="15"/>
    </row>
    <row r="4235">
      <c r="A4235" s="5" t="s">
        <v>18103</v>
      </c>
      <c r="B4235" s="292" t="str">
        <f>HYPERLINK("https://akshar-exim-company-pvt-ltd.odoo.com/web#id=26138&amp;action=152&amp;model=crm.lead&amp;view_type=form&amp;menu_id=111","C2011680")</f>
        <v>C2011680</v>
      </c>
      <c r="C4235" s="40" t="s">
        <v>18139</v>
      </c>
      <c r="D4235" s="11"/>
      <c r="E4235" s="11" t="s">
        <v>18140</v>
      </c>
      <c r="F4235" s="90">
        <v>200.0</v>
      </c>
      <c r="G4235" s="321"/>
      <c r="H4235" s="11" t="s">
        <v>44</v>
      </c>
      <c r="I4235" s="276"/>
      <c r="J4235" s="11" t="s">
        <v>17593</v>
      </c>
      <c r="K4235" s="13"/>
      <c r="L4235" s="13"/>
      <c r="M4235" s="14"/>
      <c r="N4235" s="15"/>
      <c r="O4235" s="5" t="s">
        <v>14119</v>
      </c>
      <c r="P4235" s="15"/>
      <c r="Q4235" s="15"/>
      <c r="R4235" s="422"/>
      <c r="S4235" s="15"/>
      <c r="T4235" s="15"/>
      <c r="U4235" s="15"/>
      <c r="V4235" s="15"/>
      <c r="W4235" s="15"/>
      <c r="X4235" s="15"/>
      <c r="Y4235" s="15"/>
      <c r="Z4235" s="15"/>
      <c r="AA4235" s="15"/>
    </row>
    <row r="4236">
      <c r="A4236" s="5" t="s">
        <v>18103</v>
      </c>
      <c r="B4236" s="292" t="str">
        <f>HYPERLINK("https://akshar-exim-company-pvt-ltd.odoo.com/web#id=26134&amp;action=152&amp;model=crm.lead&amp;view_type=form&amp;menu_id=111","C2011679")</f>
        <v>C2011679</v>
      </c>
      <c r="C4236" s="40" t="s">
        <v>18141</v>
      </c>
      <c r="D4236" s="11"/>
      <c r="E4236" s="11" t="s">
        <v>18142</v>
      </c>
      <c r="F4236" s="90">
        <v>10.0</v>
      </c>
      <c r="G4236" s="321"/>
      <c r="H4236" s="11" t="s">
        <v>44</v>
      </c>
      <c r="I4236" s="276"/>
      <c r="J4236" s="11" t="s">
        <v>25</v>
      </c>
      <c r="K4236" s="13"/>
      <c r="L4236" s="13"/>
      <c r="M4236" s="14"/>
      <c r="N4236" s="15"/>
      <c r="O4236" s="5" t="s">
        <v>14119</v>
      </c>
      <c r="P4236" s="15"/>
      <c r="Q4236" s="15"/>
      <c r="R4236" s="422"/>
      <c r="S4236" s="15"/>
      <c r="T4236" s="15"/>
      <c r="U4236" s="15"/>
      <c r="V4236" s="15"/>
      <c r="W4236" s="15"/>
      <c r="X4236" s="15"/>
      <c r="Y4236" s="15"/>
      <c r="Z4236" s="15"/>
      <c r="AA4236" s="15"/>
    </row>
    <row r="4237">
      <c r="A4237" s="5" t="s">
        <v>18103</v>
      </c>
      <c r="B4237" s="292" t="str">
        <f>HYPERLINK("https://akshar-exim-company-pvt-ltd.odoo.com/web#id=26137&amp;action=152&amp;model=crm.lead&amp;view_type=form&amp;menu_id=111","C2011678")</f>
        <v>C2011678</v>
      </c>
      <c r="C4237" s="40" t="s">
        <v>18143</v>
      </c>
      <c r="D4237" s="11"/>
      <c r="E4237" s="11" t="s">
        <v>10508</v>
      </c>
      <c r="F4237" s="90">
        <v>3.0</v>
      </c>
      <c r="G4237" s="321"/>
      <c r="H4237" s="11" t="s">
        <v>44</v>
      </c>
      <c r="I4237" s="423"/>
      <c r="J4237" s="14"/>
      <c r="K4237" s="13"/>
      <c r="L4237" s="13"/>
      <c r="M4237" s="14"/>
      <c r="N4237" s="15"/>
      <c r="O4237" s="5" t="s">
        <v>14119</v>
      </c>
      <c r="P4237" s="15"/>
      <c r="Q4237" s="15"/>
      <c r="R4237" s="422"/>
      <c r="S4237" s="15"/>
      <c r="T4237" s="15"/>
      <c r="U4237" s="15"/>
      <c r="V4237" s="15"/>
      <c r="W4237" s="15"/>
      <c r="X4237" s="15"/>
      <c r="Y4237" s="15"/>
      <c r="Z4237" s="15"/>
      <c r="AA4237" s="15"/>
    </row>
    <row r="4238">
      <c r="A4238" s="5" t="s">
        <v>18144</v>
      </c>
      <c r="B4238" s="292" t="str">
        <f>HYPERLINK("https://akshar-exim-company-pvt-ltd.odoo.com/web#id=26073&amp;action=152&amp;model=crm.lead&amp;view_type=form&amp;menu_id=111","C2011677")</f>
        <v>C2011677</v>
      </c>
      <c r="C4238" s="40" t="s">
        <v>18145</v>
      </c>
      <c r="D4238" s="11"/>
      <c r="E4238" s="11" t="s">
        <v>1910</v>
      </c>
      <c r="F4238" s="90">
        <v>5000.0</v>
      </c>
      <c r="G4238" s="321"/>
      <c r="H4238" s="11" t="s">
        <v>99</v>
      </c>
      <c r="I4238" s="276"/>
      <c r="J4238" s="11" t="s">
        <v>25</v>
      </c>
      <c r="K4238" s="12"/>
      <c r="L4238" s="12"/>
      <c r="M4238" s="11" t="s">
        <v>18146</v>
      </c>
      <c r="N4238" s="5" t="s">
        <v>18147</v>
      </c>
      <c r="O4238" s="5" t="s">
        <v>26</v>
      </c>
      <c r="P4238" s="15"/>
      <c r="Q4238" s="15"/>
      <c r="R4238" s="422"/>
      <c r="S4238" s="15"/>
      <c r="T4238" s="15"/>
      <c r="U4238" s="15"/>
      <c r="V4238" s="15"/>
      <c r="W4238" s="15"/>
      <c r="X4238" s="15"/>
      <c r="Y4238" s="15"/>
      <c r="Z4238" s="15"/>
      <c r="AA4238" s="15"/>
    </row>
    <row r="4239">
      <c r="A4239" s="5" t="s">
        <v>18144</v>
      </c>
      <c r="B4239" s="292" t="str">
        <f>HYPERLINK("https://akshar-exim-company-pvt-ltd.odoo.com/web#id=26101&amp;action=152&amp;model=crm.lead&amp;view_type=form&amp;menu_id=111","C2011676")</f>
        <v>C2011676</v>
      </c>
      <c r="C4239" s="40" t="s">
        <v>18148</v>
      </c>
      <c r="D4239" s="11"/>
      <c r="E4239" s="11" t="s">
        <v>4171</v>
      </c>
      <c r="F4239" s="90">
        <v>30.0</v>
      </c>
      <c r="G4239" s="321"/>
      <c r="H4239" s="11" t="s">
        <v>18149</v>
      </c>
      <c r="I4239" s="276"/>
      <c r="J4239" s="11" t="s">
        <v>18150</v>
      </c>
      <c r="K4239" s="13"/>
      <c r="L4239" s="13"/>
      <c r="M4239" s="14"/>
      <c r="N4239" s="15"/>
      <c r="O4239" s="5" t="s">
        <v>14119</v>
      </c>
      <c r="P4239" s="15"/>
      <c r="Q4239" s="15"/>
      <c r="R4239" s="422"/>
      <c r="S4239" s="15"/>
      <c r="T4239" s="15"/>
      <c r="U4239" s="15"/>
      <c r="V4239" s="15"/>
      <c r="W4239" s="15"/>
      <c r="X4239" s="15"/>
      <c r="Y4239" s="15"/>
      <c r="Z4239" s="15"/>
      <c r="AA4239" s="15"/>
    </row>
    <row r="4240">
      <c r="A4240" s="5" t="s">
        <v>18144</v>
      </c>
      <c r="B4240" s="292" t="str">
        <f>HYPERLINK("https://akshar-exim-company-pvt-ltd.odoo.com/web#id=26080&amp;action=152&amp;model=crm.lead&amp;view_type=form&amp;menu_id=111","C2011675")</f>
        <v>C2011675</v>
      </c>
      <c r="C4240" s="40" t="s">
        <v>18151</v>
      </c>
      <c r="D4240" s="11"/>
      <c r="E4240" s="11" t="s">
        <v>18152</v>
      </c>
      <c r="F4240" s="9">
        <v>10000.0</v>
      </c>
      <c r="G4240" s="321"/>
      <c r="H4240" s="11" t="s">
        <v>2682</v>
      </c>
      <c r="I4240" s="276"/>
      <c r="J4240" s="11" t="s">
        <v>25</v>
      </c>
      <c r="K4240" s="12"/>
      <c r="L4240" s="12"/>
      <c r="M4240" s="11" t="s">
        <v>17434</v>
      </c>
      <c r="N4240" s="5" t="s">
        <v>18153</v>
      </c>
      <c r="O4240" s="5" t="s">
        <v>108</v>
      </c>
      <c r="P4240" s="15"/>
      <c r="Q4240" s="15"/>
      <c r="R4240" s="422"/>
      <c r="S4240" s="15"/>
      <c r="T4240" s="15"/>
      <c r="U4240" s="15"/>
      <c r="V4240" s="15"/>
      <c r="W4240" s="15"/>
      <c r="X4240" s="15"/>
      <c r="Y4240" s="15"/>
      <c r="Z4240" s="15"/>
      <c r="AA4240" s="15"/>
    </row>
    <row r="4241">
      <c r="A4241" s="5" t="s">
        <v>18144</v>
      </c>
      <c r="B4241" s="292" t="str">
        <f>HYPERLINK("https://akshar-exim-company-pvt-ltd.odoo.com/web#id=26076&amp;action=152&amp;model=crm.lead&amp;view_type=form&amp;menu_id=111","C2011674")</f>
        <v>C2011674</v>
      </c>
      <c r="C4241" s="40" t="s">
        <v>18154</v>
      </c>
      <c r="D4241" s="11"/>
      <c r="E4241" s="11" t="s">
        <v>18155</v>
      </c>
      <c r="F4241" s="90" t="s">
        <v>18156</v>
      </c>
      <c r="G4241" s="321"/>
      <c r="H4241" s="11" t="s">
        <v>18157</v>
      </c>
      <c r="I4241" s="276"/>
      <c r="J4241" s="11" t="s">
        <v>25</v>
      </c>
      <c r="K4241" s="13"/>
      <c r="L4241" s="13"/>
      <c r="M4241" s="14"/>
      <c r="N4241" s="15"/>
      <c r="O4241" s="5" t="s">
        <v>26</v>
      </c>
      <c r="P4241" s="15"/>
      <c r="Q4241" s="15"/>
      <c r="R4241" s="422"/>
      <c r="S4241" s="15"/>
      <c r="T4241" s="15"/>
      <c r="U4241" s="15"/>
      <c r="V4241" s="15"/>
      <c r="W4241" s="15"/>
      <c r="X4241" s="15"/>
      <c r="Y4241" s="15"/>
      <c r="Z4241" s="15"/>
      <c r="AA4241" s="15"/>
    </row>
    <row r="4242">
      <c r="A4242" s="5" t="s">
        <v>18144</v>
      </c>
      <c r="B4242" s="292" t="str">
        <f>HYPERLINK("https://akshar-exim-company-pvt-ltd.odoo.com/web#id=26083&amp;action=152&amp;model=crm.lead&amp;view_type=form&amp;menu_id=111","C2011673")</f>
        <v>C2011673</v>
      </c>
      <c r="C4242" s="40" t="s">
        <v>18158</v>
      </c>
      <c r="D4242" s="11"/>
      <c r="E4242" s="11" t="s">
        <v>18152</v>
      </c>
      <c r="F4242" s="90">
        <v>123.0</v>
      </c>
      <c r="G4242" s="321"/>
      <c r="H4242" s="11" t="s">
        <v>18159</v>
      </c>
      <c r="I4242" s="276"/>
      <c r="J4242" s="11" t="s">
        <v>25</v>
      </c>
      <c r="K4242" s="13"/>
      <c r="L4242" s="13"/>
      <c r="M4242" s="14"/>
      <c r="N4242" s="15"/>
      <c r="O4242" s="5" t="s">
        <v>14119</v>
      </c>
      <c r="P4242" s="15"/>
      <c r="Q4242" s="15"/>
      <c r="R4242" s="422"/>
      <c r="S4242" s="15"/>
      <c r="T4242" s="15"/>
      <c r="U4242" s="15"/>
      <c r="V4242" s="15"/>
      <c r="W4242" s="15"/>
      <c r="X4242" s="15"/>
      <c r="Y4242" s="15"/>
      <c r="Z4242" s="15"/>
      <c r="AA4242" s="15"/>
    </row>
    <row r="4243">
      <c r="A4243" s="5" t="s">
        <v>18144</v>
      </c>
      <c r="B4243" s="292" t="str">
        <f>HYPERLINK("https://akshar-exim-company-pvt-ltd.odoo.com/web#id=26110&amp;action=152&amp;model=crm.lead&amp;view_type=form&amp;menu_id=111","C2011672")</f>
        <v>C2011672</v>
      </c>
      <c r="C4243" s="40" t="s">
        <v>18160</v>
      </c>
      <c r="D4243" s="11"/>
      <c r="E4243" s="11" t="s">
        <v>15708</v>
      </c>
      <c r="F4243" s="90">
        <v>10.0</v>
      </c>
      <c r="G4243" s="321"/>
      <c r="H4243" s="11" t="s">
        <v>44</v>
      </c>
      <c r="I4243" s="276"/>
      <c r="J4243" s="11" t="s">
        <v>25</v>
      </c>
      <c r="K4243" s="13"/>
      <c r="L4243" s="13"/>
      <c r="M4243" s="14"/>
      <c r="N4243" s="15"/>
      <c r="O4243" s="5" t="s">
        <v>14119</v>
      </c>
      <c r="P4243" s="15"/>
      <c r="Q4243" s="15"/>
      <c r="R4243" s="422"/>
      <c r="S4243" s="15"/>
      <c r="T4243" s="15"/>
      <c r="U4243" s="15"/>
      <c r="V4243" s="15"/>
      <c r="W4243" s="15"/>
      <c r="X4243" s="15"/>
      <c r="Y4243" s="15"/>
      <c r="Z4243" s="15"/>
      <c r="AA4243" s="15"/>
    </row>
    <row r="4244">
      <c r="A4244" s="5" t="s">
        <v>18144</v>
      </c>
      <c r="B4244" s="292" t="str">
        <f>HYPERLINK("https://akshar-exim-company-pvt-ltd.odoo.com/web#id=26079&amp;action=152&amp;model=crm.lead&amp;view_type=form&amp;menu_id=111","C2011671")</f>
        <v>C2011671</v>
      </c>
      <c r="C4244" s="40" t="s">
        <v>18161</v>
      </c>
      <c r="D4244" s="11"/>
      <c r="E4244" s="11" t="s">
        <v>18162</v>
      </c>
      <c r="F4244" s="90" t="s">
        <v>18163</v>
      </c>
      <c r="G4244" s="321"/>
      <c r="H4244" s="11" t="s">
        <v>2682</v>
      </c>
      <c r="I4244" s="276"/>
      <c r="J4244" s="11" t="s">
        <v>12314</v>
      </c>
      <c r="K4244" s="12"/>
      <c r="L4244" s="12"/>
      <c r="M4244" s="11" t="s">
        <v>18164</v>
      </c>
      <c r="N4244" s="5" t="s">
        <v>18165</v>
      </c>
      <c r="O4244" s="5" t="s">
        <v>108</v>
      </c>
      <c r="P4244" s="15"/>
      <c r="Q4244" s="15"/>
      <c r="R4244" s="422"/>
      <c r="S4244" s="15"/>
      <c r="T4244" s="15"/>
      <c r="U4244" s="15"/>
      <c r="V4244" s="15"/>
      <c r="W4244" s="15"/>
      <c r="X4244" s="15"/>
      <c r="Y4244" s="15"/>
      <c r="Z4244" s="15"/>
      <c r="AA4244" s="15"/>
    </row>
    <row r="4245">
      <c r="A4245" s="5" t="s">
        <v>18144</v>
      </c>
      <c r="B4245" s="292" t="str">
        <f>HYPERLINK("https://akshar-exim-company-pvt-ltd.odoo.com/web#id=26081&amp;action=152&amp;model=crm.lead&amp;view_type=form&amp;menu_id=111","C2011670")</f>
        <v>C2011670</v>
      </c>
      <c r="C4245" s="40" t="s">
        <v>18166</v>
      </c>
      <c r="D4245" s="11"/>
      <c r="E4245" s="11" t="s">
        <v>5293</v>
      </c>
      <c r="F4245" s="90">
        <v>25.0</v>
      </c>
      <c r="G4245" s="321"/>
      <c r="H4245" s="11" t="s">
        <v>507</v>
      </c>
      <c r="I4245" s="276"/>
      <c r="J4245" s="11" t="s">
        <v>25</v>
      </c>
      <c r="K4245" s="13"/>
      <c r="L4245" s="13"/>
      <c r="M4245" s="14"/>
      <c r="N4245" s="15"/>
      <c r="O4245" s="5" t="s">
        <v>14119</v>
      </c>
      <c r="P4245" s="15"/>
      <c r="Q4245" s="15"/>
      <c r="R4245" s="422"/>
      <c r="S4245" s="15"/>
      <c r="T4245" s="15"/>
      <c r="U4245" s="15"/>
      <c r="V4245" s="15"/>
      <c r="W4245" s="15"/>
      <c r="X4245" s="15"/>
      <c r="Y4245" s="15"/>
      <c r="Z4245" s="15"/>
      <c r="AA4245" s="15"/>
    </row>
    <row r="4246">
      <c r="A4246" s="5" t="s">
        <v>18144</v>
      </c>
      <c r="B4246" s="292" t="str">
        <f>HYPERLINK("https://akshar-exim-company-pvt-ltd.odoo.com/web#id=26091&amp;action=152&amp;model=crm.lead&amp;view_type=form&amp;menu_id=111","C2011669")</f>
        <v>C2011669</v>
      </c>
      <c r="C4246" s="40" t="s">
        <v>18167</v>
      </c>
      <c r="D4246" s="11"/>
      <c r="E4246" s="11" t="s">
        <v>2821</v>
      </c>
      <c r="F4246" s="90">
        <v>500.0</v>
      </c>
      <c r="G4246" s="321"/>
      <c r="H4246" s="11" t="s">
        <v>196</v>
      </c>
      <c r="I4246" s="423"/>
      <c r="J4246" s="14"/>
      <c r="K4246" s="12"/>
      <c r="L4246" s="12"/>
      <c r="M4246" s="11" t="s">
        <v>13381</v>
      </c>
      <c r="N4246" s="5" t="s">
        <v>18168</v>
      </c>
      <c r="O4246" s="5" t="s">
        <v>34</v>
      </c>
      <c r="P4246" s="15"/>
      <c r="Q4246" s="15"/>
      <c r="R4246" s="422"/>
      <c r="S4246" s="15"/>
      <c r="T4246" s="15"/>
      <c r="U4246" s="15"/>
      <c r="V4246" s="15"/>
      <c r="W4246" s="15"/>
      <c r="X4246" s="15"/>
      <c r="Y4246" s="15"/>
      <c r="Z4246" s="15"/>
      <c r="AA4246" s="15"/>
    </row>
    <row r="4247">
      <c r="A4247" s="5" t="s">
        <v>18144</v>
      </c>
      <c r="B4247" s="292" t="str">
        <f>HYPERLINK("https://akshar-exim-company-pvt-ltd.odoo.com/web#id=26102&amp;action=152&amp;model=crm.lead&amp;view_type=form&amp;menu_id=111","C2011668")</f>
        <v>C2011668</v>
      </c>
      <c r="C4247" s="40" t="s">
        <v>18169</v>
      </c>
      <c r="D4247" s="11"/>
      <c r="E4247" s="11" t="s">
        <v>18170</v>
      </c>
      <c r="F4247" s="90">
        <v>10.0</v>
      </c>
      <c r="G4247" s="321"/>
      <c r="H4247" s="11" t="s">
        <v>472</v>
      </c>
      <c r="I4247" s="276"/>
      <c r="J4247" s="11" t="s">
        <v>25</v>
      </c>
      <c r="K4247" s="13"/>
      <c r="L4247" s="13"/>
      <c r="M4247" s="14"/>
      <c r="N4247" s="15"/>
      <c r="O4247" s="5" t="s">
        <v>14119</v>
      </c>
      <c r="P4247" s="15"/>
      <c r="Q4247" s="15"/>
      <c r="R4247" s="422"/>
      <c r="S4247" s="15"/>
      <c r="T4247" s="15"/>
      <c r="U4247" s="15"/>
      <c r="V4247" s="15"/>
      <c r="W4247" s="15"/>
      <c r="X4247" s="15"/>
      <c r="Y4247" s="15"/>
      <c r="Z4247" s="15"/>
      <c r="AA4247" s="15"/>
    </row>
    <row r="4248">
      <c r="A4248" s="5" t="s">
        <v>18144</v>
      </c>
      <c r="B4248" s="292" t="str">
        <f>HYPERLINK("https://akshar-exim-company-pvt-ltd.odoo.com/web#id=26097&amp;action=152&amp;model=crm.lead&amp;view_type=form&amp;menu_id=111","C2011667")</f>
        <v>C2011667</v>
      </c>
      <c r="C4248" s="40" t="s">
        <v>17452</v>
      </c>
      <c r="D4248" s="11"/>
      <c r="E4248" s="11" t="s">
        <v>18171</v>
      </c>
      <c r="F4248" s="90">
        <v>200.0</v>
      </c>
      <c r="G4248" s="321"/>
      <c r="H4248" s="11" t="s">
        <v>1414</v>
      </c>
      <c r="I4248" s="276"/>
      <c r="J4248" s="11" t="s">
        <v>25</v>
      </c>
      <c r="K4248" s="13"/>
      <c r="L4248" s="13"/>
      <c r="M4248" s="14"/>
      <c r="N4248" s="15"/>
      <c r="O4248" s="5" t="s">
        <v>14119</v>
      </c>
      <c r="P4248" s="15"/>
      <c r="Q4248" s="15"/>
      <c r="R4248" s="422"/>
      <c r="S4248" s="15"/>
      <c r="T4248" s="15"/>
      <c r="U4248" s="15"/>
      <c r="V4248" s="15"/>
      <c r="W4248" s="15"/>
      <c r="X4248" s="15"/>
      <c r="Y4248" s="15"/>
      <c r="Z4248" s="15"/>
      <c r="AA4248" s="15"/>
    </row>
    <row r="4249">
      <c r="A4249" s="5" t="s">
        <v>18144</v>
      </c>
      <c r="B4249" s="292" t="str">
        <f>HYPERLINK("https://akshar-exim-company-pvt-ltd.odoo.com/web#id=26086&amp;action=152&amp;model=crm.lead&amp;view_type=form&amp;menu_id=111","C2011666")</f>
        <v>C2011666</v>
      </c>
      <c r="C4249" s="40" t="s">
        <v>18172</v>
      </c>
      <c r="D4249" s="11"/>
      <c r="E4249" s="11" t="s">
        <v>18173</v>
      </c>
      <c r="F4249" s="90" t="s">
        <v>18174</v>
      </c>
      <c r="G4249" s="321"/>
      <c r="H4249" s="11" t="s">
        <v>1561</v>
      </c>
      <c r="I4249" s="276"/>
      <c r="J4249" s="11" t="s">
        <v>13848</v>
      </c>
      <c r="K4249" s="13"/>
      <c r="L4249" s="13"/>
      <c r="M4249" s="14"/>
      <c r="N4249" s="15"/>
      <c r="O4249" s="5" t="s">
        <v>14119</v>
      </c>
      <c r="P4249" s="15"/>
      <c r="Q4249" s="15"/>
      <c r="R4249" s="422"/>
      <c r="S4249" s="15"/>
      <c r="T4249" s="15"/>
      <c r="U4249" s="15"/>
      <c r="V4249" s="15"/>
      <c r="W4249" s="15"/>
      <c r="X4249" s="15"/>
      <c r="Y4249" s="15"/>
      <c r="Z4249" s="15"/>
      <c r="AA4249" s="15"/>
    </row>
    <row r="4250">
      <c r="A4250" s="5" t="s">
        <v>18144</v>
      </c>
      <c r="B4250" s="292" t="str">
        <f>HYPERLINK("https://akshar-exim-company-pvt-ltd.odoo.com/web#id=26090&amp;action=152&amp;model=crm.lead&amp;view_type=form&amp;menu_id=111","C2011665")</f>
        <v>C2011665</v>
      </c>
      <c r="C4250" s="40" t="s">
        <v>18175</v>
      </c>
      <c r="D4250" s="11"/>
      <c r="E4250" s="11" t="s">
        <v>3341</v>
      </c>
      <c r="F4250" s="90">
        <v>1000.0</v>
      </c>
      <c r="G4250" s="321"/>
      <c r="H4250" s="11" t="s">
        <v>99</v>
      </c>
      <c r="I4250" s="276"/>
      <c r="J4250" s="11" t="s">
        <v>25</v>
      </c>
      <c r="K4250" s="12"/>
      <c r="L4250" s="12"/>
      <c r="M4250" s="11" t="s">
        <v>14789</v>
      </c>
      <c r="N4250" s="5" t="s">
        <v>18176</v>
      </c>
      <c r="O4250" s="5" t="s">
        <v>26</v>
      </c>
      <c r="P4250" s="15"/>
      <c r="Q4250" s="15"/>
      <c r="R4250" s="422"/>
      <c r="S4250" s="15"/>
      <c r="T4250" s="15"/>
      <c r="U4250" s="15"/>
      <c r="V4250" s="15"/>
      <c r="W4250" s="15"/>
      <c r="X4250" s="15"/>
      <c r="Y4250" s="15"/>
      <c r="Z4250" s="15"/>
      <c r="AA4250" s="15"/>
    </row>
    <row r="4251">
      <c r="A4251" s="5" t="s">
        <v>18144</v>
      </c>
      <c r="B4251" s="5" t="s">
        <v>18177</v>
      </c>
      <c r="C4251" s="40" t="s">
        <v>18178</v>
      </c>
      <c r="D4251" s="11"/>
      <c r="E4251" s="11" t="s">
        <v>794</v>
      </c>
      <c r="F4251" s="90">
        <v>500.0</v>
      </c>
      <c r="G4251" s="321"/>
      <c r="H4251" s="11" t="s">
        <v>99</v>
      </c>
      <c r="I4251" s="276"/>
      <c r="J4251" s="11" t="s">
        <v>25</v>
      </c>
      <c r="K4251" s="12"/>
      <c r="L4251" s="12"/>
      <c r="M4251" s="11" t="s">
        <v>15179</v>
      </c>
      <c r="N4251" s="5" t="s">
        <v>18179</v>
      </c>
      <c r="O4251" s="5" t="s">
        <v>26</v>
      </c>
      <c r="P4251" s="15"/>
      <c r="Q4251" s="15"/>
      <c r="R4251" s="422"/>
      <c r="S4251" s="15"/>
      <c r="T4251" s="15"/>
      <c r="U4251" s="15"/>
      <c r="V4251" s="15"/>
      <c r="W4251" s="15"/>
      <c r="X4251" s="15"/>
      <c r="Y4251" s="15"/>
      <c r="Z4251" s="15"/>
      <c r="AA4251" s="15"/>
    </row>
    <row r="4252">
      <c r="A4252" s="431"/>
      <c r="B4252" s="15"/>
      <c r="C4252" s="432"/>
      <c r="D4252" s="14"/>
      <c r="E4252" s="14"/>
      <c r="F4252" s="433"/>
      <c r="G4252" s="434"/>
      <c r="H4252" s="14"/>
      <c r="I4252" s="423"/>
      <c r="J4252" s="14"/>
      <c r="K4252" s="13"/>
      <c r="L4252" s="13"/>
      <c r="M4252" s="14"/>
      <c r="N4252" s="15"/>
      <c r="O4252" s="15"/>
      <c r="P4252" s="15"/>
      <c r="Q4252" s="15"/>
      <c r="R4252" s="422"/>
      <c r="S4252" s="15"/>
      <c r="T4252" s="15"/>
      <c r="U4252" s="15"/>
      <c r="V4252" s="15"/>
      <c r="W4252" s="15"/>
      <c r="X4252" s="15"/>
      <c r="Y4252" s="15"/>
      <c r="Z4252" s="15"/>
      <c r="AA4252" s="15"/>
    </row>
    <row r="4253">
      <c r="A4253" s="5" t="s">
        <v>18180</v>
      </c>
      <c r="B4253" s="292" t="str">
        <f>HYPERLINK("https://akshar-exim-company-pvt-ltd.odoo.com/web#id=23379&amp;action=152&amp;model=crm.lead&amp;view_type=form&amp;menu_id=111","C2011663")</f>
        <v>C2011663</v>
      </c>
      <c r="C4253" s="41" t="s">
        <v>18181</v>
      </c>
      <c r="D4253" s="41"/>
      <c r="E4253" s="41" t="s">
        <v>87</v>
      </c>
      <c r="F4253" s="90">
        <v>25.0</v>
      </c>
      <c r="G4253" s="321"/>
      <c r="H4253" s="11" t="s">
        <v>906</v>
      </c>
      <c r="I4253" s="276"/>
      <c r="J4253" s="11" t="s">
        <v>18182</v>
      </c>
      <c r="K4253" s="13"/>
      <c r="L4253" s="13"/>
      <c r="M4253" s="14"/>
      <c r="N4253" s="15"/>
      <c r="O4253" s="5" t="s">
        <v>10708</v>
      </c>
      <c r="P4253" s="15"/>
      <c r="Q4253" s="15"/>
      <c r="R4253" s="422"/>
      <c r="S4253" s="15"/>
      <c r="T4253" s="15"/>
      <c r="U4253" s="15"/>
      <c r="V4253" s="15"/>
      <c r="W4253" s="15"/>
      <c r="X4253" s="15"/>
      <c r="Y4253" s="15"/>
      <c r="Z4253" s="15"/>
      <c r="AA4253" s="15"/>
    </row>
    <row r="4254">
      <c r="A4254" s="5" t="s">
        <v>18180</v>
      </c>
      <c r="B4254" s="292" t="str">
        <f>HYPERLINK("https://akshar-exim-company-pvt-ltd.odoo.com/web#id=23378&amp;action=152&amp;model=crm.lead&amp;view_type=form&amp;menu_id=111","C2011662")</f>
        <v>C2011662</v>
      </c>
      <c r="C4254" s="41" t="s">
        <v>18183</v>
      </c>
      <c r="D4254" s="41"/>
      <c r="E4254" s="41" t="s">
        <v>18184</v>
      </c>
      <c r="F4254" s="90">
        <v>5.0</v>
      </c>
      <c r="G4254" s="430"/>
      <c r="H4254" s="41" t="s">
        <v>18185</v>
      </c>
      <c r="I4254" s="97"/>
      <c r="J4254" s="41" t="s">
        <v>18186</v>
      </c>
      <c r="K4254" s="13"/>
      <c r="L4254" s="13"/>
      <c r="M4254" s="14"/>
      <c r="N4254" s="15"/>
      <c r="O4254" s="5" t="s">
        <v>10708</v>
      </c>
      <c r="P4254" s="15"/>
      <c r="Q4254" s="15"/>
      <c r="R4254" s="422"/>
      <c r="S4254" s="15"/>
      <c r="T4254" s="15"/>
      <c r="U4254" s="15"/>
      <c r="V4254" s="15"/>
      <c r="W4254" s="15"/>
      <c r="X4254" s="15"/>
      <c r="Y4254" s="15"/>
      <c r="Z4254" s="15"/>
      <c r="AA4254" s="15"/>
    </row>
    <row r="4255">
      <c r="A4255" s="5" t="s">
        <v>18180</v>
      </c>
      <c r="B4255" s="292" t="str">
        <f>HYPERLINK("https://akshar-exim-company-pvt-ltd.odoo.com/web#id=23376&amp;action=152&amp;model=crm.lead&amp;view_type=form&amp;menu_id=111","C2011661")</f>
        <v>C2011661</v>
      </c>
      <c r="C4255" s="41" t="s">
        <v>18187</v>
      </c>
      <c r="D4255" s="41"/>
      <c r="E4255" s="41" t="s">
        <v>18188</v>
      </c>
      <c r="F4255" s="90">
        <v>5.0</v>
      </c>
      <c r="G4255" s="321"/>
      <c r="H4255" s="11" t="s">
        <v>44</v>
      </c>
      <c r="I4255" s="276"/>
      <c r="J4255" s="11" t="s">
        <v>18182</v>
      </c>
      <c r="K4255" s="13"/>
      <c r="L4255" s="13"/>
      <c r="M4255" s="14"/>
      <c r="N4255" s="15"/>
      <c r="O4255" s="5" t="s">
        <v>10708</v>
      </c>
      <c r="P4255" s="15"/>
      <c r="Q4255" s="15"/>
      <c r="R4255" s="422"/>
      <c r="S4255" s="15"/>
      <c r="T4255" s="15"/>
      <c r="U4255" s="15"/>
      <c r="V4255" s="15"/>
      <c r="W4255" s="15"/>
      <c r="X4255" s="15"/>
      <c r="Y4255" s="15"/>
      <c r="Z4255" s="15"/>
      <c r="AA4255" s="15"/>
    </row>
    <row r="4256">
      <c r="A4256" s="5" t="s">
        <v>18180</v>
      </c>
      <c r="B4256" s="292" t="str">
        <f>HYPERLINK("https://akshar-exim-company-pvt-ltd.odoo.com/web#id=23368&amp;action=152&amp;model=crm.lead&amp;view_type=form&amp;menu_id=111","C2011660")</f>
        <v>C2011660</v>
      </c>
      <c r="C4256" s="41" t="s">
        <v>18189</v>
      </c>
      <c r="D4256" s="41"/>
      <c r="E4256" s="41" t="s">
        <v>12775</v>
      </c>
      <c r="F4256" s="90">
        <v>5.0</v>
      </c>
      <c r="G4256" s="321"/>
      <c r="H4256" s="11" t="s">
        <v>44</v>
      </c>
      <c r="I4256" s="97"/>
      <c r="J4256" s="41" t="s">
        <v>18182</v>
      </c>
      <c r="K4256" s="13"/>
      <c r="L4256" s="13"/>
      <c r="M4256" s="14"/>
      <c r="N4256" s="15"/>
      <c r="O4256" s="5" t="s">
        <v>10708</v>
      </c>
      <c r="P4256" s="15"/>
      <c r="Q4256" s="15"/>
      <c r="R4256" s="422"/>
      <c r="S4256" s="15"/>
      <c r="T4256" s="15"/>
      <c r="U4256" s="15"/>
      <c r="V4256" s="15"/>
      <c r="W4256" s="15"/>
      <c r="X4256" s="15"/>
      <c r="Y4256" s="15"/>
      <c r="Z4256" s="15"/>
      <c r="AA4256" s="15"/>
    </row>
    <row r="4257">
      <c r="A4257" s="5" t="s">
        <v>18180</v>
      </c>
      <c r="B4257" s="292" t="str">
        <f>HYPERLINK("https://akshar-exim-company-pvt-ltd.odoo.com/web#id=23365&amp;action=152&amp;model=crm.lead&amp;view_type=form&amp;menu_id=111","C2011659")</f>
        <v>C2011659</v>
      </c>
      <c r="C4257" s="41" t="s">
        <v>18190</v>
      </c>
      <c r="D4257" s="405"/>
      <c r="E4257" s="405" t="s">
        <v>4892</v>
      </c>
      <c r="F4257" s="90">
        <v>5.0</v>
      </c>
      <c r="G4257" s="321"/>
      <c r="H4257" s="11" t="s">
        <v>44</v>
      </c>
      <c r="I4257" s="276"/>
      <c r="J4257" s="11" t="s">
        <v>18182</v>
      </c>
      <c r="K4257" s="13"/>
      <c r="L4257" s="13"/>
      <c r="M4257" s="14"/>
      <c r="N4257" s="15"/>
      <c r="O4257" s="5" t="s">
        <v>10708</v>
      </c>
      <c r="P4257" s="15"/>
      <c r="Q4257" s="15"/>
      <c r="R4257" s="422"/>
      <c r="S4257" s="15"/>
      <c r="T4257" s="15"/>
      <c r="U4257" s="15"/>
      <c r="V4257" s="15"/>
      <c r="W4257" s="15"/>
      <c r="X4257" s="15"/>
      <c r="Y4257" s="15"/>
      <c r="Z4257" s="15"/>
      <c r="AA4257" s="15"/>
    </row>
    <row r="4258">
      <c r="A4258" s="5" t="s">
        <v>18180</v>
      </c>
      <c r="B4258" s="292" t="str">
        <f>HYPERLINK("https://akshar-exim-company-pvt-ltd.odoo.com/web#id=23364&amp;action=152&amp;model=crm.lead&amp;view_type=form&amp;menu_id=111","C2011658")</f>
        <v>C2011658</v>
      </c>
      <c r="C4258" s="41" t="s">
        <v>18191</v>
      </c>
      <c r="D4258" s="41"/>
      <c r="E4258" s="41" t="s">
        <v>18192</v>
      </c>
      <c r="F4258" s="90">
        <v>2000.0</v>
      </c>
      <c r="G4258" s="430"/>
      <c r="H4258" s="41" t="s">
        <v>18193</v>
      </c>
      <c r="I4258" s="276"/>
      <c r="J4258" s="11" t="s">
        <v>12745</v>
      </c>
      <c r="K4258" s="12"/>
      <c r="L4258" s="12"/>
      <c r="M4258" s="11" t="s">
        <v>10721</v>
      </c>
      <c r="N4258" s="5" t="s">
        <v>18194</v>
      </c>
      <c r="O4258" s="5" t="s">
        <v>17993</v>
      </c>
      <c r="P4258" s="15"/>
      <c r="Q4258" s="15"/>
      <c r="R4258" s="422"/>
      <c r="S4258" s="15"/>
      <c r="T4258" s="15"/>
      <c r="U4258" s="15"/>
      <c r="V4258" s="15"/>
      <c r="W4258" s="15"/>
      <c r="X4258" s="15"/>
      <c r="Y4258" s="15"/>
      <c r="Z4258" s="15"/>
      <c r="AA4258" s="15"/>
    </row>
    <row r="4259">
      <c r="A4259" s="5" t="s">
        <v>18180</v>
      </c>
      <c r="B4259" s="292" t="str">
        <f>HYPERLINK("https://akshar-exim-company-pvt-ltd.odoo.com/web#id=23360&amp;action=152&amp;model=crm.lead&amp;view_type=form&amp;menu_id=111","C2011657")</f>
        <v>C2011657</v>
      </c>
      <c r="C4259" s="435" t="s">
        <v>1946</v>
      </c>
      <c r="D4259" s="11"/>
      <c r="E4259" s="11" t="s">
        <v>841</v>
      </c>
      <c r="F4259" s="90">
        <v>1000.0</v>
      </c>
      <c r="G4259" s="321"/>
      <c r="H4259" s="11" t="s">
        <v>44</v>
      </c>
      <c r="I4259" s="276"/>
      <c r="J4259" s="11" t="s">
        <v>17976</v>
      </c>
      <c r="K4259" s="12"/>
      <c r="L4259" s="12"/>
      <c r="M4259" s="11" t="s">
        <v>7965</v>
      </c>
      <c r="N4259" s="5" t="s">
        <v>18195</v>
      </c>
      <c r="O4259" s="5" t="s">
        <v>1112</v>
      </c>
      <c r="P4259" s="15"/>
      <c r="Q4259" s="15"/>
      <c r="R4259" s="422"/>
      <c r="S4259" s="15"/>
      <c r="T4259" s="15"/>
      <c r="U4259" s="15"/>
      <c r="V4259" s="15"/>
      <c r="W4259" s="15"/>
      <c r="X4259" s="15"/>
      <c r="Y4259" s="15"/>
      <c r="Z4259" s="15"/>
      <c r="AA4259" s="15"/>
    </row>
    <row r="4260">
      <c r="A4260" s="5" t="s">
        <v>18180</v>
      </c>
      <c r="B4260" s="292" t="str">
        <f>HYPERLINK("https://akshar-exim-company-pvt-ltd.odoo.com/web#id=23356&amp;action=152&amp;model=crm.lead&amp;view_type=form&amp;menu_id=111","C2011656")</f>
        <v>C2011656</v>
      </c>
      <c r="C4260" s="41" t="s">
        <v>18196</v>
      </c>
      <c r="D4260" s="405"/>
      <c r="E4260" s="405" t="s">
        <v>17353</v>
      </c>
      <c r="F4260" s="90">
        <v>20.0</v>
      </c>
      <c r="G4260" s="430"/>
      <c r="H4260" s="41" t="s">
        <v>18197</v>
      </c>
      <c r="I4260" s="276"/>
      <c r="J4260" s="11" t="s">
        <v>18182</v>
      </c>
      <c r="K4260" s="13"/>
      <c r="L4260" s="13"/>
      <c r="M4260" s="14"/>
      <c r="N4260" s="15"/>
      <c r="O4260" s="5" t="s">
        <v>10708</v>
      </c>
      <c r="P4260" s="15"/>
      <c r="Q4260" s="15"/>
      <c r="R4260" s="422"/>
      <c r="S4260" s="15"/>
      <c r="T4260" s="15"/>
      <c r="U4260" s="15"/>
      <c r="V4260" s="15"/>
      <c r="W4260" s="15"/>
      <c r="X4260" s="15"/>
      <c r="Y4260" s="15"/>
      <c r="Z4260" s="15"/>
      <c r="AA4260" s="15"/>
    </row>
    <row r="4261">
      <c r="A4261" s="5" t="s">
        <v>18180</v>
      </c>
      <c r="B4261" s="292" t="str">
        <f>HYPERLINK("https://akshar-exim-company-pvt-ltd.odoo.com/web#id=23354&amp;action=152&amp;model=crm.lead&amp;view_type=form&amp;menu_id=111","C2011655")</f>
        <v>C2011655</v>
      </c>
      <c r="C4261" s="41" t="s">
        <v>18198</v>
      </c>
      <c r="D4261" s="41"/>
      <c r="E4261" s="41" t="s">
        <v>8247</v>
      </c>
      <c r="F4261" s="90">
        <v>300.0</v>
      </c>
      <c r="G4261" s="430"/>
      <c r="H4261" s="41" t="s">
        <v>18199</v>
      </c>
      <c r="I4261" s="276"/>
      <c r="J4261" s="11" t="s">
        <v>17976</v>
      </c>
      <c r="K4261" s="13"/>
      <c r="L4261" s="13"/>
      <c r="M4261" s="14"/>
      <c r="N4261" s="15"/>
      <c r="O4261" s="5" t="s">
        <v>1112</v>
      </c>
      <c r="P4261" s="15"/>
      <c r="Q4261" s="15"/>
      <c r="R4261" s="422"/>
      <c r="S4261" s="15"/>
      <c r="T4261" s="15"/>
      <c r="U4261" s="15"/>
      <c r="V4261" s="15"/>
      <c r="W4261" s="15"/>
      <c r="X4261" s="15"/>
      <c r="Y4261" s="15"/>
      <c r="Z4261" s="15"/>
      <c r="AA4261" s="15"/>
    </row>
    <row r="4262">
      <c r="A4262" s="5" t="s">
        <v>18180</v>
      </c>
      <c r="B4262" s="292" t="str">
        <f>HYPERLINK("https://akshar-exim-company-pvt-ltd.odoo.com/web#id=23351&amp;action=152&amp;model=crm.lead&amp;view_type=form&amp;menu_id=111","C2011654")</f>
        <v>C2011654</v>
      </c>
      <c r="C4262" s="41" t="s">
        <v>18200</v>
      </c>
      <c r="D4262" s="41"/>
      <c r="E4262" s="41" t="s">
        <v>10508</v>
      </c>
      <c r="F4262" s="90">
        <v>5.0</v>
      </c>
      <c r="G4262" s="321"/>
      <c r="H4262" s="11" t="s">
        <v>44</v>
      </c>
      <c r="I4262" s="276"/>
      <c r="J4262" s="11" t="s">
        <v>17976</v>
      </c>
      <c r="K4262" s="13"/>
      <c r="L4262" s="13"/>
      <c r="M4262" s="14"/>
      <c r="N4262" s="15"/>
      <c r="O4262" s="5" t="s">
        <v>10708</v>
      </c>
      <c r="P4262" s="15"/>
      <c r="Q4262" s="15"/>
      <c r="R4262" s="422"/>
      <c r="S4262" s="15"/>
      <c r="T4262" s="15"/>
      <c r="U4262" s="15"/>
      <c r="V4262" s="15"/>
      <c r="W4262" s="15"/>
      <c r="X4262" s="15"/>
      <c r="Y4262" s="15"/>
      <c r="Z4262" s="15"/>
      <c r="AA4262" s="15"/>
    </row>
    <row r="4263">
      <c r="A4263" s="5" t="s">
        <v>18180</v>
      </c>
      <c r="B4263" s="292" t="str">
        <f>HYPERLINK("https://akshar-exim-company-pvt-ltd.odoo.com/web#id=23350&amp;action=152&amp;model=crm.lead&amp;view_type=form&amp;menu_id=111","C2011653")</f>
        <v>C2011653</v>
      </c>
      <c r="C4263" s="41" t="s">
        <v>18201</v>
      </c>
      <c r="D4263" s="41"/>
      <c r="E4263" s="41" t="s">
        <v>8247</v>
      </c>
      <c r="F4263" s="90">
        <v>900.0</v>
      </c>
      <c r="G4263" s="430"/>
      <c r="H4263" s="41" t="s">
        <v>18202</v>
      </c>
      <c r="I4263" s="97"/>
      <c r="J4263" s="41" t="s">
        <v>18182</v>
      </c>
      <c r="K4263" s="13"/>
      <c r="L4263" s="13"/>
      <c r="M4263" s="14"/>
      <c r="N4263" s="15"/>
      <c r="O4263" s="5" t="s">
        <v>1112</v>
      </c>
      <c r="P4263" s="15"/>
      <c r="Q4263" s="15"/>
      <c r="R4263" s="422"/>
      <c r="S4263" s="15"/>
      <c r="T4263" s="15"/>
      <c r="U4263" s="15"/>
      <c r="V4263" s="15"/>
      <c r="W4263" s="15"/>
      <c r="X4263" s="15"/>
      <c r="Y4263" s="15"/>
      <c r="Z4263" s="15"/>
      <c r="AA4263" s="15"/>
    </row>
    <row r="4264">
      <c r="A4264" s="5" t="s">
        <v>18180</v>
      </c>
      <c r="B4264" s="292" t="str">
        <f>HYPERLINK("https://akshar-exim-company-pvt-ltd.odoo.com/web#id=23345&amp;action=152&amp;model=crm.lead&amp;view_type=form&amp;menu_id=111","C2011652")</f>
        <v>C2011652</v>
      </c>
      <c r="C4264" s="41" t="s">
        <v>5712</v>
      </c>
      <c r="D4264" s="41"/>
      <c r="E4264" s="41" t="s">
        <v>18203</v>
      </c>
      <c r="F4264" s="90">
        <v>25.0</v>
      </c>
      <c r="G4264" s="430"/>
      <c r="H4264" s="41" t="s">
        <v>6666</v>
      </c>
      <c r="I4264" s="97"/>
      <c r="J4264" s="41" t="s">
        <v>18182</v>
      </c>
      <c r="K4264" s="13"/>
      <c r="L4264" s="13"/>
      <c r="M4264" s="14"/>
      <c r="N4264" s="15"/>
      <c r="O4264" s="5" t="s">
        <v>10708</v>
      </c>
      <c r="P4264" s="15"/>
      <c r="Q4264" s="15"/>
      <c r="R4264" s="422"/>
      <c r="S4264" s="15"/>
      <c r="T4264" s="15"/>
      <c r="U4264" s="15"/>
      <c r="V4264" s="15"/>
      <c r="W4264" s="15"/>
      <c r="X4264" s="15"/>
      <c r="Y4264" s="15"/>
      <c r="Z4264" s="15"/>
      <c r="AA4264" s="15"/>
    </row>
    <row r="4265">
      <c r="A4265" s="5" t="s">
        <v>18180</v>
      </c>
      <c r="B4265" s="292" t="str">
        <f>HYPERLINK("https://akshar-exim-company-pvt-ltd.odoo.com/web#id=23341&amp;action=152&amp;model=crm.lead&amp;view_type=form&amp;menu_id=111","C2011651")</f>
        <v>C2011651</v>
      </c>
      <c r="C4265" s="41" t="s">
        <v>3665</v>
      </c>
      <c r="D4265" s="41"/>
      <c r="E4265" s="41" t="s">
        <v>18204</v>
      </c>
      <c r="F4265" s="90">
        <v>50.0</v>
      </c>
      <c r="G4265" s="321"/>
      <c r="H4265" s="11" t="s">
        <v>44</v>
      </c>
      <c r="I4265" s="276"/>
      <c r="J4265" s="11" t="s">
        <v>18182</v>
      </c>
      <c r="K4265" s="13"/>
      <c r="L4265" s="13"/>
      <c r="M4265" s="14"/>
      <c r="N4265" s="15"/>
      <c r="O4265" s="5" t="s">
        <v>10708</v>
      </c>
      <c r="P4265" s="15"/>
      <c r="Q4265" s="15"/>
      <c r="R4265" s="422"/>
      <c r="S4265" s="15"/>
      <c r="T4265" s="15"/>
      <c r="U4265" s="15"/>
      <c r="V4265" s="15"/>
      <c r="W4265" s="15"/>
      <c r="X4265" s="15"/>
      <c r="Y4265" s="15"/>
      <c r="Z4265" s="15"/>
      <c r="AA4265" s="15"/>
    </row>
    <row r="4266">
      <c r="A4266" s="5" t="s">
        <v>18180</v>
      </c>
      <c r="B4266" s="292" t="str">
        <f>HYPERLINK("https://akshar-exim-company-pvt-ltd.odoo.com/web#id=23340&amp;action=152&amp;model=crm.lead&amp;view_type=form&amp;menu_id=111","C2011650")</f>
        <v>C2011650</v>
      </c>
      <c r="C4266" s="40" t="s">
        <v>18205</v>
      </c>
      <c r="D4266" s="41"/>
      <c r="E4266" s="41" t="s">
        <v>18206</v>
      </c>
      <c r="F4266" s="90">
        <v>500.0</v>
      </c>
      <c r="G4266" s="430"/>
      <c r="H4266" s="41" t="s">
        <v>18207</v>
      </c>
      <c r="I4266" s="276"/>
      <c r="J4266" s="11" t="s">
        <v>17976</v>
      </c>
      <c r="K4266" s="13"/>
      <c r="L4266" s="13"/>
      <c r="M4266" s="14"/>
      <c r="N4266" s="15"/>
      <c r="O4266" s="5" t="s">
        <v>17993</v>
      </c>
      <c r="P4266" s="15"/>
      <c r="Q4266" s="15"/>
      <c r="R4266" s="422"/>
      <c r="S4266" s="15"/>
      <c r="T4266" s="15"/>
      <c r="U4266" s="15"/>
      <c r="V4266" s="15"/>
      <c r="W4266" s="15"/>
      <c r="X4266" s="15"/>
      <c r="Y4266" s="15"/>
      <c r="Z4266" s="15"/>
      <c r="AA4266" s="15"/>
    </row>
    <row r="4267">
      <c r="A4267" s="5" t="s">
        <v>18208</v>
      </c>
      <c r="B4267" s="292" t="str">
        <f>HYPERLINK("https://akshar-exim-company-pvt-ltd.odoo.com/web#id=23237&amp;action=152&amp;model=crm.lead&amp;view_type=form&amp;menu_id=111","C2011649")</f>
        <v>C2011649</v>
      </c>
      <c r="C4267" s="41" t="s">
        <v>18209</v>
      </c>
      <c r="D4267" s="41"/>
      <c r="E4267" s="41" t="s">
        <v>1749</v>
      </c>
      <c r="F4267" s="90">
        <v>10.0</v>
      </c>
      <c r="G4267" s="321"/>
      <c r="H4267" s="11" t="s">
        <v>44</v>
      </c>
      <c r="I4267" s="97"/>
      <c r="J4267" s="41" t="s">
        <v>18182</v>
      </c>
      <c r="K4267" s="13"/>
      <c r="L4267" s="13"/>
      <c r="M4267" s="14"/>
      <c r="N4267" s="15"/>
      <c r="O4267" s="5" t="s">
        <v>10708</v>
      </c>
      <c r="P4267" s="15"/>
      <c r="Q4267" s="15"/>
      <c r="R4267" s="422"/>
      <c r="S4267" s="15"/>
      <c r="T4267" s="15"/>
      <c r="U4267" s="15"/>
      <c r="V4267" s="15"/>
      <c r="W4267" s="15"/>
      <c r="X4267" s="15"/>
      <c r="Y4267" s="15"/>
      <c r="Z4267" s="15"/>
      <c r="AA4267" s="15"/>
    </row>
    <row r="4268">
      <c r="A4268" s="5" t="s">
        <v>18208</v>
      </c>
      <c r="B4268" s="292" t="str">
        <f>HYPERLINK("https://akshar-exim-company-pvt-ltd.odoo.com/web#id=23233&amp;action=152&amp;model=crm.lead&amp;view_type=form&amp;menu_id=111","C2011648")</f>
        <v>C2011648</v>
      </c>
      <c r="C4268" s="41" t="s">
        <v>18210</v>
      </c>
      <c r="D4268" s="41"/>
      <c r="E4268" s="41" t="s">
        <v>10508</v>
      </c>
      <c r="F4268" s="90">
        <v>1.0</v>
      </c>
      <c r="G4268" s="321"/>
      <c r="H4268" s="11" t="s">
        <v>906</v>
      </c>
      <c r="I4268" s="276"/>
      <c r="J4268" s="11" t="s">
        <v>13956</v>
      </c>
      <c r="K4268" s="13"/>
      <c r="L4268" s="13"/>
      <c r="M4268" s="14"/>
      <c r="N4268" s="15"/>
      <c r="O4268" s="5" t="s">
        <v>1112</v>
      </c>
      <c r="P4268" s="15"/>
      <c r="Q4268" s="15"/>
      <c r="R4268" s="422"/>
      <c r="S4268" s="15"/>
      <c r="T4268" s="15"/>
      <c r="U4268" s="15"/>
      <c r="V4268" s="15"/>
      <c r="W4268" s="15"/>
      <c r="X4268" s="15"/>
      <c r="Y4268" s="15"/>
      <c r="Z4268" s="15"/>
      <c r="AA4268" s="15"/>
    </row>
    <row r="4269">
      <c r="A4269" s="5" t="s">
        <v>18208</v>
      </c>
      <c r="B4269" s="292" t="str">
        <f>HYPERLINK("https://akshar-exim-company-pvt-ltd.odoo.com/web#id=23232&amp;action=152&amp;model=crm.lead&amp;view_type=form&amp;menu_id=111","C2011647")</f>
        <v>C2011647</v>
      </c>
      <c r="C4269" s="41" t="s">
        <v>18211</v>
      </c>
      <c r="D4269" s="405"/>
      <c r="E4269" s="405" t="s">
        <v>18212</v>
      </c>
      <c r="F4269" s="90">
        <v>200.0</v>
      </c>
      <c r="G4269" s="430"/>
      <c r="H4269" s="41" t="s">
        <v>18213</v>
      </c>
      <c r="I4269" s="276"/>
      <c r="J4269" s="11" t="s">
        <v>8737</v>
      </c>
      <c r="K4269" s="12"/>
      <c r="L4269" s="12"/>
      <c r="M4269" s="11" t="s">
        <v>18214</v>
      </c>
      <c r="N4269" s="5" t="s">
        <v>18215</v>
      </c>
      <c r="O4269" s="5" t="s">
        <v>1112</v>
      </c>
      <c r="P4269" s="15"/>
      <c r="Q4269" s="15"/>
      <c r="R4269" s="422"/>
      <c r="S4269" s="15"/>
      <c r="T4269" s="15"/>
      <c r="U4269" s="15"/>
      <c r="V4269" s="15"/>
      <c r="W4269" s="15"/>
      <c r="X4269" s="15"/>
      <c r="Y4269" s="15"/>
      <c r="Z4269" s="15"/>
      <c r="AA4269" s="15"/>
    </row>
    <row r="4270">
      <c r="A4270" s="5" t="s">
        <v>18208</v>
      </c>
      <c r="B4270" s="292" t="str">
        <f>HYPERLINK("https://akshar-exim-company-pvt-ltd.odoo.com/web#id=23231&amp;action=152&amp;model=crm.lead&amp;view_type=form&amp;menu_id=111","C2011646")</f>
        <v>C2011646</v>
      </c>
      <c r="C4270" s="41" t="s">
        <v>18216</v>
      </c>
      <c r="D4270" s="41"/>
      <c r="E4270" s="41" t="s">
        <v>18184</v>
      </c>
      <c r="F4270" s="90">
        <v>100.0</v>
      </c>
      <c r="G4270" s="321"/>
      <c r="H4270" s="11" t="s">
        <v>906</v>
      </c>
      <c r="I4270" s="97"/>
      <c r="J4270" s="41" t="s">
        <v>18182</v>
      </c>
      <c r="K4270" s="13"/>
      <c r="L4270" s="13"/>
      <c r="M4270" s="14"/>
      <c r="N4270" s="15"/>
      <c r="O4270" s="5" t="s">
        <v>10708</v>
      </c>
      <c r="P4270" s="15"/>
      <c r="Q4270" s="15"/>
      <c r="R4270" s="422"/>
      <c r="S4270" s="15"/>
      <c r="T4270" s="15"/>
      <c r="U4270" s="15"/>
      <c r="V4270" s="15"/>
      <c r="W4270" s="15"/>
      <c r="X4270" s="15"/>
      <c r="Y4270" s="15"/>
      <c r="Z4270" s="15"/>
      <c r="AA4270" s="15"/>
    </row>
    <row r="4271">
      <c r="A4271" s="5" t="s">
        <v>18208</v>
      </c>
      <c r="B4271" s="292" t="str">
        <f>HYPERLINK("https://akshar-exim-company-pvt-ltd.odoo.com/web#id=23228&amp;action=152&amp;model=crm.lead&amp;view_type=form&amp;menu_id=111","C2011645")</f>
        <v>C2011645</v>
      </c>
      <c r="C4271" s="41" t="s">
        <v>18217</v>
      </c>
      <c r="D4271" s="41"/>
      <c r="E4271" s="41" t="s">
        <v>16616</v>
      </c>
      <c r="F4271" s="90">
        <v>5.0</v>
      </c>
      <c r="G4271" s="430"/>
      <c r="H4271" s="41" t="s">
        <v>18218</v>
      </c>
      <c r="I4271" s="97"/>
      <c r="J4271" s="41" t="s">
        <v>18182</v>
      </c>
      <c r="K4271" s="13"/>
      <c r="L4271" s="13"/>
      <c r="M4271" s="14"/>
      <c r="N4271" s="15"/>
      <c r="O4271" s="5" t="s">
        <v>10708</v>
      </c>
      <c r="P4271" s="15"/>
      <c r="Q4271" s="15"/>
      <c r="R4271" s="422"/>
      <c r="S4271" s="15"/>
      <c r="T4271" s="15"/>
      <c r="U4271" s="15"/>
      <c r="V4271" s="15"/>
      <c r="W4271" s="15"/>
      <c r="X4271" s="15"/>
      <c r="Y4271" s="15"/>
      <c r="Z4271" s="15"/>
      <c r="AA4271" s="15"/>
    </row>
    <row r="4272">
      <c r="A4272" s="5" t="s">
        <v>18208</v>
      </c>
      <c r="B4272" s="292" t="str">
        <f>HYPERLINK("https://akshar-exim-company-pvt-ltd.odoo.com/web#id=23279&amp;action=152&amp;model=crm.lead&amp;view_type=form&amp;menu_id=111","C2011644")</f>
        <v>C2011644</v>
      </c>
      <c r="C4272" s="41" t="s">
        <v>18219</v>
      </c>
      <c r="D4272" s="405"/>
      <c r="E4272" s="405" t="s">
        <v>8247</v>
      </c>
      <c r="F4272" s="90">
        <v>10.0</v>
      </c>
      <c r="G4272" s="430"/>
      <c r="H4272" s="41" t="s">
        <v>18220</v>
      </c>
      <c r="I4272" s="97"/>
      <c r="J4272" s="41" t="s">
        <v>18182</v>
      </c>
      <c r="K4272" s="13"/>
      <c r="L4272" s="13"/>
      <c r="M4272" s="14"/>
      <c r="N4272" s="15"/>
      <c r="O4272" s="5" t="s">
        <v>10708</v>
      </c>
      <c r="P4272" s="15"/>
      <c r="Q4272" s="15"/>
      <c r="R4272" s="422"/>
      <c r="S4272" s="15"/>
      <c r="T4272" s="15"/>
      <c r="U4272" s="15"/>
      <c r="V4272" s="15"/>
      <c r="W4272" s="15"/>
      <c r="X4272" s="15"/>
      <c r="Y4272" s="15"/>
      <c r="Z4272" s="15"/>
      <c r="AA4272" s="15"/>
    </row>
    <row r="4273">
      <c r="A4273" s="5" t="s">
        <v>18208</v>
      </c>
      <c r="B4273" s="292" t="str">
        <f>HYPERLINK("https://akshar-exim-company-pvt-ltd.odoo.com/web#id=23268&amp;action=152&amp;model=crm.lead&amp;view_type=form&amp;menu_id=111","C2011643")</f>
        <v>C2011643</v>
      </c>
      <c r="C4273" s="41" t="s">
        <v>18221</v>
      </c>
      <c r="D4273" s="41"/>
      <c r="E4273" s="41" t="s">
        <v>17724</v>
      </c>
      <c r="F4273" s="90">
        <v>2.0</v>
      </c>
      <c r="G4273" s="321"/>
      <c r="H4273" s="11" t="s">
        <v>158</v>
      </c>
      <c r="I4273" s="97"/>
      <c r="J4273" s="41" t="s">
        <v>18182</v>
      </c>
      <c r="K4273" s="13"/>
      <c r="L4273" s="13"/>
      <c r="M4273" s="14"/>
      <c r="N4273" s="15"/>
      <c r="O4273" s="5" t="s">
        <v>10708</v>
      </c>
      <c r="P4273" s="15"/>
      <c r="Q4273" s="15"/>
      <c r="R4273" s="422"/>
      <c r="S4273" s="15"/>
      <c r="T4273" s="15"/>
      <c r="U4273" s="15"/>
      <c r="V4273" s="15"/>
      <c r="W4273" s="15"/>
      <c r="X4273" s="15"/>
      <c r="Y4273" s="15"/>
      <c r="Z4273" s="15"/>
      <c r="AA4273" s="15"/>
    </row>
    <row r="4274">
      <c r="A4274" s="5" t="s">
        <v>18208</v>
      </c>
      <c r="B4274" s="292" t="str">
        <f>HYPERLINK("https://akshar-exim-company-pvt-ltd.odoo.com/web#id=23275&amp;action=152&amp;model=crm.lead&amp;view_type=form&amp;menu_id=111","C2011642")</f>
        <v>C2011642</v>
      </c>
      <c r="C4274" s="41" t="s">
        <v>18222</v>
      </c>
      <c r="D4274" s="405"/>
      <c r="E4274" s="405" t="s">
        <v>14677</v>
      </c>
      <c r="F4274" s="90">
        <v>50.0</v>
      </c>
      <c r="G4274" s="321"/>
      <c r="H4274" s="11" t="s">
        <v>44</v>
      </c>
      <c r="I4274" s="276"/>
      <c r="J4274" s="11" t="s">
        <v>18223</v>
      </c>
      <c r="K4274" s="13"/>
      <c r="L4274" s="13"/>
      <c r="M4274" s="14"/>
      <c r="N4274" s="15"/>
      <c r="O4274" s="5" t="s">
        <v>10708</v>
      </c>
      <c r="P4274" s="15"/>
      <c r="Q4274" s="15"/>
      <c r="R4274" s="422"/>
      <c r="S4274" s="15"/>
      <c r="T4274" s="15"/>
      <c r="U4274" s="15"/>
      <c r="V4274" s="15"/>
      <c r="W4274" s="15"/>
      <c r="X4274" s="15"/>
      <c r="Y4274" s="15"/>
      <c r="Z4274" s="15"/>
      <c r="AA4274" s="15"/>
    </row>
    <row r="4275">
      <c r="A4275" s="5" t="s">
        <v>18208</v>
      </c>
      <c r="B4275" s="292" t="str">
        <f>HYPERLINK("https://akshar-exim-company-pvt-ltd.odoo.com/web#id=23273&amp;action=152&amp;model=crm.lead&amp;view_type=form&amp;menu_id=111","C2011641")</f>
        <v>C2011641</v>
      </c>
      <c r="C4275" s="41" t="s">
        <v>17111</v>
      </c>
      <c r="D4275" s="41"/>
      <c r="E4275" s="41" t="s">
        <v>18224</v>
      </c>
      <c r="F4275" s="90">
        <v>1.0</v>
      </c>
      <c r="G4275" s="430"/>
      <c r="H4275" s="41" t="s">
        <v>18225</v>
      </c>
      <c r="I4275" s="276"/>
      <c r="J4275" s="11" t="s">
        <v>18223</v>
      </c>
      <c r="K4275" s="13"/>
      <c r="L4275" s="13"/>
      <c r="M4275" s="14"/>
      <c r="N4275" s="15"/>
      <c r="O4275" s="5" t="s">
        <v>10708</v>
      </c>
      <c r="P4275" s="15"/>
      <c r="Q4275" s="15"/>
      <c r="R4275" s="422"/>
      <c r="S4275" s="15"/>
      <c r="T4275" s="15"/>
      <c r="U4275" s="15"/>
      <c r="V4275" s="15"/>
      <c r="W4275" s="15"/>
      <c r="X4275" s="15"/>
      <c r="Y4275" s="15"/>
      <c r="Z4275" s="15"/>
      <c r="AA4275" s="15"/>
    </row>
    <row r="4276">
      <c r="A4276" s="5" t="s">
        <v>18208</v>
      </c>
      <c r="B4276" s="292" t="str">
        <f>HYPERLINK("https://akshar-exim-company-pvt-ltd.odoo.com/web#id=23272&amp;action=152&amp;model=crm.lead&amp;view_type=form&amp;menu_id=111","C2011640")</f>
        <v>C2011640</v>
      </c>
      <c r="C4276" s="41" t="s">
        <v>18226</v>
      </c>
      <c r="D4276" s="41"/>
      <c r="E4276" s="41" t="s">
        <v>18227</v>
      </c>
      <c r="F4276" s="90">
        <v>1.0</v>
      </c>
      <c r="G4276" s="321"/>
      <c r="H4276" s="11" t="s">
        <v>44</v>
      </c>
      <c r="I4276" s="423"/>
      <c r="J4276" s="14"/>
      <c r="K4276" s="13"/>
      <c r="L4276" s="13"/>
      <c r="M4276" s="14"/>
      <c r="N4276" s="15"/>
      <c r="O4276" s="5" t="s">
        <v>10708</v>
      </c>
      <c r="P4276" s="15"/>
      <c r="Q4276" s="15"/>
      <c r="R4276" s="422"/>
      <c r="S4276" s="15"/>
      <c r="T4276" s="15"/>
      <c r="U4276" s="15"/>
      <c r="V4276" s="15"/>
      <c r="W4276" s="15"/>
      <c r="X4276" s="15"/>
      <c r="Y4276" s="15"/>
      <c r="Z4276" s="15"/>
      <c r="AA4276" s="15"/>
    </row>
    <row r="4277">
      <c r="A4277" s="5" t="s">
        <v>18208</v>
      </c>
      <c r="B4277" s="292" t="str">
        <f>HYPERLINK("https://akshar-exim-company-pvt-ltd.odoo.com/web#id=23245&amp;action=152&amp;model=crm.lead&amp;view_type=form&amp;menu_id=111","C2011639")</f>
        <v>C2011639</v>
      </c>
      <c r="C4277" s="41" t="s">
        <v>18228</v>
      </c>
      <c r="D4277" s="41"/>
      <c r="E4277" s="41" t="s">
        <v>18229</v>
      </c>
      <c r="F4277" s="90">
        <v>1.0</v>
      </c>
      <c r="G4277" s="321"/>
      <c r="H4277" s="11" t="s">
        <v>44</v>
      </c>
      <c r="I4277" s="423"/>
      <c r="J4277" s="14"/>
      <c r="K4277" s="13"/>
      <c r="L4277" s="13"/>
      <c r="M4277" s="14"/>
      <c r="N4277" s="15"/>
      <c r="O4277" s="5" t="s">
        <v>10708</v>
      </c>
      <c r="P4277" s="15"/>
      <c r="Q4277" s="15"/>
      <c r="R4277" s="422"/>
      <c r="S4277" s="15"/>
      <c r="T4277" s="15"/>
      <c r="U4277" s="15"/>
      <c r="V4277" s="15"/>
      <c r="W4277" s="15"/>
      <c r="X4277" s="15"/>
      <c r="Y4277" s="15"/>
      <c r="Z4277" s="15"/>
      <c r="AA4277" s="15"/>
    </row>
    <row r="4278">
      <c r="A4278" s="5" t="s">
        <v>18208</v>
      </c>
      <c r="B4278" s="292" t="str">
        <f>HYPERLINK("https://akshar-exim-company-pvt-ltd.odoo.com/web#id=23242&amp;action=152&amp;model=crm.lead&amp;view_type=form&amp;menu_id=111","C2011638")</f>
        <v>C2011638</v>
      </c>
      <c r="C4278" s="41" t="s">
        <v>18230</v>
      </c>
      <c r="D4278" s="405"/>
      <c r="E4278" s="405" t="s">
        <v>6311</v>
      </c>
      <c r="F4278" s="90">
        <v>3000.0</v>
      </c>
      <c r="G4278" s="430"/>
      <c r="H4278" s="41" t="s">
        <v>4686</v>
      </c>
      <c r="I4278" s="423"/>
      <c r="J4278" s="14"/>
      <c r="K4278" s="12"/>
      <c r="L4278" s="12"/>
      <c r="M4278" s="11" t="s">
        <v>8860</v>
      </c>
      <c r="N4278" s="5" t="s">
        <v>18231</v>
      </c>
      <c r="O4278" s="5" t="s">
        <v>1112</v>
      </c>
      <c r="P4278" s="15"/>
      <c r="Q4278" s="15"/>
      <c r="R4278" s="422"/>
      <c r="S4278" s="15"/>
      <c r="T4278" s="15"/>
      <c r="U4278" s="15"/>
      <c r="V4278" s="15"/>
      <c r="W4278" s="15"/>
      <c r="X4278" s="15"/>
      <c r="Y4278" s="15"/>
      <c r="Z4278" s="15"/>
      <c r="AA4278" s="15"/>
    </row>
    <row r="4279">
      <c r="A4279" s="5" t="s">
        <v>18208</v>
      </c>
      <c r="B4279" s="292" t="str">
        <f>HYPERLINK("https://akshar-exim-company-pvt-ltd.odoo.com/web#id=23240&amp;action=152&amp;model=crm.lead&amp;view_type=form&amp;menu_id=111","C2011637")</f>
        <v>C2011637</v>
      </c>
      <c r="C4279" s="41" t="s">
        <v>3787</v>
      </c>
      <c r="D4279" s="405"/>
      <c r="E4279" s="405" t="s">
        <v>412</v>
      </c>
      <c r="F4279" s="90">
        <v>5.0</v>
      </c>
      <c r="G4279" s="430"/>
      <c r="H4279" s="41" t="s">
        <v>4995</v>
      </c>
      <c r="I4279" s="423"/>
      <c r="J4279" s="14"/>
      <c r="K4279" s="13"/>
      <c r="L4279" s="13"/>
      <c r="M4279" s="14"/>
      <c r="N4279" s="15"/>
      <c r="O4279" s="5" t="s">
        <v>10708</v>
      </c>
      <c r="P4279" s="15"/>
      <c r="Q4279" s="15"/>
      <c r="R4279" s="422"/>
      <c r="S4279" s="15"/>
      <c r="T4279" s="15"/>
      <c r="U4279" s="15"/>
      <c r="V4279" s="15"/>
      <c r="W4279" s="15"/>
      <c r="X4279" s="15"/>
      <c r="Y4279" s="15"/>
      <c r="Z4279" s="15"/>
      <c r="AA4279" s="15"/>
    </row>
    <row r="4280">
      <c r="A4280" s="5" t="s">
        <v>18208</v>
      </c>
      <c r="B4280" s="292" t="str">
        <f>HYPERLINK("https://akshar-exim-company-pvt-ltd.odoo.com/web#id=23260&amp;action=152&amp;model=crm.lead&amp;view_type=form&amp;menu_id=111","C2011636")</f>
        <v>C2011636</v>
      </c>
      <c r="C4280" s="41" t="s">
        <v>18232</v>
      </c>
      <c r="D4280" s="41"/>
      <c r="E4280" s="41" t="s">
        <v>16165</v>
      </c>
      <c r="F4280" s="90">
        <v>1.0</v>
      </c>
      <c r="G4280" s="430"/>
      <c r="H4280" s="41" t="s">
        <v>18233</v>
      </c>
      <c r="I4280" s="423"/>
      <c r="J4280" s="14"/>
      <c r="K4280" s="13"/>
      <c r="L4280" s="13"/>
      <c r="M4280" s="14"/>
      <c r="N4280" s="15"/>
      <c r="O4280" s="5" t="s">
        <v>10708</v>
      </c>
      <c r="P4280" s="15"/>
      <c r="Q4280" s="15"/>
      <c r="R4280" s="422"/>
      <c r="S4280" s="15"/>
      <c r="T4280" s="15"/>
      <c r="U4280" s="15"/>
      <c r="V4280" s="15"/>
      <c r="W4280" s="15"/>
      <c r="X4280" s="15"/>
      <c r="Y4280" s="15"/>
      <c r="Z4280" s="15"/>
      <c r="AA4280" s="15"/>
    </row>
    <row r="4281">
      <c r="A4281" s="5" t="s">
        <v>18208</v>
      </c>
      <c r="B4281" s="292" t="str">
        <f>HYPERLINK("https://akshar-exim-company-pvt-ltd.odoo.com/web#id=23259&amp;action=152&amp;model=crm.lead&amp;view_type=form&amp;menu_id=111","C2011635")</f>
        <v>C2011635</v>
      </c>
      <c r="C4281" s="41" t="s">
        <v>18234</v>
      </c>
      <c r="D4281" s="41"/>
      <c r="E4281" s="41" t="s">
        <v>6168</v>
      </c>
      <c r="F4281" s="90">
        <v>1.0</v>
      </c>
      <c r="G4281" s="321"/>
      <c r="H4281" s="11" t="s">
        <v>44</v>
      </c>
      <c r="I4281" s="97"/>
      <c r="J4281" s="41" t="s">
        <v>18182</v>
      </c>
      <c r="K4281" s="13"/>
      <c r="L4281" s="13"/>
      <c r="M4281" s="14"/>
      <c r="N4281" s="15"/>
      <c r="O4281" s="5" t="s">
        <v>10708</v>
      </c>
      <c r="P4281" s="15"/>
      <c r="Q4281" s="15"/>
      <c r="R4281" s="422"/>
      <c r="S4281" s="15"/>
      <c r="T4281" s="15"/>
      <c r="U4281" s="15"/>
      <c r="V4281" s="15"/>
      <c r="W4281" s="15"/>
      <c r="X4281" s="15"/>
      <c r="Y4281" s="15"/>
      <c r="Z4281" s="15"/>
      <c r="AA4281" s="15"/>
    </row>
    <row r="4282">
      <c r="A4282" s="5" t="s">
        <v>18208</v>
      </c>
      <c r="B4282" s="292" t="str">
        <f>HYPERLINK("https://akshar-exim-company-pvt-ltd.odoo.com/web#id=23257&amp;action=152&amp;model=crm.lead&amp;view_type=form&amp;menu_id=111","C2011634")</f>
        <v>C2011634</v>
      </c>
      <c r="C4282" s="41" t="s">
        <v>4293</v>
      </c>
      <c r="D4282" s="41"/>
      <c r="E4282" s="41" t="s">
        <v>18235</v>
      </c>
      <c r="F4282" s="90">
        <v>1.0</v>
      </c>
      <c r="G4282" s="430"/>
      <c r="H4282" s="41" t="s">
        <v>18236</v>
      </c>
      <c r="I4282" s="97"/>
      <c r="J4282" s="41" t="s">
        <v>18182</v>
      </c>
      <c r="K4282" s="13"/>
      <c r="L4282" s="13"/>
      <c r="M4282" s="14"/>
      <c r="N4282" s="15"/>
      <c r="O4282" s="5" t="s">
        <v>10708</v>
      </c>
      <c r="P4282" s="15"/>
      <c r="Q4282" s="15"/>
      <c r="R4282" s="422"/>
      <c r="S4282" s="15"/>
      <c r="T4282" s="15"/>
      <c r="U4282" s="15"/>
      <c r="V4282" s="15"/>
      <c r="W4282" s="15"/>
      <c r="X4282" s="15"/>
      <c r="Y4282" s="15"/>
      <c r="Z4282" s="15"/>
      <c r="AA4282" s="15"/>
    </row>
    <row r="4283">
      <c r="A4283" s="5" t="s">
        <v>18208</v>
      </c>
      <c r="B4283" s="292" t="str">
        <f>HYPERLINK("https://akshar-exim-company-pvt-ltd.odoo.com/web#id=23256&amp;action=152&amp;model=crm.lead&amp;view_type=form&amp;menu_id=111","C2011633")</f>
        <v>C2011633</v>
      </c>
      <c r="C4283" s="41" t="s">
        <v>18237</v>
      </c>
      <c r="D4283" s="41"/>
      <c r="E4283" s="41" t="s">
        <v>63</v>
      </c>
      <c r="F4283" s="90">
        <v>1.0</v>
      </c>
      <c r="G4283" s="321"/>
      <c r="H4283" s="11" t="s">
        <v>44</v>
      </c>
      <c r="I4283" s="97"/>
      <c r="J4283" s="41" t="s">
        <v>18238</v>
      </c>
      <c r="K4283" s="13"/>
      <c r="L4283" s="13"/>
      <c r="M4283" s="14"/>
      <c r="N4283" s="15"/>
      <c r="O4283" s="5" t="s">
        <v>10708</v>
      </c>
      <c r="P4283" s="15"/>
      <c r="Q4283" s="15"/>
      <c r="R4283" s="422"/>
      <c r="S4283" s="15"/>
      <c r="T4283" s="15"/>
      <c r="U4283" s="15"/>
      <c r="V4283" s="15"/>
      <c r="W4283" s="15"/>
      <c r="X4283" s="15"/>
      <c r="Y4283" s="15"/>
      <c r="Z4283" s="15"/>
      <c r="AA4283" s="15"/>
    </row>
    <row r="4284">
      <c r="A4284" s="5" t="s">
        <v>18208</v>
      </c>
      <c r="B4284" s="292" t="str">
        <f>HYPERLINK("https://akshar-exim-company-pvt-ltd.odoo.com/web#id=23250&amp;action=152&amp;model=crm.lead&amp;view_type=form&amp;menu_id=111","C2011632")</f>
        <v>C2011632</v>
      </c>
      <c r="C4284" s="41" t="s">
        <v>18239</v>
      </c>
      <c r="D4284" s="11"/>
      <c r="E4284" s="11" t="s">
        <v>167</v>
      </c>
      <c r="F4284" s="90">
        <v>2000.0</v>
      </c>
      <c r="G4284" s="430"/>
      <c r="H4284" s="41" t="s">
        <v>18240</v>
      </c>
      <c r="I4284" s="423"/>
      <c r="J4284" s="14"/>
      <c r="K4284" s="12"/>
      <c r="L4284" s="12"/>
      <c r="M4284" s="11" t="s">
        <v>14458</v>
      </c>
      <c r="N4284" s="5" t="s">
        <v>18241</v>
      </c>
      <c r="O4284" s="5" t="s">
        <v>17993</v>
      </c>
      <c r="P4284" s="15"/>
      <c r="Q4284" s="15"/>
      <c r="R4284" s="422"/>
      <c r="S4284" s="15"/>
      <c r="T4284" s="15"/>
      <c r="U4284" s="15"/>
      <c r="V4284" s="15"/>
      <c r="W4284" s="15"/>
      <c r="X4284" s="15"/>
      <c r="Y4284" s="15"/>
      <c r="Z4284" s="15"/>
      <c r="AA4284" s="15"/>
    </row>
    <row r="4285">
      <c r="A4285" s="5" t="s">
        <v>18208</v>
      </c>
      <c r="B4285" s="292" t="str">
        <f>HYPERLINK("https://akshar-exim-company-pvt-ltd.odoo.com/web#id=23249&amp;action=152&amp;model=crm.lead&amp;view_type=form&amp;menu_id=111","C2011631")</f>
        <v>C2011631</v>
      </c>
      <c r="C4285" s="41" t="s">
        <v>18242</v>
      </c>
      <c r="D4285" s="405"/>
      <c r="E4285" s="405" t="s">
        <v>9050</v>
      </c>
      <c r="F4285" s="90">
        <v>2.0</v>
      </c>
      <c r="G4285" s="321"/>
      <c r="H4285" s="11" t="s">
        <v>44</v>
      </c>
      <c r="I4285" s="97"/>
      <c r="J4285" s="41" t="s">
        <v>18182</v>
      </c>
      <c r="K4285" s="13"/>
      <c r="L4285" s="13"/>
      <c r="M4285" s="14"/>
      <c r="N4285" s="15"/>
      <c r="O4285" s="5" t="s">
        <v>10708</v>
      </c>
      <c r="P4285" s="15"/>
      <c r="Q4285" s="15"/>
      <c r="R4285" s="422"/>
      <c r="S4285" s="15"/>
      <c r="T4285" s="15"/>
      <c r="U4285" s="15"/>
      <c r="V4285" s="15"/>
      <c r="W4285" s="15"/>
      <c r="X4285" s="15"/>
      <c r="Y4285" s="15"/>
      <c r="Z4285" s="15"/>
      <c r="AA4285" s="15"/>
    </row>
    <row r="4286">
      <c r="A4286" s="5" t="s">
        <v>18243</v>
      </c>
      <c r="B4286" s="292" t="str">
        <f>HYPERLINK("https://akshar-exim-company-pvt-ltd.odoo.com/web#id=23136&amp;action=152&amp;model=crm.lead&amp;view_type=form&amp;menu_id=111","C2011630")</f>
        <v>C2011630</v>
      </c>
      <c r="C4286" s="41" t="s">
        <v>18244</v>
      </c>
      <c r="D4286" s="405"/>
      <c r="E4286" s="405" t="s">
        <v>5502</v>
      </c>
      <c r="F4286" s="90" t="s">
        <v>18245</v>
      </c>
      <c r="G4286" s="430"/>
      <c r="H4286" s="41" t="s">
        <v>18246</v>
      </c>
      <c r="I4286" s="97"/>
      <c r="J4286" s="41" t="s">
        <v>18186</v>
      </c>
      <c r="K4286" s="13"/>
      <c r="L4286" s="13"/>
      <c r="M4286" s="14"/>
      <c r="N4286" s="15"/>
      <c r="O4286" s="5" t="s">
        <v>10708</v>
      </c>
      <c r="P4286" s="15"/>
      <c r="Q4286" s="15"/>
      <c r="R4286" s="422"/>
      <c r="S4286" s="15"/>
      <c r="T4286" s="15"/>
      <c r="U4286" s="15"/>
      <c r="V4286" s="15"/>
      <c r="W4286" s="15"/>
      <c r="X4286" s="15"/>
      <c r="Y4286" s="15"/>
      <c r="Z4286" s="15"/>
      <c r="AA4286" s="15"/>
    </row>
    <row r="4287">
      <c r="A4287" s="5" t="s">
        <v>18243</v>
      </c>
      <c r="B4287" s="292" t="str">
        <f>HYPERLINK("https://akshar-exim-company-pvt-ltd.odoo.com/web#id=23135&amp;action=152&amp;model=crm.lead&amp;view_type=form&amp;menu_id=111","C2011629")</f>
        <v>C2011629</v>
      </c>
      <c r="C4287" s="41" t="s">
        <v>18247</v>
      </c>
      <c r="D4287" s="41"/>
      <c r="E4287" s="41" t="s">
        <v>18248</v>
      </c>
      <c r="F4287" s="90">
        <v>1000.0</v>
      </c>
      <c r="G4287" s="430"/>
      <c r="H4287" s="41" t="s">
        <v>1561</v>
      </c>
      <c r="I4287" s="423"/>
      <c r="J4287" s="14"/>
      <c r="K4287" s="13"/>
      <c r="L4287" s="13"/>
      <c r="M4287" s="14"/>
      <c r="N4287" s="15"/>
      <c r="O4287" s="5" t="s">
        <v>1112</v>
      </c>
      <c r="P4287" s="15"/>
      <c r="Q4287" s="15"/>
      <c r="R4287" s="422"/>
      <c r="S4287" s="15"/>
      <c r="T4287" s="15"/>
      <c r="U4287" s="15"/>
      <c r="V4287" s="15"/>
      <c r="W4287" s="15"/>
      <c r="X4287" s="15"/>
      <c r="Y4287" s="15"/>
      <c r="Z4287" s="15"/>
      <c r="AA4287" s="15"/>
    </row>
    <row r="4288">
      <c r="A4288" s="5" t="s">
        <v>18243</v>
      </c>
      <c r="B4288" s="292" t="str">
        <f>HYPERLINK("https://akshar-exim-company-pvt-ltd.odoo.com/web#id=23131&amp;action=152&amp;model=crm.lead&amp;view_type=form&amp;menu_id=111","C2011628")</f>
        <v>C2011628</v>
      </c>
      <c r="C4288" s="41" t="s">
        <v>18249</v>
      </c>
      <c r="D4288" s="41"/>
      <c r="E4288" s="41" t="s">
        <v>18250</v>
      </c>
      <c r="F4288" s="90">
        <v>5.0</v>
      </c>
      <c r="G4288" s="430"/>
      <c r="H4288" s="41" t="s">
        <v>44</v>
      </c>
      <c r="I4288" s="97"/>
      <c r="J4288" s="41" t="s">
        <v>18186</v>
      </c>
      <c r="K4288" s="13"/>
      <c r="L4288" s="13"/>
      <c r="M4288" s="14"/>
      <c r="N4288" s="15"/>
      <c r="O4288" s="5" t="s">
        <v>10708</v>
      </c>
      <c r="P4288" s="15"/>
      <c r="Q4288" s="15"/>
      <c r="R4288" s="422"/>
      <c r="S4288" s="15"/>
      <c r="T4288" s="15"/>
      <c r="U4288" s="15"/>
      <c r="V4288" s="15"/>
      <c r="W4288" s="15"/>
      <c r="X4288" s="15"/>
      <c r="Y4288" s="15"/>
      <c r="Z4288" s="15"/>
      <c r="AA4288" s="15"/>
    </row>
    <row r="4289">
      <c r="A4289" s="5" t="s">
        <v>18243</v>
      </c>
      <c r="B4289" s="292" t="str">
        <f>HYPERLINK("https://akshar-exim-company-pvt-ltd.odoo.com/web#id=23128&amp;action=152&amp;model=crm.lead&amp;view_type=form&amp;menu_id=111","C2011627")</f>
        <v>C2011627</v>
      </c>
      <c r="C4289" s="41" t="s">
        <v>18251</v>
      </c>
      <c r="D4289" s="11"/>
      <c r="E4289" s="11" t="s">
        <v>43</v>
      </c>
      <c r="F4289" s="9">
        <v>28000.0</v>
      </c>
      <c r="G4289" s="430"/>
      <c r="H4289" s="41" t="s">
        <v>3090</v>
      </c>
      <c r="I4289" s="276"/>
      <c r="J4289" s="11" t="s">
        <v>17976</v>
      </c>
      <c r="K4289" s="12"/>
      <c r="L4289" s="12"/>
      <c r="M4289" s="11" t="s">
        <v>7965</v>
      </c>
      <c r="N4289" s="5" t="s">
        <v>18252</v>
      </c>
      <c r="O4289" s="5" t="s">
        <v>1112</v>
      </c>
      <c r="P4289" s="15"/>
      <c r="Q4289" s="15"/>
      <c r="R4289" s="422"/>
      <c r="S4289" s="15"/>
      <c r="T4289" s="15"/>
      <c r="U4289" s="15"/>
      <c r="V4289" s="15"/>
      <c r="W4289" s="15"/>
      <c r="X4289" s="15"/>
      <c r="Y4289" s="15"/>
      <c r="Z4289" s="15"/>
      <c r="AA4289" s="15"/>
    </row>
    <row r="4290">
      <c r="A4290" s="5" t="s">
        <v>18243</v>
      </c>
      <c r="B4290" s="292" t="str">
        <f>HYPERLINK("https://akshar-exim-company-pvt-ltd.odoo.com/web#id=23127&amp;action=152&amp;model=crm.lead&amp;view_type=form&amp;menu_id=111","C2011626")</f>
        <v>C2011626</v>
      </c>
      <c r="C4290" s="41" t="s">
        <v>10508</v>
      </c>
      <c r="D4290" s="41"/>
      <c r="E4290" s="41" t="s">
        <v>18253</v>
      </c>
      <c r="F4290" s="90">
        <v>1000.0</v>
      </c>
      <c r="G4290" s="430"/>
      <c r="H4290" s="41" t="s">
        <v>18254</v>
      </c>
      <c r="I4290" s="97"/>
      <c r="J4290" s="41" t="s">
        <v>18182</v>
      </c>
      <c r="K4290" s="12"/>
      <c r="L4290" s="12"/>
      <c r="M4290" s="11" t="s">
        <v>18110</v>
      </c>
      <c r="N4290" s="5" t="s">
        <v>18255</v>
      </c>
      <c r="O4290" s="5" t="s">
        <v>1112</v>
      </c>
      <c r="P4290" s="15"/>
      <c r="Q4290" s="15"/>
      <c r="R4290" s="422"/>
      <c r="S4290" s="15"/>
      <c r="T4290" s="15"/>
      <c r="U4290" s="15"/>
      <c r="V4290" s="15"/>
      <c r="W4290" s="15"/>
      <c r="X4290" s="15"/>
      <c r="Y4290" s="15"/>
      <c r="Z4290" s="15"/>
      <c r="AA4290" s="15"/>
    </row>
    <row r="4291">
      <c r="A4291" s="5" t="s">
        <v>18243</v>
      </c>
      <c r="B4291" s="292" t="str">
        <f>HYPERLINK("https://akshar-exim-company-pvt-ltd.odoo.com/web#id=23125&amp;action=152&amp;model=crm.lead&amp;view_type=form&amp;menu_id=111","C2011625")</f>
        <v>C2011625</v>
      </c>
      <c r="C4291" s="41" t="s">
        <v>17552</v>
      </c>
      <c r="D4291" s="41"/>
      <c r="E4291" s="41" t="s">
        <v>18204</v>
      </c>
      <c r="F4291" s="90">
        <v>5.0</v>
      </c>
      <c r="G4291" s="430"/>
      <c r="H4291" s="41" t="s">
        <v>18256</v>
      </c>
      <c r="I4291" s="276"/>
      <c r="J4291" s="11" t="s">
        <v>25</v>
      </c>
      <c r="K4291" s="13"/>
      <c r="L4291" s="13"/>
      <c r="M4291" s="14"/>
      <c r="N4291" s="15"/>
      <c r="O4291" s="5" t="s">
        <v>10708</v>
      </c>
      <c r="P4291" s="15"/>
      <c r="Q4291" s="15"/>
      <c r="R4291" s="422"/>
      <c r="S4291" s="15"/>
      <c r="T4291" s="15"/>
      <c r="U4291" s="15"/>
      <c r="V4291" s="15"/>
      <c r="W4291" s="15"/>
      <c r="X4291" s="15"/>
      <c r="Y4291" s="15"/>
      <c r="Z4291" s="15"/>
      <c r="AA4291" s="15"/>
    </row>
    <row r="4292">
      <c r="A4292" s="5" t="s">
        <v>18243</v>
      </c>
      <c r="B4292" s="292" t="str">
        <f>HYPERLINK("https://akshar-exim-company-pvt-ltd.odoo.com/web#id=23122&amp;action=152&amp;model=crm.lead&amp;view_type=form&amp;menu_id=111","C2011624")</f>
        <v>C2011624</v>
      </c>
      <c r="C4292" s="41" t="s">
        <v>18257</v>
      </c>
      <c r="D4292" s="405"/>
      <c r="E4292" s="405" t="s">
        <v>7366</v>
      </c>
      <c r="F4292" s="9">
        <v>100000.0</v>
      </c>
      <c r="G4292" s="430"/>
      <c r="H4292" s="41" t="s">
        <v>18258</v>
      </c>
      <c r="I4292" s="423"/>
      <c r="J4292" s="14"/>
      <c r="K4292" s="12"/>
      <c r="L4292" s="12"/>
      <c r="M4292" s="11" t="s">
        <v>15932</v>
      </c>
      <c r="N4292" s="5" t="s">
        <v>18259</v>
      </c>
      <c r="O4292" s="5" t="s">
        <v>17993</v>
      </c>
      <c r="P4292" s="15"/>
      <c r="Q4292" s="15"/>
      <c r="R4292" s="422"/>
      <c r="S4292" s="15"/>
      <c r="T4292" s="15"/>
      <c r="U4292" s="15"/>
      <c r="V4292" s="15"/>
      <c r="W4292" s="15"/>
      <c r="X4292" s="15"/>
      <c r="Y4292" s="15"/>
      <c r="Z4292" s="15"/>
      <c r="AA4292" s="15"/>
    </row>
    <row r="4293">
      <c r="A4293" s="5" t="s">
        <v>18243</v>
      </c>
      <c r="B4293" s="292" t="str">
        <f>HYPERLINK("https://akshar-exim-company-pvt-ltd.odoo.com/web#id=23121&amp;action=152&amp;model=crm.lead&amp;view_type=form&amp;menu_id=111","C2011623")</f>
        <v>C2011623</v>
      </c>
      <c r="C4293" s="41" t="s">
        <v>18260</v>
      </c>
      <c r="D4293" s="41"/>
      <c r="E4293" s="41" t="s">
        <v>18224</v>
      </c>
      <c r="F4293" s="90">
        <v>10.0</v>
      </c>
      <c r="G4293" s="430"/>
      <c r="H4293" s="41" t="s">
        <v>3844</v>
      </c>
      <c r="I4293" s="97"/>
      <c r="J4293" s="41" t="s">
        <v>18182</v>
      </c>
      <c r="K4293" s="13"/>
      <c r="L4293" s="13"/>
      <c r="M4293" s="14"/>
      <c r="N4293" s="15"/>
      <c r="O4293" s="5" t="s">
        <v>10708</v>
      </c>
      <c r="P4293" s="15"/>
      <c r="Q4293" s="15"/>
      <c r="R4293" s="422"/>
      <c r="S4293" s="15"/>
      <c r="T4293" s="15"/>
      <c r="U4293" s="15"/>
      <c r="V4293" s="15"/>
      <c r="W4293" s="15"/>
      <c r="X4293" s="15"/>
      <c r="Y4293" s="15"/>
      <c r="Z4293" s="15"/>
      <c r="AA4293" s="15"/>
    </row>
    <row r="4294">
      <c r="A4294" s="5" t="s">
        <v>18243</v>
      </c>
      <c r="B4294" s="292" t="str">
        <f>HYPERLINK("https://akshar-exim-company-pvt-ltd.odoo.com/web#id=23120&amp;action=152&amp;model=crm.lead&amp;view_type=form&amp;menu_id=111","C2011622")</f>
        <v>C2011622</v>
      </c>
      <c r="C4294" s="41" t="s">
        <v>18261</v>
      </c>
      <c r="D4294" s="405"/>
      <c r="E4294" s="405" t="s">
        <v>1000</v>
      </c>
      <c r="F4294" s="9">
        <v>10000.0</v>
      </c>
      <c r="G4294" s="430"/>
      <c r="H4294" s="41" t="s">
        <v>18262</v>
      </c>
      <c r="I4294" s="276"/>
      <c r="J4294" s="11" t="s">
        <v>18263</v>
      </c>
      <c r="K4294" s="12"/>
      <c r="L4294" s="12"/>
      <c r="M4294" s="11" t="s">
        <v>9800</v>
      </c>
      <c r="N4294" s="5" t="s">
        <v>18264</v>
      </c>
      <c r="O4294" s="5" t="s">
        <v>1112</v>
      </c>
      <c r="P4294" s="15"/>
      <c r="Q4294" s="15"/>
      <c r="R4294" s="422"/>
      <c r="S4294" s="15"/>
      <c r="T4294" s="15"/>
      <c r="U4294" s="15"/>
      <c r="V4294" s="15"/>
      <c r="W4294" s="15"/>
      <c r="X4294" s="15"/>
      <c r="Y4294" s="15"/>
      <c r="Z4294" s="15"/>
      <c r="AA4294" s="15"/>
    </row>
    <row r="4295">
      <c r="A4295" s="5" t="s">
        <v>18243</v>
      </c>
      <c r="B4295" s="292" t="str">
        <f>HYPERLINK("https://akshar-exim-company-pvt-ltd.odoo.com/web#id=23119&amp;action=152&amp;model=crm.lead&amp;view_type=form&amp;menu_id=111","C2011621")</f>
        <v>C2011621</v>
      </c>
      <c r="C4295" s="40" t="s">
        <v>18265</v>
      </c>
      <c r="D4295" s="41"/>
      <c r="E4295" s="41" t="s">
        <v>18266</v>
      </c>
      <c r="F4295" s="90">
        <v>50.0</v>
      </c>
      <c r="G4295" s="430"/>
      <c r="H4295" s="41" t="s">
        <v>18267</v>
      </c>
      <c r="I4295" s="97"/>
      <c r="J4295" s="41" t="s">
        <v>18182</v>
      </c>
      <c r="K4295" s="13"/>
      <c r="L4295" s="13"/>
      <c r="M4295" s="14"/>
      <c r="N4295" s="15"/>
      <c r="O4295" s="5" t="s">
        <v>10708</v>
      </c>
      <c r="P4295" s="15"/>
      <c r="Q4295" s="15"/>
      <c r="R4295" s="422"/>
      <c r="S4295" s="15"/>
      <c r="T4295" s="15"/>
      <c r="U4295" s="15"/>
      <c r="V4295" s="15"/>
      <c r="W4295" s="15"/>
      <c r="X4295" s="15"/>
      <c r="Y4295" s="15"/>
      <c r="Z4295" s="15"/>
      <c r="AA4295" s="15"/>
    </row>
    <row r="4296">
      <c r="A4296" s="5" t="s">
        <v>18243</v>
      </c>
      <c r="B4296" s="292" t="str">
        <f>HYPERLINK("https://akshar-exim-company-pvt-ltd.odoo.com/web#id=23117&amp;action=152&amp;model=crm.lead&amp;view_type=form&amp;menu_id=111","C2011620")</f>
        <v>C2011620</v>
      </c>
      <c r="C4296" s="41" t="s">
        <v>18268</v>
      </c>
      <c r="D4296" s="405"/>
      <c r="E4296" s="405" t="s">
        <v>1320</v>
      </c>
      <c r="F4296" s="90">
        <v>3.0</v>
      </c>
      <c r="G4296" s="321"/>
      <c r="H4296" s="11" t="s">
        <v>44</v>
      </c>
      <c r="I4296" s="97"/>
      <c r="J4296" s="41" t="s">
        <v>18182</v>
      </c>
      <c r="K4296" s="13"/>
      <c r="L4296" s="13"/>
      <c r="M4296" s="14"/>
      <c r="N4296" s="15"/>
      <c r="O4296" s="5" t="s">
        <v>10708</v>
      </c>
      <c r="P4296" s="15"/>
      <c r="Q4296" s="15"/>
      <c r="R4296" s="422"/>
      <c r="S4296" s="15"/>
      <c r="T4296" s="15"/>
      <c r="U4296" s="15"/>
      <c r="V4296" s="15"/>
      <c r="W4296" s="15"/>
      <c r="X4296" s="15"/>
      <c r="Y4296" s="15"/>
      <c r="Z4296" s="15"/>
      <c r="AA4296" s="15"/>
    </row>
    <row r="4297">
      <c r="A4297" s="5" t="s">
        <v>18243</v>
      </c>
      <c r="B4297" s="292" t="str">
        <f>HYPERLINK("https://akshar-exim-company-pvt-ltd.odoo.com/web#id=23106&amp;action=152&amp;model=crm.lead&amp;view_type=form&amp;menu_id=111","C2011619")</f>
        <v>C2011619</v>
      </c>
      <c r="C4297" s="41" t="s">
        <v>18269</v>
      </c>
      <c r="D4297" s="41"/>
      <c r="E4297" s="41" t="s">
        <v>960</v>
      </c>
      <c r="F4297" s="90">
        <v>5.0</v>
      </c>
      <c r="G4297" s="430"/>
      <c r="H4297" s="41" t="s">
        <v>18270</v>
      </c>
      <c r="I4297" s="423"/>
      <c r="J4297" s="14"/>
      <c r="K4297" s="13"/>
      <c r="L4297" s="13"/>
      <c r="M4297" s="14"/>
      <c r="N4297" s="15"/>
      <c r="O4297" s="5" t="s">
        <v>10708</v>
      </c>
      <c r="P4297" s="15"/>
      <c r="Q4297" s="15"/>
      <c r="R4297" s="422"/>
      <c r="S4297" s="15"/>
      <c r="T4297" s="15"/>
      <c r="U4297" s="15"/>
      <c r="V4297" s="15"/>
      <c r="W4297" s="15"/>
      <c r="X4297" s="15"/>
      <c r="Y4297" s="15"/>
      <c r="Z4297" s="15"/>
      <c r="AA4297" s="15"/>
    </row>
    <row r="4298">
      <c r="A4298" s="5" t="s">
        <v>18243</v>
      </c>
      <c r="B4298" s="292" t="str">
        <f>HYPERLINK("https://akshar-exim-company-pvt-ltd.odoo.com/web#id=23108&amp;action=152&amp;model=crm.lead&amp;view_type=form&amp;menu_id=111","C2011618")</f>
        <v>C2011618</v>
      </c>
      <c r="C4298" s="41" t="s">
        <v>18271</v>
      </c>
      <c r="D4298" s="405"/>
      <c r="E4298" s="405" t="s">
        <v>8931</v>
      </c>
      <c r="F4298" s="90">
        <v>2000.0</v>
      </c>
      <c r="G4298" s="430"/>
      <c r="H4298" s="41" t="s">
        <v>18272</v>
      </c>
      <c r="I4298" s="276"/>
      <c r="J4298" s="11" t="s">
        <v>18273</v>
      </c>
      <c r="K4298" s="12"/>
      <c r="L4298" s="12"/>
      <c r="M4298" s="11" t="s">
        <v>18274</v>
      </c>
      <c r="N4298" s="5" t="s">
        <v>18275</v>
      </c>
      <c r="O4298" s="5" t="s">
        <v>17993</v>
      </c>
      <c r="P4298" s="15"/>
      <c r="Q4298" s="15"/>
      <c r="R4298" s="422"/>
      <c r="S4298" s="15"/>
      <c r="T4298" s="15"/>
      <c r="U4298" s="15"/>
      <c r="V4298" s="15"/>
      <c r="W4298" s="15"/>
      <c r="X4298" s="15"/>
      <c r="Y4298" s="15"/>
      <c r="Z4298" s="15"/>
      <c r="AA4298" s="15"/>
    </row>
    <row r="4299">
      <c r="A4299" s="5" t="s">
        <v>18243</v>
      </c>
      <c r="B4299" s="292" t="str">
        <f>HYPERLINK("https://akshar-exim-company-pvt-ltd.odoo.com/web#id=23104&amp;action=152&amp;model=crm.lead&amp;view_type=form&amp;menu_id=111","C2011617")</f>
        <v>C2011617</v>
      </c>
      <c r="C4299" s="41" t="s">
        <v>18276</v>
      </c>
      <c r="D4299" s="41"/>
      <c r="E4299" s="41" t="s">
        <v>18277</v>
      </c>
      <c r="F4299" s="90">
        <v>25.0</v>
      </c>
      <c r="G4299" s="430"/>
      <c r="H4299" s="41" t="s">
        <v>4638</v>
      </c>
      <c r="I4299" s="97"/>
      <c r="J4299" s="41" t="s">
        <v>18182</v>
      </c>
      <c r="K4299" s="13"/>
      <c r="L4299" s="13"/>
      <c r="M4299" s="14"/>
      <c r="N4299" s="15"/>
      <c r="O4299" s="5" t="s">
        <v>10708</v>
      </c>
      <c r="P4299" s="15"/>
      <c r="Q4299" s="15"/>
      <c r="R4299" s="422"/>
      <c r="S4299" s="15"/>
      <c r="T4299" s="15"/>
      <c r="U4299" s="15"/>
      <c r="V4299" s="15"/>
      <c r="W4299" s="15"/>
      <c r="X4299" s="15"/>
      <c r="Y4299" s="15"/>
      <c r="Z4299" s="15"/>
      <c r="AA4299" s="15"/>
    </row>
    <row r="4300">
      <c r="A4300" s="5" t="s">
        <v>18243</v>
      </c>
      <c r="B4300" s="292" t="str">
        <f>HYPERLINK("https://akshar-exim-company-pvt-ltd.odoo.com/web#id=23101&amp;action=152&amp;model=crm.lead&amp;view_type=form&amp;menu_id=111","C2011616")</f>
        <v>C2011616</v>
      </c>
      <c r="C4300" s="41" t="s">
        <v>18278</v>
      </c>
      <c r="D4300" s="11"/>
      <c r="E4300" s="11" t="s">
        <v>167</v>
      </c>
      <c r="F4300" s="90">
        <v>100.0</v>
      </c>
      <c r="G4300" s="321"/>
      <c r="H4300" s="11" t="s">
        <v>906</v>
      </c>
      <c r="I4300" s="423"/>
      <c r="J4300" s="14"/>
      <c r="K4300" s="13"/>
      <c r="L4300" s="13"/>
      <c r="M4300" s="14"/>
      <c r="N4300" s="15"/>
      <c r="O4300" s="5" t="s">
        <v>10708</v>
      </c>
      <c r="P4300" s="15"/>
      <c r="Q4300" s="15"/>
      <c r="R4300" s="422"/>
      <c r="S4300" s="15"/>
      <c r="T4300" s="15"/>
      <c r="U4300" s="15"/>
      <c r="V4300" s="15"/>
      <c r="W4300" s="15"/>
      <c r="X4300" s="15"/>
      <c r="Y4300" s="15"/>
      <c r="Z4300" s="15"/>
      <c r="AA4300" s="15"/>
    </row>
    <row r="4301">
      <c r="A4301" s="5" t="s">
        <v>18243</v>
      </c>
      <c r="B4301" s="292" t="str">
        <f>HYPERLINK("https://akshar-exim-company-pvt-ltd.odoo.com/web#id=23100&amp;action=152&amp;model=crm.lead&amp;view_type=form&amp;menu_id=111","C2011615")</f>
        <v>C2011615</v>
      </c>
      <c r="C4301" s="41" t="s">
        <v>18279</v>
      </c>
      <c r="D4301" s="11"/>
      <c r="E4301" s="11" t="s">
        <v>152</v>
      </c>
      <c r="F4301" s="90">
        <v>5000.0</v>
      </c>
      <c r="G4301" s="321"/>
      <c r="H4301" s="11" t="s">
        <v>3167</v>
      </c>
      <c r="I4301" s="276"/>
      <c r="J4301" s="11" t="s">
        <v>17976</v>
      </c>
      <c r="K4301" s="12"/>
      <c r="L4301" s="12"/>
      <c r="M4301" s="11" t="s">
        <v>11262</v>
      </c>
      <c r="N4301" s="5" t="s">
        <v>18280</v>
      </c>
      <c r="O4301" s="5" t="s">
        <v>1112</v>
      </c>
      <c r="P4301" s="15"/>
      <c r="Q4301" s="15"/>
      <c r="R4301" s="422"/>
      <c r="S4301" s="15"/>
      <c r="T4301" s="15"/>
      <c r="U4301" s="15"/>
      <c r="V4301" s="15"/>
      <c r="W4301" s="15"/>
      <c r="X4301" s="15"/>
      <c r="Y4301" s="15"/>
      <c r="Z4301" s="15"/>
      <c r="AA4301" s="15"/>
    </row>
    <row r="4302">
      <c r="A4302" s="5" t="s">
        <v>18243</v>
      </c>
      <c r="B4302" s="292" t="str">
        <f>HYPERLINK("https://akshar-exim-company-pvt-ltd.odoo.com/web#id=23096&amp;action=152&amp;model=crm.lead&amp;view_type=form&amp;menu_id=111","C2011614")</f>
        <v>C2011614</v>
      </c>
      <c r="C4302" s="41" t="s">
        <v>18281</v>
      </c>
      <c r="D4302" s="405"/>
      <c r="E4302" s="405" t="s">
        <v>167</v>
      </c>
      <c r="F4302" s="90">
        <v>20.0</v>
      </c>
      <c r="G4302" s="430"/>
      <c r="H4302" s="41" t="s">
        <v>18282</v>
      </c>
      <c r="I4302" s="276"/>
      <c r="J4302" s="11" t="s">
        <v>14563</v>
      </c>
      <c r="K4302" s="13"/>
      <c r="L4302" s="13"/>
      <c r="M4302" s="14"/>
      <c r="N4302" s="15"/>
      <c r="O4302" s="5" t="s">
        <v>17993</v>
      </c>
      <c r="P4302" s="15"/>
      <c r="Q4302" s="15"/>
      <c r="R4302" s="422"/>
      <c r="S4302" s="15"/>
      <c r="T4302" s="15"/>
      <c r="U4302" s="15"/>
      <c r="V4302" s="15"/>
      <c r="W4302" s="15"/>
      <c r="X4302" s="15"/>
      <c r="Y4302" s="15"/>
      <c r="Z4302" s="15"/>
      <c r="AA4302" s="15"/>
    </row>
    <row r="4303">
      <c r="A4303" s="5" t="s">
        <v>18243</v>
      </c>
      <c r="B4303" s="292" t="str">
        <f>HYPERLINK("https://akshar-exim-company-pvt-ltd.odoo.com/web#id=23094&amp;action=152&amp;model=crm.lead&amp;view_type=form&amp;menu_id=111","C2011613")</f>
        <v>C2011613</v>
      </c>
      <c r="C4303" s="40" t="s">
        <v>10083</v>
      </c>
      <c r="D4303" s="405"/>
      <c r="E4303" s="405" t="s">
        <v>18283</v>
      </c>
      <c r="F4303" s="90">
        <v>1000.0</v>
      </c>
      <c r="G4303" s="321"/>
      <c r="H4303" s="11" t="s">
        <v>107</v>
      </c>
      <c r="I4303" s="423"/>
      <c r="J4303" s="14"/>
      <c r="K4303" s="13"/>
      <c r="L4303" s="13"/>
      <c r="M4303" s="14"/>
      <c r="N4303" s="15"/>
      <c r="O4303" s="5" t="s">
        <v>17993</v>
      </c>
      <c r="P4303" s="15"/>
      <c r="Q4303" s="15"/>
      <c r="R4303" s="422"/>
      <c r="S4303" s="15"/>
      <c r="T4303" s="15"/>
      <c r="U4303" s="15"/>
      <c r="V4303" s="15"/>
      <c r="W4303" s="15"/>
      <c r="X4303" s="15"/>
      <c r="Y4303" s="15"/>
      <c r="Z4303" s="15"/>
      <c r="AA4303" s="15"/>
    </row>
    <row r="4304">
      <c r="A4304" s="5" t="s">
        <v>18243</v>
      </c>
      <c r="B4304" s="292" t="str">
        <f>HYPERLINK("https://akshar-exim-company-pvt-ltd.odoo.com/web#id=23093&amp;action=152&amp;model=crm.lead&amp;view_type=form&amp;menu_id=111","C2011612")</f>
        <v>C2011612</v>
      </c>
      <c r="C4304" s="41" t="s">
        <v>18284</v>
      </c>
      <c r="D4304" s="11"/>
      <c r="E4304" s="11" t="s">
        <v>152</v>
      </c>
      <c r="F4304" s="90">
        <v>5.0</v>
      </c>
      <c r="G4304" s="430"/>
      <c r="H4304" s="41" t="s">
        <v>18285</v>
      </c>
      <c r="I4304" s="276"/>
      <c r="J4304" s="11" t="s">
        <v>13644</v>
      </c>
      <c r="K4304" s="13"/>
      <c r="L4304" s="13"/>
      <c r="M4304" s="14"/>
      <c r="N4304" s="15"/>
      <c r="O4304" s="5" t="s">
        <v>10708</v>
      </c>
      <c r="P4304" s="15"/>
      <c r="Q4304" s="15"/>
      <c r="R4304" s="422"/>
      <c r="S4304" s="15"/>
      <c r="T4304" s="15"/>
      <c r="U4304" s="15"/>
      <c r="V4304" s="15"/>
      <c r="W4304" s="15"/>
      <c r="X4304" s="15"/>
      <c r="Y4304" s="15"/>
      <c r="Z4304" s="15"/>
      <c r="AA4304" s="15"/>
    </row>
    <row r="4305">
      <c r="A4305" s="5" t="s">
        <v>18243</v>
      </c>
      <c r="B4305" s="292" t="str">
        <f>HYPERLINK("https://akshar-exim-company-pvt-ltd.odoo.com/web#id=23084&amp;action=152&amp;model=crm.lead&amp;view_type=form&amp;menu_id=111","C2011611")</f>
        <v>C2011611</v>
      </c>
      <c r="C4305" s="41" t="s">
        <v>18286</v>
      </c>
      <c r="D4305" s="405"/>
      <c r="E4305" s="405" t="s">
        <v>10508</v>
      </c>
      <c r="F4305" s="90">
        <v>20.0</v>
      </c>
      <c r="G4305" s="321"/>
      <c r="H4305" s="11" t="s">
        <v>906</v>
      </c>
      <c r="I4305" s="97"/>
      <c r="J4305" s="41" t="s">
        <v>18182</v>
      </c>
      <c r="K4305" s="13"/>
      <c r="L4305" s="13"/>
      <c r="M4305" s="14"/>
      <c r="N4305" s="15"/>
      <c r="O4305" s="5" t="s">
        <v>10708</v>
      </c>
      <c r="P4305" s="15"/>
      <c r="Q4305" s="15"/>
      <c r="R4305" s="422"/>
      <c r="S4305" s="15"/>
      <c r="T4305" s="15"/>
      <c r="U4305" s="15"/>
      <c r="V4305" s="15"/>
      <c r="W4305" s="15"/>
      <c r="X4305" s="15"/>
      <c r="Y4305" s="15"/>
      <c r="Z4305" s="15"/>
      <c r="AA4305" s="15"/>
    </row>
    <row r="4306">
      <c r="A4306" s="5" t="s">
        <v>18243</v>
      </c>
      <c r="B4306" s="292" t="str">
        <f>HYPERLINK("https://akshar-exim-company-pvt-ltd.odoo.com/web#id=23079&amp;action=152&amp;model=crm.lead&amp;view_type=form&amp;menu_id=111","C2011610")</f>
        <v>C2011610</v>
      </c>
      <c r="C4306" s="40" t="s">
        <v>18287</v>
      </c>
      <c r="D4306" s="11"/>
      <c r="E4306" s="11" t="s">
        <v>841</v>
      </c>
      <c r="F4306" s="90">
        <v>1000.0</v>
      </c>
      <c r="G4306" s="321"/>
      <c r="H4306" s="11" t="s">
        <v>196</v>
      </c>
      <c r="I4306" s="423"/>
      <c r="J4306" s="14"/>
      <c r="K4306" s="12"/>
      <c r="L4306" s="12"/>
      <c r="M4306" s="11" t="s">
        <v>8860</v>
      </c>
      <c r="N4306" s="5" t="s">
        <v>18288</v>
      </c>
      <c r="O4306" s="5" t="s">
        <v>1112</v>
      </c>
      <c r="P4306" s="15"/>
      <c r="Q4306" s="15"/>
      <c r="R4306" s="422"/>
      <c r="S4306" s="15"/>
      <c r="T4306" s="15"/>
      <c r="U4306" s="15"/>
      <c r="V4306" s="15"/>
      <c r="W4306" s="15"/>
      <c r="X4306" s="15"/>
      <c r="Y4306" s="15"/>
      <c r="Z4306" s="15"/>
      <c r="AA4306" s="15"/>
    </row>
    <row r="4307">
      <c r="A4307" s="5" t="s">
        <v>18243</v>
      </c>
      <c r="B4307" s="292" t="str">
        <f>HYPERLINK("https://akshar-exim-company-pvt-ltd.odoo.com/web#id=23076&amp;action=152&amp;model=crm.lead&amp;view_type=form&amp;menu_id=111","C2011609")</f>
        <v>C2011609</v>
      </c>
      <c r="C4307" s="41" t="s">
        <v>18289</v>
      </c>
      <c r="D4307" s="41"/>
      <c r="E4307" s="41" t="s">
        <v>18290</v>
      </c>
      <c r="F4307" s="90">
        <v>4000.0</v>
      </c>
      <c r="G4307" s="321"/>
      <c r="H4307" s="11" t="s">
        <v>906</v>
      </c>
      <c r="I4307" s="423"/>
      <c r="J4307" s="14"/>
      <c r="K4307" s="13"/>
      <c r="L4307" s="13"/>
      <c r="M4307" s="14"/>
      <c r="N4307" s="15"/>
      <c r="O4307" s="5" t="s">
        <v>17993</v>
      </c>
      <c r="P4307" s="15"/>
      <c r="Q4307" s="15"/>
      <c r="R4307" s="422"/>
      <c r="S4307" s="15"/>
      <c r="T4307" s="15"/>
      <c r="U4307" s="15"/>
      <c r="V4307" s="15"/>
      <c r="W4307" s="15"/>
      <c r="X4307" s="15"/>
      <c r="Y4307" s="15"/>
      <c r="Z4307" s="15"/>
      <c r="AA4307" s="15"/>
    </row>
    <row r="4308">
      <c r="A4308" s="5" t="s">
        <v>18243</v>
      </c>
      <c r="B4308" s="292" t="str">
        <f>HYPERLINK("https://akshar-exim-company-pvt-ltd.odoo.com/web#id=23071&amp;action=152&amp;model=crm.lead&amp;view_type=form&amp;menu_id=111","C2011608")</f>
        <v>C2011608</v>
      </c>
      <c r="C4308" s="435" t="s">
        <v>18291</v>
      </c>
      <c r="D4308" s="436"/>
      <c r="E4308" s="436" t="s">
        <v>12775</v>
      </c>
      <c r="F4308" s="90">
        <v>100.0</v>
      </c>
      <c r="G4308" s="321"/>
      <c r="H4308" s="11" t="s">
        <v>18292</v>
      </c>
      <c r="I4308" s="276"/>
      <c r="J4308" s="11" t="s">
        <v>25</v>
      </c>
      <c r="K4308" s="13"/>
      <c r="L4308" s="13"/>
      <c r="M4308" s="14"/>
      <c r="N4308" s="15"/>
      <c r="O4308" s="5" t="s">
        <v>10708</v>
      </c>
      <c r="P4308" s="15"/>
      <c r="Q4308" s="15"/>
      <c r="R4308" s="422"/>
      <c r="S4308" s="15"/>
      <c r="T4308" s="15"/>
      <c r="U4308" s="15"/>
      <c r="V4308" s="15"/>
      <c r="W4308" s="15"/>
      <c r="X4308" s="15"/>
      <c r="Y4308" s="15"/>
      <c r="Z4308" s="15"/>
      <c r="AA4308" s="15"/>
    </row>
    <row r="4309">
      <c r="A4309" s="5" t="s">
        <v>18243</v>
      </c>
      <c r="B4309" s="292" t="str">
        <f>HYPERLINK("https://akshar-exim-company-pvt-ltd.odoo.com/web#id=23070&amp;action=152&amp;model=crm.lead&amp;view_type=form&amp;menu_id=111","C2011607")</f>
        <v>C2011607</v>
      </c>
      <c r="C4309" s="41" t="s">
        <v>18293</v>
      </c>
      <c r="D4309" s="405"/>
      <c r="E4309" s="405" t="s">
        <v>17724</v>
      </c>
      <c r="F4309" s="90">
        <v>5.0</v>
      </c>
      <c r="G4309" s="321"/>
      <c r="H4309" s="11" t="s">
        <v>18294</v>
      </c>
      <c r="I4309" s="423"/>
      <c r="J4309" s="14"/>
      <c r="K4309" s="13"/>
      <c r="L4309" s="13"/>
      <c r="M4309" s="14"/>
      <c r="N4309" s="15"/>
      <c r="O4309" s="5" t="s">
        <v>10708</v>
      </c>
      <c r="P4309" s="15"/>
      <c r="Q4309" s="15"/>
      <c r="R4309" s="422"/>
      <c r="S4309" s="15"/>
      <c r="T4309" s="15"/>
      <c r="U4309" s="15"/>
      <c r="V4309" s="15"/>
      <c r="W4309" s="15"/>
      <c r="X4309" s="15"/>
      <c r="Y4309" s="15"/>
      <c r="Z4309" s="15"/>
      <c r="AA4309" s="15"/>
    </row>
    <row r="4310">
      <c r="A4310" s="5" t="s">
        <v>18243</v>
      </c>
      <c r="B4310" s="292" t="str">
        <f>HYPERLINK("https://akshar-exim-company-pvt-ltd.odoo.com/web#id=23069&amp;action=152&amp;model=crm.lead&amp;view_type=form&amp;menu_id=111","C2011606")</f>
        <v>C2011606</v>
      </c>
      <c r="C4310" s="41" t="s">
        <v>18295</v>
      </c>
      <c r="D4310" s="41"/>
      <c r="E4310" s="41" t="s">
        <v>2821</v>
      </c>
      <c r="F4310" s="90">
        <v>50.0</v>
      </c>
      <c r="G4310" s="321"/>
      <c r="H4310" s="11" t="s">
        <v>44</v>
      </c>
      <c r="I4310" s="423"/>
      <c r="J4310" s="14"/>
      <c r="K4310" s="13"/>
      <c r="L4310" s="13"/>
      <c r="M4310" s="14"/>
      <c r="N4310" s="15"/>
      <c r="O4310" s="5" t="s">
        <v>10708</v>
      </c>
      <c r="P4310" s="15"/>
      <c r="Q4310" s="15"/>
      <c r="R4310" s="422"/>
      <c r="S4310" s="15"/>
      <c r="T4310" s="15"/>
      <c r="U4310" s="15"/>
      <c r="V4310" s="15"/>
      <c r="W4310" s="15"/>
      <c r="X4310" s="15"/>
      <c r="Y4310" s="15"/>
      <c r="Z4310" s="15"/>
      <c r="AA4310" s="15"/>
    </row>
    <row r="4311">
      <c r="A4311" s="5" t="s">
        <v>18243</v>
      </c>
      <c r="B4311" s="292" t="str">
        <f>HYPERLINK("https://akshar-exim-company-pvt-ltd.odoo.com/web#id=23067&amp;action=152&amp;model=crm.lead&amp;view_type=form&amp;menu_id=111","C2011605")</f>
        <v>C2011605</v>
      </c>
      <c r="C4311" s="40" t="s">
        <v>18296</v>
      </c>
      <c r="D4311" s="405"/>
      <c r="E4311" s="405" t="s">
        <v>3073</v>
      </c>
      <c r="F4311" s="90">
        <v>2.0</v>
      </c>
      <c r="G4311" s="321"/>
      <c r="H4311" s="11" t="s">
        <v>44</v>
      </c>
      <c r="I4311" s="423"/>
      <c r="J4311" s="14"/>
      <c r="K4311" s="13"/>
      <c r="L4311" s="13"/>
      <c r="M4311" s="14"/>
      <c r="N4311" s="15"/>
      <c r="O4311" s="5" t="s">
        <v>10708</v>
      </c>
      <c r="P4311" s="15"/>
      <c r="Q4311" s="15"/>
      <c r="R4311" s="422"/>
      <c r="S4311" s="15"/>
      <c r="T4311" s="15"/>
      <c r="U4311" s="15"/>
      <c r="V4311" s="15"/>
      <c r="W4311" s="15"/>
      <c r="X4311" s="15"/>
      <c r="Y4311" s="15"/>
      <c r="Z4311" s="15"/>
      <c r="AA4311" s="15"/>
    </row>
    <row r="4312">
      <c r="A4312" s="5" t="s">
        <v>18297</v>
      </c>
      <c r="B4312" s="292" t="str">
        <f>HYPERLINK("https://akshar-exim-company-pvt-ltd.odoo.com/web#id=23064&amp;action=152&amp;model=crm.lead&amp;view_type=form&amp;menu_id=111","C2011604")</f>
        <v>C2011604</v>
      </c>
      <c r="C4312" s="41" t="s">
        <v>18298</v>
      </c>
      <c r="D4312" s="41"/>
      <c r="E4312" s="41" t="s">
        <v>18299</v>
      </c>
      <c r="F4312" s="9">
        <v>10000.0</v>
      </c>
      <c r="G4312" s="321"/>
      <c r="H4312" s="11" t="s">
        <v>44</v>
      </c>
      <c r="I4312" s="423"/>
      <c r="J4312" s="14"/>
      <c r="K4312" s="12"/>
      <c r="L4312" s="12"/>
      <c r="M4312" s="11" t="s">
        <v>9685</v>
      </c>
      <c r="N4312" s="5" t="s">
        <v>18300</v>
      </c>
      <c r="O4312" s="5" t="s">
        <v>1112</v>
      </c>
      <c r="P4312" s="15"/>
      <c r="Q4312" s="15"/>
      <c r="R4312" s="422"/>
      <c r="S4312" s="15"/>
      <c r="T4312" s="15"/>
      <c r="U4312" s="15"/>
      <c r="V4312" s="15"/>
      <c r="W4312" s="15"/>
      <c r="X4312" s="15"/>
      <c r="Y4312" s="15"/>
      <c r="Z4312" s="15"/>
      <c r="AA4312" s="15"/>
    </row>
    <row r="4313">
      <c r="A4313" s="5" t="s">
        <v>18297</v>
      </c>
      <c r="B4313" s="292" t="str">
        <f>HYPERLINK("https://akshar-exim-company-pvt-ltd.odoo.com/web#id=23060&amp;action=152&amp;model=crm.lead&amp;view_type=form&amp;menu_id=111","C2011603")</f>
        <v>C2011603</v>
      </c>
      <c r="C4313" s="41" t="s">
        <v>18301</v>
      </c>
      <c r="D4313" s="41"/>
      <c r="E4313" s="41" t="s">
        <v>7040</v>
      </c>
      <c r="F4313" s="90">
        <v>10.0</v>
      </c>
      <c r="G4313" s="430"/>
      <c r="H4313" s="41" t="s">
        <v>507</v>
      </c>
      <c r="I4313" s="97"/>
      <c r="J4313" s="41" t="s">
        <v>18302</v>
      </c>
      <c r="K4313" s="13"/>
      <c r="L4313" s="13"/>
      <c r="M4313" s="14"/>
      <c r="N4313" s="15"/>
      <c r="O4313" s="5" t="s">
        <v>10708</v>
      </c>
      <c r="P4313" s="15"/>
      <c r="Q4313" s="15"/>
      <c r="R4313" s="422"/>
      <c r="S4313" s="15"/>
      <c r="T4313" s="15"/>
      <c r="U4313" s="15"/>
      <c r="V4313" s="15"/>
      <c r="W4313" s="15"/>
      <c r="X4313" s="15"/>
      <c r="Y4313" s="15"/>
      <c r="Z4313" s="15"/>
      <c r="AA4313" s="15"/>
    </row>
    <row r="4314">
      <c r="A4314" s="5" t="s">
        <v>18297</v>
      </c>
      <c r="B4314" s="292" t="str">
        <f>HYPERLINK("https://akshar-exim-company-pvt-ltd.odoo.com/web#id=23059&amp;action=152&amp;model=crm.lead&amp;view_type=form&amp;menu_id=111","C2011602")</f>
        <v>C2011602</v>
      </c>
      <c r="C4314" s="41" t="s">
        <v>18303</v>
      </c>
      <c r="D4314" s="41"/>
      <c r="E4314" s="41" t="s">
        <v>10508</v>
      </c>
      <c r="F4314" s="90">
        <v>1.0</v>
      </c>
      <c r="G4314" s="430"/>
      <c r="H4314" s="41" t="s">
        <v>18236</v>
      </c>
      <c r="I4314" s="97"/>
      <c r="J4314" s="41" t="s">
        <v>9772</v>
      </c>
      <c r="K4314" s="13"/>
      <c r="L4314" s="13"/>
      <c r="M4314" s="14"/>
      <c r="N4314" s="15"/>
      <c r="O4314" s="5" t="s">
        <v>10708</v>
      </c>
      <c r="P4314" s="15"/>
      <c r="Q4314" s="15"/>
      <c r="R4314" s="422"/>
      <c r="S4314" s="15"/>
      <c r="T4314" s="15"/>
      <c r="U4314" s="15"/>
      <c r="V4314" s="15"/>
      <c r="W4314" s="15"/>
      <c r="X4314" s="15"/>
      <c r="Y4314" s="15"/>
      <c r="Z4314" s="15"/>
      <c r="AA4314" s="15"/>
    </row>
    <row r="4315">
      <c r="A4315" s="5" t="s">
        <v>18297</v>
      </c>
      <c r="B4315" s="292" t="str">
        <f>HYPERLINK("https://akshar-exim-company-pvt-ltd.odoo.com/web#id=23048&amp;action=152&amp;model=crm.lead&amp;view_type=form&amp;menu_id=111","C2011601")</f>
        <v>C2011601</v>
      </c>
      <c r="C4315" s="41" t="s">
        <v>18304</v>
      </c>
      <c r="D4315" s="405"/>
      <c r="E4315" s="405" t="s">
        <v>18305</v>
      </c>
      <c r="F4315" s="90">
        <v>10.0</v>
      </c>
      <c r="G4315" s="430"/>
      <c r="H4315" s="41" t="s">
        <v>18306</v>
      </c>
      <c r="I4315" s="423"/>
      <c r="J4315" s="14"/>
      <c r="K4315" s="13"/>
      <c r="L4315" s="13"/>
      <c r="M4315" s="14"/>
      <c r="N4315" s="15"/>
      <c r="O4315" s="5" t="s">
        <v>10708</v>
      </c>
      <c r="P4315" s="15"/>
      <c r="Q4315" s="15"/>
      <c r="R4315" s="422"/>
      <c r="S4315" s="15"/>
      <c r="T4315" s="15"/>
      <c r="U4315" s="15"/>
      <c r="V4315" s="15"/>
      <c r="W4315" s="15"/>
      <c r="X4315" s="15"/>
      <c r="Y4315" s="15"/>
      <c r="Z4315" s="15"/>
      <c r="AA4315" s="15"/>
    </row>
    <row r="4316">
      <c r="A4316" s="5" t="s">
        <v>18297</v>
      </c>
      <c r="B4316" s="292" t="str">
        <f>HYPERLINK("https://akshar-exim-company-pvt-ltd.odoo.com/web#id=22983&amp;action=152&amp;model=crm.lead&amp;view_type=form&amp;menu_id=111","C2011600")</f>
        <v>C2011600</v>
      </c>
      <c r="C4316" s="41" t="s">
        <v>6560</v>
      </c>
      <c r="D4316" s="405"/>
      <c r="E4316" s="405" t="s">
        <v>5977</v>
      </c>
      <c r="F4316" s="90">
        <v>50.0</v>
      </c>
      <c r="G4316" s="430"/>
      <c r="H4316" s="41" t="s">
        <v>18307</v>
      </c>
      <c r="I4316" s="423"/>
      <c r="J4316" s="14"/>
      <c r="K4316" s="13"/>
      <c r="L4316" s="13"/>
      <c r="M4316" s="14"/>
      <c r="N4316" s="15"/>
      <c r="O4316" s="5" t="s">
        <v>10708</v>
      </c>
      <c r="P4316" s="15"/>
      <c r="Q4316" s="15"/>
      <c r="R4316" s="422"/>
      <c r="S4316" s="15"/>
      <c r="T4316" s="15"/>
      <c r="U4316" s="15"/>
      <c r="V4316" s="15"/>
      <c r="W4316" s="15"/>
      <c r="X4316" s="15"/>
      <c r="Y4316" s="15"/>
      <c r="Z4316" s="15"/>
      <c r="AA4316" s="15"/>
    </row>
    <row r="4317">
      <c r="A4317" s="5" t="s">
        <v>18297</v>
      </c>
      <c r="B4317" s="292" t="str">
        <f>HYPERLINK("https://akshar-exim-company-pvt-ltd.odoo.com/web#id=22982&amp;action=152&amp;model=crm.lead&amp;view_type=form&amp;menu_id=111","C2011599")</f>
        <v>C2011599</v>
      </c>
      <c r="C4317" s="41" t="s">
        <v>18308</v>
      </c>
      <c r="D4317" s="41"/>
      <c r="E4317" s="41" t="s">
        <v>16165</v>
      </c>
      <c r="F4317" s="90">
        <v>10.0</v>
      </c>
      <c r="G4317" s="430"/>
      <c r="H4317" s="41" t="s">
        <v>18309</v>
      </c>
      <c r="I4317" s="276"/>
      <c r="J4317" s="11" t="s">
        <v>17976</v>
      </c>
      <c r="K4317" s="13"/>
      <c r="L4317" s="13"/>
      <c r="M4317" s="14"/>
      <c r="N4317" s="15"/>
      <c r="O4317" s="5" t="s">
        <v>10708</v>
      </c>
      <c r="P4317" s="15"/>
      <c r="Q4317" s="15"/>
      <c r="R4317" s="422"/>
      <c r="S4317" s="15"/>
      <c r="T4317" s="15"/>
      <c r="U4317" s="15"/>
      <c r="V4317" s="15"/>
      <c r="W4317" s="15"/>
      <c r="X4317" s="15"/>
      <c r="Y4317" s="15"/>
      <c r="Z4317" s="15"/>
      <c r="AA4317" s="15"/>
    </row>
    <row r="4318">
      <c r="A4318" s="5" t="s">
        <v>18297</v>
      </c>
      <c r="B4318" s="292" t="str">
        <f>HYPERLINK("https://akshar-exim-company-pvt-ltd.odoo.com/web#id=22980&amp;action=152&amp;model=crm.lead&amp;view_type=form&amp;menu_id=111","C2011598")</f>
        <v>C2011598</v>
      </c>
      <c r="C4318" s="41" t="s">
        <v>18310</v>
      </c>
      <c r="D4318" s="405"/>
      <c r="E4318" s="405" t="s">
        <v>18311</v>
      </c>
      <c r="F4318" s="90">
        <v>10.0</v>
      </c>
      <c r="G4318" s="430"/>
      <c r="H4318" s="41" t="s">
        <v>18312</v>
      </c>
      <c r="I4318" s="423"/>
      <c r="J4318" s="14"/>
      <c r="K4318" s="13"/>
      <c r="L4318" s="13"/>
      <c r="M4318" s="14"/>
      <c r="N4318" s="15"/>
      <c r="O4318" s="5" t="s">
        <v>10708</v>
      </c>
      <c r="P4318" s="15"/>
      <c r="Q4318" s="15"/>
      <c r="R4318" s="422"/>
      <c r="S4318" s="15"/>
      <c r="T4318" s="15"/>
      <c r="U4318" s="15"/>
      <c r="V4318" s="15"/>
      <c r="W4318" s="15"/>
      <c r="X4318" s="15"/>
      <c r="Y4318" s="15"/>
      <c r="Z4318" s="15"/>
      <c r="AA4318" s="15"/>
    </row>
    <row r="4319">
      <c r="A4319" s="5" t="s">
        <v>18297</v>
      </c>
      <c r="B4319" s="292" t="str">
        <f>HYPERLINK("https://akshar-exim-company-pvt-ltd.odoo.com/web#id=22969&amp;action=152&amp;model=crm.lead&amp;view_type=form&amp;menu_id=111","C2011597")</f>
        <v>C2011597</v>
      </c>
      <c r="C4319" s="41" t="s">
        <v>18313</v>
      </c>
      <c r="D4319" s="41"/>
      <c r="E4319" s="41" t="s">
        <v>18314</v>
      </c>
      <c r="F4319" s="90">
        <v>10.0</v>
      </c>
      <c r="G4319" s="321"/>
      <c r="H4319" s="11" t="s">
        <v>44</v>
      </c>
      <c r="I4319" s="276"/>
      <c r="J4319" s="11" t="s">
        <v>18223</v>
      </c>
      <c r="K4319" s="13"/>
      <c r="L4319" s="13"/>
      <c r="M4319" s="14"/>
      <c r="N4319" s="15"/>
      <c r="O4319" s="5" t="s">
        <v>10708</v>
      </c>
      <c r="P4319" s="15"/>
      <c r="Q4319" s="15"/>
      <c r="R4319" s="422"/>
      <c r="S4319" s="15"/>
      <c r="T4319" s="15"/>
      <c r="U4319" s="15"/>
      <c r="V4319" s="15"/>
      <c r="W4319" s="15"/>
      <c r="X4319" s="15"/>
      <c r="Y4319" s="15"/>
      <c r="Z4319" s="15"/>
      <c r="AA4319" s="15"/>
    </row>
    <row r="4320">
      <c r="A4320" s="5" t="s">
        <v>18297</v>
      </c>
      <c r="B4320" s="292" t="str">
        <f>HYPERLINK("https://akshar-exim-company-pvt-ltd.odoo.com/web#id=22963&amp;action=152&amp;model=crm.lead&amp;view_type=form&amp;menu_id=111","C2011596")</f>
        <v>C2011596</v>
      </c>
      <c r="C4320" s="41" t="s">
        <v>18315</v>
      </c>
      <c r="D4320" s="405"/>
      <c r="E4320" s="405" t="s">
        <v>167</v>
      </c>
      <c r="F4320" s="90">
        <v>15.0</v>
      </c>
      <c r="G4320" s="321"/>
      <c r="H4320" s="11" t="s">
        <v>2682</v>
      </c>
      <c r="I4320" s="276"/>
      <c r="J4320" s="11" t="s">
        <v>14563</v>
      </c>
      <c r="K4320" s="13"/>
      <c r="L4320" s="13"/>
      <c r="M4320" s="14"/>
      <c r="N4320" s="15"/>
      <c r="O4320" s="5" t="s">
        <v>10708</v>
      </c>
      <c r="P4320" s="15"/>
      <c r="Q4320" s="15"/>
      <c r="R4320" s="422"/>
      <c r="S4320" s="15"/>
      <c r="T4320" s="15"/>
      <c r="U4320" s="15"/>
      <c r="V4320" s="15"/>
      <c r="W4320" s="15"/>
      <c r="X4320" s="15"/>
      <c r="Y4320" s="15"/>
      <c r="Z4320" s="15"/>
      <c r="AA4320" s="15"/>
    </row>
    <row r="4321">
      <c r="A4321" s="5" t="s">
        <v>18297</v>
      </c>
      <c r="B4321" s="292" t="str">
        <f>HYPERLINK("https://akshar-exim-company-pvt-ltd.odoo.com/web#id=22962&amp;action=152&amp;model=crm.lead&amp;view_type=form&amp;menu_id=111","C2011595")</f>
        <v>C2011595</v>
      </c>
      <c r="C4321" s="41" t="s">
        <v>18316</v>
      </c>
      <c r="D4321" s="41"/>
      <c r="E4321" s="41" t="s">
        <v>18317</v>
      </c>
      <c r="F4321" s="90">
        <v>5.0</v>
      </c>
      <c r="G4321" s="430"/>
      <c r="H4321" s="41" t="s">
        <v>6438</v>
      </c>
      <c r="I4321" s="423"/>
      <c r="J4321" s="14"/>
      <c r="K4321" s="13"/>
      <c r="L4321" s="13"/>
      <c r="M4321" s="14"/>
      <c r="N4321" s="15"/>
      <c r="O4321" s="5" t="s">
        <v>10708</v>
      </c>
      <c r="P4321" s="15"/>
      <c r="Q4321" s="15"/>
      <c r="R4321" s="422"/>
      <c r="S4321" s="15"/>
      <c r="T4321" s="15"/>
      <c r="U4321" s="15"/>
      <c r="V4321" s="15"/>
      <c r="W4321" s="15"/>
      <c r="X4321" s="15"/>
      <c r="Y4321" s="15"/>
      <c r="Z4321" s="15"/>
      <c r="AA4321" s="15"/>
    </row>
    <row r="4322">
      <c r="A4322" s="5" t="s">
        <v>18297</v>
      </c>
      <c r="B4322" s="292" t="str">
        <f>HYPERLINK("https://akshar-exim-company-pvt-ltd.odoo.com/web#id=22951&amp;action=152&amp;model=crm.lead&amp;view_type=form&amp;menu_id=111","C2011594")</f>
        <v>C2011594</v>
      </c>
      <c r="C4322" s="41" t="s">
        <v>18318</v>
      </c>
      <c r="D4322" s="405"/>
      <c r="E4322" s="405" t="s">
        <v>83</v>
      </c>
      <c r="F4322" s="90">
        <v>1.0</v>
      </c>
      <c r="G4322" s="321"/>
      <c r="H4322" s="11" t="s">
        <v>44</v>
      </c>
      <c r="I4322" s="276"/>
      <c r="J4322" s="11" t="s">
        <v>9536</v>
      </c>
      <c r="K4322" s="13"/>
      <c r="L4322" s="13"/>
      <c r="M4322" s="14"/>
      <c r="N4322" s="15"/>
      <c r="O4322" s="5" t="s">
        <v>10708</v>
      </c>
      <c r="P4322" s="15"/>
      <c r="Q4322" s="15"/>
      <c r="R4322" s="422"/>
      <c r="S4322" s="15"/>
      <c r="T4322" s="15"/>
      <c r="U4322" s="15"/>
      <c r="V4322" s="15"/>
      <c r="W4322" s="15"/>
      <c r="X4322" s="15"/>
      <c r="Y4322" s="15"/>
      <c r="Z4322" s="15"/>
      <c r="AA4322" s="15"/>
    </row>
    <row r="4323">
      <c r="A4323" s="5" t="s">
        <v>18297</v>
      </c>
      <c r="B4323" s="292" t="str">
        <f>HYPERLINK("https://akshar-exim-company-pvt-ltd.odoo.com/web#id=22947&amp;action=152&amp;model=crm.lead&amp;view_type=form&amp;menu_id=111","C2011593")</f>
        <v>C2011593</v>
      </c>
      <c r="C4323" s="41" t="s">
        <v>18319</v>
      </c>
      <c r="D4323" s="41"/>
      <c r="E4323" s="41" t="s">
        <v>8362</v>
      </c>
      <c r="F4323" s="90">
        <v>5.0</v>
      </c>
      <c r="G4323" s="430"/>
      <c r="H4323" s="41" t="s">
        <v>49</v>
      </c>
      <c r="I4323" s="97"/>
      <c r="J4323" s="41" t="s">
        <v>18182</v>
      </c>
      <c r="K4323" s="13"/>
      <c r="L4323" s="13"/>
      <c r="M4323" s="14"/>
      <c r="N4323" s="15"/>
      <c r="O4323" s="5" t="s">
        <v>10708</v>
      </c>
      <c r="P4323" s="15"/>
      <c r="Q4323" s="15"/>
      <c r="R4323" s="422"/>
      <c r="S4323" s="15"/>
      <c r="T4323" s="15"/>
      <c r="U4323" s="15"/>
      <c r="V4323" s="15"/>
      <c r="W4323" s="15"/>
      <c r="X4323" s="15"/>
      <c r="Y4323" s="15"/>
      <c r="Z4323" s="15"/>
      <c r="AA4323" s="15"/>
    </row>
    <row r="4324">
      <c r="A4324" s="5" t="s">
        <v>18297</v>
      </c>
      <c r="B4324" s="292" t="str">
        <f>HYPERLINK("https://akshar-exim-company-pvt-ltd.odoo.com/web#id=22944&amp;action=152&amp;model=crm.lead&amp;view_type=form&amp;menu_id=111","C2011592")</f>
        <v>C2011592</v>
      </c>
      <c r="C4324" s="41" t="s">
        <v>18320</v>
      </c>
      <c r="D4324" s="41"/>
      <c r="E4324" s="41" t="s">
        <v>8247</v>
      </c>
      <c r="F4324" s="90">
        <v>50.0</v>
      </c>
      <c r="G4324" s="321"/>
      <c r="H4324" s="11" t="s">
        <v>44</v>
      </c>
      <c r="I4324" s="97"/>
      <c r="J4324" s="41" t="s">
        <v>18182</v>
      </c>
      <c r="K4324" s="13"/>
      <c r="L4324" s="13"/>
      <c r="M4324" s="14"/>
      <c r="N4324" s="15"/>
      <c r="O4324" s="5" t="s">
        <v>10708</v>
      </c>
      <c r="P4324" s="15"/>
      <c r="Q4324" s="15"/>
      <c r="R4324" s="422"/>
      <c r="S4324" s="15"/>
      <c r="T4324" s="15"/>
      <c r="U4324" s="15"/>
      <c r="V4324" s="15"/>
      <c r="W4324" s="15"/>
      <c r="X4324" s="15"/>
      <c r="Y4324" s="15"/>
      <c r="Z4324" s="15"/>
      <c r="AA4324" s="15"/>
    </row>
    <row r="4325">
      <c r="A4325" s="5" t="s">
        <v>18297</v>
      </c>
      <c r="B4325" s="292" t="str">
        <f>HYPERLINK("https://akshar-exim-company-pvt-ltd.odoo.com/web#id=22940&amp;action=152&amp;model=crm.lead&amp;view_type=form&amp;menu_id=111","C2011591")</f>
        <v>C2011591</v>
      </c>
      <c r="C4325" s="41" t="s">
        <v>18321</v>
      </c>
      <c r="D4325" s="405"/>
      <c r="E4325" s="405" t="s">
        <v>8247</v>
      </c>
      <c r="F4325" s="90">
        <v>4.0</v>
      </c>
      <c r="G4325" s="321"/>
      <c r="H4325" s="11" t="s">
        <v>44</v>
      </c>
      <c r="I4325" s="97"/>
      <c r="J4325" s="41" t="s">
        <v>18322</v>
      </c>
      <c r="K4325" s="13"/>
      <c r="L4325" s="13"/>
      <c r="M4325" s="14"/>
      <c r="N4325" s="15"/>
      <c r="O4325" s="5" t="s">
        <v>10708</v>
      </c>
      <c r="P4325" s="15"/>
      <c r="Q4325" s="15"/>
      <c r="R4325" s="422"/>
      <c r="S4325" s="15"/>
      <c r="T4325" s="15"/>
      <c r="U4325" s="15"/>
      <c r="V4325" s="15"/>
      <c r="W4325" s="15"/>
      <c r="X4325" s="15"/>
      <c r="Y4325" s="15"/>
      <c r="Z4325" s="15"/>
      <c r="AA4325" s="15"/>
    </row>
    <row r="4326">
      <c r="A4326" s="5" t="s">
        <v>18297</v>
      </c>
      <c r="B4326" s="292" t="str">
        <f>HYPERLINK("https://akshar-exim-company-pvt-ltd.odoo.com/web#id=22939&amp;action=152&amp;model=crm.lead&amp;view_type=form&amp;menu_id=111","C2011590")</f>
        <v>C2011590</v>
      </c>
      <c r="C4326" s="41" t="s">
        <v>18323</v>
      </c>
      <c r="D4326" s="405"/>
      <c r="E4326" s="405" t="s">
        <v>18324</v>
      </c>
      <c r="F4326" s="90">
        <v>10.0</v>
      </c>
      <c r="G4326" s="321"/>
      <c r="H4326" s="11" t="s">
        <v>184</v>
      </c>
      <c r="I4326" s="97"/>
      <c r="J4326" s="41" t="s">
        <v>18325</v>
      </c>
      <c r="K4326" s="13"/>
      <c r="L4326" s="13"/>
      <c r="M4326" s="14"/>
      <c r="N4326" s="15"/>
      <c r="O4326" s="5" t="s">
        <v>10708</v>
      </c>
      <c r="P4326" s="15"/>
      <c r="Q4326" s="15"/>
      <c r="R4326" s="422"/>
      <c r="S4326" s="15"/>
      <c r="T4326" s="15"/>
      <c r="U4326" s="15"/>
      <c r="V4326" s="15"/>
      <c r="W4326" s="15"/>
      <c r="X4326" s="15"/>
      <c r="Y4326" s="15"/>
      <c r="Z4326" s="15"/>
      <c r="AA4326" s="15"/>
    </row>
    <row r="4327">
      <c r="A4327" s="5" t="s">
        <v>18297</v>
      </c>
      <c r="B4327" s="292" t="str">
        <f>HYPERLINK("https://akshar-exim-company-pvt-ltd.odoo.com/web#id=22936&amp;action=152&amp;model=crm.lead&amp;view_type=form&amp;menu_id=111","C2011589")</f>
        <v>C2011589</v>
      </c>
      <c r="C4327" s="41" t="s">
        <v>18326</v>
      </c>
      <c r="D4327" s="41"/>
      <c r="E4327" s="41" t="s">
        <v>7700</v>
      </c>
      <c r="F4327" s="90" t="s">
        <v>5839</v>
      </c>
      <c r="G4327" s="430"/>
      <c r="H4327" s="41" t="s">
        <v>7784</v>
      </c>
      <c r="I4327" s="97"/>
      <c r="J4327" s="41" t="s">
        <v>18182</v>
      </c>
      <c r="K4327" s="12"/>
      <c r="L4327" s="12"/>
      <c r="M4327" s="11" t="s">
        <v>18327</v>
      </c>
      <c r="N4327" s="5" t="s">
        <v>18328</v>
      </c>
      <c r="O4327" s="5" t="s">
        <v>17993</v>
      </c>
      <c r="P4327" s="15"/>
      <c r="Q4327" s="15"/>
      <c r="R4327" s="422"/>
      <c r="S4327" s="15"/>
      <c r="T4327" s="15"/>
      <c r="U4327" s="15"/>
      <c r="V4327" s="15"/>
      <c r="W4327" s="15"/>
      <c r="X4327" s="15"/>
      <c r="Y4327" s="15"/>
      <c r="Z4327" s="15"/>
      <c r="AA4327" s="15"/>
    </row>
    <row r="4328">
      <c r="A4328" s="5" t="s">
        <v>18297</v>
      </c>
      <c r="B4328" s="292" t="str">
        <f>HYPERLINK("https://akshar-exim-company-pvt-ltd.odoo.com/web#id=22935&amp;action=152&amp;model=crm.lead&amp;view_type=form&amp;menu_id=111","C2011588")</f>
        <v>C2011588</v>
      </c>
      <c r="C4328" s="41" t="s">
        <v>18329</v>
      </c>
      <c r="D4328" s="41"/>
      <c r="E4328" s="41" t="s">
        <v>10508</v>
      </c>
      <c r="F4328" s="90">
        <v>5.0</v>
      </c>
      <c r="G4328" s="321"/>
      <c r="H4328" s="11" t="s">
        <v>906</v>
      </c>
      <c r="I4328" s="276"/>
      <c r="J4328" s="11" t="s">
        <v>18223</v>
      </c>
      <c r="K4328" s="13"/>
      <c r="L4328" s="13"/>
      <c r="M4328" s="14"/>
      <c r="N4328" s="15"/>
      <c r="O4328" s="5" t="s">
        <v>10708</v>
      </c>
      <c r="P4328" s="15"/>
      <c r="Q4328" s="15"/>
      <c r="R4328" s="422"/>
      <c r="S4328" s="15"/>
      <c r="T4328" s="15"/>
      <c r="U4328" s="15"/>
      <c r="V4328" s="15"/>
      <c r="W4328" s="15"/>
      <c r="X4328" s="15"/>
      <c r="Y4328" s="15"/>
      <c r="Z4328" s="15"/>
      <c r="AA4328" s="15"/>
    </row>
    <row r="4329">
      <c r="A4329" s="5" t="s">
        <v>18297</v>
      </c>
      <c r="B4329" s="292" t="str">
        <f>HYPERLINK("https://akshar-exim-company-pvt-ltd.odoo.com/web#id=22919&amp;action=152&amp;model=crm.lead&amp;view_type=form&amp;menu_id=111","C2011587")</f>
        <v>C2011587</v>
      </c>
      <c r="C4329" s="41" t="s">
        <v>18330</v>
      </c>
      <c r="D4329" s="11"/>
      <c r="E4329" s="11" t="s">
        <v>3824</v>
      </c>
      <c r="F4329" s="90">
        <v>2000.0</v>
      </c>
      <c r="G4329" s="430"/>
      <c r="H4329" s="41" t="s">
        <v>18331</v>
      </c>
      <c r="I4329" s="97"/>
      <c r="J4329" s="41" t="s">
        <v>4008</v>
      </c>
      <c r="K4329" s="12"/>
      <c r="L4329" s="12"/>
      <c r="M4329" s="11" t="s">
        <v>8782</v>
      </c>
      <c r="N4329" s="5" t="s">
        <v>18332</v>
      </c>
      <c r="O4329" s="5" t="s">
        <v>1112</v>
      </c>
      <c r="P4329" s="15"/>
      <c r="Q4329" s="15"/>
      <c r="R4329" s="422"/>
      <c r="S4329" s="15"/>
      <c r="T4329" s="15"/>
      <c r="U4329" s="15"/>
      <c r="V4329" s="15"/>
      <c r="W4329" s="15"/>
      <c r="X4329" s="15"/>
      <c r="Y4329" s="15"/>
      <c r="Z4329" s="15"/>
      <c r="AA4329" s="15"/>
    </row>
    <row r="4330">
      <c r="A4330" s="5" t="s">
        <v>18297</v>
      </c>
      <c r="B4330" s="292" t="str">
        <f>HYPERLINK("https://akshar-exim-company-pvt-ltd.odoo.com/web#id=22918&amp;action=152&amp;model=crm.lead&amp;view_type=form&amp;menu_id=111","C2011586")</f>
        <v>C2011586</v>
      </c>
      <c r="C4330" s="41" t="s">
        <v>18333</v>
      </c>
      <c r="D4330" s="11"/>
      <c r="E4330" s="11" t="s">
        <v>152</v>
      </c>
      <c r="F4330" s="90">
        <v>1000.0</v>
      </c>
      <c r="G4330" s="321"/>
      <c r="H4330" s="11" t="s">
        <v>44</v>
      </c>
      <c r="I4330" s="423"/>
      <c r="J4330" s="14"/>
      <c r="K4330" s="12"/>
      <c r="L4330" s="12"/>
      <c r="M4330" s="11" t="s">
        <v>18334</v>
      </c>
      <c r="N4330" s="5" t="s">
        <v>18335</v>
      </c>
      <c r="O4330" s="5" t="s">
        <v>1112</v>
      </c>
      <c r="P4330" s="15"/>
      <c r="Q4330" s="15"/>
      <c r="R4330" s="422"/>
      <c r="S4330" s="15"/>
      <c r="T4330" s="15"/>
      <c r="U4330" s="15"/>
      <c r="V4330" s="15"/>
      <c r="W4330" s="15"/>
      <c r="X4330" s="15"/>
      <c r="Y4330" s="15"/>
      <c r="Z4330" s="15"/>
      <c r="AA4330" s="15"/>
    </row>
    <row r="4331">
      <c r="A4331" s="5" t="s">
        <v>18297</v>
      </c>
      <c r="B4331" s="292" t="str">
        <f>HYPERLINK("https://akshar-exim-company-pvt-ltd.odoo.com/web#id=22917&amp;action=152&amp;model=crm.lead&amp;view_type=form&amp;menu_id=111","C2011585")</f>
        <v>C2011585</v>
      </c>
      <c r="C4331" s="41" t="s">
        <v>18336</v>
      </c>
      <c r="D4331" s="41"/>
      <c r="E4331" s="41" t="s">
        <v>7700</v>
      </c>
      <c r="F4331" s="90" t="s">
        <v>18337</v>
      </c>
      <c r="G4331" s="321"/>
      <c r="H4331" s="11" t="s">
        <v>44</v>
      </c>
      <c r="I4331" s="276"/>
      <c r="J4331" s="11" t="s">
        <v>18182</v>
      </c>
      <c r="K4331" s="12"/>
      <c r="L4331" s="12"/>
      <c r="M4331" s="11" t="s">
        <v>18338</v>
      </c>
      <c r="N4331" s="5" t="s">
        <v>18339</v>
      </c>
      <c r="O4331" s="5" t="s">
        <v>1112</v>
      </c>
      <c r="P4331" s="15"/>
      <c r="Q4331" s="15"/>
      <c r="R4331" s="422"/>
      <c r="S4331" s="15"/>
      <c r="T4331" s="15"/>
      <c r="U4331" s="15"/>
      <c r="V4331" s="15"/>
      <c r="W4331" s="15"/>
      <c r="X4331" s="15"/>
      <c r="Y4331" s="15"/>
      <c r="Z4331" s="15"/>
      <c r="AA4331" s="15"/>
    </row>
    <row r="4332">
      <c r="A4332" s="5" t="s">
        <v>18297</v>
      </c>
      <c r="B4332" s="292" t="str">
        <f>HYPERLINK("https://akshar-exim-company-pvt-ltd.odoo.com/web#id=22875&amp;action=152&amp;model=crm.lead&amp;view_type=form&amp;menu_id=111","C2011584")</f>
        <v>C2011584</v>
      </c>
      <c r="C4332" s="41" t="s">
        <v>18340</v>
      </c>
      <c r="D4332" s="11"/>
      <c r="E4332" s="11" t="s">
        <v>501</v>
      </c>
      <c r="F4332" s="90">
        <v>50.0</v>
      </c>
      <c r="G4332" s="430"/>
      <c r="H4332" s="41" t="s">
        <v>18340</v>
      </c>
      <c r="I4332" s="97"/>
      <c r="J4332" s="41" t="s">
        <v>18182</v>
      </c>
      <c r="K4332" s="13"/>
      <c r="L4332" s="13"/>
      <c r="M4332" s="14"/>
      <c r="N4332" s="15"/>
      <c r="O4332" s="5" t="s">
        <v>10708</v>
      </c>
      <c r="P4332" s="15"/>
      <c r="Q4332" s="15"/>
      <c r="R4332" s="422"/>
      <c r="S4332" s="15"/>
      <c r="T4332" s="15"/>
      <c r="U4332" s="15"/>
      <c r="V4332" s="15"/>
      <c r="W4332" s="15"/>
      <c r="X4332" s="15"/>
      <c r="Y4332" s="15"/>
      <c r="Z4332" s="15"/>
      <c r="AA4332" s="15"/>
    </row>
    <row r="4333">
      <c r="A4333" s="5" t="s">
        <v>18297</v>
      </c>
      <c r="B4333" s="292" t="str">
        <f>HYPERLINK("https://akshar-exim-company-pvt-ltd.odoo.com/web#id=22874&amp;action=152&amp;model=crm.lead&amp;view_type=form&amp;menu_id=111","C2011583")</f>
        <v>C2011583</v>
      </c>
      <c r="C4333" s="41" t="s">
        <v>18341</v>
      </c>
      <c r="D4333" s="11"/>
      <c r="E4333" s="11" t="s">
        <v>22</v>
      </c>
      <c r="F4333" s="90">
        <v>1000.0</v>
      </c>
      <c r="G4333" s="321"/>
      <c r="H4333" s="11" t="s">
        <v>44</v>
      </c>
      <c r="I4333" s="423"/>
      <c r="J4333" s="14"/>
      <c r="K4333" s="12"/>
      <c r="L4333" s="12"/>
      <c r="M4333" s="11" t="s">
        <v>9298</v>
      </c>
      <c r="N4333" s="5" t="s">
        <v>18342</v>
      </c>
      <c r="O4333" s="5" t="s">
        <v>1112</v>
      </c>
      <c r="P4333" s="15"/>
      <c r="Q4333" s="15"/>
      <c r="R4333" s="422"/>
      <c r="S4333" s="15"/>
      <c r="T4333" s="15"/>
      <c r="U4333" s="15"/>
      <c r="V4333" s="15"/>
      <c r="W4333" s="15"/>
      <c r="X4333" s="15"/>
      <c r="Y4333" s="15"/>
      <c r="Z4333" s="15"/>
      <c r="AA4333" s="15"/>
    </row>
    <row r="4334">
      <c r="A4334" s="5" t="s">
        <v>18297</v>
      </c>
      <c r="B4334" s="292" t="str">
        <f>HYPERLINK("https://akshar-exim-company-pvt-ltd.odoo.com/web#id=22873&amp;action=152&amp;model=crm.lead&amp;view_type=form&amp;menu_id=111","C2011582")</f>
        <v>C2011582</v>
      </c>
      <c r="C4334" s="41" t="s">
        <v>18343</v>
      </c>
      <c r="D4334" s="41"/>
      <c r="E4334" s="41" t="s">
        <v>17746</v>
      </c>
      <c r="F4334" s="90">
        <v>1.0</v>
      </c>
      <c r="G4334" s="321"/>
      <c r="H4334" s="11" t="s">
        <v>906</v>
      </c>
      <c r="I4334" s="276"/>
      <c r="J4334" s="11" t="s">
        <v>13956</v>
      </c>
      <c r="K4334" s="13"/>
      <c r="L4334" s="13"/>
      <c r="M4334" s="14"/>
      <c r="N4334" s="15"/>
      <c r="O4334" s="5" t="s">
        <v>10708</v>
      </c>
      <c r="P4334" s="15"/>
      <c r="Q4334" s="15"/>
      <c r="R4334" s="422"/>
      <c r="S4334" s="15"/>
      <c r="T4334" s="15"/>
      <c r="U4334" s="15"/>
      <c r="V4334" s="15"/>
      <c r="W4334" s="15"/>
      <c r="X4334" s="15"/>
      <c r="Y4334" s="15"/>
      <c r="Z4334" s="15"/>
      <c r="AA4334" s="15"/>
    </row>
    <row r="4335">
      <c r="A4335" s="5" t="s">
        <v>18297</v>
      </c>
      <c r="B4335" s="292" t="str">
        <f>HYPERLINK("https://akshar-exim-company-pvt-ltd.odoo.com/web#id=22872&amp;action=152&amp;model=crm.lead&amp;view_type=form&amp;menu_id=111","C2011581")</f>
        <v>C2011581</v>
      </c>
      <c r="C4335" s="41" t="s">
        <v>18344</v>
      </c>
      <c r="D4335" s="41"/>
      <c r="E4335" s="41" t="s">
        <v>130</v>
      </c>
      <c r="F4335" s="90">
        <v>3000.0</v>
      </c>
      <c r="G4335" s="430"/>
      <c r="H4335" s="41" t="s">
        <v>18345</v>
      </c>
      <c r="I4335" s="97"/>
      <c r="J4335" s="41" t="s">
        <v>18182</v>
      </c>
      <c r="K4335" s="12"/>
      <c r="L4335" s="12"/>
      <c r="M4335" s="11" t="s">
        <v>10721</v>
      </c>
      <c r="N4335" s="5" t="s">
        <v>18346</v>
      </c>
      <c r="O4335" s="5" t="s">
        <v>17993</v>
      </c>
      <c r="P4335" s="15"/>
      <c r="Q4335" s="15"/>
      <c r="R4335" s="422"/>
      <c r="S4335" s="15"/>
      <c r="T4335" s="15"/>
      <c r="U4335" s="15"/>
      <c r="V4335" s="15"/>
      <c r="W4335" s="15"/>
      <c r="X4335" s="15"/>
      <c r="Y4335" s="15"/>
      <c r="Z4335" s="15"/>
      <c r="AA4335" s="15"/>
    </row>
    <row r="4336">
      <c r="A4336" s="5" t="s">
        <v>18297</v>
      </c>
      <c r="B4336" s="292" t="str">
        <f>HYPERLINK("https://akshar-exim-company-pvt-ltd.odoo.com/web#id=22570&amp;action=152&amp;model=crm.lead&amp;view_type=form&amp;menu_id=111","C2011580")</f>
        <v>C2011580</v>
      </c>
      <c r="C4336" s="41" t="s">
        <v>18347</v>
      </c>
      <c r="D4336" s="11"/>
      <c r="E4336" s="11" t="s">
        <v>501</v>
      </c>
      <c r="F4336" s="90">
        <v>50.0</v>
      </c>
      <c r="G4336" s="430"/>
      <c r="H4336" s="41" t="s">
        <v>18348</v>
      </c>
      <c r="I4336" s="423"/>
      <c r="J4336" s="14"/>
      <c r="K4336" s="13"/>
      <c r="L4336" s="13"/>
      <c r="M4336" s="14"/>
      <c r="N4336" s="15"/>
      <c r="O4336" s="5" t="s">
        <v>10708</v>
      </c>
      <c r="P4336" s="15"/>
      <c r="Q4336" s="15"/>
      <c r="R4336" s="422"/>
      <c r="S4336" s="15"/>
      <c r="T4336" s="15"/>
      <c r="U4336" s="15"/>
      <c r="V4336" s="15"/>
      <c r="W4336" s="15"/>
      <c r="X4336" s="15"/>
      <c r="Y4336" s="15"/>
      <c r="Z4336" s="15"/>
      <c r="AA4336" s="15"/>
    </row>
    <row r="4337">
      <c r="A4337" s="5" t="s">
        <v>18297</v>
      </c>
      <c r="B4337" s="292" t="str">
        <f>HYPERLINK("https://akshar-exim-company-pvt-ltd.odoo.com/web#id=22566&amp;action=152&amp;model=crm.lead&amp;view_type=form&amp;menu_id=111","C2011579")</f>
        <v>C2011579</v>
      </c>
      <c r="C4337" s="41" t="s">
        <v>18349</v>
      </c>
      <c r="D4337" s="41"/>
      <c r="E4337" s="41" t="s">
        <v>6360</v>
      </c>
      <c r="F4337" s="90">
        <v>100.0</v>
      </c>
      <c r="G4337" s="430"/>
      <c r="H4337" s="41" t="s">
        <v>6826</v>
      </c>
      <c r="I4337" s="276"/>
      <c r="J4337" s="11" t="s">
        <v>25</v>
      </c>
      <c r="K4337" s="13"/>
      <c r="L4337" s="13"/>
      <c r="M4337" s="14"/>
      <c r="N4337" s="15"/>
      <c r="O4337" s="5" t="s">
        <v>10708</v>
      </c>
      <c r="P4337" s="15"/>
      <c r="Q4337" s="15"/>
      <c r="R4337" s="422"/>
      <c r="S4337" s="15"/>
      <c r="T4337" s="15"/>
      <c r="U4337" s="15"/>
      <c r="V4337" s="15"/>
      <c r="W4337" s="15"/>
      <c r="X4337" s="15"/>
      <c r="Y4337" s="15"/>
      <c r="Z4337" s="15"/>
      <c r="AA4337" s="15"/>
    </row>
    <row r="4338">
      <c r="A4338" s="5" t="s">
        <v>18297</v>
      </c>
      <c r="B4338" s="292" t="str">
        <f>HYPERLINK("https://akshar-exim-company-pvt-ltd.odoo.com/web#id=22563&amp;action=152&amp;model=crm.lead&amp;view_type=form&amp;menu_id=111","C2011578")</f>
        <v>C2011578</v>
      </c>
      <c r="C4338" s="40" t="s">
        <v>10325</v>
      </c>
      <c r="D4338" s="41"/>
      <c r="E4338" s="41" t="s">
        <v>10508</v>
      </c>
      <c r="F4338" s="90">
        <v>500.0</v>
      </c>
      <c r="G4338" s="321"/>
      <c r="H4338" s="11" t="s">
        <v>906</v>
      </c>
      <c r="I4338" s="276"/>
      <c r="J4338" s="11" t="s">
        <v>25</v>
      </c>
      <c r="K4338" s="13"/>
      <c r="L4338" s="13"/>
      <c r="M4338" s="14"/>
      <c r="N4338" s="15"/>
      <c r="O4338" s="5" t="s">
        <v>17993</v>
      </c>
      <c r="P4338" s="15"/>
      <c r="Q4338" s="15"/>
      <c r="R4338" s="422"/>
      <c r="S4338" s="15"/>
      <c r="T4338" s="15"/>
      <c r="U4338" s="15"/>
      <c r="V4338" s="15"/>
      <c r="W4338" s="15"/>
      <c r="X4338" s="15"/>
      <c r="Y4338" s="15"/>
      <c r="Z4338" s="15"/>
      <c r="AA4338" s="15"/>
    </row>
    <row r="4339">
      <c r="A4339" s="5" t="s">
        <v>18297</v>
      </c>
      <c r="B4339" s="292" t="str">
        <f>HYPERLINK("https://akshar-exim-company-pvt-ltd.odoo.com/web#id=22561&amp;action=152&amp;model=crm.lead&amp;view_type=form&amp;menu_id=111","C2011577")</f>
        <v>C2011577</v>
      </c>
      <c r="C4339" s="41" t="s">
        <v>18350</v>
      </c>
      <c r="D4339" s="41"/>
      <c r="E4339" s="41" t="s">
        <v>5259</v>
      </c>
      <c r="F4339" s="90">
        <v>300.0</v>
      </c>
      <c r="G4339" s="321"/>
      <c r="H4339" s="11" t="s">
        <v>906</v>
      </c>
      <c r="I4339" s="276"/>
      <c r="J4339" s="11" t="s">
        <v>17976</v>
      </c>
      <c r="K4339" s="12"/>
      <c r="L4339" s="12"/>
      <c r="M4339" s="11" t="s">
        <v>13651</v>
      </c>
      <c r="N4339" s="5" t="s">
        <v>18351</v>
      </c>
      <c r="O4339" s="5" t="s">
        <v>17993</v>
      </c>
      <c r="P4339" s="15"/>
      <c r="Q4339" s="15"/>
      <c r="R4339" s="422"/>
      <c r="S4339" s="15"/>
      <c r="T4339" s="15"/>
      <c r="U4339" s="15"/>
      <c r="V4339" s="15"/>
      <c r="W4339" s="15"/>
      <c r="X4339" s="15"/>
      <c r="Y4339" s="15"/>
      <c r="Z4339" s="15"/>
      <c r="AA4339" s="15"/>
    </row>
    <row r="4340">
      <c r="A4340" s="5" t="s">
        <v>18352</v>
      </c>
      <c r="B4340" s="292" t="str">
        <f>HYPERLINK("https://akshar-exim-company-pvt-ltd.odoo.com/web#id=22851&amp;action=152&amp;model=crm.lead&amp;view_type=form&amp;menu_id=111","C2011576")</f>
        <v>C2011576</v>
      </c>
      <c r="C4340" s="41" t="s">
        <v>18353</v>
      </c>
      <c r="D4340" s="405"/>
      <c r="E4340" s="405" t="s">
        <v>18354</v>
      </c>
      <c r="F4340" s="90">
        <v>5.0</v>
      </c>
      <c r="G4340" s="321"/>
      <c r="H4340" s="11" t="s">
        <v>906</v>
      </c>
      <c r="I4340" s="276"/>
      <c r="J4340" s="11" t="s">
        <v>25</v>
      </c>
      <c r="K4340" s="13"/>
      <c r="L4340" s="13"/>
      <c r="M4340" s="14"/>
      <c r="N4340" s="15"/>
      <c r="O4340" s="5" t="s">
        <v>10708</v>
      </c>
      <c r="P4340" s="15"/>
      <c r="Q4340" s="15"/>
      <c r="R4340" s="422"/>
      <c r="S4340" s="15"/>
      <c r="T4340" s="15"/>
      <c r="U4340" s="15"/>
      <c r="V4340" s="15"/>
      <c r="W4340" s="15"/>
      <c r="X4340" s="15"/>
      <c r="Y4340" s="15"/>
      <c r="Z4340" s="15"/>
      <c r="AA4340" s="15"/>
    </row>
    <row r="4341">
      <c r="A4341" s="5" t="s">
        <v>18352</v>
      </c>
      <c r="B4341" s="292" t="str">
        <f>HYPERLINK("https://akshar-exim-company-pvt-ltd.odoo.com/web#id=22847&amp;action=152&amp;model=crm.lead&amp;view_type=form&amp;menu_id=111","C2011575")</f>
        <v>C2011575</v>
      </c>
      <c r="C4341" s="41" t="s">
        <v>702</v>
      </c>
      <c r="D4341" s="405"/>
      <c r="E4341" s="405" t="s">
        <v>18355</v>
      </c>
      <c r="F4341" s="9">
        <v>20000.0</v>
      </c>
      <c r="G4341" s="430"/>
      <c r="H4341" s="41" t="s">
        <v>9792</v>
      </c>
      <c r="I4341" s="276"/>
      <c r="J4341" s="11" t="s">
        <v>17976</v>
      </c>
      <c r="K4341" s="13"/>
      <c r="L4341" s="13"/>
      <c r="M4341" s="14"/>
      <c r="N4341" s="15"/>
      <c r="O4341" s="5" t="s">
        <v>17993</v>
      </c>
      <c r="P4341" s="15"/>
      <c r="Q4341" s="15"/>
      <c r="R4341" s="422"/>
      <c r="S4341" s="15"/>
      <c r="T4341" s="15"/>
      <c r="U4341" s="15"/>
      <c r="V4341" s="15"/>
      <c r="W4341" s="15"/>
      <c r="X4341" s="15"/>
      <c r="Y4341" s="15"/>
      <c r="Z4341" s="15"/>
      <c r="AA4341" s="15"/>
    </row>
    <row r="4342">
      <c r="A4342" s="5" t="s">
        <v>18352</v>
      </c>
      <c r="B4342" s="292" t="str">
        <f>HYPERLINK("https://akshar-exim-company-pvt-ltd.odoo.com/web#id=22581&amp;action=152&amp;model=crm.lead&amp;view_type=form&amp;menu_id=111","C2011574")</f>
        <v>C2011574</v>
      </c>
      <c r="C4342" s="41" t="s">
        <v>18356</v>
      </c>
      <c r="D4342" s="41"/>
      <c r="E4342" s="41" t="s">
        <v>18357</v>
      </c>
      <c r="F4342" s="90">
        <v>50.0</v>
      </c>
      <c r="G4342" s="430"/>
      <c r="H4342" s="41" t="s">
        <v>18358</v>
      </c>
      <c r="I4342" s="97"/>
      <c r="J4342" s="41" t="s">
        <v>18182</v>
      </c>
      <c r="K4342" s="13"/>
      <c r="L4342" s="13"/>
      <c r="M4342" s="14"/>
      <c r="N4342" s="15"/>
      <c r="O4342" s="5" t="s">
        <v>10708</v>
      </c>
      <c r="P4342" s="15"/>
      <c r="Q4342" s="15"/>
      <c r="R4342" s="422"/>
      <c r="S4342" s="15"/>
      <c r="T4342" s="15"/>
      <c r="U4342" s="15"/>
      <c r="V4342" s="15"/>
      <c r="W4342" s="15"/>
      <c r="X4342" s="15"/>
      <c r="Y4342" s="15"/>
      <c r="Z4342" s="15"/>
      <c r="AA4342" s="15"/>
    </row>
    <row r="4343">
      <c r="A4343" s="5" t="s">
        <v>18352</v>
      </c>
      <c r="B4343" s="292" t="str">
        <f>HYPERLINK("https://akshar-exim-company-pvt-ltd.odoo.com/web#id=22580&amp;action=152&amp;model=crm.lead&amp;view_type=form&amp;menu_id=111","C2011573")</f>
        <v>C2011573</v>
      </c>
      <c r="C4343" s="41" t="s">
        <v>18359</v>
      </c>
      <c r="D4343" s="41"/>
      <c r="E4343" s="41" t="s">
        <v>18360</v>
      </c>
      <c r="F4343" s="9">
        <v>10000.0</v>
      </c>
      <c r="G4343" s="321"/>
      <c r="H4343" s="11" t="s">
        <v>44</v>
      </c>
      <c r="I4343" s="276"/>
      <c r="J4343" s="11" t="s">
        <v>25</v>
      </c>
      <c r="K4343" s="12"/>
      <c r="L4343" s="12"/>
      <c r="M4343" s="11" t="s">
        <v>8860</v>
      </c>
      <c r="N4343" s="5" t="s">
        <v>18361</v>
      </c>
      <c r="O4343" s="5" t="s">
        <v>1112</v>
      </c>
      <c r="P4343" s="15"/>
      <c r="Q4343" s="15"/>
      <c r="R4343" s="422"/>
      <c r="S4343" s="15"/>
      <c r="T4343" s="15"/>
      <c r="U4343" s="15"/>
      <c r="V4343" s="15"/>
      <c r="W4343" s="15"/>
      <c r="X4343" s="15"/>
      <c r="Y4343" s="15"/>
      <c r="Z4343" s="15"/>
      <c r="AA4343" s="15"/>
    </row>
    <row r="4344">
      <c r="A4344" s="5" t="s">
        <v>18352</v>
      </c>
      <c r="B4344" s="292" t="str">
        <f>HYPERLINK("https://akshar-exim-company-pvt-ltd.odoo.com/web#id=23046&amp;action=152&amp;model=crm.lead&amp;view_type=form&amp;menu_id=111","C2011572")</f>
        <v>C2011572</v>
      </c>
      <c r="C4344" s="41" t="s">
        <v>18362</v>
      </c>
      <c r="D4344" s="405"/>
      <c r="E4344" s="405" t="s">
        <v>8247</v>
      </c>
      <c r="F4344" s="90">
        <v>5.0</v>
      </c>
      <c r="G4344" s="321"/>
      <c r="H4344" s="11" t="s">
        <v>44</v>
      </c>
      <c r="I4344" s="423"/>
      <c r="J4344" s="14"/>
      <c r="K4344" s="13"/>
      <c r="L4344" s="13"/>
      <c r="M4344" s="14"/>
      <c r="N4344" s="15"/>
      <c r="O4344" s="5" t="s">
        <v>34</v>
      </c>
      <c r="P4344" s="15"/>
      <c r="Q4344" s="15"/>
      <c r="R4344" s="422"/>
      <c r="S4344" s="15"/>
      <c r="T4344" s="15"/>
      <c r="U4344" s="15"/>
      <c r="V4344" s="15"/>
      <c r="W4344" s="15"/>
      <c r="X4344" s="15"/>
      <c r="Y4344" s="15"/>
      <c r="Z4344" s="15"/>
      <c r="AA4344" s="15"/>
    </row>
    <row r="4345">
      <c r="A4345" s="5" t="s">
        <v>18352</v>
      </c>
      <c r="B4345" s="292" t="str">
        <f>HYPERLINK("https://akshar-exim-company-pvt-ltd.odoo.com/web#id=23052&amp;action=152&amp;model=crm.lead&amp;view_type=form&amp;menu_id=111","C2011571")</f>
        <v>C2011571</v>
      </c>
      <c r="C4345" s="41" t="s">
        <v>18363</v>
      </c>
      <c r="D4345" s="405"/>
      <c r="E4345" s="405" t="s">
        <v>141</v>
      </c>
      <c r="F4345" s="90">
        <v>100.0</v>
      </c>
      <c r="G4345" s="430"/>
      <c r="H4345" s="41" t="s">
        <v>18364</v>
      </c>
      <c r="I4345" s="97"/>
      <c r="J4345" s="41" t="s">
        <v>18365</v>
      </c>
      <c r="K4345" s="13"/>
      <c r="L4345" s="13"/>
      <c r="M4345" s="14"/>
      <c r="N4345" s="15"/>
      <c r="O4345" s="5" t="s">
        <v>10708</v>
      </c>
      <c r="P4345" s="15"/>
      <c r="Q4345" s="15"/>
      <c r="R4345" s="422"/>
      <c r="S4345" s="15"/>
      <c r="T4345" s="15"/>
      <c r="U4345" s="15"/>
      <c r="V4345" s="15"/>
      <c r="W4345" s="15"/>
      <c r="X4345" s="15"/>
      <c r="Y4345" s="15"/>
      <c r="Z4345" s="15"/>
      <c r="AA4345" s="15"/>
    </row>
    <row r="4346">
      <c r="A4346" s="5" t="s">
        <v>18352</v>
      </c>
      <c r="B4346" s="292" t="str">
        <f>HYPERLINK("https://akshar-exim-company-pvt-ltd.odoo.com/web#id=22975&amp;action=152&amp;model=crm.lead&amp;view_type=form&amp;menu_id=111","C2011570")</f>
        <v>C2011570</v>
      </c>
      <c r="C4346" s="41" t="s">
        <v>18366</v>
      </c>
      <c r="D4346" s="41"/>
      <c r="E4346" s="41" t="s">
        <v>6323</v>
      </c>
      <c r="F4346" s="90">
        <v>4000.0</v>
      </c>
      <c r="G4346" s="430"/>
      <c r="H4346" s="41" t="s">
        <v>906</v>
      </c>
      <c r="I4346" s="276"/>
      <c r="J4346" s="11" t="s">
        <v>25</v>
      </c>
      <c r="K4346" s="12"/>
      <c r="L4346" s="12"/>
      <c r="M4346" s="11" t="s">
        <v>18367</v>
      </c>
      <c r="N4346" s="5" t="s">
        <v>18368</v>
      </c>
      <c r="O4346" s="5" t="s">
        <v>17993</v>
      </c>
      <c r="P4346" s="15"/>
      <c r="Q4346" s="15"/>
      <c r="R4346" s="422"/>
      <c r="S4346" s="15"/>
      <c r="T4346" s="15"/>
      <c r="U4346" s="15"/>
      <c r="V4346" s="15"/>
      <c r="W4346" s="15"/>
      <c r="X4346" s="15"/>
      <c r="Y4346" s="15"/>
      <c r="Z4346" s="15"/>
      <c r="AA4346" s="15"/>
    </row>
    <row r="4347">
      <c r="A4347" s="5" t="s">
        <v>18352</v>
      </c>
      <c r="B4347" s="292" t="str">
        <f>HYPERLINK("https://akshar-exim-company-pvt-ltd.odoo.com/web#id=23049&amp;action=152&amp;model=crm.lead&amp;view_type=form&amp;menu_id=111","C2011569")</f>
        <v>C2011569</v>
      </c>
      <c r="C4347" s="41" t="s">
        <v>18369</v>
      </c>
      <c r="D4347" s="41"/>
      <c r="E4347" s="41" t="s">
        <v>18370</v>
      </c>
      <c r="F4347" s="9">
        <v>25000.0</v>
      </c>
      <c r="G4347" s="430"/>
      <c r="H4347" s="41" t="s">
        <v>4460</v>
      </c>
      <c r="I4347" s="276"/>
      <c r="J4347" s="11" t="s">
        <v>17976</v>
      </c>
      <c r="K4347" s="13"/>
      <c r="L4347" s="13"/>
      <c r="M4347" s="14"/>
      <c r="N4347" s="15"/>
      <c r="O4347" s="5" t="s">
        <v>17993</v>
      </c>
      <c r="P4347" s="15"/>
      <c r="Q4347" s="15"/>
      <c r="R4347" s="422"/>
      <c r="S4347" s="15"/>
      <c r="T4347" s="15"/>
      <c r="U4347" s="15"/>
      <c r="V4347" s="15"/>
      <c r="W4347" s="15"/>
      <c r="X4347" s="15"/>
      <c r="Y4347" s="15"/>
      <c r="Z4347" s="15"/>
      <c r="AA4347" s="15"/>
    </row>
    <row r="4348">
      <c r="A4348" s="5" t="s">
        <v>18352</v>
      </c>
      <c r="B4348" s="292" t="str">
        <f>HYPERLINK("https://akshar-exim-company-pvt-ltd.odoo.com/web#id=22984&amp;action=152&amp;model=crm.lead&amp;view_type=form&amp;menu_id=111","C2011568")</f>
        <v>C2011568</v>
      </c>
      <c r="C4348" s="41" t="s">
        <v>18371</v>
      </c>
      <c r="D4348" s="41"/>
      <c r="E4348" s="41" t="s">
        <v>16553</v>
      </c>
      <c r="F4348" s="90">
        <v>10.0</v>
      </c>
      <c r="G4348" s="430"/>
      <c r="H4348" s="41" t="s">
        <v>18372</v>
      </c>
      <c r="I4348" s="276"/>
      <c r="J4348" s="11" t="s">
        <v>25</v>
      </c>
      <c r="K4348" s="13"/>
      <c r="L4348" s="13"/>
      <c r="M4348" s="14"/>
      <c r="N4348" s="15"/>
      <c r="O4348" s="5" t="s">
        <v>10708</v>
      </c>
      <c r="P4348" s="15"/>
      <c r="Q4348" s="15"/>
      <c r="R4348" s="422"/>
      <c r="S4348" s="15"/>
      <c r="T4348" s="15"/>
      <c r="U4348" s="15"/>
      <c r="V4348" s="15"/>
      <c r="W4348" s="15"/>
      <c r="X4348" s="15"/>
      <c r="Y4348" s="15"/>
      <c r="Z4348" s="15"/>
      <c r="AA4348" s="15"/>
    </row>
    <row r="4349">
      <c r="A4349" s="5" t="s">
        <v>18352</v>
      </c>
      <c r="B4349" s="292" t="str">
        <f>HYPERLINK("https://akshar-exim-company-pvt-ltd.odoo.com/web#id=23036&amp;action=152&amp;model=crm.lead&amp;view_type=form&amp;menu_id=111","C2011567")</f>
        <v>C2011567</v>
      </c>
      <c r="C4349" s="41" t="s">
        <v>18373</v>
      </c>
      <c r="D4349" s="41"/>
      <c r="E4349" s="41" t="s">
        <v>15663</v>
      </c>
      <c r="F4349" s="90">
        <v>1000.0</v>
      </c>
      <c r="G4349" s="430"/>
      <c r="H4349" s="41" t="s">
        <v>18374</v>
      </c>
      <c r="I4349" s="276"/>
      <c r="J4349" s="11" t="s">
        <v>17976</v>
      </c>
      <c r="K4349" s="13"/>
      <c r="L4349" s="13"/>
      <c r="M4349" s="14"/>
      <c r="N4349" s="15"/>
      <c r="O4349" s="5" t="s">
        <v>1112</v>
      </c>
      <c r="P4349" s="15"/>
      <c r="Q4349" s="15"/>
      <c r="R4349" s="422"/>
      <c r="S4349" s="15"/>
      <c r="T4349" s="15"/>
      <c r="U4349" s="15"/>
      <c r="V4349" s="15"/>
      <c r="W4349" s="15"/>
      <c r="X4349" s="15"/>
      <c r="Y4349" s="15"/>
      <c r="Z4349" s="15"/>
      <c r="AA4349" s="15"/>
    </row>
    <row r="4350">
      <c r="A4350" s="5" t="s">
        <v>18352</v>
      </c>
      <c r="B4350" s="292" t="str">
        <f>HYPERLINK("https://akshar-exim-company-pvt-ltd.odoo.com/web#id=23032&amp;action=152&amp;model=crm.lead&amp;view_type=form&amp;menu_id=111","C2011566")</f>
        <v>C2011566</v>
      </c>
      <c r="C4350" s="41" t="s">
        <v>18375</v>
      </c>
      <c r="D4350" s="41"/>
      <c r="E4350" s="41" t="s">
        <v>3686</v>
      </c>
      <c r="F4350" s="90">
        <v>25.0</v>
      </c>
      <c r="G4350" s="430"/>
      <c r="H4350" s="41" t="s">
        <v>18376</v>
      </c>
      <c r="I4350" s="423"/>
      <c r="J4350" s="14"/>
      <c r="K4350" s="13"/>
      <c r="L4350" s="13"/>
      <c r="M4350" s="14"/>
      <c r="N4350" s="15"/>
      <c r="O4350" s="5" t="s">
        <v>10708</v>
      </c>
      <c r="P4350" s="15"/>
      <c r="Q4350" s="15"/>
      <c r="R4350" s="422"/>
      <c r="S4350" s="15"/>
      <c r="T4350" s="15"/>
      <c r="U4350" s="15"/>
      <c r="V4350" s="15"/>
      <c r="W4350" s="15"/>
      <c r="X4350" s="15"/>
      <c r="Y4350" s="15"/>
      <c r="Z4350" s="15"/>
      <c r="AA4350" s="15"/>
    </row>
    <row r="4351">
      <c r="A4351" s="5" t="s">
        <v>18352</v>
      </c>
      <c r="B4351" s="292" t="str">
        <f>HYPERLINK("https://akshar-exim-company-pvt-ltd.odoo.com/web#id=23027&amp;action=152&amp;model=crm.lead&amp;view_type=form&amp;menu_id=111","C2011565")</f>
        <v>C2011565</v>
      </c>
      <c r="C4351" s="41" t="s">
        <v>18377</v>
      </c>
      <c r="D4351" s="41"/>
      <c r="E4351" s="41" t="s">
        <v>9283</v>
      </c>
      <c r="F4351" s="90">
        <v>35.0</v>
      </c>
      <c r="G4351" s="321"/>
      <c r="H4351" s="11" t="s">
        <v>44</v>
      </c>
      <c r="I4351" s="423"/>
      <c r="J4351" s="14"/>
      <c r="K4351" s="13"/>
      <c r="L4351" s="13"/>
      <c r="M4351" s="14"/>
      <c r="N4351" s="15"/>
      <c r="O4351" s="5" t="s">
        <v>10708</v>
      </c>
      <c r="P4351" s="15"/>
      <c r="Q4351" s="15"/>
      <c r="R4351" s="422"/>
      <c r="S4351" s="15"/>
      <c r="T4351" s="15"/>
      <c r="U4351" s="15"/>
      <c r="V4351" s="15"/>
      <c r="W4351" s="15"/>
      <c r="X4351" s="15"/>
      <c r="Y4351" s="15"/>
      <c r="Z4351" s="15"/>
      <c r="AA4351" s="15"/>
    </row>
    <row r="4352">
      <c r="A4352" s="5" t="s">
        <v>18352</v>
      </c>
      <c r="B4352" s="292" t="str">
        <f>HYPERLINK("https://akshar-exim-company-pvt-ltd.odoo.com/web#id=23026&amp;action=152&amp;model=crm.lead&amp;view_type=form&amp;menu_id=111","C2011564")</f>
        <v>C2011564</v>
      </c>
      <c r="C4352" s="41" t="s">
        <v>18378</v>
      </c>
      <c r="D4352" s="405"/>
      <c r="E4352" s="405" t="s">
        <v>18379</v>
      </c>
      <c r="F4352" s="90">
        <v>5000.0</v>
      </c>
      <c r="G4352" s="430"/>
      <c r="H4352" s="41" t="s">
        <v>18380</v>
      </c>
      <c r="I4352" s="423"/>
      <c r="J4352" s="14"/>
      <c r="K4352" s="12"/>
      <c r="L4352" s="12"/>
      <c r="M4352" s="11" t="s">
        <v>13782</v>
      </c>
      <c r="N4352" s="5" t="s">
        <v>18381</v>
      </c>
      <c r="O4352" s="5" t="s">
        <v>1112</v>
      </c>
      <c r="P4352" s="15"/>
      <c r="Q4352" s="15"/>
      <c r="R4352" s="422"/>
      <c r="S4352" s="15"/>
      <c r="T4352" s="15"/>
      <c r="U4352" s="15"/>
      <c r="V4352" s="15"/>
      <c r="W4352" s="15"/>
      <c r="X4352" s="15"/>
      <c r="Y4352" s="15"/>
      <c r="Z4352" s="15"/>
      <c r="AA4352" s="15"/>
    </row>
    <row r="4353">
      <c r="A4353" s="5" t="s">
        <v>18352</v>
      </c>
      <c r="B4353" s="292" t="str">
        <f>HYPERLINK("https://akshar-exim-company-pvt-ltd.odoo.com/web#id=23031&amp;action=152&amp;model=crm.lead&amp;view_type=form&amp;menu_id=111","C2011563")</f>
        <v>C2011563</v>
      </c>
      <c r="C4353" s="41" t="s">
        <v>9461</v>
      </c>
      <c r="D4353" s="11"/>
      <c r="E4353" s="11" t="s">
        <v>3824</v>
      </c>
      <c r="F4353" s="90">
        <v>1000.0</v>
      </c>
      <c r="G4353" s="430"/>
      <c r="H4353" s="41" t="s">
        <v>3090</v>
      </c>
      <c r="I4353" s="423"/>
      <c r="J4353" s="14"/>
      <c r="K4353" s="12"/>
      <c r="L4353" s="12"/>
      <c r="M4353" s="11" t="s">
        <v>10460</v>
      </c>
      <c r="N4353" s="5" t="s">
        <v>18382</v>
      </c>
      <c r="O4353" s="5" t="s">
        <v>1112</v>
      </c>
      <c r="P4353" s="15"/>
      <c r="Q4353" s="15"/>
      <c r="R4353" s="422"/>
      <c r="S4353" s="15"/>
      <c r="T4353" s="15"/>
      <c r="U4353" s="15"/>
      <c r="V4353" s="15"/>
      <c r="W4353" s="15"/>
      <c r="X4353" s="15"/>
      <c r="Y4353" s="15"/>
      <c r="Z4353" s="15"/>
      <c r="AA4353" s="15"/>
    </row>
    <row r="4354">
      <c r="A4354" s="5" t="s">
        <v>18352</v>
      </c>
      <c r="B4354" s="292" t="str">
        <f>HYPERLINK("https://akshar-exim-company-pvt-ltd.odoo.com/web#id=23030&amp;action=152&amp;model=crm.lead&amp;view_type=form&amp;menu_id=111","C2011562")</f>
        <v>C2011562</v>
      </c>
      <c r="C4354" s="41" t="s">
        <v>18383</v>
      </c>
      <c r="D4354" s="405"/>
      <c r="E4354" s="405" t="s">
        <v>18384</v>
      </c>
      <c r="F4354" s="90">
        <v>10.0</v>
      </c>
      <c r="G4354" s="321"/>
      <c r="H4354" s="11" t="s">
        <v>44</v>
      </c>
      <c r="I4354" s="423"/>
      <c r="J4354" s="14"/>
      <c r="K4354" s="13"/>
      <c r="L4354" s="13"/>
      <c r="M4354" s="14"/>
      <c r="N4354" s="15"/>
      <c r="O4354" s="5" t="s">
        <v>34</v>
      </c>
      <c r="P4354" s="15"/>
      <c r="Q4354" s="15"/>
      <c r="R4354" s="422"/>
      <c r="S4354" s="15"/>
      <c r="T4354" s="15"/>
      <c r="U4354" s="15"/>
      <c r="V4354" s="15"/>
      <c r="W4354" s="15"/>
      <c r="X4354" s="15"/>
      <c r="Y4354" s="15"/>
      <c r="Z4354" s="15"/>
      <c r="AA4354" s="15"/>
    </row>
    <row r="4355">
      <c r="A4355" s="5" t="s">
        <v>18352</v>
      </c>
      <c r="B4355" s="292" t="str">
        <f>HYPERLINK("https://akshar-exim-company-pvt-ltd.odoo.com/web#id=22988&amp;action=152&amp;model=crm.lead&amp;view_type=form&amp;menu_id=111","C2011561")</f>
        <v>C2011561</v>
      </c>
      <c r="C4355" s="41" t="s">
        <v>18385</v>
      </c>
      <c r="D4355" s="41"/>
      <c r="E4355" s="41" t="s">
        <v>18113</v>
      </c>
      <c r="F4355" s="90">
        <v>100.0</v>
      </c>
      <c r="G4355" s="321"/>
      <c r="H4355" s="11" t="s">
        <v>44</v>
      </c>
      <c r="I4355" s="423"/>
      <c r="J4355" s="14"/>
      <c r="K4355" s="13"/>
      <c r="L4355" s="13"/>
      <c r="M4355" s="14"/>
      <c r="N4355" s="15"/>
      <c r="O4355" s="5" t="s">
        <v>10708</v>
      </c>
      <c r="P4355" s="15"/>
      <c r="Q4355" s="15"/>
      <c r="R4355" s="422"/>
      <c r="S4355" s="15"/>
      <c r="T4355" s="15"/>
      <c r="U4355" s="15"/>
      <c r="V4355" s="15"/>
      <c r="W4355" s="15"/>
      <c r="X4355" s="15"/>
      <c r="Y4355" s="15"/>
      <c r="Z4355" s="15"/>
      <c r="AA4355" s="15"/>
    </row>
    <row r="4356">
      <c r="A4356" s="352" t="s">
        <v>18352</v>
      </c>
      <c r="B4356" s="292" t="str">
        <f>HYPERLINK("https://akshar-exim-company-pvt-ltd.odoo.com/web#id=22991&amp;action=152&amp;model=crm.lead&amp;view_type=form&amp;menu_id=111","C2011560")</f>
        <v>C2011560</v>
      </c>
      <c r="C4356" s="41" t="s">
        <v>18386</v>
      </c>
      <c r="D4356" s="41"/>
      <c r="E4356" s="41" t="s">
        <v>10508</v>
      </c>
      <c r="F4356" s="90">
        <v>10.0</v>
      </c>
      <c r="G4356" s="430"/>
      <c r="H4356" s="41" t="s">
        <v>8949</v>
      </c>
      <c r="I4356" s="423"/>
      <c r="J4356" s="14"/>
      <c r="K4356" s="13"/>
      <c r="L4356" s="13"/>
      <c r="M4356" s="14"/>
      <c r="N4356" s="15"/>
      <c r="O4356" s="5" t="s">
        <v>1112</v>
      </c>
      <c r="P4356" s="15"/>
      <c r="Q4356" s="15"/>
      <c r="R4356" s="422"/>
      <c r="S4356" s="15"/>
      <c r="T4356" s="15"/>
      <c r="U4356" s="15"/>
      <c r="V4356" s="15"/>
      <c r="W4356" s="15"/>
      <c r="X4356" s="15"/>
      <c r="Y4356" s="15"/>
      <c r="Z4356" s="15"/>
      <c r="AA4356" s="15"/>
    </row>
    <row r="4357">
      <c r="A4357" s="5" t="s">
        <v>18352</v>
      </c>
      <c r="B4357" s="292" t="str">
        <f>HYPERLINK("https://akshar-exim-company-pvt-ltd.odoo.com/web#id=22999&amp;action=152&amp;model=crm.lead&amp;view_type=form&amp;menu_id=111","C2011559")</f>
        <v>C2011559</v>
      </c>
      <c r="C4357" s="41" t="s">
        <v>18387</v>
      </c>
      <c r="D4357" s="41"/>
      <c r="E4357" s="41" t="s">
        <v>8362</v>
      </c>
      <c r="F4357" s="90">
        <v>5.0</v>
      </c>
      <c r="G4357" s="321"/>
      <c r="H4357" s="11" t="s">
        <v>44</v>
      </c>
      <c r="I4357" s="423"/>
      <c r="J4357" s="14"/>
      <c r="K4357" s="13"/>
      <c r="L4357" s="13"/>
      <c r="M4357" s="14"/>
      <c r="N4357" s="15"/>
      <c r="O4357" s="5" t="s">
        <v>10708</v>
      </c>
      <c r="P4357" s="15"/>
      <c r="Q4357" s="15"/>
      <c r="R4357" s="422"/>
      <c r="S4357" s="15"/>
      <c r="T4357" s="15"/>
      <c r="U4357" s="15"/>
      <c r="V4357" s="15"/>
      <c r="W4357" s="15"/>
      <c r="X4357" s="15"/>
      <c r="Y4357" s="15"/>
      <c r="Z4357" s="15"/>
      <c r="AA4357" s="15"/>
    </row>
    <row r="4358">
      <c r="A4358" s="5" t="s">
        <v>18352</v>
      </c>
      <c r="B4358" s="292" t="str">
        <f>HYPERLINK("https://akshar-exim-company-pvt-ltd.odoo.com/web#id=23017&amp;action=152&amp;model=crm.lead&amp;view_type=form&amp;menu_id=111","C2011558")</f>
        <v>C2011558</v>
      </c>
      <c r="C4358" s="41" t="s">
        <v>18388</v>
      </c>
      <c r="D4358" s="11"/>
      <c r="E4358" s="11" t="s">
        <v>18389</v>
      </c>
      <c r="F4358" s="90" t="s">
        <v>18390</v>
      </c>
      <c r="G4358" s="430"/>
      <c r="H4358" s="41" t="s">
        <v>4686</v>
      </c>
      <c r="I4358" s="276"/>
      <c r="J4358" s="11" t="s">
        <v>17976</v>
      </c>
      <c r="K4358" s="12"/>
      <c r="L4358" s="12"/>
      <c r="M4358" s="11" t="s">
        <v>18391</v>
      </c>
      <c r="N4358" s="5" t="s">
        <v>18392</v>
      </c>
      <c r="O4358" s="5" t="s">
        <v>1112</v>
      </c>
      <c r="P4358" s="15"/>
      <c r="Q4358" s="15"/>
      <c r="R4358" s="422"/>
      <c r="S4358" s="15"/>
      <c r="T4358" s="15"/>
      <c r="U4358" s="15"/>
      <c r="V4358" s="15"/>
      <c r="W4358" s="15"/>
      <c r="X4358" s="15"/>
      <c r="Y4358" s="15"/>
      <c r="Z4358" s="15"/>
      <c r="AA4358" s="15"/>
    </row>
    <row r="4359">
      <c r="A4359" s="5" t="s">
        <v>18352</v>
      </c>
      <c r="B4359" s="292" t="str">
        <f>HYPERLINK("https://akshar-exim-company-pvt-ltd.odoo.com/web#id=23016&amp;action=152&amp;model=crm.lead&amp;view_type=form&amp;menu_id=111","C2011557")</f>
        <v>C2011557</v>
      </c>
      <c r="C4359" s="41" t="s">
        <v>18393</v>
      </c>
      <c r="D4359" s="41"/>
      <c r="E4359" s="41" t="s">
        <v>18394</v>
      </c>
      <c r="F4359" s="90">
        <v>1000.0</v>
      </c>
      <c r="G4359" s="321"/>
      <c r="H4359" s="11" t="s">
        <v>44</v>
      </c>
      <c r="I4359" s="276"/>
      <c r="J4359" s="11" t="s">
        <v>17976</v>
      </c>
      <c r="K4359" s="12"/>
      <c r="L4359" s="12"/>
      <c r="M4359" s="11" t="s">
        <v>7965</v>
      </c>
      <c r="N4359" s="5" t="s">
        <v>18395</v>
      </c>
      <c r="O4359" s="5" t="s">
        <v>1112</v>
      </c>
      <c r="P4359" s="15"/>
      <c r="Q4359" s="15"/>
      <c r="R4359" s="422"/>
      <c r="S4359" s="15"/>
      <c r="T4359" s="15"/>
      <c r="U4359" s="15"/>
      <c r="V4359" s="15"/>
      <c r="W4359" s="15"/>
      <c r="X4359" s="15"/>
      <c r="Y4359" s="15"/>
      <c r="Z4359" s="15"/>
      <c r="AA4359" s="15"/>
    </row>
    <row r="4360">
      <c r="A4360" s="5" t="s">
        <v>18352</v>
      </c>
      <c r="B4360" s="292" t="str">
        <f>HYPERLINK("https://akshar-exim-company-pvt-ltd.odoo.com/web#id=23015&amp;action=152&amp;model=crm.lead&amp;view_type=form&amp;menu_id=111","C2011556")</f>
        <v>C2011556</v>
      </c>
      <c r="C4360" s="41" t="s">
        <v>18396</v>
      </c>
      <c r="D4360" s="41"/>
      <c r="E4360" s="41" t="s">
        <v>5774</v>
      </c>
      <c r="F4360" s="90">
        <v>50.0</v>
      </c>
      <c r="G4360" s="321"/>
      <c r="H4360" s="11" t="s">
        <v>44</v>
      </c>
      <c r="I4360" s="423"/>
      <c r="J4360" s="14"/>
      <c r="K4360" s="13"/>
      <c r="L4360" s="13"/>
      <c r="M4360" s="14"/>
      <c r="N4360" s="15"/>
      <c r="O4360" s="5" t="s">
        <v>10708</v>
      </c>
      <c r="P4360" s="15"/>
      <c r="Q4360" s="15"/>
      <c r="R4360" s="422"/>
      <c r="S4360" s="15"/>
      <c r="T4360" s="15"/>
      <c r="U4360" s="15"/>
      <c r="V4360" s="15"/>
      <c r="W4360" s="15"/>
      <c r="X4360" s="15"/>
      <c r="Y4360" s="15"/>
      <c r="Z4360" s="15"/>
      <c r="AA4360" s="15"/>
    </row>
    <row r="4361">
      <c r="A4361" s="5" t="s">
        <v>18352</v>
      </c>
      <c r="B4361" s="292" t="str">
        <f>HYPERLINK("https://akshar-exim-company-pvt-ltd.odoo.com/web#id=23009&amp;action=152&amp;model=crm.lead&amp;view_type=form&amp;menu_id=111","C2011555")</f>
        <v>C2011555</v>
      </c>
      <c r="C4361" s="41" t="s">
        <v>2125</v>
      </c>
      <c r="D4361" s="41"/>
      <c r="E4361" s="41" t="s">
        <v>222</v>
      </c>
      <c r="F4361" s="90">
        <v>400.0</v>
      </c>
      <c r="G4361" s="321"/>
      <c r="H4361" s="11" t="s">
        <v>44</v>
      </c>
      <c r="I4361" s="423"/>
      <c r="J4361" s="14"/>
      <c r="K4361" s="12"/>
      <c r="L4361" s="12"/>
      <c r="M4361" s="11" t="s">
        <v>9949</v>
      </c>
      <c r="N4361" s="5" t="s">
        <v>18397</v>
      </c>
      <c r="O4361" s="5" t="s">
        <v>1112</v>
      </c>
      <c r="P4361" s="15"/>
      <c r="Q4361" s="15"/>
      <c r="R4361" s="422"/>
      <c r="S4361" s="15"/>
      <c r="T4361" s="15"/>
      <c r="U4361" s="15"/>
      <c r="V4361" s="15"/>
      <c r="W4361" s="15"/>
      <c r="X4361" s="15"/>
      <c r="Y4361" s="15"/>
      <c r="Z4361" s="15"/>
      <c r="AA4361" s="15"/>
    </row>
    <row r="4362">
      <c r="A4362" s="5" t="s">
        <v>18352</v>
      </c>
      <c r="B4362" s="292" t="str">
        <f>HYPERLINK("https://akshar-exim-company-pvt-ltd.odoo.com/web#id=23008&amp;action=152&amp;model=crm.lead&amp;view_type=form&amp;menu_id=111","C2011554")</f>
        <v>C2011554</v>
      </c>
      <c r="C4362" s="41" t="s">
        <v>18398</v>
      </c>
      <c r="D4362" s="41"/>
      <c r="E4362" s="41" t="s">
        <v>501</v>
      </c>
      <c r="F4362" s="90">
        <v>10.0</v>
      </c>
      <c r="G4362" s="321"/>
      <c r="H4362" s="11" t="s">
        <v>1414</v>
      </c>
      <c r="I4362" s="423"/>
      <c r="J4362" s="14"/>
      <c r="K4362" s="13"/>
      <c r="L4362" s="13"/>
      <c r="M4362" s="14"/>
      <c r="N4362" s="15"/>
      <c r="O4362" s="5" t="s">
        <v>10708</v>
      </c>
      <c r="P4362" s="15"/>
      <c r="Q4362" s="15"/>
      <c r="R4362" s="422"/>
      <c r="S4362" s="15"/>
      <c r="T4362" s="15"/>
      <c r="U4362" s="15"/>
      <c r="V4362" s="15"/>
      <c r="W4362" s="15"/>
      <c r="X4362" s="15"/>
      <c r="Y4362" s="15"/>
      <c r="Z4362" s="15"/>
      <c r="AA4362" s="15"/>
    </row>
    <row r="4363">
      <c r="A4363" s="5" t="s">
        <v>18352</v>
      </c>
      <c r="B4363" s="292" t="str">
        <f>HYPERLINK("https://akshar-exim-company-pvt-ltd.odoo.com/web#id=23006&amp;action=152&amp;model=crm.lead&amp;view_type=form&amp;menu_id=111","C2011553")</f>
        <v>C2011553</v>
      </c>
      <c r="C4363" s="41" t="s">
        <v>18399</v>
      </c>
      <c r="D4363" s="405"/>
      <c r="E4363" s="405" t="s">
        <v>6719</v>
      </c>
      <c r="F4363" s="90">
        <v>5.0</v>
      </c>
      <c r="G4363" s="321"/>
      <c r="H4363" s="11" t="s">
        <v>1640</v>
      </c>
      <c r="I4363" s="423"/>
      <c r="J4363" s="14"/>
      <c r="K4363" s="13"/>
      <c r="L4363" s="13"/>
      <c r="M4363" s="14"/>
      <c r="N4363" s="15"/>
      <c r="O4363" s="5" t="s">
        <v>10708</v>
      </c>
      <c r="P4363" s="15"/>
      <c r="Q4363" s="15"/>
      <c r="R4363" s="422"/>
      <c r="S4363" s="15"/>
      <c r="T4363" s="15"/>
      <c r="U4363" s="15"/>
      <c r="V4363" s="15"/>
      <c r="W4363" s="15"/>
      <c r="X4363" s="15"/>
      <c r="Y4363" s="15"/>
      <c r="Z4363" s="15"/>
      <c r="AA4363" s="15"/>
    </row>
    <row r="4364">
      <c r="A4364" s="5" t="s">
        <v>18352</v>
      </c>
      <c r="B4364" s="292" t="str">
        <f>HYPERLINK("https://akshar-exim-company-pvt-ltd.odoo.com/web#id=23004&amp;action=152&amp;model=crm.lead&amp;view_type=form&amp;menu_id=111","C2011552")</f>
        <v>C2011552</v>
      </c>
      <c r="C4364" s="41" t="s">
        <v>18400</v>
      </c>
      <c r="D4364" s="11"/>
      <c r="E4364" s="11" t="s">
        <v>18401</v>
      </c>
      <c r="F4364" s="90">
        <v>25.0</v>
      </c>
      <c r="G4364" s="430"/>
      <c r="H4364" s="41" t="s">
        <v>18402</v>
      </c>
      <c r="I4364" s="423"/>
      <c r="J4364" s="14"/>
      <c r="K4364" s="13"/>
      <c r="L4364" s="13"/>
      <c r="M4364" s="14"/>
      <c r="N4364" s="15"/>
      <c r="O4364" s="5" t="s">
        <v>10708</v>
      </c>
      <c r="P4364" s="15"/>
      <c r="Q4364" s="15"/>
      <c r="R4364" s="422"/>
      <c r="S4364" s="15"/>
      <c r="T4364" s="15"/>
      <c r="U4364" s="15"/>
      <c r="V4364" s="15"/>
      <c r="W4364" s="15"/>
      <c r="X4364" s="15"/>
      <c r="Y4364" s="15"/>
      <c r="Z4364" s="15"/>
      <c r="AA4364" s="15"/>
    </row>
    <row r="4365">
      <c r="A4365" s="5" t="s">
        <v>18352</v>
      </c>
      <c r="B4365" s="292" t="str">
        <f>HYPERLINK("https://akshar-exim-company-pvt-ltd.odoo.com/web#id=23002&amp;action=152&amp;model=crm.lead&amp;view_type=form&amp;menu_id=111","C2011551")</f>
        <v>C2011551</v>
      </c>
      <c r="C4365" s="41" t="s">
        <v>18403</v>
      </c>
      <c r="D4365" s="405"/>
      <c r="E4365" s="405" t="s">
        <v>222</v>
      </c>
      <c r="F4365" s="9">
        <v>10000.0</v>
      </c>
      <c r="G4365" s="430"/>
      <c r="H4365" s="41" t="s">
        <v>5435</v>
      </c>
      <c r="I4365" s="423"/>
      <c r="J4365" s="14"/>
      <c r="K4365" s="13"/>
      <c r="L4365" s="13"/>
      <c r="M4365" s="14"/>
      <c r="N4365" s="15"/>
      <c r="O4365" s="5" t="s">
        <v>17993</v>
      </c>
      <c r="P4365" s="15"/>
      <c r="Q4365" s="15"/>
      <c r="R4365" s="422"/>
      <c r="S4365" s="15"/>
      <c r="T4365" s="15"/>
      <c r="U4365" s="15"/>
      <c r="V4365" s="15"/>
      <c r="W4365" s="15"/>
      <c r="X4365" s="15"/>
      <c r="Y4365" s="15"/>
      <c r="Z4365" s="15"/>
      <c r="AA4365" s="15"/>
    </row>
    <row r="4366">
      <c r="A4366" s="5" t="s">
        <v>18352</v>
      </c>
      <c r="B4366" s="292" t="str">
        <f>HYPERLINK("https://akshar-exim-company-pvt-ltd.odoo.com/web#id=22997&amp;action=152&amp;model=crm.lead&amp;view_type=form&amp;menu_id=111","C2011550")</f>
        <v>C2011550</v>
      </c>
      <c r="C4366" s="41" t="s">
        <v>18404</v>
      </c>
      <c r="D4366" s="41"/>
      <c r="E4366" s="41" t="s">
        <v>18204</v>
      </c>
      <c r="F4366" s="90">
        <v>40.0</v>
      </c>
      <c r="G4366" s="321"/>
      <c r="H4366" s="11" t="s">
        <v>472</v>
      </c>
      <c r="I4366" s="423"/>
      <c r="J4366" s="14"/>
      <c r="K4366" s="13"/>
      <c r="L4366" s="13"/>
      <c r="M4366" s="14"/>
      <c r="N4366" s="15"/>
      <c r="O4366" s="5" t="s">
        <v>10708</v>
      </c>
      <c r="P4366" s="15"/>
      <c r="Q4366" s="15"/>
      <c r="R4366" s="422"/>
      <c r="S4366" s="15"/>
      <c r="T4366" s="15"/>
      <c r="U4366" s="15"/>
      <c r="V4366" s="15"/>
      <c r="W4366" s="15"/>
      <c r="X4366" s="15"/>
      <c r="Y4366" s="15"/>
      <c r="Z4366" s="15"/>
      <c r="AA4366" s="15"/>
    </row>
    <row r="4367">
      <c r="A4367" s="5" t="s">
        <v>18352</v>
      </c>
      <c r="B4367" s="292" t="str">
        <f>HYPERLINK("https://akshar-exim-company-pvt-ltd.odoo.com/web#id=22996&amp;action=152&amp;model=crm.lead&amp;view_type=form&amp;menu_id=111","C2011549")</f>
        <v>C2011549</v>
      </c>
      <c r="C4367" s="41" t="s">
        <v>18405</v>
      </c>
      <c r="D4367" s="41"/>
      <c r="E4367" s="41" t="s">
        <v>18113</v>
      </c>
      <c r="F4367" s="90">
        <v>5.0</v>
      </c>
      <c r="G4367" s="321"/>
      <c r="H4367" s="11" t="s">
        <v>906</v>
      </c>
      <c r="I4367" s="97"/>
      <c r="J4367" s="41" t="s">
        <v>18406</v>
      </c>
      <c r="K4367" s="13"/>
      <c r="L4367" s="13"/>
      <c r="M4367" s="14"/>
      <c r="N4367" s="15"/>
      <c r="O4367" s="5" t="s">
        <v>10708</v>
      </c>
      <c r="P4367" s="15"/>
      <c r="Q4367" s="15"/>
      <c r="R4367" s="422"/>
      <c r="S4367" s="15"/>
      <c r="T4367" s="15"/>
      <c r="U4367" s="15"/>
      <c r="V4367" s="15"/>
      <c r="W4367" s="15"/>
      <c r="X4367" s="15"/>
      <c r="Y4367" s="15"/>
      <c r="Z4367" s="15"/>
      <c r="AA4367" s="15"/>
    </row>
    <row r="4368">
      <c r="A4368" s="5" t="s">
        <v>18352</v>
      </c>
      <c r="B4368" s="292" t="str">
        <f>HYPERLINK("https://akshar-exim-company-pvt-ltd.odoo.com/web#id=22995&amp;action=152&amp;model=crm.lead&amp;view_type=form&amp;menu_id=111","C2011548")</f>
        <v>C2011548</v>
      </c>
      <c r="C4368" s="40" t="s">
        <v>18407</v>
      </c>
      <c r="D4368" s="41"/>
      <c r="E4368" s="41" t="s">
        <v>18184</v>
      </c>
      <c r="F4368" s="90">
        <v>50.0</v>
      </c>
      <c r="G4368" s="321"/>
      <c r="H4368" s="11" t="s">
        <v>906</v>
      </c>
      <c r="I4368" s="423"/>
      <c r="J4368" s="14"/>
      <c r="K4368" s="13"/>
      <c r="L4368" s="13"/>
      <c r="M4368" s="14"/>
      <c r="N4368" s="15"/>
      <c r="O4368" s="5" t="s">
        <v>10708</v>
      </c>
      <c r="P4368" s="15"/>
      <c r="Q4368" s="15"/>
      <c r="R4368" s="422"/>
      <c r="S4368" s="15"/>
      <c r="T4368" s="15"/>
      <c r="U4368" s="15"/>
      <c r="V4368" s="15"/>
      <c r="W4368" s="15"/>
      <c r="X4368" s="15"/>
      <c r="Y4368" s="15"/>
      <c r="Z4368" s="15"/>
      <c r="AA4368" s="15"/>
    </row>
    <row r="4369">
      <c r="A4369" s="5" t="s">
        <v>18352</v>
      </c>
      <c r="B4369" s="292" t="str">
        <f>HYPERLINK("https://akshar-exim-company-pvt-ltd.odoo.com/web#id=22992&amp;action=152&amp;model=crm.lead&amp;view_type=form&amp;menu_id=111","C2011547")</f>
        <v>C2011547</v>
      </c>
      <c r="C4369" s="41" t="s">
        <v>18408</v>
      </c>
      <c r="D4369" s="41"/>
      <c r="E4369" s="41" t="s">
        <v>8247</v>
      </c>
      <c r="F4369" s="90">
        <v>5.0</v>
      </c>
      <c r="G4369" s="321"/>
      <c r="H4369" s="11" t="s">
        <v>44</v>
      </c>
      <c r="I4369" s="423"/>
      <c r="J4369" s="14"/>
      <c r="K4369" s="13"/>
      <c r="L4369" s="13"/>
      <c r="M4369" s="14"/>
      <c r="N4369" s="15"/>
      <c r="O4369" s="5" t="s">
        <v>10708</v>
      </c>
      <c r="P4369" s="15"/>
      <c r="Q4369" s="15"/>
      <c r="R4369" s="422"/>
      <c r="S4369" s="15"/>
      <c r="T4369" s="15"/>
      <c r="U4369" s="15"/>
      <c r="V4369" s="15"/>
      <c r="W4369" s="15"/>
      <c r="X4369" s="15"/>
      <c r="Y4369" s="15"/>
      <c r="Z4369" s="15"/>
      <c r="AA4369" s="15"/>
    </row>
    <row r="4370">
      <c r="A4370" s="5" t="s">
        <v>18409</v>
      </c>
      <c r="B4370" s="292" t="str">
        <f>HYPERLINK("https://akshar-exim-company-pvt-ltd.odoo.com/web#id=22920&amp;action=152&amp;model=crm.lead&amp;view_type=form&amp;menu_id=111","C2011546")</f>
        <v>C2011546</v>
      </c>
      <c r="C4370" s="41" t="s">
        <v>18315</v>
      </c>
      <c r="D4370" s="41"/>
      <c r="E4370" s="41" t="s">
        <v>13311</v>
      </c>
      <c r="F4370" s="9">
        <v>1500000.0</v>
      </c>
      <c r="G4370" s="430"/>
      <c r="H4370" s="41" t="s">
        <v>18410</v>
      </c>
      <c r="I4370" s="97"/>
      <c r="J4370" s="41" t="s">
        <v>18182</v>
      </c>
      <c r="K4370" s="13"/>
      <c r="L4370" s="13"/>
      <c r="M4370" s="14"/>
      <c r="N4370" s="15"/>
      <c r="O4370" s="5" t="s">
        <v>17993</v>
      </c>
      <c r="P4370" s="15"/>
      <c r="Q4370" s="15"/>
      <c r="R4370" s="422"/>
      <c r="S4370" s="15"/>
      <c r="T4370" s="15"/>
      <c r="U4370" s="15"/>
      <c r="V4370" s="15"/>
      <c r="W4370" s="15"/>
      <c r="X4370" s="15"/>
      <c r="Y4370" s="15"/>
      <c r="Z4370" s="15"/>
      <c r="AA4370" s="15"/>
    </row>
    <row r="4371">
      <c r="A4371" s="5" t="s">
        <v>18409</v>
      </c>
      <c r="B4371" s="292" t="str">
        <f>HYPERLINK("https://akshar-exim-company-pvt-ltd.odoo.com/web#id=22931&amp;action=152&amp;model=crm.lead&amp;view_type=form&amp;menu_id=111","C2011545")</f>
        <v>C2011545</v>
      </c>
      <c r="C4371" s="41" t="s">
        <v>18411</v>
      </c>
      <c r="D4371" s="41"/>
      <c r="E4371" s="41" t="s">
        <v>11430</v>
      </c>
      <c r="F4371" s="90">
        <v>500.0</v>
      </c>
      <c r="G4371" s="430"/>
      <c r="H4371" s="41" t="s">
        <v>18412</v>
      </c>
      <c r="I4371" s="97"/>
      <c r="J4371" s="41" t="s">
        <v>18182</v>
      </c>
      <c r="K4371" s="12"/>
      <c r="L4371" s="12"/>
      <c r="M4371" s="11" t="s">
        <v>9587</v>
      </c>
      <c r="N4371" s="5" t="s">
        <v>18413</v>
      </c>
      <c r="O4371" s="5" t="s">
        <v>1112</v>
      </c>
      <c r="P4371" s="15"/>
      <c r="Q4371" s="15"/>
      <c r="R4371" s="422"/>
      <c r="S4371" s="15"/>
      <c r="T4371" s="15"/>
      <c r="U4371" s="15"/>
      <c r="V4371" s="15"/>
      <c r="W4371" s="15"/>
      <c r="X4371" s="15"/>
      <c r="Y4371" s="15"/>
      <c r="Z4371" s="15"/>
      <c r="AA4371" s="15"/>
    </row>
    <row r="4372">
      <c r="A4372" s="5" t="s">
        <v>18409</v>
      </c>
      <c r="B4372" s="292" t="str">
        <f>HYPERLINK("https://akshar-exim-company-pvt-ltd.odoo.com/web#id=22929&amp;action=152&amp;model=crm.lead&amp;view_type=form&amp;menu_id=111","C2011544")</f>
        <v>C2011544</v>
      </c>
      <c r="C4372" s="41" t="s">
        <v>18414</v>
      </c>
      <c r="D4372" s="41"/>
      <c r="E4372" s="41" t="s">
        <v>12095</v>
      </c>
      <c r="F4372" s="90">
        <v>2.0</v>
      </c>
      <c r="G4372" s="430"/>
      <c r="H4372" s="41" t="s">
        <v>18415</v>
      </c>
      <c r="I4372" s="97"/>
      <c r="J4372" s="41" t="s">
        <v>18182</v>
      </c>
      <c r="K4372" s="13"/>
      <c r="L4372" s="13"/>
      <c r="M4372" s="14"/>
      <c r="N4372" s="15"/>
      <c r="O4372" s="5" t="s">
        <v>10708</v>
      </c>
      <c r="P4372" s="15"/>
      <c r="Q4372" s="15"/>
      <c r="R4372" s="422"/>
      <c r="S4372" s="15"/>
      <c r="T4372" s="15"/>
      <c r="U4372" s="15"/>
      <c r="V4372" s="15"/>
      <c r="W4372" s="15"/>
      <c r="X4372" s="15"/>
      <c r="Y4372" s="15"/>
      <c r="Z4372" s="15"/>
      <c r="AA4372" s="15"/>
    </row>
    <row r="4373">
      <c r="A4373" s="5" t="s">
        <v>18409</v>
      </c>
      <c r="B4373" s="292" t="str">
        <f>HYPERLINK("https://akshar-exim-company-pvt-ltd.odoo.com/web#id=22928&amp;action=152&amp;model=crm.lead&amp;view_type=form&amp;menu_id=111","C2011543")</f>
        <v>C2011543</v>
      </c>
      <c r="C4373" s="41" t="s">
        <v>18416</v>
      </c>
      <c r="D4373" s="41"/>
      <c r="E4373" s="41" t="s">
        <v>18417</v>
      </c>
      <c r="F4373" s="90">
        <v>2000.0</v>
      </c>
      <c r="G4373" s="430"/>
      <c r="H4373" s="41" t="s">
        <v>18418</v>
      </c>
      <c r="I4373" s="276"/>
      <c r="J4373" s="11" t="s">
        <v>17976</v>
      </c>
      <c r="K4373" s="13"/>
      <c r="L4373" s="13"/>
      <c r="M4373" s="14"/>
      <c r="N4373" s="15"/>
      <c r="O4373" s="5" t="s">
        <v>1112</v>
      </c>
      <c r="P4373" s="15"/>
      <c r="Q4373" s="15"/>
      <c r="R4373" s="422"/>
      <c r="S4373" s="15"/>
      <c r="T4373" s="15"/>
      <c r="U4373" s="15"/>
      <c r="V4373" s="15"/>
      <c r="W4373" s="15"/>
      <c r="X4373" s="15"/>
      <c r="Y4373" s="15"/>
      <c r="Z4373" s="15"/>
      <c r="AA4373" s="15"/>
    </row>
    <row r="4374">
      <c r="A4374" s="5" t="s">
        <v>18409</v>
      </c>
      <c r="B4374" s="292" t="str">
        <f>HYPERLINK("https://akshar-exim-company-pvt-ltd.odoo.com/web#id=22926&amp;action=152&amp;model=crm.lead&amp;view_type=form&amp;menu_id=111","C2011542")</f>
        <v>C2011542</v>
      </c>
      <c r="C4374" s="41" t="s">
        <v>18419</v>
      </c>
      <c r="D4374" s="405"/>
      <c r="E4374" s="405" t="s">
        <v>15040</v>
      </c>
      <c r="F4374" s="90">
        <v>30.0</v>
      </c>
      <c r="G4374" s="430"/>
      <c r="H4374" s="41" t="s">
        <v>4320</v>
      </c>
      <c r="I4374" s="97"/>
      <c r="J4374" s="41" t="s">
        <v>18182</v>
      </c>
      <c r="K4374" s="13"/>
      <c r="L4374" s="13"/>
      <c r="M4374" s="14"/>
      <c r="N4374" s="15"/>
      <c r="O4374" s="5" t="s">
        <v>10708</v>
      </c>
      <c r="P4374" s="15"/>
      <c r="Q4374" s="15"/>
      <c r="R4374" s="422"/>
      <c r="S4374" s="15"/>
      <c r="T4374" s="15"/>
      <c r="U4374" s="15"/>
      <c r="V4374" s="15"/>
      <c r="W4374" s="15"/>
      <c r="X4374" s="15"/>
      <c r="Y4374" s="15"/>
      <c r="Z4374" s="15"/>
      <c r="AA4374" s="15"/>
    </row>
    <row r="4375">
      <c r="A4375" s="5" t="s">
        <v>18409</v>
      </c>
      <c r="B4375" s="292" t="str">
        <f>HYPERLINK("https://akshar-exim-company-pvt-ltd.odoo.com/web#id=22924&amp;action=152&amp;model=crm.lead&amp;view_type=form&amp;menu_id=111","C2011541")</f>
        <v>C2011541</v>
      </c>
      <c r="C4375" s="41" t="s">
        <v>16686</v>
      </c>
      <c r="D4375" s="41"/>
      <c r="E4375" s="41" t="s">
        <v>3571</v>
      </c>
      <c r="F4375" s="9">
        <v>500000.0</v>
      </c>
      <c r="G4375" s="430"/>
      <c r="H4375" s="41" t="s">
        <v>4248</v>
      </c>
      <c r="I4375" s="97"/>
      <c r="J4375" s="41" t="s">
        <v>18182</v>
      </c>
      <c r="K4375" s="12"/>
      <c r="L4375" s="12"/>
      <c r="M4375" s="11" t="s">
        <v>18334</v>
      </c>
      <c r="N4375" s="5" t="s">
        <v>18420</v>
      </c>
      <c r="O4375" s="5" t="s">
        <v>1112</v>
      </c>
      <c r="P4375" s="15"/>
      <c r="Q4375" s="15"/>
      <c r="R4375" s="422"/>
      <c r="S4375" s="15"/>
      <c r="T4375" s="15"/>
      <c r="U4375" s="15"/>
      <c r="V4375" s="15"/>
      <c r="W4375" s="15"/>
      <c r="X4375" s="15"/>
      <c r="Y4375" s="15"/>
      <c r="Z4375" s="15"/>
      <c r="AA4375" s="15"/>
    </row>
    <row r="4376">
      <c r="A4376" s="5" t="s">
        <v>18409</v>
      </c>
      <c r="B4376" s="292" t="str">
        <f>HYPERLINK("https://akshar-exim-company-pvt-ltd.odoo.com/web#id=22923&amp;action=152&amp;model=crm.lead&amp;view_type=form&amp;menu_id=111","C2011540")</f>
        <v>C2011540</v>
      </c>
      <c r="C4376" s="41" t="s">
        <v>18421</v>
      </c>
      <c r="D4376" s="41"/>
      <c r="E4376" s="41" t="s">
        <v>17724</v>
      </c>
      <c r="F4376" s="90">
        <v>10.0</v>
      </c>
      <c r="G4376" s="321"/>
      <c r="H4376" s="11" t="s">
        <v>44</v>
      </c>
      <c r="I4376" s="423"/>
      <c r="J4376" s="14"/>
      <c r="K4376" s="13"/>
      <c r="L4376" s="13"/>
      <c r="M4376" s="14"/>
      <c r="N4376" s="15"/>
      <c r="O4376" s="5" t="s">
        <v>10708</v>
      </c>
      <c r="P4376" s="15"/>
      <c r="Q4376" s="15"/>
      <c r="R4376" s="422"/>
      <c r="S4376" s="15"/>
      <c r="T4376" s="15"/>
      <c r="U4376" s="15"/>
      <c r="V4376" s="15"/>
      <c r="W4376" s="15"/>
      <c r="X4376" s="15"/>
      <c r="Y4376" s="15"/>
      <c r="Z4376" s="15"/>
      <c r="AA4376" s="15"/>
    </row>
    <row r="4377">
      <c r="A4377" s="5" t="s">
        <v>18409</v>
      </c>
      <c r="B4377" s="292" t="str">
        <f>HYPERLINK("https://akshar-exim-company-pvt-ltd.odoo.com/web#id=22881&amp;action=152&amp;model=crm.lead&amp;view_type=form&amp;menu_id=111","C2011539")</f>
        <v>C2011539</v>
      </c>
      <c r="C4377" s="41" t="s">
        <v>18422</v>
      </c>
      <c r="D4377" s="11"/>
      <c r="E4377" s="11" t="s">
        <v>152</v>
      </c>
      <c r="F4377" s="90">
        <v>20.0</v>
      </c>
      <c r="G4377" s="321"/>
      <c r="H4377" s="11" t="s">
        <v>44</v>
      </c>
      <c r="I4377" s="97"/>
      <c r="J4377" s="41" t="s">
        <v>17109</v>
      </c>
      <c r="K4377" s="13"/>
      <c r="L4377" s="13"/>
      <c r="M4377" s="14"/>
      <c r="N4377" s="15"/>
      <c r="O4377" s="5" t="s">
        <v>10708</v>
      </c>
      <c r="P4377" s="15"/>
      <c r="Q4377" s="15"/>
      <c r="R4377" s="422"/>
      <c r="S4377" s="15"/>
      <c r="T4377" s="15"/>
      <c r="U4377" s="15"/>
      <c r="V4377" s="15"/>
      <c r="W4377" s="15"/>
      <c r="X4377" s="15"/>
      <c r="Y4377" s="15"/>
      <c r="Z4377" s="15"/>
      <c r="AA4377" s="15"/>
    </row>
    <row r="4378">
      <c r="A4378" s="5" t="s">
        <v>18409</v>
      </c>
      <c r="B4378" s="292" t="str">
        <f>HYPERLINK("https://akshar-exim-company-pvt-ltd.odoo.com/web#id=22882&amp;action=152&amp;model=crm.lead&amp;view_type=form&amp;menu_id=111","C2011538")</f>
        <v>C2011538</v>
      </c>
      <c r="C4378" s="41" t="s">
        <v>18423</v>
      </c>
      <c r="D4378" s="11"/>
      <c r="E4378" s="11" t="s">
        <v>5988</v>
      </c>
      <c r="F4378" s="90">
        <v>25.0</v>
      </c>
      <c r="G4378" s="430"/>
      <c r="H4378" s="41" t="s">
        <v>18424</v>
      </c>
      <c r="I4378" s="423"/>
      <c r="J4378" s="14"/>
      <c r="K4378" s="13"/>
      <c r="L4378" s="13"/>
      <c r="M4378" s="14"/>
      <c r="N4378" s="15"/>
      <c r="O4378" s="5" t="s">
        <v>10708</v>
      </c>
      <c r="P4378" s="15"/>
      <c r="Q4378" s="15"/>
      <c r="R4378" s="422"/>
      <c r="S4378" s="15"/>
      <c r="T4378" s="15"/>
      <c r="U4378" s="15"/>
      <c r="V4378" s="15"/>
      <c r="W4378" s="15"/>
      <c r="X4378" s="15"/>
      <c r="Y4378" s="15"/>
      <c r="Z4378" s="15"/>
      <c r="AA4378" s="15"/>
    </row>
    <row r="4379">
      <c r="A4379" s="5" t="s">
        <v>18409</v>
      </c>
      <c r="B4379" s="292" t="str">
        <f>HYPERLINK("https://akshar-exim-company-pvt-ltd.odoo.com/web#id=22886&amp;action=152&amp;model=crm.lead&amp;view_type=form&amp;menu_id=111","C2011537")</f>
        <v>C2011537</v>
      </c>
      <c r="C4379" s="41" t="s">
        <v>11528</v>
      </c>
      <c r="D4379" s="41"/>
      <c r="E4379" s="41" t="s">
        <v>8247</v>
      </c>
      <c r="F4379" s="90">
        <v>200.0</v>
      </c>
      <c r="G4379" s="430"/>
      <c r="H4379" s="41" t="s">
        <v>6149</v>
      </c>
      <c r="I4379" s="97"/>
      <c r="J4379" s="41" t="s">
        <v>18182</v>
      </c>
      <c r="K4379" s="12"/>
      <c r="L4379" s="12"/>
      <c r="M4379" s="11" t="s">
        <v>18425</v>
      </c>
      <c r="N4379" s="5" t="s">
        <v>18426</v>
      </c>
      <c r="O4379" s="5" t="s">
        <v>1112</v>
      </c>
      <c r="P4379" s="15"/>
      <c r="Q4379" s="15"/>
      <c r="R4379" s="422"/>
      <c r="S4379" s="15"/>
      <c r="T4379" s="15"/>
      <c r="U4379" s="15"/>
      <c r="V4379" s="15"/>
      <c r="W4379" s="15"/>
      <c r="X4379" s="15"/>
      <c r="Y4379" s="15"/>
      <c r="Z4379" s="15"/>
      <c r="AA4379" s="15"/>
    </row>
    <row r="4380">
      <c r="A4380" s="5" t="s">
        <v>18409</v>
      </c>
      <c r="B4380" s="292" t="str">
        <f>HYPERLINK("https://akshar-exim-company-pvt-ltd.odoo.com/web#id=22891&amp;action=152&amp;model=crm.lead&amp;view_type=form&amp;menu_id=111","C2011536")</f>
        <v>C2011536</v>
      </c>
      <c r="C4380" s="41" t="s">
        <v>18427</v>
      </c>
      <c r="D4380" s="405"/>
      <c r="E4380" s="405" t="s">
        <v>9226</v>
      </c>
      <c r="F4380" s="9">
        <v>300000.0</v>
      </c>
      <c r="G4380" s="430"/>
      <c r="H4380" s="41" t="s">
        <v>5974</v>
      </c>
      <c r="I4380" s="97"/>
      <c r="J4380" s="41" t="s">
        <v>18182</v>
      </c>
      <c r="K4380" s="13"/>
      <c r="L4380" s="13"/>
      <c r="M4380" s="14"/>
      <c r="N4380" s="15"/>
      <c r="O4380" s="5" t="s">
        <v>17993</v>
      </c>
      <c r="P4380" s="15"/>
      <c r="Q4380" s="15"/>
      <c r="R4380" s="422"/>
      <c r="S4380" s="15"/>
      <c r="T4380" s="15"/>
      <c r="U4380" s="15"/>
      <c r="V4380" s="15"/>
      <c r="W4380" s="15"/>
      <c r="X4380" s="15"/>
      <c r="Y4380" s="15"/>
      <c r="Z4380" s="15"/>
      <c r="AA4380" s="15"/>
    </row>
    <row r="4381">
      <c r="A4381" s="5" t="s">
        <v>18409</v>
      </c>
      <c r="B4381" s="292" t="str">
        <f>HYPERLINK("https://akshar-exim-company-pvt-ltd.odoo.com/web#id=22892&amp;action=152&amp;model=crm.lead&amp;view_type=form&amp;menu_id=111","C2011535")</f>
        <v>C2011535</v>
      </c>
      <c r="C4381" s="41" t="s">
        <v>18428</v>
      </c>
      <c r="D4381" s="41"/>
      <c r="E4381" s="41" t="s">
        <v>18429</v>
      </c>
      <c r="F4381" s="90">
        <v>15.0</v>
      </c>
      <c r="G4381" s="321"/>
      <c r="H4381" s="11" t="s">
        <v>44</v>
      </c>
      <c r="I4381" s="97"/>
      <c r="J4381" s="41" t="s">
        <v>17109</v>
      </c>
      <c r="K4381" s="13"/>
      <c r="L4381" s="13"/>
      <c r="M4381" s="14"/>
      <c r="N4381" s="15"/>
      <c r="O4381" s="5" t="s">
        <v>10708</v>
      </c>
      <c r="P4381" s="15"/>
      <c r="Q4381" s="15"/>
      <c r="R4381" s="422"/>
      <c r="S4381" s="15"/>
      <c r="T4381" s="15"/>
      <c r="U4381" s="15"/>
      <c r="V4381" s="15"/>
      <c r="W4381" s="15"/>
      <c r="X4381" s="15"/>
      <c r="Y4381" s="15"/>
      <c r="Z4381" s="15"/>
      <c r="AA4381" s="15"/>
    </row>
    <row r="4382">
      <c r="A4382" s="5" t="s">
        <v>18409</v>
      </c>
      <c r="B4382" s="292" t="str">
        <f>HYPERLINK("https://akshar-exim-company-pvt-ltd.odoo.com/web#id=22894&amp;action=152&amp;model=crm.lead&amp;view_type=form&amp;menu_id=111","C2011534")</f>
        <v>C2011534</v>
      </c>
      <c r="C4382" s="41" t="s">
        <v>18430</v>
      </c>
      <c r="D4382" s="41"/>
      <c r="E4382" s="41" t="s">
        <v>18431</v>
      </c>
      <c r="F4382" s="90">
        <v>1.0</v>
      </c>
      <c r="G4382" s="430"/>
      <c r="H4382" s="41" t="s">
        <v>7995</v>
      </c>
      <c r="I4382" s="97"/>
      <c r="J4382" s="41" t="s">
        <v>18182</v>
      </c>
      <c r="K4382" s="13"/>
      <c r="L4382" s="13"/>
      <c r="M4382" s="14"/>
      <c r="N4382" s="15"/>
      <c r="O4382" s="5" t="s">
        <v>10708</v>
      </c>
      <c r="P4382" s="15"/>
      <c r="Q4382" s="15"/>
      <c r="R4382" s="422"/>
      <c r="S4382" s="15"/>
      <c r="T4382" s="15"/>
      <c r="U4382" s="15"/>
      <c r="V4382" s="15"/>
      <c r="W4382" s="15"/>
      <c r="X4382" s="15"/>
      <c r="Y4382" s="15"/>
      <c r="Z4382" s="15"/>
      <c r="AA4382" s="15"/>
    </row>
    <row r="4383">
      <c r="A4383" s="5" t="s">
        <v>18409</v>
      </c>
      <c r="B4383" s="292" t="str">
        <f>HYPERLINK("https://akshar-exim-company-pvt-ltd.odoo.com/web#id=22895&amp;action=152&amp;model=crm.lead&amp;view_type=form&amp;menu_id=111","C2011533")</f>
        <v>C2011533</v>
      </c>
      <c r="C4383" s="41" t="s">
        <v>18432</v>
      </c>
      <c r="D4383" s="405"/>
      <c r="E4383" s="405" t="s">
        <v>6760</v>
      </c>
      <c r="F4383" s="90">
        <v>1.0</v>
      </c>
      <c r="G4383" s="430"/>
      <c r="H4383" s="41" t="s">
        <v>18433</v>
      </c>
      <c r="I4383" s="276"/>
      <c r="J4383" s="11" t="s">
        <v>8773</v>
      </c>
      <c r="K4383" s="13"/>
      <c r="L4383" s="13"/>
      <c r="M4383" s="14"/>
      <c r="N4383" s="15"/>
      <c r="O4383" s="5" t="s">
        <v>10708</v>
      </c>
      <c r="P4383" s="15"/>
      <c r="Q4383" s="15"/>
      <c r="R4383" s="422"/>
      <c r="S4383" s="15"/>
      <c r="T4383" s="15"/>
      <c r="U4383" s="15"/>
      <c r="V4383" s="15"/>
      <c r="W4383" s="15"/>
      <c r="X4383" s="15"/>
      <c r="Y4383" s="15"/>
      <c r="Z4383" s="15"/>
      <c r="AA4383" s="15"/>
    </row>
    <row r="4384">
      <c r="A4384" s="5" t="s">
        <v>18409</v>
      </c>
      <c r="B4384" s="292" t="str">
        <f>HYPERLINK("https://akshar-exim-company-pvt-ltd.odoo.com/web#id=22896&amp;action=152&amp;model=crm.lead&amp;view_type=form&amp;menu_id=111","C2011532")</f>
        <v>C2011532</v>
      </c>
      <c r="C4384" s="41" t="s">
        <v>18434</v>
      </c>
      <c r="D4384" s="41"/>
      <c r="E4384" s="41" t="s">
        <v>5226</v>
      </c>
      <c r="F4384" s="90">
        <v>500.0</v>
      </c>
      <c r="G4384" s="430"/>
      <c r="H4384" s="41" t="s">
        <v>18435</v>
      </c>
      <c r="I4384" s="423"/>
      <c r="J4384" s="14"/>
      <c r="K4384" s="12"/>
      <c r="L4384" s="12"/>
      <c r="M4384" s="11" t="s">
        <v>18436</v>
      </c>
      <c r="N4384" s="5" t="s">
        <v>18437</v>
      </c>
      <c r="O4384" s="5" t="s">
        <v>1112</v>
      </c>
      <c r="P4384" s="15"/>
      <c r="Q4384" s="15"/>
      <c r="R4384" s="422"/>
      <c r="S4384" s="15"/>
      <c r="T4384" s="15"/>
      <c r="U4384" s="15"/>
      <c r="V4384" s="15"/>
      <c r="W4384" s="15"/>
      <c r="X4384" s="15"/>
      <c r="Y4384" s="15"/>
      <c r="Z4384" s="15"/>
      <c r="AA4384" s="15"/>
    </row>
    <row r="4385">
      <c r="A4385" s="5" t="s">
        <v>18409</v>
      </c>
      <c r="B4385" s="292" t="str">
        <f>HYPERLINK("https://akshar-exim-company-pvt-ltd.odoo.com/web#id=22905&amp;action=152&amp;model=crm.lead&amp;view_type=form&amp;menu_id=111","C2011531")</f>
        <v>C2011531</v>
      </c>
      <c r="C4385" s="41" t="s">
        <v>18438</v>
      </c>
      <c r="D4385" s="41"/>
      <c r="E4385" s="41" t="s">
        <v>18439</v>
      </c>
      <c r="F4385" s="90">
        <v>100.0</v>
      </c>
      <c r="G4385" s="430"/>
      <c r="H4385" s="41" t="s">
        <v>18440</v>
      </c>
      <c r="I4385" s="97"/>
      <c r="J4385" s="41" t="s">
        <v>4008</v>
      </c>
      <c r="K4385" s="13"/>
      <c r="L4385" s="13"/>
      <c r="M4385" s="14"/>
      <c r="N4385" s="15"/>
      <c r="O4385" s="5" t="s">
        <v>10708</v>
      </c>
      <c r="P4385" s="15"/>
      <c r="Q4385" s="15"/>
      <c r="R4385" s="422"/>
      <c r="S4385" s="15"/>
      <c r="T4385" s="15"/>
      <c r="U4385" s="15"/>
      <c r="V4385" s="15"/>
      <c r="W4385" s="15"/>
      <c r="X4385" s="15"/>
      <c r="Y4385" s="15"/>
      <c r="Z4385" s="15"/>
      <c r="AA4385" s="15"/>
    </row>
    <row r="4386">
      <c r="A4386" s="5" t="s">
        <v>18409</v>
      </c>
      <c r="B4386" s="292" t="str">
        <f>HYPERLINK("https://akshar-exim-company-pvt-ltd.odoo.com/web#id=22906&amp;action=152&amp;model=crm.lead&amp;view_type=form&amp;menu_id=111","C2011530")</f>
        <v>C2011530</v>
      </c>
      <c r="C4386" s="41" t="s">
        <v>18441</v>
      </c>
      <c r="D4386" s="11"/>
      <c r="E4386" s="11" t="s">
        <v>4481</v>
      </c>
      <c r="F4386" s="90">
        <v>1.0</v>
      </c>
      <c r="G4386" s="321"/>
      <c r="H4386" s="11" t="s">
        <v>507</v>
      </c>
      <c r="I4386" s="423"/>
      <c r="J4386" s="14"/>
      <c r="K4386" s="13"/>
      <c r="L4386" s="13"/>
      <c r="M4386" s="14"/>
      <c r="N4386" s="15"/>
      <c r="O4386" s="5" t="s">
        <v>10708</v>
      </c>
      <c r="P4386" s="15"/>
      <c r="Q4386" s="15"/>
      <c r="R4386" s="422"/>
      <c r="S4386" s="15"/>
      <c r="T4386" s="15"/>
      <c r="U4386" s="15"/>
      <c r="V4386" s="15"/>
      <c r="W4386" s="15"/>
      <c r="X4386" s="15"/>
      <c r="Y4386" s="15"/>
      <c r="Z4386" s="15"/>
      <c r="AA4386" s="15"/>
    </row>
    <row r="4387">
      <c r="A4387" s="5" t="s">
        <v>18409</v>
      </c>
      <c r="B4387" s="292" t="str">
        <f>HYPERLINK("https://akshar-exim-company-pvt-ltd.odoo.com/web#id=22907&amp;action=152&amp;model=crm.lead&amp;view_type=form&amp;menu_id=111","C2011529")</f>
        <v>C2011529</v>
      </c>
      <c r="C4387" s="41" t="s">
        <v>18442</v>
      </c>
      <c r="D4387" s="405"/>
      <c r="E4387" s="405" t="s">
        <v>14677</v>
      </c>
      <c r="F4387" s="90">
        <v>10.0</v>
      </c>
      <c r="G4387" s="321"/>
      <c r="H4387" s="11" t="s">
        <v>44</v>
      </c>
      <c r="I4387" s="423"/>
      <c r="J4387" s="14"/>
      <c r="K4387" s="13"/>
      <c r="L4387" s="13"/>
      <c r="M4387" s="14"/>
      <c r="N4387" s="15"/>
      <c r="O4387" s="5" t="s">
        <v>10708</v>
      </c>
      <c r="P4387" s="15"/>
      <c r="Q4387" s="15"/>
      <c r="R4387" s="422"/>
      <c r="S4387" s="15"/>
      <c r="T4387" s="15"/>
      <c r="U4387" s="15"/>
      <c r="V4387" s="15"/>
      <c r="W4387" s="15"/>
      <c r="X4387" s="15"/>
      <c r="Y4387" s="15"/>
      <c r="Z4387" s="15"/>
      <c r="AA4387" s="15"/>
    </row>
    <row r="4388">
      <c r="A4388" s="5" t="s">
        <v>18443</v>
      </c>
      <c r="B4388" s="292" t="str">
        <f>HYPERLINK("https://akshar-exim-company-pvt-ltd.odoo.com/web#id=22588&amp;action=152&amp;model=crm.lead&amp;view_type=form&amp;menu_id=111","C2011528")</f>
        <v>C2011528</v>
      </c>
      <c r="C4388" s="41" t="s">
        <v>18444</v>
      </c>
      <c r="D4388" s="41"/>
      <c r="E4388" s="41" t="s">
        <v>207</v>
      </c>
      <c r="F4388" s="90">
        <v>1000.0</v>
      </c>
      <c r="G4388" s="430"/>
      <c r="H4388" s="41" t="s">
        <v>18445</v>
      </c>
      <c r="I4388" s="97"/>
      <c r="J4388" s="41" t="s">
        <v>18182</v>
      </c>
      <c r="K4388" s="12"/>
      <c r="L4388" s="12"/>
      <c r="M4388" s="11" t="s">
        <v>9445</v>
      </c>
      <c r="N4388" s="5" t="s">
        <v>18446</v>
      </c>
      <c r="O4388" s="5" t="s">
        <v>1112</v>
      </c>
      <c r="P4388" s="15"/>
      <c r="Q4388" s="15"/>
      <c r="R4388" s="422"/>
      <c r="S4388" s="15"/>
      <c r="T4388" s="15"/>
      <c r="U4388" s="15"/>
      <c r="V4388" s="15"/>
      <c r="W4388" s="15"/>
      <c r="X4388" s="15"/>
      <c r="Y4388" s="15"/>
      <c r="Z4388" s="15"/>
      <c r="AA4388" s="15"/>
    </row>
    <row r="4389">
      <c r="A4389" s="5" t="s">
        <v>18443</v>
      </c>
      <c r="B4389" s="292" t="str">
        <f>HYPERLINK("https://akshar-exim-company-pvt-ltd.odoo.com/web#id=22598&amp;action=152&amp;model=crm.lead&amp;view_type=form&amp;menu_id=111","C2011527")</f>
        <v>C2011527</v>
      </c>
      <c r="C4389" s="41" t="s">
        <v>18447</v>
      </c>
      <c r="D4389" s="405"/>
      <c r="E4389" s="405" t="s">
        <v>6027</v>
      </c>
      <c r="F4389" s="90">
        <v>2.0</v>
      </c>
      <c r="G4389" s="430"/>
      <c r="H4389" s="41" t="s">
        <v>1227</v>
      </c>
      <c r="I4389" s="276"/>
      <c r="J4389" s="11" t="s">
        <v>14563</v>
      </c>
      <c r="K4389" s="13"/>
      <c r="L4389" s="13"/>
      <c r="M4389" s="14"/>
      <c r="N4389" s="15"/>
      <c r="O4389" s="5" t="s">
        <v>10708</v>
      </c>
      <c r="P4389" s="15"/>
      <c r="Q4389" s="15"/>
      <c r="R4389" s="422"/>
      <c r="S4389" s="15"/>
      <c r="T4389" s="15"/>
      <c r="U4389" s="15"/>
      <c r="V4389" s="15"/>
      <c r="W4389" s="15"/>
      <c r="X4389" s="15"/>
      <c r="Y4389" s="15"/>
      <c r="Z4389" s="15"/>
      <c r="AA4389" s="15"/>
    </row>
    <row r="4390">
      <c r="A4390" s="5" t="s">
        <v>18443</v>
      </c>
      <c r="B4390" s="292" t="str">
        <f>HYPERLINK("https://akshar-exim-company-pvt-ltd.odoo.com/web#id=22597&amp;action=152&amp;model=crm.lead&amp;view_type=form&amp;menu_id=111","C2011526")</f>
        <v>C2011526</v>
      </c>
      <c r="C4390" s="41" t="s">
        <v>18448</v>
      </c>
      <c r="D4390" s="41"/>
      <c r="E4390" s="41" t="s">
        <v>13944</v>
      </c>
      <c r="F4390" s="90">
        <v>5.0</v>
      </c>
      <c r="G4390" s="430"/>
      <c r="H4390" s="41" t="s">
        <v>7573</v>
      </c>
      <c r="I4390" s="423"/>
      <c r="J4390" s="14"/>
      <c r="K4390" s="13"/>
      <c r="L4390" s="13"/>
      <c r="M4390" s="14"/>
      <c r="N4390" s="15"/>
      <c r="O4390" s="5" t="s">
        <v>10708</v>
      </c>
      <c r="P4390" s="15"/>
      <c r="Q4390" s="15"/>
      <c r="R4390" s="422"/>
      <c r="S4390" s="15"/>
      <c r="T4390" s="15"/>
      <c r="U4390" s="15"/>
      <c r="V4390" s="15"/>
      <c r="W4390" s="15"/>
      <c r="X4390" s="15"/>
      <c r="Y4390" s="15"/>
      <c r="Z4390" s="15"/>
      <c r="AA4390" s="15"/>
    </row>
    <row r="4391">
      <c r="A4391" s="5" t="s">
        <v>18443</v>
      </c>
      <c r="B4391" s="292" t="str">
        <f>HYPERLINK("https://akshar-exim-company-pvt-ltd.odoo.com/web#id=22596&amp;action=152&amp;model=crm.lead&amp;view_type=form&amp;menu_id=111","C2011525")</f>
        <v>C2011525</v>
      </c>
      <c r="C4391" s="41" t="s">
        <v>18449</v>
      </c>
      <c r="D4391" s="405"/>
      <c r="E4391" s="405" t="s">
        <v>13778</v>
      </c>
      <c r="F4391" s="90">
        <v>50.0</v>
      </c>
      <c r="G4391" s="430"/>
      <c r="H4391" s="41" t="s">
        <v>44</v>
      </c>
      <c r="I4391" s="97"/>
      <c r="J4391" s="41" t="s">
        <v>18182</v>
      </c>
      <c r="K4391" s="13"/>
      <c r="L4391" s="13"/>
      <c r="M4391" s="14"/>
      <c r="N4391" s="15"/>
      <c r="O4391" s="5" t="s">
        <v>10708</v>
      </c>
      <c r="P4391" s="15"/>
      <c r="Q4391" s="15"/>
      <c r="R4391" s="422"/>
      <c r="S4391" s="15"/>
      <c r="T4391" s="15"/>
      <c r="U4391" s="15"/>
      <c r="V4391" s="15"/>
      <c r="W4391" s="15"/>
      <c r="X4391" s="15"/>
      <c r="Y4391" s="15"/>
      <c r="Z4391" s="15"/>
      <c r="AA4391" s="15"/>
    </row>
    <row r="4392">
      <c r="A4392" s="5" t="s">
        <v>18443</v>
      </c>
      <c r="B4392" s="292" t="str">
        <f>HYPERLINK("https://akshar-exim-company-pvt-ltd.odoo.com/web#id=22862&amp;action=152&amp;model=crm.lead&amp;view_type=form&amp;menu_id=111","C2011524")</f>
        <v>C2011524</v>
      </c>
      <c r="C4392" s="41" t="s">
        <v>18450</v>
      </c>
      <c r="D4392" s="41"/>
      <c r="E4392" s="41" t="s">
        <v>18451</v>
      </c>
      <c r="F4392" s="90">
        <v>2.0</v>
      </c>
      <c r="G4392" s="430"/>
      <c r="H4392" s="41" t="s">
        <v>18452</v>
      </c>
      <c r="I4392" s="97"/>
      <c r="J4392" s="41" t="s">
        <v>18182</v>
      </c>
      <c r="K4392" s="13"/>
      <c r="L4392" s="13"/>
      <c r="M4392" s="14"/>
      <c r="N4392" s="15"/>
      <c r="O4392" s="5" t="s">
        <v>10708</v>
      </c>
      <c r="P4392" s="15"/>
      <c r="Q4392" s="15"/>
      <c r="R4392" s="422"/>
      <c r="S4392" s="15"/>
      <c r="T4392" s="15"/>
      <c r="U4392" s="15"/>
      <c r="V4392" s="15"/>
      <c r="W4392" s="15"/>
      <c r="X4392" s="15"/>
      <c r="Y4392" s="15"/>
      <c r="Z4392" s="15"/>
      <c r="AA4392" s="15"/>
    </row>
    <row r="4393">
      <c r="A4393" s="5" t="s">
        <v>18443</v>
      </c>
      <c r="B4393" s="292" t="str">
        <f>HYPERLINK("https://akshar-exim-company-pvt-ltd.odoo.com/web#id=22861&amp;action=152&amp;model=crm.lead&amp;view_type=form&amp;menu_id=111","C2011523")</f>
        <v>C2011523</v>
      </c>
      <c r="C4393" s="41" t="s">
        <v>18453</v>
      </c>
      <c r="D4393" s="41"/>
      <c r="E4393" s="41" t="s">
        <v>18454</v>
      </c>
      <c r="F4393" s="90">
        <v>20.0</v>
      </c>
      <c r="G4393" s="430"/>
      <c r="H4393" s="41" t="s">
        <v>9758</v>
      </c>
      <c r="I4393" s="97"/>
      <c r="J4393" s="41" t="s">
        <v>18182</v>
      </c>
      <c r="K4393" s="13"/>
      <c r="L4393" s="13"/>
      <c r="M4393" s="14"/>
      <c r="N4393" s="15"/>
      <c r="O4393" s="5" t="s">
        <v>10708</v>
      </c>
      <c r="P4393" s="15"/>
      <c r="Q4393" s="15"/>
      <c r="R4393" s="422"/>
      <c r="S4393" s="15"/>
      <c r="T4393" s="15"/>
      <c r="U4393" s="15"/>
      <c r="V4393" s="15"/>
      <c r="W4393" s="15"/>
      <c r="X4393" s="15"/>
      <c r="Y4393" s="15"/>
      <c r="Z4393" s="15"/>
      <c r="AA4393" s="15"/>
    </row>
    <row r="4394">
      <c r="A4394" s="5" t="s">
        <v>18443</v>
      </c>
      <c r="B4394" s="292" t="str">
        <f>HYPERLINK("https://akshar-exim-company-pvt-ltd.odoo.com/web#id=22857&amp;action=152&amp;model=crm.lead&amp;view_type=form&amp;menu_id=111","C2011522")</f>
        <v>C2011522</v>
      </c>
      <c r="C4394" s="41" t="s">
        <v>18455</v>
      </c>
      <c r="D4394" s="41"/>
      <c r="E4394" s="41" t="s">
        <v>87</v>
      </c>
      <c r="F4394" s="90">
        <v>1000.0</v>
      </c>
      <c r="G4394" s="321"/>
      <c r="H4394" s="11" t="s">
        <v>44</v>
      </c>
      <c r="I4394" s="276"/>
      <c r="J4394" s="11" t="s">
        <v>17976</v>
      </c>
      <c r="K4394" s="12"/>
      <c r="L4394" s="12"/>
      <c r="M4394" s="11" t="s">
        <v>14925</v>
      </c>
      <c r="N4394" s="5" t="s">
        <v>18456</v>
      </c>
      <c r="O4394" s="5" t="s">
        <v>34</v>
      </c>
      <c r="P4394" s="15"/>
      <c r="Q4394" s="15"/>
      <c r="R4394" s="422"/>
      <c r="S4394" s="15"/>
      <c r="T4394" s="15"/>
      <c r="U4394" s="15"/>
      <c r="V4394" s="15"/>
      <c r="W4394" s="15"/>
      <c r="X4394" s="15"/>
      <c r="Y4394" s="15"/>
      <c r="Z4394" s="15"/>
      <c r="AA4394" s="15"/>
    </row>
    <row r="4395">
      <c r="A4395" s="5" t="s">
        <v>18443</v>
      </c>
      <c r="B4395" s="292" t="str">
        <f>HYPERLINK("https://akshar-exim-company-pvt-ltd.odoo.com/web#id=22856&amp;action=152&amp;model=crm.lead&amp;view_type=form&amp;menu_id=111","C2011521")</f>
        <v>C2011521</v>
      </c>
      <c r="C4395" s="41" t="s">
        <v>18457</v>
      </c>
      <c r="D4395" s="41"/>
      <c r="E4395" s="41" t="s">
        <v>17535</v>
      </c>
      <c r="F4395" s="90">
        <v>2.0</v>
      </c>
      <c r="G4395" s="430"/>
      <c r="H4395" s="41" t="s">
        <v>8125</v>
      </c>
      <c r="I4395" s="276"/>
      <c r="J4395" s="11" t="s">
        <v>18182</v>
      </c>
      <c r="K4395" s="13"/>
      <c r="L4395" s="13"/>
      <c r="M4395" s="14"/>
      <c r="N4395" s="15"/>
      <c r="O4395" s="5" t="s">
        <v>10708</v>
      </c>
      <c r="P4395" s="15"/>
      <c r="Q4395" s="15"/>
      <c r="R4395" s="422"/>
      <c r="S4395" s="15"/>
      <c r="T4395" s="15"/>
      <c r="U4395" s="15"/>
      <c r="V4395" s="15"/>
      <c r="W4395" s="15"/>
      <c r="X4395" s="15"/>
      <c r="Y4395" s="15"/>
      <c r="Z4395" s="15"/>
      <c r="AA4395" s="15"/>
    </row>
    <row r="4396">
      <c r="A4396" s="5" t="s">
        <v>18443</v>
      </c>
      <c r="B4396" s="292" t="str">
        <f>HYPERLINK("https://akshar-exim-company-pvt-ltd.odoo.com/web#id=22855&amp;action=152&amp;model=crm.lead&amp;view_type=form&amp;menu_id=111","C2011520")</f>
        <v>C2011520</v>
      </c>
      <c r="C4396" s="41" t="s">
        <v>18458</v>
      </c>
      <c r="D4396" s="41"/>
      <c r="E4396" s="41" t="s">
        <v>53</v>
      </c>
      <c r="F4396" s="90">
        <v>100.0</v>
      </c>
      <c r="G4396" s="430"/>
      <c r="H4396" s="41" t="s">
        <v>18459</v>
      </c>
      <c r="I4396" s="276"/>
      <c r="J4396" s="11" t="s">
        <v>18182</v>
      </c>
      <c r="K4396" s="13"/>
      <c r="L4396" s="13"/>
      <c r="M4396" s="14"/>
      <c r="N4396" s="15"/>
      <c r="O4396" s="5" t="s">
        <v>10708</v>
      </c>
      <c r="P4396" s="15"/>
      <c r="Q4396" s="15"/>
      <c r="R4396" s="422"/>
      <c r="S4396" s="15"/>
      <c r="T4396" s="15"/>
      <c r="U4396" s="15"/>
      <c r="V4396" s="15"/>
      <c r="W4396" s="15"/>
      <c r="X4396" s="15"/>
      <c r="Y4396" s="15"/>
      <c r="Z4396" s="15"/>
      <c r="AA4396" s="15"/>
    </row>
    <row r="4397">
      <c r="A4397" s="5" t="s">
        <v>18443</v>
      </c>
      <c r="B4397" s="292" t="str">
        <f>HYPERLINK("https://akshar-exim-company-pvt-ltd.odoo.com/web#id=22854&amp;action=152&amp;model=crm.lead&amp;view_type=form&amp;menu_id=111","C2011519")</f>
        <v>C2011519</v>
      </c>
      <c r="C4397" s="41" t="s">
        <v>18460</v>
      </c>
      <c r="D4397" s="41"/>
      <c r="E4397" s="41" t="s">
        <v>12775</v>
      </c>
      <c r="F4397" s="90">
        <v>5.0</v>
      </c>
      <c r="G4397" s="321"/>
      <c r="H4397" s="11" t="s">
        <v>44</v>
      </c>
      <c r="I4397" s="276"/>
      <c r="J4397" s="11" t="s">
        <v>18182</v>
      </c>
      <c r="K4397" s="13"/>
      <c r="L4397" s="13"/>
      <c r="M4397" s="14"/>
      <c r="N4397" s="15"/>
      <c r="O4397" s="5" t="s">
        <v>10708</v>
      </c>
      <c r="P4397" s="15"/>
      <c r="Q4397" s="15"/>
      <c r="R4397" s="422"/>
      <c r="S4397" s="15"/>
      <c r="T4397" s="15"/>
      <c r="U4397" s="15"/>
      <c r="V4397" s="15"/>
      <c r="W4397" s="15"/>
      <c r="X4397" s="15"/>
      <c r="Y4397" s="15"/>
      <c r="Z4397" s="15"/>
      <c r="AA4397" s="15"/>
    </row>
    <row r="4398">
      <c r="A4398" s="5" t="s">
        <v>18443</v>
      </c>
      <c r="B4398" s="292" t="str">
        <f>HYPERLINK("https://akshar-exim-company-pvt-ltd.odoo.com/web#id=22600&amp;action=152&amp;model=crm.lead&amp;view_type=form&amp;menu_id=111","C2011518")</f>
        <v>C2011518</v>
      </c>
      <c r="C4398" s="41" t="s">
        <v>18461</v>
      </c>
      <c r="D4398" s="41"/>
      <c r="E4398" s="41" t="s">
        <v>3446</v>
      </c>
      <c r="F4398" s="90">
        <v>50.0</v>
      </c>
      <c r="G4398" s="430"/>
      <c r="H4398" s="41" t="s">
        <v>18294</v>
      </c>
      <c r="I4398" s="97"/>
      <c r="J4398" s="41" t="s">
        <v>18182</v>
      </c>
      <c r="K4398" s="13"/>
      <c r="L4398" s="13"/>
      <c r="M4398" s="14"/>
      <c r="N4398" s="15"/>
      <c r="O4398" s="5" t="s">
        <v>10708</v>
      </c>
      <c r="P4398" s="15"/>
      <c r="Q4398" s="15"/>
      <c r="R4398" s="422"/>
      <c r="S4398" s="15"/>
      <c r="T4398" s="15"/>
      <c r="U4398" s="15"/>
      <c r="V4398" s="15"/>
      <c r="W4398" s="15"/>
      <c r="X4398" s="15"/>
      <c r="Y4398" s="15"/>
      <c r="Z4398" s="15"/>
      <c r="AA4398" s="15"/>
    </row>
    <row r="4399">
      <c r="A4399" s="5" t="s">
        <v>18443</v>
      </c>
      <c r="B4399" s="292" t="str">
        <f>HYPERLINK("https://akshar-exim-company-pvt-ltd.odoo.com/web#id=22603&amp;action=152&amp;model=crm.lead&amp;view_type=form&amp;menu_id=111","C2011517")</f>
        <v>C2011517</v>
      </c>
      <c r="C4399" s="41" t="s">
        <v>18462</v>
      </c>
      <c r="D4399" s="405"/>
      <c r="E4399" s="405" t="s">
        <v>1373</v>
      </c>
      <c r="F4399" s="90">
        <v>15.0</v>
      </c>
      <c r="G4399" s="430"/>
      <c r="H4399" s="41" t="s">
        <v>18463</v>
      </c>
      <c r="I4399" s="423"/>
      <c r="J4399" s="14"/>
      <c r="K4399" s="13"/>
      <c r="L4399" s="13"/>
      <c r="M4399" s="14"/>
      <c r="N4399" s="15"/>
      <c r="O4399" s="5" t="s">
        <v>10708</v>
      </c>
      <c r="P4399" s="15"/>
      <c r="Q4399" s="15"/>
      <c r="R4399" s="422"/>
      <c r="S4399" s="15"/>
      <c r="T4399" s="15"/>
      <c r="U4399" s="15"/>
      <c r="V4399" s="15"/>
      <c r="W4399" s="15"/>
      <c r="X4399" s="15"/>
      <c r="Y4399" s="15"/>
      <c r="Z4399" s="15"/>
      <c r="AA4399" s="15"/>
    </row>
    <row r="4400">
      <c r="A4400" s="5" t="s">
        <v>18443</v>
      </c>
      <c r="B4400" s="292" t="str">
        <f>HYPERLINK("https://akshar-exim-company-pvt-ltd.odoo.com/web#id=22607&amp;action=152&amp;model=crm.lead&amp;view_type=form&amp;menu_id=111","C2011516")</f>
        <v>C2011516</v>
      </c>
      <c r="C4400" s="41" t="s">
        <v>18464</v>
      </c>
      <c r="D4400" s="41"/>
      <c r="E4400" s="41" t="s">
        <v>18465</v>
      </c>
      <c r="F4400" s="9">
        <v>20000.0</v>
      </c>
      <c r="G4400" s="430"/>
      <c r="H4400" s="41" t="s">
        <v>18466</v>
      </c>
      <c r="I4400" s="276"/>
      <c r="J4400" s="11" t="s">
        <v>17976</v>
      </c>
      <c r="K4400" s="13"/>
      <c r="L4400" s="13"/>
      <c r="M4400" s="14"/>
      <c r="N4400" s="15"/>
      <c r="O4400" s="5" t="s">
        <v>17993</v>
      </c>
      <c r="P4400" s="15"/>
      <c r="Q4400" s="15"/>
      <c r="R4400" s="422"/>
      <c r="S4400" s="15"/>
      <c r="T4400" s="15"/>
      <c r="U4400" s="15"/>
      <c r="V4400" s="15"/>
      <c r="W4400" s="15"/>
      <c r="X4400" s="15"/>
      <c r="Y4400" s="15"/>
      <c r="Z4400" s="15"/>
      <c r="AA4400" s="15"/>
    </row>
    <row r="4401">
      <c r="A4401" s="5" t="s">
        <v>18443</v>
      </c>
      <c r="B4401" s="292" t="str">
        <f>HYPERLINK("https://akshar-exim-company-pvt-ltd.odoo.com/web#id=22611&amp;action=152&amp;model=crm.lead&amp;view_type=form&amp;menu_id=111","C2011515")</f>
        <v>C2011515</v>
      </c>
      <c r="C4401" s="41" t="s">
        <v>18467</v>
      </c>
      <c r="D4401" s="41"/>
      <c r="E4401" s="41" t="s">
        <v>207</v>
      </c>
      <c r="F4401" s="90">
        <v>1.0</v>
      </c>
      <c r="G4401" s="321"/>
      <c r="H4401" s="11" t="s">
        <v>906</v>
      </c>
      <c r="I4401" s="276"/>
      <c r="J4401" s="11" t="s">
        <v>25</v>
      </c>
      <c r="K4401" s="13"/>
      <c r="L4401" s="13"/>
      <c r="M4401" s="14"/>
      <c r="N4401" s="15"/>
      <c r="O4401" s="5" t="s">
        <v>10708</v>
      </c>
      <c r="P4401" s="15"/>
      <c r="Q4401" s="15"/>
      <c r="R4401" s="422"/>
      <c r="S4401" s="15"/>
      <c r="T4401" s="15"/>
      <c r="U4401" s="15"/>
      <c r="V4401" s="15"/>
      <c r="W4401" s="15"/>
      <c r="X4401" s="15"/>
      <c r="Y4401" s="15"/>
      <c r="Z4401" s="15"/>
      <c r="AA4401" s="15"/>
    </row>
    <row r="4402">
      <c r="A4402" s="5" t="s">
        <v>18443</v>
      </c>
      <c r="B4402" s="292" t="str">
        <f>HYPERLINK("https://akshar-exim-company-pvt-ltd.odoo.com/web#id=22612&amp;action=152&amp;model=crm.lead&amp;view_type=form&amp;menu_id=111","C2011514")</f>
        <v>C2011514</v>
      </c>
      <c r="C4402" s="41" t="s">
        <v>18468</v>
      </c>
      <c r="D4402" s="41"/>
      <c r="E4402" s="41" t="s">
        <v>18212</v>
      </c>
      <c r="F4402" s="90">
        <v>100.0</v>
      </c>
      <c r="G4402" s="321"/>
      <c r="H4402" s="11" t="s">
        <v>44</v>
      </c>
      <c r="I4402" s="423"/>
      <c r="J4402" s="14"/>
      <c r="K4402" s="13"/>
      <c r="L4402" s="13"/>
      <c r="M4402" s="14"/>
      <c r="N4402" s="15"/>
      <c r="O4402" s="5" t="s">
        <v>10708</v>
      </c>
      <c r="P4402" s="15"/>
      <c r="Q4402" s="15"/>
      <c r="R4402" s="422"/>
      <c r="S4402" s="15"/>
      <c r="T4402" s="15"/>
      <c r="U4402" s="15"/>
      <c r="V4402" s="15"/>
      <c r="W4402" s="15"/>
      <c r="X4402" s="15"/>
      <c r="Y4402" s="15"/>
      <c r="Z4402" s="15"/>
      <c r="AA4402" s="15"/>
    </row>
    <row r="4403">
      <c r="A4403" s="5" t="s">
        <v>18443</v>
      </c>
      <c r="B4403" s="292" t="str">
        <f>HYPERLINK("https://akshar-exim-company-pvt-ltd.odoo.com/web#id=22614&amp;action=152&amp;model=crm.lead&amp;view_type=form&amp;menu_id=111","C2011513")</f>
        <v>C2011513</v>
      </c>
      <c r="C4403" s="41" t="s">
        <v>18469</v>
      </c>
      <c r="D4403" s="41"/>
      <c r="E4403" s="41" t="s">
        <v>10433</v>
      </c>
      <c r="F4403" s="90">
        <v>5.0</v>
      </c>
      <c r="G4403" s="430"/>
      <c r="H4403" s="41" t="s">
        <v>18470</v>
      </c>
      <c r="I4403" s="97"/>
      <c r="J4403" s="41" t="s">
        <v>17109</v>
      </c>
      <c r="K4403" s="13"/>
      <c r="L4403" s="13"/>
      <c r="M4403" s="14"/>
      <c r="N4403" s="15"/>
      <c r="O4403" s="5" t="s">
        <v>10708</v>
      </c>
      <c r="P4403" s="15"/>
      <c r="Q4403" s="15"/>
      <c r="R4403" s="422"/>
      <c r="S4403" s="15"/>
      <c r="T4403" s="15"/>
      <c r="U4403" s="15"/>
      <c r="V4403" s="15"/>
      <c r="W4403" s="15"/>
      <c r="X4403" s="15"/>
      <c r="Y4403" s="15"/>
      <c r="Z4403" s="15"/>
      <c r="AA4403" s="15"/>
    </row>
    <row r="4404">
      <c r="A4404" s="5" t="s">
        <v>18443</v>
      </c>
      <c r="B4404" s="292" t="str">
        <f>HYPERLINK("https://akshar-exim-company-pvt-ltd.odoo.com/web#id=22615&amp;action=152&amp;model=crm.lead&amp;view_type=form&amp;menu_id=111","C2011512")</f>
        <v>C2011512</v>
      </c>
      <c r="C4404" s="41" t="s">
        <v>18471</v>
      </c>
      <c r="D4404" s="405"/>
      <c r="E4404" s="405" t="s">
        <v>3634</v>
      </c>
      <c r="F4404" s="90">
        <v>100.0</v>
      </c>
      <c r="G4404" s="430"/>
      <c r="H4404" s="41" t="s">
        <v>18472</v>
      </c>
      <c r="I4404" s="423"/>
      <c r="J4404" s="14"/>
      <c r="K4404" s="13"/>
      <c r="L4404" s="13"/>
      <c r="M4404" s="14"/>
      <c r="N4404" s="15"/>
      <c r="O4404" s="5" t="s">
        <v>10708</v>
      </c>
      <c r="P4404" s="15"/>
      <c r="Q4404" s="15"/>
      <c r="R4404" s="422"/>
      <c r="S4404" s="15"/>
      <c r="T4404" s="15"/>
      <c r="U4404" s="15"/>
      <c r="V4404" s="15"/>
      <c r="W4404" s="15"/>
      <c r="X4404" s="15"/>
      <c r="Y4404" s="15"/>
      <c r="Z4404" s="15"/>
      <c r="AA4404" s="15"/>
    </row>
    <row r="4405">
      <c r="A4405" s="5" t="s">
        <v>18443</v>
      </c>
      <c r="B4405" s="292" t="str">
        <f>HYPERLINK("https://akshar-exim-company-pvt-ltd.odoo.com/web#id=22616&amp;action=152&amp;model=crm.lead&amp;view_type=form&amp;menu_id=111","C2011511")</f>
        <v>C2011511</v>
      </c>
      <c r="C4405" s="41" t="s">
        <v>18473</v>
      </c>
      <c r="D4405" s="41"/>
      <c r="E4405" s="41" t="s">
        <v>18250</v>
      </c>
      <c r="F4405" s="9">
        <v>25000.0</v>
      </c>
      <c r="G4405" s="430"/>
      <c r="H4405" s="41" t="s">
        <v>18474</v>
      </c>
      <c r="I4405" s="276"/>
      <c r="J4405" s="11" t="s">
        <v>17976</v>
      </c>
      <c r="K4405" s="12"/>
      <c r="L4405" s="12"/>
      <c r="M4405" s="11" t="s">
        <v>9445</v>
      </c>
      <c r="N4405" s="5" t="s">
        <v>18475</v>
      </c>
      <c r="O4405" s="5" t="s">
        <v>1112</v>
      </c>
      <c r="P4405" s="15"/>
      <c r="Q4405" s="15"/>
      <c r="R4405" s="422"/>
      <c r="S4405" s="15"/>
      <c r="T4405" s="15"/>
      <c r="U4405" s="15"/>
      <c r="V4405" s="15"/>
      <c r="W4405" s="15"/>
      <c r="X4405" s="15"/>
      <c r="Y4405" s="15"/>
      <c r="Z4405" s="15"/>
      <c r="AA4405" s="15"/>
    </row>
    <row r="4406">
      <c r="A4406" s="5" t="s">
        <v>18443</v>
      </c>
      <c r="B4406" s="292" t="str">
        <f>HYPERLINK("https://akshar-exim-company-pvt-ltd.odoo.com/web#id=22818&amp;action=152&amp;model=crm.lead&amp;view_type=form&amp;menu_id=111","C2011510")</f>
        <v>C2011510</v>
      </c>
      <c r="C4406" s="41" t="s">
        <v>11528</v>
      </c>
      <c r="D4406" s="405"/>
      <c r="E4406" s="405" t="s">
        <v>8247</v>
      </c>
      <c r="F4406" s="90">
        <v>200.0</v>
      </c>
      <c r="G4406" s="430"/>
      <c r="H4406" s="41" t="s">
        <v>18476</v>
      </c>
      <c r="I4406" s="276"/>
      <c r="J4406" s="11" t="s">
        <v>25</v>
      </c>
      <c r="K4406" s="12"/>
      <c r="L4406" s="12"/>
      <c r="M4406" s="11" t="s">
        <v>18425</v>
      </c>
      <c r="N4406" s="5" t="s">
        <v>18477</v>
      </c>
      <c r="O4406" s="5" t="s">
        <v>1112</v>
      </c>
      <c r="P4406" s="15"/>
      <c r="Q4406" s="15"/>
      <c r="R4406" s="422"/>
      <c r="S4406" s="15"/>
      <c r="T4406" s="15"/>
      <c r="U4406" s="15"/>
      <c r="V4406" s="15"/>
      <c r="W4406" s="15"/>
      <c r="X4406" s="15"/>
      <c r="Y4406" s="15"/>
      <c r="Z4406" s="15"/>
      <c r="AA4406" s="15"/>
    </row>
    <row r="4407">
      <c r="A4407" s="5" t="s">
        <v>18443</v>
      </c>
      <c r="B4407" s="292" t="str">
        <f>HYPERLINK("https://akshar-exim-company-pvt-ltd.odoo.com/web#id=22824&amp;action=152&amp;model=crm.lead&amp;view_type=form&amp;menu_id=111","C2011509")</f>
        <v>C2011509</v>
      </c>
      <c r="C4407" s="41" t="s">
        <v>18478</v>
      </c>
      <c r="D4407" s="405"/>
      <c r="E4407" s="405" t="s">
        <v>116</v>
      </c>
      <c r="F4407" s="9">
        <v>50000.0</v>
      </c>
      <c r="G4407" s="430"/>
      <c r="H4407" s="41" t="s">
        <v>18312</v>
      </c>
      <c r="I4407" s="423"/>
      <c r="J4407" s="14"/>
      <c r="K4407" s="12"/>
      <c r="L4407" s="12"/>
      <c r="M4407" s="11" t="s">
        <v>13537</v>
      </c>
      <c r="N4407" s="5" t="s">
        <v>18479</v>
      </c>
      <c r="O4407" s="5" t="s">
        <v>17993</v>
      </c>
      <c r="P4407" s="15"/>
      <c r="Q4407" s="15"/>
      <c r="R4407" s="422"/>
      <c r="S4407" s="15"/>
      <c r="T4407" s="15"/>
      <c r="U4407" s="15"/>
      <c r="V4407" s="15"/>
      <c r="W4407" s="15"/>
      <c r="X4407" s="15"/>
      <c r="Y4407" s="15"/>
      <c r="Z4407" s="15"/>
      <c r="AA4407" s="15"/>
    </row>
    <row r="4408">
      <c r="A4408" s="5" t="s">
        <v>18443</v>
      </c>
      <c r="B4408" s="292" t="str">
        <f>HYPERLINK("https://akshar-exim-company-pvt-ltd.odoo.com/web#id=22825&amp;action=152&amp;model=crm.lead&amp;view_type=form&amp;menu_id=111","C2011508")</f>
        <v>C2011508</v>
      </c>
      <c r="C4408" s="41" t="s">
        <v>18480</v>
      </c>
      <c r="D4408" s="41"/>
      <c r="E4408" s="41" t="s">
        <v>18481</v>
      </c>
      <c r="F4408" s="90">
        <v>10.0</v>
      </c>
      <c r="G4408" s="321"/>
      <c r="H4408" s="11" t="s">
        <v>906</v>
      </c>
      <c r="I4408" s="276"/>
      <c r="J4408" s="11" t="s">
        <v>9536</v>
      </c>
      <c r="K4408" s="13"/>
      <c r="L4408" s="13"/>
      <c r="M4408" s="14"/>
      <c r="N4408" s="15"/>
      <c r="O4408" s="5" t="s">
        <v>10708</v>
      </c>
      <c r="P4408" s="15"/>
      <c r="Q4408" s="15"/>
      <c r="R4408" s="422"/>
      <c r="S4408" s="15"/>
      <c r="T4408" s="15"/>
      <c r="U4408" s="15"/>
      <c r="V4408" s="15"/>
      <c r="W4408" s="15"/>
      <c r="X4408" s="15"/>
      <c r="Y4408" s="15"/>
      <c r="Z4408" s="15"/>
      <c r="AA4408" s="15"/>
    </row>
    <row r="4409">
      <c r="A4409" s="5" t="s">
        <v>18443</v>
      </c>
      <c r="B4409" s="292" t="str">
        <f>HYPERLINK("https://akshar-exim-company-pvt-ltd.odoo.com/web#id=22826&amp;action=152&amp;model=crm.lead&amp;view_type=form&amp;menu_id=111","C2011507")</f>
        <v>C2011507</v>
      </c>
      <c r="C4409" s="41" t="s">
        <v>18482</v>
      </c>
      <c r="D4409" s="41"/>
      <c r="E4409" s="41" t="s">
        <v>18142</v>
      </c>
      <c r="F4409" s="90">
        <v>500.0</v>
      </c>
      <c r="G4409" s="430"/>
      <c r="H4409" s="41" t="s">
        <v>18483</v>
      </c>
      <c r="I4409" s="276"/>
      <c r="J4409" s="11" t="s">
        <v>7109</v>
      </c>
      <c r="K4409" s="12"/>
      <c r="L4409" s="12"/>
      <c r="M4409" s="11" t="s">
        <v>11788</v>
      </c>
      <c r="N4409" s="5" t="s">
        <v>18484</v>
      </c>
      <c r="O4409" s="5" t="s">
        <v>10708</v>
      </c>
      <c r="P4409" s="15"/>
      <c r="Q4409" s="15"/>
      <c r="R4409" s="422"/>
      <c r="S4409" s="15"/>
      <c r="T4409" s="15"/>
      <c r="U4409" s="15"/>
      <c r="V4409" s="15"/>
      <c r="W4409" s="15"/>
      <c r="X4409" s="15"/>
      <c r="Y4409" s="15"/>
      <c r="Z4409" s="15"/>
      <c r="AA4409" s="15"/>
    </row>
    <row r="4410">
      <c r="A4410" s="5" t="s">
        <v>18443</v>
      </c>
      <c r="B4410" s="292" t="str">
        <f>HYPERLINK("https://akshar-exim-company-pvt-ltd.odoo.com/web#id=22827&amp;action=152&amp;model=crm.lead&amp;view_type=form&amp;menu_id=111","C2011506")</f>
        <v>C2011506</v>
      </c>
      <c r="C4410" s="41" t="s">
        <v>18485</v>
      </c>
      <c r="D4410" s="405"/>
      <c r="E4410" s="405" t="s">
        <v>11279</v>
      </c>
      <c r="F4410" s="90">
        <v>15.0</v>
      </c>
      <c r="G4410" s="430"/>
      <c r="H4410" s="41" t="s">
        <v>18486</v>
      </c>
      <c r="I4410" s="276"/>
      <c r="J4410" s="11" t="s">
        <v>25</v>
      </c>
      <c r="K4410" s="13"/>
      <c r="L4410" s="13"/>
      <c r="M4410" s="14"/>
      <c r="N4410" s="15"/>
      <c r="O4410" s="5" t="s">
        <v>10708</v>
      </c>
      <c r="P4410" s="15"/>
      <c r="Q4410" s="15"/>
      <c r="R4410" s="422"/>
      <c r="S4410" s="15"/>
      <c r="T4410" s="15"/>
      <c r="U4410" s="15"/>
      <c r="V4410" s="15"/>
      <c r="W4410" s="15"/>
      <c r="X4410" s="15"/>
      <c r="Y4410" s="15"/>
      <c r="Z4410" s="15"/>
      <c r="AA4410" s="15"/>
    </row>
    <row r="4411">
      <c r="A4411" s="5" t="s">
        <v>18443</v>
      </c>
      <c r="B4411" s="292" t="str">
        <f>HYPERLINK("https://akshar-exim-company-pvt-ltd.odoo.com/web#id=22829&amp;action=152&amp;model=crm.lead&amp;view_type=form&amp;menu_id=111","C2011505")</f>
        <v>C2011505</v>
      </c>
      <c r="C4411" s="41" t="s">
        <v>18487</v>
      </c>
      <c r="D4411" s="405"/>
      <c r="E4411" s="405" t="s">
        <v>501</v>
      </c>
      <c r="F4411" s="90">
        <v>10.0</v>
      </c>
      <c r="G4411" s="430"/>
      <c r="H4411" s="41" t="s">
        <v>3167</v>
      </c>
      <c r="I4411" s="276"/>
      <c r="J4411" s="11" t="s">
        <v>25</v>
      </c>
      <c r="K4411" s="13"/>
      <c r="L4411" s="13"/>
      <c r="M4411" s="14"/>
      <c r="N4411" s="15"/>
      <c r="O4411" s="5" t="s">
        <v>10708</v>
      </c>
      <c r="P4411" s="15"/>
      <c r="Q4411" s="15"/>
      <c r="R4411" s="422"/>
      <c r="S4411" s="15"/>
      <c r="T4411" s="15"/>
      <c r="U4411" s="15"/>
      <c r="V4411" s="15"/>
      <c r="W4411" s="15"/>
      <c r="X4411" s="15"/>
      <c r="Y4411" s="15"/>
      <c r="Z4411" s="15"/>
      <c r="AA4411" s="15"/>
    </row>
    <row r="4412">
      <c r="A4412" s="5" t="s">
        <v>18443</v>
      </c>
      <c r="B4412" s="292" t="str">
        <f>HYPERLINK("https://akshar-exim-company-pvt-ltd.odoo.com/web#id=22831&amp;action=152&amp;model=crm.lead&amp;view_type=form&amp;menu_id=111","C2011504")</f>
        <v>C2011504</v>
      </c>
      <c r="C4412" s="41" t="s">
        <v>18488</v>
      </c>
      <c r="D4412" s="41"/>
      <c r="E4412" s="41" t="s">
        <v>17535</v>
      </c>
      <c r="F4412" s="9">
        <v>10000.0</v>
      </c>
      <c r="G4412" s="430"/>
      <c r="H4412" s="41" t="s">
        <v>6762</v>
      </c>
      <c r="I4412" s="276"/>
      <c r="J4412" s="11" t="s">
        <v>25</v>
      </c>
      <c r="K4412" s="12"/>
      <c r="L4412" s="12"/>
      <c r="M4412" s="11" t="s">
        <v>18489</v>
      </c>
      <c r="N4412" s="5" t="s">
        <v>18490</v>
      </c>
      <c r="O4412" s="5" t="s">
        <v>17993</v>
      </c>
      <c r="P4412" s="15"/>
      <c r="Q4412" s="15"/>
      <c r="R4412" s="422"/>
      <c r="S4412" s="15"/>
      <c r="T4412" s="15"/>
      <c r="U4412" s="15"/>
      <c r="V4412" s="15"/>
      <c r="W4412" s="15"/>
      <c r="X4412" s="15"/>
      <c r="Y4412" s="15"/>
      <c r="Z4412" s="15"/>
      <c r="AA4412" s="15"/>
    </row>
    <row r="4413">
      <c r="A4413" s="5" t="s">
        <v>18443</v>
      </c>
      <c r="B4413" s="292" t="str">
        <f>HYPERLINK("https://akshar-exim-company-pvt-ltd.odoo.com/web#id=22834&amp;action=152&amp;model=crm.lead&amp;view_type=form&amp;menu_id=111","C2011503")</f>
        <v>C2011503</v>
      </c>
      <c r="C4413" s="41" t="s">
        <v>18491</v>
      </c>
      <c r="D4413" s="41"/>
      <c r="E4413" s="41" t="s">
        <v>18492</v>
      </c>
      <c r="F4413" s="90">
        <v>15.0</v>
      </c>
      <c r="G4413" s="321"/>
      <c r="H4413" s="11" t="s">
        <v>44</v>
      </c>
      <c r="I4413" s="276"/>
      <c r="J4413" s="11" t="s">
        <v>25</v>
      </c>
      <c r="K4413" s="13"/>
      <c r="L4413" s="13"/>
      <c r="M4413" s="14"/>
      <c r="N4413" s="15"/>
      <c r="O4413" s="5" t="s">
        <v>10708</v>
      </c>
      <c r="P4413" s="15"/>
      <c r="Q4413" s="15"/>
      <c r="R4413" s="422"/>
      <c r="S4413" s="15"/>
      <c r="T4413" s="15"/>
      <c r="U4413" s="15"/>
      <c r="V4413" s="15"/>
      <c r="W4413" s="15"/>
      <c r="X4413" s="15"/>
      <c r="Y4413" s="15"/>
      <c r="Z4413" s="15"/>
      <c r="AA4413" s="15"/>
    </row>
    <row r="4414">
      <c r="A4414" s="5" t="s">
        <v>18443</v>
      </c>
      <c r="B4414" s="292" t="str">
        <f>HYPERLINK("https://akshar-exim-company-pvt-ltd.odoo.com/web#id=22835&amp;action=152&amp;model=crm.lead&amp;view_type=form&amp;menu_id=111","C2011502")</f>
        <v>C2011502</v>
      </c>
      <c r="C4414" s="41" t="s">
        <v>18493</v>
      </c>
      <c r="D4414" s="11"/>
      <c r="E4414" s="11" t="s">
        <v>10433</v>
      </c>
      <c r="F4414" s="90">
        <v>10.0</v>
      </c>
      <c r="G4414" s="321"/>
      <c r="H4414" s="11" t="s">
        <v>44</v>
      </c>
      <c r="I4414" s="276"/>
      <c r="J4414" s="11" t="s">
        <v>25</v>
      </c>
      <c r="K4414" s="13"/>
      <c r="L4414" s="13"/>
      <c r="M4414" s="14"/>
      <c r="N4414" s="15"/>
      <c r="O4414" s="5" t="s">
        <v>10708</v>
      </c>
      <c r="P4414" s="15"/>
      <c r="Q4414" s="15"/>
      <c r="R4414" s="422"/>
      <c r="S4414" s="15"/>
      <c r="T4414" s="15"/>
      <c r="U4414" s="15"/>
      <c r="V4414" s="15"/>
      <c r="W4414" s="15"/>
      <c r="X4414" s="15"/>
      <c r="Y4414" s="15"/>
      <c r="Z4414" s="15"/>
      <c r="AA4414" s="15"/>
    </row>
    <row r="4415">
      <c r="A4415" s="5" t="s">
        <v>18443</v>
      </c>
      <c r="B4415" s="292" t="str">
        <f>HYPERLINK("https://akshar-exim-company-pvt-ltd.odoo.com/web#id=22841&amp;action=152&amp;model=crm.lead&amp;view_type=form&amp;menu_id=111","C2011501")</f>
        <v>C2011501</v>
      </c>
      <c r="C4415" s="41" t="s">
        <v>18494</v>
      </c>
      <c r="D4415" s="405"/>
      <c r="E4415" s="405" t="s">
        <v>9050</v>
      </c>
      <c r="F4415" s="90">
        <v>500.0</v>
      </c>
      <c r="G4415" s="430"/>
      <c r="H4415" s="41" t="s">
        <v>18495</v>
      </c>
      <c r="I4415" s="423"/>
      <c r="J4415" s="14"/>
      <c r="K4415" s="12"/>
      <c r="L4415" s="12"/>
      <c r="M4415" s="11" t="s">
        <v>18496</v>
      </c>
      <c r="N4415" s="5" t="s">
        <v>18497</v>
      </c>
      <c r="O4415" s="5" t="s">
        <v>10708</v>
      </c>
      <c r="P4415" s="15"/>
      <c r="Q4415" s="15"/>
      <c r="R4415" s="422"/>
      <c r="S4415" s="15"/>
      <c r="T4415" s="15"/>
      <c r="U4415" s="15"/>
      <c r="V4415" s="15"/>
      <c r="W4415" s="15"/>
      <c r="X4415" s="15"/>
      <c r="Y4415" s="15"/>
      <c r="Z4415" s="15"/>
      <c r="AA4415" s="15"/>
    </row>
    <row r="4416">
      <c r="A4416" s="5" t="s">
        <v>18443</v>
      </c>
      <c r="B4416" s="292" t="str">
        <f>HYPERLINK("https://akshar-exim-company-pvt-ltd.odoo.com/web#id=22844&amp;action=152&amp;model=crm.lead&amp;view_type=form&amp;menu_id=111","C2011500")</f>
        <v>C2011500</v>
      </c>
      <c r="C4416" s="41" t="s">
        <v>18498</v>
      </c>
      <c r="D4416" s="41"/>
      <c r="E4416" s="41" t="s">
        <v>18248</v>
      </c>
      <c r="F4416" s="90">
        <v>500.0</v>
      </c>
      <c r="G4416" s="430"/>
      <c r="H4416" s="41" t="s">
        <v>18499</v>
      </c>
      <c r="I4416" s="97"/>
      <c r="J4416" s="41" t="s">
        <v>18182</v>
      </c>
      <c r="K4416" s="12"/>
      <c r="L4416" s="12"/>
      <c r="M4416" s="11" t="s">
        <v>14925</v>
      </c>
      <c r="N4416" s="5" t="s">
        <v>18500</v>
      </c>
      <c r="O4416" s="5" t="s">
        <v>1112</v>
      </c>
      <c r="P4416" s="15"/>
      <c r="Q4416" s="15"/>
      <c r="R4416" s="422"/>
      <c r="S4416" s="15"/>
      <c r="T4416" s="15"/>
      <c r="U4416" s="15"/>
      <c r="V4416" s="15"/>
      <c r="W4416" s="15"/>
      <c r="X4416" s="15"/>
      <c r="Y4416" s="15"/>
      <c r="Z4416" s="15"/>
      <c r="AA4416" s="15"/>
    </row>
    <row r="4417">
      <c r="A4417" s="5" t="s">
        <v>18501</v>
      </c>
      <c r="B4417" s="292" t="str">
        <f>HYPERLINK("https://akshar-exim-company-pvt-ltd.odoo.com/web#id=22814&amp;action=152&amp;model=crm.lead&amp;view_type=form&amp;menu_id=111","C2011499")</f>
        <v>C2011499</v>
      </c>
      <c r="C4417" s="41" t="s">
        <v>18502</v>
      </c>
      <c r="D4417" s="405"/>
      <c r="E4417" s="405" t="s">
        <v>16165</v>
      </c>
      <c r="F4417" s="90">
        <v>25.0</v>
      </c>
      <c r="G4417" s="430"/>
      <c r="H4417" s="41" t="s">
        <v>18503</v>
      </c>
      <c r="I4417" s="97"/>
      <c r="J4417" s="41" t="s">
        <v>18186</v>
      </c>
      <c r="K4417" s="13"/>
      <c r="L4417" s="13"/>
      <c r="M4417" s="14"/>
      <c r="N4417" s="15"/>
      <c r="O4417" s="5" t="s">
        <v>10708</v>
      </c>
      <c r="P4417" s="15"/>
      <c r="Q4417" s="15"/>
      <c r="R4417" s="422"/>
      <c r="S4417" s="15"/>
      <c r="T4417" s="15"/>
      <c r="U4417" s="15"/>
      <c r="V4417" s="15"/>
      <c r="W4417" s="15"/>
      <c r="X4417" s="15"/>
      <c r="Y4417" s="15"/>
      <c r="Z4417" s="15"/>
      <c r="AA4417" s="15"/>
    </row>
    <row r="4418">
      <c r="A4418" s="5" t="s">
        <v>18501</v>
      </c>
      <c r="B4418" s="292" t="str">
        <f>HYPERLINK("https://akshar-exim-company-pvt-ltd.odoo.com/web#id=22815&amp;action=152&amp;model=crm.lead&amp;view_type=form&amp;menu_id=111","C2011498")</f>
        <v>C2011498</v>
      </c>
      <c r="C4418" s="41" t="s">
        <v>18504</v>
      </c>
      <c r="D4418" s="41"/>
      <c r="E4418" s="41" t="s">
        <v>3165</v>
      </c>
      <c r="F4418" s="90">
        <v>500.0</v>
      </c>
      <c r="G4418" s="430"/>
      <c r="H4418" s="41" t="s">
        <v>18505</v>
      </c>
      <c r="I4418" s="276"/>
      <c r="J4418" s="11" t="s">
        <v>8773</v>
      </c>
      <c r="K4418" s="12"/>
      <c r="L4418" s="12"/>
      <c r="M4418" s="11" t="s">
        <v>18506</v>
      </c>
      <c r="N4418" s="5" t="s">
        <v>18507</v>
      </c>
      <c r="O4418" s="5" t="s">
        <v>10708</v>
      </c>
      <c r="P4418" s="15"/>
      <c r="Q4418" s="15"/>
      <c r="R4418" s="422"/>
      <c r="S4418" s="15"/>
      <c r="T4418" s="15"/>
      <c r="U4418" s="15"/>
      <c r="V4418" s="15"/>
      <c r="W4418" s="15"/>
      <c r="X4418" s="15"/>
      <c r="Y4418" s="15"/>
      <c r="Z4418" s="15"/>
      <c r="AA4418" s="15"/>
    </row>
    <row r="4419">
      <c r="A4419" s="5" t="s">
        <v>18501</v>
      </c>
      <c r="B4419" s="292" t="str">
        <f>HYPERLINK("https://akshar-exim-company-pvt-ltd.odoo.com/web#id=22811&amp;action=152&amp;model=crm.lead&amp;view_type=form&amp;menu_id=111","C2011497")</f>
        <v>C2011497</v>
      </c>
      <c r="C4419" s="41" t="s">
        <v>18508</v>
      </c>
      <c r="D4419" s="41"/>
      <c r="E4419" s="41" t="s">
        <v>10409</v>
      </c>
      <c r="F4419" s="9">
        <v>10000.0</v>
      </c>
      <c r="G4419" s="430"/>
      <c r="H4419" s="41" t="s">
        <v>18509</v>
      </c>
      <c r="I4419" s="276"/>
      <c r="J4419" s="11" t="s">
        <v>25</v>
      </c>
      <c r="K4419" s="12"/>
      <c r="L4419" s="12"/>
      <c r="M4419" s="11" t="s">
        <v>15852</v>
      </c>
      <c r="N4419" s="5" t="s">
        <v>18510</v>
      </c>
      <c r="O4419" s="5" t="s">
        <v>17993</v>
      </c>
      <c r="P4419" s="15"/>
      <c r="Q4419" s="15"/>
      <c r="R4419" s="422"/>
      <c r="S4419" s="15"/>
      <c r="T4419" s="15"/>
      <c r="U4419" s="15"/>
      <c r="V4419" s="15"/>
      <c r="W4419" s="15"/>
      <c r="X4419" s="15"/>
      <c r="Y4419" s="15"/>
      <c r="Z4419" s="15"/>
      <c r="AA4419" s="15"/>
    </row>
    <row r="4420">
      <c r="A4420" s="5" t="s">
        <v>18501</v>
      </c>
      <c r="B4420" s="292" t="str">
        <f>HYPERLINK("https://akshar-exim-company-pvt-ltd.odoo.com/web#id=22804&amp;action=152&amp;model=crm.lead&amp;view_type=form&amp;menu_id=111","C2011496")</f>
        <v>C2011496</v>
      </c>
      <c r="C4420" s="41" t="s">
        <v>18511</v>
      </c>
      <c r="D4420" s="41"/>
      <c r="E4420" s="41" t="s">
        <v>18512</v>
      </c>
      <c r="F4420" s="9">
        <v>35000.0</v>
      </c>
      <c r="G4420" s="430"/>
      <c r="H4420" s="41" t="s">
        <v>4841</v>
      </c>
      <c r="I4420" s="276"/>
      <c r="J4420" s="11" t="s">
        <v>17976</v>
      </c>
      <c r="K4420" s="12"/>
      <c r="L4420" s="12"/>
      <c r="M4420" s="11" t="s">
        <v>7904</v>
      </c>
      <c r="N4420" s="5" t="s">
        <v>18513</v>
      </c>
      <c r="O4420" s="5" t="s">
        <v>1112</v>
      </c>
      <c r="P4420" s="15"/>
      <c r="Q4420" s="15"/>
      <c r="R4420" s="422"/>
      <c r="S4420" s="15"/>
      <c r="T4420" s="15"/>
      <c r="U4420" s="15"/>
      <c r="V4420" s="15"/>
      <c r="W4420" s="15"/>
      <c r="X4420" s="15"/>
      <c r="Y4420" s="15"/>
      <c r="Z4420" s="15"/>
      <c r="AA4420" s="15"/>
    </row>
    <row r="4421">
      <c r="A4421" s="5" t="s">
        <v>18501</v>
      </c>
      <c r="B4421" s="292" t="str">
        <f>HYPERLINK("https://akshar-exim-company-pvt-ltd.odoo.com/web#id=22806&amp;action=152&amp;model=crm.lead&amp;view_type=form&amp;menu_id=111","C2011495")</f>
        <v>C2011495</v>
      </c>
      <c r="C4421" s="41" t="s">
        <v>18514</v>
      </c>
      <c r="D4421" s="41"/>
      <c r="E4421" s="41" t="s">
        <v>167</v>
      </c>
      <c r="F4421" s="90">
        <v>2500.0</v>
      </c>
      <c r="G4421" s="430"/>
      <c r="H4421" s="41" t="s">
        <v>18515</v>
      </c>
      <c r="I4421" s="276"/>
      <c r="J4421" s="11" t="s">
        <v>7109</v>
      </c>
      <c r="K4421" s="12"/>
      <c r="L4421" s="12"/>
      <c r="M4421" s="11" t="s">
        <v>7965</v>
      </c>
      <c r="N4421" s="5" t="s">
        <v>18516</v>
      </c>
      <c r="O4421" s="5" t="s">
        <v>1112</v>
      </c>
      <c r="P4421" s="15"/>
      <c r="Q4421" s="15"/>
      <c r="R4421" s="422"/>
      <c r="S4421" s="15"/>
      <c r="T4421" s="15"/>
      <c r="U4421" s="15"/>
      <c r="V4421" s="15"/>
      <c r="W4421" s="15"/>
      <c r="X4421" s="15"/>
      <c r="Y4421" s="15"/>
      <c r="Z4421" s="15"/>
      <c r="AA4421" s="15"/>
    </row>
    <row r="4422">
      <c r="A4422" s="5" t="s">
        <v>18501</v>
      </c>
      <c r="B4422" s="292" t="str">
        <f>HYPERLINK("https://akshar-exim-company-pvt-ltd.odoo.com/web#id=22803&amp;action=152&amp;model=crm.lead&amp;view_type=form&amp;menu_id=111","C2011494")</f>
        <v>C2011494</v>
      </c>
      <c r="C4422" s="41" t="s">
        <v>18517</v>
      </c>
      <c r="D4422" s="41"/>
      <c r="E4422" s="41" t="s">
        <v>18518</v>
      </c>
      <c r="F4422" s="9">
        <v>10000.0</v>
      </c>
      <c r="G4422" s="321"/>
      <c r="H4422" s="11" t="s">
        <v>44</v>
      </c>
      <c r="I4422" s="276"/>
      <c r="J4422" s="11" t="s">
        <v>25</v>
      </c>
      <c r="K4422" s="13"/>
      <c r="L4422" s="13"/>
      <c r="M4422" s="14"/>
      <c r="N4422" s="15"/>
      <c r="O4422" s="5" t="s">
        <v>1112</v>
      </c>
      <c r="P4422" s="15"/>
      <c r="Q4422" s="15"/>
      <c r="R4422" s="422"/>
      <c r="S4422" s="15"/>
      <c r="T4422" s="15"/>
      <c r="U4422" s="15"/>
      <c r="V4422" s="15"/>
      <c r="W4422" s="15"/>
      <c r="X4422" s="15"/>
      <c r="Y4422" s="15"/>
      <c r="Z4422" s="15"/>
      <c r="AA4422" s="15"/>
    </row>
    <row r="4423">
      <c r="A4423" s="5" t="s">
        <v>18501</v>
      </c>
      <c r="B4423" s="292" t="str">
        <f>HYPERLINK("https://akshar-exim-company-pvt-ltd.odoo.com/web#id=22801&amp;action=152&amp;model=crm.lead&amp;view_type=form&amp;menu_id=111","C2011493")</f>
        <v>C2011493</v>
      </c>
      <c r="C4423" s="41" t="s">
        <v>18519</v>
      </c>
      <c r="D4423" s="41"/>
      <c r="E4423" s="41" t="s">
        <v>207</v>
      </c>
      <c r="F4423" s="90">
        <v>1000.0</v>
      </c>
      <c r="G4423" s="321"/>
      <c r="H4423" s="11" t="s">
        <v>44</v>
      </c>
      <c r="I4423" s="276"/>
      <c r="J4423" s="11" t="s">
        <v>8737</v>
      </c>
      <c r="K4423" s="12"/>
      <c r="L4423" s="12"/>
      <c r="M4423" s="11" t="s">
        <v>9445</v>
      </c>
      <c r="N4423" s="5" t="s">
        <v>18520</v>
      </c>
      <c r="O4423" s="5" t="s">
        <v>1112</v>
      </c>
      <c r="P4423" s="15"/>
      <c r="Q4423" s="15"/>
      <c r="R4423" s="422"/>
      <c r="S4423" s="15"/>
      <c r="T4423" s="15"/>
      <c r="U4423" s="15"/>
      <c r="V4423" s="15"/>
      <c r="W4423" s="15"/>
      <c r="X4423" s="15"/>
      <c r="Y4423" s="15"/>
      <c r="Z4423" s="15"/>
      <c r="AA4423" s="15"/>
    </row>
    <row r="4424">
      <c r="A4424" s="5" t="s">
        <v>18501</v>
      </c>
      <c r="B4424" s="292" t="str">
        <f>HYPERLINK("https://akshar-exim-company-pvt-ltd.odoo.com/web#id=22797&amp;action=152&amp;model=crm.lead&amp;view_type=form&amp;menu_id=111","C2011492")</f>
        <v>C2011492</v>
      </c>
      <c r="C4424" s="41" t="s">
        <v>17681</v>
      </c>
      <c r="D4424" s="405"/>
      <c r="E4424" s="405" t="s">
        <v>18521</v>
      </c>
      <c r="F4424" s="90">
        <v>20.0</v>
      </c>
      <c r="G4424" s="430"/>
      <c r="H4424" s="41" t="s">
        <v>981</v>
      </c>
      <c r="I4424" s="423"/>
      <c r="J4424" s="14"/>
      <c r="K4424" s="13"/>
      <c r="L4424" s="13"/>
      <c r="M4424" s="14"/>
      <c r="N4424" s="15"/>
      <c r="O4424" s="5" t="s">
        <v>10708</v>
      </c>
      <c r="P4424" s="15"/>
      <c r="Q4424" s="15"/>
      <c r="R4424" s="422"/>
      <c r="S4424" s="15"/>
      <c r="T4424" s="15"/>
      <c r="U4424" s="15"/>
      <c r="V4424" s="15"/>
      <c r="W4424" s="15"/>
      <c r="X4424" s="15"/>
      <c r="Y4424" s="15"/>
      <c r="Z4424" s="15"/>
      <c r="AA4424" s="15"/>
    </row>
    <row r="4425">
      <c r="A4425" s="5" t="s">
        <v>18501</v>
      </c>
      <c r="B4425" s="292" t="str">
        <f>HYPERLINK("https://akshar-exim-company-pvt-ltd.odoo.com/web#id=22794&amp;action=152&amp;model=crm.lead&amp;view_type=form&amp;menu_id=111","C2011491")</f>
        <v>C2011491</v>
      </c>
      <c r="C4425" s="41" t="s">
        <v>18522</v>
      </c>
      <c r="D4425" s="41"/>
      <c r="E4425" s="41" t="s">
        <v>18523</v>
      </c>
      <c r="F4425" s="90">
        <v>15.0</v>
      </c>
      <c r="G4425" s="321"/>
      <c r="H4425" s="11" t="s">
        <v>44</v>
      </c>
      <c r="I4425" s="97"/>
      <c r="J4425" s="41" t="s">
        <v>18182</v>
      </c>
      <c r="K4425" s="13"/>
      <c r="L4425" s="13"/>
      <c r="M4425" s="14"/>
      <c r="N4425" s="15"/>
      <c r="O4425" s="5" t="s">
        <v>10708</v>
      </c>
      <c r="P4425" s="15"/>
      <c r="Q4425" s="15"/>
      <c r="R4425" s="422"/>
      <c r="S4425" s="15"/>
      <c r="T4425" s="15"/>
      <c r="U4425" s="15"/>
      <c r="V4425" s="15"/>
      <c r="W4425" s="15"/>
      <c r="X4425" s="15"/>
      <c r="Y4425" s="15"/>
      <c r="Z4425" s="15"/>
      <c r="AA4425" s="15"/>
    </row>
    <row r="4426">
      <c r="A4426" s="5" t="s">
        <v>18501</v>
      </c>
      <c r="B4426" s="292" t="str">
        <f>HYPERLINK("https://akshar-exim-company-pvt-ltd.odoo.com/web#id=22792&amp;action=152&amp;model=crm.lead&amp;view_type=form&amp;menu_id=111","C2011490")</f>
        <v>C2011490</v>
      </c>
      <c r="C4426" s="41" t="s">
        <v>18524</v>
      </c>
      <c r="D4426" s="41"/>
      <c r="E4426" s="41" t="s">
        <v>189</v>
      </c>
      <c r="F4426" s="90">
        <v>5000.0</v>
      </c>
      <c r="G4426" s="430"/>
      <c r="H4426" s="41" t="s">
        <v>18525</v>
      </c>
      <c r="I4426" s="97"/>
      <c r="J4426" s="41" t="s">
        <v>18526</v>
      </c>
      <c r="K4426" s="12"/>
      <c r="L4426" s="12"/>
      <c r="M4426" s="11" t="s">
        <v>8860</v>
      </c>
      <c r="N4426" s="5" t="s">
        <v>18527</v>
      </c>
      <c r="O4426" s="5" t="s">
        <v>1112</v>
      </c>
      <c r="P4426" s="15"/>
      <c r="Q4426" s="15"/>
      <c r="R4426" s="422"/>
      <c r="S4426" s="15"/>
      <c r="T4426" s="15"/>
      <c r="U4426" s="15"/>
      <c r="V4426" s="15"/>
      <c r="W4426" s="15"/>
      <c r="X4426" s="15"/>
      <c r="Y4426" s="15"/>
      <c r="Z4426" s="15"/>
      <c r="AA4426" s="15"/>
    </row>
    <row r="4427">
      <c r="A4427" s="5" t="s">
        <v>18501</v>
      </c>
      <c r="B4427" s="292" t="str">
        <f>HYPERLINK("https://akshar-exim-company-pvt-ltd.odoo.com/web#id=22791&amp;action=152&amp;model=crm.lead&amp;view_type=form&amp;menu_id=111","C2011489")</f>
        <v>C2011489</v>
      </c>
      <c r="C4427" s="41" t="s">
        <v>18528</v>
      </c>
      <c r="D4427" s="405"/>
      <c r="E4427" s="405" t="s">
        <v>1749</v>
      </c>
      <c r="F4427" s="90">
        <v>5.0</v>
      </c>
      <c r="G4427" s="430"/>
      <c r="H4427" s="41" t="s">
        <v>18529</v>
      </c>
      <c r="I4427" s="423"/>
      <c r="J4427" s="14"/>
      <c r="K4427" s="13"/>
      <c r="L4427" s="13"/>
      <c r="M4427" s="14"/>
      <c r="N4427" s="15"/>
      <c r="O4427" s="5" t="s">
        <v>10708</v>
      </c>
      <c r="P4427" s="15"/>
      <c r="Q4427" s="15"/>
      <c r="R4427" s="422"/>
      <c r="S4427" s="15"/>
      <c r="T4427" s="15"/>
      <c r="U4427" s="15"/>
      <c r="V4427" s="15"/>
      <c r="W4427" s="15"/>
      <c r="X4427" s="15"/>
      <c r="Y4427" s="15"/>
      <c r="Z4427" s="15"/>
      <c r="AA4427" s="15"/>
    </row>
    <row r="4428">
      <c r="A4428" s="5" t="s">
        <v>18501</v>
      </c>
      <c r="B4428" s="292" t="str">
        <f>HYPERLINK("https://akshar-exim-company-pvt-ltd.odoo.com/web#id=22779&amp;action=152&amp;model=crm.lead&amp;view_type=form&amp;menu_id=111","C2011488")</f>
        <v>C2011488</v>
      </c>
      <c r="C4428" s="41" t="s">
        <v>18530</v>
      </c>
      <c r="D4428" s="41"/>
      <c r="E4428" s="41" t="s">
        <v>10433</v>
      </c>
      <c r="F4428" s="90">
        <v>1.0</v>
      </c>
      <c r="G4428" s="321"/>
      <c r="H4428" s="11" t="s">
        <v>44</v>
      </c>
      <c r="I4428" s="97"/>
      <c r="J4428" s="41" t="s">
        <v>17109</v>
      </c>
      <c r="K4428" s="13"/>
      <c r="L4428" s="13"/>
      <c r="M4428" s="14"/>
      <c r="N4428" s="15"/>
      <c r="O4428" s="5" t="s">
        <v>10708</v>
      </c>
      <c r="P4428" s="15"/>
      <c r="Q4428" s="15"/>
      <c r="R4428" s="422"/>
      <c r="S4428" s="15"/>
      <c r="T4428" s="15"/>
      <c r="U4428" s="15"/>
      <c r="V4428" s="15"/>
      <c r="W4428" s="15"/>
      <c r="X4428" s="15"/>
      <c r="Y4428" s="15"/>
      <c r="Z4428" s="15"/>
      <c r="AA4428" s="15"/>
    </row>
    <row r="4429">
      <c r="A4429" s="5" t="s">
        <v>18501</v>
      </c>
      <c r="B4429" s="292" t="str">
        <f>HYPERLINK("https://akshar-exim-company-pvt-ltd.odoo.com/web#id=22785&amp;action=152&amp;model=crm.lead&amp;view_type=form&amp;menu_id=111","C2011487")</f>
        <v>C2011487</v>
      </c>
      <c r="C4429" s="41" t="s">
        <v>18531</v>
      </c>
      <c r="D4429" s="41"/>
      <c r="E4429" s="41" t="s">
        <v>18311</v>
      </c>
      <c r="F4429" s="90">
        <v>100.0</v>
      </c>
      <c r="G4429" s="430"/>
      <c r="H4429" s="41" t="s">
        <v>18532</v>
      </c>
      <c r="I4429" s="97"/>
      <c r="J4429" s="41" t="s">
        <v>18182</v>
      </c>
      <c r="K4429" s="13"/>
      <c r="L4429" s="13"/>
      <c r="M4429" s="14"/>
      <c r="N4429" s="15"/>
      <c r="O4429" s="5" t="s">
        <v>10708</v>
      </c>
      <c r="P4429" s="15"/>
      <c r="Q4429" s="15"/>
      <c r="R4429" s="422"/>
      <c r="S4429" s="15"/>
      <c r="T4429" s="15"/>
      <c r="U4429" s="15"/>
      <c r="V4429" s="15"/>
      <c r="W4429" s="15"/>
      <c r="X4429" s="15"/>
      <c r="Y4429" s="15"/>
      <c r="Z4429" s="15"/>
      <c r="AA4429" s="15"/>
    </row>
    <row r="4430">
      <c r="A4430" s="5" t="s">
        <v>18501</v>
      </c>
      <c r="B4430" s="292" t="str">
        <f>HYPERLINK("https://akshar-exim-company-pvt-ltd.odoo.com/web#id=22617&amp;action=152&amp;model=crm.lead&amp;view_type=form&amp;menu_id=111","C2011486")</f>
        <v>C2011486</v>
      </c>
      <c r="C4430" s="41" t="s">
        <v>18471</v>
      </c>
      <c r="D4430" s="405"/>
      <c r="E4430" s="405" t="s">
        <v>4171</v>
      </c>
      <c r="F4430" s="90">
        <v>1000.0</v>
      </c>
      <c r="G4430" s="430"/>
      <c r="H4430" s="41" t="s">
        <v>18472</v>
      </c>
      <c r="I4430" s="423"/>
      <c r="J4430" s="14"/>
      <c r="K4430" s="12"/>
      <c r="L4430" s="12"/>
      <c r="M4430" s="11" t="s">
        <v>15366</v>
      </c>
      <c r="N4430" s="5" t="s">
        <v>18533</v>
      </c>
      <c r="O4430" s="5" t="s">
        <v>17993</v>
      </c>
      <c r="P4430" s="15"/>
      <c r="Q4430" s="15"/>
      <c r="R4430" s="422"/>
      <c r="S4430" s="15"/>
      <c r="T4430" s="15"/>
      <c r="U4430" s="15"/>
      <c r="V4430" s="15"/>
      <c r="W4430" s="15"/>
      <c r="X4430" s="15"/>
      <c r="Y4430" s="15"/>
      <c r="Z4430" s="15"/>
      <c r="AA4430" s="15"/>
    </row>
    <row r="4431">
      <c r="A4431" s="5" t="s">
        <v>18501</v>
      </c>
      <c r="B4431" s="292" t="str">
        <f>HYPERLINK("https://akshar-exim-company-pvt-ltd.odoo.com/web#id=22622&amp;action=152&amp;model=crm.lead&amp;view_type=form&amp;menu_id=111","C2011485")</f>
        <v>C2011485</v>
      </c>
      <c r="C4431" s="41" t="s">
        <v>18534</v>
      </c>
      <c r="D4431" s="41"/>
      <c r="E4431" s="41" t="s">
        <v>18535</v>
      </c>
      <c r="F4431" s="90">
        <v>5.0</v>
      </c>
      <c r="G4431" s="321"/>
      <c r="H4431" s="11" t="s">
        <v>158</v>
      </c>
      <c r="I4431" s="97"/>
      <c r="J4431" s="41" t="s">
        <v>9772</v>
      </c>
      <c r="K4431" s="13"/>
      <c r="L4431" s="13"/>
      <c r="M4431" s="14"/>
      <c r="N4431" s="15"/>
      <c r="O4431" s="5" t="s">
        <v>10708</v>
      </c>
      <c r="P4431" s="15"/>
      <c r="Q4431" s="15"/>
      <c r="R4431" s="422"/>
      <c r="S4431" s="15"/>
      <c r="T4431" s="15"/>
      <c r="U4431" s="15"/>
      <c r="V4431" s="15"/>
      <c r="W4431" s="15"/>
      <c r="X4431" s="15"/>
      <c r="Y4431" s="15"/>
      <c r="Z4431" s="15"/>
      <c r="AA4431" s="15"/>
    </row>
    <row r="4432">
      <c r="A4432" s="5" t="s">
        <v>18501</v>
      </c>
      <c r="B4432" s="292" t="str">
        <f>HYPERLINK("https://akshar-exim-company-pvt-ltd.odoo.com/web#id=22626&amp;action=152&amp;model=crm.lead&amp;view_type=form&amp;menu_id=111","C2011484")</f>
        <v>C2011484</v>
      </c>
      <c r="C4432" s="40" t="s">
        <v>18536</v>
      </c>
      <c r="D4432" s="11"/>
      <c r="E4432" s="11" t="s">
        <v>1749</v>
      </c>
      <c r="F4432" s="90">
        <v>3.0</v>
      </c>
      <c r="G4432" s="321"/>
      <c r="H4432" s="11" t="s">
        <v>44</v>
      </c>
      <c r="I4432" s="423"/>
      <c r="J4432" s="14"/>
      <c r="K4432" s="13"/>
      <c r="L4432" s="13"/>
      <c r="M4432" s="14"/>
      <c r="N4432" s="15"/>
      <c r="O4432" s="5" t="s">
        <v>10708</v>
      </c>
      <c r="P4432" s="15"/>
      <c r="Q4432" s="15"/>
      <c r="R4432" s="422"/>
      <c r="S4432" s="15"/>
      <c r="T4432" s="15"/>
      <c r="U4432" s="15"/>
      <c r="V4432" s="15"/>
      <c r="W4432" s="15"/>
      <c r="X4432" s="15"/>
      <c r="Y4432" s="15"/>
      <c r="Z4432" s="15"/>
      <c r="AA4432" s="15"/>
    </row>
    <row r="4433">
      <c r="A4433" s="5" t="s">
        <v>18501</v>
      </c>
      <c r="B4433" s="292" t="str">
        <f>HYPERLINK("https://akshar-exim-company-pvt-ltd.odoo.com/web#id=22624&amp;action=152&amp;model=crm.lead&amp;view_type=form&amp;menu_id=111","C2011483")</f>
        <v>C2011483</v>
      </c>
      <c r="C4433" s="41" t="s">
        <v>18537</v>
      </c>
      <c r="D4433" s="41"/>
      <c r="E4433" s="41" t="s">
        <v>18538</v>
      </c>
      <c r="F4433" s="90">
        <v>100.0</v>
      </c>
      <c r="G4433" s="430"/>
      <c r="H4433" s="41" t="s">
        <v>18483</v>
      </c>
      <c r="I4433" s="97"/>
      <c r="J4433" s="41" t="s">
        <v>18182</v>
      </c>
      <c r="K4433" s="13"/>
      <c r="L4433" s="13"/>
      <c r="M4433" s="14"/>
      <c r="N4433" s="15"/>
      <c r="O4433" s="5" t="s">
        <v>10708</v>
      </c>
      <c r="P4433" s="15"/>
      <c r="Q4433" s="15"/>
      <c r="R4433" s="422"/>
      <c r="S4433" s="15"/>
      <c r="T4433" s="15"/>
      <c r="U4433" s="15"/>
      <c r="V4433" s="15"/>
      <c r="W4433" s="15"/>
      <c r="X4433" s="15"/>
      <c r="Y4433" s="15"/>
      <c r="Z4433" s="15"/>
      <c r="AA4433" s="15"/>
    </row>
    <row r="4434">
      <c r="A4434" s="5" t="s">
        <v>18501</v>
      </c>
      <c r="B4434" s="292" t="str">
        <f>HYPERLINK("https://akshar-exim-company-pvt-ltd.odoo.com/web#id=22627&amp;action=152&amp;model=crm.lead&amp;view_type=form&amp;menu_id=111","C2011482")</f>
        <v>C2011482</v>
      </c>
      <c r="C4434" s="41" t="s">
        <v>18539</v>
      </c>
      <c r="D4434" s="41"/>
      <c r="E4434" s="41" t="s">
        <v>18540</v>
      </c>
      <c r="F4434" s="90">
        <v>1.0</v>
      </c>
      <c r="G4434" s="430"/>
      <c r="H4434" s="41" t="s">
        <v>4650</v>
      </c>
      <c r="I4434" s="276"/>
      <c r="J4434" s="11" t="s">
        <v>17976</v>
      </c>
      <c r="K4434" s="13"/>
      <c r="L4434" s="13"/>
      <c r="M4434" s="14"/>
      <c r="N4434" s="15"/>
      <c r="O4434" s="5" t="s">
        <v>10708</v>
      </c>
      <c r="P4434" s="15"/>
      <c r="Q4434" s="15"/>
      <c r="R4434" s="422"/>
      <c r="S4434" s="15"/>
      <c r="T4434" s="15"/>
      <c r="U4434" s="15"/>
      <c r="V4434" s="15"/>
      <c r="W4434" s="15"/>
      <c r="X4434" s="15"/>
      <c r="Y4434" s="15"/>
      <c r="Z4434" s="15"/>
      <c r="AA4434" s="15"/>
    </row>
    <row r="4435">
      <c r="A4435" s="5" t="s">
        <v>18501</v>
      </c>
      <c r="B4435" s="292" t="str">
        <f>HYPERLINK("https://akshar-exim-company-pvt-ltd.odoo.com/web#id=22628&amp;action=152&amp;model=crm.lead&amp;view_type=form&amp;menu_id=111","C2011481")</f>
        <v>C2011481</v>
      </c>
      <c r="C4435" s="41" t="s">
        <v>18541</v>
      </c>
      <c r="D4435" s="41"/>
      <c r="E4435" s="41" t="s">
        <v>18542</v>
      </c>
      <c r="F4435" s="90">
        <v>50.0</v>
      </c>
      <c r="G4435" s="321"/>
      <c r="H4435" s="11" t="s">
        <v>278</v>
      </c>
      <c r="I4435" s="276"/>
      <c r="J4435" s="11" t="s">
        <v>18182</v>
      </c>
      <c r="K4435" s="13"/>
      <c r="L4435" s="13"/>
      <c r="M4435" s="14"/>
      <c r="N4435" s="15"/>
      <c r="O4435" s="5" t="s">
        <v>10708</v>
      </c>
      <c r="P4435" s="15"/>
      <c r="Q4435" s="15"/>
      <c r="R4435" s="422"/>
      <c r="S4435" s="15"/>
      <c r="T4435" s="15"/>
      <c r="U4435" s="15"/>
      <c r="V4435" s="15"/>
      <c r="W4435" s="15"/>
      <c r="X4435" s="15"/>
      <c r="Y4435" s="15"/>
      <c r="Z4435" s="15"/>
      <c r="AA4435" s="15"/>
    </row>
    <row r="4436">
      <c r="A4436" s="5" t="s">
        <v>18501</v>
      </c>
      <c r="B4436" s="292" t="str">
        <f>HYPERLINK("https://akshar-exim-company-pvt-ltd.odoo.com/web#id=22629&amp;action=152&amp;model=crm.lead&amp;view_type=form&amp;menu_id=111","C2011480")</f>
        <v>C2011480</v>
      </c>
      <c r="C4436" s="41" t="s">
        <v>18543</v>
      </c>
      <c r="D4436" s="41"/>
      <c r="E4436" s="41" t="s">
        <v>523</v>
      </c>
      <c r="F4436" s="90">
        <v>1.0</v>
      </c>
      <c r="G4436" s="321"/>
      <c r="H4436" s="11" t="s">
        <v>158</v>
      </c>
      <c r="I4436" s="276"/>
      <c r="J4436" s="11" t="s">
        <v>18182</v>
      </c>
      <c r="K4436" s="13"/>
      <c r="L4436" s="13"/>
      <c r="M4436" s="14"/>
      <c r="N4436" s="15"/>
      <c r="O4436" s="5" t="s">
        <v>10708</v>
      </c>
      <c r="P4436" s="15"/>
      <c r="Q4436" s="15"/>
      <c r="R4436" s="422"/>
      <c r="S4436" s="15"/>
      <c r="T4436" s="15"/>
      <c r="U4436" s="15"/>
      <c r="V4436" s="15"/>
      <c r="W4436" s="15"/>
      <c r="X4436" s="15"/>
      <c r="Y4436" s="15"/>
      <c r="Z4436" s="15"/>
      <c r="AA4436" s="15"/>
    </row>
    <row r="4437">
      <c r="A4437" s="5" t="s">
        <v>18501</v>
      </c>
      <c r="B4437" s="292" t="str">
        <f>HYPERLINK("https://akshar-exim-company-pvt-ltd.odoo.com/web#id=22633&amp;action=152&amp;model=crm.lead&amp;view_type=form&amp;menu_id=111","C2011479")</f>
        <v>C2011479</v>
      </c>
      <c r="C4437" s="41" t="s">
        <v>18544</v>
      </c>
      <c r="D4437" s="41"/>
      <c r="E4437" s="41" t="s">
        <v>116</v>
      </c>
      <c r="F4437" s="90">
        <v>2.0</v>
      </c>
      <c r="G4437" s="321"/>
      <c r="H4437" s="11" t="s">
        <v>1461</v>
      </c>
      <c r="I4437" s="97"/>
      <c r="J4437" s="41" t="s">
        <v>18182</v>
      </c>
      <c r="K4437" s="13"/>
      <c r="L4437" s="13"/>
      <c r="M4437" s="14"/>
      <c r="N4437" s="15"/>
      <c r="O4437" s="5" t="s">
        <v>10708</v>
      </c>
      <c r="P4437" s="15"/>
      <c r="Q4437" s="15"/>
      <c r="R4437" s="422"/>
      <c r="S4437" s="15"/>
      <c r="T4437" s="15"/>
      <c r="U4437" s="15"/>
      <c r="V4437" s="15"/>
      <c r="W4437" s="15"/>
      <c r="X4437" s="15"/>
      <c r="Y4437" s="15"/>
      <c r="Z4437" s="15"/>
      <c r="AA4437" s="15"/>
    </row>
    <row r="4438">
      <c r="A4438" s="5" t="s">
        <v>18501</v>
      </c>
      <c r="B4438" s="292" t="str">
        <f>HYPERLINK("https://akshar-exim-company-pvt-ltd.odoo.com/web#id=22634&amp;action=152&amp;model=crm.lead&amp;view_type=form&amp;menu_id=111","C2011478")</f>
        <v>C2011478</v>
      </c>
      <c r="C4438" s="41" t="s">
        <v>18545</v>
      </c>
      <c r="D4438" s="41"/>
      <c r="E4438" s="41" t="s">
        <v>523</v>
      </c>
      <c r="F4438" s="90">
        <v>25.0</v>
      </c>
      <c r="G4438" s="430"/>
      <c r="H4438" s="41" t="s">
        <v>7995</v>
      </c>
      <c r="I4438" s="97"/>
      <c r="J4438" s="41" t="s">
        <v>9772</v>
      </c>
      <c r="K4438" s="13"/>
      <c r="L4438" s="13"/>
      <c r="M4438" s="14"/>
      <c r="N4438" s="15"/>
      <c r="O4438" s="5" t="s">
        <v>10708</v>
      </c>
      <c r="P4438" s="15"/>
      <c r="Q4438" s="15"/>
      <c r="R4438" s="422"/>
      <c r="S4438" s="15"/>
      <c r="T4438" s="15"/>
      <c r="U4438" s="15"/>
      <c r="V4438" s="15"/>
      <c r="W4438" s="15"/>
      <c r="X4438" s="15"/>
      <c r="Y4438" s="15"/>
      <c r="Z4438" s="15"/>
      <c r="AA4438" s="15"/>
    </row>
    <row r="4439">
      <c r="A4439" s="5" t="s">
        <v>18501</v>
      </c>
      <c r="B4439" s="292" t="str">
        <f>HYPERLINK("https://akshar-exim-company-pvt-ltd.odoo.com/web#id=22641&amp;action=152&amp;model=crm.lead&amp;view_type=form&amp;menu_id=111","C2011477")</f>
        <v>C2011477</v>
      </c>
      <c r="C4439" s="41" t="s">
        <v>18546</v>
      </c>
      <c r="D4439" s="41"/>
      <c r="E4439" s="41" t="s">
        <v>5293</v>
      </c>
      <c r="F4439" s="90">
        <v>25.0</v>
      </c>
      <c r="G4439" s="430"/>
      <c r="H4439" s="41" t="s">
        <v>18483</v>
      </c>
      <c r="I4439" s="97"/>
      <c r="J4439" s="41" t="s">
        <v>18182</v>
      </c>
      <c r="K4439" s="13"/>
      <c r="L4439" s="13"/>
      <c r="M4439" s="14"/>
      <c r="N4439" s="15"/>
      <c r="O4439" s="5" t="s">
        <v>10708</v>
      </c>
      <c r="P4439" s="15"/>
      <c r="Q4439" s="15"/>
      <c r="R4439" s="422"/>
      <c r="S4439" s="15"/>
      <c r="T4439" s="15"/>
      <c r="U4439" s="15"/>
      <c r="V4439" s="15"/>
      <c r="W4439" s="15"/>
      <c r="X4439" s="15"/>
      <c r="Y4439" s="15"/>
      <c r="Z4439" s="15"/>
      <c r="AA4439" s="15"/>
    </row>
    <row r="4440">
      <c r="A4440" s="5" t="s">
        <v>18501</v>
      </c>
      <c r="B4440" s="292" t="str">
        <f>HYPERLINK("https://akshar-exim-company-pvt-ltd.odoo.com/web#id=22752&amp;action=152&amp;model=crm.lead&amp;view_type=form&amp;menu_id=111","C2011476")</f>
        <v>C2011476</v>
      </c>
      <c r="C4440" s="41" t="s">
        <v>18547</v>
      </c>
      <c r="D4440" s="41"/>
      <c r="E4440" s="41" t="s">
        <v>18548</v>
      </c>
      <c r="F4440" s="9">
        <v>20000.0</v>
      </c>
      <c r="G4440" s="430"/>
      <c r="H4440" s="41" t="s">
        <v>4641</v>
      </c>
      <c r="I4440" s="423"/>
      <c r="J4440" s="14"/>
      <c r="K4440" s="12"/>
      <c r="L4440" s="12"/>
      <c r="M4440" s="11" t="s">
        <v>18549</v>
      </c>
      <c r="N4440" s="5" t="s">
        <v>18550</v>
      </c>
      <c r="O4440" s="5" t="s">
        <v>10708</v>
      </c>
      <c r="P4440" s="15"/>
      <c r="Q4440" s="15"/>
      <c r="R4440" s="422"/>
      <c r="S4440" s="15"/>
      <c r="T4440" s="15"/>
      <c r="U4440" s="15"/>
      <c r="V4440" s="15"/>
      <c r="W4440" s="15"/>
      <c r="X4440" s="15"/>
      <c r="Y4440" s="15"/>
      <c r="Z4440" s="15"/>
      <c r="AA4440" s="15"/>
    </row>
    <row r="4441">
      <c r="A4441" s="5" t="s">
        <v>18501</v>
      </c>
      <c r="B4441" s="292" t="str">
        <f>HYPERLINK("https://akshar-exim-company-pvt-ltd.odoo.com/web#id=22755&amp;action=152&amp;model=crm.lead&amp;view_type=form&amp;menu_id=111","C2011475")</f>
        <v>C2011475</v>
      </c>
      <c r="C4441" s="41" t="s">
        <v>18551</v>
      </c>
      <c r="D4441" s="405"/>
      <c r="E4441" s="405" t="s">
        <v>18084</v>
      </c>
      <c r="F4441" s="90">
        <v>100.0</v>
      </c>
      <c r="G4441" s="430"/>
      <c r="H4441" s="41" t="s">
        <v>18552</v>
      </c>
      <c r="I4441" s="97"/>
      <c r="J4441" s="41" t="s">
        <v>18182</v>
      </c>
      <c r="K4441" s="13"/>
      <c r="L4441" s="13"/>
      <c r="M4441" s="14"/>
      <c r="N4441" s="15"/>
      <c r="O4441" s="5" t="s">
        <v>10708</v>
      </c>
      <c r="P4441" s="15"/>
      <c r="Q4441" s="15"/>
      <c r="R4441" s="422"/>
      <c r="S4441" s="15"/>
      <c r="T4441" s="15"/>
      <c r="U4441" s="15"/>
      <c r="V4441" s="15"/>
      <c r="W4441" s="15"/>
      <c r="X4441" s="15"/>
      <c r="Y4441" s="15"/>
      <c r="Z4441" s="15"/>
      <c r="AA4441" s="15"/>
    </row>
    <row r="4442">
      <c r="A4442" s="5" t="s">
        <v>18501</v>
      </c>
      <c r="B4442" s="292" t="str">
        <f>HYPERLINK("https://akshar-exim-company-pvt-ltd.odoo.com/web#id=22756&amp;action=152&amp;model=crm.lead&amp;view_type=form&amp;menu_id=111","C2011474")</f>
        <v>C2011474</v>
      </c>
      <c r="C4442" s="41" t="s">
        <v>18553</v>
      </c>
      <c r="D4442" s="41"/>
      <c r="E4442" s="41" t="s">
        <v>130</v>
      </c>
      <c r="F4442" s="90">
        <v>1000.0</v>
      </c>
      <c r="G4442" s="430"/>
      <c r="H4442" s="41" t="s">
        <v>18554</v>
      </c>
      <c r="I4442" s="97"/>
      <c r="J4442" s="41" t="s">
        <v>18182</v>
      </c>
      <c r="K4442" s="12"/>
      <c r="L4442" s="12"/>
      <c r="M4442" s="11" t="s">
        <v>7952</v>
      </c>
      <c r="N4442" s="5" t="s">
        <v>18555</v>
      </c>
      <c r="O4442" s="5" t="s">
        <v>17993</v>
      </c>
      <c r="P4442" s="15"/>
      <c r="Q4442" s="15"/>
      <c r="R4442" s="422"/>
      <c r="S4442" s="15"/>
      <c r="T4442" s="15"/>
      <c r="U4442" s="15"/>
      <c r="V4442" s="15"/>
      <c r="W4442" s="15"/>
      <c r="X4442" s="15"/>
      <c r="Y4442" s="15"/>
      <c r="Z4442" s="15"/>
      <c r="AA4442" s="15"/>
    </row>
    <row r="4443">
      <c r="A4443" s="5" t="s">
        <v>18501</v>
      </c>
      <c r="B4443" s="292" t="str">
        <f>HYPERLINK("https://akshar-exim-company-pvt-ltd.odoo.com/web#id=22757&amp;action=152&amp;model=crm.lead&amp;view_type=form&amp;menu_id=111","C2011473")</f>
        <v>C2011473</v>
      </c>
      <c r="C4443" s="41" t="s">
        <v>7112</v>
      </c>
      <c r="D4443" s="41"/>
      <c r="E4443" s="41" t="s">
        <v>18556</v>
      </c>
      <c r="F4443" s="90">
        <v>5.0</v>
      </c>
      <c r="G4443" s="321"/>
      <c r="H4443" s="11" t="s">
        <v>44</v>
      </c>
      <c r="I4443" s="97"/>
      <c r="J4443" s="41" t="s">
        <v>18182</v>
      </c>
      <c r="K4443" s="13"/>
      <c r="L4443" s="13"/>
      <c r="M4443" s="14"/>
      <c r="N4443" s="15"/>
      <c r="O4443" s="5" t="s">
        <v>10708</v>
      </c>
      <c r="P4443" s="15"/>
      <c r="Q4443" s="15"/>
      <c r="R4443" s="422"/>
      <c r="S4443" s="15"/>
      <c r="T4443" s="15"/>
      <c r="U4443" s="15"/>
      <c r="V4443" s="15"/>
      <c r="W4443" s="15"/>
      <c r="X4443" s="15"/>
      <c r="Y4443" s="15"/>
      <c r="Z4443" s="15"/>
      <c r="AA4443" s="15"/>
    </row>
    <row r="4444">
      <c r="A4444" s="5" t="s">
        <v>18501</v>
      </c>
      <c r="B4444" s="292" t="str">
        <f>HYPERLINK("https://akshar-exim-company-pvt-ltd.odoo.com/web#id=22758&amp;action=152&amp;model=crm.lead&amp;view_type=form&amp;menu_id=111","C2011472")</f>
        <v>C2011472</v>
      </c>
      <c r="C4444" s="41" t="s">
        <v>18557</v>
      </c>
      <c r="D4444" s="405"/>
      <c r="E4444" s="405" t="s">
        <v>17178</v>
      </c>
      <c r="F4444" s="90">
        <v>7500.0</v>
      </c>
      <c r="G4444" s="430"/>
      <c r="H4444" s="41" t="s">
        <v>18558</v>
      </c>
      <c r="I4444" s="423"/>
      <c r="J4444" s="14"/>
      <c r="K4444" s="12"/>
      <c r="L4444" s="12"/>
      <c r="M4444" s="11" t="s">
        <v>18559</v>
      </c>
      <c r="N4444" s="5" t="s">
        <v>18560</v>
      </c>
      <c r="O4444" s="5" t="s">
        <v>17993</v>
      </c>
      <c r="P4444" s="15"/>
      <c r="Q4444" s="15"/>
      <c r="R4444" s="422"/>
      <c r="S4444" s="15"/>
      <c r="T4444" s="15"/>
      <c r="U4444" s="15"/>
      <c r="V4444" s="15"/>
      <c r="W4444" s="15"/>
      <c r="X4444" s="15"/>
      <c r="Y4444" s="15"/>
      <c r="Z4444" s="15"/>
      <c r="AA4444" s="15"/>
    </row>
    <row r="4445">
      <c r="A4445" s="5" t="s">
        <v>18501</v>
      </c>
      <c r="B4445" s="292" t="str">
        <f>HYPERLINK("https://akshar-exim-company-pvt-ltd.odoo.com/web#id=22765&amp;action=152&amp;model=crm.lead&amp;view_type=form&amp;menu_id=111","C2011471")</f>
        <v>C2011471</v>
      </c>
      <c r="C4445" s="40" t="s">
        <v>18561</v>
      </c>
      <c r="D4445" s="405"/>
      <c r="E4445" s="405" t="s">
        <v>10508</v>
      </c>
      <c r="F4445" s="9">
        <v>10000.0</v>
      </c>
      <c r="G4445" s="321"/>
      <c r="H4445" s="11" t="s">
        <v>44</v>
      </c>
      <c r="I4445" s="276"/>
      <c r="J4445" s="11" t="s">
        <v>18182</v>
      </c>
      <c r="K4445" s="12"/>
      <c r="L4445" s="12"/>
      <c r="M4445" s="11" t="s">
        <v>14117</v>
      </c>
      <c r="N4445" s="5" t="s">
        <v>18562</v>
      </c>
      <c r="O4445" s="5" t="s">
        <v>1112</v>
      </c>
      <c r="P4445" s="15"/>
      <c r="Q4445" s="15"/>
      <c r="R4445" s="422"/>
      <c r="S4445" s="15"/>
      <c r="T4445" s="15"/>
      <c r="U4445" s="15"/>
      <c r="V4445" s="15"/>
      <c r="W4445" s="15"/>
      <c r="X4445" s="15"/>
      <c r="Y4445" s="15"/>
      <c r="Z4445" s="15"/>
      <c r="AA4445" s="15"/>
    </row>
    <row r="4446">
      <c r="A4446" s="5" t="s">
        <v>18501</v>
      </c>
      <c r="B4446" s="292" t="str">
        <f>HYPERLINK("https://akshar-exim-company-pvt-ltd.odoo.com/web#id=22768&amp;action=152&amp;model=crm.lead&amp;view_type=form&amp;menu_id=111","C2011470")</f>
        <v>C2011470</v>
      </c>
      <c r="C4446" s="41" t="s">
        <v>18563</v>
      </c>
      <c r="D4446" s="11"/>
      <c r="E4446" s="11" t="s">
        <v>18564</v>
      </c>
      <c r="F4446" s="90">
        <v>2.0</v>
      </c>
      <c r="G4446" s="321"/>
      <c r="H4446" s="11" t="s">
        <v>44</v>
      </c>
      <c r="I4446" s="276"/>
      <c r="J4446" s="11" t="s">
        <v>18182</v>
      </c>
      <c r="K4446" s="13"/>
      <c r="L4446" s="13"/>
      <c r="M4446" s="14"/>
      <c r="N4446" s="15"/>
      <c r="O4446" s="5" t="s">
        <v>10708</v>
      </c>
      <c r="P4446" s="15"/>
      <c r="Q4446" s="15"/>
      <c r="R4446" s="422"/>
      <c r="S4446" s="15"/>
      <c r="T4446" s="15"/>
      <c r="U4446" s="15"/>
      <c r="V4446" s="15"/>
      <c r="W4446" s="15"/>
      <c r="X4446" s="15"/>
      <c r="Y4446" s="15"/>
      <c r="Z4446" s="15"/>
      <c r="AA4446" s="15"/>
    </row>
    <row r="4447">
      <c r="A4447" s="5" t="s">
        <v>18501</v>
      </c>
      <c r="B4447" s="292" t="str">
        <f>HYPERLINK("https://akshar-exim-company-pvt-ltd.odoo.com/web#id=22771&amp;action=152&amp;model=crm.lead&amp;view_type=form&amp;menu_id=111","C2011469")</f>
        <v>C2011469</v>
      </c>
      <c r="C4447" s="41" t="s">
        <v>18565</v>
      </c>
      <c r="D4447" s="405"/>
      <c r="E4447" s="405" t="s">
        <v>18566</v>
      </c>
      <c r="F4447" s="9">
        <v>25000.0</v>
      </c>
      <c r="G4447" s="321"/>
      <c r="H4447" s="11" t="s">
        <v>906</v>
      </c>
      <c r="I4447" s="276"/>
      <c r="J4447" s="11" t="s">
        <v>18182</v>
      </c>
      <c r="K4447" s="13"/>
      <c r="L4447" s="13"/>
      <c r="M4447" s="14"/>
      <c r="N4447" s="15"/>
      <c r="O4447" s="5" t="s">
        <v>17993</v>
      </c>
      <c r="P4447" s="15"/>
      <c r="Q4447" s="15"/>
      <c r="R4447" s="422"/>
      <c r="S4447" s="15"/>
      <c r="T4447" s="15"/>
      <c r="U4447" s="15"/>
      <c r="V4447" s="15"/>
      <c r="W4447" s="15"/>
      <c r="X4447" s="15"/>
      <c r="Y4447" s="15"/>
      <c r="Z4447" s="15"/>
      <c r="AA4447" s="15"/>
    </row>
    <row r="4448">
      <c r="A4448" s="5" t="s">
        <v>18501</v>
      </c>
      <c r="B4448" s="292" t="str">
        <f>HYPERLINK("https://akshar-exim-company-pvt-ltd.odoo.com/web#id=22772&amp;action=152&amp;model=crm.lead&amp;view_type=form&amp;menu_id=111","C2011468")</f>
        <v>C2011468</v>
      </c>
      <c r="C4448" s="41" t="s">
        <v>474</v>
      </c>
      <c r="D4448" s="41"/>
      <c r="E4448" s="41" t="s">
        <v>106</v>
      </c>
      <c r="F4448" s="90">
        <v>50.0</v>
      </c>
      <c r="G4448" s="321"/>
      <c r="H4448" s="11" t="s">
        <v>638</v>
      </c>
      <c r="I4448" s="97"/>
      <c r="J4448" s="41" t="s">
        <v>18182</v>
      </c>
      <c r="K4448" s="13"/>
      <c r="L4448" s="13"/>
      <c r="M4448" s="14"/>
      <c r="N4448" s="15"/>
      <c r="O4448" s="5" t="s">
        <v>10708</v>
      </c>
      <c r="P4448" s="15"/>
      <c r="Q4448" s="15"/>
      <c r="R4448" s="422"/>
      <c r="S4448" s="15"/>
      <c r="T4448" s="15"/>
      <c r="U4448" s="15"/>
      <c r="V4448" s="15"/>
      <c r="W4448" s="15"/>
      <c r="X4448" s="15"/>
      <c r="Y4448" s="15"/>
      <c r="Z4448" s="15"/>
      <c r="AA4448" s="15"/>
    </row>
    <row r="4449">
      <c r="A4449" s="5" t="s">
        <v>18501</v>
      </c>
      <c r="B4449" s="292" t="str">
        <f>HYPERLINK("https://akshar-exim-company-pvt-ltd.odoo.com/web#id=22773&amp;action=152&amp;model=crm.lead&amp;view_type=form&amp;menu_id=111","C2011467")</f>
        <v>C2011467</v>
      </c>
      <c r="C4449" s="41" t="s">
        <v>18567</v>
      </c>
      <c r="D4449" s="41"/>
      <c r="E4449" s="41" t="s">
        <v>9187</v>
      </c>
      <c r="F4449" s="90">
        <v>1000.0</v>
      </c>
      <c r="G4449" s="321"/>
      <c r="H4449" s="11" t="s">
        <v>349</v>
      </c>
      <c r="I4449" s="276"/>
      <c r="J4449" s="11" t="s">
        <v>17976</v>
      </c>
      <c r="K4449" s="12"/>
      <c r="L4449" s="12"/>
      <c r="M4449" s="11" t="s">
        <v>7965</v>
      </c>
      <c r="N4449" s="5" t="s">
        <v>18568</v>
      </c>
      <c r="O4449" s="5" t="s">
        <v>1112</v>
      </c>
      <c r="P4449" s="15"/>
      <c r="Q4449" s="15"/>
      <c r="R4449" s="422"/>
      <c r="S4449" s="15"/>
      <c r="T4449" s="15"/>
      <c r="U4449" s="15"/>
      <c r="V4449" s="15"/>
      <c r="W4449" s="15"/>
      <c r="X4449" s="15"/>
      <c r="Y4449" s="15"/>
      <c r="Z4449" s="15"/>
      <c r="AA4449" s="15"/>
    </row>
    <row r="4450">
      <c r="A4450" s="5" t="s">
        <v>18501</v>
      </c>
      <c r="B4450" s="292" t="str">
        <f>HYPERLINK("https://akshar-exim-company-pvt-ltd.odoo.com/web#id=22774&amp;action=152&amp;model=crm.lead&amp;view_type=form&amp;menu_id=111","C2011466")</f>
        <v>C2011466</v>
      </c>
      <c r="C4450" s="41" t="s">
        <v>18569</v>
      </c>
      <c r="D4450" s="405"/>
      <c r="E4450" s="405" t="s">
        <v>357</v>
      </c>
      <c r="F4450" s="90">
        <v>100.0</v>
      </c>
      <c r="G4450" s="321"/>
      <c r="H4450" s="11" t="s">
        <v>906</v>
      </c>
      <c r="I4450" s="423"/>
      <c r="J4450" s="14"/>
      <c r="K4450" s="13"/>
      <c r="L4450" s="13"/>
      <c r="M4450" s="14"/>
      <c r="N4450" s="15"/>
      <c r="O4450" s="5" t="s">
        <v>10708</v>
      </c>
      <c r="P4450" s="15"/>
      <c r="Q4450" s="15"/>
      <c r="R4450" s="422"/>
      <c r="S4450" s="15"/>
      <c r="T4450" s="15"/>
      <c r="U4450" s="15"/>
      <c r="V4450" s="15"/>
      <c r="W4450" s="15"/>
      <c r="X4450" s="15"/>
      <c r="Y4450" s="15"/>
      <c r="Z4450" s="15"/>
      <c r="AA4450" s="15"/>
    </row>
    <row r="4451">
      <c r="A4451" s="5" t="s">
        <v>18501</v>
      </c>
      <c r="B4451" s="292" t="str">
        <f>HYPERLINK("https://akshar-exim-company-pvt-ltd.odoo.com/web#id=22777&amp;action=152&amp;model=crm.lead&amp;view_type=form&amp;menu_id=111","C2011465")</f>
        <v>C2011465</v>
      </c>
      <c r="C4451" s="41" t="s">
        <v>18570</v>
      </c>
      <c r="D4451" s="405"/>
      <c r="E4451" s="405" t="s">
        <v>5502</v>
      </c>
      <c r="F4451" s="90" t="s">
        <v>18571</v>
      </c>
      <c r="G4451" s="430"/>
      <c r="H4451" s="41" t="s">
        <v>1919</v>
      </c>
      <c r="I4451" s="276"/>
      <c r="J4451" s="11" t="s">
        <v>18572</v>
      </c>
      <c r="K4451" s="13"/>
      <c r="L4451" s="13"/>
      <c r="M4451" s="14"/>
      <c r="N4451" s="15"/>
      <c r="O4451" s="5" t="s">
        <v>10708</v>
      </c>
      <c r="P4451" s="15"/>
      <c r="Q4451" s="15"/>
      <c r="R4451" s="422"/>
      <c r="S4451" s="15"/>
      <c r="T4451" s="15"/>
      <c r="U4451" s="15"/>
      <c r="V4451" s="15"/>
      <c r="W4451" s="15"/>
      <c r="X4451" s="15"/>
      <c r="Y4451" s="15"/>
      <c r="Z4451" s="15"/>
      <c r="AA4451" s="15"/>
    </row>
    <row r="4452">
      <c r="A4452" s="5" t="s">
        <v>18573</v>
      </c>
      <c r="B4452" s="292" t="str">
        <f>HYPERLINK("https://akshar-exim-company-pvt-ltd.odoo.com/web#id=22751&amp;action=152&amp;model=crm.lead&amp;view_type=form&amp;menu_id=111","C2011464")</f>
        <v>C2011464</v>
      </c>
      <c r="C4452" s="41" t="s">
        <v>18574</v>
      </c>
      <c r="D4452" s="41"/>
      <c r="E4452" s="41" t="s">
        <v>18113</v>
      </c>
      <c r="F4452" s="90">
        <v>100.0</v>
      </c>
      <c r="G4452" s="430"/>
      <c r="H4452" s="41" t="s">
        <v>18575</v>
      </c>
      <c r="I4452" s="97"/>
      <c r="J4452" s="41" t="s">
        <v>18182</v>
      </c>
      <c r="K4452" s="13"/>
      <c r="L4452" s="13"/>
      <c r="M4452" s="14"/>
      <c r="N4452" s="15"/>
      <c r="O4452" s="5" t="s">
        <v>10708</v>
      </c>
      <c r="P4452" s="15"/>
      <c r="Q4452" s="15"/>
      <c r="R4452" s="422"/>
      <c r="S4452" s="15"/>
      <c r="T4452" s="15"/>
      <c r="U4452" s="15"/>
      <c r="V4452" s="15"/>
      <c r="W4452" s="15"/>
      <c r="X4452" s="15"/>
      <c r="Y4452" s="15"/>
      <c r="Z4452" s="15"/>
      <c r="AA4452" s="15"/>
    </row>
    <row r="4453">
      <c r="A4453" s="5" t="s">
        <v>18573</v>
      </c>
      <c r="B4453" s="292" t="str">
        <f>HYPERLINK("https://akshar-exim-company-pvt-ltd.odoo.com/web#id=22748&amp;action=152&amp;model=crm.lead&amp;view_type=form&amp;menu_id=111","C2011463")</f>
        <v>C2011463</v>
      </c>
      <c r="C4453" s="41" t="s">
        <v>18576</v>
      </c>
      <c r="D4453" s="405"/>
      <c r="E4453" s="405" t="s">
        <v>10913</v>
      </c>
      <c r="F4453" s="90">
        <v>1.0</v>
      </c>
      <c r="G4453" s="321"/>
      <c r="H4453" s="11" t="s">
        <v>44</v>
      </c>
      <c r="I4453" s="423"/>
      <c r="J4453" s="14"/>
      <c r="K4453" s="13"/>
      <c r="L4453" s="13"/>
      <c r="M4453" s="14"/>
      <c r="N4453" s="15"/>
      <c r="O4453" s="5" t="s">
        <v>10708</v>
      </c>
      <c r="P4453" s="15"/>
      <c r="Q4453" s="15"/>
      <c r="R4453" s="422"/>
      <c r="S4453" s="15"/>
      <c r="T4453" s="15"/>
      <c r="U4453" s="15"/>
      <c r="V4453" s="15"/>
      <c r="W4453" s="15"/>
      <c r="X4453" s="15"/>
      <c r="Y4453" s="15"/>
      <c r="Z4453" s="15"/>
      <c r="AA4453" s="15"/>
    </row>
    <row r="4454">
      <c r="A4454" s="5" t="s">
        <v>18573</v>
      </c>
      <c r="B4454" s="292" t="str">
        <f>HYPERLINK("https://akshar-exim-company-pvt-ltd.odoo.com/web#id=22740&amp;action=152&amp;model=crm.lead&amp;view_type=form&amp;menu_id=111","C2011462")</f>
        <v>C2011462</v>
      </c>
      <c r="C4454" s="41" t="s">
        <v>16205</v>
      </c>
      <c r="D4454" s="11"/>
      <c r="E4454" s="11" t="s">
        <v>7897</v>
      </c>
      <c r="F4454" s="90">
        <v>1000.0</v>
      </c>
      <c r="G4454" s="430"/>
      <c r="H4454" s="41" t="s">
        <v>18577</v>
      </c>
      <c r="I4454" s="276"/>
      <c r="J4454" s="11" t="s">
        <v>25</v>
      </c>
      <c r="K4454" s="12"/>
      <c r="L4454" s="12"/>
      <c r="M4454" s="11" t="s">
        <v>7718</v>
      </c>
      <c r="N4454" s="5" t="s">
        <v>18578</v>
      </c>
      <c r="O4454" s="5" t="s">
        <v>17993</v>
      </c>
      <c r="P4454" s="15"/>
      <c r="Q4454" s="15"/>
      <c r="R4454" s="422"/>
      <c r="S4454" s="15"/>
      <c r="T4454" s="15"/>
      <c r="U4454" s="15"/>
      <c r="V4454" s="15"/>
      <c r="W4454" s="15"/>
      <c r="X4454" s="15"/>
      <c r="Y4454" s="15"/>
      <c r="Z4454" s="15"/>
      <c r="AA4454" s="15"/>
    </row>
    <row r="4455">
      <c r="A4455" s="5" t="s">
        <v>18573</v>
      </c>
      <c r="B4455" s="292" t="str">
        <f>HYPERLINK("https://akshar-exim-company-pvt-ltd.odoo.com/web#id=22738&amp;action=152&amp;model=crm.lead&amp;view_type=form&amp;menu_id=111","C2011461")</f>
        <v>C2011461</v>
      </c>
      <c r="C4455" s="41" t="s">
        <v>18579</v>
      </c>
      <c r="D4455" s="41"/>
      <c r="E4455" s="41" t="s">
        <v>9187</v>
      </c>
      <c r="F4455" s="90">
        <v>100.0</v>
      </c>
      <c r="G4455" s="430"/>
      <c r="H4455" s="41" t="s">
        <v>18580</v>
      </c>
      <c r="I4455" s="276"/>
      <c r="J4455" s="11" t="s">
        <v>25</v>
      </c>
      <c r="K4455" s="13"/>
      <c r="L4455" s="13"/>
      <c r="M4455" s="14"/>
      <c r="N4455" s="15"/>
      <c r="O4455" s="5" t="s">
        <v>10708</v>
      </c>
      <c r="P4455" s="15"/>
      <c r="Q4455" s="15"/>
      <c r="R4455" s="422"/>
      <c r="S4455" s="15"/>
      <c r="T4455" s="15"/>
      <c r="U4455" s="15"/>
      <c r="V4455" s="15"/>
      <c r="W4455" s="15"/>
      <c r="X4455" s="15"/>
      <c r="Y4455" s="15"/>
      <c r="Z4455" s="15"/>
      <c r="AA4455" s="15"/>
    </row>
    <row r="4456">
      <c r="A4456" s="5" t="s">
        <v>18573</v>
      </c>
      <c r="B4456" s="292" t="str">
        <f>HYPERLINK("https://akshar-exim-company-pvt-ltd.odoo.com/web#id=22648&amp;action=152&amp;model=crm.lead&amp;view_type=form&amp;menu_id=111","C2011460")</f>
        <v>C2011460</v>
      </c>
      <c r="C4456" s="41" t="s">
        <v>18581</v>
      </c>
      <c r="D4456" s="41"/>
      <c r="E4456" s="41" t="s">
        <v>18582</v>
      </c>
      <c r="F4456" s="90">
        <v>50.0</v>
      </c>
      <c r="G4456" s="321"/>
      <c r="H4456" s="11" t="s">
        <v>44</v>
      </c>
      <c r="I4456" s="423"/>
      <c r="J4456" s="14"/>
      <c r="K4456" s="13"/>
      <c r="L4456" s="13"/>
      <c r="M4456" s="14"/>
      <c r="N4456" s="15"/>
      <c r="O4456" s="5" t="s">
        <v>10708</v>
      </c>
      <c r="P4456" s="15"/>
      <c r="Q4456" s="15"/>
      <c r="R4456" s="422"/>
      <c r="S4456" s="15"/>
      <c r="T4456" s="15"/>
      <c r="U4456" s="15"/>
      <c r="V4456" s="15"/>
      <c r="W4456" s="15"/>
      <c r="X4456" s="15"/>
      <c r="Y4456" s="15"/>
      <c r="Z4456" s="15"/>
      <c r="AA4456" s="15"/>
    </row>
    <row r="4457">
      <c r="A4457" s="5" t="s">
        <v>18573</v>
      </c>
      <c r="B4457" s="292" t="str">
        <f>HYPERLINK("https://akshar-exim-company-pvt-ltd.odoo.com/web#id=22646&amp;action=152&amp;model=crm.lead&amp;view_type=form&amp;menu_id=111","C2011459")</f>
        <v>C2011459</v>
      </c>
      <c r="C4457" s="41" t="s">
        <v>18583</v>
      </c>
      <c r="D4457" s="11"/>
      <c r="E4457" s="11" t="s">
        <v>18584</v>
      </c>
      <c r="F4457" s="90">
        <v>100.0</v>
      </c>
      <c r="G4457" s="321"/>
      <c r="H4457" s="11" t="s">
        <v>3861</v>
      </c>
      <c r="I4457" s="276"/>
      <c r="J4457" s="11" t="s">
        <v>9536</v>
      </c>
      <c r="K4457" s="13"/>
      <c r="L4457" s="13"/>
      <c r="M4457" s="14"/>
      <c r="N4457" s="15"/>
      <c r="O4457" s="5" t="s">
        <v>10708</v>
      </c>
      <c r="P4457" s="15"/>
      <c r="Q4457" s="15"/>
      <c r="R4457" s="422"/>
      <c r="S4457" s="15"/>
      <c r="T4457" s="15"/>
      <c r="U4457" s="15"/>
      <c r="V4457" s="15"/>
      <c r="W4457" s="15"/>
      <c r="X4457" s="15"/>
      <c r="Y4457" s="15"/>
      <c r="Z4457" s="15"/>
      <c r="AA4457" s="15"/>
    </row>
    <row r="4458">
      <c r="A4458" s="5" t="s">
        <v>18573</v>
      </c>
      <c r="B4458" s="292" t="str">
        <f>HYPERLINK("https://akshar-exim-company-pvt-ltd.odoo.com/web#id=22645&amp;action=152&amp;model=crm.lead&amp;view_type=form&amp;menu_id=111","C2011458")</f>
        <v>C2011458</v>
      </c>
      <c r="C4458" s="41" t="s">
        <v>18585</v>
      </c>
      <c r="D4458" s="405"/>
      <c r="E4458" s="405" t="s">
        <v>10433</v>
      </c>
      <c r="F4458" s="90">
        <v>1.0</v>
      </c>
      <c r="G4458" s="321"/>
      <c r="H4458" s="11" t="s">
        <v>507</v>
      </c>
      <c r="I4458" s="276"/>
      <c r="J4458" s="11" t="s">
        <v>25</v>
      </c>
      <c r="K4458" s="13"/>
      <c r="L4458" s="13"/>
      <c r="M4458" s="14"/>
      <c r="N4458" s="15"/>
      <c r="O4458" s="5" t="s">
        <v>10708</v>
      </c>
      <c r="P4458" s="15"/>
      <c r="Q4458" s="15"/>
      <c r="R4458" s="422"/>
      <c r="S4458" s="15"/>
      <c r="T4458" s="15"/>
      <c r="U4458" s="15"/>
      <c r="V4458" s="15"/>
      <c r="W4458" s="15"/>
      <c r="X4458" s="15"/>
      <c r="Y4458" s="15"/>
      <c r="Z4458" s="15"/>
      <c r="AA4458" s="15"/>
    </row>
    <row r="4459">
      <c r="A4459" s="5" t="s">
        <v>18573</v>
      </c>
      <c r="B4459" s="292" t="str">
        <f>HYPERLINK("https://akshar-exim-company-pvt-ltd.odoo.com/web#id=22737&amp;action=152&amp;model=crm.lead&amp;view_type=form&amp;menu_id=111","C2011457")</f>
        <v>C2011457</v>
      </c>
      <c r="C4459" s="41" t="s">
        <v>18586</v>
      </c>
      <c r="D4459" s="41"/>
      <c r="E4459" s="41" t="s">
        <v>167</v>
      </c>
      <c r="F4459" s="90">
        <v>200.0</v>
      </c>
      <c r="G4459" s="321"/>
      <c r="H4459" s="11" t="s">
        <v>507</v>
      </c>
      <c r="I4459" s="276"/>
      <c r="J4459" s="11" t="s">
        <v>14563</v>
      </c>
      <c r="K4459" s="12"/>
      <c r="L4459" s="12"/>
      <c r="M4459" s="11" t="s">
        <v>7904</v>
      </c>
      <c r="N4459" s="5" t="s">
        <v>18587</v>
      </c>
      <c r="O4459" s="5" t="s">
        <v>17993</v>
      </c>
      <c r="P4459" s="15"/>
      <c r="Q4459" s="15"/>
      <c r="R4459" s="422"/>
      <c r="S4459" s="15"/>
      <c r="T4459" s="15"/>
      <c r="U4459" s="15"/>
      <c r="V4459" s="15"/>
      <c r="W4459" s="15"/>
      <c r="X4459" s="15"/>
      <c r="Y4459" s="15"/>
      <c r="Z4459" s="15"/>
      <c r="AA4459" s="15"/>
    </row>
    <row r="4460">
      <c r="A4460" s="5" t="s">
        <v>18573</v>
      </c>
      <c r="B4460" s="292" t="str">
        <f>HYPERLINK("https://akshar-exim-company-pvt-ltd.odoo.com/web#id=22733&amp;action=152&amp;model=crm.lead&amp;view_type=form&amp;menu_id=111","C2011456")</f>
        <v>C2011456</v>
      </c>
      <c r="C4460" s="41" t="s">
        <v>4273</v>
      </c>
      <c r="D4460" s="405"/>
      <c r="E4460" s="405" t="s">
        <v>18588</v>
      </c>
      <c r="F4460" s="90">
        <v>5.0</v>
      </c>
      <c r="G4460" s="430"/>
      <c r="H4460" s="41" t="s">
        <v>44</v>
      </c>
      <c r="I4460" s="97"/>
      <c r="J4460" s="41" t="s">
        <v>18182</v>
      </c>
      <c r="K4460" s="13"/>
      <c r="L4460" s="13"/>
      <c r="M4460" s="14"/>
      <c r="N4460" s="15"/>
      <c r="O4460" s="5" t="s">
        <v>10708</v>
      </c>
      <c r="P4460" s="15"/>
      <c r="Q4460" s="15"/>
      <c r="R4460" s="422"/>
      <c r="S4460" s="15"/>
      <c r="T4460" s="15"/>
      <c r="U4460" s="15"/>
      <c r="V4460" s="15"/>
      <c r="W4460" s="15"/>
      <c r="X4460" s="15"/>
      <c r="Y4460" s="15"/>
      <c r="Z4460" s="15"/>
      <c r="AA4460" s="15"/>
    </row>
    <row r="4461">
      <c r="A4461" s="5" t="s">
        <v>18573</v>
      </c>
      <c r="B4461" s="292" t="str">
        <f>HYPERLINK("https://akshar-exim-company-pvt-ltd.odoo.com/web#id=22658&amp;action=152&amp;model=crm.lead&amp;view_type=form&amp;menu_id=111","C2011455")</f>
        <v>C2011455</v>
      </c>
      <c r="C4461" s="41" t="s">
        <v>18589</v>
      </c>
      <c r="D4461" s="405"/>
      <c r="E4461" s="405" t="s">
        <v>10433</v>
      </c>
      <c r="F4461" s="90">
        <v>1.0</v>
      </c>
      <c r="G4461" s="430"/>
      <c r="H4461" s="41" t="s">
        <v>8054</v>
      </c>
      <c r="I4461" s="276"/>
      <c r="J4461" s="11" t="s">
        <v>17976</v>
      </c>
      <c r="K4461" s="13"/>
      <c r="L4461" s="13"/>
      <c r="M4461" s="14"/>
      <c r="N4461" s="15"/>
      <c r="O4461" s="5" t="s">
        <v>10708</v>
      </c>
      <c r="P4461" s="15"/>
      <c r="Q4461" s="15"/>
      <c r="R4461" s="422"/>
      <c r="S4461" s="15"/>
      <c r="T4461" s="15"/>
      <c r="U4461" s="15"/>
      <c r="V4461" s="15"/>
      <c r="W4461" s="15"/>
      <c r="X4461" s="15"/>
      <c r="Y4461" s="15"/>
      <c r="Z4461" s="15"/>
      <c r="AA4461" s="15"/>
    </row>
    <row r="4462">
      <c r="A4462" s="5" t="s">
        <v>18573</v>
      </c>
      <c r="B4462" s="292" t="str">
        <f>HYPERLINK("https://akshar-exim-company-pvt-ltd.odoo.com/web#id=22657&amp;action=152&amp;model=crm.lead&amp;view_type=form&amp;menu_id=111","C2011454")</f>
        <v>C2011454</v>
      </c>
      <c r="C4462" s="41" t="s">
        <v>15062</v>
      </c>
      <c r="D4462" s="41"/>
      <c r="E4462" s="41" t="s">
        <v>18314</v>
      </c>
      <c r="F4462" s="90">
        <v>5.0</v>
      </c>
      <c r="G4462" s="321"/>
      <c r="H4462" s="11" t="s">
        <v>1640</v>
      </c>
      <c r="I4462" s="97"/>
      <c r="J4462" s="41" t="s">
        <v>18182</v>
      </c>
      <c r="K4462" s="13"/>
      <c r="L4462" s="13"/>
      <c r="M4462" s="14"/>
      <c r="N4462" s="15"/>
      <c r="O4462" s="5" t="s">
        <v>10708</v>
      </c>
      <c r="P4462" s="15"/>
      <c r="Q4462" s="15"/>
      <c r="R4462" s="422"/>
      <c r="S4462" s="15"/>
      <c r="T4462" s="15"/>
      <c r="U4462" s="15"/>
      <c r="V4462" s="15"/>
      <c r="W4462" s="15"/>
      <c r="X4462" s="15"/>
      <c r="Y4462" s="15"/>
      <c r="Z4462" s="15"/>
      <c r="AA4462" s="15"/>
    </row>
    <row r="4463">
      <c r="A4463" s="5" t="s">
        <v>18573</v>
      </c>
      <c r="B4463" s="292" t="str">
        <f>HYPERLINK("https://akshar-exim-company-pvt-ltd.odoo.com/web#id=22656&amp;action=152&amp;model=crm.lead&amp;view_type=form&amp;menu_id=111","C2011453")</f>
        <v>C2011453</v>
      </c>
      <c r="C4463" s="41" t="s">
        <v>18590</v>
      </c>
      <c r="D4463" s="41"/>
      <c r="E4463" s="41" t="s">
        <v>15007</v>
      </c>
      <c r="F4463" s="90">
        <v>2.0</v>
      </c>
      <c r="G4463" s="321"/>
      <c r="H4463" s="11" t="s">
        <v>44</v>
      </c>
      <c r="I4463" s="97"/>
      <c r="J4463" s="41" t="s">
        <v>18591</v>
      </c>
      <c r="K4463" s="13"/>
      <c r="L4463" s="13"/>
      <c r="M4463" s="14"/>
      <c r="N4463" s="15"/>
      <c r="O4463" s="5" t="s">
        <v>10708</v>
      </c>
      <c r="P4463" s="15"/>
      <c r="Q4463" s="15"/>
      <c r="R4463" s="422"/>
      <c r="S4463" s="15"/>
      <c r="T4463" s="15"/>
      <c r="U4463" s="15"/>
      <c r="V4463" s="15"/>
      <c r="W4463" s="15"/>
      <c r="X4463" s="15"/>
      <c r="Y4463" s="15"/>
      <c r="Z4463" s="15"/>
      <c r="AA4463" s="15"/>
    </row>
    <row r="4464">
      <c r="A4464" s="5" t="s">
        <v>18573</v>
      </c>
      <c r="B4464" s="292" t="str">
        <f>HYPERLINK("https://akshar-exim-company-pvt-ltd.odoo.com/web#id=22654&amp;action=152&amp;model=crm.lead&amp;view_type=form&amp;menu_id=111","C2011452")</f>
        <v>C2011452</v>
      </c>
      <c r="C4464" s="41" t="s">
        <v>18592</v>
      </c>
      <c r="D4464" s="41"/>
      <c r="E4464" s="41" t="s">
        <v>18593</v>
      </c>
      <c r="F4464" s="90">
        <v>5.0</v>
      </c>
      <c r="G4464" s="430"/>
      <c r="H4464" s="41" t="s">
        <v>507</v>
      </c>
      <c r="I4464" s="97"/>
      <c r="J4464" s="41" t="s">
        <v>17109</v>
      </c>
      <c r="K4464" s="13"/>
      <c r="L4464" s="13"/>
      <c r="M4464" s="14"/>
      <c r="N4464" s="15"/>
      <c r="O4464" s="5" t="s">
        <v>10708</v>
      </c>
      <c r="P4464" s="15"/>
      <c r="Q4464" s="15"/>
      <c r="R4464" s="422"/>
      <c r="S4464" s="15"/>
      <c r="T4464" s="15"/>
      <c r="U4464" s="15"/>
      <c r="V4464" s="15"/>
      <c r="W4464" s="15"/>
      <c r="X4464" s="15"/>
      <c r="Y4464" s="15"/>
      <c r="Z4464" s="15"/>
      <c r="AA4464" s="15"/>
    </row>
    <row r="4465">
      <c r="A4465" s="5" t="s">
        <v>18573</v>
      </c>
      <c r="B4465" s="292" t="str">
        <f>HYPERLINK("https://akshar-exim-company-pvt-ltd.odoo.com/web#id=22652&amp;action=152&amp;model=crm.lead&amp;view_type=form&amp;menu_id=111","C2011451")</f>
        <v>C2011451</v>
      </c>
      <c r="C4465" s="41" t="s">
        <v>15306</v>
      </c>
      <c r="D4465" s="41"/>
      <c r="E4465" s="41" t="s">
        <v>130</v>
      </c>
      <c r="F4465" s="90">
        <v>10.0</v>
      </c>
      <c r="G4465" s="430"/>
      <c r="H4465" s="41" t="s">
        <v>3844</v>
      </c>
      <c r="I4465" s="97"/>
      <c r="J4465" s="41" t="s">
        <v>18182</v>
      </c>
      <c r="K4465" s="13"/>
      <c r="L4465" s="13"/>
      <c r="M4465" s="14"/>
      <c r="N4465" s="15"/>
      <c r="O4465" s="5" t="s">
        <v>10708</v>
      </c>
      <c r="P4465" s="15"/>
      <c r="Q4465" s="15"/>
      <c r="R4465" s="422"/>
      <c r="S4465" s="15"/>
      <c r="T4465" s="15"/>
      <c r="U4465" s="15"/>
      <c r="V4465" s="15"/>
      <c r="W4465" s="15"/>
      <c r="X4465" s="15"/>
      <c r="Y4465" s="15"/>
      <c r="Z4465" s="15"/>
      <c r="AA4465" s="15"/>
    </row>
    <row r="4466">
      <c r="A4466" s="5" t="s">
        <v>18573</v>
      </c>
      <c r="B4466" s="292" t="str">
        <f>HYPERLINK("https://akshar-exim-company-pvt-ltd.odoo.com/web#id=22729&amp;action=152&amp;model=crm.lead&amp;view_type=form&amp;menu_id=111","C2011450")</f>
        <v>C2011450</v>
      </c>
      <c r="C4466" s="41" t="s">
        <v>10640</v>
      </c>
      <c r="D4466" s="11"/>
      <c r="E4466" s="11" t="s">
        <v>213</v>
      </c>
      <c r="F4466" s="90">
        <v>10.0</v>
      </c>
      <c r="G4466" s="321"/>
      <c r="H4466" s="11" t="s">
        <v>18594</v>
      </c>
      <c r="I4466" s="276"/>
      <c r="J4466" s="11" t="s">
        <v>12978</v>
      </c>
      <c r="K4466" s="13"/>
      <c r="L4466" s="13"/>
      <c r="M4466" s="14"/>
      <c r="N4466" s="15"/>
      <c r="O4466" s="5" t="s">
        <v>10708</v>
      </c>
      <c r="P4466" s="15"/>
      <c r="Q4466" s="15"/>
      <c r="R4466" s="422"/>
      <c r="S4466" s="15"/>
      <c r="T4466" s="15"/>
      <c r="U4466" s="15"/>
      <c r="V4466" s="15"/>
      <c r="W4466" s="15"/>
      <c r="X4466" s="15"/>
      <c r="Y4466" s="15"/>
      <c r="Z4466" s="15"/>
      <c r="AA4466" s="15"/>
    </row>
    <row r="4467">
      <c r="A4467" s="5" t="s">
        <v>18573</v>
      </c>
      <c r="B4467" s="292" t="str">
        <f>HYPERLINK("https://akshar-exim-company-pvt-ltd.odoo.com/web#id=22728&amp;action=152&amp;model=crm.lead&amp;view_type=form&amp;menu_id=111","C2011449")</f>
        <v>C2011449</v>
      </c>
      <c r="C4467" s="41" t="s">
        <v>18595</v>
      </c>
      <c r="D4467" s="405"/>
      <c r="E4467" s="405" t="s">
        <v>18596</v>
      </c>
      <c r="F4467" s="90">
        <v>5.0</v>
      </c>
      <c r="G4467" s="321"/>
      <c r="H4467" s="11" t="s">
        <v>906</v>
      </c>
      <c r="I4467" s="97"/>
      <c r="J4467" s="41" t="s">
        <v>17109</v>
      </c>
      <c r="K4467" s="13"/>
      <c r="L4467" s="13"/>
      <c r="M4467" s="14"/>
      <c r="N4467" s="15"/>
      <c r="O4467" s="5" t="s">
        <v>10708</v>
      </c>
      <c r="P4467" s="15"/>
      <c r="Q4467" s="15"/>
      <c r="R4467" s="422"/>
      <c r="S4467" s="15"/>
      <c r="T4467" s="15"/>
      <c r="U4467" s="15"/>
      <c r="V4467" s="15"/>
      <c r="W4467" s="15"/>
      <c r="X4467" s="15"/>
      <c r="Y4467" s="15"/>
      <c r="Z4467" s="15"/>
      <c r="AA4467" s="15"/>
    </row>
    <row r="4468">
      <c r="A4468" s="5" t="s">
        <v>18573</v>
      </c>
      <c r="B4468" s="292" t="str">
        <f>HYPERLINK("https://akshar-exim-company-pvt-ltd.odoo.com/web#id=22724&amp;action=152&amp;model=crm.lead&amp;view_type=form&amp;menu_id=111","C2011448")</f>
        <v>C2011448</v>
      </c>
      <c r="C4468" s="41" t="s">
        <v>18597</v>
      </c>
      <c r="D4468" s="41"/>
      <c r="E4468" s="41" t="s">
        <v>189</v>
      </c>
      <c r="F4468" s="9">
        <v>20000.0</v>
      </c>
      <c r="G4468" s="321"/>
      <c r="H4468" s="11" t="s">
        <v>18598</v>
      </c>
      <c r="I4468" s="276"/>
      <c r="J4468" s="11" t="s">
        <v>25</v>
      </c>
      <c r="K4468" s="12"/>
      <c r="L4468" s="12"/>
      <c r="M4468" s="11" t="s">
        <v>8860</v>
      </c>
      <c r="N4468" s="5" t="s">
        <v>18599</v>
      </c>
      <c r="O4468" s="5" t="s">
        <v>1112</v>
      </c>
      <c r="P4468" s="15"/>
      <c r="Q4468" s="15"/>
      <c r="R4468" s="422"/>
      <c r="S4468" s="15"/>
      <c r="T4468" s="15"/>
      <c r="U4468" s="15"/>
      <c r="V4468" s="15"/>
      <c r="W4468" s="15"/>
      <c r="X4468" s="15"/>
      <c r="Y4468" s="15"/>
      <c r="Z4468" s="15"/>
      <c r="AA4468" s="15"/>
    </row>
    <row r="4469">
      <c r="A4469" s="5" t="s">
        <v>18573</v>
      </c>
      <c r="B4469" s="292" t="str">
        <f>HYPERLINK("https://akshar-exim-company-pvt-ltd.odoo.com/web#id=22722&amp;action=152&amp;model=crm.lead&amp;view_type=form&amp;menu_id=111","C2011447")</f>
        <v>C2011447</v>
      </c>
      <c r="C4469" s="41" t="s">
        <v>18600</v>
      </c>
      <c r="D4469" s="405"/>
      <c r="E4469" s="405" t="s">
        <v>106</v>
      </c>
      <c r="F4469" s="90">
        <v>50.0</v>
      </c>
      <c r="G4469" s="321"/>
      <c r="H4469" s="11" t="s">
        <v>158</v>
      </c>
      <c r="I4469" s="423"/>
      <c r="J4469" s="14"/>
      <c r="K4469" s="13"/>
      <c r="L4469" s="13"/>
      <c r="M4469" s="14"/>
      <c r="N4469" s="15"/>
      <c r="O4469" s="5" t="s">
        <v>10708</v>
      </c>
      <c r="P4469" s="15"/>
      <c r="Q4469" s="15"/>
      <c r="R4469" s="422"/>
      <c r="S4469" s="15"/>
      <c r="T4469" s="15"/>
      <c r="U4469" s="15"/>
      <c r="V4469" s="15"/>
      <c r="W4469" s="15"/>
      <c r="X4469" s="15"/>
      <c r="Y4469" s="15"/>
      <c r="Z4469" s="15"/>
      <c r="AA4469" s="15"/>
    </row>
    <row r="4470">
      <c r="A4470" s="5" t="s">
        <v>18573</v>
      </c>
      <c r="B4470" s="292" t="str">
        <f>HYPERLINK("https://akshar-exim-company-pvt-ltd.odoo.com/web#id=22721&amp;action=152&amp;model=crm.lead&amp;view_type=form&amp;menu_id=111","C2011446")</f>
        <v>C2011446</v>
      </c>
      <c r="C4470" s="41" t="s">
        <v>18601</v>
      </c>
      <c r="D4470" s="41"/>
      <c r="E4470" s="41" t="s">
        <v>18602</v>
      </c>
      <c r="F4470" s="90">
        <v>1.0</v>
      </c>
      <c r="G4470" s="321"/>
      <c r="H4470" s="11" t="s">
        <v>44</v>
      </c>
      <c r="I4470" s="276"/>
      <c r="J4470" s="11" t="s">
        <v>18603</v>
      </c>
      <c r="K4470" s="13"/>
      <c r="L4470" s="13"/>
      <c r="M4470" s="14"/>
      <c r="N4470" s="15"/>
      <c r="O4470" s="5" t="s">
        <v>10708</v>
      </c>
      <c r="P4470" s="15"/>
      <c r="Q4470" s="15"/>
      <c r="R4470" s="422"/>
      <c r="S4470" s="15"/>
      <c r="T4470" s="15"/>
      <c r="U4470" s="15"/>
      <c r="V4470" s="15"/>
      <c r="W4470" s="15"/>
      <c r="X4470" s="15"/>
      <c r="Y4470" s="15"/>
      <c r="Z4470" s="15"/>
      <c r="AA4470" s="15"/>
    </row>
    <row r="4471">
      <c r="A4471" s="5" t="s">
        <v>18573</v>
      </c>
      <c r="B4471" s="292" t="str">
        <f>HYPERLINK("https://akshar-exim-company-pvt-ltd.odoo.com/web#id=22718&amp;action=152&amp;model=crm.lead&amp;view_type=form&amp;menu_id=111","C2011445")</f>
        <v>C2011445</v>
      </c>
      <c r="C4471" s="41" t="s">
        <v>18604</v>
      </c>
      <c r="D4471" s="11"/>
      <c r="E4471" s="11" t="s">
        <v>167</v>
      </c>
      <c r="F4471" s="90">
        <v>10.0</v>
      </c>
      <c r="G4471" s="321"/>
      <c r="H4471" s="11" t="s">
        <v>9094</v>
      </c>
      <c r="I4471" s="276"/>
      <c r="J4471" s="11" t="s">
        <v>14563</v>
      </c>
      <c r="K4471" s="13"/>
      <c r="L4471" s="13"/>
      <c r="M4471" s="14"/>
      <c r="N4471" s="15"/>
      <c r="O4471" s="5" t="s">
        <v>10708</v>
      </c>
      <c r="P4471" s="15"/>
      <c r="Q4471" s="15"/>
      <c r="R4471" s="422"/>
      <c r="S4471" s="15"/>
      <c r="T4471" s="15"/>
      <c r="U4471" s="15"/>
      <c r="V4471" s="15"/>
      <c r="W4471" s="15"/>
      <c r="X4471" s="15"/>
      <c r="Y4471" s="15"/>
      <c r="Z4471" s="15"/>
      <c r="AA4471" s="15"/>
    </row>
    <row r="4472">
      <c r="A4472" s="5" t="s">
        <v>18573</v>
      </c>
      <c r="B4472" s="292" t="str">
        <f>HYPERLINK("https://akshar-exim-company-pvt-ltd.odoo.com/web#id=22709&amp;action=152&amp;model=crm.lead&amp;view_type=form&amp;menu_id=111","C2011444")</f>
        <v>C2011444</v>
      </c>
      <c r="C4472" s="41" t="s">
        <v>18605</v>
      </c>
      <c r="D4472" s="405"/>
      <c r="E4472" s="405" t="s">
        <v>387</v>
      </c>
      <c r="F4472" s="90">
        <v>2.0</v>
      </c>
      <c r="G4472" s="430"/>
      <c r="H4472" s="41" t="s">
        <v>398</v>
      </c>
      <c r="I4472" s="423"/>
      <c r="J4472" s="14"/>
      <c r="K4472" s="13"/>
      <c r="L4472" s="13"/>
      <c r="M4472" s="14"/>
      <c r="N4472" s="15"/>
      <c r="O4472" s="5" t="s">
        <v>10708</v>
      </c>
      <c r="P4472" s="15"/>
      <c r="Q4472" s="15"/>
      <c r="R4472" s="422"/>
      <c r="S4472" s="15"/>
      <c r="T4472" s="15"/>
      <c r="U4472" s="15"/>
      <c r="V4472" s="15"/>
      <c r="W4472" s="15"/>
      <c r="X4472" s="15"/>
      <c r="Y4472" s="15"/>
      <c r="Z4472" s="15"/>
      <c r="AA4472" s="15"/>
    </row>
    <row r="4473">
      <c r="A4473" s="5" t="s">
        <v>18573</v>
      </c>
      <c r="B4473" s="292" t="str">
        <f>HYPERLINK("https://akshar-exim-company-pvt-ltd.odoo.com/web#id=22706&amp;action=152&amp;model=crm.lead&amp;view_type=form&amp;menu_id=111","C2011443")</f>
        <v>C2011443</v>
      </c>
      <c r="C4473" s="41" t="s">
        <v>18606</v>
      </c>
      <c r="D4473" s="405"/>
      <c r="E4473" s="405" t="s">
        <v>156</v>
      </c>
      <c r="F4473" s="90">
        <v>1.0</v>
      </c>
      <c r="G4473" s="430"/>
      <c r="H4473" s="41" t="s">
        <v>18607</v>
      </c>
      <c r="I4473" s="97"/>
      <c r="J4473" s="41" t="s">
        <v>4008</v>
      </c>
      <c r="K4473" s="13"/>
      <c r="L4473" s="13"/>
      <c r="M4473" s="14"/>
      <c r="N4473" s="15"/>
      <c r="O4473" s="5" t="s">
        <v>10708</v>
      </c>
      <c r="P4473" s="15"/>
      <c r="Q4473" s="15"/>
      <c r="R4473" s="422"/>
      <c r="S4473" s="15"/>
      <c r="T4473" s="15"/>
      <c r="U4473" s="15"/>
      <c r="V4473" s="15"/>
      <c r="W4473" s="15"/>
      <c r="X4473" s="15"/>
      <c r="Y4473" s="15"/>
      <c r="Z4473" s="15"/>
      <c r="AA4473" s="15"/>
    </row>
    <row r="4474">
      <c r="A4474" s="5" t="s">
        <v>18573</v>
      </c>
      <c r="B4474" s="292" t="str">
        <f>HYPERLINK("https://akshar-exim-company-pvt-ltd.odoo.com/web#id=22705&amp;action=152&amp;model=crm.lead&amp;view_type=form&amp;menu_id=111","C2011442")</f>
        <v>C2011442</v>
      </c>
      <c r="C4474" s="41" t="s">
        <v>18608</v>
      </c>
      <c r="D4474" s="41"/>
      <c r="E4474" s="41" t="s">
        <v>10913</v>
      </c>
      <c r="F4474" s="90">
        <v>25.0</v>
      </c>
      <c r="G4474" s="321"/>
      <c r="H4474" s="11" t="s">
        <v>191</v>
      </c>
      <c r="I4474" s="423"/>
      <c r="J4474" s="14"/>
      <c r="K4474" s="13"/>
      <c r="L4474" s="13"/>
      <c r="M4474" s="14"/>
      <c r="N4474" s="15"/>
      <c r="O4474" s="5" t="s">
        <v>10708</v>
      </c>
      <c r="P4474" s="15"/>
      <c r="Q4474" s="15"/>
      <c r="R4474" s="422"/>
      <c r="S4474" s="15"/>
      <c r="T4474" s="15"/>
      <c r="U4474" s="15"/>
      <c r="V4474" s="15"/>
      <c r="W4474" s="15"/>
      <c r="X4474" s="15"/>
      <c r="Y4474" s="15"/>
      <c r="Z4474" s="15"/>
      <c r="AA4474" s="15"/>
    </row>
    <row r="4475">
      <c r="A4475" s="5" t="s">
        <v>18573</v>
      </c>
      <c r="B4475" s="292" t="str">
        <f>HYPERLINK("https://akshar-exim-company-pvt-ltd.odoo.com/web#id=22702&amp;action=152&amp;model=crm.lead&amp;view_type=form&amp;menu_id=111","C2011441")</f>
        <v>C2011441</v>
      </c>
      <c r="C4475" s="41" t="s">
        <v>18609</v>
      </c>
      <c r="D4475" s="405"/>
      <c r="E4475" s="405" t="s">
        <v>18610</v>
      </c>
      <c r="F4475" s="90">
        <v>10.0</v>
      </c>
      <c r="G4475" s="430"/>
      <c r="H4475" s="41" t="s">
        <v>6881</v>
      </c>
      <c r="I4475" s="97"/>
      <c r="J4475" s="41" t="s">
        <v>18182</v>
      </c>
      <c r="K4475" s="13"/>
      <c r="L4475" s="13"/>
      <c r="M4475" s="14"/>
      <c r="N4475" s="15"/>
      <c r="O4475" s="5" t="s">
        <v>10708</v>
      </c>
      <c r="P4475" s="15"/>
      <c r="Q4475" s="15"/>
      <c r="R4475" s="422"/>
      <c r="S4475" s="15"/>
      <c r="T4475" s="15"/>
      <c r="U4475" s="15"/>
      <c r="V4475" s="15"/>
      <c r="W4475" s="15"/>
      <c r="X4475" s="15"/>
      <c r="Y4475" s="15"/>
      <c r="Z4475" s="15"/>
      <c r="AA4475" s="15"/>
    </row>
    <row r="4476">
      <c r="A4476" s="5" t="s">
        <v>18573</v>
      </c>
      <c r="B4476" s="292" t="str">
        <f>HYPERLINK("https://akshar-exim-company-pvt-ltd.odoo.com/web#id=22700&amp;action=152&amp;model=crm.lead&amp;view_type=form&amp;menu_id=111","C2011440")</f>
        <v>C2011440</v>
      </c>
      <c r="C4476" s="41" t="s">
        <v>16849</v>
      </c>
      <c r="D4476" s="41"/>
      <c r="E4476" s="41" t="s">
        <v>10409</v>
      </c>
      <c r="F4476" s="90">
        <v>30.0</v>
      </c>
      <c r="G4476" s="430"/>
      <c r="H4476" s="41" t="s">
        <v>1232</v>
      </c>
      <c r="I4476" s="276"/>
      <c r="J4476" s="11" t="s">
        <v>9772</v>
      </c>
      <c r="K4476" s="13"/>
      <c r="L4476" s="13"/>
      <c r="M4476" s="14"/>
      <c r="N4476" s="15"/>
      <c r="O4476" s="5" t="s">
        <v>10708</v>
      </c>
      <c r="P4476" s="15"/>
      <c r="Q4476" s="15"/>
      <c r="R4476" s="422"/>
      <c r="S4476" s="15"/>
      <c r="T4476" s="15"/>
      <c r="U4476" s="15"/>
      <c r="V4476" s="15"/>
      <c r="W4476" s="15"/>
      <c r="X4476" s="15"/>
      <c r="Y4476" s="15"/>
      <c r="Z4476" s="15"/>
      <c r="AA4476" s="15"/>
    </row>
    <row r="4477">
      <c r="A4477" s="5" t="s">
        <v>18573</v>
      </c>
      <c r="B4477" s="292" t="str">
        <f>HYPERLINK("https://akshar-exim-company-pvt-ltd.odoo.com/web#id=22698&amp;action=152&amp;model=crm.lead&amp;view_type=form&amp;menu_id=111","C2011439")</f>
        <v>C2011439</v>
      </c>
      <c r="C4477" s="41" t="s">
        <v>18611</v>
      </c>
      <c r="D4477" s="41"/>
      <c r="E4477" s="41" t="s">
        <v>5203</v>
      </c>
      <c r="F4477" s="90">
        <v>1000.0</v>
      </c>
      <c r="G4477" s="430"/>
      <c r="H4477" s="41" t="s">
        <v>18611</v>
      </c>
      <c r="I4477" s="97"/>
      <c r="J4477" s="41" t="s">
        <v>18182</v>
      </c>
      <c r="K4477" s="12"/>
      <c r="L4477" s="12"/>
      <c r="M4477" s="11" t="s">
        <v>8860</v>
      </c>
      <c r="N4477" s="5" t="s">
        <v>18612</v>
      </c>
      <c r="O4477" s="5" t="s">
        <v>1112</v>
      </c>
      <c r="P4477" s="15"/>
      <c r="Q4477" s="15"/>
      <c r="R4477" s="422"/>
      <c r="S4477" s="15"/>
      <c r="T4477" s="15"/>
      <c r="U4477" s="15"/>
      <c r="V4477" s="15"/>
      <c r="W4477" s="15"/>
      <c r="X4477" s="15"/>
      <c r="Y4477" s="15"/>
      <c r="Z4477" s="15"/>
      <c r="AA4477" s="15"/>
    </row>
    <row r="4478">
      <c r="A4478" s="5" t="s">
        <v>18573</v>
      </c>
      <c r="B4478" s="292" t="str">
        <f>HYPERLINK("https://akshar-exim-company-pvt-ltd.odoo.com/web#id=22696&amp;action=152&amp;model=crm.lead&amp;view_type=form&amp;menu_id=111","C2011438")</f>
        <v>C2011438</v>
      </c>
      <c r="C4478" s="41" t="s">
        <v>18613</v>
      </c>
      <c r="D4478" s="41"/>
      <c r="E4478" s="41" t="s">
        <v>18614</v>
      </c>
      <c r="F4478" s="90">
        <v>1000.0</v>
      </c>
      <c r="G4478" s="430"/>
      <c r="H4478" s="41" t="s">
        <v>18613</v>
      </c>
      <c r="I4478" s="423"/>
      <c r="J4478" s="14"/>
      <c r="K4478" s="12"/>
      <c r="L4478" s="12"/>
      <c r="M4478" s="11" t="s">
        <v>18615</v>
      </c>
      <c r="N4478" s="5" t="s">
        <v>18616</v>
      </c>
      <c r="O4478" s="5" t="s">
        <v>17993</v>
      </c>
      <c r="P4478" s="15"/>
      <c r="Q4478" s="15"/>
      <c r="R4478" s="422"/>
      <c r="S4478" s="15"/>
      <c r="T4478" s="15"/>
      <c r="U4478" s="15"/>
      <c r="V4478" s="15"/>
      <c r="W4478" s="15"/>
      <c r="X4478" s="15"/>
      <c r="Y4478" s="15"/>
      <c r="Z4478" s="15"/>
      <c r="AA4478" s="15"/>
    </row>
    <row r="4479">
      <c r="A4479" s="5" t="s">
        <v>18573</v>
      </c>
      <c r="B4479" s="292" t="str">
        <f>HYPERLINK("https://akshar-exim-company-pvt-ltd.odoo.com/web#id=22694&amp;action=152&amp;model=crm.lead&amp;view_type=form&amp;menu_id=111","C2011437")</f>
        <v>C2011437</v>
      </c>
      <c r="C4479" s="41" t="s">
        <v>18617</v>
      </c>
      <c r="D4479" s="41"/>
      <c r="E4479" s="41" t="s">
        <v>9187</v>
      </c>
      <c r="F4479" s="9">
        <v>10000.0</v>
      </c>
      <c r="G4479" s="321"/>
      <c r="H4479" s="11" t="s">
        <v>44</v>
      </c>
      <c r="I4479" s="423"/>
      <c r="J4479" s="14"/>
      <c r="K4479" s="12"/>
      <c r="L4479" s="12"/>
      <c r="M4479" s="11" t="s">
        <v>11202</v>
      </c>
      <c r="N4479" s="5" t="s">
        <v>18618</v>
      </c>
      <c r="O4479" s="5" t="s">
        <v>1112</v>
      </c>
      <c r="P4479" s="15"/>
      <c r="Q4479" s="15"/>
      <c r="R4479" s="422"/>
      <c r="S4479" s="15"/>
      <c r="T4479" s="15"/>
      <c r="U4479" s="15"/>
      <c r="V4479" s="15"/>
      <c r="W4479" s="15"/>
      <c r="X4479" s="15"/>
      <c r="Y4479" s="15"/>
      <c r="Z4479" s="15"/>
      <c r="AA4479" s="15"/>
    </row>
    <row r="4480">
      <c r="A4480" s="5" t="s">
        <v>18573</v>
      </c>
      <c r="B4480" s="292" t="str">
        <f>HYPERLINK("https://akshar-exim-company-pvt-ltd.odoo.com/web#id=22692&amp;action=152&amp;model=crm.lead&amp;view_type=form&amp;menu_id=111","C2011436")</f>
        <v>C2011436</v>
      </c>
      <c r="C4480" s="41" t="s">
        <v>18619</v>
      </c>
      <c r="D4480" s="405"/>
      <c r="E4480" s="405" t="s">
        <v>1675</v>
      </c>
      <c r="F4480" s="90">
        <v>250.0</v>
      </c>
      <c r="G4480" s="430"/>
      <c r="H4480" s="41" t="s">
        <v>4474</v>
      </c>
      <c r="I4480" s="276"/>
      <c r="J4480" s="11" t="s">
        <v>18182</v>
      </c>
      <c r="K4480" s="12"/>
      <c r="L4480" s="12"/>
      <c r="M4480" s="11" t="s">
        <v>18620</v>
      </c>
      <c r="N4480" s="5" t="s">
        <v>18621</v>
      </c>
      <c r="O4480" s="5" t="s">
        <v>17993</v>
      </c>
      <c r="P4480" s="15"/>
      <c r="Q4480" s="15"/>
      <c r="R4480" s="422"/>
      <c r="S4480" s="15"/>
      <c r="T4480" s="15"/>
      <c r="U4480" s="15"/>
      <c r="V4480" s="15"/>
      <c r="W4480" s="15"/>
      <c r="X4480" s="15"/>
      <c r="Y4480" s="15"/>
      <c r="Z4480" s="15"/>
      <c r="AA4480" s="15"/>
    </row>
    <row r="4481">
      <c r="A4481" s="5" t="s">
        <v>18573</v>
      </c>
      <c r="B4481" s="292" t="str">
        <f>HYPERLINK("https://akshar-exim-company-pvt-ltd.odoo.com/web#id=22690&amp;action=152&amp;model=crm.lead&amp;view_type=form&amp;menu_id=111","C2011435")</f>
        <v>C2011435</v>
      </c>
      <c r="C4481" s="41" t="s">
        <v>18622</v>
      </c>
      <c r="D4481" s="11"/>
      <c r="E4481" s="11" t="s">
        <v>152</v>
      </c>
      <c r="F4481" s="90">
        <v>5000.0</v>
      </c>
      <c r="G4481" s="430"/>
      <c r="H4481" s="41" t="s">
        <v>906</v>
      </c>
      <c r="I4481" s="97"/>
      <c r="J4481" s="41" t="s">
        <v>18182</v>
      </c>
      <c r="K4481" s="12"/>
      <c r="L4481" s="12"/>
      <c r="M4481" s="11" t="s">
        <v>9298</v>
      </c>
      <c r="N4481" s="5" t="s">
        <v>18623</v>
      </c>
      <c r="O4481" s="5" t="s">
        <v>17993</v>
      </c>
      <c r="P4481" s="15"/>
      <c r="Q4481" s="15"/>
      <c r="R4481" s="422"/>
      <c r="S4481" s="15"/>
      <c r="T4481" s="15"/>
      <c r="U4481" s="15"/>
      <c r="V4481" s="15"/>
      <c r="W4481" s="15"/>
      <c r="X4481" s="15"/>
      <c r="Y4481" s="15"/>
      <c r="Z4481" s="15"/>
      <c r="AA4481" s="15"/>
    </row>
    <row r="4482">
      <c r="A4482" s="5" t="s">
        <v>18573</v>
      </c>
      <c r="B4482" s="292" t="str">
        <f>HYPERLINK("https://akshar-exim-company-pvt-ltd.odoo.com/web#id=22689&amp;action=152&amp;model=crm.lead&amp;view_type=form&amp;menu_id=111","C2011434")</f>
        <v>C2011434</v>
      </c>
      <c r="C4482" s="41" t="s">
        <v>18624</v>
      </c>
      <c r="D4482" s="41"/>
      <c r="E4482" s="41" t="s">
        <v>18625</v>
      </c>
      <c r="F4482" s="9">
        <v>50000.0</v>
      </c>
      <c r="G4482" s="321"/>
      <c r="H4482" s="11" t="s">
        <v>44</v>
      </c>
      <c r="I4482" s="276"/>
      <c r="J4482" s="11" t="s">
        <v>12259</v>
      </c>
      <c r="K4482" s="12"/>
      <c r="L4482" s="12"/>
      <c r="M4482" s="11" t="s">
        <v>14789</v>
      </c>
      <c r="N4482" s="5" t="s">
        <v>18626</v>
      </c>
      <c r="O4482" s="5" t="s">
        <v>10708</v>
      </c>
      <c r="P4482" s="15"/>
      <c r="Q4482" s="15"/>
      <c r="R4482" s="422"/>
      <c r="S4482" s="15"/>
      <c r="T4482" s="15"/>
      <c r="U4482" s="15"/>
      <c r="V4482" s="15"/>
      <c r="W4482" s="15"/>
      <c r="X4482" s="15"/>
      <c r="Y4482" s="15"/>
      <c r="Z4482" s="15"/>
      <c r="AA4482" s="15"/>
    </row>
    <row r="4483">
      <c r="A4483" s="5" t="s">
        <v>18573</v>
      </c>
      <c r="B4483" s="292" t="str">
        <f>HYPERLINK("https://akshar-exim-company-pvt-ltd.odoo.com/web#id=22687&amp;action=152&amp;model=crm.lead&amp;view_type=form&amp;menu_id=111","C2011433")</f>
        <v>C2011433</v>
      </c>
      <c r="C4483" s="41" t="s">
        <v>18627</v>
      </c>
      <c r="D4483" s="41"/>
      <c r="E4483" s="41" t="s">
        <v>130</v>
      </c>
      <c r="F4483" s="90">
        <v>5000.0</v>
      </c>
      <c r="G4483" s="321"/>
      <c r="H4483" s="11" t="s">
        <v>3861</v>
      </c>
      <c r="I4483" s="276"/>
      <c r="J4483" s="11" t="s">
        <v>17976</v>
      </c>
      <c r="K4483" s="12"/>
      <c r="L4483" s="12"/>
      <c r="M4483" s="11" t="s">
        <v>13782</v>
      </c>
      <c r="N4483" s="5" t="s">
        <v>18628</v>
      </c>
      <c r="O4483" s="5" t="s">
        <v>17993</v>
      </c>
      <c r="P4483" s="15"/>
      <c r="Q4483" s="15"/>
      <c r="R4483" s="422"/>
      <c r="S4483" s="15"/>
      <c r="T4483" s="15"/>
      <c r="U4483" s="15"/>
      <c r="V4483" s="15"/>
      <c r="W4483" s="15"/>
      <c r="X4483" s="15"/>
      <c r="Y4483" s="15"/>
      <c r="Z4483" s="15"/>
      <c r="AA4483" s="15"/>
    </row>
    <row r="4484">
      <c r="A4484" s="5" t="s">
        <v>18573</v>
      </c>
      <c r="B4484" s="292" t="str">
        <f>HYPERLINK("https://akshar-exim-company-pvt-ltd.odoo.com/web#id=22685&amp;action=152&amp;model=crm.lead&amp;view_type=form&amp;menu_id=111","C2011432")</f>
        <v>C2011432</v>
      </c>
      <c r="C4484" s="41" t="s">
        <v>16855</v>
      </c>
      <c r="D4484" s="41"/>
      <c r="E4484" s="41" t="s">
        <v>92</v>
      </c>
      <c r="F4484" s="90">
        <v>100.0</v>
      </c>
      <c r="G4484" s="430"/>
      <c r="H4484" s="41" t="s">
        <v>18629</v>
      </c>
      <c r="I4484" s="276"/>
      <c r="J4484" s="11" t="s">
        <v>17976</v>
      </c>
      <c r="K4484" s="13"/>
      <c r="L4484" s="13"/>
      <c r="M4484" s="14"/>
      <c r="N4484" s="15"/>
      <c r="O4484" s="5" t="s">
        <v>10708</v>
      </c>
      <c r="P4484" s="15"/>
      <c r="Q4484" s="15"/>
      <c r="R4484" s="422"/>
      <c r="S4484" s="15"/>
      <c r="T4484" s="15"/>
      <c r="U4484" s="15"/>
      <c r="V4484" s="15"/>
      <c r="W4484" s="15"/>
      <c r="X4484" s="15"/>
      <c r="Y4484" s="15"/>
      <c r="Z4484" s="15"/>
      <c r="AA4484" s="15"/>
    </row>
    <row r="4485">
      <c r="A4485" s="5" t="s">
        <v>18573</v>
      </c>
      <c r="B4485" s="292" t="str">
        <f>HYPERLINK("https://akshar-exim-company-pvt-ltd.odoo.com/web#id=22683&amp;action=152&amp;model=crm.lead&amp;view_type=form&amp;menu_id=111","C2011431")</f>
        <v>C2011431</v>
      </c>
      <c r="C4485" s="41" t="s">
        <v>5265</v>
      </c>
      <c r="D4485" s="41"/>
      <c r="E4485" s="41" t="s">
        <v>13809</v>
      </c>
      <c r="F4485" s="90">
        <v>2000.0</v>
      </c>
      <c r="G4485" s="321"/>
      <c r="H4485" s="11" t="s">
        <v>44</v>
      </c>
      <c r="I4485" s="276"/>
      <c r="J4485" s="11" t="s">
        <v>18630</v>
      </c>
      <c r="K4485" s="12"/>
      <c r="L4485" s="12"/>
      <c r="M4485" s="11" t="s">
        <v>18631</v>
      </c>
      <c r="N4485" s="5" t="s">
        <v>18632</v>
      </c>
      <c r="O4485" s="5" t="s">
        <v>10708</v>
      </c>
      <c r="P4485" s="15"/>
      <c r="Q4485" s="15"/>
      <c r="R4485" s="422"/>
      <c r="S4485" s="15"/>
      <c r="T4485" s="15"/>
      <c r="U4485" s="15"/>
      <c r="V4485" s="15"/>
      <c r="W4485" s="15"/>
      <c r="X4485" s="15"/>
      <c r="Y4485" s="15"/>
      <c r="Z4485" s="15"/>
      <c r="AA4485" s="15"/>
    </row>
    <row r="4486">
      <c r="A4486" s="5" t="s">
        <v>18573</v>
      </c>
      <c r="B4486" s="292" t="str">
        <f>HYPERLINK("https://akshar-exim-company-pvt-ltd.odoo.com/web#id=22679&amp;action=152&amp;model=crm.lead&amp;view_type=form&amp;menu_id=111","C2011430")</f>
        <v>C2011430</v>
      </c>
      <c r="C4486" s="41" t="s">
        <v>18633</v>
      </c>
      <c r="D4486" s="41"/>
      <c r="E4486" s="41" t="s">
        <v>3926</v>
      </c>
      <c r="F4486" s="90">
        <v>50.0</v>
      </c>
      <c r="G4486" s="430"/>
      <c r="H4486" s="41" t="s">
        <v>18634</v>
      </c>
      <c r="I4486" s="276"/>
      <c r="J4486" s="11" t="s">
        <v>17976</v>
      </c>
      <c r="K4486" s="13"/>
      <c r="L4486" s="13"/>
      <c r="M4486" s="14"/>
      <c r="N4486" s="15"/>
      <c r="O4486" s="5" t="s">
        <v>10708</v>
      </c>
      <c r="P4486" s="15"/>
      <c r="Q4486" s="15"/>
      <c r="R4486" s="422"/>
      <c r="S4486" s="15"/>
      <c r="T4486" s="15"/>
      <c r="U4486" s="15"/>
      <c r="V4486" s="15"/>
      <c r="W4486" s="15"/>
      <c r="X4486" s="15"/>
      <c r="Y4486" s="15"/>
      <c r="Z4486" s="15"/>
      <c r="AA4486" s="15"/>
    </row>
    <row r="4487">
      <c r="A4487" s="5" t="s">
        <v>18573</v>
      </c>
      <c r="B4487" s="292" t="str">
        <f>HYPERLINK("https://akshar-exim-company-pvt-ltd.odoo.com/web#id=22678&amp;action=152&amp;model=crm.lead&amp;view_type=form&amp;menu_id=111","C2011429")</f>
        <v>C2011429</v>
      </c>
      <c r="C4487" s="41" t="s">
        <v>18635</v>
      </c>
      <c r="D4487" s="405"/>
      <c r="E4487" s="405" t="s">
        <v>4481</v>
      </c>
      <c r="F4487" s="90">
        <v>50.0</v>
      </c>
      <c r="G4487" s="321"/>
      <c r="H4487" s="11" t="s">
        <v>44</v>
      </c>
      <c r="I4487" s="276"/>
      <c r="J4487" s="11" t="s">
        <v>17976</v>
      </c>
      <c r="K4487" s="13"/>
      <c r="L4487" s="13"/>
      <c r="M4487" s="14"/>
      <c r="N4487" s="15"/>
      <c r="O4487" s="5" t="s">
        <v>10708</v>
      </c>
      <c r="P4487" s="15"/>
      <c r="Q4487" s="15"/>
      <c r="R4487" s="422"/>
      <c r="S4487" s="15"/>
      <c r="T4487" s="15"/>
      <c r="U4487" s="15"/>
      <c r="V4487" s="15"/>
      <c r="W4487" s="15"/>
      <c r="X4487" s="15"/>
      <c r="Y4487" s="15"/>
      <c r="Z4487" s="15"/>
      <c r="AA4487" s="15"/>
    </row>
    <row r="4488">
      <c r="A4488" s="5" t="s">
        <v>18573</v>
      </c>
      <c r="B4488" s="292" t="str">
        <f>HYPERLINK("https://akshar-exim-company-pvt-ltd.odoo.com/web#id=22676&amp;action=152&amp;model=crm.lead&amp;view_type=form&amp;menu_id=111","C2011428")</f>
        <v>C2011428</v>
      </c>
      <c r="C4488" s="41" t="s">
        <v>18636</v>
      </c>
      <c r="D4488" s="41"/>
      <c r="E4488" s="41" t="s">
        <v>10433</v>
      </c>
      <c r="F4488" s="90">
        <v>2.0</v>
      </c>
      <c r="G4488" s="321"/>
      <c r="H4488" s="11" t="s">
        <v>18637</v>
      </c>
      <c r="I4488" s="276"/>
      <c r="J4488" s="11" t="s">
        <v>18638</v>
      </c>
      <c r="K4488" s="13"/>
      <c r="L4488" s="13"/>
      <c r="M4488" s="14"/>
      <c r="N4488" s="15"/>
      <c r="O4488" s="5" t="s">
        <v>10708</v>
      </c>
      <c r="P4488" s="15"/>
      <c r="Q4488" s="15"/>
      <c r="R4488" s="422"/>
      <c r="S4488" s="15"/>
      <c r="T4488" s="15"/>
      <c r="U4488" s="15"/>
      <c r="V4488" s="15"/>
      <c r="W4488" s="15"/>
      <c r="X4488" s="15"/>
      <c r="Y4488" s="15"/>
      <c r="Z4488" s="15"/>
      <c r="AA4488" s="15"/>
    </row>
    <row r="4489">
      <c r="A4489" s="5" t="s">
        <v>18573</v>
      </c>
      <c r="B4489" s="292" t="str">
        <f>HYPERLINK("https://akshar-exim-company-pvt-ltd.odoo.com/web#id=22675&amp;action=152&amp;model=crm.lead&amp;view_type=form&amp;menu_id=111","C2011427")</f>
        <v>C2011427</v>
      </c>
      <c r="C4489" s="41" t="s">
        <v>6521</v>
      </c>
      <c r="D4489" s="405"/>
      <c r="E4489" s="405" t="s">
        <v>147</v>
      </c>
      <c r="F4489" s="90">
        <v>10.0</v>
      </c>
      <c r="G4489" s="321"/>
      <c r="H4489" s="11" t="s">
        <v>18639</v>
      </c>
      <c r="I4489" s="276"/>
      <c r="J4489" s="11" t="s">
        <v>18223</v>
      </c>
      <c r="K4489" s="13"/>
      <c r="L4489" s="13"/>
      <c r="M4489" s="14"/>
      <c r="N4489" s="15"/>
      <c r="O4489" s="5" t="s">
        <v>10708</v>
      </c>
      <c r="P4489" s="15"/>
      <c r="Q4489" s="15"/>
      <c r="R4489" s="422"/>
      <c r="S4489" s="15"/>
      <c r="T4489" s="15"/>
      <c r="U4489" s="15"/>
      <c r="V4489" s="15"/>
      <c r="W4489" s="15"/>
      <c r="X4489" s="15"/>
      <c r="Y4489" s="15"/>
      <c r="Z4489" s="15"/>
      <c r="AA4489" s="15"/>
    </row>
    <row r="4490">
      <c r="A4490" s="5" t="s">
        <v>18573</v>
      </c>
      <c r="B4490" s="292" t="str">
        <f>HYPERLINK("https://akshar-exim-company-pvt-ltd.odoo.com/web#id=22671&amp;action=152&amp;model=crm.lead&amp;view_type=form&amp;menu_id=111","C2011426")</f>
        <v>C2011426</v>
      </c>
      <c r="C4490" s="41" t="s">
        <v>18640</v>
      </c>
      <c r="D4490" s="41"/>
      <c r="E4490" s="41" t="s">
        <v>18538</v>
      </c>
      <c r="F4490" s="90">
        <v>5.0</v>
      </c>
      <c r="G4490" s="321"/>
      <c r="H4490" s="11" t="s">
        <v>985</v>
      </c>
      <c r="I4490" s="276"/>
      <c r="J4490" s="11" t="s">
        <v>9874</v>
      </c>
      <c r="K4490" s="13"/>
      <c r="L4490" s="13"/>
      <c r="M4490" s="14"/>
      <c r="N4490" s="15"/>
      <c r="O4490" s="5" t="s">
        <v>10708</v>
      </c>
      <c r="P4490" s="15"/>
      <c r="Q4490" s="15"/>
      <c r="R4490" s="422"/>
      <c r="S4490" s="15"/>
      <c r="T4490" s="15"/>
      <c r="U4490" s="15"/>
      <c r="V4490" s="15"/>
      <c r="W4490" s="15"/>
      <c r="X4490" s="15"/>
      <c r="Y4490" s="15"/>
      <c r="Z4490" s="15"/>
      <c r="AA4490" s="15"/>
    </row>
    <row r="4491">
      <c r="A4491" s="5" t="s">
        <v>18641</v>
      </c>
      <c r="B4491" s="292" t="str">
        <f>HYPERLINK("https://akshar-exim-company-pvt-ltd.odoo.com/web#id=22655&amp;action=152&amp;model=crm.lead&amp;view_type=form&amp;menu_id=111","C2011425")</f>
        <v>C2011425</v>
      </c>
      <c r="C4491" s="41" t="s">
        <v>18642</v>
      </c>
      <c r="D4491" s="41"/>
      <c r="E4491" s="41" t="s">
        <v>3555</v>
      </c>
      <c r="F4491" s="9">
        <v>10000.0</v>
      </c>
      <c r="G4491" s="321"/>
      <c r="H4491" s="11" t="s">
        <v>44</v>
      </c>
      <c r="I4491" s="97"/>
      <c r="J4491" s="41" t="s">
        <v>18182</v>
      </c>
      <c r="K4491" s="12"/>
      <c r="L4491" s="12"/>
      <c r="M4491" s="11" t="s">
        <v>10955</v>
      </c>
      <c r="N4491" s="5" t="s">
        <v>18643</v>
      </c>
      <c r="O4491" s="5" t="s">
        <v>10708</v>
      </c>
      <c r="P4491" s="15"/>
      <c r="Q4491" s="15"/>
      <c r="R4491" s="422"/>
      <c r="S4491" s="15"/>
      <c r="T4491" s="15"/>
      <c r="U4491" s="15"/>
      <c r="V4491" s="15"/>
      <c r="W4491" s="15"/>
      <c r="X4491" s="15"/>
      <c r="Y4491" s="15"/>
      <c r="Z4491" s="15"/>
      <c r="AA4491" s="15"/>
    </row>
    <row r="4492">
      <c r="A4492" s="5" t="s">
        <v>18641</v>
      </c>
      <c r="B4492" s="292" t="str">
        <f>HYPERLINK("https://akshar-exim-company-pvt-ltd.odoo.com/web#id=22659&amp;action=152&amp;model=crm.lead&amp;view_type=form&amp;menu_id=111","C2011424")</f>
        <v>C2011424</v>
      </c>
      <c r="C4492" s="40" t="s">
        <v>18644</v>
      </c>
      <c r="D4492" s="11"/>
      <c r="E4492" s="11" t="s">
        <v>5014</v>
      </c>
      <c r="F4492" s="90">
        <v>1.0</v>
      </c>
      <c r="G4492" s="430"/>
      <c r="H4492" s="41" t="s">
        <v>1663</v>
      </c>
      <c r="I4492" s="423"/>
      <c r="J4492" s="14"/>
      <c r="K4492" s="13"/>
      <c r="L4492" s="13"/>
      <c r="M4492" s="14"/>
      <c r="N4492" s="15"/>
      <c r="O4492" s="5" t="s">
        <v>10708</v>
      </c>
      <c r="P4492" s="15"/>
      <c r="Q4492" s="15"/>
      <c r="R4492" s="422"/>
      <c r="S4492" s="15"/>
      <c r="T4492" s="15"/>
      <c r="U4492" s="15"/>
      <c r="V4492" s="15"/>
      <c r="W4492" s="15"/>
      <c r="X4492" s="15"/>
      <c r="Y4492" s="15"/>
      <c r="Z4492" s="15"/>
      <c r="AA4492" s="15"/>
    </row>
    <row r="4493">
      <c r="A4493" s="5" t="s">
        <v>18641</v>
      </c>
      <c r="B4493" s="292" t="str">
        <f>HYPERLINK("https://akshar-exim-company-pvt-ltd.odoo.com/web#id=22664&amp;action=152&amp;model=crm.lead&amp;view_type=form&amp;menu_id=111","C2011423")</f>
        <v>C2011423</v>
      </c>
      <c r="C4493" s="41" t="s">
        <v>18645</v>
      </c>
      <c r="D4493" s="41"/>
      <c r="E4493" s="41" t="s">
        <v>2501</v>
      </c>
      <c r="F4493" s="90">
        <v>10.0</v>
      </c>
      <c r="G4493" s="321"/>
      <c r="H4493" s="11" t="s">
        <v>906</v>
      </c>
      <c r="I4493" s="97"/>
      <c r="J4493" s="41" t="s">
        <v>18182</v>
      </c>
      <c r="K4493" s="13"/>
      <c r="L4493" s="13"/>
      <c r="M4493" s="14"/>
      <c r="N4493" s="15"/>
      <c r="O4493" s="5" t="s">
        <v>10708</v>
      </c>
      <c r="P4493" s="15"/>
      <c r="Q4493" s="15"/>
      <c r="R4493" s="422"/>
      <c r="S4493" s="15"/>
      <c r="T4493" s="15"/>
      <c r="U4493" s="15"/>
      <c r="V4493" s="15"/>
      <c r="W4493" s="15"/>
      <c r="X4493" s="15"/>
      <c r="Y4493" s="15"/>
      <c r="Z4493" s="15"/>
      <c r="AA4493" s="15"/>
    </row>
    <row r="4494">
      <c r="A4494" s="5" t="s">
        <v>18641</v>
      </c>
      <c r="B4494" s="292" t="str">
        <f>HYPERLINK("https://akshar-exim-company-pvt-ltd.odoo.com/web#id=22666&amp;action=152&amp;model=crm.lead&amp;view_type=form&amp;menu_id=111","C2011422")</f>
        <v>C2011422</v>
      </c>
      <c r="C4494" s="41" t="s">
        <v>18646</v>
      </c>
      <c r="D4494" s="41"/>
      <c r="E4494" s="41" t="s">
        <v>523</v>
      </c>
      <c r="F4494" s="90">
        <v>1500.0</v>
      </c>
      <c r="G4494" s="321"/>
      <c r="H4494" s="11" t="s">
        <v>44</v>
      </c>
      <c r="I4494" s="276"/>
      <c r="J4494" s="11" t="s">
        <v>25</v>
      </c>
      <c r="K4494" s="12"/>
      <c r="L4494" s="12"/>
      <c r="M4494" s="11" t="s">
        <v>17979</v>
      </c>
      <c r="N4494" s="5" t="s">
        <v>18647</v>
      </c>
      <c r="O4494" s="5" t="s">
        <v>1112</v>
      </c>
      <c r="P4494" s="15"/>
      <c r="Q4494" s="15"/>
      <c r="R4494" s="422"/>
      <c r="S4494" s="15"/>
      <c r="T4494" s="15"/>
      <c r="U4494" s="15"/>
      <c r="V4494" s="15"/>
      <c r="W4494" s="15"/>
      <c r="X4494" s="15"/>
      <c r="Y4494" s="15"/>
      <c r="Z4494" s="15"/>
      <c r="AA4494" s="15"/>
    </row>
    <row r="4495">
      <c r="A4495" s="5" t="s">
        <v>18641</v>
      </c>
      <c r="B4495" s="292" t="str">
        <f>HYPERLINK("https://akshar-exim-company-pvt-ltd.odoo.com/web#id=22673&amp;action=152&amp;model=crm.lead&amp;view_type=form&amp;menu_id=111","C2011421")</f>
        <v>C2011421</v>
      </c>
      <c r="C4495" s="41" t="s">
        <v>3917</v>
      </c>
      <c r="D4495" s="41"/>
      <c r="E4495" s="41" t="s">
        <v>11692</v>
      </c>
      <c r="F4495" s="90">
        <v>2.0</v>
      </c>
      <c r="G4495" s="430"/>
      <c r="H4495" s="41" t="s">
        <v>184</v>
      </c>
      <c r="I4495" s="97"/>
      <c r="J4495" s="41" t="s">
        <v>9772</v>
      </c>
      <c r="K4495" s="13"/>
      <c r="L4495" s="13"/>
      <c r="M4495" s="14"/>
      <c r="N4495" s="15"/>
      <c r="O4495" s="5" t="s">
        <v>10708</v>
      </c>
      <c r="P4495" s="15"/>
      <c r="Q4495" s="15"/>
      <c r="R4495" s="422"/>
      <c r="S4495" s="15"/>
      <c r="T4495" s="15"/>
      <c r="U4495" s="15"/>
      <c r="V4495" s="15"/>
      <c r="W4495" s="15"/>
      <c r="X4495" s="15"/>
      <c r="Y4495" s="15"/>
      <c r="Z4495" s="15"/>
      <c r="AA4495" s="15"/>
    </row>
    <row r="4496">
      <c r="A4496" s="5" t="s">
        <v>18648</v>
      </c>
      <c r="B4496" s="292" t="str">
        <f>HYPERLINK("https://akshar-exim-company-pvt-ltd.odoo.com/web#id=22550&amp;action=152&amp;model=crm.lead&amp;view_type=form&amp;menu_id=111","C2011420")</f>
        <v>C2011420</v>
      </c>
      <c r="C4496" s="41" t="s">
        <v>18649</v>
      </c>
      <c r="D4496" s="405"/>
      <c r="E4496" s="405" t="s">
        <v>18650</v>
      </c>
      <c r="F4496" s="9">
        <v>500000.0</v>
      </c>
      <c r="G4496" s="430"/>
      <c r="H4496" s="41" t="s">
        <v>18651</v>
      </c>
      <c r="I4496" s="423"/>
      <c r="J4496" s="14"/>
      <c r="K4496" s="13"/>
      <c r="L4496" s="13"/>
      <c r="M4496" s="14"/>
      <c r="N4496" s="15"/>
      <c r="O4496" s="5" t="s">
        <v>17993</v>
      </c>
      <c r="P4496" s="15"/>
      <c r="Q4496" s="15"/>
      <c r="R4496" s="422"/>
      <c r="S4496" s="15"/>
      <c r="T4496" s="15"/>
      <c r="U4496" s="15"/>
      <c r="V4496" s="15"/>
      <c r="W4496" s="15"/>
      <c r="X4496" s="15"/>
      <c r="Y4496" s="15"/>
      <c r="Z4496" s="15"/>
      <c r="AA4496" s="15"/>
    </row>
    <row r="4497">
      <c r="A4497" s="5" t="s">
        <v>18648</v>
      </c>
      <c r="B4497" s="292" t="str">
        <f>HYPERLINK("https://akshar-exim-company-pvt-ltd.odoo.com/web#id=22556&amp;action=152&amp;model=crm.lead&amp;view_type=form&amp;menu_id=111","C2011419")</f>
        <v>C2011419</v>
      </c>
      <c r="C4497" s="41" t="s">
        <v>18652</v>
      </c>
      <c r="D4497" s="41"/>
      <c r="E4497" s="41" t="s">
        <v>18653</v>
      </c>
      <c r="F4497" s="9">
        <v>20000.0</v>
      </c>
      <c r="G4497" s="430"/>
      <c r="H4497" s="41" t="s">
        <v>9792</v>
      </c>
      <c r="I4497" s="276"/>
      <c r="J4497" s="11" t="s">
        <v>17976</v>
      </c>
      <c r="K4497" s="12"/>
      <c r="L4497" s="12"/>
      <c r="M4497" s="11" t="s">
        <v>9445</v>
      </c>
      <c r="N4497" s="5" t="s">
        <v>18654</v>
      </c>
      <c r="O4497" s="5" t="s">
        <v>17993</v>
      </c>
      <c r="P4497" s="15"/>
      <c r="Q4497" s="15"/>
      <c r="R4497" s="422"/>
      <c r="S4497" s="15"/>
      <c r="T4497" s="15"/>
      <c r="U4497" s="15"/>
      <c r="V4497" s="15"/>
      <c r="W4497" s="15"/>
      <c r="X4497" s="15"/>
      <c r="Y4497" s="15"/>
      <c r="Z4497" s="15"/>
      <c r="AA4497" s="15"/>
    </row>
    <row r="4498">
      <c r="A4498" s="5" t="s">
        <v>18648</v>
      </c>
      <c r="B4498" s="292" t="str">
        <f>HYPERLINK("https://akshar-exim-company-pvt-ltd.odoo.com/web#id=22559&amp;action=152&amp;model=crm.lead&amp;view_type=form&amp;menu_id=111","C2011418")</f>
        <v>C2011418</v>
      </c>
      <c r="C4498" s="41" t="s">
        <v>18655</v>
      </c>
      <c r="D4498" s="41"/>
      <c r="E4498" s="41" t="s">
        <v>11843</v>
      </c>
      <c r="F4498" s="90">
        <v>50.0</v>
      </c>
      <c r="G4498" s="430"/>
      <c r="H4498" s="41" t="s">
        <v>18656</v>
      </c>
      <c r="I4498" s="97"/>
      <c r="J4498" s="41" t="s">
        <v>9772</v>
      </c>
      <c r="K4498" s="13"/>
      <c r="L4498" s="13"/>
      <c r="M4498" s="14"/>
      <c r="N4498" s="15"/>
      <c r="O4498" s="5" t="s">
        <v>10708</v>
      </c>
      <c r="P4498" s="15"/>
      <c r="Q4498" s="15"/>
      <c r="R4498" s="422"/>
      <c r="S4498" s="15"/>
      <c r="T4498" s="15"/>
      <c r="U4498" s="15"/>
      <c r="V4498" s="15"/>
      <c r="W4498" s="15"/>
      <c r="X4498" s="15"/>
      <c r="Y4498" s="15"/>
      <c r="Z4498" s="15"/>
      <c r="AA4498" s="15"/>
    </row>
    <row r="4499">
      <c r="A4499" s="5" t="s">
        <v>18648</v>
      </c>
      <c r="B4499" s="292" t="str">
        <f>HYPERLINK("https://akshar-exim-company-pvt-ltd.odoo.com/web#id=22538&amp;action=152&amp;model=crm.lead&amp;view_type=form&amp;menu_id=111","C2011417")</f>
        <v>C2011417</v>
      </c>
      <c r="C4499" s="41" t="s">
        <v>12110</v>
      </c>
      <c r="D4499" s="41"/>
      <c r="E4499" s="41" t="s">
        <v>189</v>
      </c>
      <c r="F4499" s="90">
        <v>25.0</v>
      </c>
      <c r="G4499" s="321"/>
      <c r="H4499" s="11" t="s">
        <v>44</v>
      </c>
      <c r="I4499" s="423"/>
      <c r="J4499" s="14"/>
      <c r="K4499" s="13"/>
      <c r="L4499" s="13"/>
      <c r="M4499" s="14"/>
      <c r="N4499" s="15"/>
      <c r="O4499" s="5" t="s">
        <v>10708</v>
      </c>
      <c r="P4499" s="15"/>
      <c r="Q4499" s="15"/>
      <c r="R4499" s="422"/>
      <c r="S4499" s="15"/>
      <c r="T4499" s="15"/>
      <c r="U4499" s="15"/>
      <c r="V4499" s="15"/>
      <c r="W4499" s="15"/>
      <c r="X4499" s="15"/>
      <c r="Y4499" s="15"/>
      <c r="Z4499" s="15"/>
      <c r="AA4499" s="15"/>
    </row>
    <row r="4500">
      <c r="A4500" s="5" t="s">
        <v>18648</v>
      </c>
      <c r="B4500" s="292" t="str">
        <f>HYPERLINK("https://akshar-exim-company-pvt-ltd.odoo.com/web#id=22544&amp;action=152&amp;model=crm.lead&amp;view_type=form&amp;menu_id=111","C2011416")</f>
        <v>C2011416</v>
      </c>
      <c r="C4500" s="41" t="s">
        <v>9541</v>
      </c>
      <c r="D4500" s="41"/>
      <c r="E4500" s="41" t="s">
        <v>4567</v>
      </c>
      <c r="F4500" s="90">
        <v>150.0</v>
      </c>
      <c r="G4500" s="430"/>
      <c r="H4500" s="41" t="s">
        <v>18657</v>
      </c>
      <c r="I4500" s="276"/>
      <c r="J4500" s="11" t="s">
        <v>18182</v>
      </c>
      <c r="K4500" s="12"/>
      <c r="L4500" s="12"/>
      <c r="M4500" s="11" t="s">
        <v>18214</v>
      </c>
      <c r="N4500" s="5" t="s">
        <v>18658</v>
      </c>
      <c r="O4500" s="5" t="s">
        <v>17993</v>
      </c>
      <c r="P4500" s="15"/>
      <c r="Q4500" s="15"/>
      <c r="R4500" s="422"/>
      <c r="S4500" s="15"/>
      <c r="T4500" s="15"/>
      <c r="U4500" s="15"/>
      <c r="V4500" s="15"/>
      <c r="W4500" s="15"/>
      <c r="X4500" s="15"/>
      <c r="Y4500" s="15"/>
      <c r="Z4500" s="15"/>
      <c r="AA4500" s="15"/>
    </row>
    <row r="4501">
      <c r="A4501" s="5" t="s">
        <v>18648</v>
      </c>
      <c r="B4501" s="292" t="str">
        <f>HYPERLINK("https://akshar-exim-company-pvt-ltd.odoo.com/web#id=22542&amp;action=152&amp;model=crm.lead&amp;view_type=form&amp;menu_id=111","C2011415")</f>
        <v>C2011415</v>
      </c>
      <c r="C4501" s="41" t="s">
        <v>18659</v>
      </c>
      <c r="D4501" s="405"/>
      <c r="E4501" s="405" t="s">
        <v>18660</v>
      </c>
      <c r="F4501" s="90">
        <v>2.0</v>
      </c>
      <c r="G4501" s="321"/>
      <c r="H4501" s="11" t="s">
        <v>44</v>
      </c>
      <c r="I4501" s="97"/>
      <c r="J4501" s="41" t="s">
        <v>18182</v>
      </c>
      <c r="K4501" s="13"/>
      <c r="L4501" s="13"/>
      <c r="M4501" s="14"/>
      <c r="N4501" s="15"/>
      <c r="O4501" s="5" t="s">
        <v>10708</v>
      </c>
      <c r="P4501" s="15"/>
      <c r="Q4501" s="15"/>
      <c r="R4501" s="422"/>
      <c r="S4501" s="15"/>
      <c r="T4501" s="15"/>
      <c r="U4501" s="15"/>
      <c r="V4501" s="15"/>
      <c r="W4501" s="15"/>
      <c r="X4501" s="15"/>
      <c r="Y4501" s="15"/>
      <c r="Z4501" s="15"/>
      <c r="AA4501" s="15"/>
    </row>
    <row r="4502">
      <c r="A4502" s="5" t="s">
        <v>18648</v>
      </c>
      <c r="B4502" s="292" t="str">
        <f>HYPERLINK("https://akshar-exim-company-pvt-ltd.odoo.com/web#id=22540&amp;action=152&amp;model=crm.lead&amp;view_type=form&amp;menu_id=111","C2011414")</f>
        <v>C2011414</v>
      </c>
      <c r="C4502" s="41" t="s">
        <v>18661</v>
      </c>
      <c r="D4502" s="41"/>
      <c r="E4502" s="41" t="s">
        <v>539</v>
      </c>
      <c r="F4502" s="90">
        <v>50.0</v>
      </c>
      <c r="G4502" s="430"/>
      <c r="H4502" s="41" t="s">
        <v>18662</v>
      </c>
      <c r="I4502" s="276"/>
      <c r="J4502" s="11" t="s">
        <v>18182</v>
      </c>
      <c r="K4502" s="13"/>
      <c r="L4502" s="13"/>
      <c r="M4502" s="14"/>
      <c r="N4502" s="15"/>
      <c r="O4502" s="5" t="s">
        <v>10708</v>
      </c>
      <c r="P4502" s="15"/>
      <c r="Q4502" s="15"/>
      <c r="R4502" s="422"/>
      <c r="S4502" s="15"/>
      <c r="T4502" s="15"/>
      <c r="U4502" s="15"/>
      <c r="V4502" s="15"/>
      <c r="W4502" s="15"/>
      <c r="X4502" s="15"/>
      <c r="Y4502" s="15"/>
      <c r="Z4502" s="15"/>
      <c r="AA4502" s="15"/>
    </row>
    <row r="4503">
      <c r="A4503" s="5" t="s">
        <v>18648</v>
      </c>
      <c r="B4503" s="292" t="str">
        <f>HYPERLINK("https://akshar-exim-company-pvt-ltd.odoo.com/web#id=22537&amp;action=152&amp;model=crm.lead&amp;view_type=form&amp;menu_id=111","C2011413")</f>
        <v>C2011413</v>
      </c>
      <c r="C4503" s="41" t="s">
        <v>18663</v>
      </c>
      <c r="D4503" s="405"/>
      <c r="E4503" s="405" t="s">
        <v>213</v>
      </c>
      <c r="F4503" s="9">
        <v>50000.0</v>
      </c>
      <c r="G4503" s="321"/>
      <c r="H4503" s="11" t="s">
        <v>18664</v>
      </c>
      <c r="I4503" s="276"/>
      <c r="J4503" s="11" t="s">
        <v>18182</v>
      </c>
      <c r="K4503" s="12"/>
      <c r="L4503" s="12"/>
      <c r="M4503" s="11" t="s">
        <v>18665</v>
      </c>
      <c r="N4503" s="5" t="s">
        <v>18666</v>
      </c>
      <c r="O4503" s="5" t="s">
        <v>1112</v>
      </c>
      <c r="P4503" s="15"/>
      <c r="Q4503" s="15"/>
      <c r="R4503" s="422"/>
      <c r="S4503" s="15"/>
      <c r="T4503" s="15"/>
      <c r="U4503" s="15"/>
      <c r="V4503" s="15"/>
      <c r="W4503" s="15"/>
      <c r="X4503" s="15"/>
      <c r="Y4503" s="15"/>
      <c r="Z4503" s="15"/>
      <c r="AA4503" s="15"/>
    </row>
    <row r="4504">
      <c r="A4504" s="5" t="s">
        <v>18648</v>
      </c>
      <c r="B4504" s="292" t="str">
        <f>HYPERLINK("https://akshar-exim-company-pvt-ltd.odoo.com/web#id=22536&amp;action=152&amp;model=crm.lead&amp;view_type=form&amp;menu_id=111","C2011412")</f>
        <v>C2011412</v>
      </c>
      <c r="C4504" s="41" t="s">
        <v>9698</v>
      </c>
      <c r="D4504" s="41"/>
      <c r="E4504" s="41" t="s">
        <v>6323</v>
      </c>
      <c r="F4504" s="9">
        <v>10000.0</v>
      </c>
      <c r="G4504" s="430"/>
      <c r="H4504" s="41" t="s">
        <v>9700</v>
      </c>
      <c r="I4504" s="276"/>
      <c r="J4504" s="11" t="s">
        <v>18182</v>
      </c>
      <c r="K4504" s="12"/>
      <c r="L4504" s="12"/>
      <c r="M4504" s="11" t="s">
        <v>9504</v>
      </c>
      <c r="N4504" s="5" t="s">
        <v>18667</v>
      </c>
      <c r="O4504" s="5" t="s">
        <v>10708</v>
      </c>
      <c r="P4504" s="15"/>
      <c r="Q4504" s="15"/>
      <c r="R4504" s="422"/>
      <c r="S4504" s="15"/>
      <c r="T4504" s="15"/>
      <c r="U4504" s="15"/>
      <c r="V4504" s="15"/>
      <c r="W4504" s="15"/>
      <c r="X4504" s="15"/>
      <c r="Y4504" s="15"/>
      <c r="Z4504" s="15"/>
      <c r="AA4504" s="15"/>
    </row>
    <row r="4505">
      <c r="A4505" s="5" t="s">
        <v>18648</v>
      </c>
      <c r="B4505" s="292" t="str">
        <f>HYPERLINK("https://akshar-exim-company-pvt-ltd.odoo.com/web#id=22535&amp;action=152&amp;model=crm.lead&amp;view_type=form&amp;menu_id=111","C2011411")</f>
        <v>C2011411</v>
      </c>
      <c r="C4505" s="41" t="s">
        <v>18668</v>
      </c>
      <c r="D4505" s="41"/>
      <c r="E4505" s="41" t="s">
        <v>18379</v>
      </c>
      <c r="F4505" s="90">
        <v>3000.0</v>
      </c>
      <c r="G4505" s="321"/>
      <c r="H4505" s="11" t="s">
        <v>44</v>
      </c>
      <c r="I4505" s="276"/>
      <c r="J4505" s="11" t="s">
        <v>18182</v>
      </c>
      <c r="K4505" s="12"/>
      <c r="L4505" s="12"/>
      <c r="M4505" s="11" t="s">
        <v>10171</v>
      </c>
      <c r="N4505" s="5" t="s">
        <v>18669</v>
      </c>
      <c r="O4505" s="5" t="s">
        <v>1112</v>
      </c>
      <c r="P4505" s="15"/>
      <c r="Q4505" s="15"/>
      <c r="R4505" s="422"/>
      <c r="S4505" s="15"/>
      <c r="T4505" s="15"/>
      <c r="U4505" s="15"/>
      <c r="V4505" s="15"/>
      <c r="W4505" s="15"/>
      <c r="X4505" s="15"/>
      <c r="Y4505" s="15"/>
      <c r="Z4505" s="15"/>
      <c r="AA4505" s="15"/>
    </row>
    <row r="4506">
      <c r="A4506" s="5" t="s">
        <v>18648</v>
      </c>
      <c r="B4506" s="292" t="str">
        <f>HYPERLINK("https://akshar-exim-company-pvt-ltd.odoo.com/web#id=22532&amp;action=152&amp;model=crm.lead&amp;view_type=form&amp;menu_id=111","C2011410")</f>
        <v>C2011410</v>
      </c>
      <c r="C4506" s="41" t="s">
        <v>18670</v>
      </c>
      <c r="D4506" s="41"/>
      <c r="E4506" s="41" t="s">
        <v>5203</v>
      </c>
      <c r="F4506" s="9">
        <v>1000000.0</v>
      </c>
      <c r="G4506" s="430"/>
      <c r="H4506" s="41" t="s">
        <v>3090</v>
      </c>
      <c r="I4506" s="276"/>
      <c r="J4506" s="11" t="s">
        <v>17976</v>
      </c>
      <c r="K4506" s="12"/>
      <c r="L4506" s="12"/>
      <c r="M4506" s="11" t="s">
        <v>7820</v>
      </c>
      <c r="N4506" s="5" t="s">
        <v>18671</v>
      </c>
      <c r="O4506" s="5" t="s">
        <v>1112</v>
      </c>
      <c r="P4506" s="15"/>
      <c r="Q4506" s="15"/>
      <c r="R4506" s="422"/>
      <c r="S4506" s="15"/>
      <c r="T4506" s="15"/>
      <c r="U4506" s="15"/>
      <c r="V4506" s="15"/>
      <c r="W4506" s="15"/>
      <c r="X4506" s="15"/>
      <c r="Y4506" s="15"/>
      <c r="Z4506" s="15"/>
      <c r="AA4506" s="15"/>
    </row>
    <row r="4507">
      <c r="A4507" s="5" t="s">
        <v>18648</v>
      </c>
      <c r="B4507" s="292" t="str">
        <f>HYPERLINK("https://akshar-exim-company-pvt-ltd.odoo.com/web#id=22527&amp;action=152&amp;model=crm.lead&amp;view_type=form&amp;menu_id=111","C2011409")</f>
        <v>C2011409</v>
      </c>
      <c r="C4507" s="41" t="s">
        <v>18672</v>
      </c>
      <c r="D4507" s="41"/>
      <c r="E4507" s="41" t="s">
        <v>3446</v>
      </c>
      <c r="F4507" s="90" t="s">
        <v>18673</v>
      </c>
      <c r="G4507" s="321"/>
      <c r="H4507" s="11" t="s">
        <v>44</v>
      </c>
      <c r="I4507" s="97"/>
      <c r="J4507" s="41" t="s">
        <v>18182</v>
      </c>
      <c r="K4507" s="13"/>
      <c r="L4507" s="13"/>
      <c r="M4507" s="14"/>
      <c r="N4507" s="15"/>
      <c r="O4507" s="5" t="s">
        <v>10708</v>
      </c>
      <c r="P4507" s="15"/>
      <c r="Q4507" s="15"/>
      <c r="R4507" s="422"/>
      <c r="S4507" s="15"/>
      <c r="T4507" s="15"/>
      <c r="U4507" s="15"/>
      <c r="V4507" s="15"/>
      <c r="W4507" s="15"/>
      <c r="X4507" s="15"/>
      <c r="Y4507" s="15"/>
      <c r="Z4507" s="15"/>
      <c r="AA4507" s="15"/>
    </row>
    <row r="4508">
      <c r="A4508" s="5" t="s">
        <v>18648</v>
      </c>
      <c r="B4508" s="292" t="str">
        <f>HYPERLINK("https://akshar-exim-company-pvt-ltd.odoo.com/web#id=22525&amp;action=152&amp;model=crm.lead&amp;view_type=form&amp;menu_id=111","C2011408")</f>
        <v>C2011408</v>
      </c>
      <c r="C4508" s="41" t="s">
        <v>18674</v>
      </c>
      <c r="D4508" s="11"/>
      <c r="E4508" s="11" t="s">
        <v>18675</v>
      </c>
      <c r="F4508" s="90" t="s">
        <v>18676</v>
      </c>
      <c r="G4508" s="321"/>
      <c r="H4508" s="11" t="s">
        <v>18677</v>
      </c>
      <c r="I4508" s="423"/>
      <c r="J4508" s="14"/>
      <c r="K4508" s="13"/>
      <c r="L4508" s="13"/>
      <c r="M4508" s="14"/>
      <c r="N4508" s="15"/>
      <c r="O4508" s="5" t="s">
        <v>10708</v>
      </c>
      <c r="P4508" s="15"/>
      <c r="Q4508" s="15"/>
      <c r="R4508" s="422"/>
      <c r="S4508" s="15"/>
      <c r="T4508" s="15"/>
      <c r="U4508" s="15"/>
      <c r="V4508" s="15"/>
      <c r="W4508" s="15"/>
      <c r="X4508" s="15"/>
      <c r="Y4508" s="15"/>
      <c r="Z4508" s="15"/>
      <c r="AA4508" s="15"/>
    </row>
    <row r="4509">
      <c r="A4509" s="5" t="s">
        <v>18648</v>
      </c>
      <c r="B4509" s="292" t="str">
        <f>HYPERLINK("https://akshar-exim-company-pvt-ltd.odoo.com/web#id=22523&amp;action=152&amp;model=crm.lead&amp;view_type=form&amp;menu_id=111","C2011407")</f>
        <v>C2011407</v>
      </c>
      <c r="C4509" s="41" t="s">
        <v>2880</v>
      </c>
      <c r="D4509" s="405"/>
      <c r="E4509" s="405" t="s">
        <v>539</v>
      </c>
      <c r="F4509" s="9">
        <v>25000.0</v>
      </c>
      <c r="G4509" s="321"/>
      <c r="H4509" s="11" t="s">
        <v>1414</v>
      </c>
      <c r="I4509" s="276"/>
      <c r="J4509" s="11" t="s">
        <v>17976</v>
      </c>
      <c r="K4509" s="12"/>
      <c r="L4509" s="12"/>
      <c r="M4509" s="11" t="s">
        <v>14458</v>
      </c>
      <c r="N4509" s="5" t="s">
        <v>18678</v>
      </c>
      <c r="O4509" s="5" t="s">
        <v>1112</v>
      </c>
      <c r="P4509" s="15"/>
      <c r="Q4509" s="15"/>
      <c r="R4509" s="422"/>
      <c r="S4509" s="15"/>
      <c r="T4509" s="15"/>
      <c r="U4509" s="15"/>
      <c r="V4509" s="15"/>
      <c r="W4509" s="15"/>
      <c r="X4509" s="15"/>
      <c r="Y4509" s="15"/>
      <c r="Z4509" s="15"/>
      <c r="AA4509" s="15"/>
    </row>
    <row r="4510">
      <c r="A4510" s="5" t="s">
        <v>18648</v>
      </c>
      <c r="B4510" s="292" t="str">
        <f>HYPERLINK("https://akshar-exim-company-pvt-ltd.odoo.com/web#id=22522&amp;action=152&amp;model=crm.lead&amp;view_type=form&amp;menu_id=111","C2011406")</f>
        <v>C2011406</v>
      </c>
      <c r="C4510" s="41" t="s">
        <v>243</v>
      </c>
      <c r="D4510" s="11"/>
      <c r="E4510" s="11" t="s">
        <v>18679</v>
      </c>
      <c r="F4510" s="90" t="s">
        <v>18680</v>
      </c>
      <c r="G4510" s="321"/>
      <c r="H4510" s="11" t="s">
        <v>985</v>
      </c>
      <c r="I4510" s="423"/>
      <c r="J4510" s="14"/>
      <c r="K4510" s="13"/>
      <c r="L4510" s="13"/>
      <c r="M4510" s="14"/>
      <c r="N4510" s="15"/>
      <c r="O4510" s="5" t="s">
        <v>10708</v>
      </c>
      <c r="P4510" s="15"/>
      <c r="Q4510" s="15"/>
      <c r="R4510" s="422"/>
      <c r="S4510" s="15"/>
      <c r="T4510" s="15"/>
      <c r="U4510" s="15"/>
      <c r="V4510" s="15"/>
      <c r="W4510" s="15"/>
      <c r="X4510" s="15"/>
      <c r="Y4510" s="15"/>
      <c r="Z4510" s="15"/>
      <c r="AA4510" s="15"/>
    </row>
    <row r="4511">
      <c r="A4511" s="5" t="s">
        <v>18648</v>
      </c>
      <c r="B4511" s="292" t="str">
        <f>HYPERLINK("https://akshar-exim-company-pvt-ltd.odoo.com/web#id=22521&amp;action=152&amp;model=crm.lead&amp;view_type=form&amp;menu_id=111","C2011405")</f>
        <v>C2011405</v>
      </c>
      <c r="C4511" s="41" t="s">
        <v>6794</v>
      </c>
      <c r="D4511" s="405"/>
      <c r="E4511" s="405" t="s">
        <v>9283</v>
      </c>
      <c r="F4511" s="90">
        <v>100.0</v>
      </c>
      <c r="G4511" s="321"/>
      <c r="H4511" s="11" t="s">
        <v>44</v>
      </c>
      <c r="I4511" s="97"/>
      <c r="J4511" s="41" t="s">
        <v>18182</v>
      </c>
      <c r="K4511" s="13"/>
      <c r="L4511" s="13"/>
      <c r="M4511" s="14"/>
      <c r="N4511" s="15"/>
      <c r="O4511" s="5" t="s">
        <v>10708</v>
      </c>
      <c r="P4511" s="15"/>
      <c r="Q4511" s="15"/>
      <c r="R4511" s="422"/>
      <c r="S4511" s="15"/>
      <c r="T4511" s="15"/>
      <c r="U4511" s="15"/>
      <c r="V4511" s="15"/>
      <c r="W4511" s="15"/>
      <c r="X4511" s="15"/>
      <c r="Y4511" s="15"/>
      <c r="Z4511" s="15"/>
      <c r="AA4511" s="15"/>
    </row>
    <row r="4512">
      <c r="A4512" s="5" t="s">
        <v>18648</v>
      </c>
      <c r="B4512" s="292" t="str">
        <f>HYPERLINK("https://akshar-exim-company-pvt-ltd.odoo.com/web#id=22519&amp;action=152&amp;model=crm.lead&amp;view_type=form&amp;menu_id=111","C2011404")</f>
        <v>C2011404</v>
      </c>
      <c r="C4512" s="41" t="s">
        <v>18681</v>
      </c>
      <c r="D4512" s="41"/>
      <c r="E4512" s="41" t="s">
        <v>18682</v>
      </c>
      <c r="F4512" s="90">
        <v>1.0</v>
      </c>
      <c r="G4512" s="321"/>
      <c r="H4512" s="11" t="s">
        <v>906</v>
      </c>
      <c r="I4512" s="423"/>
      <c r="J4512" s="14"/>
      <c r="K4512" s="13"/>
      <c r="L4512" s="13"/>
      <c r="M4512" s="14"/>
      <c r="N4512" s="15"/>
      <c r="O4512" s="5" t="s">
        <v>10708</v>
      </c>
      <c r="P4512" s="15"/>
      <c r="Q4512" s="15"/>
      <c r="R4512" s="422"/>
      <c r="S4512" s="15"/>
      <c r="T4512" s="15"/>
      <c r="U4512" s="15"/>
      <c r="V4512" s="15"/>
      <c r="W4512" s="15"/>
      <c r="X4512" s="15"/>
      <c r="Y4512" s="15"/>
      <c r="Z4512" s="15"/>
      <c r="AA4512" s="15"/>
    </row>
    <row r="4513">
      <c r="A4513" s="5" t="s">
        <v>18648</v>
      </c>
      <c r="B4513" s="292" t="str">
        <f>HYPERLINK("https://akshar-exim-company-pvt-ltd.odoo.com/web#id=22517&amp;action=152&amp;model=crm.lead&amp;view_type=form&amp;menu_id=111","C2011403")</f>
        <v>C2011403</v>
      </c>
      <c r="C4513" s="41" t="s">
        <v>18683</v>
      </c>
      <c r="D4513" s="11"/>
      <c r="E4513" s="11" t="s">
        <v>13809</v>
      </c>
      <c r="F4513" s="90">
        <v>25.0</v>
      </c>
      <c r="G4513" s="321"/>
      <c r="H4513" s="11" t="s">
        <v>906</v>
      </c>
      <c r="I4513" s="423"/>
      <c r="J4513" s="14"/>
      <c r="K4513" s="13"/>
      <c r="L4513" s="13"/>
      <c r="M4513" s="14"/>
      <c r="N4513" s="15"/>
      <c r="O4513" s="5" t="s">
        <v>10708</v>
      </c>
      <c r="P4513" s="15"/>
      <c r="Q4513" s="15"/>
      <c r="R4513" s="422"/>
      <c r="S4513" s="15"/>
      <c r="T4513" s="15"/>
      <c r="U4513" s="15"/>
      <c r="V4513" s="15"/>
      <c r="W4513" s="15"/>
      <c r="X4513" s="15"/>
      <c r="Y4513" s="15"/>
      <c r="Z4513" s="15"/>
      <c r="AA4513" s="15"/>
    </row>
    <row r="4514">
      <c r="A4514" s="5" t="s">
        <v>18648</v>
      </c>
      <c r="B4514" s="292" t="str">
        <f>HYPERLINK("https://akshar-exim-company-pvt-ltd.odoo.com/web#id=22514&amp;action=152&amp;model=crm.lead&amp;view_type=form&amp;menu_id=111","C2011402")</f>
        <v>C2011402</v>
      </c>
      <c r="C4514" s="41" t="s">
        <v>18684</v>
      </c>
      <c r="D4514" s="405"/>
      <c r="E4514" s="405" t="s">
        <v>1749</v>
      </c>
      <c r="F4514" s="90">
        <v>10.0</v>
      </c>
      <c r="G4514" s="430"/>
      <c r="H4514" s="41" t="s">
        <v>18685</v>
      </c>
      <c r="I4514" s="423"/>
      <c r="J4514" s="14"/>
      <c r="K4514" s="13"/>
      <c r="L4514" s="13"/>
      <c r="M4514" s="14"/>
      <c r="N4514" s="15"/>
      <c r="O4514" s="5" t="s">
        <v>10708</v>
      </c>
      <c r="P4514" s="15"/>
      <c r="Q4514" s="15"/>
      <c r="R4514" s="422"/>
      <c r="S4514" s="15"/>
      <c r="T4514" s="15"/>
      <c r="U4514" s="15"/>
      <c r="V4514" s="15"/>
      <c r="W4514" s="15"/>
      <c r="X4514" s="15"/>
      <c r="Y4514" s="15"/>
      <c r="Z4514" s="15"/>
      <c r="AA4514" s="15"/>
    </row>
    <row r="4515">
      <c r="A4515" s="5" t="s">
        <v>18648</v>
      </c>
      <c r="B4515" s="292" t="str">
        <f>HYPERLINK("https://akshar-exim-company-pvt-ltd.odoo.com/web#id=22513&amp;action=152&amp;model=crm.lead&amp;view_type=form&amp;menu_id=111","C2011401")</f>
        <v>C2011401</v>
      </c>
      <c r="C4515" s="41" t="s">
        <v>18686</v>
      </c>
      <c r="D4515" s="41"/>
      <c r="E4515" s="41" t="s">
        <v>18687</v>
      </c>
      <c r="F4515" s="90">
        <v>500.0</v>
      </c>
      <c r="G4515" s="430"/>
      <c r="H4515" s="41" t="s">
        <v>18688</v>
      </c>
      <c r="I4515" s="97"/>
      <c r="J4515" s="41" t="s">
        <v>18182</v>
      </c>
      <c r="K4515" s="12"/>
      <c r="L4515" s="12"/>
      <c r="M4515" s="11" t="s">
        <v>13221</v>
      </c>
      <c r="N4515" s="5" t="s">
        <v>18689</v>
      </c>
      <c r="O4515" s="5" t="s">
        <v>17993</v>
      </c>
      <c r="P4515" s="15"/>
      <c r="Q4515" s="15"/>
      <c r="R4515" s="422"/>
      <c r="S4515" s="15"/>
      <c r="T4515" s="15"/>
      <c r="U4515" s="15"/>
      <c r="V4515" s="15"/>
      <c r="W4515" s="15"/>
      <c r="X4515" s="15"/>
      <c r="Y4515" s="15"/>
      <c r="Z4515" s="15"/>
      <c r="AA4515" s="15"/>
    </row>
    <row r="4516">
      <c r="A4516" s="5" t="s">
        <v>18648</v>
      </c>
      <c r="B4516" s="292" t="str">
        <f>HYPERLINK("https://akshar-exim-company-pvt-ltd.odoo.com/web#id=22510&amp;action=152&amp;model=crm.lead&amp;view_type=form&amp;menu_id=111","C2011400")</f>
        <v>C2011400</v>
      </c>
      <c r="C4516" s="41" t="s">
        <v>18690</v>
      </c>
      <c r="D4516" s="405"/>
      <c r="E4516" s="405" t="s">
        <v>18691</v>
      </c>
      <c r="F4516" s="90">
        <v>1.0</v>
      </c>
      <c r="G4516" s="321"/>
      <c r="H4516" s="11" t="s">
        <v>18692</v>
      </c>
      <c r="I4516" s="97"/>
      <c r="J4516" s="41" t="s">
        <v>18182</v>
      </c>
      <c r="K4516" s="13"/>
      <c r="L4516" s="13"/>
      <c r="M4516" s="14"/>
      <c r="N4516" s="15"/>
      <c r="O4516" s="5" t="s">
        <v>10708</v>
      </c>
      <c r="P4516" s="15"/>
      <c r="Q4516" s="15"/>
      <c r="R4516" s="422"/>
      <c r="S4516" s="15"/>
      <c r="T4516" s="15"/>
      <c r="U4516" s="15"/>
      <c r="V4516" s="15"/>
      <c r="W4516" s="15"/>
      <c r="X4516" s="15"/>
      <c r="Y4516" s="15"/>
      <c r="Z4516" s="15"/>
      <c r="AA4516" s="15"/>
    </row>
    <row r="4517">
      <c r="A4517" s="5" t="s">
        <v>18648</v>
      </c>
      <c r="B4517" s="292" t="str">
        <f>HYPERLINK("https://akshar-exim-company-pvt-ltd.odoo.com/web#id=22498&amp;action=152&amp;model=crm.lead&amp;view_type=form&amp;menu_id=111","C2011399")</f>
        <v>C2011399</v>
      </c>
      <c r="C4517" s="41" t="s">
        <v>18693</v>
      </c>
      <c r="D4517" s="41"/>
      <c r="E4517" s="41" t="s">
        <v>97</v>
      </c>
      <c r="F4517" s="90">
        <v>1000.0</v>
      </c>
      <c r="G4517" s="430"/>
      <c r="H4517" s="41" t="s">
        <v>5521</v>
      </c>
      <c r="I4517" s="276"/>
      <c r="J4517" s="11" t="s">
        <v>17976</v>
      </c>
      <c r="K4517" s="12"/>
      <c r="L4517" s="12"/>
      <c r="M4517" s="11" t="s">
        <v>8638</v>
      </c>
      <c r="N4517" s="5" t="s">
        <v>18694</v>
      </c>
      <c r="O4517" s="5" t="s">
        <v>10708</v>
      </c>
      <c r="P4517" s="15"/>
      <c r="Q4517" s="15"/>
      <c r="R4517" s="422"/>
      <c r="S4517" s="15"/>
      <c r="T4517" s="15"/>
      <c r="U4517" s="15"/>
      <c r="V4517" s="15"/>
      <c r="W4517" s="15"/>
      <c r="X4517" s="15"/>
      <c r="Y4517" s="15"/>
      <c r="Z4517" s="15"/>
      <c r="AA4517" s="15"/>
    </row>
    <row r="4518">
      <c r="A4518" s="5" t="s">
        <v>18648</v>
      </c>
      <c r="B4518" s="292" t="str">
        <f>HYPERLINK("https://akshar-exim-company-pvt-ltd.odoo.com/web#id=22483&amp;action=152&amp;model=crm.lead&amp;view_type=form&amp;menu_id=111","C2011398")</f>
        <v>C2011398</v>
      </c>
      <c r="C4518" s="41" t="s">
        <v>4709</v>
      </c>
      <c r="D4518" s="41"/>
      <c r="E4518" s="41" t="s">
        <v>167</v>
      </c>
      <c r="F4518" s="90">
        <v>1.0</v>
      </c>
      <c r="G4518" s="321"/>
      <c r="H4518" s="11" t="s">
        <v>14534</v>
      </c>
      <c r="I4518" s="276"/>
      <c r="J4518" s="11" t="s">
        <v>14563</v>
      </c>
      <c r="K4518" s="13"/>
      <c r="L4518" s="13"/>
      <c r="M4518" s="14"/>
      <c r="N4518" s="15"/>
      <c r="O4518" s="5" t="s">
        <v>10708</v>
      </c>
      <c r="P4518" s="15"/>
      <c r="Q4518" s="15"/>
      <c r="R4518" s="422"/>
      <c r="S4518" s="15"/>
      <c r="T4518" s="15"/>
      <c r="U4518" s="15"/>
      <c r="V4518" s="15"/>
      <c r="W4518" s="15"/>
      <c r="X4518" s="15"/>
      <c r="Y4518" s="15"/>
      <c r="Z4518" s="15"/>
      <c r="AA4518" s="15"/>
    </row>
    <row r="4519">
      <c r="A4519" s="5" t="s">
        <v>18648</v>
      </c>
      <c r="B4519" s="292" t="str">
        <f>HYPERLINK("https://akshar-exim-company-pvt-ltd.odoo.com/web#id=22420&amp;action=152&amp;model=crm.lead&amp;view_type=form&amp;menu_id=111","C2011397")</f>
        <v>C2011397</v>
      </c>
      <c r="C4519" s="41" t="s">
        <v>18695</v>
      </c>
      <c r="D4519" s="41"/>
      <c r="E4519" s="41" t="s">
        <v>9109</v>
      </c>
      <c r="F4519" s="90">
        <v>100.0</v>
      </c>
      <c r="G4519" s="321"/>
      <c r="H4519" s="11" t="s">
        <v>44</v>
      </c>
      <c r="I4519" s="423"/>
      <c r="J4519" s="14"/>
      <c r="K4519" s="13"/>
      <c r="L4519" s="13"/>
      <c r="M4519" s="14"/>
      <c r="N4519" s="15"/>
      <c r="O4519" s="5" t="s">
        <v>10708</v>
      </c>
      <c r="P4519" s="15"/>
      <c r="Q4519" s="15"/>
      <c r="R4519" s="422"/>
      <c r="S4519" s="15"/>
      <c r="T4519" s="15"/>
      <c r="U4519" s="15"/>
      <c r="V4519" s="15"/>
      <c r="W4519" s="15"/>
      <c r="X4519" s="15"/>
      <c r="Y4519" s="15"/>
      <c r="Z4519" s="15"/>
      <c r="AA4519" s="15"/>
    </row>
    <row r="4520">
      <c r="A4520" s="5" t="s">
        <v>18696</v>
      </c>
      <c r="B4520" s="292" t="str">
        <f>HYPERLINK("https://akshar-exim-company-pvt-ltd.odoo.com/web#id=22505&amp;action=152&amp;model=crm.lead&amp;view_type=form&amp;menu_id=111","C2011396")</f>
        <v>C2011396</v>
      </c>
      <c r="C4520" s="40" t="s">
        <v>18697</v>
      </c>
      <c r="D4520" s="11"/>
      <c r="E4520" s="11" t="s">
        <v>18698</v>
      </c>
      <c r="F4520" s="90">
        <v>1000.0</v>
      </c>
      <c r="G4520" s="321"/>
      <c r="H4520" s="11" t="s">
        <v>906</v>
      </c>
      <c r="I4520" s="423"/>
      <c r="J4520" s="14"/>
      <c r="K4520" s="12"/>
      <c r="L4520" s="12"/>
      <c r="M4520" s="11" t="s">
        <v>18699</v>
      </c>
      <c r="N4520" s="5" t="s">
        <v>18700</v>
      </c>
      <c r="O4520" s="5" t="s">
        <v>17993</v>
      </c>
      <c r="P4520" s="15"/>
      <c r="Q4520" s="15"/>
      <c r="R4520" s="422"/>
      <c r="S4520" s="15"/>
      <c r="T4520" s="15"/>
      <c r="U4520" s="15"/>
      <c r="V4520" s="15"/>
      <c r="W4520" s="15"/>
      <c r="X4520" s="15"/>
      <c r="Y4520" s="15"/>
      <c r="Z4520" s="15"/>
      <c r="AA4520" s="15"/>
    </row>
    <row r="4521">
      <c r="A4521" s="5" t="s">
        <v>18696</v>
      </c>
      <c r="B4521" s="292" t="str">
        <f>HYPERLINK("https://akshar-exim-company-pvt-ltd.odoo.com/web#id=22495&amp;action=152&amp;model=crm.lead&amp;view_type=form&amp;menu_id=111","C2011395")</f>
        <v>C2011395</v>
      </c>
      <c r="C4521" s="41" t="s">
        <v>18701</v>
      </c>
      <c r="D4521" s="405"/>
      <c r="E4521" s="405" t="s">
        <v>18702</v>
      </c>
      <c r="F4521" s="90">
        <v>850.0</v>
      </c>
      <c r="G4521" s="430"/>
      <c r="H4521" s="41" t="s">
        <v>18703</v>
      </c>
      <c r="I4521" s="276"/>
      <c r="J4521" s="11" t="s">
        <v>25</v>
      </c>
      <c r="K4521" s="13"/>
      <c r="L4521" s="13"/>
      <c r="M4521" s="14"/>
      <c r="N4521" s="15"/>
      <c r="O4521" s="5" t="s">
        <v>17993</v>
      </c>
      <c r="P4521" s="15"/>
      <c r="Q4521" s="15"/>
      <c r="R4521" s="422"/>
      <c r="S4521" s="15"/>
      <c r="T4521" s="15"/>
      <c r="U4521" s="15"/>
      <c r="V4521" s="15"/>
      <c r="W4521" s="15"/>
      <c r="X4521" s="15"/>
      <c r="Y4521" s="15"/>
      <c r="Z4521" s="15"/>
      <c r="AA4521" s="15"/>
    </row>
    <row r="4522">
      <c r="A4522" s="5" t="s">
        <v>18696</v>
      </c>
      <c r="B4522" s="292" t="str">
        <f>HYPERLINK("https://akshar-exim-company-pvt-ltd.odoo.com/web#id=22493&amp;action=152&amp;model=crm.lead&amp;view_type=form&amp;menu_id=111","C2011394")</f>
        <v>C2011394</v>
      </c>
      <c r="C4522" s="41" t="s">
        <v>18704</v>
      </c>
      <c r="D4522" s="405"/>
      <c r="E4522" s="405" t="s">
        <v>9109</v>
      </c>
      <c r="F4522" s="90">
        <v>50.0</v>
      </c>
      <c r="G4522" s="430"/>
      <c r="H4522" s="41" t="s">
        <v>18705</v>
      </c>
      <c r="I4522" s="276"/>
      <c r="J4522" s="11" t="s">
        <v>25</v>
      </c>
      <c r="K4522" s="13"/>
      <c r="L4522" s="13"/>
      <c r="M4522" s="14"/>
      <c r="N4522" s="15"/>
      <c r="O4522" s="5" t="s">
        <v>10708</v>
      </c>
      <c r="P4522" s="15"/>
      <c r="Q4522" s="15"/>
      <c r="R4522" s="422"/>
      <c r="S4522" s="15"/>
      <c r="T4522" s="15"/>
      <c r="U4522" s="15"/>
      <c r="V4522" s="15"/>
      <c r="W4522" s="15"/>
      <c r="X4522" s="15"/>
      <c r="Y4522" s="15"/>
      <c r="Z4522" s="15"/>
      <c r="AA4522" s="15"/>
    </row>
    <row r="4523">
      <c r="A4523" s="5" t="s">
        <v>18696</v>
      </c>
      <c r="B4523" s="292" t="str">
        <f>HYPERLINK("https://akshar-exim-company-pvt-ltd.odoo.com/web#id=22492&amp;action=152&amp;model=crm.lead&amp;view_type=form&amp;menu_id=111","C2011393")</f>
        <v>C2011393</v>
      </c>
      <c r="C4523" s="41" t="s">
        <v>18706</v>
      </c>
      <c r="D4523" s="41"/>
      <c r="E4523" s="41" t="s">
        <v>18707</v>
      </c>
      <c r="F4523" s="9">
        <v>2000000.0</v>
      </c>
      <c r="G4523" s="430"/>
      <c r="H4523" s="41" t="s">
        <v>18708</v>
      </c>
      <c r="I4523" s="276"/>
      <c r="J4523" s="11" t="s">
        <v>18709</v>
      </c>
      <c r="K4523" s="12"/>
      <c r="L4523" s="12"/>
      <c r="M4523" s="11" t="s">
        <v>9445</v>
      </c>
      <c r="N4523" s="5" t="s">
        <v>18710</v>
      </c>
      <c r="O4523" s="5" t="s">
        <v>1112</v>
      </c>
      <c r="P4523" s="15"/>
      <c r="Q4523" s="15"/>
      <c r="R4523" s="422"/>
      <c r="S4523" s="15"/>
      <c r="T4523" s="15"/>
      <c r="U4523" s="15"/>
      <c r="V4523" s="15"/>
      <c r="W4523" s="15"/>
      <c r="X4523" s="15"/>
      <c r="Y4523" s="15"/>
      <c r="Z4523" s="15"/>
      <c r="AA4523" s="15"/>
    </row>
    <row r="4524">
      <c r="A4524" s="5" t="s">
        <v>18696</v>
      </c>
      <c r="B4524" s="292" t="str">
        <f>HYPERLINK("https://akshar-exim-company-pvt-ltd.odoo.com/web#id=22491&amp;action=152&amp;model=crm.lead&amp;view_type=form&amp;menu_id=111","C2011392")</f>
        <v>C2011392</v>
      </c>
      <c r="C4524" s="41" t="s">
        <v>18711</v>
      </c>
      <c r="D4524" s="11"/>
      <c r="E4524" s="11" t="s">
        <v>152</v>
      </c>
      <c r="F4524" s="90">
        <v>2000.0</v>
      </c>
      <c r="G4524" s="430"/>
      <c r="H4524" s="41" t="s">
        <v>9266</v>
      </c>
      <c r="I4524" s="423"/>
      <c r="J4524" s="14"/>
      <c r="K4524" s="12"/>
      <c r="L4524" s="12"/>
      <c r="M4524" s="11" t="s">
        <v>16591</v>
      </c>
      <c r="N4524" s="5" t="s">
        <v>18712</v>
      </c>
      <c r="O4524" s="5" t="s">
        <v>17993</v>
      </c>
      <c r="P4524" s="15"/>
      <c r="Q4524" s="15"/>
      <c r="R4524" s="422"/>
      <c r="S4524" s="15"/>
      <c r="T4524" s="15"/>
      <c r="U4524" s="15"/>
      <c r="V4524" s="15"/>
      <c r="W4524" s="15"/>
      <c r="X4524" s="15"/>
      <c r="Y4524" s="15"/>
      <c r="Z4524" s="15"/>
      <c r="AA4524" s="15"/>
    </row>
    <row r="4525">
      <c r="A4525" s="5" t="s">
        <v>18696</v>
      </c>
      <c r="B4525" s="292" t="str">
        <f>HYPERLINK("https://akshar-exim-company-pvt-ltd.odoo.com/web#id=22490&amp;action=152&amp;model=crm.lead&amp;view_type=form&amp;menu_id=111","C2011391")</f>
        <v>C2011391</v>
      </c>
      <c r="C4525" s="41" t="s">
        <v>18713</v>
      </c>
      <c r="D4525" s="11"/>
      <c r="E4525" s="11" t="s">
        <v>130</v>
      </c>
      <c r="F4525" s="90">
        <v>100.0</v>
      </c>
      <c r="G4525" s="430"/>
      <c r="H4525" s="41" t="s">
        <v>3844</v>
      </c>
      <c r="I4525" s="97"/>
      <c r="J4525" s="41" t="s">
        <v>18182</v>
      </c>
      <c r="K4525" s="13"/>
      <c r="L4525" s="13"/>
      <c r="M4525" s="14"/>
      <c r="N4525" s="15"/>
      <c r="O4525" s="5" t="s">
        <v>10708</v>
      </c>
      <c r="P4525" s="15"/>
      <c r="Q4525" s="15"/>
      <c r="R4525" s="422"/>
      <c r="S4525" s="15"/>
      <c r="T4525" s="15"/>
      <c r="U4525" s="15"/>
      <c r="V4525" s="15"/>
      <c r="W4525" s="15"/>
      <c r="X4525" s="15"/>
      <c r="Y4525" s="15"/>
      <c r="Z4525" s="15"/>
      <c r="AA4525" s="15"/>
    </row>
    <row r="4526">
      <c r="A4526" s="5" t="s">
        <v>18696</v>
      </c>
      <c r="B4526" s="292" t="str">
        <f>HYPERLINK("https://akshar-exim-company-pvt-ltd.odoo.com/web#id=22485&amp;action=152&amp;model=crm.lead&amp;view_type=form&amp;menu_id=111","C2011390")</f>
        <v>C2011390</v>
      </c>
      <c r="C4526" s="41" t="s">
        <v>18714</v>
      </c>
      <c r="D4526" s="41"/>
      <c r="E4526" s="41" t="s">
        <v>222</v>
      </c>
      <c r="F4526" s="9">
        <v>400000.0</v>
      </c>
      <c r="G4526" s="321"/>
      <c r="H4526" s="11" t="s">
        <v>2478</v>
      </c>
      <c r="I4526" s="276"/>
      <c r="J4526" s="11" t="s">
        <v>17976</v>
      </c>
      <c r="K4526" s="12"/>
      <c r="L4526" s="12"/>
      <c r="M4526" s="11" t="s">
        <v>13902</v>
      </c>
      <c r="N4526" s="5" t="s">
        <v>18715</v>
      </c>
      <c r="O4526" s="5" t="s">
        <v>1112</v>
      </c>
      <c r="P4526" s="15"/>
      <c r="Q4526" s="15"/>
      <c r="R4526" s="422"/>
      <c r="S4526" s="15"/>
      <c r="T4526" s="15"/>
      <c r="U4526" s="15"/>
      <c r="V4526" s="15"/>
      <c r="W4526" s="15"/>
      <c r="X4526" s="15"/>
      <c r="Y4526" s="15"/>
      <c r="Z4526" s="15"/>
      <c r="AA4526" s="15"/>
    </row>
    <row r="4527">
      <c r="A4527" s="5" t="s">
        <v>18696</v>
      </c>
      <c r="B4527" s="292" t="str">
        <f>HYPERLINK("https://akshar-exim-company-pvt-ltd.odoo.com/web#id=22482&amp;action=152&amp;model=crm.lead&amp;view_type=form&amp;menu_id=111","C2011389")</f>
        <v>C2011389</v>
      </c>
      <c r="C4527" s="41" t="s">
        <v>18716</v>
      </c>
      <c r="D4527" s="405"/>
      <c r="E4527" s="405" t="s">
        <v>10433</v>
      </c>
      <c r="F4527" s="90">
        <v>25.0</v>
      </c>
      <c r="G4527" s="430"/>
      <c r="H4527" s="41" t="s">
        <v>18717</v>
      </c>
      <c r="I4527" s="276"/>
      <c r="J4527" s="11" t="s">
        <v>17976</v>
      </c>
      <c r="K4527" s="13"/>
      <c r="L4527" s="13"/>
      <c r="M4527" s="14"/>
      <c r="N4527" s="15"/>
      <c r="O4527" s="5" t="s">
        <v>10708</v>
      </c>
      <c r="P4527" s="15"/>
      <c r="Q4527" s="15"/>
      <c r="R4527" s="422"/>
      <c r="S4527" s="15"/>
      <c r="T4527" s="15"/>
      <c r="U4527" s="15"/>
      <c r="V4527" s="15"/>
      <c r="W4527" s="15"/>
      <c r="X4527" s="15"/>
      <c r="Y4527" s="15"/>
      <c r="Z4527" s="15"/>
      <c r="AA4527" s="15"/>
    </row>
    <row r="4528">
      <c r="A4528" s="5" t="s">
        <v>18696</v>
      </c>
      <c r="B4528" s="292" t="str">
        <f>HYPERLINK("https://akshar-exim-company-pvt-ltd.odoo.com/web#id=22479&amp;action=152&amp;model=crm.lead&amp;view_type=form&amp;menu_id=111","C2011388")</f>
        <v>C2011388</v>
      </c>
      <c r="C4528" s="41" t="s">
        <v>18718</v>
      </c>
      <c r="D4528" s="41"/>
      <c r="E4528" s="41" t="s">
        <v>412</v>
      </c>
      <c r="F4528" s="90">
        <v>1.0</v>
      </c>
      <c r="G4528" s="430"/>
      <c r="H4528" s="41" t="s">
        <v>18719</v>
      </c>
      <c r="I4528" s="276"/>
      <c r="J4528" s="11" t="s">
        <v>13956</v>
      </c>
      <c r="K4528" s="13"/>
      <c r="L4528" s="13"/>
      <c r="M4528" s="14"/>
      <c r="N4528" s="15"/>
      <c r="O4528" s="5" t="s">
        <v>10708</v>
      </c>
      <c r="P4528" s="15"/>
      <c r="Q4528" s="15"/>
      <c r="R4528" s="422"/>
      <c r="S4528" s="15"/>
      <c r="T4528" s="15"/>
      <c r="U4528" s="15"/>
      <c r="V4528" s="15"/>
      <c r="W4528" s="15"/>
      <c r="X4528" s="15"/>
      <c r="Y4528" s="15"/>
      <c r="Z4528" s="15"/>
      <c r="AA4528" s="15"/>
    </row>
    <row r="4529">
      <c r="A4529" s="5" t="s">
        <v>18696</v>
      </c>
      <c r="B4529" s="292" t="str">
        <f>HYPERLINK("https://akshar-exim-company-pvt-ltd.odoo.com/web#id=22478&amp;action=152&amp;model=crm.lead&amp;view_type=form&amp;menu_id=111","C2011387")</f>
        <v>C2011387</v>
      </c>
      <c r="C4529" s="41" t="s">
        <v>18720</v>
      </c>
      <c r="D4529" s="41"/>
      <c r="E4529" s="41" t="s">
        <v>156</v>
      </c>
      <c r="F4529" s="90">
        <v>5.0</v>
      </c>
      <c r="G4529" s="430"/>
      <c r="H4529" s="41" t="s">
        <v>5025</v>
      </c>
      <c r="I4529" s="276"/>
      <c r="J4529" s="11" t="s">
        <v>18182</v>
      </c>
      <c r="K4529" s="13"/>
      <c r="L4529" s="13"/>
      <c r="M4529" s="14"/>
      <c r="N4529" s="15"/>
      <c r="O4529" s="5" t="s">
        <v>10708</v>
      </c>
      <c r="P4529" s="15"/>
      <c r="Q4529" s="15"/>
      <c r="R4529" s="422"/>
      <c r="S4529" s="15"/>
      <c r="T4529" s="15"/>
      <c r="U4529" s="15"/>
      <c r="V4529" s="15"/>
      <c r="W4529" s="15"/>
      <c r="X4529" s="15"/>
      <c r="Y4529" s="15"/>
      <c r="Z4529" s="15"/>
      <c r="AA4529" s="15"/>
    </row>
    <row r="4530">
      <c r="A4530" s="5" t="s">
        <v>18696</v>
      </c>
      <c r="B4530" s="292" t="str">
        <f>HYPERLINK("https://akshar-exim-company-pvt-ltd.odoo.com/web#id=22477&amp;action=152&amp;model=crm.lead&amp;view_type=form&amp;menu_id=111","C2011386")</f>
        <v>C2011386</v>
      </c>
      <c r="C4530" s="41" t="s">
        <v>18721</v>
      </c>
      <c r="D4530" s="405"/>
      <c r="E4530" s="405" t="s">
        <v>7700</v>
      </c>
      <c r="F4530" s="90" t="s">
        <v>18722</v>
      </c>
      <c r="G4530" s="430"/>
      <c r="H4530" s="41" t="s">
        <v>18723</v>
      </c>
      <c r="I4530" s="97"/>
      <c r="J4530" s="41" t="s">
        <v>18182</v>
      </c>
      <c r="K4530" s="12"/>
      <c r="L4530" s="12"/>
      <c r="M4530" s="11" t="s">
        <v>18327</v>
      </c>
      <c r="N4530" s="5" t="s">
        <v>18724</v>
      </c>
      <c r="O4530" s="5" t="s">
        <v>17993</v>
      </c>
      <c r="P4530" s="15"/>
      <c r="Q4530" s="15"/>
      <c r="R4530" s="422"/>
      <c r="S4530" s="15"/>
      <c r="T4530" s="15"/>
      <c r="U4530" s="15"/>
      <c r="V4530" s="15"/>
      <c r="W4530" s="15"/>
      <c r="X4530" s="15"/>
      <c r="Y4530" s="15"/>
      <c r="Z4530" s="15"/>
      <c r="AA4530" s="15"/>
    </row>
    <row r="4531">
      <c r="A4531" s="5" t="s">
        <v>18696</v>
      </c>
      <c r="B4531" s="292" t="str">
        <f>HYPERLINK("https://akshar-exim-company-pvt-ltd.odoo.com/web#id=22467&amp;action=152&amp;model=crm.lead&amp;view_type=form&amp;menu_id=111","C2011385")</f>
        <v>C2011385</v>
      </c>
      <c r="C4531" s="41" t="s">
        <v>18725</v>
      </c>
      <c r="D4531" s="405"/>
      <c r="E4531" s="405" t="s">
        <v>501</v>
      </c>
      <c r="F4531" s="90">
        <v>5.0</v>
      </c>
      <c r="G4531" s="321"/>
      <c r="H4531" s="11" t="s">
        <v>18726</v>
      </c>
      <c r="I4531" s="423"/>
      <c r="J4531" s="14"/>
      <c r="K4531" s="13"/>
      <c r="L4531" s="13"/>
      <c r="M4531" s="14"/>
      <c r="N4531" s="15"/>
      <c r="O4531" s="5" t="s">
        <v>10708</v>
      </c>
      <c r="P4531" s="15"/>
      <c r="Q4531" s="15"/>
      <c r="R4531" s="422"/>
      <c r="S4531" s="15"/>
      <c r="T4531" s="15"/>
      <c r="U4531" s="15"/>
      <c r="V4531" s="15"/>
      <c r="W4531" s="15"/>
      <c r="X4531" s="15"/>
      <c r="Y4531" s="15"/>
      <c r="Z4531" s="15"/>
      <c r="AA4531" s="15"/>
    </row>
    <row r="4532">
      <c r="A4532" s="5" t="s">
        <v>18696</v>
      </c>
      <c r="B4532" s="292" t="str">
        <f>HYPERLINK("https://akshar-exim-company-pvt-ltd.odoo.com/web#id=22450&amp;action=152&amp;model=crm.lead&amp;view_type=form&amp;menu_id=111","C2011384")</f>
        <v>C2011384</v>
      </c>
      <c r="C4532" s="41" t="s">
        <v>18727</v>
      </c>
      <c r="D4532" s="41"/>
      <c r="E4532" s="41" t="s">
        <v>18354</v>
      </c>
      <c r="F4532" s="9">
        <v>60000.0</v>
      </c>
      <c r="G4532" s="321"/>
      <c r="H4532" s="11" t="s">
        <v>906</v>
      </c>
      <c r="I4532" s="423"/>
      <c r="J4532" s="14"/>
      <c r="K4532" s="12"/>
      <c r="L4532" s="12"/>
      <c r="M4532" s="11" t="s">
        <v>13381</v>
      </c>
      <c r="N4532" s="5" t="s">
        <v>18728</v>
      </c>
      <c r="O4532" s="5" t="s">
        <v>17993</v>
      </c>
      <c r="P4532" s="15"/>
      <c r="Q4532" s="15"/>
      <c r="R4532" s="422"/>
      <c r="S4532" s="15"/>
      <c r="T4532" s="15"/>
      <c r="U4532" s="15"/>
      <c r="V4532" s="15"/>
      <c r="W4532" s="15"/>
      <c r="X4532" s="15"/>
      <c r="Y4532" s="15"/>
      <c r="Z4532" s="15"/>
      <c r="AA4532" s="15"/>
    </row>
    <row r="4533">
      <c r="A4533" s="5" t="s">
        <v>18696</v>
      </c>
      <c r="B4533" s="292" t="str">
        <f>HYPERLINK("https://akshar-exim-company-pvt-ltd.odoo.com/web#id=22449&amp;action=152&amp;model=crm.lead&amp;view_type=form&amp;menu_id=111","C2011383")</f>
        <v>C2011383</v>
      </c>
      <c r="C4533" s="41" t="s">
        <v>18729</v>
      </c>
      <c r="D4533" s="11"/>
      <c r="E4533" s="11" t="s">
        <v>152</v>
      </c>
      <c r="F4533" s="90">
        <v>500.0</v>
      </c>
      <c r="G4533" s="430"/>
      <c r="H4533" s="41" t="s">
        <v>18730</v>
      </c>
      <c r="I4533" s="276"/>
      <c r="J4533" s="11" t="s">
        <v>18182</v>
      </c>
      <c r="K4533" s="12"/>
      <c r="L4533" s="12"/>
      <c r="M4533" s="11" t="s">
        <v>18665</v>
      </c>
      <c r="N4533" s="5" t="s">
        <v>18731</v>
      </c>
      <c r="O4533" s="5" t="s">
        <v>1112</v>
      </c>
      <c r="P4533" s="15"/>
      <c r="Q4533" s="15"/>
      <c r="R4533" s="422"/>
      <c r="S4533" s="15"/>
      <c r="T4533" s="15"/>
      <c r="U4533" s="15"/>
      <c r="V4533" s="15"/>
      <c r="W4533" s="15"/>
      <c r="X4533" s="15"/>
      <c r="Y4533" s="15"/>
      <c r="Z4533" s="15"/>
      <c r="AA4533" s="15"/>
    </row>
    <row r="4534">
      <c r="A4534" s="5" t="s">
        <v>18696</v>
      </c>
      <c r="B4534" s="292" t="str">
        <f>HYPERLINK("https://akshar-exim-company-pvt-ltd.odoo.com/web#id=22432&amp;action=152&amp;model=crm.lead&amp;view_type=form&amp;menu_id=111","C2011382")</f>
        <v>C2011382</v>
      </c>
      <c r="C4534" s="41" t="s">
        <v>18732</v>
      </c>
      <c r="D4534" s="41"/>
      <c r="E4534" s="41" t="s">
        <v>207</v>
      </c>
      <c r="F4534" s="90">
        <v>1000.0</v>
      </c>
      <c r="G4534" s="321"/>
      <c r="H4534" s="11" t="s">
        <v>18733</v>
      </c>
      <c r="I4534" s="276"/>
      <c r="J4534" s="11" t="s">
        <v>8737</v>
      </c>
      <c r="K4534" s="12"/>
      <c r="L4534" s="12"/>
      <c r="M4534" s="11" t="s">
        <v>10955</v>
      </c>
      <c r="N4534" s="5" t="s">
        <v>18734</v>
      </c>
      <c r="O4534" s="5" t="s">
        <v>1112</v>
      </c>
      <c r="P4534" s="15"/>
      <c r="Q4534" s="15"/>
      <c r="R4534" s="422"/>
      <c r="S4534" s="15"/>
      <c r="T4534" s="15"/>
      <c r="U4534" s="15"/>
      <c r="V4534" s="15"/>
      <c r="W4534" s="15"/>
      <c r="X4534" s="15"/>
      <c r="Y4534" s="15"/>
      <c r="Z4534" s="15"/>
      <c r="AA4534" s="15"/>
    </row>
    <row r="4535">
      <c r="A4535" s="5" t="s">
        <v>18696</v>
      </c>
      <c r="B4535" s="292" t="str">
        <f>HYPERLINK("https://akshar-exim-company-pvt-ltd.odoo.com/web#id=22422&amp;action=152&amp;model=crm.lead&amp;view_type=form&amp;menu_id=111","C2011381")</f>
        <v>C2011381</v>
      </c>
      <c r="C4535" s="41" t="s">
        <v>18735</v>
      </c>
      <c r="D4535" s="41"/>
      <c r="E4535" s="41" t="s">
        <v>9492</v>
      </c>
      <c r="F4535" s="90">
        <v>5000.0</v>
      </c>
      <c r="G4535" s="430"/>
      <c r="H4535" s="41" t="s">
        <v>4641</v>
      </c>
      <c r="I4535" s="276"/>
      <c r="J4535" s="11" t="s">
        <v>18182</v>
      </c>
      <c r="K4535" s="12"/>
      <c r="L4535" s="12"/>
      <c r="M4535" s="11" t="s">
        <v>8860</v>
      </c>
      <c r="N4535" s="5" t="s">
        <v>18736</v>
      </c>
      <c r="O4535" s="5" t="s">
        <v>1112</v>
      </c>
      <c r="P4535" s="15"/>
      <c r="Q4535" s="15"/>
      <c r="R4535" s="422"/>
      <c r="S4535" s="15"/>
      <c r="T4535" s="15"/>
      <c r="U4535" s="15"/>
      <c r="V4535" s="15"/>
      <c r="W4535" s="15"/>
      <c r="X4535" s="15"/>
      <c r="Y4535" s="15"/>
      <c r="Z4535" s="15"/>
      <c r="AA4535" s="15"/>
    </row>
    <row r="4536">
      <c r="A4536" s="5" t="s">
        <v>18696</v>
      </c>
      <c r="B4536" s="292" t="str">
        <f>HYPERLINK("https://akshar-exim-company-pvt-ltd.odoo.com/web#id=22417&amp;action=152&amp;model=crm.lead&amp;view_type=form&amp;menu_id=111","C2011380")</f>
        <v>C2011380</v>
      </c>
      <c r="C4536" s="41" t="s">
        <v>18737</v>
      </c>
      <c r="D4536" s="41"/>
      <c r="E4536" s="41" t="s">
        <v>18738</v>
      </c>
      <c r="F4536" s="90">
        <v>5000.0</v>
      </c>
      <c r="G4536" s="430"/>
      <c r="H4536" s="41" t="s">
        <v>7017</v>
      </c>
      <c r="I4536" s="276"/>
      <c r="J4536" s="11" t="s">
        <v>18182</v>
      </c>
      <c r="K4536" s="12"/>
      <c r="L4536" s="12"/>
      <c r="M4536" s="11" t="s">
        <v>9776</v>
      </c>
      <c r="N4536" s="5" t="s">
        <v>18739</v>
      </c>
      <c r="O4536" s="5" t="s">
        <v>1112</v>
      </c>
      <c r="P4536" s="15"/>
      <c r="Q4536" s="15"/>
      <c r="R4536" s="422"/>
      <c r="S4536" s="15"/>
      <c r="T4536" s="15"/>
      <c r="U4536" s="15"/>
      <c r="V4536" s="15"/>
      <c r="W4536" s="15"/>
      <c r="X4536" s="15"/>
      <c r="Y4536" s="15"/>
      <c r="Z4536" s="15"/>
      <c r="AA4536" s="15"/>
    </row>
    <row r="4537">
      <c r="A4537" s="5" t="s">
        <v>18696</v>
      </c>
      <c r="B4537" s="292" t="str">
        <f>HYPERLINK("https://akshar-exim-company-pvt-ltd.odoo.com/web#id=22416&amp;action=152&amp;model=crm.lead&amp;view_type=form&amp;menu_id=111","C2011379")</f>
        <v>C2011379</v>
      </c>
      <c r="C4537" s="41" t="s">
        <v>18740</v>
      </c>
      <c r="D4537" s="41"/>
      <c r="E4537" s="41" t="s">
        <v>1910</v>
      </c>
      <c r="F4537" s="90">
        <v>300.0</v>
      </c>
      <c r="G4537" s="430"/>
      <c r="H4537" s="41" t="s">
        <v>18741</v>
      </c>
      <c r="I4537" s="97"/>
      <c r="J4537" s="41" t="s">
        <v>18182</v>
      </c>
      <c r="K4537" s="13"/>
      <c r="L4537" s="13"/>
      <c r="M4537" s="14"/>
      <c r="N4537" s="15"/>
      <c r="O4537" s="5" t="s">
        <v>17993</v>
      </c>
      <c r="P4537" s="15"/>
      <c r="Q4537" s="15"/>
      <c r="R4537" s="422"/>
      <c r="S4537" s="15"/>
      <c r="T4537" s="15"/>
      <c r="U4537" s="15"/>
      <c r="V4537" s="15"/>
      <c r="W4537" s="15"/>
      <c r="X4537" s="15"/>
      <c r="Y4537" s="15"/>
      <c r="Z4537" s="15"/>
      <c r="AA4537" s="15"/>
    </row>
    <row r="4538">
      <c r="A4538" s="5" t="s">
        <v>18696</v>
      </c>
      <c r="B4538" s="292" t="str">
        <f>HYPERLINK("https://akshar-exim-company-pvt-ltd.odoo.com/web#id=22414&amp;action=152&amp;model=crm.lead&amp;view_type=form&amp;menu_id=111","C2011378")</f>
        <v>C2011378</v>
      </c>
      <c r="C4538" s="41" t="s">
        <v>18742</v>
      </c>
      <c r="D4538" s="41"/>
      <c r="E4538" s="41" t="s">
        <v>18743</v>
      </c>
      <c r="F4538" s="9">
        <v>80000.0</v>
      </c>
      <c r="G4538" s="430"/>
      <c r="H4538" s="41" t="s">
        <v>18708</v>
      </c>
      <c r="I4538" s="423"/>
      <c r="J4538" s="14"/>
      <c r="K4538" s="12"/>
      <c r="L4538" s="12"/>
      <c r="M4538" s="11" t="s">
        <v>8860</v>
      </c>
      <c r="N4538" s="5" t="s">
        <v>18744</v>
      </c>
      <c r="O4538" s="5" t="s">
        <v>1112</v>
      </c>
      <c r="P4538" s="15"/>
      <c r="Q4538" s="15"/>
      <c r="R4538" s="422"/>
      <c r="S4538" s="15"/>
      <c r="T4538" s="15"/>
      <c r="U4538" s="15"/>
      <c r="V4538" s="15"/>
      <c r="W4538" s="15"/>
      <c r="X4538" s="15"/>
      <c r="Y4538" s="15"/>
      <c r="Z4538" s="15"/>
      <c r="AA4538" s="15"/>
    </row>
    <row r="4539">
      <c r="A4539" s="5" t="s">
        <v>18696</v>
      </c>
      <c r="B4539" s="292" t="str">
        <f>HYPERLINK("https://akshar-exim-company-pvt-ltd.odoo.com/web#id=22452&amp;action=152&amp;model=crm.lead&amp;view_type=form&amp;menu_id=111","C2011377")</f>
        <v>C2011377</v>
      </c>
      <c r="C4539" s="41" t="s">
        <v>18745</v>
      </c>
      <c r="D4539" s="41"/>
      <c r="E4539" s="41" t="s">
        <v>18746</v>
      </c>
      <c r="F4539" s="90">
        <v>25.0</v>
      </c>
      <c r="G4539" s="321"/>
      <c r="H4539" s="11" t="s">
        <v>519</v>
      </c>
      <c r="I4539" s="276"/>
      <c r="J4539" s="11" t="s">
        <v>25</v>
      </c>
      <c r="K4539" s="13"/>
      <c r="L4539" s="13"/>
      <c r="M4539" s="14"/>
      <c r="N4539" s="15"/>
      <c r="O4539" s="5" t="s">
        <v>10708</v>
      </c>
      <c r="P4539" s="15"/>
      <c r="Q4539" s="15"/>
      <c r="R4539" s="422"/>
      <c r="S4539" s="15"/>
      <c r="T4539" s="15"/>
      <c r="U4539" s="15"/>
      <c r="V4539" s="15"/>
      <c r="W4539" s="15"/>
      <c r="X4539" s="15"/>
      <c r="Y4539" s="15"/>
      <c r="Z4539" s="15"/>
      <c r="AA4539" s="15"/>
    </row>
    <row r="4540">
      <c r="A4540" s="5" t="s">
        <v>18696</v>
      </c>
      <c r="B4540" s="292" t="str">
        <f>HYPERLINK("https://akshar-exim-company-pvt-ltd.odoo.com/web#id=22460&amp;action=152&amp;model=crm.lead&amp;view_type=form&amp;menu_id=111","C2011376")</f>
        <v>C2011376</v>
      </c>
      <c r="C4540" s="41" t="s">
        <v>18747</v>
      </c>
      <c r="D4540" s="11"/>
      <c r="E4540" s="11" t="s">
        <v>18748</v>
      </c>
      <c r="F4540" s="90" t="s">
        <v>18749</v>
      </c>
      <c r="G4540" s="430"/>
      <c r="H4540" s="41" t="s">
        <v>18750</v>
      </c>
      <c r="I4540" s="423"/>
      <c r="J4540" s="14"/>
      <c r="K4540" s="12"/>
      <c r="L4540" s="12"/>
      <c r="M4540" s="11" t="s">
        <v>18751</v>
      </c>
      <c r="N4540" s="5" t="s">
        <v>18752</v>
      </c>
      <c r="O4540" s="5" t="s">
        <v>1112</v>
      </c>
      <c r="P4540" s="15"/>
      <c r="Q4540" s="15"/>
      <c r="R4540" s="422"/>
      <c r="S4540" s="15"/>
      <c r="T4540" s="15"/>
      <c r="U4540" s="15"/>
      <c r="V4540" s="15"/>
      <c r="W4540" s="15"/>
      <c r="X4540" s="15"/>
      <c r="Y4540" s="15"/>
      <c r="Z4540" s="15"/>
      <c r="AA4540" s="15"/>
    </row>
    <row r="4541">
      <c r="A4541" s="5" t="s">
        <v>18696</v>
      </c>
      <c r="B4541" s="292" t="str">
        <f>HYPERLINK("https://akshar-exim-company-pvt-ltd.odoo.com/web#id=22461&amp;action=152&amp;model=crm.lead&amp;view_type=form&amp;menu_id=111","C2011375")</f>
        <v>C2011375</v>
      </c>
      <c r="C4541" s="41" t="s">
        <v>18753</v>
      </c>
      <c r="D4541" s="41"/>
      <c r="E4541" s="41" t="s">
        <v>15708</v>
      </c>
      <c r="F4541" s="90">
        <v>200.0</v>
      </c>
      <c r="G4541" s="430"/>
      <c r="H4541" s="41" t="s">
        <v>18754</v>
      </c>
      <c r="I4541" s="97"/>
      <c r="J4541" s="41" t="s">
        <v>18182</v>
      </c>
      <c r="K4541" s="13"/>
      <c r="L4541" s="13"/>
      <c r="M4541" s="14"/>
      <c r="N4541" s="15"/>
      <c r="O4541" s="5" t="s">
        <v>1112</v>
      </c>
      <c r="P4541" s="15"/>
      <c r="Q4541" s="15"/>
      <c r="R4541" s="422"/>
      <c r="S4541" s="15"/>
      <c r="T4541" s="15"/>
      <c r="U4541" s="15"/>
      <c r="V4541" s="15"/>
      <c r="W4541" s="15"/>
      <c r="X4541" s="15"/>
      <c r="Y4541" s="15"/>
      <c r="Z4541" s="15"/>
      <c r="AA4541" s="15"/>
    </row>
    <row r="4542">
      <c r="A4542" s="5" t="s">
        <v>18696</v>
      </c>
      <c r="B4542" s="292" t="str">
        <f>HYPERLINK("https://akshar-exim-company-pvt-ltd.odoo.com/web#id=22462&amp;action=152&amp;model=crm.lead&amp;view_type=form&amp;menu_id=111","C2011374")</f>
        <v>C2011374</v>
      </c>
      <c r="C4542" s="41" t="s">
        <v>18755</v>
      </c>
      <c r="D4542" s="41"/>
      <c r="E4542" s="41" t="s">
        <v>11907</v>
      </c>
      <c r="F4542" s="90">
        <v>200.0</v>
      </c>
      <c r="G4542" s="430"/>
      <c r="H4542" s="41" t="s">
        <v>18756</v>
      </c>
      <c r="I4542" s="276"/>
      <c r="J4542" s="11" t="s">
        <v>18182</v>
      </c>
      <c r="K4542" s="13"/>
      <c r="L4542" s="13"/>
      <c r="M4542" s="14"/>
      <c r="N4542" s="15"/>
      <c r="O4542" s="5" t="s">
        <v>1112</v>
      </c>
      <c r="P4542" s="15"/>
      <c r="Q4542" s="15"/>
      <c r="R4542" s="422"/>
      <c r="S4542" s="15"/>
      <c r="T4542" s="15"/>
      <c r="U4542" s="15"/>
      <c r="V4542" s="15"/>
      <c r="W4542" s="15"/>
      <c r="X4542" s="15"/>
      <c r="Y4542" s="15"/>
      <c r="Z4542" s="15"/>
      <c r="AA4542" s="15"/>
    </row>
    <row r="4543">
      <c r="A4543" s="5" t="s">
        <v>18696</v>
      </c>
      <c r="B4543" s="292" t="str">
        <f>HYPERLINK("https://akshar-exim-company-pvt-ltd.odoo.com/web#id=22471&amp;action=152&amp;model=crm.lead&amp;view_type=form&amp;menu_id=111","C2011373")</f>
        <v>C2011373</v>
      </c>
      <c r="C4543" s="435" t="s">
        <v>18757</v>
      </c>
      <c r="D4543" s="436"/>
      <c r="E4543" s="436" t="s">
        <v>5502</v>
      </c>
      <c r="F4543" s="9">
        <v>10000.0</v>
      </c>
      <c r="G4543" s="437"/>
      <c r="H4543" s="435" t="s">
        <v>18758</v>
      </c>
      <c r="I4543" s="285"/>
      <c r="J4543" s="438" t="s">
        <v>18182</v>
      </c>
      <c r="K4543" s="12"/>
      <c r="L4543" s="12"/>
      <c r="M4543" s="11" t="s">
        <v>18759</v>
      </c>
      <c r="N4543" s="5" t="s">
        <v>18760</v>
      </c>
      <c r="O4543" s="5" t="s">
        <v>17993</v>
      </c>
      <c r="P4543" s="15"/>
      <c r="Q4543" s="15"/>
      <c r="R4543" s="422"/>
      <c r="S4543" s="15"/>
      <c r="T4543" s="15"/>
      <c r="U4543" s="15"/>
      <c r="V4543" s="15"/>
      <c r="W4543" s="15"/>
      <c r="X4543" s="15"/>
      <c r="Y4543" s="15"/>
      <c r="Z4543" s="15"/>
      <c r="AA4543" s="15"/>
    </row>
    <row r="4544">
      <c r="A4544" s="5" t="s">
        <v>18696</v>
      </c>
      <c r="B4544" s="292" t="str">
        <f>HYPERLINK("https://akshar-exim-company-pvt-ltd.odoo.com/web#id=22472&amp;action=152&amp;model=crm.lead&amp;view_type=form&amp;menu_id=111","C2011372")</f>
        <v>C2011372</v>
      </c>
      <c r="C4544" s="41" t="s">
        <v>18761</v>
      </c>
      <c r="D4544" s="11"/>
      <c r="E4544" s="11" t="s">
        <v>11748</v>
      </c>
      <c r="F4544" s="90">
        <v>1.0</v>
      </c>
      <c r="G4544" s="321"/>
      <c r="H4544" s="11" t="s">
        <v>906</v>
      </c>
      <c r="I4544" s="97"/>
      <c r="J4544" s="41" t="s">
        <v>18762</v>
      </c>
      <c r="K4544" s="13"/>
      <c r="L4544" s="13"/>
      <c r="M4544" s="14"/>
      <c r="N4544" s="15"/>
      <c r="O4544" s="5" t="s">
        <v>10708</v>
      </c>
      <c r="P4544" s="15"/>
      <c r="Q4544" s="15"/>
      <c r="R4544" s="422"/>
      <c r="S4544" s="15"/>
      <c r="T4544" s="15"/>
      <c r="U4544" s="15"/>
      <c r="V4544" s="15"/>
      <c r="W4544" s="15"/>
      <c r="X4544" s="15"/>
      <c r="Y4544" s="15"/>
      <c r="Z4544" s="15"/>
      <c r="AA4544" s="15"/>
    </row>
    <row r="4545">
      <c r="A4545" s="5" t="s">
        <v>18696</v>
      </c>
      <c r="B4545" s="292" t="str">
        <f>HYPERLINK("https://akshar-exim-company-pvt-ltd.odoo.com/web#id=22474&amp;action=152&amp;model=crm.lead&amp;view_type=form&amp;menu_id=111","C2011371")</f>
        <v>C2011371</v>
      </c>
      <c r="C4545" s="41" t="s">
        <v>18763</v>
      </c>
      <c r="D4545" s="11"/>
      <c r="E4545" s="11" t="s">
        <v>167</v>
      </c>
      <c r="F4545" s="90">
        <v>30.0</v>
      </c>
      <c r="G4545" s="321"/>
      <c r="H4545" s="11" t="s">
        <v>2662</v>
      </c>
      <c r="I4545" s="423"/>
      <c r="J4545" s="14"/>
      <c r="K4545" s="13"/>
      <c r="L4545" s="13"/>
      <c r="M4545" s="14"/>
      <c r="N4545" s="15"/>
      <c r="O4545" s="5" t="s">
        <v>10708</v>
      </c>
      <c r="P4545" s="15"/>
      <c r="Q4545" s="15"/>
      <c r="R4545" s="422"/>
      <c r="S4545" s="15"/>
      <c r="T4545" s="15"/>
      <c r="U4545" s="15"/>
      <c r="V4545" s="15"/>
      <c r="W4545" s="15"/>
      <c r="X4545" s="15"/>
      <c r="Y4545" s="15"/>
      <c r="Z4545" s="15"/>
      <c r="AA4545" s="15"/>
    </row>
    <row r="4546">
      <c r="A4546" s="5" t="s">
        <v>18764</v>
      </c>
      <c r="B4546" s="292" t="str">
        <f>HYPERLINK("https://akshar-exim-company-pvt-ltd.odoo.com/web#id=22419&amp;action=152&amp;model=crm.lead&amp;view_type=form&amp;menu_id=111","C2011370")</f>
        <v>C2011370</v>
      </c>
      <c r="C4546" s="41" t="s">
        <v>18765</v>
      </c>
      <c r="D4546" s="41"/>
      <c r="E4546" s="41" t="s">
        <v>13311</v>
      </c>
      <c r="F4546" s="9">
        <v>25000.0</v>
      </c>
      <c r="G4546" s="430"/>
      <c r="H4546" s="41" t="s">
        <v>18358</v>
      </c>
      <c r="I4546" s="97"/>
      <c r="J4546" s="41" t="s">
        <v>18182</v>
      </c>
      <c r="K4546" s="13"/>
      <c r="L4546" s="13"/>
      <c r="M4546" s="14"/>
      <c r="N4546" s="15"/>
      <c r="O4546" s="5" t="s">
        <v>17993</v>
      </c>
      <c r="P4546" s="15"/>
      <c r="Q4546" s="15"/>
      <c r="R4546" s="422"/>
      <c r="S4546" s="15"/>
      <c r="T4546" s="15"/>
      <c r="U4546" s="15"/>
      <c r="V4546" s="15"/>
      <c r="W4546" s="15"/>
      <c r="X4546" s="15"/>
      <c r="Y4546" s="15"/>
      <c r="Z4546" s="15"/>
      <c r="AA4546" s="15"/>
    </row>
    <row r="4547">
      <c r="A4547" s="5" t="s">
        <v>18764</v>
      </c>
      <c r="B4547" s="292" t="str">
        <f>HYPERLINK("https://akshar-exim-company-pvt-ltd.odoo.com/web#id=22424&amp;action=152&amp;model=crm.lead&amp;view_type=form&amp;menu_id=111","C2011369")</f>
        <v>C2011369</v>
      </c>
      <c r="C4547" s="41" t="s">
        <v>18766</v>
      </c>
      <c r="D4547" s="405"/>
      <c r="E4547" s="405" t="s">
        <v>5309</v>
      </c>
      <c r="F4547" s="90">
        <v>5000.0</v>
      </c>
      <c r="G4547" s="430"/>
      <c r="H4547" s="41" t="s">
        <v>18767</v>
      </c>
      <c r="I4547" s="423"/>
      <c r="J4547" s="14"/>
      <c r="K4547" s="12"/>
      <c r="L4547" s="12"/>
      <c r="M4547" s="11" t="s">
        <v>13290</v>
      </c>
      <c r="N4547" s="5" t="s">
        <v>18768</v>
      </c>
      <c r="O4547" s="5" t="s">
        <v>1112</v>
      </c>
      <c r="P4547" s="15"/>
      <c r="Q4547" s="15"/>
      <c r="R4547" s="422"/>
      <c r="S4547" s="15"/>
      <c r="T4547" s="15"/>
      <c r="U4547" s="15"/>
      <c r="V4547" s="15"/>
      <c r="W4547" s="15"/>
      <c r="X4547" s="15"/>
      <c r="Y4547" s="15"/>
      <c r="Z4547" s="15"/>
      <c r="AA4547" s="15"/>
    </row>
    <row r="4548">
      <c r="A4548" s="5" t="s">
        <v>18764</v>
      </c>
      <c r="B4548" s="292" t="str">
        <f>HYPERLINK("https://akshar-exim-company-pvt-ltd.odoo.com/web#id=22425&amp;action=152&amp;model=crm.lead&amp;view_type=form&amp;menu_id=111","C2011368")</f>
        <v>C2011368</v>
      </c>
      <c r="C4548" s="41" t="s">
        <v>18769</v>
      </c>
      <c r="D4548" s="405"/>
      <c r="E4548" s="405" t="s">
        <v>9542</v>
      </c>
      <c r="F4548" s="90">
        <v>250.0</v>
      </c>
      <c r="G4548" s="430"/>
      <c r="H4548" s="41" t="s">
        <v>18770</v>
      </c>
      <c r="I4548" s="276"/>
      <c r="J4548" s="11" t="s">
        <v>17976</v>
      </c>
      <c r="K4548" s="13"/>
      <c r="L4548" s="13"/>
      <c r="M4548" s="14"/>
      <c r="N4548" s="15"/>
      <c r="O4548" s="5" t="s">
        <v>17993</v>
      </c>
      <c r="P4548" s="15"/>
      <c r="Q4548" s="15"/>
      <c r="R4548" s="422"/>
      <c r="S4548" s="15"/>
      <c r="T4548" s="15"/>
      <c r="U4548" s="15"/>
      <c r="V4548" s="15"/>
      <c r="W4548" s="15"/>
      <c r="X4548" s="15"/>
      <c r="Y4548" s="15"/>
      <c r="Z4548" s="15"/>
      <c r="AA4548" s="15"/>
    </row>
    <row r="4549">
      <c r="A4549" s="5" t="s">
        <v>18764</v>
      </c>
      <c r="B4549" s="292" t="str">
        <f>HYPERLINK("https://akshar-exim-company-pvt-ltd.odoo.com/web#id=22426&amp;action=152&amp;model=crm.lead&amp;view_type=form&amp;menu_id=111","C2011367")</f>
        <v>C2011367</v>
      </c>
      <c r="C4549" s="41" t="s">
        <v>18563</v>
      </c>
      <c r="D4549" s="405"/>
      <c r="E4549" s="405" t="s">
        <v>11692</v>
      </c>
      <c r="F4549" s="90">
        <v>50.0</v>
      </c>
      <c r="G4549" s="430"/>
      <c r="H4549" s="41" t="s">
        <v>9359</v>
      </c>
      <c r="I4549" s="97"/>
      <c r="J4549" s="41" t="s">
        <v>18182</v>
      </c>
      <c r="K4549" s="13"/>
      <c r="L4549" s="13"/>
      <c r="M4549" s="14"/>
      <c r="N4549" s="15"/>
      <c r="O4549" s="5" t="s">
        <v>10708</v>
      </c>
      <c r="P4549" s="15"/>
      <c r="Q4549" s="15"/>
      <c r="R4549" s="422"/>
      <c r="S4549" s="15"/>
      <c r="T4549" s="15"/>
      <c r="U4549" s="15"/>
      <c r="V4549" s="15"/>
      <c r="W4549" s="15"/>
      <c r="X4549" s="15"/>
      <c r="Y4549" s="15"/>
      <c r="Z4549" s="15"/>
      <c r="AA4549" s="15"/>
    </row>
    <row r="4550">
      <c r="A4550" s="5" t="s">
        <v>18764</v>
      </c>
      <c r="B4550" s="292" t="str">
        <f>HYPERLINK("https://akshar-exim-company-pvt-ltd.odoo.com/web#id=22427&amp;action=152&amp;model=crm.lead&amp;view_type=form&amp;menu_id=111","C2011366")</f>
        <v>C2011366</v>
      </c>
      <c r="C4550" s="41" t="s">
        <v>15144</v>
      </c>
      <c r="D4550" s="405"/>
      <c r="E4550" s="405" t="s">
        <v>14285</v>
      </c>
      <c r="F4550" s="90">
        <v>200.0</v>
      </c>
      <c r="G4550" s="430"/>
      <c r="H4550" s="41" t="s">
        <v>18771</v>
      </c>
      <c r="I4550" s="276"/>
      <c r="J4550" s="11" t="s">
        <v>7109</v>
      </c>
      <c r="K4550" s="12"/>
      <c r="L4550" s="12"/>
      <c r="M4550" s="11" t="s">
        <v>9504</v>
      </c>
      <c r="N4550" s="5" t="s">
        <v>18772</v>
      </c>
      <c r="O4550" s="5" t="s">
        <v>1112</v>
      </c>
      <c r="P4550" s="15"/>
      <c r="Q4550" s="15"/>
      <c r="R4550" s="422"/>
      <c r="S4550" s="15"/>
      <c r="T4550" s="15"/>
      <c r="U4550" s="15"/>
      <c r="V4550" s="15"/>
      <c r="W4550" s="15"/>
      <c r="X4550" s="15"/>
      <c r="Y4550" s="15"/>
      <c r="Z4550" s="15"/>
      <c r="AA4550" s="15"/>
    </row>
    <row r="4551">
      <c r="A4551" s="5" t="s">
        <v>18764</v>
      </c>
      <c r="B4551" s="292" t="str">
        <f>HYPERLINK("https://akshar-exim-company-pvt-ltd.odoo.com/web#id=22430&amp;action=152&amp;model=crm.lead&amp;view_type=form&amp;menu_id=111","C2011365")</f>
        <v>C2011365</v>
      </c>
      <c r="C4551" s="41" t="s">
        <v>18773</v>
      </c>
      <c r="D4551" s="11"/>
      <c r="E4551" s="11" t="s">
        <v>18774</v>
      </c>
      <c r="F4551" s="90">
        <v>1000.0</v>
      </c>
      <c r="G4551" s="321"/>
      <c r="H4551" s="11" t="s">
        <v>44</v>
      </c>
      <c r="I4551" s="423"/>
      <c r="J4551" s="14"/>
      <c r="K4551" s="12"/>
      <c r="L4551" s="12"/>
      <c r="M4551" s="11" t="s">
        <v>18775</v>
      </c>
      <c r="N4551" s="5" t="s">
        <v>18776</v>
      </c>
      <c r="O4551" s="5" t="s">
        <v>34</v>
      </c>
      <c r="P4551" s="15"/>
      <c r="Q4551" s="15"/>
      <c r="R4551" s="422"/>
      <c r="S4551" s="15"/>
      <c r="T4551" s="15"/>
      <c r="U4551" s="15"/>
      <c r="V4551" s="15"/>
      <c r="W4551" s="15"/>
      <c r="X4551" s="15"/>
      <c r="Y4551" s="15"/>
      <c r="Z4551" s="15"/>
      <c r="AA4551" s="15"/>
    </row>
    <row r="4552">
      <c r="A4552" s="5" t="s">
        <v>18764</v>
      </c>
      <c r="B4552" s="292" t="str">
        <f>HYPERLINK("https://akshar-exim-company-pvt-ltd.odoo.com/web#id=22428&amp;action=152&amp;model=crm.lead&amp;view_type=form&amp;menu_id=111","C2011364")</f>
        <v>C2011364</v>
      </c>
      <c r="C4552" s="41" t="s">
        <v>18777</v>
      </c>
      <c r="D4552" s="11"/>
      <c r="E4552" s="11" t="s">
        <v>2266</v>
      </c>
      <c r="F4552" s="90">
        <v>1.0</v>
      </c>
      <c r="G4552" s="430"/>
      <c r="H4552" s="41" t="s">
        <v>18778</v>
      </c>
      <c r="I4552" s="276"/>
      <c r="J4552" s="11" t="s">
        <v>18182</v>
      </c>
      <c r="K4552" s="13"/>
      <c r="L4552" s="13"/>
      <c r="M4552" s="14"/>
      <c r="N4552" s="15"/>
      <c r="O4552" s="5" t="s">
        <v>10708</v>
      </c>
      <c r="P4552" s="15"/>
      <c r="Q4552" s="15"/>
      <c r="R4552" s="422"/>
      <c r="S4552" s="15"/>
      <c r="T4552" s="15"/>
      <c r="U4552" s="15"/>
      <c r="V4552" s="15"/>
      <c r="W4552" s="15"/>
      <c r="X4552" s="15"/>
      <c r="Y4552" s="15"/>
      <c r="Z4552" s="15"/>
      <c r="AA4552" s="15"/>
    </row>
    <row r="4553">
      <c r="A4553" s="5" t="s">
        <v>18764</v>
      </c>
      <c r="B4553" s="292" t="str">
        <f>HYPERLINK("https://akshar-exim-company-pvt-ltd.odoo.com/web#id=22433&amp;action=152&amp;model=crm.lead&amp;view_type=form&amp;menu_id=111","C2011363")</f>
        <v>C2011363</v>
      </c>
      <c r="C4553" s="41" t="s">
        <v>18779</v>
      </c>
      <c r="D4553" s="11"/>
      <c r="E4553" s="11" t="s">
        <v>130</v>
      </c>
      <c r="F4553" s="9">
        <v>500000.0</v>
      </c>
      <c r="G4553" s="430"/>
      <c r="H4553" s="41" t="s">
        <v>6338</v>
      </c>
      <c r="I4553" s="97"/>
      <c r="J4553" s="41" t="s">
        <v>4008</v>
      </c>
      <c r="K4553" s="12"/>
      <c r="L4553" s="12"/>
      <c r="M4553" s="11" t="s">
        <v>18665</v>
      </c>
      <c r="N4553" s="5" t="s">
        <v>18780</v>
      </c>
      <c r="O4553" s="5" t="s">
        <v>1112</v>
      </c>
      <c r="P4553" s="15"/>
      <c r="Q4553" s="15"/>
      <c r="R4553" s="422"/>
      <c r="S4553" s="15"/>
      <c r="T4553" s="15"/>
      <c r="U4553" s="15"/>
      <c r="V4553" s="15"/>
      <c r="W4553" s="15"/>
      <c r="X4553" s="15"/>
      <c r="Y4553" s="15"/>
      <c r="Z4553" s="15"/>
      <c r="AA4553" s="15"/>
    </row>
    <row r="4554">
      <c r="A4554" s="5" t="s">
        <v>18764</v>
      </c>
      <c r="B4554" s="292" t="str">
        <f>HYPERLINK("https://akshar-exim-company-pvt-ltd.odoo.com/web#id=22438&amp;action=152&amp;model=crm.lead&amp;view_type=form&amp;menu_id=111","C2011362")</f>
        <v>C2011362</v>
      </c>
      <c r="C4554" s="41" t="s">
        <v>18781</v>
      </c>
      <c r="D4554" s="41"/>
      <c r="E4554" s="41" t="s">
        <v>18782</v>
      </c>
      <c r="F4554" s="90">
        <v>5.0</v>
      </c>
      <c r="G4554" s="321"/>
      <c r="H4554" s="11" t="s">
        <v>44</v>
      </c>
      <c r="I4554" s="276"/>
      <c r="J4554" s="11" t="s">
        <v>18182</v>
      </c>
      <c r="K4554" s="13"/>
      <c r="L4554" s="13"/>
      <c r="M4554" s="14"/>
      <c r="N4554" s="15"/>
      <c r="O4554" s="5" t="s">
        <v>10708</v>
      </c>
      <c r="P4554" s="15"/>
      <c r="Q4554" s="15"/>
      <c r="R4554" s="422"/>
      <c r="S4554" s="15"/>
      <c r="T4554" s="15"/>
      <c r="U4554" s="15"/>
      <c r="V4554" s="15"/>
      <c r="W4554" s="15"/>
      <c r="X4554" s="15"/>
      <c r="Y4554" s="15"/>
      <c r="Z4554" s="15"/>
      <c r="AA4554" s="15"/>
    </row>
    <row r="4555">
      <c r="A4555" s="5" t="s">
        <v>18764</v>
      </c>
      <c r="B4555" s="292" t="str">
        <f>HYPERLINK("https://akshar-exim-company-pvt-ltd.odoo.com/web#id=22442&amp;action=152&amp;model=crm.lead&amp;view_type=form&amp;menu_id=111","C2011361")</f>
        <v>C2011361</v>
      </c>
      <c r="C4555" s="41" t="s">
        <v>18783</v>
      </c>
      <c r="D4555" s="405"/>
      <c r="E4555" s="405" t="s">
        <v>4240</v>
      </c>
      <c r="F4555" s="9">
        <v>30000.0</v>
      </c>
      <c r="G4555" s="430"/>
      <c r="H4555" s="41" t="s">
        <v>18784</v>
      </c>
      <c r="I4555" s="97"/>
      <c r="J4555" s="41" t="s">
        <v>18182</v>
      </c>
      <c r="K4555" s="12"/>
      <c r="L4555" s="12"/>
      <c r="M4555" s="11" t="s">
        <v>18785</v>
      </c>
      <c r="N4555" s="5" t="s">
        <v>18786</v>
      </c>
      <c r="O4555" s="5" t="s">
        <v>17993</v>
      </c>
      <c r="P4555" s="15"/>
      <c r="Q4555" s="15"/>
      <c r="R4555" s="422"/>
      <c r="S4555" s="15"/>
      <c r="T4555" s="15"/>
      <c r="U4555" s="15"/>
      <c r="V4555" s="15"/>
      <c r="W4555" s="15"/>
      <c r="X4555" s="15"/>
      <c r="Y4555" s="15"/>
      <c r="Z4555" s="15"/>
      <c r="AA4555" s="15"/>
    </row>
    <row r="4556">
      <c r="A4556" s="5" t="s">
        <v>18764</v>
      </c>
      <c r="B4556" s="292" t="str">
        <f>HYPERLINK("https://akshar-exim-company-pvt-ltd.odoo.com/web#id=22445&amp;action=152&amp;model=crm.lead&amp;view_type=form&amp;menu_id=111","C2011360")</f>
        <v>C2011360</v>
      </c>
      <c r="C4556" s="41" t="s">
        <v>18787</v>
      </c>
      <c r="D4556" s="41"/>
      <c r="E4556" s="41" t="s">
        <v>167</v>
      </c>
      <c r="F4556" s="90">
        <v>400.0</v>
      </c>
      <c r="G4556" s="321"/>
      <c r="H4556" s="11" t="s">
        <v>906</v>
      </c>
      <c r="I4556" s="276"/>
      <c r="J4556" s="11" t="s">
        <v>18788</v>
      </c>
      <c r="K4556" s="12"/>
      <c r="L4556" s="12"/>
      <c r="M4556" s="11" t="s">
        <v>10656</v>
      </c>
      <c r="N4556" s="5" t="s">
        <v>18789</v>
      </c>
      <c r="O4556" s="5" t="s">
        <v>17993</v>
      </c>
      <c r="P4556" s="15"/>
      <c r="Q4556" s="15"/>
      <c r="R4556" s="422"/>
      <c r="S4556" s="15"/>
      <c r="T4556" s="15"/>
      <c r="U4556" s="15"/>
      <c r="V4556" s="15"/>
      <c r="W4556" s="15"/>
      <c r="X4556" s="15"/>
      <c r="Y4556" s="15"/>
      <c r="Z4556" s="15"/>
      <c r="AA4556" s="15"/>
    </row>
    <row r="4557">
      <c r="A4557" s="5" t="s">
        <v>18764</v>
      </c>
      <c r="B4557" s="292" t="str">
        <f>HYPERLINK("https://akshar-exim-company-pvt-ltd.odoo.com/web#id=22446&amp;action=152&amp;model=crm.lead&amp;view_type=form&amp;menu_id=111","C2011359")</f>
        <v>C2011359</v>
      </c>
      <c r="C4557" s="41" t="s">
        <v>18790</v>
      </c>
      <c r="D4557" s="41"/>
      <c r="E4557" s="41" t="s">
        <v>12468</v>
      </c>
      <c r="F4557" s="90">
        <v>1000.0</v>
      </c>
      <c r="G4557" s="430"/>
      <c r="H4557" s="41" t="s">
        <v>18791</v>
      </c>
      <c r="I4557" s="423"/>
      <c r="J4557" s="14"/>
      <c r="K4557" s="12"/>
      <c r="L4557" s="12"/>
      <c r="M4557" s="11" t="s">
        <v>7884</v>
      </c>
      <c r="N4557" s="5" t="s">
        <v>18792</v>
      </c>
      <c r="O4557" s="5" t="s">
        <v>17993</v>
      </c>
      <c r="P4557" s="15"/>
      <c r="Q4557" s="15"/>
      <c r="R4557" s="422"/>
      <c r="S4557" s="15"/>
      <c r="T4557" s="15"/>
      <c r="U4557" s="15"/>
      <c r="V4557" s="15"/>
      <c r="W4557" s="15"/>
      <c r="X4557" s="15"/>
      <c r="Y4557" s="15"/>
      <c r="Z4557" s="15"/>
      <c r="AA4557" s="15"/>
    </row>
    <row r="4558">
      <c r="A4558" s="5" t="s">
        <v>18764</v>
      </c>
      <c r="B4558" s="292" t="str">
        <f>HYPERLINK("https://akshar-exim-company-pvt-ltd.odoo.com/web#id=22412&amp;action=152&amp;model=crm.lead&amp;view_type=form&amp;menu_id=111","C2011358")</f>
        <v>C2011358</v>
      </c>
      <c r="C4558" s="41" t="s">
        <v>18793</v>
      </c>
      <c r="D4558" s="41"/>
      <c r="E4558" s="41" t="s">
        <v>3165</v>
      </c>
      <c r="F4558" s="90">
        <v>110.0</v>
      </c>
      <c r="G4558" s="430"/>
      <c r="H4558" s="41" t="s">
        <v>7702</v>
      </c>
      <c r="I4558" s="276"/>
      <c r="J4558" s="11" t="s">
        <v>25</v>
      </c>
      <c r="K4558" s="13"/>
      <c r="L4558" s="13"/>
      <c r="M4558" s="14"/>
      <c r="N4558" s="15"/>
      <c r="O4558" s="5" t="s">
        <v>10708</v>
      </c>
      <c r="P4558" s="15"/>
      <c r="Q4558" s="15"/>
      <c r="R4558" s="422"/>
      <c r="S4558" s="15"/>
      <c r="T4558" s="15"/>
      <c r="U4558" s="15"/>
      <c r="V4558" s="15"/>
      <c r="W4558" s="15"/>
      <c r="X4558" s="15"/>
      <c r="Y4558" s="15"/>
      <c r="Z4558" s="15"/>
      <c r="AA4558" s="15"/>
    </row>
    <row r="4559">
      <c r="A4559" s="5" t="s">
        <v>18764</v>
      </c>
      <c r="B4559" s="292" t="str">
        <f>HYPERLINK("https://akshar-exim-company-pvt-ltd.odoo.com/web#id=22408&amp;action=152&amp;model=crm.lead&amp;view_type=form&amp;menu_id=111","C2011357")</f>
        <v>C2011357</v>
      </c>
      <c r="C4559" s="41" t="s">
        <v>18794</v>
      </c>
      <c r="D4559" s="11"/>
      <c r="E4559" s="11" t="s">
        <v>152</v>
      </c>
      <c r="F4559" s="90">
        <v>50.0</v>
      </c>
      <c r="G4559" s="321"/>
      <c r="H4559" s="11" t="s">
        <v>44</v>
      </c>
      <c r="I4559" s="423"/>
      <c r="J4559" s="14"/>
      <c r="K4559" s="13"/>
      <c r="L4559" s="13"/>
      <c r="M4559" s="14"/>
      <c r="N4559" s="15"/>
      <c r="O4559" s="5" t="s">
        <v>10708</v>
      </c>
      <c r="P4559" s="15"/>
      <c r="Q4559" s="15"/>
      <c r="R4559" s="422"/>
      <c r="S4559" s="15"/>
      <c r="T4559" s="15"/>
      <c r="U4559" s="15"/>
      <c r="V4559" s="15"/>
      <c r="W4559" s="15"/>
      <c r="X4559" s="15"/>
      <c r="Y4559" s="15"/>
      <c r="Z4559" s="15"/>
      <c r="AA4559" s="15"/>
    </row>
    <row r="4560">
      <c r="A4560" s="5" t="s">
        <v>18764</v>
      </c>
      <c r="B4560" s="292" t="str">
        <f>HYPERLINK("https://akshar-exim-company-pvt-ltd.odoo.com/web#id=22369&amp;action=152&amp;model=crm.lead&amp;view_type=form&amp;menu_id=111","C2011356")</f>
        <v>C2011356</v>
      </c>
      <c r="C4560" s="41" t="s">
        <v>4293</v>
      </c>
      <c r="D4560" s="41"/>
      <c r="E4560" s="41" t="s">
        <v>3073</v>
      </c>
      <c r="F4560" s="90">
        <v>50.0</v>
      </c>
      <c r="G4560" s="321"/>
      <c r="H4560" s="11" t="s">
        <v>3861</v>
      </c>
      <c r="I4560" s="276"/>
      <c r="J4560" s="11" t="s">
        <v>9536</v>
      </c>
      <c r="K4560" s="13"/>
      <c r="L4560" s="13"/>
      <c r="M4560" s="14"/>
      <c r="N4560" s="15"/>
      <c r="O4560" s="5" t="s">
        <v>10708</v>
      </c>
      <c r="P4560" s="15"/>
      <c r="Q4560" s="15"/>
      <c r="R4560" s="422"/>
      <c r="S4560" s="15"/>
      <c r="T4560" s="15"/>
      <c r="U4560" s="15"/>
      <c r="V4560" s="15"/>
      <c r="W4560" s="15"/>
      <c r="X4560" s="15"/>
      <c r="Y4560" s="15"/>
      <c r="Z4560" s="15"/>
      <c r="AA4560" s="15"/>
    </row>
    <row r="4561">
      <c r="A4561" s="5" t="s">
        <v>18764</v>
      </c>
      <c r="B4561" s="292" t="str">
        <f>HYPERLINK("https://akshar-exim-company-pvt-ltd.odoo.com/web#id=22364&amp;action=152&amp;model=crm.lead&amp;view_type=form&amp;menu_id=111","C2011355")</f>
        <v>C2011355</v>
      </c>
      <c r="C4561" s="41" t="s">
        <v>18795</v>
      </c>
      <c r="D4561" s="41"/>
      <c r="E4561" s="41" t="s">
        <v>167</v>
      </c>
      <c r="F4561" s="90">
        <v>10.0</v>
      </c>
      <c r="G4561" s="321"/>
      <c r="H4561" s="11" t="s">
        <v>2662</v>
      </c>
      <c r="I4561" s="276"/>
      <c r="J4561" s="11" t="s">
        <v>18788</v>
      </c>
      <c r="K4561" s="13"/>
      <c r="L4561" s="13"/>
      <c r="M4561" s="14"/>
      <c r="N4561" s="15"/>
      <c r="O4561" s="5" t="s">
        <v>10708</v>
      </c>
      <c r="P4561" s="15"/>
      <c r="Q4561" s="15"/>
      <c r="R4561" s="422"/>
      <c r="S4561" s="15"/>
      <c r="T4561" s="15"/>
      <c r="U4561" s="15"/>
      <c r="V4561" s="15"/>
      <c r="W4561" s="15"/>
      <c r="X4561" s="15"/>
      <c r="Y4561" s="15"/>
      <c r="Z4561" s="15"/>
      <c r="AA4561" s="15"/>
    </row>
    <row r="4562">
      <c r="A4562" s="5" t="s">
        <v>18764</v>
      </c>
      <c r="B4562" s="292" t="str">
        <f>HYPERLINK("https://akshar-exim-company-pvt-ltd.odoo.com/web#id=22363&amp;action=152&amp;model=crm.lead&amp;view_type=form&amp;menu_id=111","C2011354")</f>
        <v>C2011354</v>
      </c>
      <c r="C4562" s="41" t="s">
        <v>18796</v>
      </c>
      <c r="D4562" s="11"/>
      <c r="E4562" s="11" t="s">
        <v>130</v>
      </c>
      <c r="F4562" s="9">
        <v>20000.0</v>
      </c>
      <c r="G4562" s="321"/>
      <c r="H4562" s="11" t="s">
        <v>18797</v>
      </c>
      <c r="I4562" s="276"/>
      <c r="J4562" s="11" t="s">
        <v>17976</v>
      </c>
      <c r="K4562" s="12"/>
      <c r="L4562" s="12"/>
      <c r="M4562" s="11" t="s">
        <v>18665</v>
      </c>
      <c r="N4562" s="5" t="s">
        <v>18798</v>
      </c>
      <c r="O4562" s="5" t="s">
        <v>17993</v>
      </c>
      <c r="P4562" s="15"/>
      <c r="Q4562" s="15"/>
      <c r="R4562" s="422"/>
      <c r="S4562" s="15"/>
      <c r="T4562" s="15"/>
      <c r="U4562" s="15"/>
      <c r="V4562" s="15"/>
      <c r="W4562" s="15"/>
      <c r="X4562" s="15"/>
      <c r="Y4562" s="15"/>
      <c r="Z4562" s="15"/>
      <c r="AA4562" s="15"/>
    </row>
    <row r="4563">
      <c r="A4563" s="5" t="s">
        <v>18764</v>
      </c>
      <c r="B4563" s="292" t="str">
        <f>HYPERLINK("https://akshar-exim-company-pvt-ltd.odoo.com/web#id=22382&amp;action=152&amp;model=crm.lead&amp;view_type=form&amp;menu_id=111","C2011353")</f>
        <v>C2011353</v>
      </c>
      <c r="C4563" s="41" t="s">
        <v>18799</v>
      </c>
      <c r="D4563" s="41"/>
      <c r="E4563" s="41" t="s">
        <v>5293</v>
      </c>
      <c r="F4563" s="90">
        <v>50.0</v>
      </c>
      <c r="G4563" s="321"/>
      <c r="H4563" s="11" t="s">
        <v>906</v>
      </c>
      <c r="I4563" s="276"/>
      <c r="J4563" s="11" t="s">
        <v>25</v>
      </c>
      <c r="K4563" s="13"/>
      <c r="L4563" s="13"/>
      <c r="M4563" s="14"/>
      <c r="N4563" s="15"/>
      <c r="O4563" s="5" t="s">
        <v>10708</v>
      </c>
      <c r="P4563" s="15"/>
      <c r="Q4563" s="15"/>
      <c r="R4563" s="422"/>
      <c r="S4563" s="15"/>
      <c r="T4563" s="15"/>
      <c r="U4563" s="15"/>
      <c r="V4563" s="15"/>
      <c r="W4563" s="15"/>
      <c r="X4563" s="15"/>
      <c r="Y4563" s="15"/>
      <c r="Z4563" s="15"/>
      <c r="AA4563" s="15"/>
    </row>
    <row r="4564">
      <c r="A4564" s="5" t="s">
        <v>18764</v>
      </c>
      <c r="B4564" s="292" t="str">
        <f>HYPERLINK("https://akshar-exim-company-pvt-ltd.odoo.com/web#id=22387&amp;action=152&amp;model=crm.lead&amp;view_type=form&amp;menu_id=111","C2011352")</f>
        <v>C2011352</v>
      </c>
      <c r="C4564" s="41" t="s">
        <v>16012</v>
      </c>
      <c r="D4564" s="405"/>
      <c r="E4564" s="405" t="s">
        <v>2813</v>
      </c>
      <c r="F4564" s="9">
        <v>25000.0</v>
      </c>
      <c r="G4564" s="430"/>
      <c r="H4564" s="41" t="s">
        <v>18800</v>
      </c>
      <c r="I4564" s="276"/>
      <c r="J4564" s="11" t="s">
        <v>17976</v>
      </c>
      <c r="K4564" s="12"/>
      <c r="L4564" s="12"/>
      <c r="M4564" s="11" t="s">
        <v>14458</v>
      </c>
      <c r="N4564" s="5" t="s">
        <v>18801</v>
      </c>
      <c r="O4564" s="5" t="s">
        <v>1112</v>
      </c>
      <c r="P4564" s="15"/>
      <c r="Q4564" s="15"/>
      <c r="R4564" s="422"/>
      <c r="S4564" s="15"/>
      <c r="T4564" s="15"/>
      <c r="U4564" s="15"/>
      <c r="V4564" s="15"/>
      <c r="W4564" s="15"/>
      <c r="X4564" s="15"/>
      <c r="Y4564" s="15"/>
      <c r="Z4564" s="15"/>
      <c r="AA4564" s="15"/>
    </row>
    <row r="4565">
      <c r="A4565" s="5" t="s">
        <v>18764</v>
      </c>
      <c r="B4565" s="292" t="str">
        <f>HYPERLINK("https://akshar-exim-company-pvt-ltd.odoo.com/web#id=22389&amp;action=152&amp;model=crm.lead&amp;view_type=form&amp;menu_id=111","C2011351")</f>
        <v>C2011351</v>
      </c>
      <c r="C4565" s="41" t="s">
        <v>18802</v>
      </c>
      <c r="D4565" s="41"/>
      <c r="E4565" s="41" t="s">
        <v>222</v>
      </c>
      <c r="F4565" s="90">
        <v>50.0</v>
      </c>
      <c r="G4565" s="321"/>
      <c r="H4565" s="11" t="s">
        <v>906</v>
      </c>
      <c r="I4565" s="97"/>
      <c r="J4565" s="41" t="s">
        <v>18182</v>
      </c>
      <c r="K4565" s="13"/>
      <c r="L4565" s="13"/>
      <c r="M4565" s="14"/>
      <c r="N4565" s="15"/>
      <c r="O4565" s="5" t="s">
        <v>10708</v>
      </c>
      <c r="P4565" s="15"/>
      <c r="Q4565" s="15"/>
      <c r="R4565" s="422"/>
      <c r="S4565" s="15"/>
      <c r="T4565" s="15"/>
      <c r="U4565" s="15"/>
      <c r="V4565" s="15"/>
      <c r="W4565" s="15"/>
      <c r="X4565" s="15"/>
      <c r="Y4565" s="15"/>
      <c r="Z4565" s="15"/>
      <c r="AA4565" s="15"/>
    </row>
    <row r="4566">
      <c r="A4566" s="5" t="s">
        <v>18764</v>
      </c>
      <c r="B4566" s="292" t="str">
        <f>HYPERLINK("https://akshar-exim-company-pvt-ltd.odoo.com/web#id=22392&amp;action=152&amp;model=crm.lead&amp;view_type=form&amp;menu_id=111","C2011350")</f>
        <v>C2011350</v>
      </c>
      <c r="C4566" s="41" t="s">
        <v>18803</v>
      </c>
      <c r="D4566" s="405"/>
      <c r="E4566" s="405" t="s">
        <v>18401</v>
      </c>
      <c r="F4566" s="90">
        <v>500.0</v>
      </c>
      <c r="G4566" s="430"/>
      <c r="H4566" s="41" t="s">
        <v>18804</v>
      </c>
      <c r="I4566" s="276"/>
      <c r="J4566" s="11" t="s">
        <v>17976</v>
      </c>
      <c r="K4566" s="13"/>
      <c r="L4566" s="13"/>
      <c r="M4566" s="14"/>
      <c r="N4566" s="15"/>
      <c r="O4566" s="5" t="s">
        <v>17993</v>
      </c>
      <c r="P4566" s="15"/>
      <c r="Q4566" s="15"/>
      <c r="R4566" s="422"/>
      <c r="S4566" s="15"/>
      <c r="T4566" s="15"/>
      <c r="U4566" s="15"/>
      <c r="V4566" s="15"/>
      <c r="W4566" s="15"/>
      <c r="X4566" s="15"/>
      <c r="Y4566" s="15"/>
      <c r="Z4566" s="15"/>
      <c r="AA4566" s="15"/>
    </row>
    <row r="4567">
      <c r="A4567" s="5" t="s">
        <v>18764</v>
      </c>
      <c r="B4567" s="292" t="str">
        <f>HYPERLINK("https://akshar-exim-company-pvt-ltd.odoo.com/web#id=22393&amp;action=152&amp;model=crm.lead&amp;view_type=form&amp;menu_id=111","C2011349")</f>
        <v>C2011349</v>
      </c>
      <c r="C4567" s="41" t="s">
        <v>18805</v>
      </c>
      <c r="D4567" s="41"/>
      <c r="E4567" s="41" t="s">
        <v>18806</v>
      </c>
      <c r="F4567" s="90">
        <v>2.0</v>
      </c>
      <c r="G4567" s="430"/>
      <c r="H4567" s="41" t="s">
        <v>16521</v>
      </c>
      <c r="I4567" s="276"/>
      <c r="J4567" s="11" t="s">
        <v>9536</v>
      </c>
      <c r="K4567" s="13"/>
      <c r="L4567" s="13"/>
      <c r="M4567" s="14"/>
      <c r="N4567" s="15"/>
      <c r="O4567" s="5" t="s">
        <v>10708</v>
      </c>
      <c r="P4567" s="15"/>
      <c r="Q4567" s="15"/>
      <c r="R4567" s="422"/>
      <c r="S4567" s="15"/>
      <c r="T4567" s="15"/>
      <c r="U4567" s="15"/>
      <c r="V4567" s="15"/>
      <c r="W4567" s="15"/>
      <c r="X4567" s="15"/>
      <c r="Y4567" s="15"/>
      <c r="Z4567" s="15"/>
      <c r="AA4567" s="15"/>
    </row>
    <row r="4568">
      <c r="A4568" s="5" t="s">
        <v>18764</v>
      </c>
      <c r="B4568" s="292" t="str">
        <f>HYPERLINK("https://akshar-exim-company-pvt-ltd.odoo.com/web#id=22398&amp;action=152&amp;model=crm.lead&amp;view_type=form&amp;menu_id=111","C2011348")</f>
        <v>C2011348</v>
      </c>
      <c r="C4568" s="41" t="s">
        <v>18807</v>
      </c>
      <c r="D4568" s="11"/>
      <c r="E4568" s="11" t="s">
        <v>38</v>
      </c>
      <c r="F4568" s="90">
        <v>5.0</v>
      </c>
      <c r="G4568" s="430"/>
      <c r="H4568" s="41" t="s">
        <v>18808</v>
      </c>
      <c r="I4568" s="276"/>
      <c r="J4568" s="11" t="s">
        <v>14563</v>
      </c>
      <c r="K4568" s="13"/>
      <c r="L4568" s="13"/>
      <c r="M4568" s="14"/>
      <c r="N4568" s="15"/>
      <c r="O4568" s="5" t="s">
        <v>10708</v>
      </c>
      <c r="P4568" s="15"/>
      <c r="Q4568" s="15"/>
      <c r="R4568" s="422"/>
      <c r="S4568" s="15"/>
      <c r="T4568" s="15"/>
      <c r="U4568" s="15"/>
      <c r="V4568" s="15"/>
      <c r="W4568" s="15"/>
      <c r="X4568" s="15"/>
      <c r="Y4568" s="15"/>
      <c r="Z4568" s="15"/>
      <c r="AA4568" s="15"/>
    </row>
    <row r="4569">
      <c r="A4569" s="5" t="s">
        <v>18764</v>
      </c>
      <c r="B4569" s="292" t="str">
        <f>HYPERLINK("https://akshar-exim-company-pvt-ltd.odoo.com/web#id=22404&amp;action=152&amp;model=crm.lead&amp;view_type=form&amp;menu_id=111","C2011347")</f>
        <v>C2011347</v>
      </c>
      <c r="C4569" s="41" t="s">
        <v>18809</v>
      </c>
      <c r="D4569" s="11"/>
      <c r="E4569" s="11" t="s">
        <v>152</v>
      </c>
      <c r="F4569" s="90">
        <v>4000.0</v>
      </c>
      <c r="G4569" s="430"/>
      <c r="H4569" s="41" t="s">
        <v>18810</v>
      </c>
      <c r="I4569" s="97"/>
      <c r="J4569" s="41" t="s">
        <v>18182</v>
      </c>
      <c r="K4569" s="12"/>
      <c r="L4569" s="12"/>
      <c r="M4569" s="11" t="s">
        <v>9298</v>
      </c>
      <c r="N4569" s="5" t="s">
        <v>18811</v>
      </c>
      <c r="O4569" s="5" t="s">
        <v>17993</v>
      </c>
      <c r="P4569" s="15"/>
      <c r="Q4569" s="15"/>
      <c r="R4569" s="422"/>
      <c r="S4569" s="15"/>
      <c r="T4569" s="15"/>
      <c r="U4569" s="15"/>
      <c r="V4569" s="15"/>
      <c r="W4569" s="15"/>
      <c r="X4569" s="15"/>
      <c r="Y4569" s="15"/>
      <c r="Z4569" s="15"/>
      <c r="AA4569" s="15"/>
    </row>
    <row r="4570">
      <c r="A4570" s="5" t="s">
        <v>18764</v>
      </c>
      <c r="B4570" s="292" t="str">
        <f>HYPERLINK("https://akshar-exim-company-pvt-ltd.odoo.com/web#id=22409&amp;action=152&amp;model=crm.lead&amp;view_type=form&amp;menu_id=111","C2011346")</f>
        <v>C2011346</v>
      </c>
      <c r="C4570" s="41" t="s">
        <v>18812</v>
      </c>
      <c r="D4570" s="41"/>
      <c r="E4570" s="41" t="s">
        <v>116</v>
      </c>
      <c r="F4570" s="90">
        <v>50.0</v>
      </c>
      <c r="G4570" s="430"/>
      <c r="H4570" s="41" t="s">
        <v>507</v>
      </c>
      <c r="I4570" s="276"/>
      <c r="J4570" s="11" t="s">
        <v>12841</v>
      </c>
      <c r="K4570" s="13"/>
      <c r="L4570" s="13"/>
      <c r="M4570" s="14"/>
      <c r="N4570" s="15"/>
      <c r="O4570" s="5" t="s">
        <v>10708</v>
      </c>
      <c r="P4570" s="15"/>
      <c r="Q4570" s="15"/>
      <c r="R4570" s="422"/>
      <c r="S4570" s="15"/>
      <c r="T4570" s="15"/>
      <c r="U4570" s="15"/>
      <c r="V4570" s="15"/>
      <c r="W4570" s="15"/>
      <c r="X4570" s="15"/>
      <c r="Y4570" s="15"/>
      <c r="Z4570" s="15"/>
      <c r="AA4570" s="15"/>
    </row>
    <row r="4571">
      <c r="A4571" s="5" t="s">
        <v>18764</v>
      </c>
      <c r="B4571" s="292" t="str">
        <f>HYPERLINK("https://akshar-exim-company-pvt-ltd.odoo.com/web#id=22410&amp;action=152&amp;model=crm.lead&amp;view_type=form&amp;menu_id=111","C2011345")</f>
        <v>C2011345</v>
      </c>
      <c r="C4571" s="41" t="s">
        <v>18813</v>
      </c>
      <c r="D4571" s="41"/>
      <c r="E4571" s="41" t="s">
        <v>152</v>
      </c>
      <c r="F4571" s="90">
        <v>1.0</v>
      </c>
      <c r="G4571" s="430"/>
      <c r="H4571" s="41" t="s">
        <v>930</v>
      </c>
      <c r="I4571" s="276"/>
      <c r="J4571" s="11" t="s">
        <v>18182</v>
      </c>
      <c r="K4571" s="13"/>
      <c r="L4571" s="13"/>
      <c r="M4571" s="14"/>
      <c r="N4571" s="15"/>
      <c r="O4571" s="5" t="s">
        <v>10708</v>
      </c>
      <c r="P4571" s="15"/>
      <c r="Q4571" s="15"/>
      <c r="R4571" s="422"/>
      <c r="S4571" s="15"/>
      <c r="T4571" s="15"/>
      <c r="U4571" s="15"/>
      <c r="V4571" s="15"/>
      <c r="W4571" s="15"/>
      <c r="X4571" s="15"/>
      <c r="Y4571" s="15"/>
      <c r="Z4571" s="15"/>
      <c r="AA4571" s="15"/>
    </row>
    <row r="4572">
      <c r="A4572" s="5" t="s">
        <v>18764</v>
      </c>
      <c r="B4572" s="292" t="str">
        <f>HYPERLINK("https://akshar-exim-company-pvt-ltd.odoo.com/web#id=22411&amp;action=152&amp;model=crm.lead&amp;view_type=form&amp;menu_id=111","C2011344")</f>
        <v>C2011344</v>
      </c>
      <c r="C4572" s="41" t="s">
        <v>18814</v>
      </c>
      <c r="D4572" s="41"/>
      <c r="E4572" s="41" t="s">
        <v>240</v>
      </c>
      <c r="F4572" s="90">
        <v>100.0</v>
      </c>
      <c r="G4572" s="321"/>
      <c r="H4572" s="11" t="s">
        <v>44</v>
      </c>
      <c r="I4572" s="276"/>
      <c r="J4572" s="11" t="s">
        <v>18182</v>
      </c>
      <c r="K4572" s="13"/>
      <c r="L4572" s="13"/>
      <c r="M4572" s="14"/>
      <c r="N4572" s="15"/>
      <c r="O4572" s="5" t="s">
        <v>10708</v>
      </c>
      <c r="P4572" s="15"/>
      <c r="Q4572" s="15"/>
      <c r="R4572" s="422"/>
      <c r="S4572" s="15"/>
      <c r="T4572" s="15"/>
      <c r="U4572" s="15"/>
      <c r="V4572" s="15"/>
      <c r="W4572" s="15"/>
      <c r="X4572" s="15"/>
      <c r="Y4572" s="15"/>
      <c r="Z4572" s="15"/>
      <c r="AA4572" s="15"/>
    </row>
    <row r="4573">
      <c r="A4573" s="5" t="s">
        <v>18815</v>
      </c>
      <c r="B4573" s="292" t="str">
        <f>HYPERLINK("https://akshar-exim-company-pvt-ltd.odoo.com/web#id=22360&amp;action=152&amp;model=crm.lead&amp;view_type=form&amp;menu_id=111","C2011343")</f>
        <v>C2011343</v>
      </c>
      <c r="C4573" s="41" t="s">
        <v>15761</v>
      </c>
      <c r="D4573" s="405"/>
      <c r="E4573" s="405" t="s">
        <v>5502</v>
      </c>
      <c r="F4573" s="90" t="s">
        <v>18816</v>
      </c>
      <c r="G4573" s="321"/>
      <c r="H4573" s="11" t="s">
        <v>2682</v>
      </c>
      <c r="I4573" s="97"/>
      <c r="J4573" s="41" t="s">
        <v>18186</v>
      </c>
      <c r="K4573" s="12"/>
      <c r="L4573" s="12"/>
      <c r="M4573" s="11" t="s">
        <v>14894</v>
      </c>
      <c r="N4573" s="5" t="s">
        <v>18817</v>
      </c>
      <c r="O4573" s="5" t="s">
        <v>17993</v>
      </c>
      <c r="P4573" s="15"/>
      <c r="Q4573" s="15"/>
      <c r="R4573" s="422"/>
      <c r="S4573" s="15"/>
      <c r="T4573" s="15"/>
      <c r="U4573" s="15"/>
      <c r="V4573" s="15"/>
      <c r="W4573" s="15"/>
      <c r="X4573" s="15"/>
      <c r="Y4573" s="15"/>
      <c r="Z4573" s="15"/>
      <c r="AA4573" s="15"/>
    </row>
    <row r="4574">
      <c r="A4574" s="5" t="s">
        <v>18815</v>
      </c>
      <c r="B4574" s="292" t="str">
        <f>HYPERLINK("https://akshar-exim-company-pvt-ltd.odoo.com/web#id=22355&amp;action=152&amp;model=crm.lead&amp;view_type=form&amp;menu_id=111","C2011342")</f>
        <v>C2011342</v>
      </c>
      <c r="C4574" s="41" t="s">
        <v>18818</v>
      </c>
      <c r="D4574" s="41"/>
      <c r="E4574" s="41" t="s">
        <v>17724</v>
      </c>
      <c r="F4574" s="90">
        <v>2.0</v>
      </c>
      <c r="G4574" s="430"/>
      <c r="H4574" s="41" t="s">
        <v>906</v>
      </c>
      <c r="I4574" s="276"/>
      <c r="J4574" s="11" t="s">
        <v>18182</v>
      </c>
      <c r="K4574" s="13"/>
      <c r="L4574" s="13"/>
      <c r="M4574" s="14"/>
      <c r="N4574" s="15"/>
      <c r="O4574" s="5" t="s">
        <v>10708</v>
      </c>
      <c r="P4574" s="15"/>
      <c r="Q4574" s="15"/>
      <c r="R4574" s="422"/>
      <c r="S4574" s="15"/>
      <c r="T4574" s="15"/>
      <c r="U4574" s="15"/>
      <c r="V4574" s="15"/>
      <c r="W4574" s="15"/>
      <c r="X4574" s="15"/>
      <c r="Y4574" s="15"/>
      <c r="Z4574" s="15"/>
      <c r="AA4574" s="15"/>
    </row>
    <row r="4575">
      <c r="A4575" s="5" t="s">
        <v>18815</v>
      </c>
      <c r="B4575" s="292" t="str">
        <f>HYPERLINK("https://akshar-exim-company-pvt-ltd.odoo.com/web#id=22352&amp;action=152&amp;model=crm.lead&amp;view_type=form&amp;menu_id=111","C2011341")</f>
        <v>C2011341</v>
      </c>
      <c r="C4575" s="41" t="s">
        <v>18819</v>
      </c>
      <c r="D4575" s="41"/>
      <c r="E4575" s="41" t="s">
        <v>257</v>
      </c>
      <c r="F4575" s="90">
        <v>50.0</v>
      </c>
      <c r="G4575" s="430"/>
      <c r="H4575" s="41" t="s">
        <v>1282</v>
      </c>
      <c r="I4575" s="97"/>
      <c r="J4575" s="41" t="s">
        <v>18182</v>
      </c>
      <c r="K4575" s="13"/>
      <c r="L4575" s="13"/>
      <c r="M4575" s="14"/>
      <c r="N4575" s="15"/>
      <c r="O4575" s="5" t="s">
        <v>10708</v>
      </c>
      <c r="P4575" s="15"/>
      <c r="Q4575" s="15"/>
      <c r="R4575" s="422"/>
      <c r="S4575" s="15"/>
      <c r="T4575" s="15"/>
      <c r="U4575" s="15"/>
      <c r="V4575" s="15"/>
      <c r="W4575" s="15"/>
      <c r="X4575" s="15"/>
      <c r="Y4575" s="15"/>
      <c r="Z4575" s="15"/>
      <c r="AA4575" s="15"/>
    </row>
    <row r="4576">
      <c r="A4576" s="5" t="s">
        <v>18815</v>
      </c>
      <c r="B4576" s="292" t="str">
        <f>HYPERLINK("https://akshar-exim-company-pvt-ltd.odoo.com/web#id=22353&amp;action=152&amp;model=crm.lead&amp;view_type=form&amp;menu_id=111","C2011340")</f>
        <v>C2011340</v>
      </c>
      <c r="C4576" s="41" t="s">
        <v>18820</v>
      </c>
      <c r="D4576" s="11"/>
      <c r="E4576" s="11" t="s">
        <v>152</v>
      </c>
      <c r="F4576" s="90">
        <v>1000.0</v>
      </c>
      <c r="G4576" s="430"/>
      <c r="H4576" s="41" t="s">
        <v>18821</v>
      </c>
      <c r="I4576" s="423"/>
      <c r="J4576" s="14"/>
      <c r="K4576" s="12"/>
      <c r="L4576" s="12"/>
      <c r="M4576" s="11" t="s">
        <v>9298</v>
      </c>
      <c r="N4576" s="5" t="s">
        <v>18822</v>
      </c>
      <c r="O4576" s="5" t="s">
        <v>17993</v>
      </c>
      <c r="P4576" s="15"/>
      <c r="Q4576" s="15"/>
      <c r="R4576" s="422"/>
      <c r="S4576" s="15"/>
      <c r="T4576" s="15"/>
      <c r="U4576" s="15"/>
      <c r="V4576" s="15"/>
      <c r="W4576" s="15"/>
      <c r="X4576" s="15"/>
      <c r="Y4576" s="15"/>
      <c r="Z4576" s="15"/>
      <c r="AA4576" s="15"/>
    </row>
    <row r="4577">
      <c r="A4577" s="5" t="s">
        <v>18815</v>
      </c>
      <c r="B4577" s="292" t="str">
        <f>HYPERLINK("https://akshar-exim-company-pvt-ltd.odoo.com/web#id=22212&amp;action=152&amp;model=crm.lead&amp;view_type=form&amp;menu_id=111","C2011339")</f>
        <v>C2011339</v>
      </c>
      <c r="C4577" s="41" t="s">
        <v>18823</v>
      </c>
      <c r="D4577" s="405"/>
      <c r="E4577" s="405" t="s">
        <v>6760</v>
      </c>
      <c r="F4577" s="90">
        <v>25.0</v>
      </c>
      <c r="G4577" s="430"/>
      <c r="H4577" s="41" t="s">
        <v>18824</v>
      </c>
      <c r="I4577" s="423"/>
      <c r="J4577" s="14"/>
      <c r="K4577" s="13"/>
      <c r="L4577" s="13"/>
      <c r="M4577" s="14"/>
      <c r="N4577" s="15"/>
      <c r="O4577" s="5" t="s">
        <v>10708</v>
      </c>
      <c r="P4577" s="15"/>
      <c r="Q4577" s="15"/>
      <c r="R4577" s="422"/>
      <c r="S4577" s="15"/>
      <c r="T4577" s="15"/>
      <c r="U4577" s="15"/>
      <c r="V4577" s="15"/>
      <c r="W4577" s="15"/>
      <c r="X4577" s="15"/>
      <c r="Y4577" s="15"/>
      <c r="Z4577" s="15"/>
      <c r="AA4577" s="15"/>
    </row>
    <row r="4578">
      <c r="A4578" s="5" t="s">
        <v>18815</v>
      </c>
      <c r="B4578" s="292" t="str">
        <f>HYPERLINK("https://akshar-exim-company-pvt-ltd.odoo.com/web#id=22370&amp;action=152&amp;model=crm.lead&amp;view_type=form&amp;menu_id=111","C2011338")</f>
        <v>C2011338</v>
      </c>
      <c r="C4578" s="41" t="s">
        <v>15746</v>
      </c>
      <c r="D4578" s="41"/>
      <c r="E4578" s="41" t="s">
        <v>1280</v>
      </c>
      <c r="F4578" s="90">
        <v>50.0</v>
      </c>
      <c r="G4578" s="430"/>
      <c r="H4578" s="41" t="s">
        <v>18825</v>
      </c>
      <c r="I4578" s="97"/>
      <c r="J4578" s="41" t="s">
        <v>18182</v>
      </c>
      <c r="K4578" s="13"/>
      <c r="L4578" s="13"/>
      <c r="M4578" s="14"/>
      <c r="N4578" s="15"/>
      <c r="O4578" s="5" t="s">
        <v>10708</v>
      </c>
      <c r="P4578" s="15"/>
      <c r="Q4578" s="15"/>
      <c r="R4578" s="422"/>
      <c r="S4578" s="15"/>
      <c r="T4578" s="15"/>
      <c r="U4578" s="15"/>
      <c r="V4578" s="15"/>
      <c r="W4578" s="15"/>
      <c r="X4578" s="15"/>
      <c r="Y4578" s="15"/>
      <c r="Z4578" s="15"/>
      <c r="AA4578" s="15"/>
    </row>
    <row r="4579">
      <c r="A4579" s="5" t="s">
        <v>18815</v>
      </c>
      <c r="B4579" s="292" t="str">
        <f>HYPERLINK("https://akshar-exim-company-pvt-ltd.odoo.com/web#id=22372&amp;action=152&amp;model=crm.lead&amp;view_type=form&amp;menu_id=111","C2011337")</f>
        <v>C2011337</v>
      </c>
      <c r="C4579" s="41" t="s">
        <v>18826</v>
      </c>
      <c r="D4579" s="41"/>
      <c r="E4579" s="41" t="s">
        <v>18827</v>
      </c>
      <c r="F4579" s="433"/>
      <c r="G4579" s="434"/>
      <c r="H4579" s="14"/>
      <c r="I4579" s="423"/>
      <c r="J4579" s="14"/>
      <c r="K4579" s="13"/>
      <c r="L4579" s="13"/>
      <c r="M4579" s="14"/>
      <c r="N4579" s="15"/>
      <c r="O4579" s="15"/>
      <c r="P4579" s="15"/>
      <c r="Q4579" s="15"/>
      <c r="R4579" s="422"/>
      <c r="S4579" s="15"/>
      <c r="T4579" s="15"/>
      <c r="U4579" s="15"/>
      <c r="V4579" s="15"/>
      <c r="W4579" s="15"/>
      <c r="X4579" s="15"/>
      <c r="Y4579" s="15"/>
      <c r="Z4579" s="15"/>
      <c r="AA4579" s="15"/>
    </row>
    <row r="4580">
      <c r="A4580" s="5" t="s">
        <v>18815</v>
      </c>
      <c r="B4580" s="292" t="str">
        <f>HYPERLINK("https://akshar-exim-company-pvt-ltd.odoo.com/web#id=22375&amp;action=152&amp;model=crm.lead&amp;view_type=form&amp;menu_id=111","C2011336")</f>
        <v>C2011336</v>
      </c>
      <c r="C4580" s="41" t="s">
        <v>18828</v>
      </c>
      <c r="D4580" s="41"/>
      <c r="E4580" s="41" t="s">
        <v>18829</v>
      </c>
      <c r="F4580" s="90">
        <v>500.0</v>
      </c>
      <c r="G4580" s="430"/>
      <c r="H4580" s="41" t="s">
        <v>4699</v>
      </c>
      <c r="I4580" s="97"/>
      <c r="J4580" s="41" t="s">
        <v>18182</v>
      </c>
      <c r="K4580" s="13"/>
      <c r="L4580" s="13"/>
      <c r="M4580" s="14"/>
      <c r="N4580" s="15"/>
      <c r="O4580" s="5" t="s">
        <v>17993</v>
      </c>
      <c r="P4580" s="15"/>
      <c r="Q4580" s="15"/>
      <c r="R4580" s="422"/>
      <c r="S4580" s="15"/>
      <c r="T4580" s="15"/>
      <c r="U4580" s="15"/>
      <c r="V4580" s="15"/>
      <c r="W4580" s="15"/>
      <c r="X4580" s="15"/>
      <c r="Y4580" s="15"/>
      <c r="Z4580" s="15"/>
      <c r="AA4580" s="15"/>
    </row>
    <row r="4581">
      <c r="A4581" s="5" t="s">
        <v>18815</v>
      </c>
      <c r="B4581" s="292" t="str">
        <f>HYPERLINK("https://akshar-exim-company-pvt-ltd.odoo.com/web#id=22377&amp;action=152&amp;model=crm.lead&amp;view_type=form&amp;menu_id=111","C2011335")</f>
        <v>C2011335</v>
      </c>
      <c r="C4581" s="41" t="s">
        <v>18830</v>
      </c>
      <c r="D4581" s="41"/>
      <c r="E4581" s="41" t="s">
        <v>11071</v>
      </c>
      <c r="F4581" s="90">
        <v>1250.0</v>
      </c>
      <c r="G4581" s="430"/>
      <c r="H4581" s="41" t="s">
        <v>3090</v>
      </c>
      <c r="I4581" s="423"/>
      <c r="J4581" s="14"/>
      <c r="K4581" s="12"/>
      <c r="L4581" s="12"/>
      <c r="M4581" s="11" t="s">
        <v>18831</v>
      </c>
      <c r="N4581" s="5" t="s">
        <v>18832</v>
      </c>
      <c r="O4581" s="5" t="s">
        <v>10708</v>
      </c>
      <c r="P4581" s="15"/>
      <c r="Q4581" s="15"/>
      <c r="R4581" s="422"/>
      <c r="S4581" s="15"/>
      <c r="T4581" s="15"/>
      <c r="U4581" s="15"/>
      <c r="V4581" s="15"/>
      <c r="W4581" s="15"/>
      <c r="X4581" s="15"/>
      <c r="Y4581" s="15"/>
      <c r="Z4581" s="15"/>
      <c r="AA4581" s="15"/>
    </row>
    <row r="4582">
      <c r="A4582" s="5" t="s">
        <v>18815</v>
      </c>
      <c r="B4582" s="292" t="str">
        <f>HYPERLINK("https://akshar-exim-company-pvt-ltd.odoo.com/web#id=22376&amp;action=152&amp;model=crm.lead&amp;view_type=form&amp;menu_id=111","C2011334")</f>
        <v>C2011334</v>
      </c>
      <c r="C4582" s="41" t="s">
        <v>18833</v>
      </c>
      <c r="D4582" s="41"/>
      <c r="E4582" s="41" t="s">
        <v>18357</v>
      </c>
      <c r="F4582" s="90">
        <v>500.0</v>
      </c>
      <c r="G4582" s="321"/>
      <c r="H4582" s="11" t="s">
        <v>44</v>
      </c>
      <c r="I4582" s="276"/>
      <c r="J4582" s="11" t="s">
        <v>25</v>
      </c>
      <c r="K4582" s="13"/>
      <c r="L4582" s="13"/>
      <c r="M4582" s="14"/>
      <c r="N4582" s="15"/>
      <c r="O4582" s="5" t="s">
        <v>564</v>
      </c>
      <c r="P4582" s="15"/>
      <c r="Q4582" s="15"/>
      <c r="R4582" s="422"/>
      <c r="S4582" s="15"/>
      <c r="T4582" s="15"/>
      <c r="U4582" s="15"/>
      <c r="V4582" s="15"/>
      <c r="W4582" s="15"/>
      <c r="X4582" s="15"/>
      <c r="Y4582" s="15"/>
      <c r="Z4582" s="15"/>
      <c r="AA4582" s="15"/>
    </row>
    <row r="4583">
      <c r="A4583" s="5" t="s">
        <v>18815</v>
      </c>
      <c r="B4583" s="292" t="str">
        <f>HYPERLINK("https://akshar-exim-company-pvt-ltd.odoo.com/web#id=22379&amp;action=152&amp;model=crm.lead&amp;view_type=form&amp;menu_id=111","C2011333")</f>
        <v>C2011333</v>
      </c>
      <c r="C4583" s="41" t="s">
        <v>18834</v>
      </c>
      <c r="D4583" s="41"/>
      <c r="E4583" s="41" t="s">
        <v>3926</v>
      </c>
      <c r="F4583" s="90">
        <v>1000.0</v>
      </c>
      <c r="G4583" s="430"/>
      <c r="H4583" s="41" t="s">
        <v>18835</v>
      </c>
      <c r="I4583" s="276"/>
      <c r="J4583" s="11" t="s">
        <v>25</v>
      </c>
      <c r="K4583" s="12"/>
      <c r="L4583" s="12"/>
      <c r="M4583" s="11" t="s">
        <v>13921</v>
      </c>
      <c r="N4583" s="5" t="s">
        <v>18836</v>
      </c>
      <c r="O4583" s="5" t="s">
        <v>17993</v>
      </c>
      <c r="P4583" s="15"/>
      <c r="Q4583" s="15"/>
      <c r="R4583" s="422"/>
      <c r="S4583" s="15"/>
      <c r="T4583" s="15"/>
      <c r="U4583" s="15"/>
      <c r="V4583" s="15"/>
      <c r="W4583" s="15"/>
      <c r="X4583" s="15"/>
      <c r="Y4583" s="15"/>
      <c r="Z4583" s="15"/>
      <c r="AA4583" s="15"/>
    </row>
    <row r="4584">
      <c r="A4584" s="5" t="s">
        <v>18815</v>
      </c>
      <c r="B4584" s="292" t="str">
        <f>HYPERLINK("https://akshar-exim-company-pvt-ltd.odoo.com/web#id=22378&amp;action=152&amp;model=crm.lead&amp;view_type=form&amp;menu_id=111","C2011332")</f>
        <v>C2011332</v>
      </c>
      <c r="C4584" s="40" t="s">
        <v>18837</v>
      </c>
      <c r="D4584" s="41"/>
      <c r="E4584" s="41" t="s">
        <v>18838</v>
      </c>
      <c r="F4584" s="90">
        <v>50.0</v>
      </c>
      <c r="G4584" s="321"/>
      <c r="H4584" s="11" t="s">
        <v>906</v>
      </c>
      <c r="I4584" s="276"/>
      <c r="J4584" s="11" t="s">
        <v>25</v>
      </c>
      <c r="K4584" s="13"/>
      <c r="L4584" s="13"/>
      <c r="M4584" s="14"/>
      <c r="N4584" s="15"/>
      <c r="O4584" s="5" t="s">
        <v>10708</v>
      </c>
      <c r="P4584" s="15"/>
      <c r="Q4584" s="15"/>
      <c r="R4584" s="422"/>
      <c r="S4584" s="15"/>
      <c r="T4584" s="15"/>
      <c r="U4584" s="15"/>
      <c r="V4584" s="15"/>
      <c r="W4584" s="15"/>
      <c r="X4584" s="15"/>
      <c r="Y4584" s="15"/>
      <c r="Z4584" s="15"/>
      <c r="AA4584" s="15"/>
    </row>
    <row r="4585">
      <c r="A4585" s="5" t="s">
        <v>18815</v>
      </c>
      <c r="B4585" s="292" t="str">
        <f>HYPERLINK("https://akshar-exim-company-pvt-ltd.odoo.com/web#id=22346&amp;action=152&amp;model=crm.lead&amp;view_type=form&amp;menu_id=111","C2011331")</f>
        <v>C2011331</v>
      </c>
      <c r="C4585" s="41" t="s">
        <v>18839</v>
      </c>
      <c r="D4585" s="41"/>
      <c r="E4585" s="41" t="s">
        <v>4066</v>
      </c>
      <c r="F4585" s="90">
        <v>10.0</v>
      </c>
      <c r="G4585" s="321"/>
      <c r="H4585" s="11" t="s">
        <v>18840</v>
      </c>
      <c r="I4585" s="423"/>
      <c r="J4585" s="14"/>
      <c r="K4585" s="13"/>
      <c r="L4585" s="13"/>
      <c r="M4585" s="14"/>
      <c r="N4585" s="15"/>
      <c r="O4585" s="5" t="s">
        <v>10708</v>
      </c>
      <c r="P4585" s="15"/>
      <c r="Q4585" s="15"/>
      <c r="R4585" s="422"/>
      <c r="S4585" s="15"/>
      <c r="T4585" s="15"/>
      <c r="U4585" s="15"/>
      <c r="V4585" s="15"/>
      <c r="W4585" s="15"/>
      <c r="X4585" s="15"/>
      <c r="Y4585" s="15"/>
      <c r="Z4585" s="15"/>
      <c r="AA4585" s="15"/>
    </row>
    <row r="4586">
      <c r="A4586" s="5" t="s">
        <v>18815</v>
      </c>
      <c r="B4586" s="292" t="str">
        <f>HYPERLINK("https://akshar-exim-company-pvt-ltd.odoo.com/web#id=22340&amp;action=152&amp;model=crm.lead&amp;view_type=form&amp;menu_id=111","C2011330")</f>
        <v>C2011330</v>
      </c>
      <c r="C4586" s="41" t="s">
        <v>8077</v>
      </c>
      <c r="D4586" s="405"/>
      <c r="E4586" s="405" t="s">
        <v>14321</v>
      </c>
      <c r="F4586" s="90">
        <v>35.0</v>
      </c>
      <c r="G4586" s="430"/>
      <c r="H4586" s="41" t="s">
        <v>18841</v>
      </c>
      <c r="I4586" s="423"/>
      <c r="J4586" s="14"/>
      <c r="K4586" s="13"/>
      <c r="L4586" s="13"/>
      <c r="M4586" s="14"/>
      <c r="N4586" s="15"/>
      <c r="O4586" s="5" t="s">
        <v>10708</v>
      </c>
      <c r="P4586" s="15"/>
      <c r="Q4586" s="15"/>
      <c r="R4586" s="422"/>
      <c r="S4586" s="15"/>
      <c r="T4586" s="15"/>
      <c r="U4586" s="15"/>
      <c r="V4586" s="15"/>
      <c r="W4586" s="15"/>
      <c r="X4586" s="15"/>
      <c r="Y4586" s="15"/>
      <c r="Z4586" s="15"/>
      <c r="AA4586" s="15"/>
    </row>
    <row r="4587">
      <c r="A4587" s="5" t="s">
        <v>18815</v>
      </c>
      <c r="B4587" s="292" t="str">
        <f>HYPERLINK("https://akshar-exim-company-pvt-ltd.odoo.com/web#id=22338&amp;action=152&amp;model=crm.lead&amp;view_type=form&amp;menu_id=111","C2011329")</f>
        <v>C2011329</v>
      </c>
      <c r="C4587" s="41" t="s">
        <v>18842</v>
      </c>
      <c r="D4587" s="11"/>
      <c r="E4587" s="11" t="s">
        <v>18086</v>
      </c>
      <c r="F4587" s="433"/>
      <c r="G4587" s="434"/>
      <c r="H4587" s="14"/>
      <c r="I4587" s="423"/>
      <c r="J4587" s="14"/>
      <c r="K4587" s="13"/>
      <c r="L4587" s="13"/>
      <c r="M4587" s="14"/>
      <c r="N4587" s="15"/>
      <c r="O4587" s="15"/>
      <c r="P4587" s="15"/>
      <c r="Q4587" s="15"/>
      <c r="R4587" s="422"/>
      <c r="S4587" s="15"/>
      <c r="T4587" s="15"/>
      <c r="U4587" s="15"/>
      <c r="V4587" s="15"/>
      <c r="W4587" s="15"/>
      <c r="X4587" s="15"/>
      <c r="Y4587" s="15"/>
      <c r="Z4587" s="15"/>
      <c r="AA4587" s="15"/>
    </row>
    <row r="4588">
      <c r="A4588" s="5" t="s">
        <v>18815</v>
      </c>
      <c r="B4588" s="292" t="str">
        <f>HYPERLINK("https://akshar-exim-company-pvt-ltd.odoo.com/web#id=22335&amp;action=152&amp;model=crm.lead&amp;view_type=form&amp;menu_id=111","C2011328")</f>
        <v>C2011328</v>
      </c>
      <c r="C4588" s="41" t="s">
        <v>18843</v>
      </c>
      <c r="D4588" s="11"/>
      <c r="E4588" s="11" t="s">
        <v>18844</v>
      </c>
      <c r="F4588" s="90">
        <v>1.0</v>
      </c>
      <c r="G4588" s="321"/>
      <c r="H4588" s="11" t="s">
        <v>44</v>
      </c>
      <c r="I4588" s="423"/>
      <c r="J4588" s="14"/>
      <c r="K4588" s="13"/>
      <c r="L4588" s="13"/>
      <c r="M4588" s="14"/>
      <c r="N4588" s="15"/>
      <c r="O4588" s="5" t="s">
        <v>10708</v>
      </c>
      <c r="P4588" s="15"/>
      <c r="Q4588" s="15"/>
      <c r="R4588" s="422"/>
      <c r="S4588" s="15"/>
      <c r="T4588" s="15"/>
      <c r="U4588" s="15"/>
      <c r="V4588" s="15"/>
      <c r="W4588" s="15"/>
      <c r="X4588" s="15"/>
      <c r="Y4588" s="15"/>
      <c r="Z4588" s="15"/>
      <c r="AA4588" s="15"/>
    </row>
    <row r="4589">
      <c r="A4589" s="5" t="s">
        <v>18815</v>
      </c>
      <c r="B4589" s="292" t="str">
        <f>HYPERLINK("https://akshar-exim-company-pvt-ltd.odoo.com/web#id=22333&amp;action=152&amp;model=crm.lead&amp;view_type=form&amp;menu_id=111","C2011327")</f>
        <v>C2011327</v>
      </c>
      <c r="C4589" s="41" t="s">
        <v>18845</v>
      </c>
      <c r="D4589" s="405"/>
      <c r="E4589" s="405" t="s">
        <v>13311</v>
      </c>
      <c r="F4589" s="9">
        <v>1000000.0</v>
      </c>
      <c r="G4589" s="430"/>
      <c r="H4589" s="41" t="s">
        <v>18846</v>
      </c>
      <c r="I4589" s="276"/>
      <c r="J4589" s="11" t="s">
        <v>18182</v>
      </c>
      <c r="K4589" s="13"/>
      <c r="L4589" s="13"/>
      <c r="M4589" s="14"/>
      <c r="N4589" s="15"/>
      <c r="O4589" s="5" t="s">
        <v>17993</v>
      </c>
      <c r="P4589" s="15"/>
      <c r="Q4589" s="15"/>
      <c r="R4589" s="422"/>
      <c r="S4589" s="15"/>
      <c r="T4589" s="15"/>
      <c r="U4589" s="15"/>
      <c r="V4589" s="15"/>
      <c r="W4589" s="15"/>
      <c r="X4589" s="15"/>
      <c r="Y4589" s="15"/>
      <c r="Z4589" s="15"/>
      <c r="AA4589" s="15"/>
    </row>
    <row r="4590">
      <c r="A4590" s="5" t="s">
        <v>18815</v>
      </c>
      <c r="B4590" s="292" t="str">
        <f>HYPERLINK("https://akshar-exim-company-pvt-ltd.odoo.com/web#id=22328&amp;action=152&amp;model=crm.lead&amp;view_type=form&amp;menu_id=111","C2011326")</f>
        <v>C2011326</v>
      </c>
      <c r="C4590" s="41" t="s">
        <v>18847</v>
      </c>
      <c r="D4590" s="41"/>
      <c r="E4590" s="41" t="s">
        <v>17724</v>
      </c>
      <c r="F4590" s="90">
        <v>100.0</v>
      </c>
      <c r="G4590" s="321"/>
      <c r="H4590" s="11" t="s">
        <v>44</v>
      </c>
      <c r="I4590" s="97"/>
      <c r="J4590" s="41" t="s">
        <v>18182</v>
      </c>
      <c r="K4590" s="13"/>
      <c r="L4590" s="13"/>
      <c r="M4590" s="14"/>
      <c r="N4590" s="15"/>
      <c r="O4590" s="5" t="s">
        <v>10708</v>
      </c>
      <c r="P4590" s="15"/>
      <c r="Q4590" s="15"/>
      <c r="R4590" s="422"/>
      <c r="S4590" s="15"/>
      <c r="T4590" s="15"/>
      <c r="U4590" s="15"/>
      <c r="V4590" s="15"/>
      <c r="W4590" s="15"/>
      <c r="X4590" s="15"/>
      <c r="Y4590" s="15"/>
      <c r="Z4590" s="15"/>
      <c r="AA4590" s="15"/>
    </row>
    <row r="4591">
      <c r="A4591" s="5" t="s">
        <v>18815</v>
      </c>
      <c r="B4591" s="292" t="str">
        <f>HYPERLINK("https://akshar-exim-company-pvt-ltd.odoo.com/web#id=22288&amp;action=152&amp;model=crm.lead&amp;view_type=form&amp;menu_id=111","C2011325")</f>
        <v>C2011325</v>
      </c>
      <c r="C4591" s="41" t="s">
        <v>18848</v>
      </c>
      <c r="D4591" s="41"/>
      <c r="E4591" s="41" t="s">
        <v>18849</v>
      </c>
      <c r="F4591" s="433"/>
      <c r="G4591" s="434"/>
      <c r="H4591" s="14"/>
      <c r="I4591" s="423"/>
      <c r="J4591" s="14"/>
      <c r="K4591" s="13"/>
      <c r="L4591" s="13"/>
      <c r="M4591" s="14"/>
      <c r="N4591" s="15"/>
      <c r="O4591" s="15"/>
      <c r="P4591" s="15"/>
      <c r="Q4591" s="15"/>
      <c r="R4591" s="422"/>
      <c r="S4591" s="15"/>
      <c r="T4591" s="15"/>
      <c r="U4591" s="15"/>
      <c r="V4591" s="15"/>
      <c r="W4591" s="15"/>
      <c r="X4591" s="15"/>
      <c r="Y4591" s="15"/>
      <c r="Z4591" s="15"/>
      <c r="AA4591" s="15"/>
    </row>
    <row r="4592">
      <c r="A4592" s="5" t="s">
        <v>18815</v>
      </c>
      <c r="B4592" s="292" t="str">
        <f>HYPERLINK("https://akshar-exim-company-pvt-ltd.odoo.com/web#id=22287&amp;action=152&amp;model=crm.lead&amp;view_type=form&amp;menu_id=111","C2011324")</f>
        <v>C2011324</v>
      </c>
      <c r="C4592" s="41" t="s">
        <v>18850</v>
      </c>
      <c r="D4592" s="405"/>
      <c r="E4592" s="405" t="s">
        <v>4171</v>
      </c>
      <c r="F4592" s="90">
        <v>1000.0</v>
      </c>
      <c r="G4592" s="321"/>
      <c r="H4592" s="11" t="s">
        <v>930</v>
      </c>
      <c r="I4592" s="276"/>
      <c r="J4592" s="11" t="s">
        <v>17976</v>
      </c>
      <c r="K4592" s="12"/>
      <c r="L4592" s="12"/>
      <c r="M4592" s="11" t="s">
        <v>8162</v>
      </c>
      <c r="N4592" s="5" t="s">
        <v>18851</v>
      </c>
      <c r="O4592" s="5" t="s">
        <v>17993</v>
      </c>
      <c r="P4592" s="15"/>
      <c r="Q4592" s="15"/>
      <c r="R4592" s="422"/>
      <c r="S4592" s="15"/>
      <c r="T4592" s="15"/>
      <c r="U4592" s="15"/>
      <c r="V4592" s="15"/>
      <c r="W4592" s="15"/>
      <c r="X4592" s="15"/>
      <c r="Y4592" s="15"/>
      <c r="Z4592" s="15"/>
      <c r="AA4592" s="15"/>
    </row>
    <row r="4593">
      <c r="A4593" s="5" t="s">
        <v>18815</v>
      </c>
      <c r="B4593" s="292" t="str">
        <f>HYPERLINK("https://akshar-exim-company-pvt-ltd.odoo.com/web#id=22285&amp;action=152&amp;model=crm.lead&amp;view_type=form&amp;menu_id=111","C2011323")</f>
        <v>C2011323</v>
      </c>
      <c r="C4593" s="41" t="s">
        <v>17865</v>
      </c>
      <c r="D4593" s="11"/>
      <c r="E4593" s="11" t="s">
        <v>10404</v>
      </c>
      <c r="F4593" s="90">
        <v>30.0</v>
      </c>
      <c r="G4593" s="321"/>
      <c r="H4593" s="11" t="s">
        <v>44</v>
      </c>
      <c r="I4593" s="276"/>
      <c r="J4593" s="11" t="s">
        <v>16326</v>
      </c>
      <c r="K4593" s="13"/>
      <c r="L4593" s="13"/>
      <c r="M4593" s="14"/>
      <c r="N4593" s="15"/>
      <c r="O4593" s="5" t="s">
        <v>10708</v>
      </c>
      <c r="P4593" s="15"/>
      <c r="Q4593" s="15"/>
      <c r="R4593" s="422"/>
      <c r="S4593" s="15"/>
      <c r="T4593" s="15"/>
      <c r="U4593" s="15"/>
      <c r="V4593" s="15"/>
      <c r="W4593" s="15"/>
      <c r="X4593" s="15"/>
      <c r="Y4593" s="15"/>
      <c r="Z4593" s="15"/>
      <c r="AA4593" s="15"/>
    </row>
    <row r="4594">
      <c r="A4594" s="5" t="s">
        <v>18815</v>
      </c>
      <c r="B4594" s="292" t="str">
        <f>HYPERLINK("https://akshar-exim-company-pvt-ltd.odoo.com/web#id=22283&amp;action=152&amp;model=crm.lead&amp;view_type=form&amp;menu_id=111","C2011322")</f>
        <v>C2011322</v>
      </c>
      <c r="C4594" s="435" t="s">
        <v>18852</v>
      </c>
      <c r="D4594" s="436"/>
      <c r="E4594" s="436" t="s">
        <v>18853</v>
      </c>
      <c r="F4594" s="9">
        <v>200000.0</v>
      </c>
      <c r="G4594" s="321"/>
      <c r="H4594" s="11" t="s">
        <v>44</v>
      </c>
      <c r="I4594" s="276"/>
      <c r="J4594" s="11" t="s">
        <v>25</v>
      </c>
      <c r="K4594" s="13"/>
      <c r="L4594" s="13"/>
      <c r="M4594" s="14"/>
      <c r="N4594" s="15"/>
      <c r="O4594" s="5" t="s">
        <v>564</v>
      </c>
      <c r="P4594" s="15"/>
      <c r="Q4594" s="15"/>
      <c r="R4594" s="422"/>
      <c r="S4594" s="15"/>
      <c r="T4594" s="15"/>
      <c r="U4594" s="15"/>
      <c r="V4594" s="15"/>
      <c r="W4594" s="15"/>
      <c r="X4594" s="15"/>
      <c r="Y4594" s="15"/>
      <c r="Z4594" s="15"/>
      <c r="AA4594" s="15"/>
    </row>
    <row r="4595">
      <c r="A4595" s="5" t="s">
        <v>18815</v>
      </c>
      <c r="B4595" s="292" t="str">
        <f>HYPERLINK("https://akshar-exim-company-pvt-ltd.odoo.com/web#id=22280&amp;action=152&amp;model=crm.lead&amp;view_type=form&amp;menu_id=111","C2011321")</f>
        <v>C2011321</v>
      </c>
      <c r="C4595" s="41" t="s">
        <v>18854</v>
      </c>
      <c r="D4595" s="41"/>
      <c r="E4595" s="41" t="s">
        <v>43</v>
      </c>
      <c r="F4595" s="9">
        <v>100000.0</v>
      </c>
      <c r="G4595" s="321"/>
      <c r="H4595" s="11" t="s">
        <v>44</v>
      </c>
      <c r="I4595" s="276"/>
      <c r="J4595" s="11" t="s">
        <v>17976</v>
      </c>
      <c r="K4595" s="12"/>
      <c r="L4595" s="12"/>
      <c r="M4595" s="11" t="s">
        <v>9034</v>
      </c>
      <c r="N4595" s="5" t="s">
        <v>18855</v>
      </c>
      <c r="O4595" s="5" t="s">
        <v>564</v>
      </c>
      <c r="P4595" s="15"/>
      <c r="Q4595" s="15"/>
      <c r="R4595" s="422"/>
      <c r="S4595" s="15"/>
      <c r="T4595" s="15"/>
      <c r="U4595" s="15"/>
      <c r="V4595" s="15"/>
      <c r="W4595" s="15"/>
      <c r="X4595" s="15"/>
      <c r="Y4595" s="15"/>
      <c r="Z4595" s="15"/>
      <c r="AA4595" s="15"/>
    </row>
    <row r="4596">
      <c r="A4596" s="5" t="s">
        <v>18815</v>
      </c>
      <c r="B4596" s="292" t="str">
        <f>HYPERLINK("https://akshar-exim-company-pvt-ltd.odoo.com/web#id=22279&amp;action=152&amp;model=crm.lead&amp;view_type=form&amp;menu_id=111","C2011320")</f>
        <v>C2011320</v>
      </c>
      <c r="C4596" s="41" t="s">
        <v>18856</v>
      </c>
      <c r="D4596" s="41"/>
      <c r="E4596" s="41" t="s">
        <v>17724</v>
      </c>
      <c r="F4596" s="90">
        <v>5.0</v>
      </c>
      <c r="G4596" s="321"/>
      <c r="H4596" s="11" t="s">
        <v>906</v>
      </c>
      <c r="I4596" s="97"/>
      <c r="J4596" s="41" t="s">
        <v>18182</v>
      </c>
      <c r="K4596" s="13"/>
      <c r="L4596" s="13"/>
      <c r="M4596" s="14"/>
      <c r="N4596" s="15"/>
      <c r="O4596" s="5" t="s">
        <v>10708</v>
      </c>
      <c r="P4596" s="15"/>
      <c r="Q4596" s="15"/>
      <c r="R4596" s="422"/>
      <c r="S4596" s="15"/>
      <c r="T4596" s="15"/>
      <c r="U4596" s="15"/>
      <c r="V4596" s="15"/>
      <c r="W4596" s="15"/>
      <c r="X4596" s="15"/>
      <c r="Y4596" s="15"/>
      <c r="Z4596" s="15"/>
      <c r="AA4596" s="15"/>
    </row>
    <row r="4597">
      <c r="A4597" s="5" t="s">
        <v>18857</v>
      </c>
      <c r="B4597" s="292" t="str">
        <f>HYPERLINK("https://akshar-exim-company-pvt-ltd.odoo.com/web#id=22289&amp;action=152&amp;model=crm.lead&amp;view_type=form&amp;menu_id=111","C2011319")</f>
        <v>C2011319</v>
      </c>
      <c r="C4597" s="41" t="s">
        <v>18858</v>
      </c>
      <c r="D4597" s="405"/>
      <c r="E4597" s="405" t="s">
        <v>18859</v>
      </c>
      <c r="F4597" s="90">
        <v>1000.0</v>
      </c>
      <c r="G4597" s="321"/>
      <c r="H4597" s="11" t="s">
        <v>44</v>
      </c>
      <c r="I4597" s="276"/>
      <c r="J4597" s="11" t="s">
        <v>25</v>
      </c>
      <c r="K4597" s="12"/>
      <c r="L4597" s="12"/>
      <c r="M4597" s="11" t="s">
        <v>12862</v>
      </c>
      <c r="N4597" s="5" t="s">
        <v>18860</v>
      </c>
      <c r="O4597" s="5" t="s">
        <v>564</v>
      </c>
      <c r="P4597" s="15"/>
      <c r="Q4597" s="15"/>
      <c r="R4597" s="422"/>
      <c r="S4597" s="15"/>
      <c r="T4597" s="15"/>
      <c r="U4597" s="15"/>
      <c r="V4597" s="15"/>
      <c r="W4597" s="15"/>
      <c r="X4597" s="15"/>
      <c r="Y4597" s="15"/>
      <c r="Z4597" s="15"/>
      <c r="AA4597" s="15"/>
    </row>
    <row r="4598">
      <c r="A4598" s="5" t="s">
        <v>18857</v>
      </c>
      <c r="B4598" s="292" t="str">
        <f>HYPERLINK("https://akshar-exim-company-pvt-ltd.odoo.com/web#id=22291&amp;action=152&amp;model=crm.lead&amp;view_type=form&amp;menu_id=111","C2011318")</f>
        <v>C2011318</v>
      </c>
      <c r="C4598" s="41" t="s">
        <v>7093</v>
      </c>
      <c r="D4598" s="405"/>
      <c r="E4598" s="405" t="s">
        <v>412</v>
      </c>
      <c r="F4598" s="90">
        <v>500.0</v>
      </c>
      <c r="G4598" s="321"/>
      <c r="H4598" s="11" t="s">
        <v>44</v>
      </c>
      <c r="I4598" s="423"/>
      <c r="J4598" s="14"/>
      <c r="K4598" s="12"/>
      <c r="L4598" s="12"/>
      <c r="M4598" s="11" t="s">
        <v>18861</v>
      </c>
      <c r="N4598" s="5" t="s">
        <v>18862</v>
      </c>
      <c r="O4598" s="5" t="s">
        <v>10708</v>
      </c>
      <c r="P4598" s="15"/>
      <c r="Q4598" s="15"/>
      <c r="R4598" s="422"/>
      <c r="S4598" s="15"/>
      <c r="T4598" s="15"/>
      <c r="U4598" s="15"/>
      <c r="V4598" s="15"/>
      <c r="W4598" s="15"/>
      <c r="X4598" s="15"/>
      <c r="Y4598" s="15"/>
      <c r="Z4598" s="15"/>
      <c r="AA4598" s="15"/>
    </row>
    <row r="4599">
      <c r="A4599" s="5" t="s">
        <v>18857</v>
      </c>
      <c r="B4599" s="292" t="str">
        <f>HYPERLINK("https://akshar-exim-company-pvt-ltd.odoo.com/web#id=22293&amp;action=152&amp;model=crm.lead&amp;view_type=form&amp;menu_id=111","C2011317")</f>
        <v>C2011317</v>
      </c>
      <c r="C4599" s="41" t="s">
        <v>18863</v>
      </c>
      <c r="D4599" s="41"/>
      <c r="E4599" s="41" t="s">
        <v>18084</v>
      </c>
      <c r="F4599" s="9">
        <v>300000.0</v>
      </c>
      <c r="G4599" s="430"/>
      <c r="H4599" s="41" t="s">
        <v>18864</v>
      </c>
      <c r="I4599" s="276"/>
      <c r="J4599" s="11" t="s">
        <v>25</v>
      </c>
      <c r="K4599" s="12"/>
      <c r="L4599" s="12"/>
      <c r="M4599" s="11" t="s">
        <v>9719</v>
      </c>
      <c r="N4599" s="5" t="s">
        <v>18865</v>
      </c>
      <c r="O4599" s="5" t="s">
        <v>17993</v>
      </c>
      <c r="P4599" s="15"/>
      <c r="Q4599" s="15"/>
      <c r="R4599" s="422"/>
      <c r="S4599" s="15"/>
      <c r="T4599" s="15"/>
      <c r="U4599" s="15"/>
      <c r="V4599" s="15"/>
      <c r="W4599" s="15"/>
      <c r="X4599" s="15"/>
      <c r="Y4599" s="15"/>
      <c r="Z4599" s="15"/>
      <c r="AA4599" s="15"/>
    </row>
    <row r="4600">
      <c r="A4600" s="5" t="s">
        <v>18857</v>
      </c>
      <c r="B4600" s="292" t="str">
        <f>HYPERLINK("https://akshar-exim-company-pvt-ltd.odoo.com/web#id=22295&amp;action=152&amp;model=crm.lead&amp;view_type=form&amp;menu_id=111","C2011316")</f>
        <v>C2011316</v>
      </c>
      <c r="C4600" s="41" t="s">
        <v>18866</v>
      </c>
      <c r="D4600" s="41"/>
      <c r="E4600" s="41" t="s">
        <v>189</v>
      </c>
      <c r="F4600" s="90">
        <v>5000.0</v>
      </c>
      <c r="G4600" s="430"/>
      <c r="H4600" s="41" t="s">
        <v>472</v>
      </c>
      <c r="I4600" s="276"/>
      <c r="J4600" s="11" t="s">
        <v>25</v>
      </c>
      <c r="K4600" s="12"/>
      <c r="L4600" s="12"/>
      <c r="M4600" s="11" t="s">
        <v>9034</v>
      </c>
      <c r="N4600" s="5" t="s">
        <v>18867</v>
      </c>
      <c r="O4600" s="5" t="s">
        <v>564</v>
      </c>
      <c r="P4600" s="15"/>
      <c r="Q4600" s="15"/>
      <c r="R4600" s="422"/>
      <c r="S4600" s="15"/>
      <c r="T4600" s="15"/>
      <c r="U4600" s="15"/>
      <c r="V4600" s="15"/>
      <c r="W4600" s="15"/>
      <c r="X4600" s="15"/>
      <c r="Y4600" s="15"/>
      <c r="Z4600" s="15"/>
      <c r="AA4600" s="15"/>
    </row>
    <row r="4601">
      <c r="A4601" s="5" t="s">
        <v>18857</v>
      </c>
      <c r="B4601" s="292" t="str">
        <f>HYPERLINK("https://akshar-exim-company-pvt-ltd.odoo.com/web#id=22297&amp;action=152&amp;model=crm.lead&amp;view_type=form&amp;menu_id=111","C2011315")</f>
        <v>C2011315</v>
      </c>
      <c r="C4601" s="41" t="s">
        <v>18868</v>
      </c>
      <c r="D4601" s="41"/>
      <c r="E4601" s="41" t="s">
        <v>18869</v>
      </c>
      <c r="F4601" s="90">
        <v>5000.0</v>
      </c>
      <c r="G4601" s="321"/>
      <c r="H4601" s="11" t="s">
        <v>507</v>
      </c>
      <c r="I4601" s="276"/>
      <c r="J4601" s="11" t="s">
        <v>25</v>
      </c>
      <c r="K4601" s="13"/>
      <c r="L4601" s="13"/>
      <c r="M4601" s="14"/>
      <c r="N4601" s="15"/>
      <c r="O4601" s="5" t="s">
        <v>17993</v>
      </c>
      <c r="P4601" s="15"/>
      <c r="Q4601" s="15"/>
      <c r="R4601" s="422"/>
      <c r="S4601" s="15"/>
      <c r="T4601" s="15"/>
      <c r="U4601" s="15"/>
      <c r="V4601" s="15"/>
      <c r="W4601" s="15"/>
      <c r="X4601" s="15"/>
      <c r="Y4601" s="15"/>
      <c r="Z4601" s="15"/>
      <c r="AA4601" s="15"/>
    </row>
    <row r="4602">
      <c r="A4602" s="5" t="s">
        <v>18857</v>
      </c>
      <c r="B4602" s="292" t="str">
        <f>HYPERLINK("https://akshar-exim-company-pvt-ltd.odoo.com/web#id=22299&amp;action=152&amp;model=crm.lead&amp;view_type=form&amp;menu_id=111","C2011314")</f>
        <v>C2011314</v>
      </c>
      <c r="C4602" s="41" t="s">
        <v>18870</v>
      </c>
      <c r="D4602" s="41"/>
      <c r="E4602" s="41" t="s">
        <v>5613</v>
      </c>
      <c r="F4602" s="90">
        <v>5.0</v>
      </c>
      <c r="G4602" s="430"/>
      <c r="H4602" s="41" t="s">
        <v>906</v>
      </c>
      <c r="I4602" s="97"/>
      <c r="J4602" s="41" t="s">
        <v>18182</v>
      </c>
      <c r="K4602" s="13"/>
      <c r="L4602" s="13"/>
      <c r="M4602" s="14"/>
      <c r="N4602" s="15"/>
      <c r="O4602" s="5" t="s">
        <v>10708</v>
      </c>
      <c r="P4602" s="15"/>
      <c r="Q4602" s="15"/>
      <c r="R4602" s="422"/>
      <c r="S4602" s="15"/>
      <c r="T4602" s="15"/>
      <c r="U4602" s="15"/>
      <c r="V4602" s="15"/>
      <c r="W4602" s="15"/>
      <c r="X4602" s="15"/>
      <c r="Y4602" s="15"/>
      <c r="Z4602" s="15"/>
      <c r="AA4602" s="15"/>
    </row>
    <row r="4603">
      <c r="A4603" s="5" t="s">
        <v>18857</v>
      </c>
      <c r="B4603" s="292" t="str">
        <f>HYPERLINK("https://akshar-exim-company-pvt-ltd.odoo.com/web#id=22300&amp;action=152&amp;model=crm.lead&amp;view_type=form&amp;menu_id=111","C2011313")</f>
        <v>C2011313</v>
      </c>
      <c r="C4603" s="41" t="s">
        <v>9653</v>
      </c>
      <c r="D4603" s="41"/>
      <c r="E4603" s="41" t="s">
        <v>3165</v>
      </c>
      <c r="F4603" s="90">
        <v>50.0</v>
      </c>
      <c r="G4603" s="430"/>
      <c r="H4603" s="41" t="s">
        <v>3090</v>
      </c>
      <c r="I4603" s="276"/>
      <c r="J4603" s="11" t="s">
        <v>8773</v>
      </c>
      <c r="K4603" s="13"/>
      <c r="L4603" s="13"/>
      <c r="M4603" s="14"/>
      <c r="N4603" s="15"/>
      <c r="O4603" s="5" t="s">
        <v>10708</v>
      </c>
      <c r="P4603" s="15"/>
      <c r="Q4603" s="15"/>
      <c r="R4603" s="422"/>
      <c r="S4603" s="15"/>
      <c r="T4603" s="15"/>
      <c r="U4603" s="15"/>
      <c r="V4603" s="15"/>
      <c r="W4603" s="15"/>
      <c r="X4603" s="15"/>
      <c r="Y4603" s="15"/>
      <c r="Z4603" s="15"/>
      <c r="AA4603" s="15"/>
    </row>
    <row r="4604">
      <c r="A4604" s="5" t="s">
        <v>18857</v>
      </c>
      <c r="B4604" s="292" t="str">
        <f>HYPERLINK("https://akshar-exim-company-pvt-ltd.odoo.com/web#id=22321&amp;action=152&amp;model=crm.lead&amp;view_type=form&amp;menu_id=111","C2011312")</f>
        <v>C2011312</v>
      </c>
      <c r="C4604" s="41" t="s">
        <v>18871</v>
      </c>
      <c r="D4604" s="41"/>
      <c r="E4604" s="41" t="s">
        <v>18872</v>
      </c>
      <c r="F4604" s="90">
        <v>200.0</v>
      </c>
      <c r="G4604" s="321"/>
      <c r="H4604" s="11" t="s">
        <v>906</v>
      </c>
      <c r="I4604" s="276"/>
      <c r="J4604" s="11" t="s">
        <v>25</v>
      </c>
      <c r="K4604" s="12"/>
      <c r="L4604" s="12"/>
      <c r="M4604" s="11" t="s">
        <v>18873</v>
      </c>
      <c r="N4604" s="5" t="s">
        <v>18874</v>
      </c>
      <c r="O4604" s="5" t="s">
        <v>17993</v>
      </c>
      <c r="P4604" s="15"/>
      <c r="Q4604" s="15"/>
      <c r="R4604" s="422"/>
      <c r="S4604" s="15"/>
      <c r="T4604" s="15"/>
      <c r="U4604" s="15"/>
      <c r="V4604" s="15"/>
      <c r="W4604" s="15"/>
      <c r="X4604" s="15"/>
      <c r="Y4604" s="15"/>
      <c r="Z4604" s="15"/>
      <c r="AA4604" s="15"/>
    </row>
    <row r="4605">
      <c r="A4605" s="5" t="s">
        <v>18857</v>
      </c>
      <c r="B4605" s="292" t="str">
        <f>HYPERLINK("https://akshar-exim-company-pvt-ltd.odoo.com/web#id=22320&amp;action=152&amp;model=crm.lead&amp;view_type=form&amp;menu_id=111","C2011311")</f>
        <v>C2011311</v>
      </c>
      <c r="C4605" s="41" t="s">
        <v>18668</v>
      </c>
      <c r="D4605" s="41"/>
      <c r="E4605" s="41" t="s">
        <v>539</v>
      </c>
      <c r="F4605" s="90">
        <v>2.0</v>
      </c>
      <c r="G4605" s="321"/>
      <c r="H4605" s="11" t="s">
        <v>44</v>
      </c>
      <c r="I4605" s="276"/>
      <c r="J4605" s="11" t="s">
        <v>25</v>
      </c>
      <c r="K4605" s="13"/>
      <c r="L4605" s="13"/>
      <c r="M4605" s="14"/>
      <c r="N4605" s="15"/>
      <c r="O4605" s="5" t="s">
        <v>10708</v>
      </c>
      <c r="P4605" s="15"/>
      <c r="Q4605" s="15"/>
      <c r="R4605" s="422"/>
      <c r="S4605" s="15"/>
      <c r="T4605" s="15"/>
      <c r="U4605" s="15"/>
      <c r="V4605" s="15"/>
      <c r="W4605" s="15"/>
      <c r="X4605" s="15"/>
      <c r="Y4605" s="15"/>
      <c r="Z4605" s="15"/>
      <c r="AA4605" s="15"/>
    </row>
    <row r="4606">
      <c r="A4606" s="5" t="s">
        <v>18857</v>
      </c>
      <c r="B4606" s="292" t="str">
        <f>HYPERLINK("https://akshar-exim-company-pvt-ltd.odoo.com/web#id=22318&amp;action=152&amp;model=crm.lead&amp;view_type=form&amp;menu_id=111","C2011310")</f>
        <v>C2011310</v>
      </c>
      <c r="C4606" s="41" t="s">
        <v>18875</v>
      </c>
      <c r="D4606" s="41"/>
      <c r="E4606" s="41" t="s">
        <v>10689</v>
      </c>
      <c r="F4606" s="90">
        <v>50.0</v>
      </c>
      <c r="G4606" s="321"/>
      <c r="H4606" s="11" t="s">
        <v>44</v>
      </c>
      <c r="I4606" s="276"/>
      <c r="J4606" s="11" t="s">
        <v>13956</v>
      </c>
      <c r="K4606" s="13"/>
      <c r="L4606" s="13"/>
      <c r="M4606" s="14"/>
      <c r="N4606" s="15"/>
      <c r="O4606" s="5" t="s">
        <v>10708</v>
      </c>
      <c r="P4606" s="15"/>
      <c r="Q4606" s="15"/>
      <c r="R4606" s="422"/>
      <c r="S4606" s="15"/>
      <c r="T4606" s="15"/>
      <c r="U4606" s="15"/>
      <c r="V4606" s="15"/>
      <c r="W4606" s="15"/>
      <c r="X4606" s="15"/>
      <c r="Y4606" s="15"/>
      <c r="Z4606" s="15"/>
      <c r="AA4606" s="15"/>
    </row>
    <row r="4607">
      <c r="A4607" s="5" t="s">
        <v>18857</v>
      </c>
      <c r="B4607" s="292" t="str">
        <f>HYPERLINK("https://akshar-exim-company-pvt-ltd.odoo.com/web#id=22312&amp;action=152&amp;model=crm.lead&amp;view_type=form&amp;menu_id=111","C2011309")</f>
        <v>C2011309</v>
      </c>
      <c r="C4607" s="41" t="s">
        <v>18876</v>
      </c>
      <c r="D4607" s="41"/>
      <c r="E4607" s="41" t="s">
        <v>18877</v>
      </c>
      <c r="F4607" s="90">
        <v>1000.0</v>
      </c>
      <c r="G4607" s="321"/>
      <c r="H4607" s="11" t="s">
        <v>44</v>
      </c>
      <c r="I4607" s="423"/>
      <c r="J4607" s="14"/>
      <c r="K4607" s="12"/>
      <c r="L4607" s="12"/>
      <c r="M4607" s="11" t="s">
        <v>9034</v>
      </c>
      <c r="N4607" s="5" t="s">
        <v>18878</v>
      </c>
      <c r="O4607" s="5" t="s">
        <v>564</v>
      </c>
      <c r="P4607" s="15"/>
      <c r="Q4607" s="15"/>
      <c r="R4607" s="422"/>
      <c r="S4607" s="15"/>
      <c r="T4607" s="15"/>
      <c r="U4607" s="15"/>
      <c r="V4607" s="15"/>
      <c r="W4607" s="15"/>
      <c r="X4607" s="15"/>
      <c r="Y4607" s="15"/>
      <c r="Z4607" s="15"/>
      <c r="AA4607" s="15"/>
    </row>
    <row r="4608">
      <c r="A4608" s="5" t="s">
        <v>18857</v>
      </c>
      <c r="B4608" s="292" t="str">
        <f>HYPERLINK("https://akshar-exim-company-pvt-ltd.odoo.com/web#id=22307&amp;action=152&amp;model=crm.lead&amp;view_type=form&amp;menu_id=111","C2011308")</f>
        <v>C2011308</v>
      </c>
      <c r="C4608" s="41" t="s">
        <v>18879</v>
      </c>
      <c r="D4608" s="41"/>
      <c r="E4608" s="41" t="s">
        <v>3165</v>
      </c>
      <c r="F4608" s="90">
        <v>2.0</v>
      </c>
      <c r="G4608" s="321"/>
      <c r="H4608" s="11" t="s">
        <v>44</v>
      </c>
      <c r="I4608" s="276"/>
      <c r="J4608" s="11" t="s">
        <v>18182</v>
      </c>
      <c r="K4608" s="13"/>
      <c r="L4608" s="13"/>
      <c r="M4608" s="14"/>
      <c r="N4608" s="15"/>
      <c r="O4608" s="5" t="s">
        <v>10708</v>
      </c>
      <c r="P4608" s="15"/>
      <c r="Q4608" s="15"/>
      <c r="R4608" s="422"/>
      <c r="S4608" s="15"/>
      <c r="T4608" s="15"/>
      <c r="U4608" s="15"/>
      <c r="V4608" s="15"/>
      <c r="W4608" s="15"/>
      <c r="X4608" s="15"/>
      <c r="Y4608" s="15"/>
      <c r="Z4608" s="15"/>
      <c r="AA4608" s="15"/>
    </row>
    <row r="4609">
      <c r="A4609" s="5" t="s">
        <v>18857</v>
      </c>
      <c r="B4609" s="292" t="str">
        <f>HYPERLINK("https://akshar-exim-company-pvt-ltd.odoo.com/web#id=22273&amp;action=152&amp;model=crm.lead&amp;view_type=form&amp;menu_id=111","C2011307")</f>
        <v>C2011307</v>
      </c>
      <c r="C4609" s="41" t="s">
        <v>18880</v>
      </c>
      <c r="D4609" s="41"/>
      <c r="E4609" s="41" t="s">
        <v>7897</v>
      </c>
      <c r="F4609" s="9">
        <v>10000.0</v>
      </c>
      <c r="G4609" s="430"/>
      <c r="H4609" s="41" t="s">
        <v>18881</v>
      </c>
      <c r="I4609" s="276"/>
      <c r="J4609" s="11" t="s">
        <v>18182</v>
      </c>
      <c r="K4609" s="12"/>
      <c r="L4609" s="12"/>
      <c r="M4609" s="11" t="s">
        <v>9983</v>
      </c>
      <c r="N4609" s="5" t="s">
        <v>18882</v>
      </c>
      <c r="O4609" s="5" t="s">
        <v>17993</v>
      </c>
      <c r="P4609" s="15"/>
      <c r="Q4609" s="15"/>
      <c r="R4609" s="422"/>
      <c r="S4609" s="15"/>
      <c r="T4609" s="15"/>
      <c r="U4609" s="15"/>
      <c r="V4609" s="15"/>
      <c r="W4609" s="15"/>
      <c r="X4609" s="15"/>
      <c r="Y4609" s="15"/>
      <c r="Z4609" s="15"/>
      <c r="AA4609" s="15"/>
    </row>
    <row r="4610">
      <c r="A4610" s="5" t="s">
        <v>18857</v>
      </c>
      <c r="B4610" s="292" t="str">
        <f>HYPERLINK("https://akshar-exim-company-pvt-ltd.odoo.com/web#id=22270&amp;action=152&amp;model=crm.lead&amp;view_type=form&amp;menu_id=111","C2011306")</f>
        <v>C2011306</v>
      </c>
      <c r="C4610" s="41" t="s">
        <v>18883</v>
      </c>
      <c r="D4610" s="41"/>
      <c r="E4610" s="41" t="s">
        <v>18884</v>
      </c>
      <c r="F4610" s="90">
        <v>5.0</v>
      </c>
      <c r="G4610" s="430"/>
      <c r="H4610" s="41" t="s">
        <v>18885</v>
      </c>
      <c r="I4610" s="276"/>
      <c r="J4610" s="11" t="s">
        <v>17976</v>
      </c>
      <c r="K4610" s="13"/>
      <c r="L4610" s="13"/>
      <c r="M4610" s="14"/>
      <c r="N4610" s="15"/>
      <c r="O4610" s="5" t="s">
        <v>10708</v>
      </c>
      <c r="P4610" s="15"/>
      <c r="Q4610" s="15"/>
      <c r="R4610" s="422"/>
      <c r="S4610" s="15"/>
      <c r="T4610" s="15"/>
      <c r="U4610" s="15"/>
      <c r="V4610" s="15"/>
      <c r="W4610" s="15"/>
      <c r="X4610" s="15"/>
      <c r="Y4610" s="15"/>
      <c r="Z4610" s="15"/>
      <c r="AA4610" s="15"/>
    </row>
    <row r="4611">
      <c r="A4611" s="5" t="s">
        <v>18857</v>
      </c>
      <c r="B4611" s="292" t="str">
        <f>HYPERLINK("https://akshar-exim-company-pvt-ltd.odoo.com/web#id=22266&amp;action=152&amp;model=crm.lead&amp;view_type=form&amp;menu_id=111","C2011305")</f>
        <v>C2011305</v>
      </c>
      <c r="C4611" s="41" t="s">
        <v>14722</v>
      </c>
      <c r="D4611" s="41"/>
      <c r="E4611" s="41" t="s">
        <v>4085</v>
      </c>
      <c r="F4611" s="9">
        <v>50000.0</v>
      </c>
      <c r="G4611" s="430"/>
      <c r="H4611" s="41" t="s">
        <v>6181</v>
      </c>
      <c r="I4611" s="276"/>
      <c r="J4611" s="11" t="s">
        <v>17976</v>
      </c>
      <c r="K4611" s="12"/>
      <c r="L4611" s="12"/>
      <c r="M4611" s="11" t="s">
        <v>9104</v>
      </c>
      <c r="N4611" s="5" t="s">
        <v>18886</v>
      </c>
      <c r="O4611" s="5" t="s">
        <v>564</v>
      </c>
      <c r="P4611" s="15"/>
      <c r="Q4611" s="15"/>
      <c r="R4611" s="422"/>
      <c r="S4611" s="15"/>
      <c r="T4611" s="15"/>
      <c r="U4611" s="15"/>
      <c r="V4611" s="15"/>
      <c r="W4611" s="15"/>
      <c r="X4611" s="15"/>
      <c r="Y4611" s="15"/>
      <c r="Z4611" s="15"/>
      <c r="AA4611" s="15"/>
    </row>
    <row r="4612">
      <c r="A4612" s="5" t="s">
        <v>18857</v>
      </c>
      <c r="B4612" s="292" t="str">
        <f>HYPERLINK("https://akshar-exim-company-pvt-ltd.odoo.com/web#id=22265&amp;action=152&amp;model=crm.lead&amp;view_type=form&amp;menu_id=111","C2011304")</f>
        <v>C2011304</v>
      </c>
      <c r="C4612" s="41" t="s">
        <v>18887</v>
      </c>
      <c r="D4612" s="41"/>
      <c r="E4612" s="41" t="s">
        <v>18888</v>
      </c>
      <c r="F4612" s="90">
        <v>4.0</v>
      </c>
      <c r="G4612" s="430"/>
      <c r="H4612" s="41" t="s">
        <v>617</v>
      </c>
      <c r="I4612" s="276"/>
      <c r="J4612" s="11" t="s">
        <v>18182</v>
      </c>
      <c r="K4612" s="13"/>
      <c r="L4612" s="13"/>
      <c r="M4612" s="14"/>
      <c r="N4612" s="15"/>
      <c r="O4612" s="5" t="s">
        <v>10708</v>
      </c>
      <c r="P4612" s="15"/>
      <c r="Q4612" s="15"/>
      <c r="R4612" s="422"/>
      <c r="S4612" s="15"/>
      <c r="T4612" s="15"/>
      <c r="U4612" s="15"/>
      <c r="V4612" s="15"/>
      <c r="W4612" s="15"/>
      <c r="X4612" s="15"/>
      <c r="Y4612" s="15"/>
      <c r="Z4612" s="15"/>
      <c r="AA4612" s="15"/>
    </row>
    <row r="4613">
      <c r="A4613" s="5" t="s">
        <v>18857</v>
      </c>
      <c r="B4613" s="292" t="str">
        <f>HYPERLINK("https://akshar-exim-company-pvt-ltd.odoo.com/web#id=22264&amp;action=152&amp;model=crm.lead&amp;view_type=form&amp;menu_id=111","C2011303")</f>
        <v>C2011303</v>
      </c>
      <c r="C4613" s="41" t="s">
        <v>18889</v>
      </c>
      <c r="D4613" s="41"/>
      <c r="E4613" s="41" t="s">
        <v>3611</v>
      </c>
      <c r="F4613" s="90">
        <v>10.0</v>
      </c>
      <c r="G4613" s="430"/>
      <c r="H4613" s="41" t="s">
        <v>18358</v>
      </c>
      <c r="I4613" s="97"/>
      <c r="J4613" s="41" t="s">
        <v>18890</v>
      </c>
      <c r="K4613" s="13"/>
      <c r="L4613" s="13"/>
      <c r="M4613" s="14"/>
      <c r="N4613" s="15"/>
      <c r="O4613" s="5" t="s">
        <v>10708</v>
      </c>
      <c r="P4613" s="15"/>
      <c r="Q4613" s="15"/>
      <c r="R4613" s="422"/>
      <c r="S4613" s="15"/>
      <c r="T4613" s="15"/>
      <c r="U4613" s="15"/>
      <c r="V4613" s="15"/>
      <c r="W4613" s="15"/>
      <c r="X4613" s="15"/>
      <c r="Y4613" s="15"/>
      <c r="Z4613" s="15"/>
      <c r="AA4613" s="15"/>
    </row>
    <row r="4614">
      <c r="A4614" s="5" t="s">
        <v>18857</v>
      </c>
      <c r="B4614" s="292" t="str">
        <f>HYPERLINK("https://akshar-exim-company-pvt-ltd.odoo.com/web#id=22263&amp;action=152&amp;model=crm.lead&amp;view_type=form&amp;menu_id=111","C2011302")</f>
        <v>C2011302</v>
      </c>
      <c r="C4614" s="405" t="s">
        <v>1694</v>
      </c>
      <c r="D4614" s="405"/>
      <c r="E4614" s="405" t="s">
        <v>7103</v>
      </c>
      <c r="F4614" s="90">
        <v>500.0</v>
      </c>
      <c r="G4614" s="321"/>
      <c r="H4614" s="11" t="s">
        <v>18891</v>
      </c>
      <c r="I4614" s="276"/>
      <c r="J4614" s="11" t="s">
        <v>17976</v>
      </c>
      <c r="K4614" s="12"/>
      <c r="L4614" s="12"/>
      <c r="M4614" s="11" t="s">
        <v>18892</v>
      </c>
      <c r="N4614" s="5" t="s">
        <v>18893</v>
      </c>
      <c r="O4614" s="5" t="s">
        <v>17993</v>
      </c>
      <c r="P4614" s="15"/>
      <c r="Q4614" s="15"/>
      <c r="R4614" s="422"/>
      <c r="S4614" s="15"/>
      <c r="T4614" s="15"/>
      <c r="U4614" s="15"/>
      <c r="V4614" s="15"/>
      <c r="W4614" s="15"/>
      <c r="X4614" s="15"/>
      <c r="Y4614" s="15"/>
      <c r="Z4614" s="15"/>
      <c r="AA4614" s="15"/>
    </row>
    <row r="4615">
      <c r="A4615" s="5" t="s">
        <v>18857</v>
      </c>
      <c r="B4615" s="292" t="str">
        <f>HYPERLINK("https://akshar-exim-company-pvt-ltd.odoo.com/web#id=22260&amp;action=152&amp;model=crm.lead&amp;view_type=form&amp;menu_id=111","C2011301")</f>
        <v>C2011301</v>
      </c>
      <c r="C4615" s="41" t="s">
        <v>11413</v>
      </c>
      <c r="D4615" s="41"/>
      <c r="E4615" s="41" t="s">
        <v>9109</v>
      </c>
      <c r="F4615" s="9">
        <v>10000.0</v>
      </c>
      <c r="G4615" s="430"/>
      <c r="H4615" s="41" t="s">
        <v>3090</v>
      </c>
      <c r="I4615" s="276"/>
      <c r="J4615" s="11" t="s">
        <v>17976</v>
      </c>
      <c r="K4615" s="12"/>
      <c r="L4615" s="12"/>
      <c r="M4615" s="11" t="s">
        <v>8638</v>
      </c>
      <c r="N4615" s="5" t="s">
        <v>18894</v>
      </c>
      <c r="O4615" s="5" t="s">
        <v>564</v>
      </c>
      <c r="P4615" s="15"/>
      <c r="Q4615" s="15"/>
      <c r="R4615" s="422"/>
      <c r="S4615" s="15"/>
      <c r="T4615" s="15"/>
      <c r="U4615" s="15"/>
      <c r="V4615" s="15"/>
      <c r="W4615" s="15"/>
      <c r="X4615" s="15"/>
      <c r="Y4615" s="15"/>
      <c r="Z4615" s="15"/>
      <c r="AA4615" s="15"/>
    </row>
    <row r="4616">
      <c r="A4616" s="5" t="s">
        <v>18857</v>
      </c>
      <c r="B4616" s="292" t="str">
        <f>HYPERLINK("https://akshar-exim-company-pvt-ltd.odoo.com/web#id=22259&amp;action=152&amp;model=crm.lead&amp;view_type=form&amp;menu_id=111","C2011300")</f>
        <v>C2011300</v>
      </c>
      <c r="C4616" s="41" t="s">
        <v>9728</v>
      </c>
      <c r="D4616" s="41"/>
      <c r="E4616" s="41" t="s">
        <v>167</v>
      </c>
      <c r="F4616" s="90">
        <v>20.0</v>
      </c>
      <c r="G4616" s="321"/>
      <c r="H4616" s="11" t="s">
        <v>2682</v>
      </c>
      <c r="I4616" s="276"/>
      <c r="J4616" s="11" t="s">
        <v>18895</v>
      </c>
      <c r="K4616" s="13"/>
      <c r="L4616" s="13"/>
      <c r="M4616" s="14"/>
      <c r="N4616" s="15"/>
      <c r="O4616" s="5" t="s">
        <v>10708</v>
      </c>
      <c r="P4616" s="15"/>
      <c r="Q4616" s="15"/>
      <c r="R4616" s="422"/>
      <c r="S4616" s="15"/>
      <c r="T4616" s="15"/>
      <c r="U4616" s="15"/>
      <c r="V4616" s="15"/>
      <c r="W4616" s="15"/>
      <c r="X4616" s="15"/>
      <c r="Y4616" s="15"/>
      <c r="Z4616" s="15"/>
      <c r="AA4616" s="15"/>
    </row>
    <row r="4617">
      <c r="A4617" s="5" t="s">
        <v>18857</v>
      </c>
      <c r="B4617" s="292" t="str">
        <f>HYPERLINK("https://akshar-exim-company-pvt-ltd.odoo.com/web#id=22257&amp;action=152&amp;model=crm.lead&amp;view_type=form&amp;menu_id=111","C2011299")</f>
        <v>C2011299</v>
      </c>
      <c r="C4617" s="41" t="s">
        <v>18896</v>
      </c>
      <c r="D4617" s="41"/>
      <c r="E4617" s="41" t="s">
        <v>18897</v>
      </c>
      <c r="F4617" s="90">
        <v>1.0</v>
      </c>
      <c r="G4617" s="321"/>
      <c r="H4617" s="11" t="s">
        <v>44</v>
      </c>
      <c r="I4617" s="276"/>
      <c r="J4617" s="11" t="s">
        <v>17109</v>
      </c>
      <c r="K4617" s="13"/>
      <c r="L4617" s="13"/>
      <c r="M4617" s="14"/>
      <c r="N4617" s="15"/>
      <c r="O4617" s="5" t="s">
        <v>10708</v>
      </c>
      <c r="P4617" s="15"/>
      <c r="Q4617" s="15"/>
      <c r="R4617" s="422"/>
      <c r="S4617" s="15"/>
      <c r="T4617" s="15"/>
      <c r="U4617" s="15"/>
      <c r="V4617" s="15"/>
      <c r="W4617" s="15"/>
      <c r="X4617" s="15"/>
      <c r="Y4617" s="15"/>
      <c r="Z4617" s="15"/>
      <c r="AA4617" s="15"/>
    </row>
    <row r="4618">
      <c r="A4618" s="5" t="s">
        <v>18857</v>
      </c>
      <c r="B4618" s="292" t="str">
        <f>HYPERLINK("https://akshar-exim-company-pvt-ltd.odoo.com/web#id=22256&amp;action=152&amp;model=crm.lead&amp;view_type=form&amp;menu_id=111","C2011298")</f>
        <v>C2011298</v>
      </c>
      <c r="C4618" s="41" t="s">
        <v>18898</v>
      </c>
      <c r="D4618" s="405"/>
      <c r="E4618" s="405" t="s">
        <v>5211</v>
      </c>
      <c r="F4618" s="90">
        <v>10.0</v>
      </c>
      <c r="G4618" s="321"/>
      <c r="H4618" s="11" t="s">
        <v>906</v>
      </c>
      <c r="I4618" s="97"/>
      <c r="J4618" s="41" t="s">
        <v>18182</v>
      </c>
      <c r="K4618" s="13"/>
      <c r="L4618" s="13"/>
      <c r="M4618" s="14"/>
      <c r="N4618" s="15"/>
      <c r="O4618" s="5" t="s">
        <v>10708</v>
      </c>
      <c r="P4618" s="15"/>
      <c r="Q4618" s="15"/>
      <c r="R4618" s="422"/>
      <c r="S4618" s="15"/>
      <c r="T4618" s="15"/>
      <c r="U4618" s="15"/>
      <c r="V4618" s="15"/>
      <c r="W4618" s="15"/>
      <c r="X4618" s="15"/>
      <c r="Y4618" s="15"/>
      <c r="Z4618" s="15"/>
      <c r="AA4618" s="15"/>
    </row>
    <row r="4619">
      <c r="A4619" s="5" t="s">
        <v>18857</v>
      </c>
      <c r="B4619" s="292" t="str">
        <f>HYPERLINK("https://akshar-exim-company-pvt-ltd.odoo.com/web#id=22255&amp;action=152&amp;model=crm.lead&amp;view_type=form&amp;menu_id=111","C2011297")</f>
        <v>C2011297</v>
      </c>
      <c r="C4619" s="41" t="s">
        <v>18899</v>
      </c>
      <c r="D4619" s="41"/>
      <c r="E4619" s="41" t="s">
        <v>17724</v>
      </c>
      <c r="F4619" s="90">
        <v>3.0</v>
      </c>
      <c r="G4619" s="321"/>
      <c r="H4619" s="11" t="s">
        <v>906</v>
      </c>
      <c r="I4619" s="97"/>
      <c r="J4619" s="41" t="s">
        <v>17109</v>
      </c>
      <c r="K4619" s="13"/>
      <c r="L4619" s="13"/>
      <c r="M4619" s="14"/>
      <c r="N4619" s="15"/>
      <c r="O4619" s="5" t="s">
        <v>10708</v>
      </c>
      <c r="P4619" s="15"/>
      <c r="Q4619" s="15"/>
      <c r="R4619" s="422"/>
      <c r="S4619" s="15"/>
      <c r="T4619" s="15"/>
      <c r="U4619" s="15"/>
      <c r="V4619" s="15"/>
      <c r="W4619" s="15"/>
      <c r="X4619" s="15"/>
      <c r="Y4619" s="15"/>
      <c r="Z4619" s="15"/>
      <c r="AA4619" s="15"/>
    </row>
    <row r="4620">
      <c r="A4620" s="5" t="s">
        <v>18857</v>
      </c>
      <c r="B4620" s="292" t="str">
        <f>HYPERLINK("https://akshar-exim-company-pvt-ltd.odoo.com/web#id=22250&amp;action=152&amp;model=crm.lead&amp;view_type=form&amp;menu_id=111","C2011296")</f>
        <v>C2011296</v>
      </c>
      <c r="C4620" s="41" t="s">
        <v>9622</v>
      </c>
      <c r="D4620" s="11"/>
      <c r="E4620" s="11" t="s">
        <v>18900</v>
      </c>
      <c r="F4620" s="433"/>
      <c r="G4620" s="434"/>
      <c r="H4620" s="14"/>
      <c r="I4620" s="423"/>
      <c r="J4620" s="14"/>
      <c r="K4620" s="13"/>
      <c r="L4620" s="13"/>
      <c r="M4620" s="14"/>
      <c r="N4620" s="15"/>
      <c r="O4620" s="15"/>
      <c r="P4620" s="15"/>
      <c r="Q4620" s="15"/>
      <c r="R4620" s="422"/>
      <c r="S4620" s="15"/>
      <c r="T4620" s="15"/>
      <c r="U4620" s="15"/>
      <c r="V4620" s="15"/>
      <c r="W4620" s="15"/>
      <c r="X4620" s="15"/>
      <c r="Y4620" s="15"/>
      <c r="Z4620" s="15"/>
      <c r="AA4620" s="15"/>
    </row>
    <row r="4621">
      <c r="A4621" s="5" t="s">
        <v>18857</v>
      </c>
      <c r="B4621" s="292" t="str">
        <f>HYPERLINK("https://akshar-exim-company-pvt-ltd.odoo.com/web#id=22243&amp;action=152&amp;model=crm.lead&amp;view_type=form&amp;menu_id=111https://akshar-exim-company-pvt-ltd.odoo.com/web#id=22243&amp;action=152&amp;model=crm.lead&amp;view_type=form&amp;menu_id=111","C2011295")</f>
        <v>C2011295</v>
      </c>
      <c r="C4621" s="41" t="s">
        <v>18209</v>
      </c>
      <c r="D4621" s="41"/>
      <c r="E4621" s="41" t="s">
        <v>1749</v>
      </c>
      <c r="F4621" s="90">
        <v>10.0</v>
      </c>
      <c r="G4621" s="321"/>
      <c r="H4621" s="11" t="s">
        <v>44</v>
      </c>
      <c r="I4621" s="276"/>
      <c r="J4621" s="11" t="s">
        <v>25</v>
      </c>
      <c r="K4621" s="13"/>
      <c r="L4621" s="13"/>
      <c r="M4621" s="14"/>
      <c r="N4621" s="15"/>
      <c r="O4621" s="5" t="s">
        <v>10708</v>
      </c>
      <c r="P4621" s="15"/>
      <c r="Q4621" s="15"/>
      <c r="R4621" s="422"/>
      <c r="S4621" s="15"/>
      <c r="T4621" s="15"/>
      <c r="U4621" s="15"/>
      <c r="V4621" s="15"/>
      <c r="W4621" s="15"/>
      <c r="X4621" s="15"/>
      <c r="Y4621" s="15"/>
      <c r="Z4621" s="15"/>
      <c r="AA4621" s="15"/>
    </row>
    <row r="4622">
      <c r="A4622" s="5" t="s">
        <v>18857</v>
      </c>
      <c r="B4622" s="292" t="str">
        <f>HYPERLINK("https://akshar-exim-company-pvt-ltd.odoo.com/web#id=22238&amp;action=152&amp;model=crm.lead&amp;view_type=form&amp;menu_id=111","C2011294")</f>
        <v>C2011294</v>
      </c>
      <c r="C4622" s="41" t="s">
        <v>18901</v>
      </c>
      <c r="D4622" s="405"/>
      <c r="E4622" s="405" t="s">
        <v>6275</v>
      </c>
      <c r="F4622" s="9">
        <v>1500000.0</v>
      </c>
      <c r="G4622" s="321"/>
      <c r="H4622" s="11" t="s">
        <v>18902</v>
      </c>
      <c r="I4622" s="276"/>
      <c r="J4622" s="11" t="s">
        <v>17976</v>
      </c>
      <c r="K4622" s="12"/>
      <c r="L4622" s="12"/>
      <c r="M4622" s="11" t="s">
        <v>9901</v>
      </c>
      <c r="N4622" s="5" t="s">
        <v>18903</v>
      </c>
      <c r="O4622" s="5" t="s">
        <v>17993</v>
      </c>
      <c r="P4622" s="15"/>
      <c r="Q4622" s="15"/>
      <c r="R4622" s="422"/>
      <c r="S4622" s="15"/>
      <c r="T4622" s="15"/>
      <c r="U4622" s="15"/>
      <c r="V4622" s="15"/>
      <c r="W4622" s="15"/>
      <c r="X4622" s="15"/>
      <c r="Y4622" s="15"/>
      <c r="Z4622" s="15"/>
      <c r="AA4622" s="15"/>
    </row>
    <row r="4623">
      <c r="A4623" s="5" t="s">
        <v>18904</v>
      </c>
      <c r="B4623" s="292" t="str">
        <f>HYPERLINK("https://akshar-exim-company-pvt-ltd.odoo.com/web#id=22237&amp;action=152&amp;model=crm.lead&amp;view_type=form&amp;menu_id=111","C2011293")</f>
        <v>C2011293</v>
      </c>
      <c r="C4623" s="41" t="s">
        <v>18905</v>
      </c>
      <c r="D4623" s="405"/>
      <c r="E4623" s="405" t="s">
        <v>15839</v>
      </c>
      <c r="F4623" s="90">
        <v>25.0</v>
      </c>
      <c r="G4623" s="321"/>
      <c r="H4623" s="11" t="s">
        <v>1919</v>
      </c>
      <c r="I4623" s="97"/>
      <c r="J4623" s="41" t="s">
        <v>18906</v>
      </c>
      <c r="K4623" s="13"/>
      <c r="L4623" s="13"/>
      <c r="M4623" s="14"/>
      <c r="N4623" s="15"/>
      <c r="O4623" s="5" t="s">
        <v>10708</v>
      </c>
      <c r="P4623" s="15"/>
      <c r="Q4623" s="15"/>
      <c r="R4623" s="422"/>
      <c r="S4623" s="15"/>
      <c r="T4623" s="15"/>
      <c r="U4623" s="15"/>
      <c r="V4623" s="15"/>
      <c r="W4623" s="15"/>
      <c r="X4623" s="15"/>
      <c r="Y4623" s="15"/>
      <c r="Z4623" s="15"/>
      <c r="AA4623" s="15"/>
    </row>
    <row r="4624">
      <c r="A4624" s="5" t="s">
        <v>18904</v>
      </c>
      <c r="B4624" s="292" t="str">
        <f>HYPERLINK("https://akshar-exim-company-pvt-ltd.odoo.com/web#id=22233&amp;action=152&amp;model=crm.lead&amp;view_type=form&amp;menu_id=111","C2011292")</f>
        <v>C2011292</v>
      </c>
      <c r="C4624" s="435" t="s">
        <v>18907</v>
      </c>
      <c r="D4624" s="436"/>
      <c r="E4624" s="436" t="s">
        <v>18908</v>
      </c>
      <c r="F4624" s="90">
        <v>10.0</v>
      </c>
      <c r="G4624" s="437"/>
      <c r="H4624" s="435" t="s">
        <v>1006</v>
      </c>
      <c r="I4624" s="423"/>
      <c r="J4624" s="14"/>
      <c r="K4624" s="13"/>
      <c r="L4624" s="13"/>
      <c r="M4624" s="14"/>
      <c r="N4624" s="15"/>
      <c r="O4624" s="5" t="s">
        <v>10708</v>
      </c>
      <c r="P4624" s="15"/>
      <c r="Q4624" s="15"/>
      <c r="R4624" s="422"/>
      <c r="S4624" s="15"/>
      <c r="T4624" s="15"/>
      <c r="U4624" s="15"/>
      <c r="V4624" s="15"/>
      <c r="W4624" s="15"/>
      <c r="X4624" s="15"/>
      <c r="Y4624" s="15"/>
      <c r="Z4624" s="15"/>
      <c r="AA4624" s="15"/>
    </row>
    <row r="4625">
      <c r="A4625" s="5" t="s">
        <v>18904</v>
      </c>
      <c r="B4625" s="292" t="str">
        <f>HYPERLINK("https://akshar-exim-company-pvt-ltd.odoo.com/web#id=22228&amp;action=152&amp;model=crm.lead&amp;view_type=form&amp;menu_id=111","C2011291")</f>
        <v>C2011291</v>
      </c>
      <c r="C4625" s="41" t="s">
        <v>18909</v>
      </c>
      <c r="D4625" s="405"/>
      <c r="E4625" s="405" t="s">
        <v>116</v>
      </c>
      <c r="F4625" s="90">
        <v>100.0</v>
      </c>
      <c r="G4625" s="430"/>
      <c r="H4625" s="41" t="s">
        <v>18910</v>
      </c>
      <c r="I4625" s="423"/>
      <c r="J4625" s="14"/>
      <c r="K4625" s="13"/>
      <c r="L4625" s="13"/>
      <c r="M4625" s="14"/>
      <c r="N4625" s="15"/>
      <c r="O4625" s="5" t="s">
        <v>10708</v>
      </c>
      <c r="P4625" s="15"/>
      <c r="Q4625" s="15"/>
      <c r="R4625" s="422"/>
      <c r="S4625" s="15"/>
      <c r="T4625" s="15"/>
      <c r="U4625" s="15"/>
      <c r="V4625" s="15"/>
      <c r="W4625" s="15"/>
      <c r="X4625" s="15"/>
      <c r="Y4625" s="15"/>
      <c r="Z4625" s="15"/>
      <c r="AA4625" s="15"/>
    </row>
    <row r="4626">
      <c r="A4626" s="5" t="s">
        <v>18904</v>
      </c>
      <c r="B4626" s="292" t="str">
        <f>HYPERLINK("https://akshar-exim-company-pvt-ltd.odoo.com/web#id=22227&amp;action=152&amp;model=crm.lead&amp;view_type=form&amp;menu_id=111","C2011290")</f>
        <v>C2011290</v>
      </c>
      <c r="C4626" s="41" t="s">
        <v>18911</v>
      </c>
      <c r="D4626" s="439"/>
      <c r="E4626" s="439" t="s">
        <v>189</v>
      </c>
      <c r="F4626" s="90">
        <v>500.0</v>
      </c>
      <c r="G4626" s="430"/>
      <c r="H4626" s="41" t="s">
        <v>18912</v>
      </c>
      <c r="I4626" s="276"/>
      <c r="J4626" s="11" t="s">
        <v>25</v>
      </c>
      <c r="K4626" s="12"/>
      <c r="L4626" s="12"/>
      <c r="M4626" s="11" t="s">
        <v>9918</v>
      </c>
      <c r="N4626" s="5" t="s">
        <v>18913</v>
      </c>
      <c r="O4626" s="5" t="s">
        <v>17993</v>
      </c>
      <c r="P4626" s="15"/>
      <c r="Q4626" s="15"/>
      <c r="R4626" s="422"/>
      <c r="S4626" s="15"/>
      <c r="T4626" s="15"/>
      <c r="U4626" s="15"/>
      <c r="V4626" s="15"/>
      <c r="W4626" s="15"/>
      <c r="X4626" s="15"/>
      <c r="Y4626" s="15"/>
      <c r="Z4626" s="15"/>
      <c r="AA4626" s="15"/>
    </row>
    <row r="4627">
      <c r="A4627" s="5" t="s">
        <v>18904</v>
      </c>
      <c r="B4627" s="292" t="str">
        <f>HYPERLINK("https://akshar-exim-company-pvt-ltd.odoo.com/web#id=22223&amp;action=152&amp;model=crm.lead&amp;view_type=form&amp;menu_id=111","C2011289")</f>
        <v>C2011289</v>
      </c>
      <c r="C4627" s="41" t="s">
        <v>18914</v>
      </c>
      <c r="D4627" s="405"/>
      <c r="E4627" s="405" t="s">
        <v>1373</v>
      </c>
      <c r="F4627" s="90">
        <v>50.0</v>
      </c>
      <c r="G4627" s="321"/>
      <c r="H4627" s="11" t="s">
        <v>18915</v>
      </c>
      <c r="I4627" s="423"/>
      <c r="J4627" s="14"/>
      <c r="K4627" s="13"/>
      <c r="L4627" s="13"/>
      <c r="M4627" s="14"/>
      <c r="N4627" s="15"/>
      <c r="O4627" s="5" t="s">
        <v>10708</v>
      </c>
      <c r="P4627" s="15"/>
      <c r="Q4627" s="15"/>
      <c r="R4627" s="422"/>
      <c r="S4627" s="15"/>
      <c r="T4627" s="15"/>
      <c r="U4627" s="15"/>
      <c r="V4627" s="15"/>
      <c r="W4627" s="15"/>
      <c r="X4627" s="15"/>
      <c r="Y4627" s="15"/>
      <c r="Z4627" s="15"/>
      <c r="AA4627" s="15"/>
    </row>
    <row r="4628">
      <c r="A4628" s="5" t="s">
        <v>18904</v>
      </c>
      <c r="B4628" s="292" t="str">
        <f>HYPERLINK("https://akshar-exim-company-pvt-ltd.odoo.com/web#id=22222&amp;action=152&amp;model=crm.lead&amp;view_type=form&amp;menu_id=111","C2011288")</f>
        <v>C2011288</v>
      </c>
      <c r="C4628" s="41" t="s">
        <v>18916</v>
      </c>
      <c r="D4628" s="41"/>
      <c r="E4628" s="41" t="s">
        <v>794</v>
      </c>
      <c r="F4628" s="90">
        <v>200.0</v>
      </c>
      <c r="G4628" s="321"/>
      <c r="H4628" s="11" t="s">
        <v>44</v>
      </c>
      <c r="I4628" s="276"/>
      <c r="J4628" s="11" t="s">
        <v>25</v>
      </c>
      <c r="K4628" s="12"/>
      <c r="L4628" s="12"/>
      <c r="M4628" s="11" t="s">
        <v>9685</v>
      </c>
      <c r="N4628" s="5" t="s">
        <v>18917</v>
      </c>
      <c r="O4628" s="5" t="s">
        <v>564</v>
      </c>
      <c r="P4628" s="15"/>
      <c r="Q4628" s="15"/>
      <c r="R4628" s="422"/>
      <c r="S4628" s="15"/>
      <c r="T4628" s="15"/>
      <c r="U4628" s="15"/>
      <c r="V4628" s="15"/>
      <c r="W4628" s="15"/>
      <c r="X4628" s="15"/>
      <c r="Y4628" s="15"/>
      <c r="Z4628" s="15"/>
      <c r="AA4628" s="15"/>
    </row>
    <row r="4629">
      <c r="A4629" s="5" t="s">
        <v>18904</v>
      </c>
      <c r="B4629" s="292" t="str">
        <f>HYPERLINK("https://akshar-exim-company-pvt-ltd.odoo.com/web#id=22221&amp;action=152&amp;model=crm.lead&amp;view_type=form&amp;menu_id=111","C2011287")</f>
        <v>C2011287</v>
      </c>
      <c r="C4629" s="41" t="s">
        <v>17887</v>
      </c>
      <c r="D4629" s="41"/>
      <c r="E4629" s="41" t="s">
        <v>18610</v>
      </c>
      <c r="F4629" s="90">
        <v>1.0</v>
      </c>
      <c r="G4629" s="321"/>
      <c r="H4629" s="11" t="s">
        <v>18918</v>
      </c>
      <c r="I4629" s="276"/>
      <c r="J4629" s="11" t="s">
        <v>9536</v>
      </c>
      <c r="K4629" s="13"/>
      <c r="L4629" s="13"/>
      <c r="M4629" s="14"/>
      <c r="N4629" s="15"/>
      <c r="O4629" s="5" t="s">
        <v>10708</v>
      </c>
      <c r="P4629" s="15"/>
      <c r="Q4629" s="15"/>
      <c r="R4629" s="422"/>
      <c r="S4629" s="15"/>
      <c r="T4629" s="15"/>
      <c r="U4629" s="15"/>
      <c r="V4629" s="15"/>
      <c r="W4629" s="15"/>
      <c r="X4629" s="15"/>
      <c r="Y4629" s="15"/>
      <c r="Z4629" s="15"/>
      <c r="AA4629" s="15"/>
    </row>
    <row r="4630">
      <c r="A4630" s="5" t="s">
        <v>18904</v>
      </c>
      <c r="B4630" s="292" t="str">
        <f>HYPERLINK("https://akshar-exim-company-pvt-ltd.odoo.com/web#id=22220&amp;action=152&amp;model=crm.lead&amp;view_type=form&amp;menu_id=111","C2011286")</f>
        <v>C2011286</v>
      </c>
      <c r="C4630" s="41" t="s">
        <v>18919</v>
      </c>
      <c r="D4630" s="41"/>
      <c r="E4630" s="41" t="s">
        <v>2402</v>
      </c>
      <c r="F4630" s="90">
        <v>25.0</v>
      </c>
      <c r="G4630" s="321"/>
      <c r="H4630" s="11" t="s">
        <v>44</v>
      </c>
      <c r="I4630" s="276"/>
      <c r="J4630" s="11" t="s">
        <v>25</v>
      </c>
      <c r="K4630" s="13"/>
      <c r="L4630" s="13"/>
      <c r="M4630" s="14"/>
      <c r="N4630" s="15"/>
      <c r="O4630" s="5" t="s">
        <v>10708</v>
      </c>
      <c r="P4630" s="15"/>
      <c r="Q4630" s="15"/>
      <c r="R4630" s="422"/>
      <c r="S4630" s="15"/>
      <c r="T4630" s="15"/>
      <c r="U4630" s="15"/>
      <c r="V4630" s="15"/>
      <c r="W4630" s="15"/>
      <c r="X4630" s="15"/>
      <c r="Y4630" s="15"/>
      <c r="Z4630" s="15"/>
      <c r="AA4630" s="15"/>
    </row>
    <row r="4631">
      <c r="A4631" s="5" t="s">
        <v>18904</v>
      </c>
      <c r="B4631" s="292" t="str">
        <f>HYPERLINK("https://akshar-exim-company-pvt-ltd.odoo.com/web#id=22218&amp;action=152&amp;model=crm.lead&amp;view_type=form&amp;menu_id=111","C2011285")</f>
        <v>C2011285</v>
      </c>
      <c r="C4631" s="41" t="s">
        <v>18920</v>
      </c>
      <c r="D4631" s="11"/>
      <c r="E4631" s="11" t="s">
        <v>152</v>
      </c>
      <c r="F4631" s="90">
        <v>1000.0</v>
      </c>
      <c r="G4631" s="430"/>
      <c r="H4631" s="41" t="s">
        <v>4456</v>
      </c>
      <c r="I4631" s="276"/>
      <c r="J4631" s="11" t="s">
        <v>17976</v>
      </c>
      <c r="K4631" s="12"/>
      <c r="L4631" s="12"/>
      <c r="M4631" s="11" t="s">
        <v>7718</v>
      </c>
      <c r="N4631" s="5" t="s">
        <v>18921</v>
      </c>
      <c r="O4631" s="5" t="s">
        <v>17993</v>
      </c>
      <c r="P4631" s="15"/>
      <c r="Q4631" s="15"/>
      <c r="R4631" s="422"/>
      <c r="S4631" s="15"/>
      <c r="T4631" s="15"/>
      <c r="U4631" s="15"/>
      <c r="V4631" s="15"/>
      <c r="W4631" s="15"/>
      <c r="X4631" s="15"/>
      <c r="Y4631" s="15"/>
      <c r="Z4631" s="15"/>
      <c r="AA4631" s="15"/>
    </row>
    <row r="4632">
      <c r="A4632" s="5" t="s">
        <v>18904</v>
      </c>
      <c r="B4632" s="292" t="str">
        <f>HYPERLINK("https://akshar-exim-company-pvt-ltd.odoo.com/web#id=22216&amp;action=152&amp;model=crm.lead&amp;view_type=form&amp;menu_id=111","C2011284")</f>
        <v>C2011284</v>
      </c>
      <c r="C4632" s="41" t="s">
        <v>18922</v>
      </c>
      <c r="D4632" s="41"/>
      <c r="E4632" s="41" t="s">
        <v>18923</v>
      </c>
      <c r="F4632" s="90">
        <v>1.0</v>
      </c>
      <c r="G4632" s="430"/>
      <c r="H4632" s="41" t="s">
        <v>18236</v>
      </c>
      <c r="I4632" s="276"/>
      <c r="J4632" s="11" t="s">
        <v>14563</v>
      </c>
      <c r="K4632" s="13"/>
      <c r="L4632" s="13"/>
      <c r="M4632" s="14"/>
      <c r="N4632" s="15"/>
      <c r="O4632" s="5" t="s">
        <v>10708</v>
      </c>
      <c r="P4632" s="15"/>
      <c r="Q4632" s="15"/>
      <c r="R4632" s="422"/>
      <c r="S4632" s="15"/>
      <c r="T4632" s="15"/>
      <c r="U4632" s="15"/>
      <c r="V4632" s="15"/>
      <c r="W4632" s="15"/>
      <c r="X4632" s="15"/>
      <c r="Y4632" s="15"/>
      <c r="Z4632" s="15"/>
      <c r="AA4632" s="15"/>
    </row>
    <row r="4633">
      <c r="A4633" s="5" t="s">
        <v>18904</v>
      </c>
      <c r="B4633" s="292" t="str">
        <f>HYPERLINK("https://akshar-exim-company-pvt-ltd.odoo.com/web#id=22213&amp;action=152&amp;model=crm.lead&amp;view_type=form&amp;menu_id=111","C2011283")</f>
        <v>C2011283</v>
      </c>
      <c r="C4633" s="41" t="s">
        <v>18924</v>
      </c>
      <c r="D4633" s="11"/>
      <c r="E4633" s="11" t="s">
        <v>152</v>
      </c>
      <c r="F4633" s="9">
        <v>10000.0</v>
      </c>
      <c r="G4633" s="430"/>
      <c r="H4633" s="41" t="s">
        <v>18925</v>
      </c>
      <c r="I4633" s="276"/>
      <c r="J4633" s="11" t="s">
        <v>17976</v>
      </c>
      <c r="K4633" s="12"/>
      <c r="L4633" s="12"/>
      <c r="M4633" s="11" t="s">
        <v>15852</v>
      </c>
      <c r="N4633" s="5" t="s">
        <v>18926</v>
      </c>
      <c r="O4633" s="5" t="s">
        <v>17993</v>
      </c>
      <c r="P4633" s="15"/>
      <c r="Q4633" s="15"/>
      <c r="R4633" s="422"/>
      <c r="S4633" s="15"/>
      <c r="T4633" s="15"/>
      <c r="U4633" s="15"/>
      <c r="V4633" s="15"/>
      <c r="W4633" s="15"/>
      <c r="X4633" s="15"/>
      <c r="Y4633" s="15"/>
      <c r="Z4633" s="15"/>
      <c r="AA4633" s="15"/>
    </row>
    <row r="4634">
      <c r="A4634" s="5" t="s">
        <v>18904</v>
      </c>
      <c r="B4634" s="292" t="str">
        <f>HYPERLINK("https://akshar-exim-company-pvt-ltd.odoo.com/web#id=22208&amp;action=152&amp;model=crm.lead&amp;view_type=form&amp;menu_id=111","C2011282")</f>
        <v>C2011282</v>
      </c>
      <c r="C4634" s="41" t="s">
        <v>18927</v>
      </c>
      <c r="D4634" s="405"/>
      <c r="E4634" s="405" t="s">
        <v>2813</v>
      </c>
      <c r="F4634" s="9">
        <v>10000.0</v>
      </c>
      <c r="G4634" s="434"/>
      <c r="H4634" s="14"/>
      <c r="I4634" s="276"/>
      <c r="J4634" s="11" t="s">
        <v>25</v>
      </c>
      <c r="K4634" s="12"/>
      <c r="L4634" s="12"/>
      <c r="M4634" s="11" t="s">
        <v>18928</v>
      </c>
      <c r="N4634" s="5" t="s">
        <v>18929</v>
      </c>
      <c r="O4634" s="5" t="s">
        <v>564</v>
      </c>
      <c r="P4634" s="15"/>
      <c r="Q4634" s="15"/>
      <c r="R4634" s="422"/>
      <c r="S4634" s="15"/>
      <c r="T4634" s="15"/>
      <c r="U4634" s="15"/>
      <c r="V4634" s="15"/>
      <c r="W4634" s="15"/>
      <c r="X4634" s="15"/>
      <c r="Y4634" s="15"/>
      <c r="Z4634" s="15"/>
      <c r="AA4634" s="15"/>
    </row>
    <row r="4635">
      <c r="A4635" s="5" t="s">
        <v>18904</v>
      </c>
      <c r="B4635" s="292" t="str">
        <f>HYPERLINK("https://akshar-exim-company-pvt-ltd.odoo.com/web#id=22204&amp;action=152&amp;model=crm.lead&amp;view_type=form&amp;menu_id=111","C2011281")</f>
        <v>C2011281</v>
      </c>
      <c r="C4635" s="41" t="s">
        <v>18930</v>
      </c>
      <c r="D4635" s="405"/>
      <c r="E4635" s="405" t="s">
        <v>9050</v>
      </c>
      <c r="F4635" s="90">
        <v>1000.0</v>
      </c>
      <c r="G4635" s="430"/>
      <c r="H4635" s="41" t="s">
        <v>18931</v>
      </c>
      <c r="I4635" s="276"/>
      <c r="J4635" s="11" t="s">
        <v>17976</v>
      </c>
      <c r="K4635" s="12"/>
      <c r="L4635" s="12"/>
      <c r="M4635" s="11" t="s">
        <v>18932</v>
      </c>
      <c r="N4635" s="5" t="s">
        <v>18933</v>
      </c>
      <c r="O4635" s="5" t="s">
        <v>17993</v>
      </c>
      <c r="P4635" s="15"/>
      <c r="Q4635" s="15"/>
      <c r="R4635" s="422"/>
      <c r="S4635" s="15"/>
      <c r="T4635" s="15"/>
      <c r="U4635" s="15"/>
      <c r="V4635" s="15"/>
      <c r="W4635" s="15"/>
      <c r="X4635" s="15"/>
      <c r="Y4635" s="15"/>
      <c r="Z4635" s="15"/>
      <c r="AA4635" s="15"/>
    </row>
    <row r="4636">
      <c r="A4636" s="5" t="s">
        <v>18904</v>
      </c>
      <c r="B4636" s="292" t="str">
        <f>HYPERLINK("https://akshar-exim-company-pvt-ltd.odoo.com/web#id=22203&amp;action=152&amp;model=crm.lead&amp;view_type=form&amp;menu_id=111","C2011280")</f>
        <v>C2011280</v>
      </c>
      <c r="C4636" s="41" t="s">
        <v>17111</v>
      </c>
      <c r="D4636" s="41"/>
      <c r="E4636" s="41" t="s">
        <v>116</v>
      </c>
      <c r="F4636" s="90">
        <v>5000.0</v>
      </c>
      <c r="G4636" s="321"/>
      <c r="H4636" s="11" t="s">
        <v>2662</v>
      </c>
      <c r="I4636" s="276"/>
      <c r="J4636" s="11" t="s">
        <v>18934</v>
      </c>
      <c r="K4636" s="12"/>
      <c r="L4636" s="12"/>
      <c r="M4636" s="11" t="s">
        <v>14365</v>
      </c>
      <c r="N4636" s="5" t="s">
        <v>18935</v>
      </c>
      <c r="O4636" s="5" t="s">
        <v>17993</v>
      </c>
      <c r="P4636" s="15"/>
      <c r="Q4636" s="15"/>
      <c r="R4636" s="422"/>
      <c r="S4636" s="15"/>
      <c r="T4636" s="15"/>
      <c r="U4636" s="15"/>
      <c r="V4636" s="15"/>
      <c r="W4636" s="15"/>
      <c r="X4636" s="15"/>
      <c r="Y4636" s="15"/>
      <c r="Z4636" s="15"/>
      <c r="AA4636" s="15"/>
    </row>
    <row r="4637">
      <c r="A4637" s="5" t="s">
        <v>18904</v>
      </c>
      <c r="B4637" s="292" t="str">
        <f>HYPERLINK("https://akshar-exim-company-pvt-ltd.odoo.com/web#id=22201&amp;action=152&amp;model=crm.lead&amp;view_type=form&amp;menu_id=111","C2011279")</f>
        <v>C2011279</v>
      </c>
      <c r="C4637" s="41" t="s">
        <v>18936</v>
      </c>
      <c r="D4637" s="41"/>
      <c r="E4637" s="41" t="s">
        <v>9187</v>
      </c>
      <c r="F4637" s="90">
        <v>100.0</v>
      </c>
      <c r="G4637" s="321"/>
      <c r="H4637" s="11" t="s">
        <v>44</v>
      </c>
      <c r="I4637" s="97"/>
      <c r="J4637" s="41" t="s">
        <v>18182</v>
      </c>
      <c r="K4637" s="13"/>
      <c r="L4637" s="13"/>
      <c r="M4637" s="14"/>
      <c r="N4637" s="15"/>
      <c r="O4637" s="5" t="s">
        <v>10708</v>
      </c>
      <c r="P4637" s="15"/>
      <c r="Q4637" s="15"/>
      <c r="R4637" s="422"/>
      <c r="S4637" s="15"/>
      <c r="T4637" s="15"/>
      <c r="U4637" s="15"/>
      <c r="V4637" s="15"/>
      <c r="W4637" s="15"/>
      <c r="X4637" s="15"/>
      <c r="Y4637" s="15"/>
      <c r="Z4637" s="15"/>
      <c r="AA4637" s="15"/>
    </row>
    <row r="4638">
      <c r="A4638" s="5" t="s">
        <v>18904</v>
      </c>
      <c r="B4638" s="292" t="str">
        <f>HYPERLINK("https://akshar-exim-company-pvt-ltd.odoo.com/web#id=22197&amp;action=152&amp;model=crm.lead&amp;view_type=form&amp;menu_id=111","C2011278")</f>
        <v>C2011278</v>
      </c>
      <c r="C4638" s="41" t="s">
        <v>18937</v>
      </c>
      <c r="D4638" s="41"/>
      <c r="E4638" s="41" t="s">
        <v>178</v>
      </c>
      <c r="F4638" s="9">
        <v>20000.0</v>
      </c>
      <c r="G4638" s="321"/>
      <c r="H4638" s="11" t="s">
        <v>44</v>
      </c>
      <c r="I4638" s="276"/>
      <c r="J4638" s="11" t="s">
        <v>17976</v>
      </c>
      <c r="K4638" s="12"/>
      <c r="L4638" s="12"/>
      <c r="M4638" s="11" t="s">
        <v>11202</v>
      </c>
      <c r="N4638" s="5" t="s">
        <v>18938</v>
      </c>
      <c r="O4638" s="5" t="s">
        <v>564</v>
      </c>
      <c r="P4638" s="15"/>
      <c r="Q4638" s="15"/>
      <c r="R4638" s="422"/>
      <c r="S4638" s="15"/>
      <c r="T4638" s="15"/>
      <c r="U4638" s="15"/>
      <c r="V4638" s="15"/>
      <c r="W4638" s="15"/>
      <c r="X4638" s="15"/>
      <c r="Y4638" s="15"/>
      <c r="Z4638" s="15"/>
      <c r="AA4638" s="15"/>
    </row>
    <row r="4639">
      <c r="A4639" s="5" t="s">
        <v>18904</v>
      </c>
      <c r="B4639" s="292" t="str">
        <f>HYPERLINK("https://akshar-exim-company-pvt-ltd.odoo.com/web#id=22196&amp;action=152&amp;model=crm.lead&amp;view_type=form&amp;menu_id=111","C2011277")</f>
        <v>C2011277</v>
      </c>
      <c r="C4639" s="41" t="s">
        <v>18939</v>
      </c>
      <c r="D4639" s="41"/>
      <c r="E4639" s="41" t="s">
        <v>11907</v>
      </c>
      <c r="F4639" s="90">
        <v>5.0</v>
      </c>
      <c r="G4639" s="430"/>
      <c r="H4639" s="41" t="s">
        <v>18940</v>
      </c>
      <c r="I4639" s="276"/>
      <c r="J4639" s="11" t="s">
        <v>18941</v>
      </c>
      <c r="K4639" s="13"/>
      <c r="L4639" s="13"/>
      <c r="M4639" s="14"/>
      <c r="N4639" s="15"/>
      <c r="O4639" s="5" t="s">
        <v>10708</v>
      </c>
      <c r="P4639" s="15"/>
      <c r="Q4639" s="15"/>
      <c r="R4639" s="422"/>
      <c r="S4639" s="15"/>
      <c r="T4639" s="15"/>
      <c r="U4639" s="15"/>
      <c r="V4639" s="15"/>
      <c r="W4639" s="15"/>
      <c r="X4639" s="15"/>
      <c r="Y4639" s="15"/>
      <c r="Z4639" s="15"/>
      <c r="AA4639" s="15"/>
    </row>
    <row r="4640">
      <c r="A4640" s="5" t="s">
        <v>18904</v>
      </c>
      <c r="B4640" s="292" t="str">
        <f>HYPERLINK("https://akshar-exim-company-pvt-ltd.odoo.com/web#id=22195&amp;action=152&amp;model=crm.lead&amp;view_type=form&amp;menu_id=111","C2011276")</f>
        <v>C2011276</v>
      </c>
      <c r="C4640" s="41" t="s">
        <v>18942</v>
      </c>
      <c r="D4640" s="405"/>
      <c r="E4640" s="405" t="s">
        <v>156</v>
      </c>
      <c r="F4640" s="90">
        <v>500.0</v>
      </c>
      <c r="G4640" s="430"/>
      <c r="H4640" s="41" t="s">
        <v>18943</v>
      </c>
      <c r="I4640" s="276"/>
      <c r="J4640" s="11" t="s">
        <v>25</v>
      </c>
      <c r="K4640" s="12"/>
      <c r="L4640" s="12"/>
      <c r="M4640" s="11" t="s">
        <v>9685</v>
      </c>
      <c r="N4640" s="5" t="s">
        <v>18944</v>
      </c>
      <c r="O4640" s="5" t="s">
        <v>17993</v>
      </c>
      <c r="P4640" s="15"/>
      <c r="Q4640" s="15"/>
      <c r="R4640" s="422"/>
      <c r="S4640" s="15"/>
      <c r="T4640" s="15"/>
      <c r="U4640" s="15"/>
      <c r="V4640" s="15"/>
      <c r="W4640" s="15"/>
      <c r="X4640" s="15"/>
      <c r="Y4640" s="15"/>
      <c r="Z4640" s="15"/>
      <c r="AA4640" s="15"/>
    </row>
    <row r="4641">
      <c r="A4641" s="5" t="s">
        <v>18904</v>
      </c>
      <c r="B4641" s="292" t="str">
        <f>HYPERLINK("https://akshar-exim-company-pvt-ltd.odoo.com/web#id=22194&amp;action=152&amp;model=crm.lead&amp;view_type=form&amp;menu_id=111","C2011275")</f>
        <v>C2011275</v>
      </c>
      <c r="C4641" s="41" t="s">
        <v>18945</v>
      </c>
      <c r="D4641" s="41"/>
      <c r="E4641" s="41" t="s">
        <v>14677</v>
      </c>
      <c r="F4641" s="90">
        <v>1.0</v>
      </c>
      <c r="G4641" s="321"/>
      <c r="H4641" s="11" t="s">
        <v>44</v>
      </c>
      <c r="I4641" s="276"/>
      <c r="J4641" s="11" t="s">
        <v>25</v>
      </c>
      <c r="K4641" s="13"/>
      <c r="L4641" s="13"/>
      <c r="M4641" s="14"/>
      <c r="N4641" s="15"/>
      <c r="O4641" s="5" t="s">
        <v>10708</v>
      </c>
      <c r="P4641" s="15"/>
      <c r="Q4641" s="15"/>
      <c r="R4641" s="422"/>
      <c r="S4641" s="15"/>
      <c r="T4641" s="15"/>
      <c r="U4641" s="15"/>
      <c r="V4641" s="15"/>
      <c r="W4641" s="15"/>
      <c r="X4641" s="15"/>
      <c r="Y4641" s="15"/>
      <c r="Z4641" s="15"/>
      <c r="AA4641" s="15"/>
    </row>
    <row r="4642">
      <c r="A4642" s="5" t="s">
        <v>18904</v>
      </c>
      <c r="B4642" s="292" t="str">
        <f>HYPERLINK("https://akshar-exim-company-pvt-ltd.odoo.com/web#id=22193&amp;action=152&amp;model=crm.lead&amp;view_type=form&amp;menu_id=111","C2011274")</f>
        <v>C2011274</v>
      </c>
      <c r="C4642" s="41" t="s">
        <v>18946</v>
      </c>
      <c r="D4642" s="41"/>
      <c r="E4642" s="41" t="s">
        <v>17724</v>
      </c>
      <c r="F4642" s="90">
        <v>10.0</v>
      </c>
      <c r="G4642" s="430"/>
      <c r="H4642" s="41" t="s">
        <v>18947</v>
      </c>
      <c r="I4642" s="276"/>
      <c r="J4642" s="11" t="s">
        <v>25</v>
      </c>
      <c r="K4642" s="13"/>
      <c r="L4642" s="13"/>
      <c r="M4642" s="14"/>
      <c r="N4642" s="15"/>
      <c r="O4642" s="5" t="s">
        <v>10708</v>
      </c>
      <c r="P4642" s="15"/>
      <c r="Q4642" s="15"/>
      <c r="R4642" s="422"/>
      <c r="S4642" s="15"/>
      <c r="T4642" s="15"/>
      <c r="U4642" s="15"/>
      <c r="V4642" s="15"/>
      <c r="W4642" s="15"/>
      <c r="X4642" s="15"/>
      <c r="Y4642" s="15"/>
      <c r="Z4642" s="15"/>
      <c r="AA4642" s="15"/>
    </row>
    <row r="4643">
      <c r="A4643" s="5" t="s">
        <v>18904</v>
      </c>
      <c r="B4643" s="292" t="str">
        <f>HYPERLINK("https://akshar-exim-company-pvt-ltd.odoo.com/web#id=22192&amp;action=152&amp;model=crm.lead&amp;view_type=form&amp;menu_id=111","C2011273")</f>
        <v>C2011273</v>
      </c>
      <c r="C4643" s="41" t="s">
        <v>18948</v>
      </c>
      <c r="D4643" s="405"/>
      <c r="E4643" s="405" t="s">
        <v>18949</v>
      </c>
      <c r="F4643" s="90">
        <v>3000.0</v>
      </c>
      <c r="G4643" s="321"/>
      <c r="H4643" s="11" t="s">
        <v>44</v>
      </c>
      <c r="I4643" s="97"/>
      <c r="J4643" s="41" t="s">
        <v>10933</v>
      </c>
      <c r="K4643" s="12"/>
      <c r="L4643" s="12"/>
      <c r="M4643" s="11" t="s">
        <v>11788</v>
      </c>
      <c r="N4643" s="5" t="s">
        <v>18950</v>
      </c>
      <c r="O4643" s="5" t="s">
        <v>10708</v>
      </c>
      <c r="P4643" s="15"/>
      <c r="Q4643" s="15"/>
      <c r="R4643" s="422"/>
      <c r="S4643" s="15"/>
      <c r="T4643" s="15"/>
      <c r="U4643" s="15"/>
      <c r="V4643" s="15"/>
      <c r="W4643" s="15"/>
      <c r="X4643" s="15"/>
      <c r="Y4643" s="15"/>
      <c r="Z4643" s="15"/>
      <c r="AA4643" s="15"/>
    </row>
    <row r="4644">
      <c r="A4644" s="5" t="s">
        <v>18904</v>
      </c>
      <c r="B4644" s="292" t="str">
        <f>HYPERLINK("https://akshar-exim-company-pvt-ltd.odoo.com/web#id=22190&amp;action=152&amp;model=crm.lead&amp;view_type=form&amp;menu_id=111","C2011272")</f>
        <v>C2011272</v>
      </c>
      <c r="C4644" s="41" t="s">
        <v>18951</v>
      </c>
      <c r="D4644" s="405"/>
      <c r="E4644" s="405" t="s">
        <v>1080</v>
      </c>
      <c r="F4644" s="9">
        <v>20000.0</v>
      </c>
      <c r="G4644" s="430"/>
      <c r="H4644" s="41" t="s">
        <v>18952</v>
      </c>
      <c r="I4644" s="276"/>
      <c r="J4644" s="11" t="s">
        <v>7109</v>
      </c>
      <c r="K4644" s="12"/>
      <c r="L4644" s="12"/>
      <c r="M4644" s="11" t="s">
        <v>18953</v>
      </c>
      <c r="N4644" s="5" t="s">
        <v>18954</v>
      </c>
      <c r="O4644" s="5" t="s">
        <v>17993</v>
      </c>
      <c r="P4644" s="15"/>
      <c r="Q4644" s="15"/>
      <c r="R4644" s="422"/>
      <c r="S4644" s="15"/>
      <c r="T4644" s="15"/>
      <c r="U4644" s="15"/>
      <c r="V4644" s="15"/>
      <c r="W4644" s="15"/>
      <c r="X4644" s="15"/>
      <c r="Y4644" s="15"/>
      <c r="Z4644" s="15"/>
      <c r="AA4644" s="15"/>
    </row>
    <row r="4645">
      <c r="A4645" s="5" t="s">
        <v>18904</v>
      </c>
      <c r="B4645" s="292" t="str">
        <f>HYPERLINK("https://akshar-exim-company-pvt-ltd.odoo.com/web#id=22189&amp;action=152&amp;model=crm.lead&amp;view_type=form&amp;menu_id=111","C2011271")</f>
        <v>C2011271</v>
      </c>
      <c r="C4645" s="41" t="s">
        <v>18955</v>
      </c>
      <c r="D4645" s="405"/>
      <c r="E4645" s="405" t="s">
        <v>18956</v>
      </c>
      <c r="F4645" s="90">
        <v>200.0</v>
      </c>
      <c r="G4645" s="430"/>
      <c r="H4645" s="41" t="s">
        <v>18957</v>
      </c>
      <c r="I4645" s="423"/>
      <c r="J4645" s="14"/>
      <c r="K4645" s="12"/>
      <c r="L4645" s="12"/>
      <c r="M4645" s="11" t="s">
        <v>14400</v>
      </c>
      <c r="N4645" s="5" t="s">
        <v>18958</v>
      </c>
      <c r="O4645" s="5" t="s">
        <v>17993</v>
      </c>
      <c r="P4645" s="15"/>
      <c r="Q4645" s="15"/>
      <c r="R4645" s="422"/>
      <c r="S4645" s="15"/>
      <c r="T4645" s="15"/>
      <c r="U4645" s="15"/>
      <c r="V4645" s="15"/>
      <c r="W4645" s="15"/>
      <c r="X4645" s="15"/>
      <c r="Y4645" s="15"/>
      <c r="Z4645" s="15"/>
      <c r="AA4645" s="15"/>
    </row>
    <row r="4646">
      <c r="A4646" s="5" t="s">
        <v>18904</v>
      </c>
      <c r="B4646" s="292" t="str">
        <f>HYPERLINK("https://akshar-exim-company-pvt-ltd.odoo.com/web#id=22188&amp;action=152&amp;model=crm.lead&amp;view_type=form&amp;menu_id=111","C2011270")</f>
        <v>C2011270</v>
      </c>
      <c r="C4646" s="41" t="s">
        <v>18959</v>
      </c>
      <c r="D4646" s="405"/>
      <c r="E4646" s="405" t="s">
        <v>17630</v>
      </c>
      <c r="F4646" s="90">
        <v>500.0</v>
      </c>
      <c r="G4646" s="430"/>
      <c r="H4646" s="41" t="s">
        <v>18960</v>
      </c>
      <c r="I4646" s="423"/>
      <c r="J4646" s="14"/>
      <c r="K4646" s="12"/>
      <c r="L4646" s="12"/>
      <c r="M4646" s="11" t="s">
        <v>13221</v>
      </c>
      <c r="N4646" s="5" t="s">
        <v>18961</v>
      </c>
      <c r="O4646" s="5" t="s">
        <v>17993</v>
      </c>
      <c r="P4646" s="15"/>
      <c r="Q4646" s="15"/>
      <c r="R4646" s="422"/>
      <c r="S4646" s="15"/>
      <c r="T4646" s="15"/>
      <c r="U4646" s="15"/>
      <c r="V4646" s="15"/>
      <c r="W4646" s="15"/>
      <c r="X4646" s="15"/>
      <c r="Y4646" s="15"/>
      <c r="Z4646" s="15"/>
      <c r="AA4646" s="15"/>
    </row>
    <row r="4647">
      <c r="A4647" s="5" t="s">
        <v>18904</v>
      </c>
      <c r="B4647" s="292" t="str">
        <f>HYPERLINK("https://akshar-exim-company-pvt-ltd.odoo.com/web#id=22183&amp;action=152&amp;model=crm.lead&amp;view_type=form&amp;menu_id=111","C2011269")</f>
        <v>C2011269</v>
      </c>
      <c r="C4647" s="41" t="s">
        <v>18962</v>
      </c>
      <c r="D4647" s="41"/>
      <c r="E4647" s="41" t="s">
        <v>18963</v>
      </c>
      <c r="F4647" s="90">
        <v>1.0</v>
      </c>
      <c r="G4647" s="430"/>
      <c r="H4647" s="41" t="s">
        <v>18964</v>
      </c>
      <c r="I4647" s="423"/>
      <c r="J4647" s="14"/>
      <c r="K4647" s="13"/>
      <c r="L4647" s="13"/>
      <c r="M4647" s="14"/>
      <c r="N4647" s="15"/>
      <c r="O4647" s="5" t="s">
        <v>10708</v>
      </c>
      <c r="P4647" s="15"/>
      <c r="Q4647" s="15"/>
      <c r="R4647" s="422"/>
      <c r="S4647" s="15"/>
      <c r="T4647" s="15"/>
      <c r="U4647" s="15"/>
      <c r="V4647" s="15"/>
      <c r="W4647" s="15"/>
      <c r="X4647" s="15"/>
      <c r="Y4647" s="15"/>
      <c r="Z4647" s="15"/>
      <c r="AA4647" s="15"/>
    </row>
    <row r="4648">
      <c r="A4648" s="5" t="s">
        <v>18904</v>
      </c>
      <c r="B4648" s="292" t="str">
        <f>HYPERLINK("https://akshar-exim-company-pvt-ltd.odoo.com/web#id=22182&amp;action=152&amp;model=crm.lead&amp;view_type=form&amp;menu_id=111","C2011268")</f>
        <v>C2011268</v>
      </c>
      <c r="C4648" s="41" t="s">
        <v>10017</v>
      </c>
      <c r="D4648" s="41"/>
      <c r="E4648" s="41" t="s">
        <v>10426</v>
      </c>
      <c r="F4648" s="90">
        <v>1000.0</v>
      </c>
      <c r="G4648" s="321"/>
      <c r="H4648" s="11" t="s">
        <v>107</v>
      </c>
      <c r="I4648" s="423"/>
      <c r="J4648" s="14"/>
      <c r="K4648" s="12"/>
      <c r="L4648" s="12"/>
      <c r="M4648" s="11" t="s">
        <v>18965</v>
      </c>
      <c r="N4648" s="5" t="s">
        <v>18966</v>
      </c>
      <c r="O4648" s="5" t="s">
        <v>17993</v>
      </c>
      <c r="P4648" s="15"/>
      <c r="Q4648" s="15"/>
      <c r="R4648" s="422"/>
      <c r="S4648" s="15"/>
      <c r="T4648" s="15"/>
      <c r="U4648" s="15"/>
      <c r="V4648" s="15"/>
      <c r="W4648" s="15"/>
      <c r="X4648" s="15"/>
      <c r="Y4648" s="15"/>
      <c r="Z4648" s="15"/>
      <c r="AA4648" s="15"/>
    </row>
    <row r="4649">
      <c r="A4649" s="5" t="s">
        <v>18904</v>
      </c>
      <c r="B4649" s="292" t="str">
        <f>HYPERLINK("https://akshar-exim-company-pvt-ltd.odoo.com/web#id=22180&amp;action=152&amp;model=crm.lead&amp;view_type=form&amp;menu_id=111","C2011267")</f>
        <v>C2011267</v>
      </c>
      <c r="C4649" s="41" t="s">
        <v>18967</v>
      </c>
      <c r="D4649" s="41"/>
      <c r="E4649" s="41" t="s">
        <v>17724</v>
      </c>
      <c r="F4649" s="433"/>
      <c r="G4649" s="434"/>
      <c r="H4649" s="14"/>
      <c r="I4649" s="423"/>
      <c r="J4649" s="14"/>
      <c r="K4649" s="13"/>
      <c r="L4649" s="13"/>
      <c r="M4649" s="14"/>
      <c r="N4649" s="15"/>
      <c r="O4649" s="15"/>
      <c r="P4649" s="15"/>
      <c r="Q4649" s="15"/>
      <c r="R4649" s="422"/>
      <c r="S4649" s="15"/>
      <c r="T4649" s="15"/>
      <c r="U4649" s="15"/>
      <c r="V4649" s="15"/>
      <c r="W4649" s="15"/>
      <c r="X4649" s="15"/>
      <c r="Y4649" s="15"/>
      <c r="Z4649" s="15"/>
      <c r="AA4649" s="15"/>
    </row>
    <row r="4650">
      <c r="A4650" s="5" t="s">
        <v>18904</v>
      </c>
      <c r="B4650" s="292" t="str">
        <f>HYPERLINK("https://akshar-exim-company-pvt-ltd.odoo.com/web#id=22179&amp;action=152&amp;model=crm.lead&amp;view_type=form&amp;menu_id=111","C2011266")</f>
        <v>C2011266</v>
      </c>
      <c r="C4650" s="41" t="s">
        <v>18968</v>
      </c>
      <c r="D4650" s="41"/>
      <c r="E4650" s="41" t="s">
        <v>213</v>
      </c>
      <c r="F4650" s="9">
        <v>10000.0</v>
      </c>
      <c r="G4650" s="430"/>
      <c r="H4650" s="41" t="s">
        <v>18969</v>
      </c>
      <c r="I4650" s="276"/>
      <c r="J4650" s="11" t="s">
        <v>8737</v>
      </c>
      <c r="K4650" s="12"/>
      <c r="L4650" s="12"/>
      <c r="M4650" s="11" t="s">
        <v>18665</v>
      </c>
      <c r="N4650" s="5" t="s">
        <v>18970</v>
      </c>
      <c r="O4650" s="5" t="s">
        <v>17993</v>
      </c>
      <c r="P4650" s="15"/>
      <c r="Q4650" s="15"/>
      <c r="R4650" s="422"/>
      <c r="S4650" s="15"/>
      <c r="T4650" s="15"/>
      <c r="U4650" s="15"/>
      <c r="V4650" s="15"/>
      <c r="W4650" s="15"/>
      <c r="X4650" s="15"/>
      <c r="Y4650" s="15"/>
      <c r="Z4650" s="15"/>
      <c r="AA4650" s="15"/>
    </row>
    <row r="4651">
      <c r="A4651" s="5" t="s">
        <v>18971</v>
      </c>
      <c r="B4651" s="292" t="str">
        <f>HYPERLINK("https://akshar-exim-company-pvt-ltd.odoo.com/web#id=22178&amp;action=152&amp;model=crm.lead&amp;view_type=form&amp;menu_id=111","C2011265")</f>
        <v>C2011265</v>
      </c>
      <c r="C4651" s="41" t="s">
        <v>18972</v>
      </c>
      <c r="D4651" s="41"/>
      <c r="E4651" s="41" t="s">
        <v>11816</v>
      </c>
      <c r="F4651" s="90">
        <v>1.0</v>
      </c>
      <c r="G4651" s="430"/>
      <c r="H4651" s="41" t="s">
        <v>4926</v>
      </c>
      <c r="I4651" s="276"/>
      <c r="J4651" s="11" t="s">
        <v>25</v>
      </c>
      <c r="K4651" s="13"/>
      <c r="L4651" s="13"/>
      <c r="M4651" s="14"/>
      <c r="N4651" s="15"/>
      <c r="O4651" s="5" t="s">
        <v>10708</v>
      </c>
      <c r="P4651" s="15"/>
      <c r="Q4651" s="15"/>
      <c r="R4651" s="422"/>
      <c r="S4651" s="15"/>
      <c r="T4651" s="15"/>
      <c r="U4651" s="15"/>
      <c r="V4651" s="15"/>
      <c r="W4651" s="15"/>
      <c r="X4651" s="15"/>
      <c r="Y4651" s="15"/>
      <c r="Z4651" s="15"/>
      <c r="AA4651" s="15"/>
    </row>
    <row r="4652">
      <c r="A4652" s="5" t="s">
        <v>18971</v>
      </c>
      <c r="B4652" s="292" t="str">
        <f>HYPERLINK("https://akshar-exim-company-pvt-ltd.odoo.com/web#id=22176&amp;action=152&amp;model=crm.lead&amp;view_type=form&amp;menu_id=111","C2011264")</f>
        <v>C2011264</v>
      </c>
      <c r="C4652" s="41" t="s">
        <v>18973</v>
      </c>
      <c r="D4652" s="41"/>
      <c r="E4652" s="41" t="s">
        <v>13809</v>
      </c>
      <c r="F4652" s="90">
        <v>5.0</v>
      </c>
      <c r="G4652" s="321"/>
      <c r="H4652" s="11" t="s">
        <v>906</v>
      </c>
      <c r="I4652" s="276"/>
      <c r="J4652" s="11" t="s">
        <v>25</v>
      </c>
      <c r="K4652" s="13"/>
      <c r="L4652" s="13"/>
      <c r="M4652" s="14"/>
      <c r="N4652" s="15"/>
      <c r="O4652" s="5" t="s">
        <v>10708</v>
      </c>
      <c r="P4652" s="15"/>
      <c r="Q4652" s="15"/>
      <c r="R4652" s="422"/>
      <c r="S4652" s="15"/>
      <c r="T4652" s="15"/>
      <c r="U4652" s="15"/>
      <c r="V4652" s="15"/>
      <c r="W4652" s="15"/>
      <c r="X4652" s="15"/>
      <c r="Y4652" s="15"/>
      <c r="Z4652" s="15"/>
      <c r="AA4652" s="15"/>
    </row>
    <row r="4653">
      <c r="A4653" s="5" t="s">
        <v>18971</v>
      </c>
      <c r="B4653" s="292" t="str">
        <f>HYPERLINK("https://akshar-exim-company-pvt-ltd.odoo.com/web#id=22175&amp;action=152&amp;model=crm.lead&amp;view_type=form&amp;menu_id=111","C2011263")</f>
        <v>C2011263</v>
      </c>
      <c r="C4653" s="41" t="s">
        <v>18974</v>
      </c>
      <c r="D4653" s="41"/>
      <c r="E4653" s="41" t="s">
        <v>167</v>
      </c>
      <c r="F4653" s="90">
        <v>10.0</v>
      </c>
      <c r="G4653" s="430"/>
      <c r="H4653" s="41" t="s">
        <v>18975</v>
      </c>
      <c r="I4653" s="423"/>
      <c r="J4653" s="14"/>
      <c r="K4653" s="13"/>
      <c r="L4653" s="13"/>
      <c r="M4653" s="14"/>
      <c r="N4653" s="15"/>
      <c r="O4653" s="5" t="s">
        <v>10708</v>
      </c>
      <c r="P4653" s="15"/>
      <c r="Q4653" s="15"/>
      <c r="R4653" s="422"/>
      <c r="S4653" s="15"/>
      <c r="T4653" s="15"/>
      <c r="U4653" s="15"/>
      <c r="V4653" s="15"/>
      <c r="W4653" s="15"/>
      <c r="X4653" s="15"/>
      <c r="Y4653" s="15"/>
      <c r="Z4653" s="15"/>
      <c r="AA4653" s="15"/>
    </row>
    <row r="4654">
      <c r="A4654" s="5" t="s">
        <v>18971</v>
      </c>
      <c r="B4654" s="292" t="str">
        <f>HYPERLINK("https://akshar-exim-company-pvt-ltd.odoo.com/web#id=22172&amp;action=152&amp;model=crm.lead&amp;view_type=form&amp;menu_id=111","C2011262")</f>
        <v>C2011262</v>
      </c>
      <c r="C4654" s="41" t="s">
        <v>18976</v>
      </c>
      <c r="D4654" s="405"/>
      <c r="E4654" s="405" t="s">
        <v>18977</v>
      </c>
      <c r="F4654" s="90">
        <v>100.0</v>
      </c>
      <c r="G4654" s="430"/>
      <c r="H4654" s="41" t="s">
        <v>18978</v>
      </c>
      <c r="I4654" s="423"/>
      <c r="J4654" s="14"/>
      <c r="K4654" s="13"/>
      <c r="L4654" s="13"/>
      <c r="M4654" s="14"/>
      <c r="N4654" s="15"/>
      <c r="O4654" s="5" t="s">
        <v>10708</v>
      </c>
      <c r="P4654" s="15"/>
      <c r="Q4654" s="15"/>
      <c r="R4654" s="422"/>
      <c r="S4654" s="15"/>
      <c r="T4654" s="15"/>
      <c r="U4654" s="15"/>
      <c r="V4654" s="15"/>
      <c r="W4654" s="15"/>
      <c r="X4654" s="15"/>
      <c r="Y4654" s="15"/>
      <c r="Z4654" s="15"/>
      <c r="AA4654" s="15"/>
    </row>
    <row r="4655">
      <c r="A4655" s="5" t="s">
        <v>18971</v>
      </c>
      <c r="B4655" s="292" t="str">
        <f>HYPERLINK("https://akshar-exim-company-pvt-ltd.odoo.com/web#id=22165&amp;action=152&amp;model=crm.lead&amp;view_type=form&amp;menu_id=111","C2011261")</f>
        <v>C2011261</v>
      </c>
      <c r="C4655" s="41" t="s">
        <v>18979</v>
      </c>
      <c r="D4655" s="405"/>
      <c r="E4655" s="405" t="s">
        <v>18980</v>
      </c>
      <c r="F4655" s="90">
        <v>25.0</v>
      </c>
      <c r="G4655" s="430"/>
      <c r="H4655" s="41" t="s">
        <v>18981</v>
      </c>
      <c r="I4655" s="276"/>
      <c r="J4655" s="11" t="s">
        <v>12135</v>
      </c>
      <c r="K4655" s="13"/>
      <c r="L4655" s="13"/>
      <c r="M4655" s="14"/>
      <c r="N4655" s="15"/>
      <c r="O4655" s="5" t="s">
        <v>10708</v>
      </c>
      <c r="P4655" s="15"/>
      <c r="Q4655" s="15"/>
      <c r="R4655" s="422"/>
      <c r="S4655" s="15"/>
      <c r="T4655" s="15"/>
      <c r="U4655" s="15"/>
      <c r="V4655" s="15"/>
      <c r="W4655" s="15"/>
      <c r="X4655" s="15"/>
      <c r="Y4655" s="15"/>
      <c r="Z4655" s="15"/>
      <c r="AA4655" s="15"/>
    </row>
    <row r="4656">
      <c r="A4656" s="5" t="s">
        <v>18971</v>
      </c>
      <c r="B4656" s="292" t="str">
        <f>HYPERLINK("https://akshar-exim-company-pvt-ltd.odoo.com/web#id=22163&amp;action=152&amp;model=crm.lead&amp;view_type=form&amp;menu_id=111","C2011260")</f>
        <v>C2011260</v>
      </c>
      <c r="C4656" s="41" t="s">
        <v>18982</v>
      </c>
      <c r="D4656" s="41"/>
      <c r="E4656" s="41" t="s">
        <v>4884</v>
      </c>
      <c r="F4656" s="9">
        <v>100000.0</v>
      </c>
      <c r="G4656" s="430"/>
      <c r="H4656" s="41" t="s">
        <v>4079</v>
      </c>
      <c r="I4656" s="423"/>
      <c r="J4656" s="14"/>
      <c r="K4656" s="12"/>
      <c r="L4656" s="12"/>
      <c r="M4656" s="11" t="s">
        <v>16896</v>
      </c>
      <c r="N4656" s="5" t="s">
        <v>18983</v>
      </c>
      <c r="O4656" s="5" t="s">
        <v>10708</v>
      </c>
      <c r="P4656" s="15"/>
      <c r="Q4656" s="15"/>
      <c r="R4656" s="422"/>
      <c r="S4656" s="15"/>
      <c r="T4656" s="15"/>
      <c r="U4656" s="15"/>
      <c r="V4656" s="15"/>
      <c r="W4656" s="15"/>
      <c r="X4656" s="15"/>
      <c r="Y4656" s="15"/>
      <c r="Z4656" s="15"/>
      <c r="AA4656" s="15"/>
    </row>
    <row r="4657">
      <c r="A4657" s="5" t="s">
        <v>18971</v>
      </c>
      <c r="B4657" s="292" t="str">
        <f>HYPERLINK("https://akshar-exim-company-pvt-ltd.odoo.com/web#id=22160&amp;action=152&amp;model=crm.lead&amp;view_type=form&amp;menu_id=111","C2011259")</f>
        <v>C2011259</v>
      </c>
      <c r="C4657" s="41" t="s">
        <v>10053</v>
      </c>
      <c r="D4657" s="41"/>
      <c r="E4657" s="41" t="s">
        <v>11907</v>
      </c>
      <c r="F4657" s="90">
        <v>50.0</v>
      </c>
      <c r="G4657" s="321"/>
      <c r="H4657" s="11" t="s">
        <v>906</v>
      </c>
      <c r="I4657" s="276"/>
      <c r="J4657" s="11" t="s">
        <v>25</v>
      </c>
      <c r="K4657" s="13"/>
      <c r="L4657" s="13"/>
      <c r="M4657" s="14"/>
      <c r="N4657" s="15"/>
      <c r="O4657" s="5" t="s">
        <v>10708</v>
      </c>
      <c r="P4657" s="15"/>
      <c r="Q4657" s="15"/>
      <c r="R4657" s="422"/>
      <c r="S4657" s="15"/>
      <c r="T4657" s="15"/>
      <c r="U4657" s="15"/>
      <c r="V4657" s="15"/>
      <c r="W4657" s="15"/>
      <c r="X4657" s="15"/>
      <c r="Y4657" s="15"/>
      <c r="Z4657" s="15"/>
      <c r="AA4657" s="15"/>
    </row>
    <row r="4658">
      <c r="A4658" s="5" t="s">
        <v>18971</v>
      </c>
      <c r="B4658" s="292" t="str">
        <f>HYPERLINK("https://akshar-exim-company-pvt-ltd.odoo.com/web#id=22158&amp;action=152&amp;model=crm.lead&amp;view_type=form&amp;menu_id=111","C2011258")</f>
        <v>C2011258</v>
      </c>
      <c r="C4658" s="41" t="s">
        <v>18427</v>
      </c>
      <c r="D4658" s="405"/>
      <c r="E4658" s="405" t="s">
        <v>2647</v>
      </c>
      <c r="F4658" s="9">
        <v>300000.0</v>
      </c>
      <c r="G4658" s="430"/>
      <c r="H4658" s="41" t="s">
        <v>5974</v>
      </c>
      <c r="I4658" s="423"/>
      <c r="J4658" s="14"/>
      <c r="K4658" s="13"/>
      <c r="L4658" s="13"/>
      <c r="M4658" s="14"/>
      <c r="N4658" s="15"/>
      <c r="O4658" s="5" t="s">
        <v>17993</v>
      </c>
      <c r="P4658" s="15"/>
      <c r="Q4658" s="15"/>
      <c r="R4658" s="422"/>
      <c r="S4658" s="15"/>
      <c r="T4658" s="15"/>
      <c r="U4658" s="15"/>
      <c r="V4658" s="15"/>
      <c r="W4658" s="15"/>
      <c r="X4658" s="15"/>
      <c r="Y4658" s="15"/>
      <c r="Z4658" s="15"/>
      <c r="AA4658" s="15"/>
    </row>
    <row r="4659">
      <c r="A4659" s="5" t="s">
        <v>18971</v>
      </c>
      <c r="B4659" s="292" t="str">
        <f>HYPERLINK("https://akshar-exim-company-pvt-ltd.odoo.com/web#id=22150&amp;action=152&amp;model=crm.lead&amp;view_type=form&amp;menu_id=111","C2011257")</f>
        <v>C2011257</v>
      </c>
      <c r="C4659" s="41" t="s">
        <v>11335</v>
      </c>
      <c r="D4659" s="41"/>
      <c r="E4659" s="41" t="s">
        <v>7197</v>
      </c>
      <c r="F4659" s="9">
        <v>25000.0</v>
      </c>
      <c r="G4659" s="430"/>
      <c r="H4659" s="41" t="s">
        <v>18984</v>
      </c>
      <c r="I4659" s="276"/>
      <c r="J4659" s="11" t="s">
        <v>17976</v>
      </c>
      <c r="K4659" s="12"/>
      <c r="L4659" s="12"/>
      <c r="M4659" s="11" t="s">
        <v>18985</v>
      </c>
      <c r="N4659" s="5" t="s">
        <v>18986</v>
      </c>
      <c r="O4659" s="5" t="s">
        <v>564</v>
      </c>
      <c r="P4659" s="15"/>
      <c r="Q4659" s="15"/>
      <c r="R4659" s="422"/>
      <c r="S4659" s="15"/>
      <c r="T4659" s="15"/>
      <c r="U4659" s="15"/>
      <c r="V4659" s="15"/>
      <c r="W4659" s="15"/>
      <c r="X4659" s="15"/>
      <c r="Y4659" s="15"/>
      <c r="Z4659" s="15"/>
      <c r="AA4659" s="15"/>
    </row>
    <row r="4660">
      <c r="A4660" s="5" t="s">
        <v>18971</v>
      </c>
      <c r="B4660" s="292" t="str">
        <f>HYPERLINK("https://akshar-exim-company-pvt-ltd.odoo.com/web#id=22148&amp;action=152&amp;model=crm.lead&amp;view_type=form&amp;menu_id=111","C2011256")</f>
        <v>C2011256</v>
      </c>
      <c r="C4660" s="41" t="s">
        <v>18987</v>
      </c>
      <c r="D4660" s="41"/>
      <c r="E4660" s="41" t="s">
        <v>12255</v>
      </c>
      <c r="F4660" s="9">
        <v>10000.0</v>
      </c>
      <c r="G4660" s="430"/>
      <c r="H4660" s="41" t="s">
        <v>18988</v>
      </c>
      <c r="I4660" s="97"/>
      <c r="J4660" s="41" t="s">
        <v>18182</v>
      </c>
      <c r="K4660" s="12"/>
      <c r="L4660" s="12"/>
      <c r="M4660" s="11" t="s">
        <v>9445</v>
      </c>
      <c r="N4660" s="5" t="s">
        <v>18989</v>
      </c>
      <c r="O4660" s="5" t="s">
        <v>564</v>
      </c>
      <c r="P4660" s="15"/>
      <c r="Q4660" s="15"/>
      <c r="R4660" s="422"/>
      <c r="S4660" s="15"/>
      <c r="T4660" s="15"/>
      <c r="U4660" s="15"/>
      <c r="V4660" s="15"/>
      <c r="W4660" s="15"/>
      <c r="X4660" s="15"/>
      <c r="Y4660" s="15"/>
      <c r="Z4660" s="15"/>
      <c r="AA4660" s="15"/>
    </row>
    <row r="4661">
      <c r="A4661" s="5" t="s">
        <v>18971</v>
      </c>
      <c r="B4661" s="292" t="str">
        <f>HYPERLINK("https://akshar-exim-company-pvt-ltd.odoo.com/web#id=22147&amp;action=152&amp;model=crm.lead&amp;view_type=form&amp;menu_id=111","C2011255")</f>
        <v>C2011255</v>
      </c>
      <c r="C4661" s="41" t="s">
        <v>18990</v>
      </c>
      <c r="D4661" s="41"/>
      <c r="E4661" s="41" t="s">
        <v>167</v>
      </c>
      <c r="F4661" s="90">
        <v>15.0</v>
      </c>
      <c r="G4661" s="430"/>
      <c r="H4661" s="41" t="s">
        <v>18991</v>
      </c>
      <c r="I4661" s="276"/>
      <c r="J4661" s="11" t="s">
        <v>18992</v>
      </c>
      <c r="K4661" s="13"/>
      <c r="L4661" s="13"/>
      <c r="M4661" s="14"/>
      <c r="N4661" s="15"/>
      <c r="O4661" s="5" t="s">
        <v>10708</v>
      </c>
      <c r="P4661" s="15"/>
      <c r="Q4661" s="15"/>
      <c r="R4661" s="422"/>
      <c r="S4661" s="15"/>
      <c r="T4661" s="15"/>
      <c r="U4661" s="15"/>
      <c r="V4661" s="15"/>
      <c r="W4661" s="15"/>
      <c r="X4661" s="15"/>
      <c r="Y4661" s="15"/>
      <c r="Z4661" s="15"/>
      <c r="AA4661" s="15"/>
    </row>
    <row r="4662">
      <c r="A4662" s="5" t="s">
        <v>18971</v>
      </c>
      <c r="B4662" s="292" t="str">
        <f>HYPERLINK("https://akshar-exim-company-pvt-ltd.odoo.com/web#id=22144&amp;action=152&amp;model=crm.lead&amp;view_type=form&amp;menu_id=111","C2011254")</f>
        <v>C2011254</v>
      </c>
      <c r="C4662" s="41" t="s">
        <v>18993</v>
      </c>
      <c r="D4662" s="405"/>
      <c r="E4662" s="405" t="s">
        <v>412</v>
      </c>
      <c r="F4662" s="90">
        <v>1.0</v>
      </c>
      <c r="G4662" s="321"/>
      <c r="H4662" s="11" t="s">
        <v>107</v>
      </c>
      <c r="I4662" s="276"/>
      <c r="J4662" s="11" t="s">
        <v>13956</v>
      </c>
      <c r="K4662" s="13"/>
      <c r="L4662" s="13"/>
      <c r="M4662" s="14"/>
      <c r="N4662" s="15"/>
      <c r="O4662" s="5" t="s">
        <v>10708</v>
      </c>
      <c r="P4662" s="15"/>
      <c r="Q4662" s="15"/>
      <c r="R4662" s="422"/>
      <c r="S4662" s="15"/>
      <c r="T4662" s="15"/>
      <c r="U4662" s="15"/>
      <c r="V4662" s="15"/>
      <c r="W4662" s="15"/>
      <c r="X4662" s="15"/>
      <c r="Y4662" s="15"/>
      <c r="Z4662" s="15"/>
      <c r="AA4662" s="15"/>
    </row>
    <row r="4663">
      <c r="A4663" s="5" t="s">
        <v>18971</v>
      </c>
      <c r="B4663" s="292" t="str">
        <f>HYPERLINK("https://akshar-exim-company-pvt-ltd.odoo.com/web#id=22143&amp;action=152&amp;model=crm.lead&amp;view_type=form&amp;menu_id=111","C2011253")</f>
        <v>C2011253</v>
      </c>
      <c r="C4663" s="41" t="s">
        <v>18994</v>
      </c>
      <c r="D4663" s="11"/>
      <c r="E4663" s="11" t="s">
        <v>2266</v>
      </c>
      <c r="F4663" s="90">
        <v>50.0</v>
      </c>
      <c r="G4663" s="430"/>
      <c r="H4663" s="41" t="s">
        <v>18995</v>
      </c>
      <c r="I4663" s="423"/>
      <c r="J4663" s="14"/>
      <c r="K4663" s="13"/>
      <c r="L4663" s="13"/>
      <c r="M4663" s="14"/>
      <c r="N4663" s="15"/>
      <c r="O4663" s="5" t="s">
        <v>10708</v>
      </c>
      <c r="P4663" s="15"/>
      <c r="Q4663" s="15"/>
      <c r="R4663" s="422"/>
      <c r="S4663" s="15"/>
      <c r="T4663" s="15"/>
      <c r="U4663" s="15"/>
      <c r="V4663" s="15"/>
      <c r="W4663" s="15"/>
      <c r="X4663" s="15"/>
      <c r="Y4663" s="15"/>
      <c r="Z4663" s="15"/>
      <c r="AA4663" s="15"/>
    </row>
    <row r="4664">
      <c r="A4664" s="5" t="s">
        <v>18971</v>
      </c>
      <c r="B4664" s="292" t="str">
        <f>HYPERLINK("https://akshar-exim-company-pvt-ltd.odoo.com/web#id=22142&amp;action=152&amp;model=crm.lead&amp;view_type=form&amp;menu_id=111","C2011252")</f>
        <v>C2011252</v>
      </c>
      <c r="C4664" s="41" t="s">
        <v>18996</v>
      </c>
      <c r="D4664" s="405"/>
      <c r="E4664" s="405" t="s">
        <v>18997</v>
      </c>
      <c r="F4664" s="90">
        <v>25.0</v>
      </c>
      <c r="G4664" s="430"/>
      <c r="H4664" s="41" t="s">
        <v>18998</v>
      </c>
      <c r="I4664" s="423"/>
      <c r="J4664" s="14"/>
      <c r="K4664" s="13"/>
      <c r="L4664" s="13"/>
      <c r="M4664" s="14"/>
      <c r="N4664" s="15"/>
      <c r="O4664" s="5" t="s">
        <v>10708</v>
      </c>
      <c r="P4664" s="15"/>
      <c r="Q4664" s="15"/>
      <c r="R4664" s="422"/>
      <c r="S4664" s="15"/>
      <c r="T4664" s="15"/>
      <c r="U4664" s="15"/>
      <c r="V4664" s="15"/>
      <c r="W4664" s="15"/>
      <c r="X4664" s="15"/>
      <c r="Y4664" s="15"/>
      <c r="Z4664" s="15"/>
      <c r="AA4664" s="15"/>
    </row>
    <row r="4665">
      <c r="A4665" s="5" t="s">
        <v>18971</v>
      </c>
      <c r="B4665" s="292" t="str">
        <f>HYPERLINK("https://akshar-exim-company-pvt-ltd.odoo.com/web#id=22139&amp;action=152&amp;model=crm.lead&amp;view_type=form&amp;menu_id=111","C2011251")</f>
        <v>C2011251</v>
      </c>
      <c r="C4665" s="41" t="s">
        <v>18999</v>
      </c>
      <c r="D4665" s="41"/>
      <c r="E4665" s="41" t="s">
        <v>501</v>
      </c>
      <c r="F4665" s="90">
        <v>10.0</v>
      </c>
      <c r="G4665" s="430"/>
      <c r="H4665" s="41" t="s">
        <v>1414</v>
      </c>
      <c r="I4665" s="97"/>
      <c r="J4665" s="41" t="s">
        <v>18182</v>
      </c>
      <c r="K4665" s="13"/>
      <c r="L4665" s="13"/>
      <c r="M4665" s="14"/>
      <c r="N4665" s="15"/>
      <c r="O4665" s="5" t="s">
        <v>10708</v>
      </c>
      <c r="P4665" s="15"/>
      <c r="Q4665" s="15"/>
      <c r="R4665" s="422"/>
      <c r="S4665" s="15"/>
      <c r="T4665" s="15"/>
      <c r="U4665" s="15"/>
      <c r="V4665" s="15"/>
      <c r="W4665" s="15"/>
      <c r="X4665" s="15"/>
      <c r="Y4665" s="15"/>
      <c r="Z4665" s="15"/>
      <c r="AA4665" s="15"/>
    </row>
    <row r="4666">
      <c r="A4666" s="5" t="s">
        <v>18971</v>
      </c>
      <c r="B4666" s="292" t="str">
        <f>HYPERLINK("https://akshar-exim-company-pvt-ltd.odoo.com/web#id=22137&amp;action=152&amp;model=crm.lead&amp;view_type=form&amp;menu_id=111","C2011250")</f>
        <v>C2011250</v>
      </c>
      <c r="C4666" s="41" t="s">
        <v>19000</v>
      </c>
      <c r="D4666" s="41"/>
      <c r="E4666" s="41" t="s">
        <v>167</v>
      </c>
      <c r="F4666" s="90">
        <v>1.0</v>
      </c>
      <c r="G4666" s="430"/>
      <c r="H4666" s="41" t="s">
        <v>2662</v>
      </c>
      <c r="I4666" s="276"/>
      <c r="J4666" s="11" t="s">
        <v>18788</v>
      </c>
      <c r="K4666" s="13"/>
      <c r="L4666" s="13"/>
      <c r="M4666" s="14"/>
      <c r="N4666" s="15"/>
      <c r="O4666" s="5" t="s">
        <v>10708</v>
      </c>
      <c r="P4666" s="15"/>
      <c r="Q4666" s="15"/>
      <c r="R4666" s="422"/>
      <c r="S4666" s="15"/>
      <c r="T4666" s="15"/>
      <c r="U4666" s="15"/>
      <c r="V4666" s="15"/>
      <c r="W4666" s="15"/>
      <c r="X4666" s="15"/>
      <c r="Y4666" s="15"/>
      <c r="Z4666" s="15"/>
      <c r="AA4666" s="15"/>
    </row>
    <row r="4667">
      <c r="A4667" s="5" t="s">
        <v>18971</v>
      </c>
      <c r="B4667" s="292" t="str">
        <f>HYPERLINK("https://akshar-exim-company-pvt-ltd.odoo.com/web#id=22136&amp;action=152&amp;model=crm.lead&amp;view_type=form&amp;menu_id=111","C2011249")</f>
        <v>C2011249</v>
      </c>
      <c r="C4667" s="41" t="s">
        <v>19001</v>
      </c>
      <c r="D4667" s="41"/>
      <c r="E4667" s="41" t="s">
        <v>16553</v>
      </c>
      <c r="F4667" s="90">
        <v>30.0</v>
      </c>
      <c r="G4667" s="430"/>
      <c r="H4667" s="41"/>
      <c r="I4667" s="97"/>
      <c r="J4667" s="41" t="s">
        <v>19002</v>
      </c>
      <c r="K4667" s="13"/>
      <c r="L4667" s="13"/>
      <c r="M4667" s="14"/>
      <c r="N4667" s="15"/>
      <c r="O4667" s="5" t="s">
        <v>10708</v>
      </c>
      <c r="P4667" s="15"/>
      <c r="Q4667" s="15"/>
      <c r="R4667" s="422"/>
      <c r="S4667" s="15"/>
      <c r="T4667" s="15"/>
      <c r="U4667" s="15"/>
      <c r="V4667" s="15"/>
      <c r="W4667" s="15"/>
      <c r="X4667" s="15"/>
      <c r="Y4667" s="15"/>
      <c r="Z4667" s="15"/>
      <c r="AA4667" s="15"/>
    </row>
    <row r="4668">
      <c r="A4668" s="5" t="s">
        <v>18971</v>
      </c>
      <c r="B4668" s="292" t="str">
        <f>HYPERLINK("https://akshar-exim-company-pvt-ltd.odoo.com/web#id=22133&amp;action=152&amp;model=crm.lead&amp;view_type=form&amp;menu_id=111","C20100248")</f>
        <v>C20100248</v>
      </c>
      <c r="C4668" s="41" t="s">
        <v>19003</v>
      </c>
      <c r="D4668" s="405"/>
      <c r="E4668" s="405" t="s">
        <v>9862</v>
      </c>
      <c r="F4668" s="90">
        <v>1.0</v>
      </c>
      <c r="G4668" s="430"/>
      <c r="H4668" s="41" t="s">
        <v>19003</v>
      </c>
      <c r="I4668" s="423"/>
      <c r="J4668" s="14"/>
      <c r="K4668" s="13"/>
      <c r="L4668" s="13"/>
      <c r="M4668" s="14"/>
      <c r="N4668" s="15"/>
      <c r="O4668" s="5" t="s">
        <v>10708</v>
      </c>
      <c r="P4668" s="15"/>
      <c r="Q4668" s="15"/>
      <c r="R4668" s="422"/>
      <c r="S4668" s="15"/>
      <c r="T4668" s="15"/>
      <c r="U4668" s="15"/>
      <c r="V4668" s="15"/>
      <c r="W4668" s="15"/>
      <c r="X4668" s="15"/>
      <c r="Y4668" s="15"/>
      <c r="Z4668" s="15"/>
      <c r="AA4668" s="15"/>
    </row>
    <row r="4669">
      <c r="A4669" s="5" t="s">
        <v>18971</v>
      </c>
      <c r="B4669" s="292" t="str">
        <f>HYPERLINK("https://akshar-exim-company-pvt-ltd.odoo.com/web#id=22132&amp;action=152&amp;model=crm.lead&amp;view_type=form&amp;menu_id=111","C2011247")</f>
        <v>C2011247</v>
      </c>
      <c r="C4669" s="41" t="s">
        <v>19004</v>
      </c>
      <c r="D4669" s="405"/>
      <c r="E4669" s="405" t="s">
        <v>10826</v>
      </c>
      <c r="F4669" s="90">
        <v>5.0</v>
      </c>
      <c r="G4669" s="430"/>
      <c r="H4669" s="41" t="s">
        <v>19005</v>
      </c>
      <c r="I4669" s="276"/>
      <c r="J4669" s="11" t="s">
        <v>14563</v>
      </c>
      <c r="K4669" s="13"/>
      <c r="L4669" s="13"/>
      <c r="M4669" s="14"/>
      <c r="N4669" s="15"/>
      <c r="O4669" s="5" t="s">
        <v>10708</v>
      </c>
      <c r="P4669" s="15"/>
      <c r="Q4669" s="15"/>
      <c r="R4669" s="422"/>
      <c r="S4669" s="15"/>
      <c r="T4669" s="15"/>
      <c r="U4669" s="15"/>
      <c r="V4669" s="15"/>
      <c r="W4669" s="15"/>
      <c r="X4669" s="15"/>
      <c r="Y4669" s="15"/>
      <c r="Z4669" s="15"/>
      <c r="AA4669" s="15"/>
    </row>
    <row r="4670">
      <c r="A4670" s="5" t="s">
        <v>18971</v>
      </c>
      <c r="B4670" s="292" t="str">
        <f>HYPERLINK("https://akshar-exim-company-pvt-ltd.odoo.com/web#id=22130&amp;action=152&amp;model=crm.lead&amp;view_type=form&amp;menu_id=111","C2011246")</f>
        <v>C2011246</v>
      </c>
      <c r="C4670" s="41" t="s">
        <v>11535</v>
      </c>
      <c r="D4670" s="41"/>
      <c r="E4670" s="41" t="s">
        <v>19006</v>
      </c>
      <c r="F4670" s="9">
        <v>15000.0</v>
      </c>
      <c r="G4670" s="321"/>
      <c r="H4670" s="11" t="s">
        <v>44</v>
      </c>
      <c r="I4670" s="276"/>
      <c r="J4670" s="11" t="s">
        <v>4008</v>
      </c>
      <c r="K4670" s="13"/>
      <c r="L4670" s="13"/>
      <c r="M4670" s="14"/>
      <c r="N4670" s="15"/>
      <c r="O4670" s="5" t="s">
        <v>34</v>
      </c>
      <c r="P4670" s="15"/>
      <c r="Q4670" s="15"/>
      <c r="R4670" s="422"/>
      <c r="S4670" s="15"/>
      <c r="T4670" s="15"/>
      <c r="U4670" s="15"/>
      <c r="V4670" s="15"/>
      <c r="W4670" s="15"/>
      <c r="X4670" s="15"/>
      <c r="Y4670" s="15"/>
      <c r="Z4670" s="15"/>
      <c r="AA4670" s="15"/>
    </row>
    <row r="4671">
      <c r="A4671" s="5" t="s">
        <v>18971</v>
      </c>
      <c r="B4671" s="292" t="str">
        <f>HYPERLINK("https://akshar-exim-company-pvt-ltd.odoo.com/web#id=22129&amp;action=152&amp;model=crm.lead&amp;view_type=form&amp;menu_id=111","C2011245")</f>
        <v>C2011245</v>
      </c>
      <c r="C4671" s="41" t="s">
        <v>2545</v>
      </c>
      <c r="D4671" s="405"/>
      <c r="E4671" s="405" t="s">
        <v>11377</v>
      </c>
      <c r="F4671" s="90">
        <v>2.0</v>
      </c>
      <c r="G4671" s="321"/>
      <c r="H4671" s="11" t="s">
        <v>278</v>
      </c>
      <c r="I4671" s="423"/>
      <c r="J4671" s="14"/>
      <c r="K4671" s="13"/>
      <c r="L4671" s="13"/>
      <c r="M4671" s="14"/>
      <c r="N4671" s="15"/>
      <c r="O4671" s="5" t="s">
        <v>10708</v>
      </c>
      <c r="P4671" s="15"/>
      <c r="Q4671" s="15"/>
      <c r="R4671" s="422"/>
      <c r="S4671" s="15"/>
      <c r="T4671" s="15"/>
      <c r="U4671" s="15"/>
      <c r="V4671" s="15"/>
      <c r="W4671" s="15"/>
      <c r="X4671" s="15"/>
      <c r="Y4671" s="15"/>
      <c r="Z4671" s="15"/>
      <c r="AA4671" s="15"/>
    </row>
    <row r="4672">
      <c r="A4672" s="5" t="s">
        <v>19007</v>
      </c>
      <c r="B4672" s="292" t="str">
        <f>HYPERLINK("https://akshar-exim-company-pvt-ltd.odoo.com/web#id=22125&amp;action=152&amp;model=crm.lead&amp;view_type=form&amp;menu_id=111","C2011244")</f>
        <v>C2011244</v>
      </c>
      <c r="C4672" s="41" t="s">
        <v>19008</v>
      </c>
      <c r="D4672" s="41"/>
      <c r="E4672" s="41" t="s">
        <v>8247</v>
      </c>
      <c r="F4672" s="90">
        <v>100.0</v>
      </c>
      <c r="G4672" s="430"/>
      <c r="H4672" s="41" t="s">
        <v>19009</v>
      </c>
      <c r="I4672" s="276"/>
      <c r="J4672" s="11" t="s">
        <v>25</v>
      </c>
      <c r="K4672" s="13"/>
      <c r="L4672" s="13"/>
      <c r="M4672" s="14"/>
      <c r="N4672" s="15"/>
      <c r="O4672" s="5" t="s">
        <v>10708</v>
      </c>
      <c r="P4672" s="15"/>
      <c r="Q4672" s="15"/>
      <c r="R4672" s="422"/>
      <c r="S4672" s="15"/>
      <c r="T4672" s="15"/>
      <c r="U4672" s="15"/>
      <c r="V4672" s="15"/>
      <c r="W4672" s="15"/>
      <c r="X4672" s="15"/>
      <c r="Y4672" s="15"/>
      <c r="Z4672" s="15"/>
      <c r="AA4672" s="15"/>
    </row>
    <row r="4673">
      <c r="A4673" s="5" t="s">
        <v>19007</v>
      </c>
      <c r="B4673" s="292" t="str">
        <f>HYPERLINK("https://akshar-exim-company-pvt-ltd.odoo.com/web#id=22124&amp;action=152&amp;model=crm.lead&amp;view_type=form&amp;menu_id=111","C2011243")</f>
        <v>C2011243</v>
      </c>
      <c r="C4673" s="41" t="s">
        <v>19010</v>
      </c>
      <c r="D4673" s="41"/>
      <c r="E4673" s="41" t="s">
        <v>252</v>
      </c>
      <c r="F4673" s="90">
        <v>50.0</v>
      </c>
      <c r="G4673" s="430"/>
      <c r="H4673" s="41" t="s">
        <v>18358</v>
      </c>
      <c r="I4673" s="276"/>
      <c r="J4673" s="11" t="s">
        <v>25</v>
      </c>
      <c r="K4673" s="13"/>
      <c r="L4673" s="13"/>
      <c r="M4673" s="14"/>
      <c r="N4673" s="15"/>
      <c r="O4673" s="5" t="s">
        <v>10708</v>
      </c>
      <c r="P4673" s="15"/>
      <c r="Q4673" s="15"/>
      <c r="R4673" s="422"/>
      <c r="S4673" s="15"/>
      <c r="T4673" s="15"/>
      <c r="U4673" s="15"/>
      <c r="V4673" s="15"/>
      <c r="W4673" s="15"/>
      <c r="X4673" s="15"/>
      <c r="Y4673" s="15"/>
      <c r="Z4673" s="15"/>
      <c r="AA4673" s="15"/>
    </row>
    <row r="4674">
      <c r="A4674" s="5" t="s">
        <v>19007</v>
      </c>
      <c r="B4674" s="292" t="str">
        <f>HYPERLINK("https://akshar-exim-company-pvt-ltd.odoo.com/web#id=22121&amp;action=152&amp;model=crm.lead&amp;view_type=form&amp;menu_id=111","C2011242")</f>
        <v>C2011242</v>
      </c>
      <c r="C4674" s="41" t="s">
        <v>19011</v>
      </c>
      <c r="D4674" s="405"/>
      <c r="E4674" s="405" t="s">
        <v>19012</v>
      </c>
      <c r="F4674" s="90">
        <v>500.0</v>
      </c>
      <c r="G4674" s="430"/>
      <c r="H4674" s="41" t="s">
        <v>4456</v>
      </c>
      <c r="I4674" s="276"/>
      <c r="J4674" s="11" t="s">
        <v>17976</v>
      </c>
      <c r="K4674" s="13"/>
      <c r="L4674" s="13"/>
      <c r="M4674" s="14"/>
      <c r="N4674" s="15"/>
      <c r="O4674" s="5" t="s">
        <v>17993</v>
      </c>
      <c r="P4674" s="15"/>
      <c r="Q4674" s="15"/>
      <c r="R4674" s="422"/>
      <c r="S4674" s="15"/>
      <c r="T4674" s="15"/>
      <c r="U4674" s="15"/>
      <c r="V4674" s="15"/>
      <c r="W4674" s="15"/>
      <c r="X4674" s="15"/>
      <c r="Y4674" s="15"/>
      <c r="Z4674" s="15"/>
      <c r="AA4674" s="15"/>
    </row>
    <row r="4675">
      <c r="A4675" s="5" t="s">
        <v>19007</v>
      </c>
      <c r="B4675" s="292" t="str">
        <f>HYPERLINK("https://akshar-exim-company-pvt-ltd.odoo.com/web#id=22111&amp;action=152&amp;model=crm.lead&amp;view_type=form&amp;menu_id=111","C2011241")</f>
        <v>C2011241</v>
      </c>
      <c r="C4675" s="41" t="s">
        <v>3817</v>
      </c>
      <c r="D4675" s="405"/>
      <c r="E4675" s="405" t="s">
        <v>19013</v>
      </c>
      <c r="F4675" s="90">
        <v>25.0</v>
      </c>
      <c r="G4675" s="430"/>
      <c r="H4675" s="41" t="s">
        <v>18236</v>
      </c>
      <c r="I4675" s="276"/>
      <c r="J4675" s="11" t="s">
        <v>25</v>
      </c>
      <c r="K4675" s="13"/>
      <c r="L4675" s="13"/>
      <c r="M4675" s="14"/>
      <c r="N4675" s="15"/>
      <c r="O4675" s="5" t="s">
        <v>10708</v>
      </c>
      <c r="P4675" s="15"/>
      <c r="Q4675" s="15"/>
      <c r="R4675" s="422"/>
      <c r="S4675" s="15"/>
      <c r="T4675" s="15"/>
      <c r="U4675" s="15"/>
      <c r="V4675" s="15"/>
      <c r="W4675" s="15"/>
      <c r="X4675" s="15"/>
      <c r="Y4675" s="15"/>
      <c r="Z4675" s="15"/>
      <c r="AA4675" s="15"/>
    </row>
    <row r="4676">
      <c r="A4676" s="5" t="s">
        <v>19007</v>
      </c>
      <c r="B4676" s="292" t="str">
        <f>HYPERLINK("https://akshar-exim-company-pvt-ltd.odoo.com/web#id=22109&amp;action=152&amp;model=crm.lead&amp;view_type=form&amp;menu_id=111","C2011240")</f>
        <v>C2011240</v>
      </c>
      <c r="C4676" s="41" t="s">
        <v>19014</v>
      </c>
      <c r="D4676" s="405"/>
      <c r="E4676" s="405" t="s">
        <v>7672</v>
      </c>
      <c r="F4676" s="90">
        <v>25.0</v>
      </c>
      <c r="G4676" s="430"/>
      <c r="H4676" s="41" t="s">
        <v>6922</v>
      </c>
      <c r="I4676" s="423"/>
      <c r="J4676" s="14"/>
      <c r="K4676" s="12"/>
      <c r="L4676" s="12"/>
      <c r="M4676" s="11" t="s">
        <v>12565</v>
      </c>
      <c r="N4676" s="5" t="s">
        <v>19015</v>
      </c>
      <c r="O4676" s="5" t="s">
        <v>17993</v>
      </c>
      <c r="P4676" s="15"/>
      <c r="Q4676" s="15"/>
      <c r="R4676" s="422"/>
      <c r="S4676" s="15"/>
      <c r="T4676" s="15"/>
      <c r="U4676" s="15"/>
      <c r="V4676" s="15"/>
      <c r="W4676" s="15"/>
      <c r="X4676" s="15"/>
      <c r="Y4676" s="15"/>
      <c r="Z4676" s="15"/>
      <c r="AA4676" s="15"/>
    </row>
    <row r="4677">
      <c r="A4677" s="5" t="s">
        <v>19007</v>
      </c>
      <c r="B4677" s="292" t="str">
        <f>HYPERLINK("https://akshar-exim-company-pvt-ltd.odoo.com/web#id=22105&amp;action=152&amp;model=crm.lead&amp;view_type=form&amp;menu_id=111","C2011239")</f>
        <v>C2011239</v>
      </c>
      <c r="C4677" s="41" t="s">
        <v>19016</v>
      </c>
      <c r="D4677" s="41"/>
      <c r="E4677" s="41" t="s">
        <v>13058</v>
      </c>
      <c r="F4677" s="90">
        <v>1.0</v>
      </c>
      <c r="G4677" s="321"/>
      <c r="H4677" s="11" t="s">
        <v>44</v>
      </c>
      <c r="I4677" s="276"/>
      <c r="J4677" s="11" t="s">
        <v>25</v>
      </c>
      <c r="K4677" s="13"/>
      <c r="L4677" s="13"/>
      <c r="M4677" s="14"/>
      <c r="N4677" s="15"/>
      <c r="O4677" s="5" t="s">
        <v>10708</v>
      </c>
      <c r="P4677" s="15"/>
      <c r="Q4677" s="15"/>
      <c r="R4677" s="422"/>
      <c r="S4677" s="15"/>
      <c r="T4677" s="15"/>
      <c r="U4677" s="15"/>
      <c r="V4677" s="15"/>
      <c r="W4677" s="15"/>
      <c r="X4677" s="15"/>
      <c r="Y4677" s="15"/>
      <c r="Z4677" s="15"/>
      <c r="AA4677" s="15"/>
    </row>
    <row r="4678">
      <c r="A4678" s="5" t="s">
        <v>19007</v>
      </c>
      <c r="B4678" s="292" t="str">
        <f>HYPERLINK("https://akshar-exim-company-pvt-ltd.odoo.com/web#id=22102&amp;action=152&amp;model=crm.lead&amp;view_type=form&amp;menu_id=111","C2011238")</f>
        <v>C2011238</v>
      </c>
      <c r="C4678" s="41" t="s">
        <v>19017</v>
      </c>
      <c r="D4678" s="41"/>
      <c r="E4678" s="41" t="s">
        <v>19018</v>
      </c>
      <c r="F4678" s="90">
        <v>100.0</v>
      </c>
      <c r="G4678" s="430"/>
      <c r="H4678" s="41" t="s">
        <v>19019</v>
      </c>
      <c r="I4678" s="276"/>
      <c r="J4678" s="11" t="s">
        <v>25</v>
      </c>
      <c r="K4678" s="13"/>
      <c r="L4678" s="13"/>
      <c r="M4678" s="14"/>
      <c r="N4678" s="15"/>
      <c r="O4678" s="5" t="s">
        <v>10708</v>
      </c>
      <c r="P4678" s="15"/>
      <c r="Q4678" s="15"/>
      <c r="R4678" s="422"/>
      <c r="S4678" s="15"/>
      <c r="T4678" s="15"/>
      <c r="U4678" s="15"/>
      <c r="V4678" s="15"/>
      <c r="W4678" s="15"/>
      <c r="X4678" s="15"/>
      <c r="Y4678" s="15"/>
      <c r="Z4678" s="15"/>
      <c r="AA4678" s="15"/>
    </row>
    <row r="4679">
      <c r="A4679" s="5" t="s">
        <v>19007</v>
      </c>
      <c r="B4679" s="292" t="str">
        <f>HYPERLINK("https://akshar-exim-company-pvt-ltd.odoo.com/web#id=22100&amp;action=152&amp;model=crm.lead&amp;view_type=form&amp;menu_id=111","C2011237")</f>
        <v>C2011237</v>
      </c>
      <c r="C4679" s="41" t="s">
        <v>19020</v>
      </c>
      <c r="D4679" s="41"/>
      <c r="E4679" s="41" t="s">
        <v>18248</v>
      </c>
      <c r="F4679" s="9">
        <v>10000.0</v>
      </c>
      <c r="G4679" s="430"/>
      <c r="H4679" s="41" t="s">
        <v>7373</v>
      </c>
      <c r="I4679" s="276"/>
      <c r="J4679" s="11" t="s">
        <v>25</v>
      </c>
      <c r="K4679" s="12"/>
      <c r="L4679" s="12"/>
      <c r="M4679" s="11" t="s">
        <v>8782</v>
      </c>
      <c r="N4679" s="5" t="s">
        <v>19021</v>
      </c>
      <c r="O4679" s="5" t="s">
        <v>17993</v>
      </c>
      <c r="P4679" s="15"/>
      <c r="Q4679" s="15"/>
      <c r="R4679" s="422"/>
      <c r="S4679" s="15"/>
      <c r="T4679" s="15"/>
      <c r="U4679" s="15"/>
      <c r="V4679" s="15"/>
      <c r="W4679" s="15"/>
      <c r="X4679" s="15"/>
      <c r="Y4679" s="15"/>
      <c r="Z4679" s="15"/>
      <c r="AA4679" s="15"/>
    </row>
    <row r="4680">
      <c r="A4680" s="5" t="s">
        <v>19007</v>
      </c>
      <c r="B4680" s="292" t="str">
        <f>HYPERLINK("https://akshar-exim-company-pvt-ltd.odoo.com/web#id=22096&amp;action=152&amp;model=crm.lead&amp;view_type=form&amp;menu_id=111","C2011236")</f>
        <v>C2011236</v>
      </c>
      <c r="C4680" s="41" t="s">
        <v>19022</v>
      </c>
      <c r="D4680" s="41"/>
      <c r="E4680" s="41" t="s">
        <v>794</v>
      </c>
      <c r="F4680" s="90">
        <v>200.0</v>
      </c>
      <c r="G4680" s="321"/>
      <c r="H4680" s="11" t="s">
        <v>44</v>
      </c>
      <c r="I4680" s="276"/>
      <c r="J4680" s="11" t="s">
        <v>25</v>
      </c>
      <c r="K4680" s="12"/>
      <c r="L4680" s="12"/>
      <c r="M4680" s="11" t="s">
        <v>13461</v>
      </c>
      <c r="N4680" s="5" t="s">
        <v>19023</v>
      </c>
      <c r="O4680" s="5" t="s">
        <v>1112</v>
      </c>
      <c r="P4680" s="15"/>
      <c r="Q4680" s="15"/>
      <c r="R4680" s="422"/>
      <c r="S4680" s="15"/>
      <c r="T4680" s="15"/>
      <c r="U4680" s="15"/>
      <c r="V4680" s="15"/>
      <c r="W4680" s="15"/>
      <c r="X4680" s="15"/>
      <c r="Y4680" s="15"/>
      <c r="Z4680" s="15"/>
      <c r="AA4680" s="15"/>
    </row>
    <row r="4681">
      <c r="A4681" s="5" t="s">
        <v>19007</v>
      </c>
      <c r="B4681" s="292" t="str">
        <f>HYPERLINK("https://akshar-exim-company-pvt-ltd.odoo.com/web#id=22095&amp;action=152&amp;model=crm.lead&amp;view_type=form&amp;menu_id=111","C2011235")</f>
        <v>C2011235</v>
      </c>
      <c r="C4681" s="41" t="s">
        <v>10354</v>
      </c>
      <c r="D4681" s="405"/>
      <c r="E4681" s="405" t="s">
        <v>739</v>
      </c>
      <c r="F4681" s="90">
        <v>5000.0</v>
      </c>
      <c r="G4681" s="430"/>
      <c r="H4681" s="41" t="s">
        <v>4444</v>
      </c>
      <c r="I4681" s="276"/>
      <c r="J4681" s="11" t="s">
        <v>17976</v>
      </c>
      <c r="K4681" s="12"/>
      <c r="L4681" s="12"/>
      <c r="M4681" s="11" t="s">
        <v>9983</v>
      </c>
      <c r="N4681" s="5" t="s">
        <v>19024</v>
      </c>
      <c r="O4681" s="5" t="s">
        <v>17993</v>
      </c>
      <c r="P4681" s="15"/>
      <c r="Q4681" s="15"/>
      <c r="R4681" s="422"/>
      <c r="S4681" s="15"/>
      <c r="T4681" s="15"/>
      <c r="U4681" s="15"/>
      <c r="V4681" s="15"/>
      <c r="W4681" s="15"/>
      <c r="X4681" s="15"/>
      <c r="Y4681" s="15"/>
      <c r="Z4681" s="15"/>
      <c r="AA4681" s="15"/>
    </row>
    <row r="4682">
      <c r="A4682" s="5" t="s">
        <v>19007</v>
      </c>
      <c r="B4682" s="292" t="str">
        <f>HYPERLINK("https://akshar-exim-company-pvt-ltd.odoo.com/web#id=22092&amp;action=152&amp;model=crm.lead&amp;view_type=form&amp;menu_id=111","C2011234")</f>
        <v>C2011234</v>
      </c>
      <c r="C4682" s="41" t="s">
        <v>19025</v>
      </c>
      <c r="D4682" s="405"/>
      <c r="E4682" s="405" t="s">
        <v>19026</v>
      </c>
      <c r="F4682" s="90">
        <v>3000.0</v>
      </c>
      <c r="G4682" s="430"/>
      <c r="H4682" s="41" t="s">
        <v>19027</v>
      </c>
      <c r="I4682" s="276"/>
      <c r="J4682" s="11" t="s">
        <v>17976</v>
      </c>
      <c r="K4682" s="12"/>
      <c r="L4682" s="12"/>
      <c r="M4682" s="11" t="s">
        <v>8860</v>
      </c>
      <c r="N4682" s="5" t="s">
        <v>19028</v>
      </c>
      <c r="O4682" s="5" t="s">
        <v>564</v>
      </c>
      <c r="P4682" s="15"/>
      <c r="Q4682" s="15"/>
      <c r="R4682" s="422"/>
      <c r="S4682" s="15"/>
      <c r="T4682" s="15"/>
      <c r="U4682" s="15"/>
      <c r="V4682" s="15"/>
      <c r="W4682" s="15"/>
      <c r="X4682" s="15"/>
      <c r="Y4682" s="15"/>
      <c r="Z4682" s="15"/>
      <c r="AA4682" s="15"/>
    </row>
    <row r="4683">
      <c r="A4683" s="5" t="s">
        <v>19007</v>
      </c>
      <c r="B4683" s="292" t="str">
        <f>HYPERLINK("https://akshar-exim-company-pvt-ltd.odoo.com/web#id=22089&amp;action=152&amp;model=crm.lead&amp;view_type=form&amp;menu_id=111","C2011233")</f>
        <v>C2011233</v>
      </c>
      <c r="C4683" s="41" t="s">
        <v>19029</v>
      </c>
      <c r="D4683" s="41"/>
      <c r="E4683" s="41" t="s">
        <v>9492</v>
      </c>
      <c r="F4683" s="90">
        <v>3000.0</v>
      </c>
      <c r="G4683" s="321"/>
      <c r="H4683" s="11" t="s">
        <v>1414</v>
      </c>
      <c r="I4683" s="276"/>
      <c r="J4683" s="11" t="s">
        <v>4008</v>
      </c>
      <c r="K4683" s="12"/>
      <c r="L4683" s="12"/>
      <c r="M4683" s="11" t="s">
        <v>7965</v>
      </c>
      <c r="N4683" s="5" t="s">
        <v>19030</v>
      </c>
      <c r="O4683" s="5" t="s">
        <v>1112</v>
      </c>
      <c r="P4683" s="15"/>
      <c r="Q4683" s="15"/>
      <c r="R4683" s="422"/>
      <c r="S4683" s="15"/>
      <c r="T4683" s="15"/>
      <c r="U4683" s="15"/>
      <c r="V4683" s="15"/>
      <c r="W4683" s="15"/>
      <c r="X4683" s="15"/>
      <c r="Y4683" s="15"/>
      <c r="Z4683" s="15"/>
      <c r="AA4683" s="15"/>
    </row>
    <row r="4684">
      <c r="A4684" s="5" t="s">
        <v>19007</v>
      </c>
      <c r="B4684" s="292" t="str">
        <f>HYPERLINK("https://akshar-exim-company-pvt-ltd.odoo.com/web#id=22088&amp;action=152&amp;model=crm.lead&amp;view_type=form&amp;menu_id=111","C2011232")</f>
        <v>C2011232</v>
      </c>
      <c r="C4684" s="41" t="s">
        <v>19031</v>
      </c>
      <c r="D4684" s="405"/>
      <c r="E4684" s="405" t="s">
        <v>222</v>
      </c>
      <c r="F4684" s="9">
        <v>30000.0</v>
      </c>
      <c r="G4684" s="430"/>
      <c r="H4684" s="41" t="s">
        <v>9359</v>
      </c>
      <c r="I4684" s="423"/>
      <c r="J4684" s="14"/>
      <c r="K4684" s="12"/>
      <c r="L4684" s="12"/>
      <c r="M4684" s="11" t="s">
        <v>18785</v>
      </c>
      <c r="N4684" s="5" t="s">
        <v>19032</v>
      </c>
      <c r="O4684" s="5" t="s">
        <v>17993</v>
      </c>
      <c r="P4684" s="15"/>
      <c r="Q4684" s="15"/>
      <c r="R4684" s="422"/>
      <c r="S4684" s="15"/>
      <c r="T4684" s="15"/>
      <c r="U4684" s="15"/>
      <c r="V4684" s="15"/>
      <c r="W4684" s="15"/>
      <c r="X4684" s="15"/>
      <c r="Y4684" s="15"/>
      <c r="Z4684" s="15"/>
      <c r="AA4684" s="15"/>
    </row>
    <row r="4685">
      <c r="A4685" s="5" t="s">
        <v>19007</v>
      </c>
      <c r="B4685" s="292" t="str">
        <f>HYPERLINK("https://akshar-exim-company-pvt-ltd.odoo.com/web#id=22087&amp;action=152&amp;model=crm.lead&amp;view_type=form&amp;menu_id=111","C2011231")</f>
        <v>C2011231</v>
      </c>
      <c r="C4685" s="41" t="s">
        <v>19033</v>
      </c>
      <c r="D4685" s="41"/>
      <c r="E4685" s="41" t="s">
        <v>19034</v>
      </c>
      <c r="F4685" s="90">
        <v>10.0</v>
      </c>
      <c r="G4685" s="430"/>
      <c r="H4685" s="41" t="s">
        <v>19035</v>
      </c>
      <c r="I4685" s="276"/>
      <c r="J4685" s="11" t="s">
        <v>14563</v>
      </c>
      <c r="K4685" s="13"/>
      <c r="L4685" s="13"/>
      <c r="M4685" s="14"/>
      <c r="N4685" s="15"/>
      <c r="O4685" s="5" t="s">
        <v>10708</v>
      </c>
      <c r="P4685" s="15"/>
      <c r="Q4685" s="15"/>
      <c r="R4685" s="422"/>
      <c r="S4685" s="15"/>
      <c r="T4685" s="15"/>
      <c r="U4685" s="15"/>
      <c r="V4685" s="15"/>
      <c r="W4685" s="15"/>
      <c r="X4685" s="15"/>
      <c r="Y4685" s="15"/>
      <c r="Z4685" s="15"/>
      <c r="AA4685" s="15"/>
    </row>
    <row r="4686">
      <c r="A4686" s="5" t="s">
        <v>19007</v>
      </c>
      <c r="B4686" s="292" t="str">
        <f>HYPERLINK("https://akshar-exim-company-pvt-ltd.odoo.com/web#id=22085&amp;action=152&amp;model=crm.lead&amp;view_type=form&amp;menu_id=111","C2011230")</f>
        <v>C2011230</v>
      </c>
      <c r="C4686" s="435" t="s">
        <v>19036</v>
      </c>
      <c r="D4686" s="11"/>
      <c r="E4686" s="11" t="s">
        <v>9682</v>
      </c>
      <c r="F4686" s="90">
        <v>200.0</v>
      </c>
      <c r="G4686" s="437"/>
      <c r="H4686" s="435" t="s">
        <v>19037</v>
      </c>
      <c r="I4686" s="276"/>
      <c r="J4686" s="11" t="s">
        <v>9814</v>
      </c>
      <c r="K4686" s="12"/>
      <c r="L4686" s="12"/>
      <c r="M4686" s="11" t="s">
        <v>19038</v>
      </c>
      <c r="N4686" s="5" t="s">
        <v>19039</v>
      </c>
      <c r="O4686" s="5" t="s">
        <v>17993</v>
      </c>
      <c r="P4686" s="15"/>
      <c r="Q4686" s="15"/>
      <c r="R4686" s="422"/>
      <c r="S4686" s="15"/>
      <c r="T4686" s="15"/>
      <c r="U4686" s="15"/>
      <c r="V4686" s="15"/>
      <c r="W4686" s="15"/>
      <c r="X4686" s="15"/>
      <c r="Y4686" s="15"/>
      <c r="Z4686" s="15"/>
      <c r="AA4686" s="15"/>
    </row>
    <row r="4687">
      <c r="A4687" s="5" t="s">
        <v>19007</v>
      </c>
      <c r="B4687" s="292" t="str">
        <f>HYPERLINK("https://akshar-exim-company-pvt-ltd.odoo.com/web#id=22084&amp;action=152&amp;model=crm.lead&amp;view_type=form&amp;menu_id=111","C2011229")</f>
        <v>C2011229</v>
      </c>
      <c r="C4687" s="41" t="s">
        <v>5265</v>
      </c>
      <c r="D4687" s="41"/>
      <c r="E4687" s="41" t="s">
        <v>9434</v>
      </c>
      <c r="F4687" s="9">
        <v>135000.0</v>
      </c>
      <c r="G4687" s="430"/>
      <c r="H4687" s="41" t="s">
        <v>19040</v>
      </c>
      <c r="I4687" s="276"/>
      <c r="J4687" s="11" t="s">
        <v>25</v>
      </c>
      <c r="K4687" s="12"/>
      <c r="L4687" s="12"/>
      <c r="M4687" s="11" t="s">
        <v>9034</v>
      </c>
      <c r="N4687" s="5" t="s">
        <v>19041</v>
      </c>
      <c r="O4687" s="5" t="s">
        <v>564</v>
      </c>
      <c r="P4687" s="15"/>
      <c r="Q4687" s="15"/>
      <c r="R4687" s="422"/>
      <c r="S4687" s="15"/>
      <c r="T4687" s="15"/>
      <c r="U4687" s="15"/>
      <c r="V4687" s="15"/>
      <c r="W4687" s="15"/>
      <c r="X4687" s="15"/>
      <c r="Y4687" s="15"/>
      <c r="Z4687" s="15"/>
      <c r="AA4687" s="15"/>
    </row>
    <row r="4688">
      <c r="A4688" s="5" t="s">
        <v>19007</v>
      </c>
      <c r="B4688" s="292" t="str">
        <f>HYPERLINK("https://akshar-exim-company-pvt-ltd.odoo.com/web#id=22082&amp;action=152&amp;model=crm.lead&amp;view_type=form&amp;menu_id=111","C2011228")</f>
        <v>C2011228</v>
      </c>
      <c r="C4688" s="41" t="s">
        <v>19042</v>
      </c>
      <c r="D4688" s="405"/>
      <c r="E4688" s="405" t="s">
        <v>19043</v>
      </c>
      <c r="F4688" s="90">
        <v>1.0</v>
      </c>
      <c r="G4688" s="430"/>
      <c r="H4688" s="41" t="s">
        <v>19044</v>
      </c>
      <c r="I4688" s="276"/>
      <c r="J4688" s="11" t="s">
        <v>18941</v>
      </c>
      <c r="K4688" s="13"/>
      <c r="L4688" s="13"/>
      <c r="M4688" s="14"/>
      <c r="N4688" s="15"/>
      <c r="O4688" s="5" t="s">
        <v>10708</v>
      </c>
      <c r="P4688" s="15"/>
      <c r="Q4688" s="15"/>
      <c r="R4688" s="422"/>
      <c r="S4688" s="15"/>
      <c r="T4688" s="15"/>
      <c r="U4688" s="15"/>
      <c r="V4688" s="15"/>
      <c r="W4688" s="15"/>
      <c r="X4688" s="15"/>
      <c r="Y4688" s="15"/>
      <c r="Z4688" s="15"/>
      <c r="AA4688" s="15"/>
    </row>
    <row r="4689">
      <c r="A4689" s="5" t="s">
        <v>19007</v>
      </c>
      <c r="B4689" s="292" t="str">
        <f>HYPERLINK("https://akshar-exim-company-pvt-ltd.odoo.com/web#id=22081&amp;action=152&amp;model=crm.lead&amp;view_type=form&amp;menu_id=111","C2011227")</f>
        <v>C2011227</v>
      </c>
      <c r="C4689" s="440" t="s">
        <v>19045</v>
      </c>
      <c r="D4689" s="405"/>
      <c r="E4689" s="405" t="s">
        <v>625</v>
      </c>
      <c r="F4689" s="9">
        <v>20000.0</v>
      </c>
      <c r="G4689" s="430"/>
      <c r="H4689" s="41" t="s">
        <v>4641</v>
      </c>
      <c r="I4689" s="276"/>
      <c r="J4689" s="11" t="s">
        <v>17976</v>
      </c>
      <c r="K4689" s="12"/>
      <c r="L4689" s="12"/>
      <c r="M4689" s="11" t="s">
        <v>18334</v>
      </c>
      <c r="N4689" s="5" t="s">
        <v>19046</v>
      </c>
      <c r="O4689" s="5" t="s">
        <v>19047</v>
      </c>
      <c r="P4689" s="15"/>
      <c r="Q4689" s="15"/>
      <c r="R4689" s="422"/>
      <c r="S4689" s="15"/>
      <c r="T4689" s="15"/>
      <c r="U4689" s="15"/>
      <c r="V4689" s="15"/>
      <c r="W4689" s="15"/>
      <c r="X4689" s="15"/>
      <c r="Y4689" s="15"/>
      <c r="Z4689" s="15"/>
      <c r="AA4689" s="15"/>
    </row>
    <row r="4690">
      <c r="A4690" s="5" t="s">
        <v>19007</v>
      </c>
      <c r="B4690" s="292" t="str">
        <f>HYPERLINK("https://akshar-exim-company-pvt-ltd.odoo.com/web#id=22080&amp;action=152&amp;model=crm.lead&amp;view_type=form&amp;menu_id=111","C2011226")</f>
        <v>C2011226</v>
      </c>
      <c r="C4690" s="41" t="s">
        <v>19048</v>
      </c>
      <c r="D4690" s="41"/>
      <c r="E4690" s="41" t="s">
        <v>5774</v>
      </c>
      <c r="F4690" s="90">
        <v>10.0</v>
      </c>
      <c r="G4690" s="321"/>
      <c r="H4690" s="11" t="s">
        <v>9266</v>
      </c>
      <c r="I4690" s="276"/>
      <c r="J4690" s="11" t="s">
        <v>9536</v>
      </c>
      <c r="K4690" s="13"/>
      <c r="L4690" s="13"/>
      <c r="M4690" s="14"/>
      <c r="N4690" s="15"/>
      <c r="O4690" s="5" t="s">
        <v>10708</v>
      </c>
      <c r="P4690" s="15"/>
      <c r="Q4690" s="15"/>
      <c r="R4690" s="422"/>
      <c r="S4690" s="15"/>
      <c r="T4690" s="15"/>
      <c r="U4690" s="15"/>
      <c r="V4690" s="15"/>
      <c r="W4690" s="15"/>
      <c r="X4690" s="15"/>
      <c r="Y4690" s="15"/>
      <c r="Z4690" s="15"/>
      <c r="AA4690" s="15"/>
    </row>
    <row r="4691">
      <c r="A4691" s="5" t="s">
        <v>19007</v>
      </c>
      <c r="B4691" s="292" t="str">
        <f>HYPERLINK("https://akshar-exim-company-pvt-ltd.odoo.com/web#id=22076&amp;action=152&amp;model=crm.lead&amp;view_type=form&amp;menu_id=111","C2011225")</f>
        <v>C2011225</v>
      </c>
      <c r="C4691" s="41" t="s">
        <v>19049</v>
      </c>
      <c r="D4691" s="405"/>
      <c r="E4691" s="405" t="s">
        <v>15007</v>
      </c>
      <c r="F4691" s="90">
        <v>400.0</v>
      </c>
      <c r="G4691" s="430"/>
      <c r="H4691" s="41" t="s">
        <v>4933</v>
      </c>
      <c r="I4691" s="276"/>
      <c r="J4691" s="11" t="s">
        <v>7109</v>
      </c>
      <c r="K4691" s="12"/>
      <c r="L4691" s="12"/>
      <c r="M4691" s="11" t="s">
        <v>15932</v>
      </c>
      <c r="N4691" s="5" t="s">
        <v>19050</v>
      </c>
      <c r="O4691" s="5" t="s">
        <v>10708</v>
      </c>
      <c r="P4691" s="15"/>
      <c r="Q4691" s="15"/>
      <c r="R4691" s="422"/>
      <c r="S4691" s="15"/>
      <c r="T4691" s="15"/>
      <c r="U4691" s="15"/>
      <c r="V4691" s="15"/>
      <c r="W4691" s="15"/>
      <c r="X4691" s="15"/>
      <c r="Y4691" s="15"/>
      <c r="Z4691" s="15"/>
      <c r="AA4691" s="15"/>
    </row>
    <row r="4692">
      <c r="A4692" s="5" t="s">
        <v>19007</v>
      </c>
      <c r="B4692" s="292" t="str">
        <f>HYPERLINK("https://akshar-exim-company-pvt-ltd.odoo.com/web#id=22073&amp;action=152&amp;model=crm.lead&amp;view_type=form&amp;menu_id=111","C2011224")</f>
        <v>C2011224</v>
      </c>
      <c r="C4692" s="41" t="s">
        <v>19051</v>
      </c>
      <c r="D4692" s="405"/>
      <c r="E4692" s="405" t="s">
        <v>19052</v>
      </c>
      <c r="F4692" s="9">
        <v>500000.0</v>
      </c>
      <c r="G4692" s="430"/>
      <c r="H4692" s="41" t="s">
        <v>19053</v>
      </c>
      <c r="I4692" s="276"/>
      <c r="J4692" s="11" t="s">
        <v>17976</v>
      </c>
      <c r="K4692" s="13"/>
      <c r="L4692" s="13"/>
      <c r="M4692" s="14"/>
      <c r="N4692" s="15"/>
      <c r="O4692" s="5" t="s">
        <v>17993</v>
      </c>
      <c r="P4692" s="15"/>
      <c r="Q4692" s="15"/>
      <c r="R4692" s="422"/>
      <c r="S4692" s="15"/>
      <c r="T4692" s="15"/>
      <c r="U4692" s="15"/>
      <c r="V4692" s="15"/>
      <c r="W4692" s="15"/>
      <c r="X4692" s="15"/>
      <c r="Y4692" s="15"/>
      <c r="Z4692" s="15"/>
      <c r="AA4692" s="15"/>
    </row>
    <row r="4693">
      <c r="A4693" s="5" t="s">
        <v>19054</v>
      </c>
      <c r="B4693" s="292" t="str">
        <f>HYPERLINK("https://akshar-exim-company-pvt-ltd.odoo.com/web#id=22071&amp;action=152&amp;model=crm.lead&amp;view_type=form&amp;menu_id=111","C2011223")</f>
        <v>C2011223</v>
      </c>
      <c r="C4693" s="41" t="s">
        <v>19055</v>
      </c>
      <c r="D4693" s="11"/>
      <c r="E4693" s="11" t="s">
        <v>10433</v>
      </c>
      <c r="F4693" s="90">
        <v>2.0</v>
      </c>
      <c r="G4693" s="321"/>
      <c r="H4693" s="11" t="s">
        <v>44</v>
      </c>
      <c r="I4693" s="276"/>
      <c r="J4693" s="11" t="s">
        <v>9536</v>
      </c>
      <c r="K4693" s="13"/>
      <c r="L4693" s="13"/>
      <c r="M4693" s="14"/>
      <c r="N4693" s="15"/>
      <c r="O4693" s="5" t="s">
        <v>10708</v>
      </c>
      <c r="P4693" s="15"/>
      <c r="Q4693" s="15"/>
      <c r="R4693" s="422"/>
      <c r="S4693" s="15"/>
      <c r="T4693" s="15"/>
      <c r="U4693" s="15"/>
      <c r="V4693" s="15"/>
      <c r="W4693" s="15"/>
      <c r="X4693" s="15"/>
      <c r="Y4693" s="15"/>
      <c r="Z4693" s="15"/>
      <c r="AA4693" s="15"/>
    </row>
    <row r="4694">
      <c r="A4694" s="5" t="s">
        <v>19054</v>
      </c>
      <c r="B4694" s="292" t="str">
        <f>HYPERLINK("https://akshar-exim-company-pvt-ltd.odoo.com/web#id=21943&amp;action=152&amp;model=crm.lead&amp;view_type=form&amp;menu_id=111","C2011222")</f>
        <v>C2011222</v>
      </c>
      <c r="C4694" s="40" t="s">
        <v>19056</v>
      </c>
      <c r="D4694" s="11"/>
      <c r="E4694" s="11" t="s">
        <v>794</v>
      </c>
      <c r="F4694" s="90">
        <v>1000.0</v>
      </c>
      <c r="G4694" s="321"/>
      <c r="H4694" s="11" t="s">
        <v>44</v>
      </c>
      <c r="I4694" s="423"/>
      <c r="J4694" s="14"/>
      <c r="K4694" s="12"/>
      <c r="L4694" s="12"/>
      <c r="M4694" s="11" t="s">
        <v>8860</v>
      </c>
      <c r="N4694" s="5" t="s">
        <v>19057</v>
      </c>
      <c r="O4694" s="5" t="s">
        <v>564</v>
      </c>
      <c r="P4694" s="15"/>
      <c r="Q4694" s="15"/>
      <c r="R4694" s="422"/>
      <c r="S4694" s="15"/>
      <c r="T4694" s="15"/>
      <c r="U4694" s="15"/>
      <c r="V4694" s="15"/>
      <c r="W4694" s="15"/>
      <c r="X4694" s="15"/>
      <c r="Y4694" s="15"/>
      <c r="Z4694" s="15"/>
      <c r="AA4694" s="15"/>
    </row>
    <row r="4695">
      <c r="A4695" s="5" t="s">
        <v>19054</v>
      </c>
      <c r="B4695" s="292" t="str">
        <f>HYPERLINK("https://akshar-exim-company-pvt-ltd.odoo.com/web#id=22069&amp;action=152&amp;model=crm.lead&amp;view_type=form&amp;menu_id=111","C2011221")</f>
        <v>C2011221</v>
      </c>
      <c r="C4695" s="41" t="s">
        <v>17275</v>
      </c>
      <c r="D4695" s="41"/>
      <c r="E4695" s="41" t="s">
        <v>19058</v>
      </c>
      <c r="F4695" s="90">
        <v>1.0</v>
      </c>
      <c r="G4695" s="321"/>
      <c r="H4695" s="11" t="s">
        <v>44</v>
      </c>
      <c r="I4695" s="276"/>
      <c r="J4695" s="11" t="s">
        <v>25</v>
      </c>
      <c r="K4695" s="13"/>
      <c r="L4695" s="13"/>
      <c r="M4695" s="14"/>
      <c r="N4695" s="15"/>
      <c r="O4695" s="5" t="s">
        <v>10708</v>
      </c>
      <c r="P4695" s="15"/>
      <c r="Q4695" s="15"/>
      <c r="R4695" s="422"/>
      <c r="S4695" s="15"/>
      <c r="T4695" s="15"/>
      <c r="U4695" s="15"/>
      <c r="V4695" s="15"/>
      <c r="W4695" s="15"/>
      <c r="X4695" s="15"/>
      <c r="Y4695" s="15"/>
      <c r="Z4695" s="15"/>
      <c r="AA4695" s="15"/>
    </row>
    <row r="4696">
      <c r="A4696" s="5" t="s">
        <v>19054</v>
      </c>
      <c r="B4696" s="292" t="str">
        <f>HYPERLINK("https://akshar-exim-company-pvt-ltd.odoo.com/web#id=22066&amp;action=152&amp;model=crm.lead&amp;view_type=form&amp;menu_id=111","C2011220")</f>
        <v>C2011220</v>
      </c>
      <c r="C4696" s="41" t="s">
        <v>19059</v>
      </c>
      <c r="D4696" s="405"/>
      <c r="E4696" s="405" t="s">
        <v>13557</v>
      </c>
      <c r="F4696" s="90">
        <v>50.0</v>
      </c>
      <c r="G4696" s="430"/>
      <c r="H4696" s="41" t="s">
        <v>19060</v>
      </c>
      <c r="I4696" s="423"/>
      <c r="J4696" s="14"/>
      <c r="K4696" s="13"/>
      <c r="L4696" s="13"/>
      <c r="M4696" s="14"/>
      <c r="N4696" s="15"/>
      <c r="O4696" s="5" t="s">
        <v>10708</v>
      </c>
      <c r="P4696" s="15"/>
      <c r="Q4696" s="15"/>
      <c r="R4696" s="422"/>
      <c r="S4696" s="15"/>
      <c r="T4696" s="15"/>
      <c r="U4696" s="15"/>
      <c r="V4696" s="15"/>
      <c r="W4696" s="15"/>
      <c r="X4696" s="15"/>
      <c r="Y4696" s="15"/>
      <c r="Z4696" s="15"/>
      <c r="AA4696" s="15"/>
    </row>
    <row r="4697">
      <c r="A4697" s="5" t="s">
        <v>19054</v>
      </c>
      <c r="B4697" s="292" t="str">
        <f>HYPERLINK("https://akshar-exim-company-pvt-ltd.odoo.com/web#id=22058&amp;action=152&amp;model=crm.lead&amp;view_type=form&amp;menu_id=111","C2011219")</f>
        <v>C2011219</v>
      </c>
      <c r="C4697" s="41" t="s">
        <v>19061</v>
      </c>
      <c r="D4697" s="41"/>
      <c r="E4697" s="41" t="s">
        <v>16923</v>
      </c>
      <c r="F4697" s="90">
        <v>1.0</v>
      </c>
      <c r="G4697" s="321"/>
      <c r="H4697" s="11" t="s">
        <v>44</v>
      </c>
      <c r="I4697" s="276"/>
      <c r="J4697" s="11" t="s">
        <v>25</v>
      </c>
      <c r="K4697" s="13"/>
      <c r="L4697" s="13"/>
      <c r="M4697" s="14"/>
      <c r="N4697" s="15"/>
      <c r="O4697" s="5" t="s">
        <v>10708</v>
      </c>
      <c r="P4697" s="15"/>
      <c r="Q4697" s="15"/>
      <c r="R4697" s="422"/>
      <c r="S4697" s="15"/>
      <c r="T4697" s="15"/>
      <c r="U4697" s="15"/>
      <c r="V4697" s="15"/>
      <c r="W4697" s="15"/>
      <c r="X4697" s="15"/>
      <c r="Y4697" s="15"/>
      <c r="Z4697" s="15"/>
      <c r="AA4697" s="15"/>
    </row>
    <row r="4698">
      <c r="A4698" s="5" t="s">
        <v>19054</v>
      </c>
      <c r="B4698" s="292" t="str">
        <f>HYPERLINK("https://akshar-exim-company-pvt-ltd.odoo.com/web#id=22054&amp;action=152&amp;model=crm.lead&amp;view_type=form&amp;menu_id=111","C2011218")</f>
        <v>C2011218</v>
      </c>
      <c r="C4698" s="41" t="s">
        <v>19062</v>
      </c>
      <c r="D4698" s="41"/>
      <c r="E4698" s="41" t="s">
        <v>19063</v>
      </c>
      <c r="F4698" s="90">
        <v>1.0</v>
      </c>
      <c r="G4698" s="430"/>
      <c r="H4698" s="41" t="s">
        <v>19064</v>
      </c>
      <c r="I4698" s="276"/>
      <c r="J4698" s="11" t="s">
        <v>25</v>
      </c>
      <c r="K4698" s="13"/>
      <c r="L4698" s="13"/>
      <c r="M4698" s="14"/>
      <c r="N4698" s="15"/>
      <c r="O4698" s="5" t="s">
        <v>10708</v>
      </c>
      <c r="P4698" s="15"/>
      <c r="Q4698" s="15"/>
      <c r="R4698" s="422"/>
      <c r="S4698" s="15"/>
      <c r="T4698" s="15"/>
      <c r="U4698" s="15"/>
      <c r="V4698" s="15"/>
      <c r="W4698" s="15"/>
      <c r="X4698" s="15"/>
      <c r="Y4698" s="15"/>
      <c r="Z4698" s="15"/>
      <c r="AA4698" s="15"/>
    </row>
    <row r="4699">
      <c r="A4699" s="5" t="s">
        <v>19054</v>
      </c>
      <c r="B4699" s="292" t="str">
        <f>HYPERLINK("https://akshar-exim-company-pvt-ltd.odoo.com/web#id=22048&amp;action=152&amp;model=crm.lead&amp;view_type=form&amp;menu_id=111","C2011217")</f>
        <v>C2011217</v>
      </c>
      <c r="C4699" s="41" t="s">
        <v>19065</v>
      </c>
      <c r="D4699" s="41"/>
      <c r="E4699" s="41" t="s">
        <v>152</v>
      </c>
      <c r="F4699" s="90">
        <v>50.0</v>
      </c>
      <c r="G4699" s="430"/>
      <c r="H4699" s="41" t="s">
        <v>19066</v>
      </c>
      <c r="I4699" s="423"/>
      <c r="J4699" s="14"/>
      <c r="K4699" s="13"/>
      <c r="L4699" s="13"/>
      <c r="M4699" s="14"/>
      <c r="N4699" s="15"/>
      <c r="O4699" s="5" t="s">
        <v>10708</v>
      </c>
      <c r="P4699" s="15"/>
      <c r="Q4699" s="15"/>
      <c r="R4699" s="422"/>
      <c r="S4699" s="15"/>
      <c r="T4699" s="15"/>
      <c r="U4699" s="15"/>
      <c r="V4699" s="15"/>
      <c r="W4699" s="15"/>
      <c r="X4699" s="15"/>
      <c r="Y4699" s="15"/>
      <c r="Z4699" s="15"/>
      <c r="AA4699" s="15"/>
    </row>
    <row r="4700">
      <c r="A4700" s="5" t="s">
        <v>19054</v>
      </c>
      <c r="B4700" s="292" t="str">
        <f>HYPERLINK("https://akshar-exim-company-pvt-ltd.odoo.com/web#id=22046&amp;action=152&amp;model=crm.lead&amp;view_type=form&amp;menu_id=111","C2011216")</f>
        <v>C2011216</v>
      </c>
      <c r="C4700" s="41" t="s">
        <v>19067</v>
      </c>
      <c r="D4700" s="41"/>
      <c r="E4700" s="41" t="s">
        <v>19068</v>
      </c>
      <c r="F4700" s="90">
        <v>5.0</v>
      </c>
      <c r="G4700" s="430"/>
      <c r="H4700" s="41" t="s">
        <v>18358</v>
      </c>
      <c r="I4700" s="276"/>
      <c r="J4700" s="11" t="s">
        <v>25</v>
      </c>
      <c r="K4700" s="13"/>
      <c r="L4700" s="13"/>
      <c r="M4700" s="14"/>
      <c r="N4700" s="15"/>
      <c r="O4700" s="5" t="s">
        <v>10708</v>
      </c>
      <c r="P4700" s="15"/>
      <c r="Q4700" s="15"/>
      <c r="R4700" s="422"/>
      <c r="S4700" s="15"/>
      <c r="T4700" s="15"/>
      <c r="U4700" s="15"/>
      <c r="V4700" s="15"/>
      <c r="W4700" s="15"/>
      <c r="X4700" s="15"/>
      <c r="Y4700" s="15"/>
      <c r="Z4700" s="15"/>
      <c r="AA4700" s="15"/>
    </row>
    <row r="4701">
      <c r="A4701" s="5" t="s">
        <v>19054</v>
      </c>
      <c r="B4701" s="292" t="str">
        <f>HYPERLINK("https://akshar-exim-company-pvt-ltd.odoo.com/web#id=22051&amp;action=152&amp;model=crm.lead&amp;view_type=form&amp;menu_id=111","C2011215")</f>
        <v>C2011215</v>
      </c>
      <c r="C4701" s="41" t="s">
        <v>16545</v>
      </c>
      <c r="D4701" s="405"/>
      <c r="E4701" s="405" t="s">
        <v>19069</v>
      </c>
      <c r="F4701" s="90">
        <v>1000.0</v>
      </c>
      <c r="G4701" s="430"/>
      <c r="H4701" s="41" t="s">
        <v>19070</v>
      </c>
      <c r="I4701" s="276"/>
      <c r="J4701" s="11" t="s">
        <v>19071</v>
      </c>
      <c r="K4701" s="13"/>
      <c r="L4701" s="13"/>
      <c r="M4701" s="14"/>
      <c r="N4701" s="15"/>
      <c r="O4701" s="5" t="s">
        <v>17993</v>
      </c>
      <c r="P4701" s="15"/>
      <c r="Q4701" s="15"/>
      <c r="R4701" s="422"/>
      <c r="S4701" s="15"/>
      <c r="T4701" s="15"/>
      <c r="U4701" s="15"/>
      <c r="V4701" s="15"/>
      <c r="W4701" s="15"/>
      <c r="X4701" s="15"/>
      <c r="Y4701" s="15"/>
      <c r="Z4701" s="15"/>
      <c r="AA4701" s="15"/>
    </row>
    <row r="4702">
      <c r="A4702" s="5" t="s">
        <v>19054</v>
      </c>
      <c r="B4702" s="292" t="str">
        <f>HYPERLINK("https://akshar-exim-company-pvt-ltd.odoo.com/web#id=22050&amp;action=152&amp;model=crm.lead&amp;view_type=form&amp;menu_id=111","C2011214")</f>
        <v>C2011214</v>
      </c>
      <c r="C4702" s="41" t="s">
        <v>19072</v>
      </c>
      <c r="D4702" s="41"/>
      <c r="E4702" s="41" t="s">
        <v>9682</v>
      </c>
      <c r="F4702" s="90" t="s">
        <v>19073</v>
      </c>
      <c r="G4702" s="321"/>
      <c r="H4702" s="11" t="s">
        <v>19074</v>
      </c>
      <c r="I4702" s="276"/>
      <c r="J4702" s="11" t="s">
        <v>25</v>
      </c>
      <c r="K4702" s="13"/>
      <c r="L4702" s="13"/>
      <c r="M4702" s="14"/>
      <c r="N4702" s="15"/>
      <c r="O4702" s="5" t="s">
        <v>10708</v>
      </c>
      <c r="P4702" s="15"/>
      <c r="Q4702" s="15"/>
      <c r="R4702" s="422"/>
      <c r="S4702" s="15"/>
      <c r="T4702" s="15"/>
      <c r="U4702" s="15"/>
      <c r="V4702" s="15"/>
      <c r="W4702" s="15"/>
      <c r="X4702" s="15"/>
      <c r="Y4702" s="15"/>
      <c r="Z4702" s="15"/>
      <c r="AA4702" s="15"/>
    </row>
    <row r="4703">
      <c r="A4703" s="5" t="s">
        <v>19054</v>
      </c>
      <c r="B4703" s="292" t="str">
        <f>HYPERLINK("https://akshar-exim-company-pvt-ltd.odoo.com/web#id=22045&amp;action=152&amp;model=crm.lead&amp;view_type=form&amp;menu_id=111","C2011213")</f>
        <v>C2011213</v>
      </c>
      <c r="C4703" s="41" t="s">
        <v>19075</v>
      </c>
      <c r="D4703" s="405"/>
      <c r="E4703" s="405" t="s">
        <v>3686</v>
      </c>
      <c r="F4703" s="90">
        <v>1000.0</v>
      </c>
      <c r="G4703" s="321"/>
      <c r="H4703" s="11" t="s">
        <v>18918</v>
      </c>
      <c r="I4703" s="423"/>
      <c r="J4703" s="14"/>
      <c r="K4703" s="12"/>
      <c r="L4703" s="12"/>
      <c r="M4703" s="11" t="s">
        <v>19076</v>
      </c>
      <c r="N4703" s="5" t="s">
        <v>19077</v>
      </c>
      <c r="O4703" s="5" t="s">
        <v>17993</v>
      </c>
      <c r="P4703" s="15"/>
      <c r="Q4703" s="15"/>
      <c r="R4703" s="422"/>
      <c r="S4703" s="15"/>
      <c r="T4703" s="15"/>
      <c r="U4703" s="15"/>
      <c r="V4703" s="15"/>
      <c r="W4703" s="15"/>
      <c r="X4703" s="15"/>
      <c r="Y4703" s="15"/>
      <c r="Z4703" s="15"/>
      <c r="AA4703" s="15"/>
    </row>
    <row r="4704">
      <c r="A4704" s="5" t="s">
        <v>19054</v>
      </c>
      <c r="B4704" s="292" t="str">
        <f>HYPERLINK("https://akshar-exim-company-pvt-ltd.odoo.com/web#id=22041&amp;action=152&amp;model=crm.lead&amp;view_type=form&amp;menu_id=111","C2011212")</f>
        <v>C2011212</v>
      </c>
      <c r="C4704" s="41" t="s">
        <v>10900</v>
      </c>
      <c r="D4704" s="11"/>
      <c r="E4704" s="11" t="s">
        <v>19078</v>
      </c>
      <c r="F4704" s="90">
        <v>100.0</v>
      </c>
      <c r="G4704" s="430"/>
      <c r="H4704" s="41" t="s">
        <v>19079</v>
      </c>
      <c r="I4704" s="276"/>
      <c r="J4704" s="11" t="s">
        <v>25</v>
      </c>
      <c r="K4704" s="13"/>
      <c r="L4704" s="13"/>
      <c r="M4704" s="14"/>
      <c r="N4704" s="15"/>
      <c r="O4704" s="5" t="s">
        <v>10708</v>
      </c>
      <c r="P4704" s="15"/>
      <c r="Q4704" s="15"/>
      <c r="R4704" s="422"/>
      <c r="S4704" s="15"/>
      <c r="T4704" s="15"/>
      <c r="U4704" s="15"/>
      <c r="V4704" s="15"/>
      <c r="W4704" s="15"/>
      <c r="X4704" s="15"/>
      <c r="Y4704" s="15"/>
      <c r="Z4704" s="15"/>
      <c r="AA4704" s="15"/>
    </row>
    <row r="4705">
      <c r="A4705" s="5" t="s">
        <v>19054</v>
      </c>
      <c r="B4705" s="292" t="str">
        <f>HYPERLINK("https://akshar-exim-company-pvt-ltd.odoo.com/web#id=22036&amp;action=152&amp;model=crm.lead&amp;view_type=form&amp;menu_id=111","C2011211")</f>
        <v>C2011211</v>
      </c>
      <c r="C4705" s="41" t="s">
        <v>3917</v>
      </c>
      <c r="D4705" s="41"/>
      <c r="E4705" s="41" t="s">
        <v>19080</v>
      </c>
      <c r="F4705" s="90">
        <v>5000.0</v>
      </c>
      <c r="G4705" s="430"/>
      <c r="H4705" s="41" t="s">
        <v>19081</v>
      </c>
      <c r="I4705" s="423"/>
      <c r="J4705" s="14"/>
      <c r="K4705" s="12"/>
      <c r="L4705" s="12"/>
      <c r="M4705" s="11" t="s">
        <v>7718</v>
      </c>
      <c r="N4705" s="5" t="s">
        <v>19082</v>
      </c>
      <c r="O4705" s="5" t="s">
        <v>13963</v>
      </c>
      <c r="P4705" s="15"/>
      <c r="Q4705" s="15"/>
      <c r="R4705" s="422"/>
      <c r="S4705" s="15"/>
      <c r="T4705" s="15"/>
      <c r="U4705" s="15"/>
      <c r="V4705" s="15"/>
      <c r="W4705" s="15"/>
      <c r="X4705" s="15"/>
      <c r="Y4705" s="15"/>
      <c r="Z4705" s="15"/>
      <c r="AA4705" s="15"/>
    </row>
    <row r="4706">
      <c r="A4706" s="5" t="s">
        <v>19054</v>
      </c>
      <c r="B4706" s="292" t="str">
        <f>HYPERLINK("https://akshar-exim-company-pvt-ltd.odoo.com/web#id=22025&amp;action=152&amp;model=crm.lead&amp;view_type=form&amp;menu_id=111","C2011210")</f>
        <v>C2011210</v>
      </c>
      <c r="C4706" s="41" t="s">
        <v>19083</v>
      </c>
      <c r="D4706" s="41"/>
      <c r="E4706" s="41" t="s">
        <v>3073</v>
      </c>
      <c r="F4706" s="90">
        <v>50.0</v>
      </c>
      <c r="G4706" s="430"/>
      <c r="H4706" s="41" t="s">
        <v>12702</v>
      </c>
      <c r="I4706" s="97"/>
      <c r="J4706" s="41" t="s">
        <v>18182</v>
      </c>
      <c r="K4706" s="13"/>
      <c r="L4706" s="13"/>
      <c r="M4706" s="14"/>
      <c r="N4706" s="15"/>
      <c r="O4706" s="5" t="s">
        <v>10708</v>
      </c>
      <c r="P4706" s="15"/>
      <c r="Q4706" s="15"/>
      <c r="R4706" s="422"/>
      <c r="S4706" s="15"/>
      <c r="T4706" s="15"/>
      <c r="U4706" s="15"/>
      <c r="V4706" s="15"/>
      <c r="W4706" s="15"/>
      <c r="X4706" s="15"/>
      <c r="Y4706" s="15"/>
      <c r="Z4706" s="15"/>
      <c r="AA4706" s="15"/>
    </row>
    <row r="4707">
      <c r="A4707" s="5" t="s">
        <v>19054</v>
      </c>
      <c r="B4707" s="292" t="str">
        <f>HYPERLINK("https://akshar-exim-company-pvt-ltd.odoo.com/web#id=22024&amp;action=152&amp;model=crm.lead&amp;view_type=form&amp;menu_id=111","C2011209")</f>
        <v>C2011209</v>
      </c>
      <c r="C4707" s="435" t="s">
        <v>19084</v>
      </c>
      <c r="D4707" s="436"/>
      <c r="E4707" s="436" t="s">
        <v>19085</v>
      </c>
      <c r="F4707" s="433"/>
      <c r="G4707" s="434"/>
      <c r="H4707" s="14"/>
      <c r="I4707" s="423"/>
      <c r="J4707" s="14"/>
      <c r="K4707" s="13"/>
      <c r="L4707" s="13"/>
      <c r="M4707" s="14"/>
      <c r="N4707" s="15"/>
      <c r="O4707" s="15"/>
      <c r="P4707" s="15"/>
      <c r="Q4707" s="15"/>
      <c r="R4707" s="422"/>
      <c r="S4707" s="15"/>
      <c r="T4707" s="15"/>
      <c r="U4707" s="15"/>
      <c r="V4707" s="15"/>
      <c r="W4707" s="15"/>
      <c r="X4707" s="15"/>
      <c r="Y4707" s="15"/>
      <c r="Z4707" s="15"/>
      <c r="AA4707" s="15"/>
    </row>
    <row r="4708">
      <c r="A4708" s="5" t="s">
        <v>19054</v>
      </c>
      <c r="B4708" s="292" t="str">
        <f>HYPERLINK("https://akshar-exim-company-pvt-ltd.odoo.com/web#id=22028&amp;action=152&amp;model=crm.lead&amp;view_type=form&amp;menu_id=111","C2011208")</f>
        <v>C2011208</v>
      </c>
      <c r="C4708" s="41" t="s">
        <v>19086</v>
      </c>
      <c r="D4708" s="41"/>
      <c r="E4708" s="41" t="s">
        <v>116</v>
      </c>
      <c r="F4708" s="90">
        <v>100.0</v>
      </c>
      <c r="G4708" s="430"/>
      <c r="H4708" s="41" t="s">
        <v>19087</v>
      </c>
      <c r="I4708" s="276"/>
      <c r="J4708" s="11" t="s">
        <v>4008</v>
      </c>
      <c r="K4708" s="13"/>
      <c r="L4708" s="13"/>
      <c r="M4708" s="14"/>
      <c r="N4708" s="15"/>
      <c r="O4708" s="5" t="s">
        <v>10708</v>
      </c>
      <c r="P4708" s="15"/>
      <c r="Q4708" s="15"/>
      <c r="R4708" s="422"/>
      <c r="S4708" s="15"/>
      <c r="T4708" s="15"/>
      <c r="U4708" s="15"/>
      <c r="V4708" s="15"/>
      <c r="W4708" s="15"/>
      <c r="X4708" s="15"/>
      <c r="Y4708" s="15"/>
      <c r="Z4708" s="15"/>
      <c r="AA4708" s="15"/>
    </row>
    <row r="4709">
      <c r="A4709" s="5" t="s">
        <v>19054</v>
      </c>
      <c r="B4709" s="292" t="str">
        <f>HYPERLINK("https://akshar-exim-company-pvt-ltd.odoo.com/web#id=22029&amp;action=152&amp;model=crm.lead&amp;view_type=form&amp;menu_id=111","C2011207")</f>
        <v>C2011207</v>
      </c>
      <c r="C4709" s="41" t="s">
        <v>19088</v>
      </c>
      <c r="D4709" s="41"/>
      <c r="E4709" s="41" t="s">
        <v>16165</v>
      </c>
      <c r="F4709" s="90">
        <v>2.0</v>
      </c>
      <c r="G4709" s="321"/>
      <c r="H4709" s="11" t="s">
        <v>158</v>
      </c>
      <c r="I4709" s="276"/>
      <c r="J4709" s="11" t="s">
        <v>25</v>
      </c>
      <c r="K4709" s="13"/>
      <c r="L4709" s="13"/>
      <c r="M4709" s="14"/>
      <c r="N4709" s="15"/>
      <c r="O4709" s="5" t="s">
        <v>10708</v>
      </c>
      <c r="P4709" s="15"/>
      <c r="Q4709" s="15"/>
      <c r="R4709" s="422"/>
      <c r="S4709" s="15"/>
      <c r="T4709" s="15"/>
      <c r="U4709" s="15"/>
      <c r="V4709" s="15"/>
      <c r="W4709" s="15"/>
      <c r="X4709" s="15"/>
      <c r="Y4709" s="15"/>
      <c r="Z4709" s="15"/>
      <c r="AA4709" s="15"/>
    </row>
    <row r="4710">
      <c r="A4710" s="5" t="s">
        <v>19054</v>
      </c>
      <c r="B4710" s="292" t="str">
        <f>HYPERLINK("https://akshar-exim-company-pvt-ltd.odoo.com/web#id=22037&amp;action=152&amp;model=crm.lead&amp;view_type=form&amp;menu_id=111","C2011206")</f>
        <v>C2011206</v>
      </c>
      <c r="C4710" s="41" t="s">
        <v>19089</v>
      </c>
      <c r="D4710" s="405"/>
      <c r="E4710" s="405" t="s">
        <v>19090</v>
      </c>
      <c r="F4710" s="433"/>
      <c r="G4710" s="434"/>
      <c r="H4710" s="14"/>
      <c r="I4710" s="423"/>
      <c r="J4710" s="14"/>
      <c r="K4710" s="13"/>
      <c r="L4710" s="13"/>
      <c r="M4710" s="14"/>
      <c r="N4710" s="15"/>
      <c r="O4710" s="15"/>
      <c r="P4710" s="15"/>
      <c r="Q4710" s="15"/>
      <c r="R4710" s="422"/>
      <c r="S4710" s="15"/>
      <c r="T4710" s="15"/>
      <c r="U4710" s="15"/>
      <c r="V4710" s="15"/>
      <c r="W4710" s="15"/>
      <c r="X4710" s="15"/>
      <c r="Y4710" s="15"/>
      <c r="Z4710" s="15"/>
      <c r="AA4710" s="15"/>
    </row>
    <row r="4711">
      <c r="A4711" s="5" t="s">
        <v>19054</v>
      </c>
      <c r="B4711" s="292" t="str">
        <f>HYPERLINK("https://akshar-exim-company-pvt-ltd.odoo.com/web#id=22016&amp;action=152&amp;model=crm.lead&amp;view_type=form&amp;menu_id=111","C2011205")</f>
        <v>C2011205</v>
      </c>
      <c r="C4711" s="41" t="s">
        <v>19091</v>
      </c>
      <c r="D4711" s="41"/>
      <c r="E4711" s="41" t="s">
        <v>19092</v>
      </c>
      <c r="F4711" s="433"/>
      <c r="G4711" s="434"/>
      <c r="H4711" s="14"/>
      <c r="I4711" s="423"/>
      <c r="J4711" s="14"/>
      <c r="K4711" s="13"/>
      <c r="L4711" s="13"/>
      <c r="M4711" s="14"/>
      <c r="N4711" s="15"/>
      <c r="O4711" s="15"/>
      <c r="P4711" s="15"/>
      <c r="Q4711" s="15"/>
      <c r="R4711" s="422"/>
      <c r="S4711" s="15"/>
      <c r="T4711" s="15"/>
      <c r="U4711" s="15"/>
      <c r="V4711" s="15"/>
      <c r="W4711" s="15"/>
      <c r="X4711" s="15"/>
      <c r="Y4711" s="15"/>
      <c r="Z4711" s="15"/>
      <c r="AA4711" s="15"/>
    </row>
    <row r="4712">
      <c r="A4712" s="5" t="s">
        <v>19054</v>
      </c>
      <c r="B4712" s="292" t="str">
        <f>HYPERLINK("https://akshar-exim-company-pvt-ltd.odoo.com/web#id=22014&amp;action=152&amp;model=crm.lead&amp;view_type=form&amp;menu_id=111","C2011204")</f>
        <v>C2011204</v>
      </c>
      <c r="C4712" s="41" t="s">
        <v>19093</v>
      </c>
      <c r="D4712" s="41"/>
      <c r="E4712" s="41" t="s">
        <v>4171</v>
      </c>
      <c r="F4712" s="90" t="s">
        <v>19094</v>
      </c>
      <c r="G4712" s="430"/>
      <c r="H4712" s="41" t="s">
        <v>18358</v>
      </c>
      <c r="I4712" s="276"/>
      <c r="J4712" s="11" t="s">
        <v>25</v>
      </c>
      <c r="K4712" s="12"/>
      <c r="L4712" s="12"/>
      <c r="M4712" s="11" t="s">
        <v>15932</v>
      </c>
      <c r="N4712" s="5" t="s">
        <v>19095</v>
      </c>
      <c r="O4712" s="5" t="s">
        <v>17993</v>
      </c>
      <c r="P4712" s="15"/>
      <c r="Q4712" s="15"/>
      <c r="R4712" s="422"/>
      <c r="S4712" s="15"/>
      <c r="T4712" s="15"/>
      <c r="U4712" s="15"/>
      <c r="V4712" s="15"/>
      <c r="W4712" s="15"/>
      <c r="X4712" s="15"/>
      <c r="Y4712" s="15"/>
      <c r="Z4712" s="15"/>
      <c r="AA4712" s="15"/>
    </row>
    <row r="4713">
      <c r="A4713" s="5" t="s">
        <v>19054</v>
      </c>
      <c r="B4713" s="292" t="str">
        <f>HYPERLINK("https://akshar-exim-company-pvt-ltd.odoo.com/web#id=22012&amp;action=152&amp;model=crm.lead&amp;view_type=form&amp;menu_id=111","C2011203")</f>
        <v>C2011203</v>
      </c>
      <c r="C4713" s="41" t="s">
        <v>19096</v>
      </c>
      <c r="D4713" s="11"/>
      <c r="E4713" s="11" t="s">
        <v>19097</v>
      </c>
      <c r="F4713" s="90" t="s">
        <v>19098</v>
      </c>
      <c r="G4713" s="321"/>
      <c r="H4713" s="11" t="s">
        <v>3216</v>
      </c>
      <c r="I4713" s="276"/>
      <c r="J4713" s="11" t="s">
        <v>19099</v>
      </c>
      <c r="K4713" s="12"/>
      <c r="L4713" s="12"/>
      <c r="M4713" s="11" t="s">
        <v>19100</v>
      </c>
      <c r="N4713" s="5" t="s">
        <v>19101</v>
      </c>
      <c r="O4713" s="5" t="s">
        <v>10708</v>
      </c>
      <c r="P4713" s="15"/>
      <c r="Q4713" s="15"/>
      <c r="R4713" s="422"/>
      <c r="S4713" s="15"/>
      <c r="T4713" s="15"/>
      <c r="U4713" s="15"/>
      <c r="V4713" s="15"/>
      <c r="W4713" s="15"/>
      <c r="X4713" s="15"/>
      <c r="Y4713" s="15"/>
      <c r="Z4713" s="15"/>
      <c r="AA4713" s="15"/>
    </row>
    <row r="4714">
      <c r="A4714" s="5" t="s">
        <v>19054</v>
      </c>
      <c r="B4714" s="292" t="str">
        <f>HYPERLINK("https://akshar-exim-company-pvt-ltd.odoo.com/web#id=22010&amp;action=152&amp;model=crm.lead&amp;view_type=form&amp;menu_id=111","C2011202")</f>
        <v>C2011202</v>
      </c>
      <c r="C4714" s="41" t="s">
        <v>19102</v>
      </c>
      <c r="D4714" s="405"/>
      <c r="E4714" s="405" t="s">
        <v>12191</v>
      </c>
      <c r="F4714" s="433"/>
      <c r="G4714" s="434"/>
      <c r="H4714" s="14"/>
      <c r="I4714" s="423"/>
      <c r="J4714" s="14"/>
      <c r="K4714" s="13"/>
      <c r="L4714" s="13"/>
      <c r="M4714" s="14"/>
      <c r="N4714" s="15"/>
      <c r="O4714" s="15"/>
      <c r="P4714" s="15"/>
      <c r="Q4714" s="15"/>
      <c r="R4714" s="422"/>
      <c r="S4714" s="15"/>
      <c r="T4714" s="15"/>
      <c r="U4714" s="15"/>
      <c r="V4714" s="15"/>
      <c r="W4714" s="15"/>
      <c r="X4714" s="15"/>
      <c r="Y4714" s="15"/>
      <c r="Z4714" s="15"/>
      <c r="AA4714" s="15"/>
    </row>
    <row r="4715">
      <c r="A4715" s="5" t="s">
        <v>19054</v>
      </c>
      <c r="B4715" s="292" t="str">
        <f>HYPERLINK("https://akshar-exim-company-pvt-ltd.odoo.com/web#id=22008&amp;action=152&amp;model=crm.lead&amp;view_type=form&amp;menu_id=111","C2011201")</f>
        <v>C2011201</v>
      </c>
      <c r="C4715" s="41" t="s">
        <v>19103</v>
      </c>
      <c r="D4715" s="41"/>
      <c r="E4715" s="41" t="s">
        <v>1749</v>
      </c>
      <c r="F4715" s="90">
        <v>5.0</v>
      </c>
      <c r="G4715" s="321"/>
      <c r="H4715" s="11" t="s">
        <v>44</v>
      </c>
      <c r="I4715" s="276"/>
      <c r="J4715" s="11" t="s">
        <v>25</v>
      </c>
      <c r="K4715" s="13"/>
      <c r="L4715" s="13"/>
      <c r="M4715" s="14"/>
      <c r="N4715" s="15"/>
      <c r="O4715" s="5" t="s">
        <v>10708</v>
      </c>
      <c r="P4715" s="15"/>
      <c r="Q4715" s="15"/>
      <c r="R4715" s="422"/>
      <c r="S4715" s="15"/>
      <c r="T4715" s="15"/>
      <c r="U4715" s="15"/>
      <c r="V4715" s="15"/>
      <c r="W4715" s="15"/>
      <c r="X4715" s="15"/>
      <c r="Y4715" s="15"/>
      <c r="Z4715" s="15"/>
      <c r="AA4715" s="15"/>
    </row>
    <row r="4716">
      <c r="A4716" s="5" t="s">
        <v>19054</v>
      </c>
      <c r="B4716" s="292" t="str">
        <f>HYPERLINK("https://akshar-exim-company-pvt-ltd.odoo.com/web#id=22006&amp;action=152&amp;model=crm.lead&amp;view_type=form&amp;menu_id=111","C2011200")</f>
        <v>C2011200</v>
      </c>
      <c r="C4716" s="41" t="s">
        <v>19104</v>
      </c>
      <c r="D4716" s="405"/>
      <c r="E4716" s="405" t="s">
        <v>11279</v>
      </c>
      <c r="F4716" s="9">
        <v>10000.0</v>
      </c>
      <c r="G4716" s="321"/>
      <c r="H4716" s="11" t="s">
        <v>107</v>
      </c>
      <c r="I4716" s="276"/>
      <c r="J4716" s="11" t="s">
        <v>7109</v>
      </c>
      <c r="K4716" s="13"/>
      <c r="L4716" s="13"/>
      <c r="M4716" s="14"/>
      <c r="N4716" s="15"/>
      <c r="O4716" s="5" t="s">
        <v>17993</v>
      </c>
      <c r="P4716" s="15"/>
      <c r="Q4716" s="15"/>
      <c r="R4716" s="422"/>
      <c r="S4716" s="15"/>
      <c r="T4716" s="15"/>
      <c r="U4716" s="15"/>
      <c r="V4716" s="15"/>
      <c r="W4716" s="15"/>
      <c r="X4716" s="15"/>
      <c r="Y4716" s="15"/>
      <c r="Z4716" s="15"/>
      <c r="AA4716" s="15"/>
    </row>
    <row r="4717">
      <c r="A4717" s="5" t="s">
        <v>19054</v>
      </c>
      <c r="B4717" s="292" t="str">
        <f>HYPERLINK("https://akshar-exim-company-pvt-ltd.odoo.com/web#id=22003&amp;action=152&amp;model=crm.lead&amp;view_type=form&amp;menu_id=111","C2011199")</f>
        <v>C2011199</v>
      </c>
      <c r="C4717" s="41" t="s">
        <v>19105</v>
      </c>
      <c r="D4717" s="11"/>
      <c r="E4717" s="11" t="s">
        <v>152</v>
      </c>
      <c r="F4717" s="9">
        <v>5000000.0</v>
      </c>
      <c r="G4717" s="430"/>
      <c r="H4717" s="41" t="s">
        <v>19106</v>
      </c>
      <c r="I4717" s="276"/>
      <c r="J4717" s="11" t="s">
        <v>25</v>
      </c>
      <c r="K4717" s="12"/>
      <c r="L4717" s="12"/>
      <c r="M4717" s="11" t="s">
        <v>9776</v>
      </c>
      <c r="N4717" s="5" t="s">
        <v>19107</v>
      </c>
      <c r="O4717" s="5" t="s">
        <v>17993</v>
      </c>
      <c r="P4717" s="15"/>
      <c r="Q4717" s="15"/>
      <c r="R4717" s="422"/>
      <c r="S4717" s="15"/>
      <c r="T4717" s="15"/>
      <c r="U4717" s="15"/>
      <c r="V4717" s="15"/>
      <c r="W4717" s="15"/>
      <c r="X4717" s="15"/>
      <c r="Y4717" s="15"/>
      <c r="Z4717" s="15"/>
      <c r="AA4717" s="15"/>
    </row>
    <row r="4718">
      <c r="A4718" s="5" t="s">
        <v>19108</v>
      </c>
      <c r="B4718" s="292" t="str">
        <f>HYPERLINK("https://akshar-exim-company-pvt-ltd.odoo.com/web#id=21995&amp;action=152&amp;model=crm.lead&amp;view_type=form&amp;menu_id=111","C2011198")</f>
        <v>C2011198</v>
      </c>
      <c r="C4718" s="41" t="s">
        <v>18315</v>
      </c>
      <c r="D4718" s="41"/>
      <c r="E4718" s="41" t="s">
        <v>11748</v>
      </c>
      <c r="F4718" s="90">
        <v>40.0</v>
      </c>
      <c r="G4718" s="430"/>
      <c r="H4718" s="41" t="s">
        <v>13327</v>
      </c>
      <c r="I4718" s="276"/>
      <c r="J4718" s="11" t="s">
        <v>12978</v>
      </c>
      <c r="K4718" s="13"/>
      <c r="L4718" s="13"/>
      <c r="M4718" s="14"/>
      <c r="N4718" s="15"/>
      <c r="O4718" s="5" t="s">
        <v>10708</v>
      </c>
      <c r="P4718" s="15"/>
      <c r="Q4718" s="15"/>
      <c r="R4718" s="422"/>
      <c r="S4718" s="15"/>
      <c r="T4718" s="15"/>
      <c r="U4718" s="15"/>
      <c r="V4718" s="15"/>
      <c r="W4718" s="15"/>
      <c r="X4718" s="15"/>
      <c r="Y4718" s="15"/>
      <c r="Z4718" s="15"/>
      <c r="AA4718" s="15"/>
    </row>
    <row r="4719">
      <c r="A4719" s="5" t="s">
        <v>19108</v>
      </c>
      <c r="B4719" s="292" t="str">
        <f>HYPERLINK("https://akshar-exim-company-pvt-ltd.odoo.com/web#id=21994&amp;action=152&amp;model=crm.lead&amp;view_type=form&amp;menu_id=111","C2011197")</f>
        <v>C2011197</v>
      </c>
      <c r="C4719" s="41" t="s">
        <v>19109</v>
      </c>
      <c r="D4719" s="41"/>
      <c r="E4719" s="41" t="s">
        <v>14677</v>
      </c>
      <c r="F4719" s="90">
        <v>100.0</v>
      </c>
      <c r="G4719" s="321"/>
      <c r="H4719" s="11" t="s">
        <v>44</v>
      </c>
      <c r="I4719" s="97"/>
      <c r="J4719" s="41" t="s">
        <v>18182</v>
      </c>
      <c r="K4719" s="13"/>
      <c r="L4719" s="13"/>
      <c r="M4719" s="14"/>
      <c r="N4719" s="15"/>
      <c r="O4719" s="5" t="s">
        <v>10708</v>
      </c>
      <c r="P4719" s="15"/>
      <c r="Q4719" s="15"/>
      <c r="R4719" s="422"/>
      <c r="S4719" s="15"/>
      <c r="T4719" s="15"/>
      <c r="U4719" s="15"/>
      <c r="V4719" s="15"/>
      <c r="W4719" s="15"/>
      <c r="X4719" s="15"/>
      <c r="Y4719" s="15"/>
      <c r="Z4719" s="15"/>
      <c r="AA4719" s="15"/>
    </row>
    <row r="4720">
      <c r="A4720" s="5" t="s">
        <v>19108</v>
      </c>
      <c r="B4720" s="292" t="str">
        <f>HYPERLINK("https://akshar-exim-company-pvt-ltd.odoo.com/web#id=21990&amp;action=152&amp;model=crm.lead&amp;view_type=form&amp;menu_id=111","C2011196")</f>
        <v>C2011196</v>
      </c>
      <c r="C4720" s="41" t="s">
        <v>19110</v>
      </c>
      <c r="D4720" s="41"/>
      <c r="E4720" s="41" t="s">
        <v>189</v>
      </c>
      <c r="F4720" s="90">
        <v>100.0</v>
      </c>
      <c r="G4720" s="321"/>
      <c r="H4720" s="11" t="s">
        <v>44</v>
      </c>
      <c r="I4720" s="276"/>
      <c r="J4720" s="11" t="s">
        <v>17976</v>
      </c>
      <c r="K4720" s="13"/>
      <c r="L4720" s="13"/>
      <c r="M4720" s="14"/>
      <c r="N4720" s="15"/>
      <c r="O4720" s="5" t="s">
        <v>10708</v>
      </c>
      <c r="P4720" s="15"/>
      <c r="Q4720" s="15"/>
      <c r="R4720" s="422"/>
      <c r="S4720" s="15"/>
      <c r="T4720" s="15"/>
      <c r="U4720" s="15"/>
      <c r="V4720" s="15"/>
      <c r="W4720" s="15"/>
      <c r="X4720" s="15"/>
      <c r="Y4720" s="15"/>
      <c r="Z4720" s="15"/>
      <c r="AA4720" s="15"/>
    </row>
    <row r="4721">
      <c r="A4721" s="5" t="s">
        <v>19108</v>
      </c>
      <c r="B4721" s="292" t="str">
        <f>HYPERLINK("https://akshar-exim-company-pvt-ltd.odoo.com/web#id=21988&amp;action=152&amp;model=crm.lead&amp;view_type=form&amp;menu_id=111","C2011195")</f>
        <v>C2011195</v>
      </c>
      <c r="C4721" s="41" t="s">
        <v>19111</v>
      </c>
      <c r="D4721" s="41"/>
      <c r="E4721" s="41" t="s">
        <v>1363</v>
      </c>
      <c r="F4721" s="90">
        <v>1000.0</v>
      </c>
      <c r="G4721" s="321"/>
      <c r="H4721" s="11" t="s">
        <v>906</v>
      </c>
      <c r="I4721" s="276"/>
      <c r="J4721" s="11" t="s">
        <v>25</v>
      </c>
      <c r="K4721" s="12"/>
      <c r="L4721" s="12"/>
      <c r="M4721" s="11" t="s">
        <v>12862</v>
      </c>
      <c r="N4721" s="5" t="s">
        <v>19112</v>
      </c>
      <c r="O4721" s="5" t="s">
        <v>17993</v>
      </c>
      <c r="P4721" s="15"/>
      <c r="Q4721" s="15"/>
      <c r="R4721" s="422"/>
      <c r="S4721" s="15"/>
      <c r="T4721" s="15"/>
      <c r="U4721" s="15"/>
      <c r="V4721" s="15"/>
      <c r="W4721" s="15"/>
      <c r="X4721" s="15"/>
      <c r="Y4721" s="15"/>
      <c r="Z4721" s="15"/>
      <c r="AA4721" s="15"/>
    </row>
    <row r="4722">
      <c r="A4722" s="5" t="s">
        <v>19108</v>
      </c>
      <c r="B4722" s="292" t="str">
        <f>HYPERLINK("https://akshar-exim-company-pvt-ltd.odoo.com/web#id=21962&amp;action=152&amp;model=crm.lead&amp;view_type=form&amp;menu_id=111","C2011194")</f>
        <v>C2011194</v>
      </c>
      <c r="C4722" s="41" t="s">
        <v>14501</v>
      </c>
      <c r="D4722" s="11"/>
      <c r="E4722" s="11" t="s">
        <v>718</v>
      </c>
      <c r="F4722" s="9">
        <v>100000.0</v>
      </c>
      <c r="G4722" s="321"/>
      <c r="H4722" s="11" t="s">
        <v>906</v>
      </c>
      <c r="I4722" s="276"/>
      <c r="J4722" s="11" t="s">
        <v>25</v>
      </c>
      <c r="K4722" s="12"/>
      <c r="L4722" s="12"/>
      <c r="M4722" s="11" t="s">
        <v>7965</v>
      </c>
      <c r="N4722" s="5" t="s">
        <v>19113</v>
      </c>
      <c r="O4722" s="5" t="s">
        <v>17993</v>
      </c>
      <c r="P4722" s="15"/>
      <c r="Q4722" s="15"/>
      <c r="R4722" s="422"/>
      <c r="S4722" s="15"/>
      <c r="T4722" s="15"/>
      <c r="U4722" s="15"/>
      <c r="V4722" s="15"/>
      <c r="W4722" s="15"/>
      <c r="X4722" s="15"/>
      <c r="Y4722" s="15"/>
      <c r="Z4722" s="15"/>
      <c r="AA4722" s="15"/>
    </row>
    <row r="4723">
      <c r="A4723" s="5" t="s">
        <v>19108</v>
      </c>
      <c r="B4723" s="292" t="str">
        <f>HYPERLINK("https://akshar-exim-company-pvt-ltd.odoo.com/web#id=21984&amp;action=152&amp;model=crm.lead&amp;view_type=form&amp;menu_id=111","C2011193")</f>
        <v>C2011193</v>
      </c>
      <c r="C4723" s="41" t="s">
        <v>19114</v>
      </c>
      <c r="D4723" s="41"/>
      <c r="E4723" s="41" t="s">
        <v>14677</v>
      </c>
      <c r="F4723" s="90">
        <v>100.0</v>
      </c>
      <c r="G4723" s="321"/>
      <c r="H4723" s="11" t="s">
        <v>1561</v>
      </c>
      <c r="I4723" s="276"/>
      <c r="J4723" s="11" t="s">
        <v>25</v>
      </c>
      <c r="K4723" s="13"/>
      <c r="L4723" s="13"/>
      <c r="M4723" s="14"/>
      <c r="N4723" s="15"/>
      <c r="O4723" s="5" t="s">
        <v>10708</v>
      </c>
      <c r="P4723" s="15"/>
      <c r="Q4723" s="15"/>
      <c r="R4723" s="422"/>
      <c r="S4723" s="15"/>
      <c r="T4723" s="15"/>
      <c r="U4723" s="15"/>
      <c r="V4723" s="15"/>
      <c r="W4723" s="15"/>
      <c r="X4723" s="15"/>
      <c r="Y4723" s="15"/>
      <c r="Z4723" s="15"/>
      <c r="AA4723" s="15"/>
    </row>
    <row r="4724">
      <c r="A4724" s="5" t="s">
        <v>19108</v>
      </c>
      <c r="B4724" s="292" t="str">
        <f>HYPERLINK("https://akshar-exim-company-pvt-ltd.odoo.com/web#id=21979&amp;action=152&amp;model=crm.lead&amp;view_type=form&amp;menu_id=111","C2011192")</f>
        <v>C2011192</v>
      </c>
      <c r="C4724" s="41" t="s">
        <v>19115</v>
      </c>
      <c r="D4724" s="41"/>
      <c r="E4724" s="41" t="s">
        <v>19116</v>
      </c>
      <c r="F4724" s="9">
        <v>100000.0</v>
      </c>
      <c r="G4724" s="430"/>
      <c r="H4724" s="41" t="s">
        <v>19117</v>
      </c>
      <c r="I4724" s="276"/>
      <c r="J4724" s="11" t="s">
        <v>17976</v>
      </c>
      <c r="K4724" s="12"/>
      <c r="L4724" s="12"/>
      <c r="M4724" s="11" t="s">
        <v>18489</v>
      </c>
      <c r="N4724" s="5" t="s">
        <v>19118</v>
      </c>
      <c r="O4724" s="5" t="s">
        <v>17993</v>
      </c>
      <c r="P4724" s="15"/>
      <c r="Q4724" s="15"/>
      <c r="R4724" s="422"/>
      <c r="S4724" s="15"/>
      <c r="T4724" s="15"/>
      <c r="U4724" s="15"/>
      <c r="V4724" s="15"/>
      <c r="W4724" s="15"/>
      <c r="X4724" s="15"/>
      <c r="Y4724" s="15"/>
      <c r="Z4724" s="15"/>
      <c r="AA4724" s="15"/>
    </row>
    <row r="4725">
      <c r="A4725" s="5" t="s">
        <v>19108</v>
      </c>
      <c r="B4725" s="292" t="str">
        <f>HYPERLINK("https://akshar-exim-company-pvt-ltd.odoo.com/web#id=21978&amp;action=152&amp;model=crm.lead&amp;view_type=form&amp;menu_id=111","C2011191")</f>
        <v>C2011191</v>
      </c>
      <c r="C4725" s="41" t="s">
        <v>1048</v>
      </c>
      <c r="D4725" s="11"/>
      <c r="E4725" s="11" t="s">
        <v>152</v>
      </c>
      <c r="F4725" s="90">
        <v>30.0</v>
      </c>
      <c r="G4725" s="321"/>
      <c r="H4725" s="11" t="s">
        <v>278</v>
      </c>
      <c r="I4725" s="276"/>
      <c r="J4725" s="11" t="s">
        <v>25</v>
      </c>
      <c r="K4725" s="13"/>
      <c r="L4725" s="13"/>
      <c r="M4725" s="14"/>
      <c r="N4725" s="15"/>
      <c r="O4725" s="5" t="s">
        <v>10708</v>
      </c>
      <c r="P4725" s="15"/>
      <c r="Q4725" s="15"/>
      <c r="R4725" s="422"/>
      <c r="S4725" s="15"/>
      <c r="T4725" s="15"/>
      <c r="U4725" s="15"/>
      <c r="V4725" s="15"/>
      <c r="W4725" s="15"/>
      <c r="X4725" s="15"/>
      <c r="Y4725" s="15"/>
      <c r="Z4725" s="15"/>
      <c r="AA4725" s="15"/>
    </row>
    <row r="4726">
      <c r="A4726" s="5" t="s">
        <v>19108</v>
      </c>
      <c r="B4726" s="292" t="str">
        <f>HYPERLINK("https://akshar-exim-company-pvt-ltd.odoo.com/web#id=21977&amp;action=152&amp;model=crm.lead&amp;view_type=form&amp;menu_id=111","C2011190")</f>
        <v>C2011190</v>
      </c>
      <c r="C4726" s="41" t="s">
        <v>19119</v>
      </c>
      <c r="D4726" s="41"/>
      <c r="E4726" s="41" t="s">
        <v>4240</v>
      </c>
      <c r="F4726" s="9">
        <v>15000.0</v>
      </c>
      <c r="G4726" s="430"/>
      <c r="H4726" s="41" t="s">
        <v>19120</v>
      </c>
      <c r="I4726" s="276"/>
      <c r="J4726" s="11" t="s">
        <v>17976</v>
      </c>
      <c r="K4726" s="12"/>
      <c r="L4726" s="12"/>
      <c r="M4726" s="11" t="s">
        <v>18785</v>
      </c>
      <c r="N4726" s="5" t="s">
        <v>19121</v>
      </c>
      <c r="O4726" s="5" t="s">
        <v>17993</v>
      </c>
      <c r="P4726" s="15"/>
      <c r="Q4726" s="15"/>
      <c r="R4726" s="422"/>
      <c r="S4726" s="15"/>
      <c r="T4726" s="15"/>
      <c r="U4726" s="15"/>
      <c r="V4726" s="15"/>
      <c r="W4726" s="15"/>
      <c r="X4726" s="15"/>
      <c r="Y4726" s="15"/>
      <c r="Z4726" s="15"/>
      <c r="AA4726" s="15"/>
    </row>
    <row r="4727">
      <c r="A4727" s="5" t="s">
        <v>19108</v>
      </c>
      <c r="B4727" s="292" t="str">
        <f>HYPERLINK("https://akshar-exim-company-pvt-ltd.odoo.com/web#id=21975&amp;action=152&amp;model=crm.lead&amp;view_type=form&amp;menu_id=111","C2011189")</f>
        <v>C2011189</v>
      </c>
      <c r="C4727" s="41" t="s">
        <v>19122</v>
      </c>
      <c r="D4727" s="405"/>
      <c r="E4727" s="405" t="s">
        <v>894</v>
      </c>
      <c r="F4727" s="90">
        <v>2.0</v>
      </c>
      <c r="G4727" s="430"/>
      <c r="H4727" s="41" t="s">
        <v>19123</v>
      </c>
      <c r="I4727" s="423"/>
      <c r="J4727" s="14"/>
      <c r="K4727" s="13"/>
      <c r="L4727" s="13"/>
      <c r="M4727" s="14"/>
      <c r="N4727" s="15"/>
      <c r="O4727" s="5" t="s">
        <v>10708</v>
      </c>
      <c r="P4727" s="15"/>
      <c r="Q4727" s="15"/>
      <c r="R4727" s="422"/>
      <c r="S4727" s="15"/>
      <c r="T4727" s="15"/>
      <c r="U4727" s="15"/>
      <c r="V4727" s="15"/>
      <c r="W4727" s="15"/>
      <c r="X4727" s="15"/>
      <c r="Y4727" s="15"/>
      <c r="Z4727" s="15"/>
      <c r="AA4727" s="15"/>
    </row>
    <row r="4728">
      <c r="A4728" s="5" t="s">
        <v>19108</v>
      </c>
      <c r="B4728" s="292" t="str">
        <f>HYPERLINK("https://akshar-exim-company-pvt-ltd.odoo.com/web#id=21972&amp;action=152&amp;model=crm.lead&amp;view_type=form&amp;menu_id=111","C2011188")</f>
        <v>C2011188</v>
      </c>
      <c r="C4728" s="41" t="s">
        <v>1474</v>
      </c>
      <c r="D4728" s="41"/>
      <c r="E4728" s="41" t="s">
        <v>16165</v>
      </c>
      <c r="F4728" s="433"/>
      <c r="G4728" s="434"/>
      <c r="H4728" s="14"/>
      <c r="I4728" s="423"/>
      <c r="J4728" s="14"/>
      <c r="K4728" s="13"/>
      <c r="L4728" s="13"/>
      <c r="M4728" s="14"/>
      <c r="N4728" s="15"/>
      <c r="O4728" s="15"/>
      <c r="P4728" s="15"/>
      <c r="Q4728" s="15"/>
      <c r="R4728" s="422"/>
      <c r="S4728" s="15"/>
      <c r="T4728" s="15"/>
      <c r="U4728" s="15"/>
      <c r="V4728" s="15"/>
      <c r="W4728" s="15"/>
      <c r="X4728" s="15"/>
      <c r="Y4728" s="15"/>
      <c r="Z4728" s="15"/>
      <c r="AA4728" s="15"/>
    </row>
    <row r="4729">
      <c r="A4729" s="5" t="s">
        <v>19108</v>
      </c>
      <c r="B4729" s="292" t="str">
        <f>HYPERLINK("https://akshar-exim-company-pvt-ltd.odoo.com/web#id=21971&amp;action=152&amp;model=crm.lead&amp;view_type=form&amp;menu_id=111","C2011187")</f>
        <v>C2011187</v>
      </c>
      <c r="C4729" s="41" t="s">
        <v>19124</v>
      </c>
      <c r="D4729" s="11"/>
      <c r="E4729" s="11" t="s">
        <v>19125</v>
      </c>
      <c r="F4729" s="433"/>
      <c r="G4729" s="434"/>
      <c r="H4729" s="14"/>
      <c r="I4729" s="423"/>
      <c r="J4729" s="14"/>
      <c r="K4729" s="13"/>
      <c r="L4729" s="13"/>
      <c r="M4729" s="14"/>
      <c r="N4729" s="15"/>
      <c r="O4729" s="15"/>
      <c r="P4729" s="15"/>
      <c r="Q4729" s="15"/>
      <c r="R4729" s="422"/>
      <c r="S4729" s="15"/>
      <c r="T4729" s="15"/>
      <c r="U4729" s="15"/>
      <c r="V4729" s="15"/>
      <c r="W4729" s="15"/>
      <c r="X4729" s="15"/>
      <c r="Y4729" s="15"/>
      <c r="Z4729" s="15"/>
      <c r="AA4729" s="15"/>
    </row>
    <row r="4730">
      <c r="A4730" s="5" t="s">
        <v>19108</v>
      </c>
      <c r="B4730" s="292" t="str">
        <f>HYPERLINK("https://akshar-exim-company-pvt-ltd.odoo.com/web#id=21969&amp;action=152&amp;model=crm.lead&amp;view_type=form&amp;menu_id=111","C2011186")</f>
        <v>C2011186</v>
      </c>
      <c r="C4730" s="41" t="s">
        <v>19126</v>
      </c>
      <c r="D4730" s="41"/>
      <c r="E4730" s="41" t="s">
        <v>10426</v>
      </c>
      <c r="F4730" s="9">
        <v>30000.0</v>
      </c>
      <c r="G4730" s="321"/>
      <c r="H4730" s="11" t="s">
        <v>19127</v>
      </c>
      <c r="I4730" s="276"/>
      <c r="J4730" s="11" t="s">
        <v>19128</v>
      </c>
      <c r="K4730" s="12"/>
      <c r="L4730" s="12"/>
      <c r="M4730" s="11" t="s">
        <v>19129</v>
      </c>
      <c r="N4730" s="5" t="s">
        <v>19130</v>
      </c>
      <c r="O4730" s="5" t="s">
        <v>17993</v>
      </c>
      <c r="P4730" s="15"/>
      <c r="Q4730" s="15"/>
      <c r="R4730" s="422"/>
      <c r="S4730" s="15"/>
      <c r="T4730" s="15"/>
      <c r="U4730" s="15"/>
      <c r="V4730" s="15"/>
      <c r="W4730" s="15"/>
      <c r="X4730" s="15"/>
      <c r="Y4730" s="15"/>
      <c r="Z4730" s="15"/>
      <c r="AA4730" s="15"/>
    </row>
    <row r="4731">
      <c r="A4731" s="5" t="s">
        <v>19108</v>
      </c>
      <c r="B4731" s="292" t="str">
        <f>HYPERLINK("https://akshar-exim-company-pvt-ltd.odoo.com/web#id=21968&amp;action=152&amp;model=crm.lead&amp;view_type=form&amp;menu_id=111","C2011185")</f>
        <v>C2011185</v>
      </c>
      <c r="C4731" s="41" t="s">
        <v>19131</v>
      </c>
      <c r="D4731" s="11"/>
      <c r="E4731" s="11" t="s">
        <v>22</v>
      </c>
      <c r="F4731" s="90">
        <v>500.0</v>
      </c>
      <c r="G4731" s="321"/>
      <c r="H4731" s="11" t="s">
        <v>268</v>
      </c>
      <c r="I4731" s="423"/>
      <c r="J4731" s="14"/>
      <c r="K4731" s="12"/>
      <c r="L4731" s="12"/>
      <c r="M4731" s="11" t="s">
        <v>9587</v>
      </c>
      <c r="N4731" s="5" t="s">
        <v>19132</v>
      </c>
      <c r="O4731" s="5" t="s">
        <v>564</v>
      </c>
      <c r="P4731" s="15"/>
      <c r="Q4731" s="15"/>
      <c r="R4731" s="422"/>
      <c r="S4731" s="15"/>
      <c r="T4731" s="15"/>
      <c r="U4731" s="15"/>
      <c r="V4731" s="15"/>
      <c r="W4731" s="15"/>
      <c r="X4731" s="15"/>
      <c r="Y4731" s="15"/>
      <c r="Z4731" s="15"/>
      <c r="AA4731" s="15"/>
    </row>
    <row r="4732">
      <c r="A4732" s="5" t="s">
        <v>19108</v>
      </c>
      <c r="B4732" s="292" t="str">
        <f>HYPERLINK("https://akshar-exim-company-pvt-ltd.odoo.com/web#id=21967&amp;action=152&amp;model=crm.lead&amp;view_type=form&amp;menu_id=111","C2011184")</f>
        <v>C2011184</v>
      </c>
      <c r="C4732" s="41" t="s">
        <v>19133</v>
      </c>
      <c r="D4732" s="11"/>
      <c r="E4732" s="11" t="s">
        <v>303</v>
      </c>
      <c r="F4732" s="9">
        <v>1000000.0</v>
      </c>
      <c r="G4732" s="321"/>
      <c r="H4732" s="11" t="s">
        <v>184</v>
      </c>
      <c r="I4732" s="276"/>
      <c r="J4732" s="11" t="s">
        <v>17976</v>
      </c>
      <c r="K4732" s="12"/>
      <c r="L4732" s="12"/>
      <c r="M4732" s="11" t="s">
        <v>18665</v>
      </c>
      <c r="N4732" s="5" t="s">
        <v>19134</v>
      </c>
      <c r="O4732" s="5" t="s">
        <v>564</v>
      </c>
      <c r="P4732" s="15"/>
      <c r="Q4732" s="15"/>
      <c r="R4732" s="422"/>
      <c r="S4732" s="15"/>
      <c r="T4732" s="15"/>
      <c r="U4732" s="15"/>
      <c r="V4732" s="15"/>
      <c r="W4732" s="15"/>
      <c r="X4732" s="15"/>
      <c r="Y4732" s="15"/>
      <c r="Z4732" s="15"/>
      <c r="AA4732" s="15"/>
    </row>
    <row r="4733">
      <c r="A4733" s="5" t="s">
        <v>19108</v>
      </c>
      <c r="B4733" s="292" t="str">
        <f>HYPERLINK("https://akshar-exim-company-pvt-ltd.odoo.com/web#id=21964&amp;action=152&amp;model=crm.lead&amp;view_type=form&amp;menu_id=111","C2011183")</f>
        <v>C2011183</v>
      </c>
      <c r="C4733" s="41" t="s">
        <v>19135</v>
      </c>
      <c r="D4733" s="405"/>
      <c r="E4733" s="405" t="s">
        <v>106</v>
      </c>
      <c r="F4733" s="90">
        <v>5000.0</v>
      </c>
      <c r="G4733" s="321"/>
      <c r="H4733" s="11" t="s">
        <v>19136</v>
      </c>
      <c r="I4733" s="276"/>
      <c r="J4733" s="11" t="s">
        <v>19137</v>
      </c>
      <c r="K4733" s="12"/>
      <c r="L4733" s="12"/>
      <c r="M4733" s="11" t="s">
        <v>9901</v>
      </c>
      <c r="N4733" s="5" t="s">
        <v>19138</v>
      </c>
      <c r="O4733" s="5" t="s">
        <v>564</v>
      </c>
      <c r="P4733" s="15"/>
      <c r="Q4733" s="15"/>
      <c r="R4733" s="422"/>
      <c r="S4733" s="15"/>
      <c r="T4733" s="15"/>
      <c r="U4733" s="15"/>
      <c r="V4733" s="15"/>
      <c r="W4733" s="15"/>
      <c r="X4733" s="15"/>
      <c r="Y4733" s="15"/>
      <c r="Z4733" s="15"/>
      <c r="AA4733" s="15"/>
    </row>
    <row r="4734">
      <c r="A4734" s="5" t="s">
        <v>19108</v>
      </c>
      <c r="B4734" s="292" t="str">
        <f>HYPERLINK("https://akshar-exim-company-pvt-ltd.odoo.com/web#id=21963&amp;action=152&amp;model=crm.lead&amp;view_type=form&amp;menu_id=111","C2011182")</f>
        <v>C2011182</v>
      </c>
      <c r="C4734" s="41" t="s">
        <v>19139</v>
      </c>
      <c r="D4734" s="41"/>
      <c r="E4734" s="41" t="s">
        <v>19140</v>
      </c>
      <c r="F4734" s="9">
        <v>10000.0</v>
      </c>
      <c r="G4734" s="430"/>
      <c r="H4734" s="41" t="s">
        <v>18358</v>
      </c>
      <c r="I4734" s="276"/>
      <c r="J4734" s="11" t="s">
        <v>25</v>
      </c>
      <c r="K4734" s="13"/>
      <c r="L4734" s="13"/>
      <c r="M4734" s="14"/>
      <c r="N4734" s="15"/>
      <c r="O4734" s="5" t="s">
        <v>17993</v>
      </c>
      <c r="P4734" s="15"/>
      <c r="Q4734" s="15"/>
      <c r="R4734" s="422"/>
      <c r="S4734" s="15"/>
      <c r="T4734" s="15"/>
      <c r="U4734" s="15"/>
      <c r="V4734" s="15"/>
      <c r="W4734" s="15"/>
      <c r="X4734" s="15"/>
      <c r="Y4734" s="15"/>
      <c r="Z4734" s="15"/>
      <c r="AA4734" s="15"/>
    </row>
    <row r="4735">
      <c r="A4735" s="5" t="s">
        <v>19108</v>
      </c>
      <c r="B4735" s="292" t="str">
        <f>HYPERLINK("https://akshar-exim-company-pvt-ltd.odoo.com/web#id=21961&amp;action=152&amp;model=crm.lead&amp;view_type=form&amp;menu_id=111","C2011181")</f>
        <v>C2011181</v>
      </c>
      <c r="C4735" s="41" t="s">
        <v>15203</v>
      </c>
      <c r="D4735" s="405"/>
      <c r="E4735" s="405" t="s">
        <v>6311</v>
      </c>
      <c r="F4735" s="90">
        <v>25.0</v>
      </c>
      <c r="G4735" s="321"/>
      <c r="H4735" s="11" t="s">
        <v>15204</v>
      </c>
      <c r="I4735" s="423"/>
      <c r="J4735" s="14"/>
      <c r="K4735" s="13"/>
      <c r="L4735" s="13"/>
      <c r="M4735" s="14"/>
      <c r="N4735" s="15"/>
      <c r="O4735" s="5" t="s">
        <v>10708</v>
      </c>
      <c r="P4735" s="15"/>
      <c r="Q4735" s="15"/>
      <c r="R4735" s="422"/>
      <c r="S4735" s="15"/>
      <c r="T4735" s="15"/>
      <c r="U4735" s="15"/>
      <c r="V4735" s="15"/>
      <c r="W4735" s="15"/>
      <c r="X4735" s="15"/>
      <c r="Y4735" s="15"/>
      <c r="Z4735" s="15"/>
      <c r="AA4735" s="15"/>
    </row>
    <row r="4736">
      <c r="A4736" s="5" t="s">
        <v>19108</v>
      </c>
      <c r="B4736" s="292" t="str">
        <f>HYPERLINK("https://akshar-exim-company-pvt-ltd.odoo.com/web#id=21955&amp;action=152&amp;model=crm.lead&amp;view_type=form&amp;menu_id=111","C2011180")</f>
        <v>C2011180</v>
      </c>
      <c r="C4736" s="41" t="s">
        <v>9988</v>
      </c>
      <c r="D4736" s="41"/>
      <c r="E4736" s="41" t="s">
        <v>19141</v>
      </c>
      <c r="F4736" s="90">
        <v>400.0</v>
      </c>
      <c r="G4736" s="321"/>
      <c r="H4736" s="11" t="s">
        <v>44</v>
      </c>
      <c r="I4736" s="97"/>
      <c r="J4736" s="41" t="s">
        <v>18182</v>
      </c>
      <c r="K4736" s="13"/>
      <c r="L4736" s="13"/>
      <c r="M4736" s="14"/>
      <c r="N4736" s="15"/>
      <c r="O4736" s="5" t="s">
        <v>19142</v>
      </c>
      <c r="P4736" s="15"/>
      <c r="Q4736" s="15"/>
      <c r="R4736" s="422"/>
      <c r="S4736" s="15"/>
      <c r="T4736" s="15"/>
      <c r="U4736" s="15"/>
      <c r="V4736" s="15"/>
      <c r="W4736" s="15"/>
      <c r="X4736" s="15"/>
      <c r="Y4736" s="15"/>
      <c r="Z4736" s="15"/>
      <c r="AA4736" s="15"/>
    </row>
    <row r="4737">
      <c r="A4737" s="5" t="s">
        <v>19108</v>
      </c>
      <c r="B4737" s="292" t="str">
        <f>HYPERLINK("https://akshar-exim-company-pvt-ltd.odoo.com/web#id=21954&amp;action=152&amp;model=crm.lead&amp;view_type=form&amp;menu_id=111","C2011179")</f>
        <v>C2011179</v>
      </c>
      <c r="C4737" s="41" t="s">
        <v>19143</v>
      </c>
      <c r="D4737" s="41"/>
      <c r="E4737" s="41" t="s">
        <v>6323</v>
      </c>
      <c r="F4737" s="90">
        <v>1.0</v>
      </c>
      <c r="G4737" s="321"/>
      <c r="H4737" s="11" t="s">
        <v>44</v>
      </c>
      <c r="I4737" s="276"/>
      <c r="J4737" s="11" t="s">
        <v>25</v>
      </c>
      <c r="K4737" s="13"/>
      <c r="L4737" s="13"/>
      <c r="M4737" s="14"/>
      <c r="N4737" s="15"/>
      <c r="O4737" s="5" t="s">
        <v>10708</v>
      </c>
      <c r="P4737" s="15"/>
      <c r="Q4737" s="15"/>
      <c r="R4737" s="422"/>
      <c r="S4737" s="15"/>
      <c r="T4737" s="15"/>
      <c r="U4737" s="15"/>
      <c r="V4737" s="15"/>
      <c r="W4737" s="15"/>
      <c r="X4737" s="15"/>
      <c r="Y4737" s="15"/>
      <c r="Z4737" s="15"/>
      <c r="AA4737" s="15"/>
    </row>
    <row r="4738">
      <c r="A4738" s="5" t="s">
        <v>19108</v>
      </c>
      <c r="B4738" s="292" t="str">
        <f>HYPERLINK("https://akshar-exim-company-pvt-ltd.odoo.com/web#id=21952&amp;action=152&amp;model=crm.lead&amp;view_type=form&amp;menu_id=111","C2011178")</f>
        <v>C2011178</v>
      </c>
      <c r="C4738" s="41" t="s">
        <v>19144</v>
      </c>
      <c r="D4738" s="41"/>
      <c r="E4738" s="41" t="s">
        <v>18357</v>
      </c>
      <c r="F4738" s="90">
        <v>50.0</v>
      </c>
      <c r="G4738" s="430"/>
      <c r="H4738" s="41" t="s">
        <v>19081</v>
      </c>
      <c r="I4738" s="276"/>
      <c r="J4738" s="11" t="s">
        <v>25</v>
      </c>
      <c r="K4738" s="13"/>
      <c r="L4738" s="13"/>
      <c r="M4738" s="14"/>
      <c r="N4738" s="15"/>
      <c r="O4738" s="5" t="s">
        <v>10708</v>
      </c>
      <c r="P4738" s="15"/>
      <c r="Q4738" s="15"/>
      <c r="R4738" s="422"/>
      <c r="S4738" s="15"/>
      <c r="T4738" s="15"/>
      <c r="U4738" s="15"/>
      <c r="V4738" s="15"/>
      <c r="W4738" s="15"/>
      <c r="X4738" s="15"/>
      <c r="Y4738" s="15"/>
      <c r="Z4738" s="15"/>
      <c r="AA4738" s="15"/>
    </row>
    <row r="4739">
      <c r="A4739" s="5" t="s">
        <v>19108</v>
      </c>
      <c r="B4739" s="292" t="str">
        <f>HYPERLINK("https://akshar-exim-company-pvt-ltd.odoo.com/web#id=21951&amp;action=152&amp;model=crm.lead&amp;view_type=form&amp;menu_id=111","C2011177")</f>
        <v>C2011177</v>
      </c>
      <c r="C4739" s="41" t="s">
        <v>19145</v>
      </c>
      <c r="D4739" s="41"/>
      <c r="E4739" s="41" t="s">
        <v>11748</v>
      </c>
      <c r="F4739" s="90">
        <v>100.0</v>
      </c>
      <c r="G4739" s="430"/>
      <c r="H4739" s="41" t="s">
        <v>18236</v>
      </c>
      <c r="I4739" s="276"/>
      <c r="J4739" s="11" t="s">
        <v>25</v>
      </c>
      <c r="K4739" s="13"/>
      <c r="L4739" s="13"/>
      <c r="M4739" s="14"/>
      <c r="N4739" s="15"/>
      <c r="O4739" s="5" t="s">
        <v>10708</v>
      </c>
      <c r="P4739" s="15"/>
      <c r="Q4739" s="15"/>
      <c r="R4739" s="422"/>
      <c r="S4739" s="15"/>
      <c r="T4739" s="15"/>
      <c r="U4739" s="15"/>
      <c r="V4739" s="15"/>
      <c r="W4739" s="15"/>
      <c r="X4739" s="15"/>
      <c r="Y4739" s="15"/>
      <c r="Z4739" s="15"/>
      <c r="AA4739" s="15"/>
    </row>
    <row r="4740">
      <c r="A4740" s="5" t="s">
        <v>19108</v>
      </c>
      <c r="B4740" s="292" t="str">
        <f>HYPERLINK("https://akshar-exim-company-pvt-ltd.odoo.com/web#id=21948&amp;action=152&amp;model=crm.lead&amp;view_type=form&amp;menu_id=111","C2011176")</f>
        <v>C2011176</v>
      </c>
      <c r="C4740" s="41" t="s">
        <v>19146</v>
      </c>
      <c r="D4740" s="41"/>
      <c r="E4740" s="41" t="s">
        <v>10409</v>
      </c>
      <c r="F4740" s="9">
        <v>300000.0</v>
      </c>
      <c r="G4740" s="430"/>
      <c r="H4740" s="41" t="s">
        <v>19147</v>
      </c>
      <c r="I4740" s="276"/>
      <c r="J4740" s="11" t="s">
        <v>25</v>
      </c>
      <c r="K4740" s="12"/>
      <c r="L4740" s="12"/>
      <c r="M4740" s="11" t="s">
        <v>11867</v>
      </c>
      <c r="N4740" s="5" t="s">
        <v>19148</v>
      </c>
      <c r="O4740" s="5" t="s">
        <v>17993</v>
      </c>
      <c r="P4740" s="15"/>
      <c r="Q4740" s="15"/>
      <c r="R4740" s="422"/>
      <c r="S4740" s="15"/>
      <c r="T4740" s="15"/>
      <c r="U4740" s="15"/>
      <c r="V4740" s="15"/>
      <c r="W4740" s="15"/>
      <c r="X4740" s="15"/>
      <c r="Y4740" s="15"/>
      <c r="Z4740" s="15"/>
      <c r="AA4740" s="15"/>
    </row>
    <row r="4741">
      <c r="A4741" s="5" t="s">
        <v>19108</v>
      </c>
      <c r="B4741" s="292" t="str">
        <f>HYPERLINK("https://akshar-exim-company-pvt-ltd.odoo.com/web#id=21945&amp;action=152&amp;model=crm.lead&amp;view_type=form&amp;menu_id=111","C2011175")</f>
        <v>C2011175</v>
      </c>
      <c r="C4741" s="41" t="s">
        <v>19149</v>
      </c>
      <c r="D4741" s="405"/>
      <c r="E4741" s="405" t="s">
        <v>8247</v>
      </c>
      <c r="F4741" s="90">
        <v>400.0</v>
      </c>
      <c r="G4741" s="430"/>
      <c r="H4741" s="41" t="s">
        <v>184</v>
      </c>
      <c r="I4741" s="276"/>
      <c r="J4741" s="11" t="s">
        <v>17976</v>
      </c>
      <c r="K4741" s="12"/>
      <c r="L4741" s="12"/>
      <c r="M4741" s="11" t="s">
        <v>12897</v>
      </c>
      <c r="N4741" s="5" t="s">
        <v>19150</v>
      </c>
      <c r="O4741" s="5" t="s">
        <v>564</v>
      </c>
      <c r="P4741" s="15"/>
      <c r="Q4741" s="15"/>
      <c r="R4741" s="422"/>
      <c r="S4741" s="15"/>
      <c r="T4741" s="15"/>
      <c r="U4741" s="15"/>
      <c r="V4741" s="15"/>
      <c r="W4741" s="15"/>
      <c r="X4741" s="15"/>
      <c r="Y4741" s="15"/>
      <c r="Z4741" s="15"/>
      <c r="AA4741" s="15"/>
    </row>
    <row r="4742">
      <c r="A4742" s="5" t="s">
        <v>19108</v>
      </c>
      <c r="B4742" s="292" t="str">
        <f>HYPERLINK("https://akshar-exim-company-pvt-ltd.odoo.com/web#id=21944&amp;action=152&amp;model=crm.lead&amp;view_type=form&amp;menu_id=111","C2011174")</f>
        <v>C2011174</v>
      </c>
      <c r="C4742" s="41" t="s">
        <v>19151</v>
      </c>
      <c r="D4742" s="41"/>
      <c r="E4742" s="41" t="s">
        <v>9283</v>
      </c>
      <c r="F4742" s="90">
        <v>50.0</v>
      </c>
      <c r="G4742" s="430"/>
      <c r="H4742" s="41" t="s">
        <v>19152</v>
      </c>
      <c r="I4742" s="276"/>
      <c r="J4742" s="11" t="s">
        <v>17976</v>
      </c>
      <c r="K4742" s="13"/>
      <c r="L4742" s="13"/>
      <c r="M4742" s="14"/>
      <c r="N4742" s="15"/>
      <c r="O4742" s="5" t="s">
        <v>10708</v>
      </c>
      <c r="P4742" s="15"/>
      <c r="Q4742" s="15"/>
      <c r="R4742" s="422"/>
      <c r="S4742" s="15"/>
      <c r="T4742" s="15"/>
      <c r="U4742" s="15"/>
      <c r="V4742" s="15"/>
      <c r="W4742" s="15"/>
      <c r="X4742" s="15"/>
      <c r="Y4742" s="15"/>
      <c r="Z4742" s="15"/>
      <c r="AA4742" s="15"/>
    </row>
    <row r="4743">
      <c r="A4743" s="5" t="s">
        <v>19108</v>
      </c>
      <c r="B4743" s="292" t="str">
        <f>HYPERLINK("https://akshar-exim-company-pvt-ltd.odoo.com/web#id=21942&amp;action=152&amp;model=crm.lead&amp;view_type=form&amp;menu_id=111","C2011173")</f>
        <v>C2011173</v>
      </c>
      <c r="C4743" s="41" t="s">
        <v>19153</v>
      </c>
      <c r="D4743" s="405"/>
      <c r="E4743" s="405" t="s">
        <v>19154</v>
      </c>
      <c r="F4743" s="90">
        <v>50.0</v>
      </c>
      <c r="G4743" s="430"/>
      <c r="H4743" s="41" t="s">
        <v>5693</v>
      </c>
      <c r="I4743" s="423"/>
      <c r="J4743" s="14"/>
      <c r="K4743" s="13"/>
      <c r="L4743" s="13"/>
      <c r="M4743" s="14"/>
      <c r="N4743" s="15"/>
      <c r="O4743" s="5" t="s">
        <v>10708</v>
      </c>
      <c r="P4743" s="15"/>
      <c r="Q4743" s="15"/>
      <c r="R4743" s="422"/>
      <c r="S4743" s="15"/>
      <c r="T4743" s="15"/>
      <c r="U4743" s="15"/>
      <c r="V4743" s="15"/>
      <c r="W4743" s="15"/>
      <c r="X4743" s="15"/>
      <c r="Y4743" s="15"/>
      <c r="Z4743" s="15"/>
      <c r="AA4743" s="15"/>
    </row>
    <row r="4744">
      <c r="A4744" s="5" t="s">
        <v>19108</v>
      </c>
      <c r="B4744" s="292" t="str">
        <f>HYPERLINK("https://akshar-exim-company-pvt-ltd.odoo.com/web#id=21932&amp;action=152&amp;model=crm.lead&amp;view_type=form&amp;menu_id=111","C2011172")</f>
        <v>C2011172</v>
      </c>
      <c r="C4744" s="41" t="s">
        <v>19155</v>
      </c>
      <c r="D4744" s="41"/>
      <c r="E4744" s="41" t="s">
        <v>19156</v>
      </c>
      <c r="F4744" s="9">
        <v>25000.0</v>
      </c>
      <c r="G4744" s="430"/>
      <c r="H4744" s="41" t="s">
        <v>19157</v>
      </c>
      <c r="I4744" s="423"/>
      <c r="J4744" s="14"/>
      <c r="K4744" s="12"/>
      <c r="L4744" s="12"/>
      <c r="M4744" s="11" t="s">
        <v>18665</v>
      </c>
      <c r="N4744" s="5" t="s">
        <v>19158</v>
      </c>
      <c r="O4744" s="5" t="s">
        <v>17993</v>
      </c>
      <c r="P4744" s="15"/>
      <c r="Q4744" s="15"/>
      <c r="R4744" s="422"/>
      <c r="S4744" s="15"/>
      <c r="T4744" s="15"/>
      <c r="U4744" s="15"/>
      <c r="V4744" s="15"/>
      <c r="W4744" s="15"/>
      <c r="X4744" s="15"/>
      <c r="Y4744" s="15"/>
      <c r="Z4744" s="15"/>
      <c r="AA4744" s="15"/>
    </row>
    <row r="4745">
      <c r="A4745" s="5" t="s">
        <v>19159</v>
      </c>
      <c r="B4745" s="292" t="str">
        <f>HYPERLINK("https://akshar-exim-company-pvt-ltd.odoo.com/web#id=21940&amp;action=152&amp;model=crm.lead&amp;view_type=form&amp;menu_id=111","C2011171")</f>
        <v>C2011171</v>
      </c>
      <c r="C4745" s="41" t="s">
        <v>18585</v>
      </c>
      <c r="D4745" s="41"/>
      <c r="E4745" s="41" t="s">
        <v>18774</v>
      </c>
      <c r="F4745" s="90">
        <v>50.0</v>
      </c>
      <c r="G4745" s="430"/>
      <c r="H4745" s="41" t="s">
        <v>6922</v>
      </c>
      <c r="I4745" s="276"/>
      <c r="J4745" s="11" t="s">
        <v>25</v>
      </c>
      <c r="K4745" s="13"/>
      <c r="L4745" s="13"/>
      <c r="M4745" s="14"/>
      <c r="N4745" s="15"/>
      <c r="O4745" s="5" t="s">
        <v>10708</v>
      </c>
      <c r="P4745" s="15"/>
      <c r="Q4745" s="15"/>
      <c r="R4745" s="422"/>
      <c r="S4745" s="15"/>
      <c r="T4745" s="15"/>
      <c r="U4745" s="15"/>
      <c r="V4745" s="15"/>
      <c r="W4745" s="15"/>
      <c r="X4745" s="15"/>
      <c r="Y4745" s="15"/>
      <c r="Z4745" s="15"/>
      <c r="AA4745" s="15"/>
    </row>
    <row r="4746">
      <c r="A4746" s="5" t="s">
        <v>19159</v>
      </c>
      <c r="B4746" s="292" t="str">
        <f>HYPERLINK("https://akshar-exim-company-pvt-ltd.odoo.com/web#id=21933&amp;action=152&amp;model=crm.lead&amp;view_type=form&amp;menu_id=111","C2011170")</f>
        <v>C2011170</v>
      </c>
      <c r="C4746" s="40" t="s">
        <v>19160</v>
      </c>
      <c r="D4746" s="405"/>
      <c r="E4746" s="405" t="s">
        <v>10277</v>
      </c>
      <c r="F4746" s="9">
        <v>10000.0</v>
      </c>
      <c r="G4746" s="430"/>
      <c r="H4746" s="41" t="s">
        <v>19161</v>
      </c>
      <c r="I4746" s="276"/>
      <c r="J4746" s="11" t="s">
        <v>7109</v>
      </c>
      <c r="K4746" s="12"/>
      <c r="L4746" s="12"/>
      <c r="M4746" s="11" t="s">
        <v>7965</v>
      </c>
      <c r="N4746" s="5" t="s">
        <v>19162</v>
      </c>
      <c r="O4746" s="5" t="s">
        <v>17993</v>
      </c>
      <c r="P4746" s="15"/>
      <c r="Q4746" s="15"/>
      <c r="R4746" s="422"/>
      <c r="S4746" s="15"/>
      <c r="T4746" s="15"/>
      <c r="U4746" s="15"/>
      <c r="V4746" s="15"/>
      <c r="W4746" s="15"/>
      <c r="X4746" s="15"/>
      <c r="Y4746" s="15"/>
      <c r="Z4746" s="15"/>
      <c r="AA4746" s="15"/>
    </row>
    <row r="4747">
      <c r="A4747" s="5" t="s">
        <v>19159</v>
      </c>
      <c r="B4747" s="292" t="str">
        <f>HYPERLINK("https://akshar-exim-company-pvt-ltd.odoo.com/web#id=21930&amp;action=152&amp;model=crm.lead&amp;view_type=form&amp;menu_id=111","C2011169")</f>
        <v>C2011169</v>
      </c>
      <c r="C4747" s="41" t="s">
        <v>19163</v>
      </c>
      <c r="D4747" s="405"/>
      <c r="E4747" s="405" t="s">
        <v>16923</v>
      </c>
      <c r="F4747" s="90">
        <v>2.0</v>
      </c>
      <c r="G4747" s="430"/>
      <c r="H4747" s="41" t="s">
        <v>6922</v>
      </c>
      <c r="I4747" s="276"/>
      <c r="J4747" s="11" t="s">
        <v>19164</v>
      </c>
      <c r="K4747" s="13"/>
      <c r="L4747" s="13"/>
      <c r="M4747" s="14"/>
      <c r="N4747" s="15"/>
      <c r="O4747" s="5" t="s">
        <v>10708</v>
      </c>
      <c r="P4747" s="15"/>
      <c r="Q4747" s="15"/>
      <c r="R4747" s="422"/>
      <c r="S4747" s="15"/>
      <c r="T4747" s="15"/>
      <c r="U4747" s="15"/>
      <c r="V4747" s="15"/>
      <c r="W4747" s="15"/>
      <c r="X4747" s="15"/>
      <c r="Y4747" s="15"/>
      <c r="Z4747" s="15"/>
      <c r="AA4747" s="15"/>
    </row>
    <row r="4748">
      <c r="A4748" s="5" t="s">
        <v>19159</v>
      </c>
      <c r="B4748" s="292" t="str">
        <f>HYPERLINK("https://akshar-exim-company-pvt-ltd.odoo.com/web#id=21928&amp;action=152&amp;model=crm.lead&amp;view_type=form&amp;menu_id=111","C2011168")</f>
        <v>C2011168</v>
      </c>
      <c r="C4748" s="41" t="s">
        <v>19165</v>
      </c>
      <c r="D4748" s="41"/>
      <c r="E4748" s="41" t="s">
        <v>11692</v>
      </c>
      <c r="F4748" s="90">
        <v>25.0</v>
      </c>
      <c r="G4748" s="321"/>
      <c r="H4748" s="11" t="s">
        <v>44</v>
      </c>
      <c r="I4748" s="276"/>
      <c r="J4748" s="11" t="s">
        <v>13956</v>
      </c>
      <c r="K4748" s="13"/>
      <c r="L4748" s="13"/>
      <c r="M4748" s="14"/>
      <c r="N4748" s="15"/>
      <c r="O4748" s="5" t="s">
        <v>10708</v>
      </c>
      <c r="P4748" s="15"/>
      <c r="Q4748" s="15"/>
      <c r="R4748" s="422"/>
      <c r="S4748" s="15"/>
      <c r="T4748" s="15"/>
      <c r="U4748" s="15"/>
      <c r="V4748" s="15"/>
      <c r="W4748" s="15"/>
      <c r="X4748" s="15"/>
      <c r="Y4748" s="15"/>
      <c r="Z4748" s="15"/>
      <c r="AA4748" s="15"/>
    </row>
    <row r="4749">
      <c r="A4749" s="5" t="s">
        <v>19159</v>
      </c>
      <c r="B4749" s="292" t="str">
        <f>HYPERLINK("https://akshar-exim-company-pvt-ltd.odoo.com/web#id=21926&amp;action=152&amp;model=crm.lead&amp;view_type=form&amp;menu_id=111","C2011167")</f>
        <v>C2011167</v>
      </c>
      <c r="C4749" s="41" t="s">
        <v>19166</v>
      </c>
      <c r="D4749" s="41"/>
      <c r="E4749" s="41" t="s">
        <v>5502</v>
      </c>
      <c r="F4749" s="90" t="s">
        <v>18722</v>
      </c>
      <c r="G4749" s="430"/>
      <c r="H4749" s="41" t="s">
        <v>19167</v>
      </c>
      <c r="I4749" s="276"/>
      <c r="J4749" s="11" t="s">
        <v>25</v>
      </c>
      <c r="K4749" s="12"/>
      <c r="L4749" s="12"/>
      <c r="M4749" s="11" t="s">
        <v>16779</v>
      </c>
      <c r="N4749" s="5" t="s">
        <v>19168</v>
      </c>
      <c r="O4749" s="5" t="s">
        <v>17993</v>
      </c>
      <c r="P4749" s="15"/>
      <c r="Q4749" s="15"/>
      <c r="R4749" s="422"/>
      <c r="S4749" s="15"/>
      <c r="T4749" s="15"/>
      <c r="U4749" s="15"/>
      <c r="V4749" s="15"/>
      <c r="W4749" s="15"/>
      <c r="X4749" s="15"/>
      <c r="Y4749" s="15"/>
      <c r="Z4749" s="15"/>
      <c r="AA4749" s="15"/>
    </row>
    <row r="4750">
      <c r="A4750" s="5" t="s">
        <v>19159</v>
      </c>
      <c r="B4750" s="292" t="str">
        <f>HYPERLINK("https://akshar-exim-company-pvt-ltd.odoo.com/web#id=21922&amp;action=152&amp;model=crm.lead&amp;view_type=form&amp;menu_id=111","C2011166")</f>
        <v>C2011166</v>
      </c>
      <c r="C4750" s="41" t="s">
        <v>19169</v>
      </c>
      <c r="D4750" s="41"/>
      <c r="E4750" s="41" t="s">
        <v>83</v>
      </c>
      <c r="F4750" s="90">
        <v>1000.0</v>
      </c>
      <c r="G4750" s="430"/>
      <c r="H4750" s="41" t="s">
        <v>19170</v>
      </c>
      <c r="I4750" s="276"/>
      <c r="J4750" s="11" t="s">
        <v>25</v>
      </c>
      <c r="K4750" s="12"/>
      <c r="L4750" s="12"/>
      <c r="M4750" s="11" t="s">
        <v>9707</v>
      </c>
      <c r="N4750" s="5" t="s">
        <v>19171</v>
      </c>
      <c r="O4750" s="5" t="s">
        <v>17993</v>
      </c>
      <c r="P4750" s="15"/>
      <c r="Q4750" s="15"/>
      <c r="R4750" s="422"/>
      <c r="S4750" s="15"/>
      <c r="T4750" s="15"/>
      <c r="U4750" s="15"/>
      <c r="V4750" s="15"/>
      <c r="W4750" s="15"/>
      <c r="X4750" s="15"/>
      <c r="Y4750" s="15"/>
      <c r="Z4750" s="15"/>
      <c r="AA4750" s="15"/>
    </row>
    <row r="4751">
      <c r="A4751" s="5" t="s">
        <v>19159</v>
      </c>
      <c r="B4751" s="292" t="str">
        <f>HYPERLINK("https://akshar-exim-company-pvt-ltd.odoo.com/web#id=21921&amp;action=152&amp;model=crm.lead&amp;view_type=form&amp;menu_id=111","C2011165")</f>
        <v>C2011165</v>
      </c>
      <c r="C4751" s="41" t="s">
        <v>19172</v>
      </c>
      <c r="D4751" s="41"/>
      <c r="E4751" s="41" t="s">
        <v>10426</v>
      </c>
      <c r="F4751" s="90">
        <v>5000.0</v>
      </c>
      <c r="G4751" s="430"/>
      <c r="H4751" s="41" t="s">
        <v>4444</v>
      </c>
      <c r="I4751" s="423"/>
      <c r="J4751" s="14"/>
      <c r="K4751" s="12"/>
      <c r="L4751" s="12"/>
      <c r="M4751" s="11" t="s">
        <v>19173</v>
      </c>
      <c r="N4751" s="5" t="s">
        <v>19174</v>
      </c>
      <c r="O4751" s="5" t="s">
        <v>17993</v>
      </c>
      <c r="P4751" s="15"/>
      <c r="Q4751" s="15"/>
      <c r="R4751" s="422"/>
      <c r="S4751" s="15"/>
      <c r="T4751" s="15"/>
      <c r="U4751" s="15"/>
      <c r="V4751" s="15"/>
      <c r="W4751" s="15"/>
      <c r="X4751" s="15"/>
      <c r="Y4751" s="15"/>
      <c r="Z4751" s="15"/>
      <c r="AA4751" s="15"/>
    </row>
    <row r="4752">
      <c r="A4752" s="5" t="s">
        <v>19159</v>
      </c>
      <c r="B4752" s="292" t="str">
        <f>HYPERLINK("https://akshar-exim-company-pvt-ltd.odoo.com/web#id=21914&amp;action=152&amp;model=crm.lead&amp;view_type=form&amp;menu_id=111","C2011164")</f>
        <v>C2011164</v>
      </c>
      <c r="C4752" s="41" t="s">
        <v>19175</v>
      </c>
      <c r="D4752" s="41"/>
      <c r="E4752" s="41" t="s">
        <v>3926</v>
      </c>
      <c r="F4752" s="90">
        <v>50.0</v>
      </c>
      <c r="G4752" s="321"/>
      <c r="H4752" s="11" t="s">
        <v>985</v>
      </c>
      <c r="I4752" s="276"/>
      <c r="J4752" s="11" t="s">
        <v>25</v>
      </c>
      <c r="K4752" s="12"/>
      <c r="L4752" s="12"/>
      <c r="M4752" s="11" t="s">
        <v>19176</v>
      </c>
      <c r="N4752" s="5" t="s">
        <v>19177</v>
      </c>
      <c r="O4752" s="5" t="s">
        <v>10708</v>
      </c>
      <c r="P4752" s="15"/>
      <c r="Q4752" s="15"/>
      <c r="R4752" s="422"/>
      <c r="S4752" s="15"/>
      <c r="T4752" s="15"/>
      <c r="U4752" s="15"/>
      <c r="V4752" s="15"/>
      <c r="W4752" s="15"/>
      <c r="X4752" s="15"/>
      <c r="Y4752" s="15"/>
      <c r="Z4752" s="15"/>
      <c r="AA4752" s="15"/>
    </row>
    <row r="4753">
      <c r="A4753" s="5" t="s">
        <v>19159</v>
      </c>
      <c r="B4753" s="292" t="str">
        <f>HYPERLINK("https://akshar-exim-company-pvt-ltd.odoo.com/web#id=21912&amp;action=152&amp;model=crm.lead&amp;view_type=form&amp;menu_id=111","C2011163")</f>
        <v>C2011163</v>
      </c>
      <c r="C4753" s="41" t="s">
        <v>19178</v>
      </c>
      <c r="D4753" s="41"/>
      <c r="E4753" s="41" t="s">
        <v>11939</v>
      </c>
      <c r="F4753" s="90">
        <v>5.0</v>
      </c>
      <c r="G4753" s="430"/>
      <c r="H4753" s="41" t="s">
        <v>19179</v>
      </c>
      <c r="I4753" s="276"/>
      <c r="J4753" s="11" t="s">
        <v>13956</v>
      </c>
      <c r="K4753" s="13"/>
      <c r="L4753" s="13"/>
      <c r="M4753" s="14"/>
      <c r="N4753" s="15"/>
      <c r="O4753" s="5" t="s">
        <v>10708</v>
      </c>
      <c r="P4753" s="15"/>
      <c r="Q4753" s="15"/>
      <c r="R4753" s="422"/>
      <c r="S4753" s="15"/>
      <c r="T4753" s="15"/>
      <c r="U4753" s="15"/>
      <c r="V4753" s="15"/>
      <c r="W4753" s="15"/>
      <c r="X4753" s="15"/>
      <c r="Y4753" s="15"/>
      <c r="Z4753" s="15"/>
      <c r="AA4753" s="15"/>
    </row>
    <row r="4754">
      <c r="A4754" s="5" t="s">
        <v>19159</v>
      </c>
      <c r="B4754" s="292" t="str">
        <f>HYPERLINK("https://akshar-exim-company-pvt-ltd.odoo.com/web#id=21910&amp;action=152&amp;model=crm.lead&amp;view_type=form&amp;menu_id=111","C2011162")</f>
        <v>C2011162</v>
      </c>
      <c r="C4754" s="41" t="s">
        <v>19180</v>
      </c>
      <c r="D4754" s="41"/>
      <c r="E4754" s="41" t="s">
        <v>5691</v>
      </c>
      <c r="F4754" s="90">
        <v>100.0</v>
      </c>
      <c r="G4754" s="321"/>
      <c r="H4754" s="11" t="s">
        <v>44</v>
      </c>
      <c r="I4754" s="276"/>
      <c r="J4754" s="11" t="s">
        <v>25</v>
      </c>
      <c r="K4754" s="13"/>
      <c r="L4754" s="13"/>
      <c r="M4754" s="14"/>
      <c r="N4754" s="15"/>
      <c r="O4754" s="5" t="s">
        <v>10708</v>
      </c>
      <c r="P4754" s="15"/>
      <c r="Q4754" s="15"/>
      <c r="R4754" s="422"/>
      <c r="S4754" s="15"/>
      <c r="T4754" s="15"/>
      <c r="U4754" s="15"/>
      <c r="V4754" s="15"/>
      <c r="W4754" s="15"/>
      <c r="X4754" s="15"/>
      <c r="Y4754" s="15"/>
      <c r="Z4754" s="15"/>
      <c r="AA4754" s="15"/>
    </row>
    <row r="4755">
      <c r="A4755" s="5" t="s">
        <v>19159</v>
      </c>
      <c r="B4755" s="292" t="str">
        <f>HYPERLINK("https://akshar-exim-company-pvt-ltd.odoo.com/web#id=21907&amp;action=152&amp;model=crm.lead&amp;view_type=form&amp;menu_id=111","C2011161")</f>
        <v>C2011161</v>
      </c>
      <c r="C4755" s="41" t="s">
        <v>19181</v>
      </c>
      <c r="D4755" s="405"/>
      <c r="E4755" s="405" t="s">
        <v>6168</v>
      </c>
      <c r="F4755" s="90">
        <v>200.0</v>
      </c>
      <c r="G4755" s="321"/>
      <c r="H4755" s="11" t="s">
        <v>44</v>
      </c>
      <c r="I4755" s="423"/>
      <c r="J4755" s="14"/>
      <c r="K4755" s="12"/>
      <c r="L4755" s="12"/>
      <c r="M4755" s="11" t="s">
        <v>19182</v>
      </c>
      <c r="N4755" s="5" t="s">
        <v>19183</v>
      </c>
      <c r="O4755" s="5" t="s">
        <v>10708</v>
      </c>
      <c r="P4755" s="15"/>
      <c r="Q4755" s="15"/>
      <c r="R4755" s="422"/>
      <c r="S4755" s="15"/>
      <c r="T4755" s="15"/>
      <c r="U4755" s="15"/>
      <c r="V4755" s="15"/>
      <c r="W4755" s="15"/>
      <c r="X4755" s="15"/>
      <c r="Y4755" s="15"/>
      <c r="Z4755" s="15"/>
      <c r="AA4755" s="15"/>
    </row>
    <row r="4756">
      <c r="A4756" s="5" t="s">
        <v>19159</v>
      </c>
      <c r="B4756" s="292" t="str">
        <f>HYPERLINK("https://akshar-exim-company-pvt-ltd.odoo.com/web#id=21902&amp;action=152&amp;model=crm.lead&amp;view_type=form&amp;menu_id=111","C2011160")</f>
        <v>C2011160</v>
      </c>
      <c r="C4756" s="41" t="s">
        <v>19184</v>
      </c>
      <c r="D4756" s="405"/>
      <c r="E4756" s="405" t="s">
        <v>47</v>
      </c>
      <c r="F4756" s="9">
        <v>10000.0</v>
      </c>
      <c r="G4756" s="321"/>
      <c r="H4756" s="11" t="s">
        <v>472</v>
      </c>
      <c r="I4756" s="276"/>
      <c r="J4756" s="11" t="s">
        <v>17976</v>
      </c>
      <c r="K4756" s="12"/>
      <c r="L4756" s="12"/>
      <c r="M4756" s="11" t="s">
        <v>10566</v>
      </c>
      <c r="N4756" s="5" t="s">
        <v>19185</v>
      </c>
      <c r="O4756" s="5" t="s">
        <v>19142</v>
      </c>
      <c r="P4756" s="15"/>
      <c r="Q4756" s="15"/>
      <c r="R4756" s="422"/>
      <c r="S4756" s="15"/>
      <c r="T4756" s="15"/>
      <c r="U4756" s="15"/>
      <c r="V4756" s="15"/>
      <c r="W4756" s="15"/>
      <c r="X4756" s="15"/>
      <c r="Y4756" s="15"/>
      <c r="Z4756" s="15"/>
      <c r="AA4756" s="15"/>
    </row>
    <row r="4757">
      <c r="A4757" s="5" t="s">
        <v>19159</v>
      </c>
      <c r="B4757" s="292" t="str">
        <f>HYPERLINK("https://akshar-exim-company-pvt-ltd.odoo.com/web#id=21901&amp;action=152&amp;model=crm.lead&amp;view_type=form&amp;menu_id=111","C2011159")</f>
        <v>C2011159</v>
      </c>
      <c r="C4757" s="41" t="s">
        <v>19186</v>
      </c>
      <c r="D4757" s="405"/>
      <c r="E4757" s="405" t="s">
        <v>11808</v>
      </c>
      <c r="F4757" s="90">
        <v>8.0</v>
      </c>
      <c r="G4757" s="430"/>
      <c r="H4757" s="41" t="s">
        <v>19187</v>
      </c>
      <c r="I4757" s="423"/>
      <c r="J4757" s="14"/>
      <c r="K4757" s="13"/>
      <c r="L4757" s="13"/>
      <c r="M4757" s="14"/>
      <c r="N4757" s="15"/>
      <c r="O4757" s="5" t="s">
        <v>10708</v>
      </c>
      <c r="P4757" s="15"/>
      <c r="Q4757" s="15"/>
      <c r="R4757" s="422"/>
      <c r="S4757" s="15"/>
      <c r="T4757" s="15"/>
      <c r="U4757" s="15"/>
      <c r="V4757" s="15"/>
      <c r="W4757" s="15"/>
      <c r="X4757" s="15"/>
      <c r="Y4757" s="15"/>
      <c r="Z4757" s="15"/>
      <c r="AA4757" s="15"/>
    </row>
    <row r="4758">
      <c r="A4758" s="5" t="s">
        <v>19159</v>
      </c>
      <c r="B4758" s="292" t="str">
        <f>HYPERLINK("https://akshar-exim-company-pvt-ltd.odoo.com/web#id=21898&amp;action=152&amp;model=crm.lead&amp;view_type=form&amp;menu_id=111","C2011158")</f>
        <v>C2011158</v>
      </c>
      <c r="C4758" s="41" t="s">
        <v>19188</v>
      </c>
      <c r="D4758" s="405"/>
      <c r="E4758" s="405" t="s">
        <v>19092</v>
      </c>
      <c r="F4758" s="433"/>
      <c r="G4758" s="434"/>
      <c r="H4758" s="14"/>
      <c r="I4758" s="423"/>
      <c r="J4758" s="14"/>
      <c r="K4758" s="13"/>
      <c r="L4758" s="13"/>
      <c r="M4758" s="14"/>
      <c r="N4758" s="15"/>
      <c r="O4758" s="15"/>
      <c r="P4758" s="15"/>
      <c r="Q4758" s="15"/>
      <c r="R4758" s="422"/>
      <c r="S4758" s="15"/>
      <c r="T4758" s="15"/>
      <c r="U4758" s="15"/>
      <c r="V4758" s="15"/>
      <c r="W4758" s="15"/>
      <c r="X4758" s="15"/>
      <c r="Y4758" s="15"/>
      <c r="Z4758" s="15"/>
      <c r="AA4758" s="15"/>
    </row>
    <row r="4759">
      <c r="A4759" s="5" t="s">
        <v>19159</v>
      </c>
      <c r="B4759" s="292" t="str">
        <f>HYPERLINK("https://akshar-exim-company-pvt-ltd.odoo.com/web#id=21896&amp;action=152&amp;model=crm.lead&amp;view_type=form&amp;menu_id=111","C2011157")</f>
        <v>C2011157</v>
      </c>
      <c r="C4759" s="41" t="s">
        <v>19189</v>
      </c>
      <c r="D4759" s="405"/>
      <c r="E4759" s="405" t="s">
        <v>412</v>
      </c>
      <c r="F4759" s="90">
        <v>2.0</v>
      </c>
      <c r="G4759" s="430"/>
      <c r="H4759" s="41" t="s">
        <v>19190</v>
      </c>
      <c r="I4759" s="423"/>
      <c r="J4759" s="14"/>
      <c r="K4759" s="13"/>
      <c r="L4759" s="13"/>
      <c r="M4759" s="14"/>
      <c r="N4759" s="15"/>
      <c r="O4759" s="5" t="s">
        <v>10708</v>
      </c>
      <c r="P4759" s="15"/>
      <c r="Q4759" s="15"/>
      <c r="R4759" s="422"/>
      <c r="S4759" s="15"/>
      <c r="T4759" s="15"/>
      <c r="U4759" s="15"/>
      <c r="V4759" s="15"/>
      <c r="W4759" s="15"/>
      <c r="X4759" s="15"/>
      <c r="Y4759" s="15"/>
      <c r="Z4759" s="15"/>
      <c r="AA4759" s="15"/>
    </row>
    <row r="4760">
      <c r="A4760" s="5" t="s">
        <v>19159</v>
      </c>
      <c r="B4760" s="292" t="str">
        <f>HYPERLINK("https://akshar-exim-company-pvt-ltd.odoo.com/web#id=21894&amp;action=152&amp;model=crm.lead&amp;view_type=form&amp;menu_id=111","C2011156")</f>
        <v>C2011156</v>
      </c>
      <c r="C4760" s="41" t="s">
        <v>19191</v>
      </c>
      <c r="D4760" s="41"/>
      <c r="E4760" s="41" t="s">
        <v>19192</v>
      </c>
      <c r="F4760" s="90">
        <v>100.0</v>
      </c>
      <c r="G4760" s="430"/>
      <c r="H4760" s="41" t="s">
        <v>4456</v>
      </c>
      <c r="I4760" s="276"/>
      <c r="J4760" s="11" t="s">
        <v>18182</v>
      </c>
      <c r="K4760" s="13"/>
      <c r="L4760" s="13"/>
      <c r="M4760" s="14"/>
      <c r="N4760" s="15"/>
      <c r="O4760" s="5" t="s">
        <v>10708</v>
      </c>
      <c r="P4760" s="15"/>
      <c r="Q4760" s="15"/>
      <c r="R4760" s="422"/>
      <c r="S4760" s="15"/>
      <c r="T4760" s="15"/>
      <c r="U4760" s="15"/>
      <c r="V4760" s="15"/>
      <c r="W4760" s="15"/>
      <c r="X4760" s="15"/>
      <c r="Y4760" s="15"/>
      <c r="Z4760" s="15"/>
      <c r="AA4760" s="15"/>
    </row>
    <row r="4761">
      <c r="A4761" s="5" t="s">
        <v>19159</v>
      </c>
      <c r="B4761" s="292" t="str">
        <f>HYPERLINK("https://akshar-exim-company-pvt-ltd.odoo.com/web#id=21893&amp;action=152&amp;model=crm.lead&amp;view_type=form&amp;menu_id=111","C2011155")</f>
        <v>C2011155</v>
      </c>
      <c r="C4761" s="41" t="s">
        <v>19193</v>
      </c>
      <c r="D4761" s="41"/>
      <c r="E4761" s="41" t="s">
        <v>17724</v>
      </c>
      <c r="F4761" s="90">
        <v>15.0</v>
      </c>
      <c r="G4761" s="430"/>
      <c r="H4761" s="41" t="s">
        <v>8949</v>
      </c>
      <c r="I4761" s="97"/>
      <c r="J4761" s="41" t="s">
        <v>18182</v>
      </c>
      <c r="K4761" s="13"/>
      <c r="L4761" s="13"/>
      <c r="M4761" s="14"/>
      <c r="N4761" s="15"/>
      <c r="O4761" s="5" t="s">
        <v>10708</v>
      </c>
      <c r="P4761" s="15"/>
      <c r="Q4761" s="15"/>
      <c r="R4761" s="422"/>
      <c r="S4761" s="15"/>
      <c r="T4761" s="15"/>
      <c r="U4761" s="15"/>
      <c r="V4761" s="15"/>
      <c r="W4761" s="15"/>
      <c r="X4761" s="15"/>
      <c r="Y4761" s="15"/>
      <c r="Z4761" s="15"/>
      <c r="AA4761" s="15"/>
    </row>
    <row r="4762">
      <c r="A4762" s="5" t="s">
        <v>19159</v>
      </c>
      <c r="B4762" s="292" t="str">
        <f>HYPERLINK("https://akshar-exim-company-pvt-ltd.odoo.com/web#id=21889&amp;action=152&amp;model=crm.lead&amp;view_type=form&amp;menu_id=111","C2011154")</f>
        <v>C2011154</v>
      </c>
      <c r="C4762" s="41" t="s">
        <v>19194</v>
      </c>
      <c r="D4762" s="11"/>
      <c r="E4762" s="11" t="s">
        <v>10433</v>
      </c>
      <c r="F4762" s="433"/>
      <c r="G4762" s="434"/>
      <c r="H4762" s="14"/>
      <c r="I4762" s="423"/>
      <c r="J4762" s="14"/>
      <c r="K4762" s="13"/>
      <c r="L4762" s="13"/>
      <c r="M4762" s="14"/>
      <c r="N4762" s="15"/>
      <c r="O4762" s="15"/>
      <c r="P4762" s="15"/>
      <c r="Q4762" s="15"/>
      <c r="R4762" s="422"/>
      <c r="S4762" s="15"/>
      <c r="T4762" s="15"/>
      <c r="U4762" s="15"/>
      <c r="V4762" s="15"/>
      <c r="W4762" s="15"/>
      <c r="X4762" s="15"/>
      <c r="Y4762" s="15"/>
      <c r="Z4762" s="15"/>
      <c r="AA4762" s="15"/>
    </row>
    <row r="4763">
      <c r="A4763" s="5" t="s">
        <v>19159</v>
      </c>
      <c r="B4763" s="292" t="str">
        <f>HYPERLINK("https://akshar-exim-company-pvt-ltd.odoo.com/web#id=21888&amp;action=152&amp;model=crm.lead&amp;view_type=form&amp;menu_id=111","C2011153")</f>
        <v>C2011153</v>
      </c>
      <c r="C4763" s="41" t="s">
        <v>19195</v>
      </c>
      <c r="D4763" s="41"/>
      <c r="E4763" s="41" t="s">
        <v>9109</v>
      </c>
      <c r="F4763" s="433"/>
      <c r="G4763" s="434"/>
      <c r="H4763" s="14"/>
      <c r="I4763" s="423"/>
      <c r="J4763" s="14"/>
      <c r="K4763" s="13"/>
      <c r="L4763" s="13"/>
      <c r="M4763" s="14"/>
      <c r="N4763" s="15"/>
      <c r="O4763" s="15"/>
      <c r="P4763" s="15"/>
      <c r="Q4763" s="15"/>
      <c r="R4763" s="422"/>
      <c r="S4763" s="15"/>
      <c r="T4763" s="15"/>
      <c r="U4763" s="15"/>
      <c r="V4763" s="15"/>
      <c r="W4763" s="15"/>
      <c r="X4763" s="15"/>
      <c r="Y4763" s="15"/>
      <c r="Z4763" s="15"/>
      <c r="AA4763" s="15"/>
    </row>
    <row r="4764">
      <c r="A4764" s="5" t="s">
        <v>19159</v>
      </c>
      <c r="B4764" s="292" t="str">
        <f>HYPERLINK("https://akshar-exim-company-pvt-ltd.odoo.com/web#id=21887&amp;action=152&amp;model=crm.lead&amp;view_type=form&amp;menu_id=111","C2011152")</f>
        <v>C2011152</v>
      </c>
      <c r="C4764" s="41" t="s">
        <v>19196</v>
      </c>
      <c r="D4764" s="41"/>
      <c r="E4764" s="41" t="s">
        <v>19197</v>
      </c>
      <c r="F4764" s="9">
        <v>20000.0</v>
      </c>
      <c r="G4764" s="321"/>
      <c r="H4764" s="11" t="s">
        <v>44</v>
      </c>
      <c r="I4764" s="276"/>
      <c r="J4764" s="11" t="s">
        <v>25</v>
      </c>
      <c r="K4764" s="13"/>
      <c r="L4764" s="13"/>
      <c r="M4764" s="14"/>
      <c r="N4764" s="15"/>
      <c r="O4764" s="5" t="s">
        <v>10708</v>
      </c>
      <c r="P4764" s="15"/>
      <c r="Q4764" s="15"/>
      <c r="R4764" s="422"/>
      <c r="S4764" s="15"/>
      <c r="T4764" s="15"/>
      <c r="U4764" s="15"/>
      <c r="V4764" s="15"/>
      <c r="W4764" s="15"/>
      <c r="X4764" s="15"/>
      <c r="Y4764" s="15"/>
      <c r="Z4764" s="15"/>
      <c r="AA4764" s="15"/>
    </row>
    <row r="4765">
      <c r="A4765" s="5" t="s">
        <v>19159</v>
      </c>
      <c r="B4765" s="292" t="str">
        <f>HYPERLINK("https://akshar-exim-company-pvt-ltd.odoo.com/web#id=21883&amp;action=152&amp;model=crm.lead&amp;view_type=form&amp;menu_id=111","C2011151")</f>
        <v>C2011151</v>
      </c>
      <c r="C4765" s="41" t="s">
        <v>19198</v>
      </c>
      <c r="D4765" s="41"/>
      <c r="E4765" s="41" t="s">
        <v>18806</v>
      </c>
      <c r="F4765" s="90">
        <v>1000.0</v>
      </c>
      <c r="G4765" s="430"/>
      <c r="H4765" s="41" t="s">
        <v>19199</v>
      </c>
      <c r="I4765" s="276"/>
      <c r="J4765" s="11" t="s">
        <v>25</v>
      </c>
      <c r="K4765" s="12"/>
      <c r="L4765" s="12"/>
      <c r="M4765" s="11" t="s">
        <v>19200</v>
      </c>
      <c r="N4765" s="5" t="s">
        <v>19201</v>
      </c>
      <c r="O4765" s="5" t="s">
        <v>17993</v>
      </c>
      <c r="P4765" s="15"/>
      <c r="Q4765" s="15"/>
      <c r="R4765" s="422"/>
      <c r="S4765" s="15"/>
      <c r="T4765" s="15"/>
      <c r="U4765" s="15"/>
      <c r="V4765" s="15"/>
      <c r="W4765" s="15"/>
      <c r="X4765" s="15"/>
      <c r="Y4765" s="15"/>
      <c r="Z4765" s="15"/>
      <c r="AA4765" s="15"/>
    </row>
    <row r="4766">
      <c r="A4766" s="5" t="s">
        <v>19159</v>
      </c>
      <c r="B4766" s="292" t="str">
        <f>HYPERLINK("https://akshar-exim-company-pvt-ltd.odoo.com/web#id=21882&amp;action=152&amp;model=crm.lead&amp;view_type=form&amp;menu_id=111","C2011150")</f>
        <v>C2011150</v>
      </c>
      <c r="C4766" s="41" t="s">
        <v>19202</v>
      </c>
      <c r="D4766" s="41"/>
      <c r="E4766" s="41" t="s">
        <v>18535</v>
      </c>
      <c r="F4766" s="90">
        <v>1.0</v>
      </c>
      <c r="G4766" s="321"/>
      <c r="H4766" s="11" t="s">
        <v>44</v>
      </c>
      <c r="I4766" s="276"/>
      <c r="J4766" s="11" t="s">
        <v>19203</v>
      </c>
      <c r="K4766" s="13"/>
      <c r="L4766" s="13"/>
      <c r="M4766" s="14"/>
      <c r="N4766" s="15"/>
      <c r="O4766" s="5" t="s">
        <v>10708</v>
      </c>
      <c r="P4766" s="15"/>
      <c r="Q4766" s="15"/>
      <c r="R4766" s="422"/>
      <c r="S4766" s="15"/>
      <c r="T4766" s="15"/>
      <c r="U4766" s="15"/>
      <c r="V4766" s="15"/>
      <c r="W4766" s="15"/>
      <c r="X4766" s="15"/>
      <c r="Y4766" s="15"/>
      <c r="Z4766" s="15"/>
      <c r="AA4766" s="15"/>
    </row>
    <row r="4767">
      <c r="A4767" s="5" t="s">
        <v>19159</v>
      </c>
      <c r="B4767" s="292" t="str">
        <f>HYPERLINK("https://akshar-exim-company-pvt-ltd.odoo.com/web#id=21880&amp;action=152&amp;model=crm.lead&amp;view_type=form&amp;menu_id=111","C2011149")</f>
        <v>C2011149</v>
      </c>
      <c r="C4767" s="41" t="s">
        <v>19204</v>
      </c>
      <c r="D4767" s="11"/>
      <c r="E4767" s="11" t="s">
        <v>19205</v>
      </c>
      <c r="F4767" s="90" t="s">
        <v>19206</v>
      </c>
      <c r="G4767" s="321"/>
      <c r="H4767" s="11" t="s">
        <v>3122</v>
      </c>
      <c r="I4767" s="276"/>
      <c r="J4767" s="11" t="s">
        <v>25</v>
      </c>
      <c r="K4767" s="12"/>
      <c r="L4767" s="12"/>
      <c r="M4767" s="11" t="s">
        <v>19207</v>
      </c>
      <c r="N4767" s="5" t="s">
        <v>19208</v>
      </c>
      <c r="O4767" s="5" t="s">
        <v>5222</v>
      </c>
      <c r="P4767" s="15"/>
      <c r="Q4767" s="15"/>
      <c r="R4767" s="422"/>
      <c r="S4767" s="15"/>
      <c r="T4767" s="15"/>
      <c r="U4767" s="15"/>
      <c r="V4767" s="15"/>
      <c r="W4767" s="15"/>
      <c r="X4767" s="15"/>
      <c r="Y4767" s="15"/>
      <c r="Z4767" s="15"/>
      <c r="AA4767" s="15"/>
    </row>
    <row r="4768">
      <c r="A4768" s="5" t="s">
        <v>19159</v>
      </c>
      <c r="B4768" s="292" t="str">
        <f>HYPERLINK("https://akshar-exim-company-pvt-ltd.odoo.com/web#id=21879&amp;action=152&amp;model=crm.lead&amp;view_type=form&amp;menu_id=111","C2011148")</f>
        <v>C2011148</v>
      </c>
      <c r="C4768" s="41" t="s">
        <v>18536</v>
      </c>
      <c r="D4768" s="41"/>
      <c r="E4768" s="41" t="s">
        <v>19209</v>
      </c>
      <c r="F4768" s="90">
        <v>5.0</v>
      </c>
      <c r="G4768" s="321"/>
      <c r="H4768" s="11" t="s">
        <v>44</v>
      </c>
      <c r="I4768" s="423"/>
      <c r="J4768" s="14"/>
      <c r="K4768" s="13"/>
      <c r="L4768" s="13"/>
      <c r="M4768" s="14"/>
      <c r="N4768" s="15"/>
      <c r="O4768" s="5" t="s">
        <v>10708</v>
      </c>
      <c r="P4768" s="15"/>
      <c r="Q4768" s="15"/>
      <c r="R4768" s="422"/>
      <c r="S4768" s="15"/>
      <c r="T4768" s="15"/>
      <c r="U4768" s="15"/>
      <c r="V4768" s="15"/>
      <c r="W4768" s="15"/>
      <c r="X4768" s="15"/>
      <c r="Y4768" s="15"/>
      <c r="Z4768" s="15"/>
      <c r="AA4768" s="15"/>
    </row>
    <row r="4769">
      <c r="A4769" s="5" t="s">
        <v>19159</v>
      </c>
      <c r="B4769" s="292" t="str">
        <f>HYPERLINK("https://akshar-exim-company-pvt-ltd.odoo.com/web#id=21878&amp;action=152&amp;model=crm.lead&amp;view_type=form&amp;menu_id=111","C2011147")</f>
        <v>C2011147</v>
      </c>
      <c r="C4769" s="41" t="s">
        <v>19210</v>
      </c>
      <c r="D4769" s="11"/>
      <c r="E4769" s="11" t="s">
        <v>152</v>
      </c>
      <c r="F4769" s="90">
        <v>25.0</v>
      </c>
      <c r="G4769" s="321"/>
      <c r="H4769" s="11" t="s">
        <v>12077</v>
      </c>
      <c r="I4769" s="276"/>
      <c r="J4769" s="11" t="s">
        <v>4008</v>
      </c>
      <c r="K4769" s="13"/>
      <c r="L4769" s="13"/>
      <c r="M4769" s="14"/>
      <c r="N4769" s="15"/>
      <c r="O4769" s="5" t="s">
        <v>10708</v>
      </c>
      <c r="P4769" s="15"/>
      <c r="Q4769" s="15"/>
      <c r="R4769" s="422"/>
      <c r="S4769" s="15"/>
      <c r="T4769" s="15"/>
      <c r="U4769" s="15"/>
      <c r="V4769" s="15"/>
      <c r="W4769" s="15"/>
      <c r="X4769" s="15"/>
      <c r="Y4769" s="15"/>
      <c r="Z4769" s="15"/>
      <c r="AA4769" s="15"/>
    </row>
    <row r="4770">
      <c r="A4770" s="5" t="s">
        <v>19159</v>
      </c>
      <c r="B4770" s="292" t="str">
        <f>HYPERLINK("https://akshar-exim-company-pvt-ltd.odoo.com/web#id=21876&amp;action=152&amp;model=crm.lead&amp;view_type=form&amp;menu_id=111","C2011146")</f>
        <v>C2011146</v>
      </c>
      <c r="C4770" s="41" t="s">
        <v>19211</v>
      </c>
      <c r="D4770" s="41"/>
      <c r="E4770" s="41" t="s">
        <v>18481</v>
      </c>
      <c r="F4770" s="9">
        <v>10000.0</v>
      </c>
      <c r="G4770" s="321"/>
      <c r="H4770" s="11" t="s">
        <v>906</v>
      </c>
      <c r="I4770" s="276"/>
      <c r="J4770" s="11" t="s">
        <v>25</v>
      </c>
      <c r="K4770" s="12"/>
      <c r="L4770" s="12"/>
      <c r="M4770" s="11" t="s">
        <v>19212</v>
      </c>
      <c r="N4770" s="5" t="s">
        <v>19213</v>
      </c>
      <c r="O4770" s="5" t="s">
        <v>17993</v>
      </c>
      <c r="P4770" s="15"/>
      <c r="Q4770" s="15"/>
      <c r="R4770" s="422"/>
      <c r="S4770" s="15"/>
      <c r="T4770" s="15"/>
      <c r="U4770" s="15"/>
      <c r="V4770" s="15"/>
      <c r="W4770" s="15"/>
      <c r="X4770" s="15"/>
      <c r="Y4770" s="15"/>
      <c r="Z4770" s="15"/>
      <c r="AA4770" s="15"/>
    </row>
    <row r="4771">
      <c r="A4771" s="5" t="s">
        <v>19159</v>
      </c>
      <c r="B4771" s="292" t="str">
        <f>HYPERLINK("https://akshar-exim-company-pvt-ltd.odoo.com/web#id=21875&amp;action=152&amp;model=crm.lead&amp;view_type=form&amp;menu_id=111","C2011145")</f>
        <v>C2011145</v>
      </c>
      <c r="C4771" s="41" t="s">
        <v>19214</v>
      </c>
      <c r="D4771" s="41"/>
      <c r="E4771" s="41" t="s">
        <v>167</v>
      </c>
      <c r="F4771" s="90">
        <v>6.0</v>
      </c>
      <c r="G4771" s="430"/>
      <c r="H4771" s="41" t="s">
        <v>742</v>
      </c>
      <c r="I4771" s="276"/>
      <c r="J4771" s="11" t="s">
        <v>14563</v>
      </c>
      <c r="K4771" s="13"/>
      <c r="L4771" s="13"/>
      <c r="M4771" s="14"/>
      <c r="N4771" s="15"/>
      <c r="O4771" s="5" t="s">
        <v>10708</v>
      </c>
      <c r="P4771" s="15"/>
      <c r="Q4771" s="15"/>
      <c r="R4771" s="422"/>
      <c r="S4771" s="15"/>
      <c r="T4771" s="15"/>
      <c r="U4771" s="15"/>
      <c r="V4771" s="15"/>
      <c r="W4771" s="15"/>
      <c r="X4771" s="15"/>
      <c r="Y4771" s="15"/>
      <c r="Z4771" s="15"/>
      <c r="AA4771" s="15"/>
    </row>
    <row r="4772">
      <c r="A4772" s="5" t="s">
        <v>19159</v>
      </c>
      <c r="B4772" s="292" t="str">
        <f>HYPERLINK("https://akshar-exim-company-pvt-ltd.odoo.com/web#id=21872&amp;action=152&amp;model=crm.lead&amp;view_type=form&amp;menu_id=111","C2011144")</f>
        <v>C2011144</v>
      </c>
      <c r="C4772" s="41" t="s">
        <v>19215</v>
      </c>
      <c r="D4772" s="405"/>
      <c r="E4772" s="405" t="s">
        <v>207</v>
      </c>
      <c r="F4772" s="9">
        <v>10000.0</v>
      </c>
      <c r="G4772" s="321"/>
      <c r="H4772" s="11" t="s">
        <v>278</v>
      </c>
      <c r="I4772" s="276"/>
      <c r="J4772" s="11" t="s">
        <v>8737</v>
      </c>
      <c r="K4772" s="12"/>
      <c r="L4772" s="12"/>
      <c r="M4772" s="11" t="s">
        <v>15179</v>
      </c>
      <c r="N4772" s="5" t="s">
        <v>19216</v>
      </c>
      <c r="O4772" s="5" t="s">
        <v>564</v>
      </c>
      <c r="P4772" s="15"/>
      <c r="Q4772" s="15"/>
      <c r="R4772" s="422"/>
      <c r="S4772" s="15"/>
      <c r="T4772" s="15"/>
      <c r="U4772" s="15"/>
      <c r="V4772" s="15"/>
      <c r="W4772" s="15"/>
      <c r="X4772" s="15"/>
      <c r="Y4772" s="15"/>
      <c r="Z4772" s="15"/>
      <c r="AA4772" s="15"/>
    </row>
    <row r="4773">
      <c r="A4773" s="5" t="s">
        <v>19217</v>
      </c>
      <c r="B4773" s="292" t="str">
        <f>HYPERLINK("https://akshar-exim-company-pvt-ltd.odoo.com/web#id=21870&amp;action=152&amp;model=crm.lead&amp;view_type=form&amp;menu_id=111","C2011143")</f>
        <v>C2011143</v>
      </c>
      <c r="C4773" s="41" t="s">
        <v>19218</v>
      </c>
      <c r="D4773" s="41"/>
      <c r="E4773" s="41" t="s">
        <v>17724</v>
      </c>
      <c r="F4773" s="90">
        <v>1.0</v>
      </c>
      <c r="G4773" s="321"/>
      <c r="H4773" s="11" t="s">
        <v>906</v>
      </c>
      <c r="I4773" s="276"/>
      <c r="J4773" s="11" t="s">
        <v>25</v>
      </c>
      <c r="K4773" s="13"/>
      <c r="L4773" s="13"/>
      <c r="M4773" s="14"/>
      <c r="N4773" s="15"/>
      <c r="O4773" s="5" t="s">
        <v>10708</v>
      </c>
      <c r="P4773" s="15"/>
      <c r="Q4773" s="15"/>
      <c r="R4773" s="422"/>
      <c r="S4773" s="15"/>
      <c r="T4773" s="15"/>
      <c r="U4773" s="15"/>
      <c r="V4773" s="15"/>
      <c r="W4773" s="15"/>
      <c r="X4773" s="15"/>
      <c r="Y4773" s="15"/>
      <c r="Z4773" s="15"/>
      <c r="AA4773" s="15"/>
    </row>
    <row r="4774">
      <c r="A4774" s="5" t="s">
        <v>19217</v>
      </c>
      <c r="B4774" s="292" t="str">
        <f>HYPERLINK("https://akshar-exim-company-pvt-ltd.odoo.com/web#id=21868&amp;action=152&amp;model=crm.lead&amp;view_type=form&amp;menu_id=111","C2011142")</f>
        <v>C2011142</v>
      </c>
      <c r="C4774" s="41" t="s">
        <v>19219</v>
      </c>
      <c r="D4774" s="41"/>
      <c r="E4774" s="41" t="s">
        <v>5756</v>
      </c>
      <c r="F4774" s="90">
        <v>1000.0</v>
      </c>
      <c r="G4774" s="321"/>
      <c r="H4774" s="11" t="s">
        <v>18677</v>
      </c>
      <c r="I4774" s="423"/>
      <c r="J4774" s="14"/>
      <c r="K4774" s="13"/>
      <c r="L4774" s="13"/>
      <c r="M4774" s="14"/>
      <c r="N4774" s="15"/>
      <c r="O4774" s="5" t="s">
        <v>1112</v>
      </c>
      <c r="P4774" s="15"/>
      <c r="Q4774" s="15"/>
      <c r="R4774" s="422"/>
      <c r="S4774" s="15"/>
      <c r="T4774" s="15"/>
      <c r="U4774" s="15"/>
      <c r="V4774" s="15"/>
      <c r="W4774" s="15"/>
      <c r="X4774" s="15"/>
      <c r="Y4774" s="15"/>
      <c r="Z4774" s="15"/>
      <c r="AA4774" s="15"/>
    </row>
    <row r="4775">
      <c r="A4775" s="5" t="s">
        <v>19217</v>
      </c>
      <c r="B4775" s="292" t="str">
        <f>HYPERLINK("https://akshar-exim-company-pvt-ltd.odoo.com/web#id=21866&amp;action=152&amp;model=crm.lead&amp;view_type=form&amp;menu_id=111","C2011141")</f>
        <v>C2011141</v>
      </c>
      <c r="C4775" s="41" t="s">
        <v>19220</v>
      </c>
      <c r="D4775" s="405"/>
      <c r="E4775" s="405" t="s">
        <v>10433</v>
      </c>
      <c r="F4775" s="90">
        <v>100.0</v>
      </c>
      <c r="G4775" s="430"/>
      <c r="H4775" s="41" t="s">
        <v>19221</v>
      </c>
      <c r="I4775" s="276"/>
      <c r="J4775" s="11" t="s">
        <v>19222</v>
      </c>
      <c r="K4775" s="13"/>
      <c r="L4775" s="13"/>
      <c r="M4775" s="14"/>
      <c r="N4775" s="15"/>
      <c r="O4775" s="5" t="s">
        <v>10708</v>
      </c>
      <c r="P4775" s="15"/>
      <c r="Q4775" s="15"/>
      <c r="R4775" s="422"/>
      <c r="S4775" s="15"/>
      <c r="T4775" s="15"/>
      <c r="U4775" s="15"/>
      <c r="V4775" s="15"/>
      <c r="W4775" s="15"/>
      <c r="X4775" s="15"/>
      <c r="Y4775" s="15"/>
      <c r="Z4775" s="15"/>
      <c r="AA4775" s="15"/>
    </row>
    <row r="4776">
      <c r="A4776" s="5" t="s">
        <v>19217</v>
      </c>
      <c r="B4776" s="292" t="str">
        <f>HYPERLINK("https://akshar-exim-company-pvt-ltd.odoo.com/web#id=21864&amp;action=152&amp;model=crm.lead&amp;view_type=form&amp;menu_id=111","C2011140")</f>
        <v>C2011140</v>
      </c>
      <c r="C4776" s="41" t="s">
        <v>19223</v>
      </c>
      <c r="D4776" s="41"/>
      <c r="E4776" s="41" t="s">
        <v>9434</v>
      </c>
      <c r="F4776" s="9">
        <v>10000.0</v>
      </c>
      <c r="G4776" s="321"/>
      <c r="H4776" s="11" t="s">
        <v>18463</v>
      </c>
      <c r="I4776" s="423"/>
      <c r="J4776" s="14"/>
      <c r="K4776" s="12"/>
      <c r="L4776" s="12"/>
      <c r="M4776" s="11" t="s">
        <v>9034</v>
      </c>
      <c r="N4776" s="5" t="s">
        <v>19224</v>
      </c>
      <c r="O4776" s="5" t="s">
        <v>564</v>
      </c>
      <c r="P4776" s="15"/>
      <c r="Q4776" s="15"/>
      <c r="R4776" s="422"/>
      <c r="S4776" s="15"/>
      <c r="T4776" s="15"/>
      <c r="U4776" s="15"/>
      <c r="V4776" s="15"/>
      <c r="W4776" s="15"/>
      <c r="X4776" s="15"/>
      <c r="Y4776" s="15"/>
      <c r="Z4776" s="15"/>
      <c r="AA4776" s="15"/>
    </row>
    <row r="4777">
      <c r="A4777" s="5" t="s">
        <v>19217</v>
      </c>
      <c r="B4777" s="292" t="str">
        <f>HYPERLINK("https://akshar-exim-company-pvt-ltd.odoo.com/web#id=21859&amp;action=152&amp;model=crm.lead&amp;view_type=form&amp;menu_id=111","C2011139")</f>
        <v>C2011139</v>
      </c>
      <c r="C4777" s="41" t="s">
        <v>19103</v>
      </c>
      <c r="D4777" s="11"/>
      <c r="E4777" s="11" t="s">
        <v>2402</v>
      </c>
      <c r="F4777" s="90">
        <v>5.0</v>
      </c>
      <c r="G4777" s="321"/>
      <c r="H4777" s="11" t="s">
        <v>44</v>
      </c>
      <c r="I4777" s="423"/>
      <c r="J4777" s="14"/>
      <c r="K4777" s="13"/>
      <c r="L4777" s="13"/>
      <c r="M4777" s="14"/>
      <c r="N4777" s="15"/>
      <c r="O4777" s="5" t="s">
        <v>10708</v>
      </c>
      <c r="P4777" s="15"/>
      <c r="Q4777" s="15"/>
      <c r="R4777" s="422"/>
      <c r="S4777" s="15"/>
      <c r="T4777" s="15"/>
      <c r="U4777" s="15"/>
      <c r="V4777" s="15"/>
      <c r="W4777" s="15"/>
      <c r="X4777" s="15"/>
      <c r="Y4777" s="15"/>
      <c r="Z4777" s="15"/>
      <c r="AA4777" s="15"/>
    </row>
    <row r="4778">
      <c r="A4778" s="5" t="s">
        <v>19217</v>
      </c>
      <c r="B4778" s="292" t="str">
        <f>HYPERLINK("https://akshar-exim-company-pvt-ltd.odoo.com/web#id=21851&amp;action=152&amp;model=crm.lead&amp;view_type=form&amp;menu_id=111","C2011138")</f>
        <v>C2011138</v>
      </c>
      <c r="C4778" s="41" t="s">
        <v>19225</v>
      </c>
      <c r="D4778" s="41"/>
      <c r="E4778" s="41" t="s">
        <v>167</v>
      </c>
      <c r="F4778" s="90">
        <v>2.0</v>
      </c>
      <c r="G4778" s="430"/>
      <c r="H4778" s="41" t="s">
        <v>19226</v>
      </c>
      <c r="I4778" s="276"/>
      <c r="J4778" s="11" t="s">
        <v>25</v>
      </c>
      <c r="K4778" s="13"/>
      <c r="L4778" s="13"/>
      <c r="M4778" s="14"/>
      <c r="N4778" s="15"/>
      <c r="O4778" s="5" t="s">
        <v>10708</v>
      </c>
      <c r="P4778" s="15"/>
      <c r="Q4778" s="15"/>
      <c r="R4778" s="422"/>
      <c r="S4778" s="15"/>
      <c r="T4778" s="15"/>
      <c r="U4778" s="15"/>
      <c r="V4778" s="15"/>
      <c r="W4778" s="15"/>
      <c r="X4778" s="15"/>
      <c r="Y4778" s="15"/>
      <c r="Z4778" s="15"/>
      <c r="AA4778" s="15"/>
    </row>
    <row r="4779">
      <c r="A4779" s="5" t="s">
        <v>19217</v>
      </c>
      <c r="B4779" s="292" t="str">
        <f>HYPERLINK("https://akshar-exim-company-pvt-ltd.odoo.com/web#id=21848&amp;action=152&amp;model=crm.lead&amp;view_type=form&amp;menu_id=111","C2011137")</f>
        <v>C2011137</v>
      </c>
      <c r="C4779" s="41" t="s">
        <v>19227</v>
      </c>
      <c r="D4779" s="405"/>
      <c r="E4779" s="405" t="s">
        <v>19043</v>
      </c>
      <c r="F4779" s="90">
        <v>25.0</v>
      </c>
      <c r="G4779" s="430"/>
      <c r="H4779" s="41" t="s">
        <v>19228</v>
      </c>
      <c r="I4779" s="423"/>
      <c r="J4779" s="14"/>
      <c r="K4779" s="13"/>
      <c r="L4779" s="13"/>
      <c r="M4779" s="14"/>
      <c r="N4779" s="15"/>
      <c r="O4779" s="5" t="s">
        <v>10708</v>
      </c>
      <c r="P4779" s="15"/>
      <c r="Q4779" s="15"/>
      <c r="R4779" s="422"/>
      <c r="S4779" s="15"/>
      <c r="T4779" s="15"/>
      <c r="U4779" s="15"/>
      <c r="V4779" s="15"/>
      <c r="W4779" s="15"/>
      <c r="X4779" s="15"/>
      <c r="Y4779" s="15"/>
      <c r="Z4779" s="15"/>
      <c r="AA4779" s="15"/>
    </row>
    <row r="4780">
      <c r="A4780" s="5" t="s">
        <v>19217</v>
      </c>
      <c r="B4780" s="292" t="str">
        <f>HYPERLINK("https://akshar-exim-company-pvt-ltd.odoo.com/web#id=21843&amp;action=152&amp;model=crm.lead&amp;view_type=form&amp;menu_id=111","C2011136")</f>
        <v>C2011136</v>
      </c>
      <c r="C4780" s="41" t="s">
        <v>19229</v>
      </c>
      <c r="D4780" s="41"/>
      <c r="E4780" s="41" t="s">
        <v>11581</v>
      </c>
      <c r="F4780" s="9">
        <v>1000000.0</v>
      </c>
      <c r="G4780" s="430"/>
      <c r="H4780" s="41" t="s">
        <v>19230</v>
      </c>
      <c r="I4780" s="276"/>
      <c r="J4780" s="11" t="s">
        <v>25</v>
      </c>
      <c r="K4780" s="12"/>
      <c r="L4780" s="12"/>
      <c r="M4780" s="11" t="s">
        <v>7651</v>
      </c>
      <c r="N4780" s="5" t="s">
        <v>19231</v>
      </c>
      <c r="O4780" s="5" t="s">
        <v>17993</v>
      </c>
      <c r="P4780" s="15"/>
      <c r="Q4780" s="15"/>
      <c r="R4780" s="422"/>
      <c r="S4780" s="15"/>
      <c r="T4780" s="15"/>
      <c r="U4780" s="15"/>
      <c r="V4780" s="15"/>
      <c r="W4780" s="15"/>
      <c r="X4780" s="15"/>
      <c r="Y4780" s="15"/>
      <c r="Z4780" s="15"/>
      <c r="AA4780" s="15"/>
    </row>
    <row r="4781">
      <c r="A4781" s="5" t="s">
        <v>19217</v>
      </c>
      <c r="B4781" s="292" t="str">
        <f>HYPERLINK("https://akshar-exim-company-pvt-ltd.odoo.com/web#id=21842&amp;action=152&amp;model=crm.lead&amp;view_type=form&amp;menu_id=111","C2011135")</f>
        <v>C2011135</v>
      </c>
      <c r="C4781" s="41" t="s">
        <v>19232</v>
      </c>
      <c r="D4781" s="41"/>
      <c r="E4781" s="41" t="s">
        <v>19233</v>
      </c>
      <c r="F4781" s="90">
        <v>100.0</v>
      </c>
      <c r="G4781" s="430"/>
      <c r="H4781" s="41" t="s">
        <v>19234</v>
      </c>
      <c r="I4781" s="276"/>
      <c r="J4781" s="11" t="s">
        <v>17976</v>
      </c>
      <c r="K4781" s="13"/>
      <c r="L4781" s="13"/>
      <c r="M4781" s="14"/>
      <c r="N4781" s="15"/>
      <c r="O4781" s="5" t="s">
        <v>10708</v>
      </c>
      <c r="P4781" s="15"/>
      <c r="Q4781" s="15"/>
      <c r="R4781" s="422"/>
      <c r="S4781" s="15"/>
      <c r="T4781" s="15"/>
      <c r="U4781" s="15"/>
      <c r="V4781" s="15"/>
      <c r="W4781" s="15"/>
      <c r="X4781" s="15"/>
      <c r="Y4781" s="15"/>
      <c r="Z4781" s="15"/>
      <c r="AA4781" s="15"/>
    </row>
    <row r="4782">
      <c r="A4782" s="5" t="s">
        <v>19217</v>
      </c>
      <c r="B4782" s="292" t="str">
        <f>HYPERLINK("https://akshar-exim-company-pvt-ltd.odoo.com/web#id=21840&amp;action=152&amp;model=crm.lead&amp;view_type=form&amp;menu_id=111","C2011134")</f>
        <v>C2011134</v>
      </c>
      <c r="C4782" s="41" t="s">
        <v>19235</v>
      </c>
      <c r="D4782" s="41"/>
      <c r="E4782" s="41" t="s">
        <v>19236</v>
      </c>
      <c r="F4782" s="90">
        <v>100.0</v>
      </c>
      <c r="G4782" s="321"/>
      <c r="H4782" s="11" t="s">
        <v>44</v>
      </c>
      <c r="I4782" s="276"/>
      <c r="J4782" s="11" t="s">
        <v>25</v>
      </c>
      <c r="K4782" s="13"/>
      <c r="L4782" s="13"/>
      <c r="M4782" s="14"/>
      <c r="N4782" s="15"/>
      <c r="O4782" s="5" t="s">
        <v>10708</v>
      </c>
      <c r="P4782" s="15"/>
      <c r="Q4782" s="15"/>
      <c r="R4782" s="422"/>
      <c r="S4782" s="15"/>
      <c r="T4782" s="15"/>
      <c r="U4782" s="15"/>
      <c r="V4782" s="15"/>
      <c r="W4782" s="15"/>
      <c r="X4782" s="15"/>
      <c r="Y4782" s="15"/>
      <c r="Z4782" s="15"/>
      <c r="AA4782" s="15"/>
    </row>
    <row r="4783">
      <c r="A4783" s="5" t="s">
        <v>19217</v>
      </c>
      <c r="B4783" s="292" t="str">
        <f>HYPERLINK("https://akshar-exim-company-pvt-ltd.odoo.com/web#id=21812&amp;action=152&amp;model=crm.lead&amp;view_type=form&amp;menu_id=111","C2011133")</f>
        <v>C2011133</v>
      </c>
      <c r="C4783" s="41" t="s">
        <v>19237</v>
      </c>
      <c r="D4783" s="41"/>
      <c r="E4783" s="41" t="s">
        <v>5502</v>
      </c>
      <c r="F4783" s="90" t="s">
        <v>19238</v>
      </c>
      <c r="G4783" s="321"/>
      <c r="H4783" s="11" t="s">
        <v>19239</v>
      </c>
      <c r="I4783" s="423"/>
      <c r="J4783" s="14"/>
      <c r="K4783" s="12"/>
      <c r="L4783" s="12"/>
      <c r="M4783" s="11" t="s">
        <v>14189</v>
      </c>
      <c r="N4783" s="5" t="s">
        <v>19240</v>
      </c>
      <c r="O4783" s="5" t="s">
        <v>17993</v>
      </c>
      <c r="P4783" s="15"/>
      <c r="Q4783" s="15"/>
      <c r="R4783" s="422"/>
      <c r="S4783" s="15"/>
      <c r="T4783" s="15"/>
      <c r="U4783" s="15"/>
      <c r="V4783" s="15"/>
      <c r="W4783" s="15"/>
      <c r="X4783" s="15"/>
      <c r="Y4783" s="15"/>
      <c r="Z4783" s="15"/>
      <c r="AA4783" s="15"/>
    </row>
    <row r="4784">
      <c r="A4784" s="5" t="s">
        <v>19217</v>
      </c>
      <c r="B4784" s="292" t="str">
        <f>HYPERLINK("https://akshar-exim-company-pvt-ltd.odoo.com/web#id=21839&amp;action=152&amp;model=crm.lead&amp;view_type=form&amp;menu_id=111","C2011132")</f>
        <v>C2011132</v>
      </c>
      <c r="C4784" s="41" t="s">
        <v>19241</v>
      </c>
      <c r="D4784" s="41"/>
      <c r="E4784" s="41" t="s">
        <v>1749</v>
      </c>
      <c r="F4784" s="90">
        <v>20.0</v>
      </c>
      <c r="G4784" s="430"/>
      <c r="H4784" s="41" t="s">
        <v>19242</v>
      </c>
      <c r="I4784" s="276"/>
      <c r="J4784" s="11" t="s">
        <v>25</v>
      </c>
      <c r="K4784" s="13"/>
      <c r="L4784" s="13"/>
      <c r="M4784" s="14"/>
      <c r="N4784" s="15"/>
      <c r="O4784" s="5" t="s">
        <v>10708</v>
      </c>
      <c r="P4784" s="15"/>
      <c r="Q4784" s="15"/>
      <c r="R4784" s="422"/>
      <c r="S4784" s="15"/>
      <c r="T4784" s="15"/>
      <c r="U4784" s="15"/>
      <c r="V4784" s="15"/>
      <c r="W4784" s="15"/>
      <c r="X4784" s="15"/>
      <c r="Y4784" s="15"/>
      <c r="Z4784" s="15"/>
      <c r="AA4784" s="15"/>
    </row>
    <row r="4785">
      <c r="A4785" s="5" t="s">
        <v>19217</v>
      </c>
      <c r="B4785" s="292" t="str">
        <f>HYPERLINK("https://akshar-exim-company-pvt-ltd.odoo.com/web#id=21836&amp;action=152&amp;model=crm.lead&amp;view_type=form&amp;menu_id=111","C2011131")</f>
        <v>C2011131</v>
      </c>
      <c r="C4785" s="41" t="s">
        <v>19243</v>
      </c>
      <c r="D4785" s="41"/>
      <c r="E4785" s="41" t="s">
        <v>19244</v>
      </c>
      <c r="F4785" s="9">
        <v>60000.0</v>
      </c>
      <c r="G4785" s="430"/>
      <c r="H4785" s="41" t="s">
        <v>19245</v>
      </c>
      <c r="I4785" s="276"/>
      <c r="J4785" s="11" t="s">
        <v>17976</v>
      </c>
      <c r="K4785" s="12"/>
      <c r="L4785" s="12"/>
      <c r="M4785" s="11" t="s">
        <v>10342</v>
      </c>
      <c r="N4785" s="5" t="s">
        <v>19246</v>
      </c>
      <c r="O4785" s="5" t="s">
        <v>17993</v>
      </c>
      <c r="P4785" s="15"/>
      <c r="Q4785" s="15"/>
      <c r="R4785" s="422"/>
      <c r="S4785" s="15"/>
      <c r="T4785" s="15"/>
      <c r="U4785" s="15"/>
      <c r="V4785" s="15"/>
      <c r="W4785" s="15"/>
      <c r="X4785" s="15"/>
      <c r="Y4785" s="15"/>
      <c r="Z4785" s="15"/>
      <c r="AA4785" s="15"/>
    </row>
    <row r="4786">
      <c r="A4786" s="5" t="s">
        <v>19217</v>
      </c>
      <c r="B4786" s="292" t="str">
        <f>HYPERLINK("https://akshar-exim-company-pvt-ltd.odoo.com/web#id=21838&amp;action=152&amp;model=crm.lead&amp;view_type=form&amp;menu_id=111","C2011130")</f>
        <v>C2011130</v>
      </c>
      <c r="C4786" s="41" t="s">
        <v>10110</v>
      </c>
      <c r="D4786" s="41"/>
      <c r="E4786" s="41" t="s">
        <v>625</v>
      </c>
      <c r="F4786" s="9">
        <v>35000.0</v>
      </c>
      <c r="G4786" s="430"/>
      <c r="H4786" s="41" t="s">
        <v>19247</v>
      </c>
      <c r="I4786" s="276"/>
      <c r="J4786" s="11" t="s">
        <v>17976</v>
      </c>
      <c r="K4786" s="12"/>
      <c r="L4786" s="12"/>
      <c r="M4786" s="11" t="s">
        <v>18334</v>
      </c>
      <c r="N4786" s="5" t="s">
        <v>19248</v>
      </c>
      <c r="O4786" s="5" t="s">
        <v>564</v>
      </c>
      <c r="P4786" s="15"/>
      <c r="Q4786" s="15"/>
      <c r="R4786" s="422"/>
      <c r="S4786" s="15"/>
      <c r="T4786" s="15"/>
      <c r="U4786" s="15"/>
      <c r="V4786" s="15"/>
      <c r="W4786" s="15"/>
      <c r="X4786" s="15"/>
      <c r="Y4786" s="15"/>
      <c r="Z4786" s="15"/>
      <c r="AA4786" s="15"/>
    </row>
    <row r="4787">
      <c r="A4787" s="5" t="s">
        <v>19217</v>
      </c>
      <c r="B4787" s="292" t="str">
        <f>HYPERLINK("https://akshar-exim-company-pvt-ltd.odoo.com/web#id=21833&amp;action=152&amp;model=crm.lead&amp;view_type=form&amp;menu_id=111","C2011129")</f>
        <v>C2011129</v>
      </c>
      <c r="C4787" s="41" t="s">
        <v>19249</v>
      </c>
      <c r="D4787" s="41"/>
      <c r="E4787" s="41" t="s">
        <v>1230</v>
      </c>
      <c r="F4787" s="9">
        <v>50000.0</v>
      </c>
      <c r="G4787" s="321"/>
      <c r="H4787" s="11" t="s">
        <v>507</v>
      </c>
      <c r="I4787" s="276"/>
      <c r="J4787" s="11" t="s">
        <v>25</v>
      </c>
      <c r="K4787" s="12"/>
      <c r="L4787" s="12"/>
      <c r="M4787" s="11" t="s">
        <v>8348</v>
      </c>
      <c r="N4787" s="5" t="s">
        <v>19250</v>
      </c>
      <c r="O4787" s="5" t="s">
        <v>17993</v>
      </c>
      <c r="P4787" s="15"/>
      <c r="Q4787" s="15"/>
      <c r="R4787" s="422"/>
      <c r="S4787" s="15"/>
      <c r="T4787" s="15"/>
      <c r="U4787" s="15"/>
      <c r="V4787" s="15"/>
      <c r="W4787" s="15"/>
      <c r="X4787" s="15"/>
      <c r="Y4787" s="15"/>
      <c r="Z4787" s="15"/>
      <c r="AA4787" s="15"/>
    </row>
    <row r="4788">
      <c r="A4788" s="5" t="s">
        <v>19217</v>
      </c>
      <c r="B4788" s="292" t="str">
        <f>HYPERLINK("https://akshar-exim-company-pvt-ltd.odoo.com/web#id=21829&amp;action=152&amp;model=crm.lead&amp;view_type=form&amp;menu_id=111","C2011128")</f>
        <v>C2011128</v>
      </c>
      <c r="C4788" s="41" t="s">
        <v>19251</v>
      </c>
      <c r="D4788" s="405"/>
      <c r="E4788" s="405" t="s">
        <v>10409</v>
      </c>
      <c r="F4788" s="90">
        <v>20.0</v>
      </c>
      <c r="G4788" s="430"/>
      <c r="H4788" s="41" t="s">
        <v>18463</v>
      </c>
      <c r="I4788" s="276"/>
      <c r="J4788" s="11" t="s">
        <v>25</v>
      </c>
      <c r="K4788" s="13"/>
      <c r="L4788" s="13"/>
      <c r="M4788" s="14"/>
      <c r="N4788" s="15"/>
      <c r="O4788" s="5" t="s">
        <v>10708</v>
      </c>
      <c r="P4788" s="15"/>
      <c r="Q4788" s="15"/>
      <c r="R4788" s="422"/>
      <c r="S4788" s="15"/>
      <c r="T4788" s="15"/>
      <c r="U4788" s="15"/>
      <c r="V4788" s="15"/>
      <c r="W4788" s="15"/>
      <c r="X4788" s="15"/>
      <c r="Y4788" s="15"/>
      <c r="Z4788" s="15"/>
      <c r="AA4788" s="15"/>
    </row>
    <row r="4789">
      <c r="A4789" s="5" t="s">
        <v>19217</v>
      </c>
      <c r="B4789" s="292" t="str">
        <f>HYPERLINK("https://akshar-exim-company-pvt-ltd.odoo.com/web#id=21827&amp;action=152&amp;model=crm.lead&amp;view_type=form&amp;menu_id=111","C2011127")</f>
        <v>C2011127</v>
      </c>
      <c r="C4789" s="41" t="s">
        <v>19252</v>
      </c>
      <c r="D4789" s="41"/>
      <c r="E4789" s="41" t="s">
        <v>4567</v>
      </c>
      <c r="F4789" s="90">
        <v>2.0</v>
      </c>
      <c r="G4789" s="321"/>
      <c r="H4789" s="11" t="s">
        <v>2682</v>
      </c>
      <c r="I4789" s="276"/>
      <c r="J4789" s="11" t="s">
        <v>14563</v>
      </c>
      <c r="K4789" s="13"/>
      <c r="L4789" s="13"/>
      <c r="M4789" s="14"/>
      <c r="N4789" s="15"/>
      <c r="O4789" s="5" t="s">
        <v>10708</v>
      </c>
      <c r="P4789" s="15"/>
      <c r="Q4789" s="15"/>
      <c r="R4789" s="422"/>
      <c r="S4789" s="15"/>
      <c r="T4789" s="15"/>
      <c r="U4789" s="15"/>
      <c r="V4789" s="15"/>
      <c r="W4789" s="15"/>
      <c r="X4789" s="15"/>
      <c r="Y4789" s="15"/>
      <c r="Z4789" s="15"/>
      <c r="AA4789" s="15"/>
    </row>
    <row r="4790">
      <c r="A4790" s="5" t="s">
        <v>19217</v>
      </c>
      <c r="B4790" s="292" t="str">
        <f>HYPERLINK("https://akshar-exim-company-pvt-ltd.odoo.com/web#id=21824&amp;action=152&amp;model=crm.lead&amp;view_type=form&amp;menu_id=111","C2011126")</f>
        <v>C2011126</v>
      </c>
      <c r="C4790" s="435" t="s">
        <v>19253</v>
      </c>
      <c r="D4790" s="441"/>
      <c r="E4790" s="441" t="s">
        <v>6760</v>
      </c>
      <c r="F4790" s="90">
        <v>1.0</v>
      </c>
      <c r="G4790" s="321"/>
      <c r="H4790" s="11" t="s">
        <v>9266</v>
      </c>
      <c r="I4790" s="276"/>
      <c r="J4790" s="11" t="s">
        <v>17976</v>
      </c>
      <c r="K4790" s="13"/>
      <c r="L4790" s="13"/>
      <c r="M4790" s="14"/>
      <c r="N4790" s="15"/>
      <c r="O4790" s="5" t="s">
        <v>10708</v>
      </c>
      <c r="P4790" s="15"/>
      <c r="Q4790" s="15"/>
      <c r="R4790" s="422"/>
      <c r="S4790" s="15"/>
      <c r="T4790" s="15"/>
      <c r="U4790" s="15"/>
      <c r="V4790" s="15"/>
      <c r="W4790" s="15"/>
      <c r="X4790" s="15"/>
      <c r="Y4790" s="15"/>
      <c r="Z4790" s="15"/>
      <c r="AA4790" s="15"/>
    </row>
    <row r="4791">
      <c r="A4791" s="5" t="s">
        <v>19217</v>
      </c>
      <c r="B4791" s="292" t="str">
        <f>HYPERLINK("https://akshar-exim-company-pvt-ltd.odoo.com/web#id=21820&amp;action=152&amp;model=crm.lead&amp;view_type=form&amp;menu_id=111","C2011125")</f>
        <v>C2011125</v>
      </c>
      <c r="C4791" s="41" t="s">
        <v>19254</v>
      </c>
      <c r="D4791" s="41"/>
      <c r="E4791" s="41" t="s">
        <v>2482</v>
      </c>
      <c r="F4791" s="90">
        <v>4.0</v>
      </c>
      <c r="G4791" s="321"/>
      <c r="H4791" s="11" t="s">
        <v>99</v>
      </c>
      <c r="I4791" s="276"/>
      <c r="J4791" s="11" t="s">
        <v>19137</v>
      </c>
      <c r="K4791" s="13"/>
      <c r="L4791" s="13"/>
      <c r="M4791" s="14"/>
      <c r="N4791" s="15"/>
      <c r="O4791" s="5" t="s">
        <v>10708</v>
      </c>
      <c r="P4791" s="15"/>
      <c r="Q4791" s="15"/>
      <c r="R4791" s="422"/>
      <c r="S4791" s="15"/>
      <c r="T4791" s="15"/>
      <c r="U4791" s="15"/>
      <c r="V4791" s="15"/>
      <c r="W4791" s="15"/>
      <c r="X4791" s="15"/>
      <c r="Y4791" s="15"/>
      <c r="Z4791" s="15"/>
      <c r="AA4791" s="15"/>
    </row>
    <row r="4792">
      <c r="A4792" s="5" t="s">
        <v>19217</v>
      </c>
      <c r="B4792" s="292" t="str">
        <f>HYPERLINK("https://akshar-exim-company-pvt-ltd.odoo.com/web#id=21819&amp;action=152&amp;model=crm.lead&amp;view_type=form&amp;menu_id=111","C2011124")</f>
        <v>C2011124</v>
      </c>
      <c r="C4792" s="41" t="s">
        <v>19255</v>
      </c>
      <c r="D4792" s="41"/>
      <c r="E4792" s="41" t="s">
        <v>11816</v>
      </c>
      <c r="F4792" s="90">
        <v>5.0</v>
      </c>
      <c r="G4792" s="321"/>
      <c r="H4792" s="11" t="s">
        <v>44</v>
      </c>
      <c r="I4792" s="276"/>
      <c r="J4792" s="11" t="s">
        <v>14608</v>
      </c>
      <c r="K4792" s="13"/>
      <c r="L4792" s="13"/>
      <c r="M4792" s="14"/>
      <c r="N4792" s="15"/>
      <c r="O4792" s="5" t="s">
        <v>10708</v>
      </c>
      <c r="P4792" s="15"/>
      <c r="Q4792" s="15"/>
      <c r="R4792" s="422"/>
      <c r="S4792" s="15"/>
      <c r="T4792" s="15"/>
      <c r="U4792" s="15"/>
      <c r="V4792" s="15"/>
      <c r="W4792" s="15"/>
      <c r="X4792" s="15"/>
      <c r="Y4792" s="15"/>
      <c r="Z4792" s="15"/>
      <c r="AA4792" s="15"/>
    </row>
    <row r="4793">
      <c r="A4793" s="5" t="s">
        <v>19217</v>
      </c>
      <c r="B4793" s="292" t="str">
        <f>HYPERLINK("https://akshar-exim-company-pvt-ltd.odoo.com/web#id=21817&amp;action=152&amp;model=crm.lead&amp;view_type=form&amp;menu_id=111","C2011123")</f>
        <v>C2011123</v>
      </c>
      <c r="C4793" s="41" t="s">
        <v>19256</v>
      </c>
      <c r="D4793" s="41"/>
      <c r="E4793" s="41" t="s">
        <v>19257</v>
      </c>
      <c r="F4793" s="90">
        <v>25.0</v>
      </c>
      <c r="G4793" s="321"/>
      <c r="H4793" s="11" t="s">
        <v>44</v>
      </c>
      <c r="I4793" s="276"/>
      <c r="J4793" s="11" t="s">
        <v>17976</v>
      </c>
      <c r="K4793" s="13"/>
      <c r="L4793" s="13"/>
      <c r="M4793" s="14"/>
      <c r="N4793" s="15"/>
      <c r="O4793" s="5" t="s">
        <v>10708</v>
      </c>
      <c r="P4793" s="15"/>
      <c r="Q4793" s="15"/>
      <c r="R4793" s="422"/>
      <c r="S4793" s="15"/>
      <c r="T4793" s="15"/>
      <c r="U4793" s="15"/>
      <c r="V4793" s="15"/>
      <c r="W4793" s="15"/>
      <c r="X4793" s="15"/>
      <c r="Y4793" s="15"/>
      <c r="Z4793" s="15"/>
      <c r="AA4793" s="15"/>
    </row>
    <row r="4794">
      <c r="A4794" s="5" t="s">
        <v>19217</v>
      </c>
      <c r="B4794" s="292" t="str">
        <f>HYPERLINK("https://akshar-exim-company-pvt-ltd.odoo.com/web#id=21816&amp;action=152&amp;model=crm.lead&amp;view_type=form&amp;menu_id=111","C2011122")</f>
        <v>C2011122</v>
      </c>
      <c r="C4794" s="41" t="s">
        <v>19258</v>
      </c>
      <c r="D4794" s="405"/>
      <c r="E4794" s="405" t="s">
        <v>5761</v>
      </c>
      <c r="F4794" s="90">
        <v>25.0</v>
      </c>
      <c r="G4794" s="430"/>
      <c r="H4794" s="41" t="s">
        <v>19259</v>
      </c>
      <c r="I4794" s="276"/>
      <c r="J4794" s="11" t="s">
        <v>25</v>
      </c>
      <c r="K4794" s="13"/>
      <c r="L4794" s="13"/>
      <c r="M4794" s="14"/>
      <c r="N4794" s="15"/>
      <c r="O4794" s="5" t="s">
        <v>10708</v>
      </c>
      <c r="P4794" s="15"/>
      <c r="Q4794" s="15"/>
      <c r="R4794" s="422"/>
      <c r="S4794" s="15"/>
      <c r="T4794" s="15"/>
      <c r="U4794" s="15"/>
      <c r="V4794" s="15"/>
      <c r="W4794" s="15"/>
      <c r="X4794" s="15"/>
      <c r="Y4794" s="15"/>
      <c r="Z4794" s="15"/>
      <c r="AA4794" s="15"/>
    </row>
    <row r="4795">
      <c r="A4795" s="5" t="s">
        <v>19217</v>
      </c>
      <c r="B4795" s="292" t="str">
        <f>HYPERLINK("https://akshar-exim-company-pvt-ltd.odoo.com/web#id=21815&amp;action=152&amp;model=crm.lead&amp;view_type=form&amp;menu_id=111","C2011121")</f>
        <v>C2011121</v>
      </c>
      <c r="C4795" s="41" t="s">
        <v>19260</v>
      </c>
      <c r="D4795" s="41"/>
      <c r="E4795" s="41" t="s">
        <v>116</v>
      </c>
      <c r="F4795" s="90">
        <v>2.0</v>
      </c>
      <c r="G4795" s="430"/>
      <c r="H4795" s="41" t="s">
        <v>19060</v>
      </c>
      <c r="I4795" s="276"/>
      <c r="J4795" s="11" t="s">
        <v>19261</v>
      </c>
      <c r="K4795" s="13"/>
      <c r="L4795" s="13"/>
      <c r="M4795" s="14"/>
      <c r="N4795" s="15"/>
      <c r="O4795" s="5" t="s">
        <v>10708</v>
      </c>
      <c r="P4795" s="15"/>
      <c r="Q4795" s="15"/>
      <c r="R4795" s="422"/>
      <c r="S4795" s="15"/>
      <c r="T4795" s="15"/>
      <c r="U4795" s="15"/>
      <c r="V4795" s="15"/>
      <c r="W4795" s="15"/>
      <c r="X4795" s="15"/>
      <c r="Y4795" s="15"/>
      <c r="Z4795" s="15"/>
      <c r="AA4795" s="15"/>
    </row>
    <row r="4796">
      <c r="A4796" s="5" t="s">
        <v>19217</v>
      </c>
      <c r="B4796" s="292" t="str">
        <f>HYPERLINK("https://akshar-exim-company-pvt-ltd.odoo.com/web#id=21814&amp;action=152&amp;model=crm.lead&amp;view_type=form&amp;menu_id=111","C2011120")</f>
        <v>C2011120</v>
      </c>
      <c r="C4796" s="41" t="s">
        <v>19262</v>
      </c>
      <c r="D4796" s="11"/>
      <c r="E4796" s="11" t="s">
        <v>207</v>
      </c>
      <c r="F4796" s="90">
        <v>500.0</v>
      </c>
      <c r="G4796" s="430"/>
      <c r="H4796" s="41" t="s">
        <v>19263</v>
      </c>
      <c r="I4796" s="276"/>
      <c r="J4796" s="11" t="s">
        <v>25</v>
      </c>
      <c r="K4796" s="12"/>
      <c r="L4796" s="12"/>
      <c r="M4796" s="11" t="s">
        <v>7884</v>
      </c>
      <c r="N4796" s="5" t="s">
        <v>19264</v>
      </c>
      <c r="O4796" s="5" t="s">
        <v>17993</v>
      </c>
      <c r="P4796" s="15"/>
      <c r="Q4796" s="15"/>
      <c r="R4796" s="422"/>
      <c r="S4796" s="15"/>
      <c r="T4796" s="15"/>
      <c r="U4796" s="15"/>
      <c r="V4796" s="15"/>
      <c r="W4796" s="15"/>
      <c r="X4796" s="15"/>
      <c r="Y4796" s="15"/>
      <c r="Z4796" s="15"/>
      <c r="AA4796" s="15"/>
    </row>
    <row r="4797">
      <c r="A4797" s="5" t="s">
        <v>19217</v>
      </c>
      <c r="B4797" s="292" t="str">
        <f>HYPERLINK("https://akshar-exim-company-pvt-ltd.odoo.com/web#id=21809&amp;action=152&amp;model=crm.lead&amp;view_type=form&amp;menu_id=111","C2011119")</f>
        <v>C2011119</v>
      </c>
      <c r="C4797" s="41" t="s">
        <v>19265</v>
      </c>
      <c r="D4797" s="41"/>
      <c r="E4797" s="41" t="s">
        <v>7197</v>
      </c>
      <c r="F4797" s="9">
        <v>17000.0</v>
      </c>
      <c r="G4797" s="321"/>
      <c r="H4797" s="11" t="s">
        <v>15572</v>
      </c>
      <c r="I4797" s="276"/>
      <c r="J4797" s="11" t="s">
        <v>4008</v>
      </c>
      <c r="K4797" s="12"/>
      <c r="L4797" s="12"/>
      <c r="M4797" s="11" t="s">
        <v>9776</v>
      </c>
      <c r="N4797" s="5" t="s">
        <v>19266</v>
      </c>
      <c r="O4797" s="5" t="s">
        <v>13963</v>
      </c>
      <c r="P4797" s="15"/>
      <c r="Q4797" s="15"/>
      <c r="R4797" s="422"/>
      <c r="S4797" s="15"/>
      <c r="T4797" s="15"/>
      <c r="U4797" s="15"/>
      <c r="V4797" s="15"/>
      <c r="W4797" s="15"/>
      <c r="X4797" s="15"/>
      <c r="Y4797" s="15"/>
      <c r="Z4797" s="15"/>
      <c r="AA4797" s="15"/>
    </row>
    <row r="4798">
      <c r="A4798" s="5" t="s">
        <v>19217</v>
      </c>
      <c r="B4798" s="292" t="str">
        <f>HYPERLINK("https://akshar-exim-company-pvt-ltd.odoo.com/web#id=21810&amp;action=152&amp;model=crm.lead&amp;view_type=form&amp;menu_id=111","C2011118")</f>
        <v>C2011118</v>
      </c>
      <c r="C4798" s="41" t="s">
        <v>19267</v>
      </c>
      <c r="D4798" s="11"/>
      <c r="E4798" s="11" t="s">
        <v>152</v>
      </c>
      <c r="F4798" s="9">
        <v>15000.0</v>
      </c>
      <c r="G4798" s="430"/>
      <c r="H4798" s="41" t="s">
        <v>19268</v>
      </c>
      <c r="I4798" s="276"/>
      <c r="J4798" s="11" t="s">
        <v>25</v>
      </c>
      <c r="K4798" s="12"/>
      <c r="L4798" s="12"/>
      <c r="M4798" s="11" t="s">
        <v>15852</v>
      </c>
      <c r="N4798" s="5" t="s">
        <v>19269</v>
      </c>
      <c r="O4798" s="5" t="s">
        <v>17993</v>
      </c>
      <c r="P4798" s="15"/>
      <c r="Q4798" s="15"/>
      <c r="R4798" s="422"/>
      <c r="S4798" s="15"/>
      <c r="T4798" s="15"/>
      <c r="U4798" s="15"/>
      <c r="V4798" s="15"/>
      <c r="W4798" s="15"/>
      <c r="X4798" s="15"/>
      <c r="Y4798" s="15"/>
      <c r="Z4798" s="15"/>
      <c r="AA4798" s="15"/>
    </row>
    <row r="4799">
      <c r="A4799" s="5" t="s">
        <v>19217</v>
      </c>
      <c r="B4799" s="292" t="str">
        <f>HYPERLINK("https://akshar-exim-company-pvt-ltd.odoo.com/web#id=21806&amp;action=152&amp;model=crm.lead&amp;view_type=form&amp;menu_id=111","C2011117")</f>
        <v>C2011117</v>
      </c>
      <c r="C4799" s="41" t="s">
        <v>19270</v>
      </c>
      <c r="D4799" s="41"/>
      <c r="E4799" s="41" t="s">
        <v>19271</v>
      </c>
      <c r="F4799" s="90">
        <v>5000.0</v>
      </c>
      <c r="G4799" s="321"/>
      <c r="H4799" s="11" t="s">
        <v>44</v>
      </c>
      <c r="I4799" s="276"/>
      <c r="J4799" s="11" t="s">
        <v>17976</v>
      </c>
      <c r="K4799" s="13"/>
      <c r="L4799" s="13"/>
      <c r="M4799" s="14"/>
      <c r="N4799" s="15"/>
      <c r="O4799" s="5" t="s">
        <v>564</v>
      </c>
      <c r="P4799" s="15"/>
      <c r="Q4799" s="15"/>
      <c r="R4799" s="422"/>
      <c r="S4799" s="15"/>
      <c r="T4799" s="15"/>
      <c r="U4799" s="15"/>
      <c r="V4799" s="15"/>
      <c r="W4799" s="15"/>
      <c r="X4799" s="15"/>
      <c r="Y4799" s="15"/>
      <c r="Z4799" s="15"/>
      <c r="AA4799" s="15"/>
    </row>
    <row r="4800">
      <c r="A4800" s="5" t="s">
        <v>19217</v>
      </c>
      <c r="B4800" s="292" t="str">
        <f>HYPERLINK("https://akshar-exim-company-pvt-ltd.odoo.com/web#id=21799&amp;action=152&amp;model=crm.lead&amp;view_type=form&amp;menu_id=111","C2011116")</f>
        <v>C2011116</v>
      </c>
      <c r="C4800" s="41" t="s">
        <v>19272</v>
      </c>
      <c r="D4800" s="41"/>
      <c r="E4800" s="41" t="s">
        <v>19273</v>
      </c>
      <c r="F4800" s="90">
        <v>50.0</v>
      </c>
      <c r="G4800" s="321"/>
      <c r="H4800" s="11" t="s">
        <v>2682</v>
      </c>
      <c r="I4800" s="276"/>
      <c r="J4800" s="11" t="s">
        <v>25</v>
      </c>
      <c r="K4800" s="13"/>
      <c r="L4800" s="13"/>
      <c r="M4800" s="14"/>
      <c r="N4800" s="15"/>
      <c r="O4800" s="5" t="s">
        <v>10708</v>
      </c>
      <c r="P4800" s="15"/>
      <c r="Q4800" s="15"/>
      <c r="R4800" s="422"/>
      <c r="S4800" s="15"/>
      <c r="T4800" s="15"/>
      <c r="U4800" s="15"/>
      <c r="V4800" s="15"/>
      <c r="W4800" s="15"/>
      <c r="X4800" s="15"/>
      <c r="Y4800" s="15"/>
      <c r="Z4800" s="15"/>
      <c r="AA4800" s="15"/>
    </row>
    <row r="4801">
      <c r="A4801" s="5" t="s">
        <v>19217</v>
      </c>
      <c r="B4801" s="292" t="str">
        <f>HYPERLINK("https://akshar-exim-company-pvt-ltd.odoo.com/web#id=21788&amp;action=152&amp;model=crm.lead&amp;view_type=form&amp;menu_id=111","C2011115")</f>
        <v>C2011115</v>
      </c>
      <c r="C4801" s="41" t="s">
        <v>19274</v>
      </c>
      <c r="D4801" s="11"/>
      <c r="E4801" s="11" t="s">
        <v>152</v>
      </c>
      <c r="F4801" s="90">
        <v>50.0</v>
      </c>
      <c r="G4801" s="321"/>
      <c r="H4801" s="11" t="s">
        <v>19275</v>
      </c>
      <c r="I4801" s="276"/>
      <c r="J4801" s="11" t="s">
        <v>19276</v>
      </c>
      <c r="K4801" s="13"/>
      <c r="L4801" s="13"/>
      <c r="M4801" s="14"/>
      <c r="N4801" s="15"/>
      <c r="O4801" s="5" t="s">
        <v>10708</v>
      </c>
      <c r="P4801" s="15"/>
      <c r="Q4801" s="15"/>
      <c r="R4801" s="422"/>
      <c r="S4801" s="15"/>
      <c r="T4801" s="15"/>
      <c r="U4801" s="15"/>
      <c r="V4801" s="15"/>
      <c r="W4801" s="15"/>
      <c r="X4801" s="15"/>
      <c r="Y4801" s="15"/>
      <c r="Z4801" s="15"/>
      <c r="AA4801" s="15"/>
    </row>
    <row r="4802">
      <c r="A4802" s="5" t="s">
        <v>19217</v>
      </c>
      <c r="B4802" s="292" t="str">
        <f>HYPERLINK("https://akshar-exim-company-pvt-ltd.odoo.com/web#id=21776&amp;action=152&amp;model=crm.lead&amp;view_type=form&amp;menu_id=111","C2011114")</f>
        <v>C2011114</v>
      </c>
      <c r="C4802" s="41" t="s">
        <v>19277</v>
      </c>
      <c r="D4802" s="405"/>
      <c r="E4802" s="405" t="s">
        <v>4229</v>
      </c>
      <c r="F4802" s="90">
        <v>50.0</v>
      </c>
      <c r="G4802" s="321"/>
      <c r="H4802" s="11" t="s">
        <v>158</v>
      </c>
      <c r="I4802" s="276"/>
      <c r="J4802" s="11" t="s">
        <v>19278</v>
      </c>
      <c r="K4802" s="13"/>
      <c r="L4802" s="13"/>
      <c r="M4802" s="14"/>
      <c r="N4802" s="15"/>
      <c r="O4802" s="5" t="s">
        <v>10708</v>
      </c>
      <c r="P4802" s="15"/>
      <c r="Q4802" s="15"/>
      <c r="R4802" s="422"/>
      <c r="S4802" s="15"/>
      <c r="T4802" s="15"/>
      <c r="U4802" s="15"/>
      <c r="V4802" s="15"/>
      <c r="W4802" s="15"/>
      <c r="X4802" s="15"/>
      <c r="Y4802" s="15"/>
      <c r="Z4802" s="15"/>
      <c r="AA4802" s="15"/>
    </row>
    <row r="4803">
      <c r="A4803" s="5" t="s">
        <v>19279</v>
      </c>
      <c r="B4803" s="292" t="str">
        <f>HYPERLINK("https://akshar-exim-company-pvt-ltd.odoo.com/web#id=21753&amp;action=152&amp;model=crm.lead&amp;view_type=form&amp;menu_id=111","C2011113")</f>
        <v>C2011113</v>
      </c>
      <c r="C4803" s="41" t="s">
        <v>19280</v>
      </c>
      <c r="D4803" s="405"/>
      <c r="E4803" s="405" t="s">
        <v>2482</v>
      </c>
      <c r="F4803" s="90">
        <v>25.0</v>
      </c>
      <c r="G4803" s="430"/>
      <c r="H4803" s="41" t="s">
        <v>44</v>
      </c>
      <c r="I4803" s="276"/>
      <c r="J4803" s="11" t="s">
        <v>13956</v>
      </c>
      <c r="K4803" s="13"/>
      <c r="L4803" s="13"/>
      <c r="M4803" s="14"/>
      <c r="N4803" s="15"/>
      <c r="O4803" s="5" t="s">
        <v>10708</v>
      </c>
      <c r="P4803" s="15"/>
      <c r="Q4803" s="15"/>
      <c r="R4803" s="422"/>
      <c r="S4803" s="15"/>
      <c r="T4803" s="15"/>
      <c r="U4803" s="15"/>
      <c r="V4803" s="15"/>
      <c r="W4803" s="15"/>
      <c r="X4803" s="15"/>
      <c r="Y4803" s="15"/>
      <c r="Z4803" s="15"/>
      <c r="AA4803" s="15"/>
    </row>
    <row r="4804">
      <c r="A4804" s="5" t="s">
        <v>19279</v>
      </c>
      <c r="B4804" s="292" t="str">
        <f>HYPERLINK("https://akshar-exim-company-pvt-ltd.odoo.com/web#id=21746&amp;action=152&amp;model=crm.lead&amp;view_type=form&amp;menu_id=111","C2011112")</f>
        <v>C2011112</v>
      </c>
      <c r="C4804" s="41" t="s">
        <v>19281</v>
      </c>
      <c r="D4804" s="405"/>
      <c r="E4804" s="405" t="s">
        <v>12021</v>
      </c>
      <c r="F4804" s="90">
        <v>500.0</v>
      </c>
      <c r="G4804" s="321"/>
      <c r="H4804" s="11" t="s">
        <v>19282</v>
      </c>
      <c r="I4804" s="423"/>
      <c r="J4804" s="14"/>
      <c r="K4804" s="12"/>
      <c r="L4804" s="12"/>
      <c r="M4804" s="11" t="s">
        <v>17434</v>
      </c>
      <c r="N4804" s="5" t="s">
        <v>19283</v>
      </c>
      <c r="O4804" s="5" t="s">
        <v>10708</v>
      </c>
      <c r="P4804" s="15"/>
      <c r="Q4804" s="15"/>
      <c r="R4804" s="422"/>
      <c r="S4804" s="15"/>
      <c r="T4804" s="15"/>
      <c r="U4804" s="15"/>
      <c r="V4804" s="15"/>
      <c r="W4804" s="15"/>
      <c r="X4804" s="15"/>
      <c r="Y4804" s="15"/>
      <c r="Z4804" s="15"/>
      <c r="AA4804" s="15"/>
    </row>
    <row r="4805">
      <c r="A4805" s="5" t="s">
        <v>19279</v>
      </c>
      <c r="B4805" s="292" t="str">
        <f>HYPERLINK("https://akshar-exim-company-pvt-ltd.odoo.com/web#id=21804&amp;action=152&amp;model=crm.lead&amp;view_type=form&amp;menu_id=111","C2011111")</f>
        <v>C2011111</v>
      </c>
      <c r="C4805" s="41" t="s">
        <v>19284</v>
      </c>
      <c r="D4805" s="405"/>
      <c r="E4805" s="405" t="s">
        <v>9237</v>
      </c>
      <c r="F4805" s="90">
        <v>1000.0</v>
      </c>
      <c r="G4805" s="430"/>
      <c r="H4805" s="41" t="s">
        <v>742</v>
      </c>
      <c r="I4805" s="423"/>
      <c r="J4805" s="14"/>
      <c r="K4805" s="12"/>
      <c r="L4805" s="12"/>
      <c r="M4805" s="11" t="s">
        <v>19285</v>
      </c>
      <c r="N4805" s="5" t="s">
        <v>19286</v>
      </c>
      <c r="O4805" s="5" t="s">
        <v>17993</v>
      </c>
      <c r="P4805" s="15"/>
      <c r="Q4805" s="15"/>
      <c r="R4805" s="422"/>
      <c r="S4805" s="15"/>
      <c r="T4805" s="15"/>
      <c r="U4805" s="15"/>
      <c r="V4805" s="15"/>
      <c r="W4805" s="15"/>
      <c r="X4805" s="15"/>
      <c r="Y4805" s="15"/>
      <c r="Z4805" s="15"/>
      <c r="AA4805" s="15"/>
    </row>
    <row r="4806">
      <c r="A4806" s="5" t="s">
        <v>19279</v>
      </c>
      <c r="B4806" s="292" t="str">
        <f>HYPERLINK("https://akshar-exim-company-pvt-ltd.odoo.com/web#id=21805&amp;action=152&amp;model=crm.lead&amp;view_type=form&amp;menu_id=111","C2011110")</f>
        <v>C2011110</v>
      </c>
      <c r="C4806" s="41" t="s">
        <v>14384</v>
      </c>
      <c r="D4806" s="41"/>
      <c r="E4806" s="41" t="s">
        <v>8674</v>
      </c>
      <c r="F4806" s="90">
        <v>6.0</v>
      </c>
      <c r="G4806" s="321"/>
      <c r="H4806" s="11" t="s">
        <v>906</v>
      </c>
      <c r="I4806" s="276"/>
      <c r="J4806" s="11" t="s">
        <v>25</v>
      </c>
      <c r="K4806" s="13"/>
      <c r="L4806" s="13"/>
      <c r="M4806" s="14"/>
      <c r="N4806" s="15"/>
      <c r="O4806" s="5" t="s">
        <v>10708</v>
      </c>
      <c r="P4806" s="15"/>
      <c r="Q4806" s="15"/>
      <c r="R4806" s="422"/>
      <c r="S4806" s="15"/>
      <c r="T4806" s="15"/>
      <c r="U4806" s="15"/>
      <c r="V4806" s="15"/>
      <c r="W4806" s="15"/>
      <c r="X4806" s="15"/>
      <c r="Y4806" s="15"/>
      <c r="Z4806" s="15"/>
      <c r="AA4806" s="15"/>
    </row>
    <row r="4807">
      <c r="A4807" s="5" t="s">
        <v>19279</v>
      </c>
      <c r="B4807" s="292" t="str">
        <f>HYPERLINK("https://akshar-exim-company-pvt-ltd.odoo.com/web#id=21803&amp;action=152&amp;model=crm.lead&amp;view_type=form&amp;menu_id=111","C2011109")</f>
        <v>C2011109</v>
      </c>
      <c r="C4807" s="41" t="s">
        <v>19287</v>
      </c>
      <c r="D4807" s="41"/>
      <c r="E4807" s="41" t="s">
        <v>6323</v>
      </c>
      <c r="F4807" s="90">
        <v>6000.0</v>
      </c>
      <c r="G4807" s="321"/>
      <c r="H4807" s="11" t="s">
        <v>44</v>
      </c>
      <c r="I4807" s="276"/>
      <c r="J4807" s="11" t="s">
        <v>25</v>
      </c>
      <c r="K4807" s="12"/>
      <c r="L4807" s="12"/>
      <c r="M4807" s="11" t="s">
        <v>9531</v>
      </c>
      <c r="N4807" s="5" t="s">
        <v>19288</v>
      </c>
      <c r="O4807" s="5" t="s">
        <v>10708</v>
      </c>
      <c r="P4807" s="15"/>
      <c r="Q4807" s="15"/>
      <c r="R4807" s="422"/>
      <c r="S4807" s="15"/>
      <c r="T4807" s="15"/>
      <c r="U4807" s="15"/>
      <c r="V4807" s="15"/>
      <c r="W4807" s="15"/>
      <c r="X4807" s="15"/>
      <c r="Y4807" s="15"/>
      <c r="Z4807" s="15"/>
      <c r="AA4807" s="15"/>
    </row>
    <row r="4808">
      <c r="A4808" s="5" t="s">
        <v>19279</v>
      </c>
      <c r="B4808" s="292" t="str">
        <f>HYPERLINK("https://akshar-exim-company-pvt-ltd.odoo.com/web#id=21800&amp;action=152&amp;model=crm.lead&amp;view_type=form&amp;menu_id=111","C2011108")</f>
        <v>C2011108</v>
      </c>
      <c r="C4808" s="41" t="s">
        <v>19289</v>
      </c>
      <c r="D4808" s="41"/>
      <c r="E4808" s="41" t="s">
        <v>9237</v>
      </c>
      <c r="F4808" s="90">
        <v>500.0</v>
      </c>
      <c r="G4808" s="430"/>
      <c r="H4808" s="41" t="s">
        <v>19290</v>
      </c>
      <c r="I4808" s="97"/>
      <c r="J4808" s="41" t="s">
        <v>7109</v>
      </c>
      <c r="K4808" s="12"/>
      <c r="L4808" s="12"/>
      <c r="M4808" s="11" t="s">
        <v>19291</v>
      </c>
      <c r="N4808" s="5" t="s">
        <v>19292</v>
      </c>
      <c r="O4808" s="5" t="s">
        <v>17993</v>
      </c>
      <c r="P4808" s="15"/>
      <c r="Q4808" s="15"/>
      <c r="R4808" s="422"/>
      <c r="S4808" s="15"/>
      <c r="T4808" s="15"/>
      <c r="U4808" s="15"/>
      <c r="V4808" s="15"/>
      <c r="W4808" s="15"/>
      <c r="X4808" s="15"/>
      <c r="Y4808" s="15"/>
      <c r="Z4808" s="15"/>
      <c r="AA4808" s="15"/>
    </row>
    <row r="4809">
      <c r="A4809" s="5" t="s">
        <v>19279</v>
      </c>
      <c r="B4809" s="292" t="str">
        <f>HYPERLINK("https://akshar-exim-company-pvt-ltd.odoo.com/web#id=21798&amp;action=152&amp;model=crm.lead&amp;view_type=form&amp;menu_id=111","C2011107")</f>
        <v>C2011107</v>
      </c>
      <c r="C4809" s="41" t="s">
        <v>19293</v>
      </c>
      <c r="D4809" s="41"/>
      <c r="E4809" s="41" t="s">
        <v>9634</v>
      </c>
      <c r="F4809" s="9">
        <v>120000.0</v>
      </c>
      <c r="G4809" s="430"/>
      <c r="H4809" s="41" t="s">
        <v>19294</v>
      </c>
      <c r="I4809" s="276"/>
      <c r="J4809" s="11" t="s">
        <v>17976</v>
      </c>
      <c r="K4809" s="12"/>
      <c r="L4809" s="12"/>
      <c r="M4809" s="11" t="s">
        <v>14070</v>
      </c>
      <c r="N4809" s="5" t="s">
        <v>19295</v>
      </c>
      <c r="O4809" s="5" t="s">
        <v>17993</v>
      </c>
      <c r="P4809" s="15"/>
      <c r="Q4809" s="15"/>
      <c r="R4809" s="422"/>
      <c r="S4809" s="15"/>
      <c r="T4809" s="15"/>
      <c r="U4809" s="15"/>
      <c r="V4809" s="15"/>
      <c r="W4809" s="15"/>
      <c r="X4809" s="15"/>
      <c r="Y4809" s="15"/>
      <c r="Z4809" s="15"/>
      <c r="AA4809" s="15"/>
    </row>
    <row r="4810">
      <c r="A4810" s="5" t="s">
        <v>19279</v>
      </c>
      <c r="B4810" s="292" t="str">
        <f>HYPERLINK("https://akshar-exim-company-pvt-ltd.odoo.com/web#id=21797&amp;action=152&amp;model=crm.lead&amp;view_type=form&amp;menu_id=111","C2011106")</f>
        <v>C2011106</v>
      </c>
      <c r="C4810" s="41" t="s">
        <v>19296</v>
      </c>
      <c r="D4810" s="405"/>
      <c r="E4810" s="405" t="s">
        <v>19297</v>
      </c>
      <c r="F4810" s="90">
        <v>1.0</v>
      </c>
      <c r="G4810" s="321"/>
      <c r="H4810" s="11" t="s">
        <v>44</v>
      </c>
      <c r="I4810" s="423"/>
      <c r="J4810" s="14"/>
      <c r="K4810" s="13"/>
      <c r="L4810" s="13"/>
      <c r="M4810" s="14"/>
      <c r="N4810" s="15"/>
      <c r="O4810" s="5" t="s">
        <v>10708</v>
      </c>
      <c r="P4810" s="15"/>
      <c r="Q4810" s="15"/>
      <c r="R4810" s="422"/>
      <c r="S4810" s="15"/>
      <c r="T4810" s="15"/>
      <c r="U4810" s="15"/>
      <c r="V4810" s="15"/>
      <c r="W4810" s="15"/>
      <c r="X4810" s="15"/>
      <c r="Y4810" s="15"/>
      <c r="Z4810" s="15"/>
      <c r="AA4810" s="15"/>
    </row>
    <row r="4811">
      <c r="A4811" s="5" t="s">
        <v>19279</v>
      </c>
      <c r="B4811" s="292" t="str">
        <f>HYPERLINK("https://akshar-exim-company-pvt-ltd.odoo.com/web#id=21787&amp;action=152&amp;model=crm.lead&amp;view_type=form&amp;menu_id=111","C2011105")</f>
        <v>C2011105</v>
      </c>
      <c r="C4811" s="41" t="s">
        <v>19298</v>
      </c>
      <c r="D4811" s="11"/>
      <c r="E4811" s="11" t="s">
        <v>152</v>
      </c>
      <c r="F4811" s="9">
        <v>500000.0</v>
      </c>
      <c r="G4811" s="430"/>
      <c r="H4811" s="41" t="s">
        <v>19299</v>
      </c>
      <c r="I4811" s="276"/>
      <c r="J4811" s="11" t="s">
        <v>25</v>
      </c>
      <c r="K4811" s="12"/>
      <c r="L4811" s="12"/>
      <c r="M4811" s="11" t="s">
        <v>9776</v>
      </c>
      <c r="N4811" s="5" t="s">
        <v>19300</v>
      </c>
      <c r="O4811" s="5" t="s">
        <v>17993</v>
      </c>
      <c r="P4811" s="15"/>
      <c r="Q4811" s="15"/>
      <c r="R4811" s="422"/>
      <c r="S4811" s="15"/>
      <c r="T4811" s="15"/>
      <c r="U4811" s="15"/>
      <c r="V4811" s="15"/>
      <c r="W4811" s="15"/>
      <c r="X4811" s="15"/>
      <c r="Y4811" s="15"/>
      <c r="Z4811" s="15"/>
      <c r="AA4811" s="15"/>
    </row>
    <row r="4812">
      <c r="A4812" s="5" t="s">
        <v>19279</v>
      </c>
      <c r="B4812" s="292" t="str">
        <f>HYPERLINK("https://akshar-exim-company-pvt-ltd.odoo.com/web#id=21786&amp;action=152&amp;model=crm.lead&amp;view_type=form&amp;menu_id=111","C2011104")</f>
        <v>C2011104</v>
      </c>
      <c r="C4812" s="41" t="s">
        <v>19301</v>
      </c>
      <c r="D4812" s="41"/>
      <c r="E4812" s="41" t="s">
        <v>7197</v>
      </c>
      <c r="F4812" s="9">
        <v>25000.0</v>
      </c>
      <c r="G4812" s="430"/>
      <c r="H4812" s="41" t="s">
        <v>44</v>
      </c>
      <c r="I4812" s="276"/>
      <c r="J4812" s="11" t="s">
        <v>25</v>
      </c>
      <c r="K4812" s="12"/>
      <c r="L4812" s="12"/>
      <c r="M4812" s="11" t="s">
        <v>7718</v>
      </c>
      <c r="N4812" s="5" t="s">
        <v>19302</v>
      </c>
      <c r="O4812" s="5" t="s">
        <v>1112</v>
      </c>
      <c r="P4812" s="15"/>
      <c r="Q4812" s="15"/>
      <c r="R4812" s="422"/>
      <c r="S4812" s="15"/>
      <c r="T4812" s="15"/>
      <c r="U4812" s="15"/>
      <c r="V4812" s="15"/>
      <c r="W4812" s="15"/>
      <c r="X4812" s="15"/>
      <c r="Y4812" s="15"/>
      <c r="Z4812" s="15"/>
      <c r="AA4812" s="15"/>
    </row>
    <row r="4813">
      <c r="A4813" s="5" t="s">
        <v>19279</v>
      </c>
      <c r="B4813" s="292" t="str">
        <f>HYPERLINK("https://akshar-exim-company-pvt-ltd.odoo.com/web#id=21774&amp;action=152&amp;model=crm.lead&amp;view_type=form&amp;menu_id=111","C2011103")</f>
        <v>C2011103</v>
      </c>
      <c r="C4813" s="41" t="s">
        <v>19303</v>
      </c>
      <c r="D4813" s="11"/>
      <c r="E4813" s="11" t="s">
        <v>116</v>
      </c>
      <c r="F4813" s="90">
        <v>100.0</v>
      </c>
      <c r="G4813" s="321"/>
      <c r="H4813" s="11" t="s">
        <v>19304</v>
      </c>
      <c r="I4813" s="276"/>
      <c r="J4813" s="11" t="s">
        <v>7109</v>
      </c>
      <c r="K4813" s="13"/>
      <c r="L4813" s="13"/>
      <c r="M4813" s="14"/>
      <c r="N4813" s="15"/>
      <c r="O4813" s="5" t="s">
        <v>10708</v>
      </c>
      <c r="P4813" s="15"/>
      <c r="Q4813" s="15"/>
      <c r="R4813" s="422"/>
      <c r="S4813" s="15"/>
      <c r="T4813" s="15"/>
      <c r="U4813" s="15"/>
      <c r="V4813" s="15"/>
      <c r="W4813" s="15"/>
      <c r="X4813" s="15"/>
      <c r="Y4813" s="15"/>
      <c r="Z4813" s="15"/>
      <c r="AA4813" s="15"/>
    </row>
    <row r="4814">
      <c r="A4814" s="5" t="s">
        <v>19279</v>
      </c>
      <c r="B4814" s="292" t="str">
        <f>HYPERLINK("https://akshar-exim-company-pvt-ltd.odoo.com/web#id=21773&amp;action=152&amp;model=crm.lead&amp;view_type=form&amp;menu_id=111","C2011102")</f>
        <v>C2011102</v>
      </c>
      <c r="C4814" s="41" t="s">
        <v>19305</v>
      </c>
      <c r="D4814" s="11"/>
      <c r="E4814" s="11" t="s">
        <v>152</v>
      </c>
      <c r="F4814" s="90">
        <v>200.0</v>
      </c>
      <c r="G4814" s="430"/>
      <c r="H4814" s="41" t="s">
        <v>18358</v>
      </c>
      <c r="I4814" s="97"/>
      <c r="J4814" s="41" t="s">
        <v>18941</v>
      </c>
      <c r="K4814" s="12"/>
      <c r="L4814" s="12"/>
      <c r="M4814" s="11" t="s">
        <v>9587</v>
      </c>
      <c r="N4814" s="5" t="s">
        <v>19306</v>
      </c>
      <c r="O4814" s="5" t="s">
        <v>17993</v>
      </c>
      <c r="P4814" s="15"/>
      <c r="Q4814" s="15"/>
      <c r="R4814" s="422"/>
      <c r="S4814" s="15"/>
      <c r="T4814" s="15"/>
      <c r="U4814" s="15"/>
      <c r="V4814" s="15"/>
      <c r="W4814" s="15"/>
      <c r="X4814" s="15"/>
      <c r="Y4814" s="15"/>
      <c r="Z4814" s="15"/>
      <c r="AA4814" s="15"/>
    </row>
    <row r="4815">
      <c r="A4815" s="5" t="s">
        <v>19279</v>
      </c>
      <c r="B4815" s="292" t="str">
        <f>HYPERLINK("https://akshar-exim-company-pvt-ltd.odoo.com/web#id=21772&amp;action=152&amp;model=crm.lead&amp;view_type=form&amp;menu_id=111","C2011101")</f>
        <v>C2011101</v>
      </c>
      <c r="C4815" s="41" t="s">
        <v>19307</v>
      </c>
      <c r="D4815" s="41"/>
      <c r="E4815" s="41" t="s">
        <v>19308</v>
      </c>
      <c r="F4815" s="90">
        <v>5.0</v>
      </c>
      <c r="G4815" s="321"/>
      <c r="H4815" s="11" t="s">
        <v>44</v>
      </c>
      <c r="I4815" s="276"/>
      <c r="J4815" s="11" t="s">
        <v>13956</v>
      </c>
      <c r="K4815" s="13"/>
      <c r="L4815" s="13"/>
      <c r="M4815" s="14"/>
      <c r="N4815" s="15"/>
      <c r="O4815" s="5" t="s">
        <v>10708</v>
      </c>
      <c r="P4815" s="15"/>
      <c r="Q4815" s="15"/>
      <c r="R4815" s="422"/>
      <c r="S4815" s="15"/>
      <c r="T4815" s="15"/>
      <c r="U4815" s="15"/>
      <c r="V4815" s="15"/>
      <c r="W4815" s="15"/>
      <c r="X4815" s="15"/>
      <c r="Y4815" s="15"/>
      <c r="Z4815" s="15"/>
      <c r="AA4815" s="15"/>
    </row>
    <row r="4816">
      <c r="A4816" s="5" t="s">
        <v>19279</v>
      </c>
      <c r="B4816" s="292" t="str">
        <f>HYPERLINK("https://akshar-exim-company-pvt-ltd.odoo.com/web#id=21770&amp;action=152&amp;model=crm.lead&amp;view_type=form&amp;menu_id=111","C2011100")</f>
        <v>C2011100</v>
      </c>
      <c r="C4816" s="41" t="s">
        <v>19309</v>
      </c>
      <c r="D4816" s="41"/>
      <c r="E4816" s="41" t="s">
        <v>19310</v>
      </c>
      <c r="F4816" s="90">
        <v>1.0</v>
      </c>
      <c r="G4816" s="321"/>
      <c r="H4816" s="11" t="s">
        <v>44</v>
      </c>
      <c r="I4816" s="276"/>
      <c r="J4816" s="11" t="s">
        <v>25</v>
      </c>
      <c r="K4816" s="13"/>
      <c r="L4816" s="13"/>
      <c r="M4816" s="14"/>
      <c r="N4816" s="15"/>
      <c r="O4816" s="5" t="s">
        <v>10708</v>
      </c>
      <c r="P4816" s="15"/>
      <c r="Q4816" s="15"/>
      <c r="R4816" s="422"/>
      <c r="S4816" s="15"/>
      <c r="T4816" s="15"/>
      <c r="U4816" s="15"/>
      <c r="V4816" s="15"/>
      <c r="W4816" s="15"/>
      <c r="X4816" s="15"/>
      <c r="Y4816" s="15"/>
      <c r="Z4816" s="15"/>
      <c r="AA4816" s="15"/>
    </row>
    <row r="4817">
      <c r="A4817" s="5" t="s">
        <v>19279</v>
      </c>
      <c r="B4817" s="292" t="str">
        <f>HYPERLINK("https://akshar-exim-company-pvt-ltd.odoo.com/web#id=21769&amp;action=152&amp;model=crm.lead&amp;view_type=form&amp;menu_id=111","C2011099")</f>
        <v>C2011099</v>
      </c>
      <c r="C4817" s="41" t="s">
        <v>19311</v>
      </c>
      <c r="D4817" s="405"/>
      <c r="E4817" s="405" t="s">
        <v>19312</v>
      </c>
      <c r="F4817" s="90">
        <v>1.0</v>
      </c>
      <c r="G4817" s="321"/>
      <c r="H4817" s="11" t="s">
        <v>4645</v>
      </c>
      <c r="I4817" s="276"/>
      <c r="J4817" s="11" t="s">
        <v>25</v>
      </c>
      <c r="K4817" s="13"/>
      <c r="L4817" s="13"/>
      <c r="M4817" s="14"/>
      <c r="N4817" s="15"/>
      <c r="O4817" s="5" t="s">
        <v>10708</v>
      </c>
      <c r="P4817" s="15"/>
      <c r="Q4817" s="15"/>
      <c r="R4817" s="422"/>
      <c r="S4817" s="15"/>
      <c r="T4817" s="15"/>
      <c r="U4817" s="15"/>
      <c r="V4817" s="15"/>
      <c r="W4817" s="15"/>
      <c r="X4817" s="15"/>
      <c r="Y4817" s="15"/>
      <c r="Z4817" s="15"/>
      <c r="AA4817" s="15"/>
    </row>
    <row r="4818">
      <c r="A4818" s="5" t="s">
        <v>19279</v>
      </c>
      <c r="B4818" s="292" t="str">
        <f>HYPERLINK("https://akshar-exim-company-pvt-ltd.odoo.com/web#id=21751&amp;action=152&amp;model=crm.lead&amp;view_type=form&amp;menu_id=111","C2011098")</f>
        <v>C2011098</v>
      </c>
      <c r="C4818" s="41" t="s">
        <v>19313</v>
      </c>
      <c r="D4818" s="11"/>
      <c r="E4818" s="11" t="s">
        <v>11856</v>
      </c>
      <c r="F4818" s="90">
        <v>1000.0</v>
      </c>
      <c r="G4818" s="430"/>
      <c r="H4818" s="41" t="s">
        <v>19314</v>
      </c>
      <c r="I4818" s="276"/>
      <c r="J4818" s="11" t="s">
        <v>12882</v>
      </c>
      <c r="K4818" s="13"/>
      <c r="L4818" s="13"/>
      <c r="M4818" s="14"/>
      <c r="N4818" s="15"/>
      <c r="O4818" s="5" t="s">
        <v>17993</v>
      </c>
      <c r="P4818" s="15"/>
      <c r="Q4818" s="15"/>
      <c r="R4818" s="422"/>
      <c r="S4818" s="15"/>
      <c r="T4818" s="15"/>
      <c r="U4818" s="15"/>
      <c r="V4818" s="15"/>
      <c r="W4818" s="15"/>
      <c r="X4818" s="15"/>
      <c r="Y4818" s="15"/>
      <c r="Z4818" s="15"/>
      <c r="AA4818" s="15"/>
    </row>
    <row r="4819">
      <c r="A4819" s="5" t="s">
        <v>19279</v>
      </c>
      <c r="B4819" s="292" t="str">
        <f>HYPERLINK("https://akshar-exim-company-pvt-ltd.odoo.com/web#id=21752&amp;action=152&amp;model=crm.lead&amp;view_type=form&amp;menu_id=111","C2011097")</f>
        <v>C2011097</v>
      </c>
      <c r="C4819" s="41" t="s">
        <v>19315</v>
      </c>
      <c r="D4819" s="11"/>
      <c r="E4819" s="11" t="s">
        <v>43</v>
      </c>
      <c r="F4819" s="9">
        <v>20000.0</v>
      </c>
      <c r="G4819" s="321"/>
      <c r="H4819" s="11" t="s">
        <v>44</v>
      </c>
      <c r="I4819" s="276"/>
      <c r="J4819" s="11" t="s">
        <v>12314</v>
      </c>
      <c r="K4819" s="12"/>
      <c r="L4819" s="12"/>
      <c r="M4819" s="11" t="s">
        <v>9034</v>
      </c>
      <c r="N4819" s="5" t="s">
        <v>19316</v>
      </c>
      <c r="O4819" s="5" t="s">
        <v>564</v>
      </c>
      <c r="P4819" s="15"/>
      <c r="Q4819" s="15"/>
      <c r="R4819" s="422"/>
      <c r="S4819" s="15"/>
      <c r="T4819" s="15"/>
      <c r="U4819" s="15"/>
      <c r="V4819" s="15"/>
      <c r="W4819" s="15"/>
      <c r="X4819" s="15"/>
      <c r="Y4819" s="15"/>
      <c r="Z4819" s="15"/>
      <c r="AA4819" s="15"/>
    </row>
    <row r="4820">
      <c r="A4820" s="5" t="s">
        <v>19279</v>
      </c>
      <c r="B4820" s="292" t="str">
        <f>HYPERLINK("https://akshar-exim-company-pvt-ltd.odoo.com/web#id=21754&amp;action=152&amp;model=crm.lead&amp;view_type=form&amp;menu_id=111","C2011096")</f>
        <v>C2011096</v>
      </c>
      <c r="C4820" s="41" t="s">
        <v>19317</v>
      </c>
      <c r="D4820" s="41"/>
      <c r="E4820" s="41" t="s">
        <v>17724</v>
      </c>
      <c r="F4820" s="90">
        <v>1.0</v>
      </c>
      <c r="G4820" s="430"/>
      <c r="H4820" s="41" t="s">
        <v>18358</v>
      </c>
      <c r="I4820" s="276"/>
      <c r="J4820" s="11" t="s">
        <v>25</v>
      </c>
      <c r="K4820" s="13"/>
      <c r="L4820" s="13"/>
      <c r="M4820" s="14"/>
      <c r="N4820" s="15"/>
      <c r="O4820" s="5" t="s">
        <v>10708</v>
      </c>
      <c r="P4820" s="15"/>
      <c r="Q4820" s="15"/>
      <c r="R4820" s="422"/>
      <c r="S4820" s="15"/>
      <c r="T4820" s="15"/>
      <c r="U4820" s="15"/>
      <c r="V4820" s="15"/>
      <c r="W4820" s="15"/>
      <c r="X4820" s="15"/>
      <c r="Y4820" s="15"/>
      <c r="Z4820" s="15"/>
      <c r="AA4820" s="15"/>
    </row>
    <row r="4821">
      <c r="A4821" s="5" t="s">
        <v>19279</v>
      </c>
      <c r="B4821" s="292" t="str">
        <f>HYPERLINK("https://akshar-exim-company-pvt-ltd.odoo.com/web#id=21756&amp;action=152&amp;model=crm.lead&amp;view_type=form&amp;menu_id=111","C2011095")</f>
        <v>C2011095</v>
      </c>
      <c r="C4821" s="41" t="s">
        <v>19318</v>
      </c>
      <c r="D4821" s="405"/>
      <c r="E4821" s="405" t="s">
        <v>19319</v>
      </c>
      <c r="F4821" s="433"/>
      <c r="G4821" s="434"/>
      <c r="H4821" s="14"/>
      <c r="I4821" s="423"/>
      <c r="J4821" s="14"/>
      <c r="K4821" s="13"/>
      <c r="L4821" s="13"/>
      <c r="M4821" s="14"/>
      <c r="N4821" s="15"/>
      <c r="O4821" s="15"/>
      <c r="P4821" s="15"/>
      <c r="Q4821" s="15"/>
      <c r="R4821" s="422"/>
      <c r="S4821" s="15"/>
      <c r="T4821" s="15"/>
      <c r="U4821" s="15"/>
      <c r="V4821" s="15"/>
      <c r="W4821" s="15"/>
      <c r="X4821" s="15"/>
      <c r="Y4821" s="15"/>
      <c r="Z4821" s="15"/>
      <c r="AA4821" s="15"/>
    </row>
    <row r="4822">
      <c r="A4822" s="5" t="s">
        <v>19279</v>
      </c>
      <c r="B4822" s="292" t="str">
        <f>HYPERLINK("https://akshar-exim-company-pvt-ltd.odoo.com/web#id=21757&amp;action=152&amp;model=crm.lead&amp;view_type=form&amp;menu_id=111","C2011094")</f>
        <v>C2011094</v>
      </c>
      <c r="C4822" s="41" t="s">
        <v>19320</v>
      </c>
      <c r="D4822" s="11"/>
      <c r="E4822" s="11" t="s">
        <v>3615</v>
      </c>
      <c r="F4822" s="433"/>
      <c r="G4822" s="434"/>
      <c r="H4822" s="14"/>
      <c r="I4822" s="423"/>
      <c r="J4822" s="14"/>
      <c r="K4822" s="13"/>
      <c r="L4822" s="13"/>
      <c r="M4822" s="14"/>
      <c r="N4822" s="15"/>
      <c r="O4822" s="15"/>
      <c r="P4822" s="15"/>
      <c r="Q4822" s="15"/>
      <c r="R4822" s="422"/>
      <c r="S4822" s="15"/>
      <c r="T4822" s="15"/>
      <c r="U4822" s="15"/>
      <c r="V4822" s="15"/>
      <c r="W4822" s="15"/>
      <c r="X4822" s="15"/>
      <c r="Y4822" s="15"/>
      <c r="Z4822" s="15"/>
      <c r="AA4822" s="15"/>
    </row>
    <row r="4823">
      <c r="A4823" s="5" t="s">
        <v>19279</v>
      </c>
      <c r="B4823" s="292" t="str">
        <f>HYPERLINK("https://akshar-exim-company-pvt-ltd.odoo.com/web#id=21760&amp;action=152&amp;model=crm.lead&amp;view_type=form&amp;menu_id=111","C2011093")</f>
        <v>C2011093</v>
      </c>
      <c r="C4823" s="41" t="s">
        <v>10432</v>
      </c>
      <c r="D4823" s="405"/>
      <c r="E4823" s="405" t="s">
        <v>19321</v>
      </c>
      <c r="F4823" s="90">
        <v>500.0</v>
      </c>
      <c r="G4823" s="430"/>
      <c r="H4823" s="41" t="s">
        <v>4926</v>
      </c>
      <c r="I4823" s="423"/>
      <c r="J4823" s="14"/>
      <c r="K4823" s="13"/>
      <c r="L4823" s="13"/>
      <c r="M4823" s="14"/>
      <c r="N4823" s="15"/>
      <c r="O4823" s="5" t="s">
        <v>13963</v>
      </c>
      <c r="P4823" s="15"/>
      <c r="Q4823" s="15"/>
      <c r="R4823" s="422"/>
      <c r="S4823" s="15"/>
      <c r="T4823" s="15"/>
      <c r="U4823" s="15"/>
      <c r="V4823" s="15"/>
      <c r="W4823" s="15"/>
      <c r="X4823" s="15"/>
      <c r="Y4823" s="15"/>
      <c r="Z4823" s="15"/>
      <c r="AA4823" s="15"/>
    </row>
    <row r="4824">
      <c r="A4824" s="5" t="s">
        <v>19279</v>
      </c>
      <c r="B4824" s="292" t="str">
        <f>HYPERLINK("https://akshar-exim-company-pvt-ltd.odoo.com/web#id=21764&amp;action=152&amp;model=crm.lead&amp;view_type=form&amp;menu_id=111","C2011092")</f>
        <v>C2011092</v>
      </c>
      <c r="C4824" s="41" t="s">
        <v>19322</v>
      </c>
      <c r="D4824" s="11"/>
      <c r="E4824" s="11" t="s">
        <v>116</v>
      </c>
      <c r="F4824" s="433"/>
      <c r="G4824" s="434"/>
      <c r="H4824" s="14"/>
      <c r="I4824" s="423"/>
      <c r="J4824" s="14"/>
      <c r="K4824" s="13"/>
      <c r="L4824" s="13"/>
      <c r="M4824" s="14"/>
      <c r="N4824" s="15"/>
      <c r="O4824" s="15"/>
      <c r="P4824" s="15"/>
      <c r="Q4824" s="15"/>
      <c r="R4824" s="422"/>
      <c r="S4824" s="15"/>
      <c r="T4824" s="15"/>
      <c r="U4824" s="15"/>
      <c r="V4824" s="15"/>
      <c r="W4824" s="15"/>
      <c r="X4824" s="15"/>
      <c r="Y4824" s="15"/>
      <c r="Z4824" s="15"/>
      <c r="AA4824" s="15"/>
    </row>
    <row r="4825">
      <c r="A4825" s="5" t="s">
        <v>19279</v>
      </c>
      <c r="B4825" s="292" t="str">
        <f>HYPERLINK("https://akshar-exim-company-pvt-ltd.odoo.com/web#id=21763&amp;action=152&amp;model=crm.lead&amp;view_type=form&amp;menu_id=111","C2011091")</f>
        <v>C2011091</v>
      </c>
      <c r="C4825" s="41" t="s">
        <v>19323</v>
      </c>
      <c r="D4825" s="11"/>
      <c r="E4825" s="11" t="s">
        <v>116</v>
      </c>
      <c r="F4825" s="90">
        <v>500.0</v>
      </c>
      <c r="G4825" s="430"/>
      <c r="H4825" s="41" t="s">
        <v>19324</v>
      </c>
      <c r="I4825" s="276"/>
      <c r="J4825" s="11" t="s">
        <v>17976</v>
      </c>
      <c r="K4825" s="12"/>
      <c r="L4825" s="12"/>
      <c r="M4825" s="11" t="s">
        <v>19325</v>
      </c>
      <c r="N4825" s="5" t="s">
        <v>19326</v>
      </c>
      <c r="O4825" s="5" t="s">
        <v>17993</v>
      </c>
      <c r="P4825" s="15"/>
      <c r="Q4825" s="15"/>
      <c r="R4825" s="422"/>
      <c r="S4825" s="15"/>
      <c r="T4825" s="15"/>
      <c r="U4825" s="15"/>
      <c r="V4825" s="15"/>
      <c r="W4825" s="15"/>
      <c r="X4825" s="15"/>
      <c r="Y4825" s="15"/>
      <c r="Z4825" s="15"/>
      <c r="AA4825" s="15"/>
    </row>
    <row r="4826">
      <c r="A4826" s="5" t="s">
        <v>19279</v>
      </c>
      <c r="B4826" s="292" t="str">
        <f>HYPERLINK("https://akshar-exim-company-pvt-ltd.odoo.com/web#id=21766&amp;action=152&amp;model=crm.lead&amp;view_type=form&amp;menu_id=111","C2011090")</f>
        <v>C2011090</v>
      </c>
      <c r="C4826" s="41" t="s">
        <v>19327</v>
      </c>
      <c r="D4826" s="41"/>
      <c r="E4826" s="41" t="s">
        <v>19328</v>
      </c>
      <c r="F4826" s="90">
        <v>5.0</v>
      </c>
      <c r="G4826" s="321"/>
      <c r="H4826" s="11" t="s">
        <v>19329</v>
      </c>
      <c r="I4826" s="276"/>
      <c r="J4826" s="11" t="s">
        <v>17976</v>
      </c>
      <c r="K4826" s="13"/>
      <c r="L4826" s="13"/>
      <c r="M4826" s="14"/>
      <c r="N4826" s="15"/>
      <c r="O4826" s="5" t="s">
        <v>10708</v>
      </c>
      <c r="P4826" s="15"/>
      <c r="Q4826" s="15"/>
      <c r="R4826" s="422"/>
      <c r="S4826" s="15"/>
      <c r="T4826" s="15"/>
      <c r="U4826" s="15"/>
      <c r="V4826" s="15"/>
      <c r="W4826" s="15"/>
      <c r="X4826" s="15"/>
      <c r="Y4826" s="15"/>
      <c r="Z4826" s="15"/>
      <c r="AA4826" s="15"/>
    </row>
    <row r="4827">
      <c r="A4827" s="5" t="s">
        <v>19330</v>
      </c>
      <c r="B4827" s="292" t="str">
        <f>HYPERLINK("https://akshar-exim-company-pvt-ltd.odoo.com/web#id=21749&amp;action=152&amp;model=crm.lead&amp;view_type=form&amp;menu_id=111","C2011089")</f>
        <v>C2011089</v>
      </c>
      <c r="C4827" s="41" t="s">
        <v>19331</v>
      </c>
      <c r="D4827" s="41"/>
      <c r="E4827" s="41" t="s">
        <v>18184</v>
      </c>
      <c r="F4827" s="9">
        <v>15000.0</v>
      </c>
      <c r="G4827" s="430"/>
      <c r="H4827" s="41" t="s">
        <v>4699</v>
      </c>
      <c r="I4827" s="276"/>
      <c r="J4827" s="11" t="s">
        <v>25</v>
      </c>
      <c r="K4827" s="13"/>
      <c r="L4827" s="13"/>
      <c r="M4827" s="14"/>
      <c r="N4827" s="15"/>
      <c r="O4827" s="5" t="s">
        <v>17993</v>
      </c>
      <c r="P4827" s="15"/>
      <c r="Q4827" s="15"/>
      <c r="R4827" s="422"/>
      <c r="S4827" s="15"/>
      <c r="T4827" s="15"/>
      <c r="U4827" s="15"/>
      <c r="V4827" s="15"/>
      <c r="W4827" s="15"/>
      <c r="X4827" s="15"/>
      <c r="Y4827" s="15"/>
      <c r="Z4827" s="15"/>
      <c r="AA4827" s="15"/>
    </row>
    <row r="4828">
      <c r="A4828" s="5" t="s">
        <v>19330</v>
      </c>
      <c r="B4828" s="292" t="str">
        <f>HYPERLINK("https://akshar-exim-company-pvt-ltd.odoo.com/web#id=21712&amp;action=152&amp;model=crm.lead&amp;view_type=form&amp;menu_id=111","C2011088")</f>
        <v>C2011088</v>
      </c>
      <c r="C4828" s="41" t="s">
        <v>19332</v>
      </c>
      <c r="D4828" s="405"/>
      <c r="E4828" s="405" t="s">
        <v>10433</v>
      </c>
      <c r="F4828" s="90">
        <v>25.0</v>
      </c>
      <c r="G4828" s="321"/>
      <c r="H4828" s="11" t="s">
        <v>519</v>
      </c>
      <c r="I4828" s="423"/>
      <c r="J4828" s="14"/>
      <c r="K4828" s="13"/>
      <c r="L4828" s="13"/>
      <c r="M4828" s="14"/>
      <c r="N4828" s="15"/>
      <c r="O4828" s="5" t="s">
        <v>10708</v>
      </c>
      <c r="P4828" s="15"/>
      <c r="Q4828" s="15"/>
      <c r="R4828" s="422"/>
      <c r="S4828" s="15"/>
      <c r="T4828" s="15"/>
      <c r="U4828" s="15"/>
      <c r="V4828" s="15"/>
      <c r="W4828" s="15"/>
      <c r="X4828" s="15"/>
      <c r="Y4828" s="15"/>
      <c r="Z4828" s="15"/>
      <c r="AA4828" s="15"/>
    </row>
    <row r="4829">
      <c r="A4829" s="5" t="s">
        <v>19330</v>
      </c>
      <c r="B4829" s="292" t="str">
        <f>HYPERLINK("https://akshar-exim-company-pvt-ltd.odoo.com/web#id=21736&amp;action=152&amp;model=crm.lead&amp;view_type=form&amp;menu_id=111","C2011087")</f>
        <v>C2011087</v>
      </c>
      <c r="C4829" s="41" t="s">
        <v>19333</v>
      </c>
      <c r="D4829" s="41"/>
      <c r="E4829" s="41" t="s">
        <v>16553</v>
      </c>
      <c r="F4829" s="90">
        <v>50.0</v>
      </c>
      <c r="G4829" s="430"/>
      <c r="H4829" s="41" t="s">
        <v>107</v>
      </c>
      <c r="I4829" s="276"/>
      <c r="J4829" s="11" t="s">
        <v>25</v>
      </c>
      <c r="K4829" s="13"/>
      <c r="L4829" s="13"/>
      <c r="M4829" s="14"/>
      <c r="N4829" s="15"/>
      <c r="O4829" s="5" t="s">
        <v>10708</v>
      </c>
      <c r="P4829" s="15"/>
      <c r="Q4829" s="15"/>
      <c r="R4829" s="422"/>
      <c r="S4829" s="15"/>
      <c r="T4829" s="15"/>
      <c r="U4829" s="15"/>
      <c r="V4829" s="15"/>
      <c r="W4829" s="15"/>
      <c r="X4829" s="15"/>
      <c r="Y4829" s="15"/>
      <c r="Z4829" s="15"/>
      <c r="AA4829" s="15"/>
    </row>
    <row r="4830">
      <c r="A4830" s="5" t="s">
        <v>19330</v>
      </c>
      <c r="B4830" s="292" t="str">
        <f>HYPERLINK("https://akshar-exim-company-pvt-ltd.odoo.com/web#id=21726&amp;action=152&amp;model=crm.lead&amp;view_type=form&amp;menu_id=111","C2011086")</f>
        <v>C2011086</v>
      </c>
      <c r="C4830" s="41" t="s">
        <v>19334</v>
      </c>
      <c r="D4830" s="41"/>
      <c r="E4830" s="41" t="s">
        <v>19335</v>
      </c>
      <c r="F4830" s="90" t="s">
        <v>18722</v>
      </c>
      <c r="G4830" s="430"/>
      <c r="H4830" s="41" t="s">
        <v>5435</v>
      </c>
      <c r="I4830" s="276"/>
      <c r="J4830" s="11" t="s">
        <v>25</v>
      </c>
      <c r="K4830" s="12"/>
      <c r="L4830" s="12"/>
      <c r="M4830" s="11" t="s">
        <v>19336</v>
      </c>
      <c r="N4830" s="5" t="s">
        <v>19337</v>
      </c>
      <c r="O4830" s="5" t="s">
        <v>17993</v>
      </c>
      <c r="P4830" s="15"/>
      <c r="Q4830" s="15"/>
      <c r="R4830" s="422"/>
      <c r="S4830" s="15"/>
      <c r="T4830" s="15"/>
      <c r="U4830" s="15"/>
      <c r="V4830" s="15"/>
      <c r="W4830" s="15"/>
      <c r="X4830" s="15"/>
      <c r="Y4830" s="15"/>
      <c r="Z4830" s="15"/>
      <c r="AA4830" s="15"/>
    </row>
    <row r="4831">
      <c r="A4831" s="5" t="s">
        <v>19330</v>
      </c>
      <c r="B4831" s="292" t="str">
        <f>HYPERLINK("https://akshar-exim-company-pvt-ltd.odoo.com/web#id=21724&amp;action=152&amp;model=crm.lead&amp;view_type=form&amp;menu_id=111","C2011085")</f>
        <v>C2011085</v>
      </c>
      <c r="C4831" s="41" t="s">
        <v>19338</v>
      </c>
      <c r="D4831" s="41"/>
      <c r="E4831" s="41" t="s">
        <v>18853</v>
      </c>
      <c r="F4831" s="90" t="s">
        <v>19339</v>
      </c>
      <c r="G4831" s="321"/>
      <c r="H4831" s="11" t="s">
        <v>19340</v>
      </c>
      <c r="I4831" s="276"/>
      <c r="J4831" s="11" t="s">
        <v>12882</v>
      </c>
      <c r="K4831" s="13"/>
      <c r="L4831" s="13"/>
      <c r="M4831" s="14"/>
      <c r="N4831" s="15"/>
      <c r="O4831" s="5" t="s">
        <v>13963</v>
      </c>
      <c r="P4831" s="15"/>
      <c r="Q4831" s="15"/>
      <c r="R4831" s="422"/>
      <c r="S4831" s="15"/>
      <c r="T4831" s="15"/>
      <c r="U4831" s="15"/>
      <c r="V4831" s="15"/>
      <c r="W4831" s="15"/>
      <c r="X4831" s="15"/>
      <c r="Y4831" s="15"/>
      <c r="Z4831" s="15"/>
      <c r="AA4831" s="15"/>
    </row>
    <row r="4832">
      <c r="A4832" s="5" t="s">
        <v>19330</v>
      </c>
      <c r="B4832" s="292" t="str">
        <f>HYPERLINK("https://akshar-exim-company-pvt-ltd.odoo.com/web#id=21708&amp;action=152&amp;model=crm.lead&amp;view_type=form&amp;menu_id=111","C2011084")</f>
        <v>C2011084</v>
      </c>
      <c r="C4832" s="41" t="s">
        <v>19341</v>
      </c>
      <c r="D4832" s="41"/>
      <c r="E4832" s="41" t="s">
        <v>1749</v>
      </c>
      <c r="F4832" s="90">
        <v>10.0</v>
      </c>
      <c r="G4832" s="321"/>
      <c r="H4832" s="11" t="s">
        <v>44</v>
      </c>
      <c r="I4832" s="276"/>
      <c r="J4832" s="11" t="s">
        <v>25</v>
      </c>
      <c r="K4832" s="13"/>
      <c r="L4832" s="13"/>
      <c r="M4832" s="14"/>
      <c r="N4832" s="15"/>
      <c r="O4832" s="5" t="s">
        <v>10708</v>
      </c>
      <c r="P4832" s="15"/>
      <c r="Q4832" s="15"/>
      <c r="R4832" s="422"/>
      <c r="S4832" s="15"/>
      <c r="T4832" s="15"/>
      <c r="U4832" s="15"/>
      <c r="V4832" s="15"/>
      <c r="W4832" s="15"/>
      <c r="X4832" s="15"/>
      <c r="Y4832" s="15"/>
      <c r="Z4832" s="15"/>
      <c r="AA4832" s="15"/>
    </row>
    <row r="4833">
      <c r="A4833" s="5" t="s">
        <v>19330</v>
      </c>
      <c r="B4833" s="292" t="str">
        <f>HYPERLINK("https://akshar-exim-company-pvt-ltd.odoo.com/web#id=21668&amp;action=152&amp;model=crm.lead&amp;view_type=form&amp;menu_id=111","C2011083")</f>
        <v>C2011083</v>
      </c>
      <c r="C4833" s="41" t="s">
        <v>19342</v>
      </c>
      <c r="D4833" s="41"/>
      <c r="E4833" s="41" t="s">
        <v>16165</v>
      </c>
      <c r="F4833" s="90">
        <v>5.0</v>
      </c>
      <c r="G4833" s="321"/>
      <c r="H4833" s="11" t="s">
        <v>19343</v>
      </c>
      <c r="I4833" s="423"/>
      <c r="J4833" s="14"/>
      <c r="K4833" s="13"/>
      <c r="L4833" s="13"/>
      <c r="M4833" s="14"/>
      <c r="N4833" s="15"/>
      <c r="O4833" s="5" t="s">
        <v>10708</v>
      </c>
      <c r="P4833" s="15"/>
      <c r="Q4833" s="15"/>
      <c r="R4833" s="422"/>
      <c r="S4833" s="15"/>
      <c r="T4833" s="15"/>
      <c r="U4833" s="15"/>
      <c r="V4833" s="15"/>
      <c r="W4833" s="15"/>
      <c r="X4833" s="15"/>
      <c r="Y4833" s="15"/>
      <c r="Z4833" s="15"/>
      <c r="AA4833" s="15"/>
    </row>
    <row r="4834">
      <c r="A4834" s="5" t="s">
        <v>19330</v>
      </c>
      <c r="B4834" s="292" t="str">
        <f>HYPERLINK("https://akshar-exim-company-pvt-ltd.odoo.com/web#id=21686&amp;action=152&amp;model=crm.lead&amp;view_type=form&amp;menu_id=111","C2011082")</f>
        <v>C2011082</v>
      </c>
      <c r="C4834" s="41" t="s">
        <v>19344</v>
      </c>
      <c r="D4834" s="405"/>
      <c r="E4834" s="405" t="s">
        <v>19345</v>
      </c>
      <c r="F4834" s="90">
        <v>100.0</v>
      </c>
      <c r="G4834" s="321"/>
      <c r="H4834" s="11" t="s">
        <v>930</v>
      </c>
      <c r="I4834" s="423"/>
      <c r="J4834" s="14"/>
      <c r="K4834" s="13"/>
      <c r="L4834" s="13"/>
      <c r="M4834" s="14"/>
      <c r="N4834" s="15"/>
      <c r="O4834" s="5" t="s">
        <v>10708</v>
      </c>
      <c r="P4834" s="15"/>
      <c r="Q4834" s="15"/>
      <c r="R4834" s="422"/>
      <c r="S4834" s="15"/>
      <c r="T4834" s="15"/>
      <c r="U4834" s="15"/>
      <c r="V4834" s="15"/>
      <c r="W4834" s="15"/>
      <c r="X4834" s="15"/>
      <c r="Y4834" s="15"/>
      <c r="Z4834" s="15"/>
      <c r="AA4834" s="15"/>
    </row>
    <row r="4835">
      <c r="A4835" s="5" t="s">
        <v>19330</v>
      </c>
      <c r="B4835" s="292" t="str">
        <f>HYPERLINK("https://akshar-exim-company-pvt-ltd.odoo.com/web#id=21711&amp;action=152&amp;model=crm.lead&amp;view_type=form&amp;menu_id=111","C2011081")</f>
        <v>C2011081</v>
      </c>
      <c r="C4835" s="41" t="s">
        <v>19346</v>
      </c>
      <c r="D4835" s="11"/>
      <c r="E4835" s="11" t="s">
        <v>11816</v>
      </c>
      <c r="F4835" s="90">
        <v>100.0</v>
      </c>
      <c r="G4835" s="321"/>
      <c r="H4835" s="11" t="s">
        <v>44</v>
      </c>
      <c r="I4835" s="423"/>
      <c r="J4835" s="14"/>
      <c r="K4835" s="13"/>
      <c r="L4835" s="13"/>
      <c r="M4835" s="14"/>
      <c r="N4835" s="15"/>
      <c r="O4835" s="5" t="s">
        <v>10708</v>
      </c>
      <c r="P4835" s="15"/>
      <c r="Q4835" s="15"/>
      <c r="R4835" s="422"/>
      <c r="S4835" s="15"/>
      <c r="T4835" s="15"/>
      <c r="U4835" s="15"/>
      <c r="V4835" s="15"/>
      <c r="W4835" s="15"/>
      <c r="X4835" s="15"/>
      <c r="Y4835" s="15"/>
      <c r="Z4835" s="15"/>
      <c r="AA4835" s="15"/>
    </row>
    <row r="4836">
      <c r="A4836" s="5" t="s">
        <v>19330</v>
      </c>
      <c r="B4836" s="292" t="str">
        <f>HYPERLINK("https://akshar-exim-company-pvt-ltd.odoo.com/web#id=21713&amp;action=152&amp;model=crm.lead&amp;view_type=form&amp;menu_id=111","C2011080")</f>
        <v>C2011080</v>
      </c>
      <c r="C4836" s="41" t="s">
        <v>19347</v>
      </c>
      <c r="D4836" s="11"/>
      <c r="E4836" s="11" t="s">
        <v>130</v>
      </c>
      <c r="F4836" s="9">
        <v>25000.0</v>
      </c>
      <c r="G4836" s="321"/>
      <c r="H4836" s="11" t="s">
        <v>99</v>
      </c>
      <c r="I4836" s="276"/>
      <c r="J4836" s="11" t="s">
        <v>25</v>
      </c>
      <c r="K4836" s="12"/>
      <c r="L4836" s="12"/>
      <c r="M4836" s="11" t="s">
        <v>9875</v>
      </c>
      <c r="N4836" s="5" t="s">
        <v>19348</v>
      </c>
      <c r="O4836" s="5" t="s">
        <v>564</v>
      </c>
      <c r="P4836" s="15"/>
      <c r="Q4836" s="15"/>
      <c r="R4836" s="422"/>
      <c r="S4836" s="15"/>
      <c r="T4836" s="15"/>
      <c r="U4836" s="15"/>
      <c r="V4836" s="15"/>
      <c r="W4836" s="15"/>
      <c r="X4836" s="15"/>
      <c r="Y4836" s="15"/>
      <c r="Z4836" s="15"/>
      <c r="AA4836" s="15"/>
    </row>
    <row r="4837">
      <c r="A4837" s="5" t="s">
        <v>19330</v>
      </c>
      <c r="B4837" s="292" t="str">
        <f>HYPERLINK("https://akshar-exim-company-pvt-ltd.odoo.com/web#id=21714&amp;action=152&amp;model=crm.lead&amp;view_type=form&amp;menu_id=111","C2011079")</f>
        <v>C2011079</v>
      </c>
      <c r="C4837" s="41" t="s">
        <v>4709</v>
      </c>
      <c r="D4837" s="11"/>
      <c r="E4837" s="11" t="s">
        <v>9109</v>
      </c>
      <c r="F4837" s="90">
        <v>1.0</v>
      </c>
      <c r="G4837" s="321"/>
      <c r="H4837" s="11" t="s">
        <v>3539</v>
      </c>
      <c r="I4837" s="276"/>
      <c r="J4837" s="11" t="s">
        <v>9536</v>
      </c>
      <c r="K4837" s="13"/>
      <c r="L4837" s="13"/>
      <c r="M4837" s="14"/>
      <c r="N4837" s="15"/>
      <c r="O4837" s="5" t="s">
        <v>10708</v>
      </c>
      <c r="P4837" s="15"/>
      <c r="Q4837" s="15"/>
      <c r="R4837" s="422"/>
      <c r="S4837" s="15"/>
      <c r="T4837" s="15"/>
      <c r="U4837" s="15"/>
      <c r="V4837" s="15"/>
      <c r="W4837" s="15"/>
      <c r="X4837" s="15"/>
      <c r="Y4837" s="15"/>
      <c r="Z4837" s="15"/>
      <c r="AA4837" s="15"/>
    </row>
    <row r="4838">
      <c r="A4838" s="5" t="s">
        <v>19330</v>
      </c>
      <c r="B4838" s="292" t="str">
        <f>HYPERLINK("https://akshar-exim-company-pvt-ltd.odoo.com/web#id=21715&amp;action=152&amp;model=crm.lead&amp;view_type=form&amp;menu_id=111","C2011078")</f>
        <v>C2011078</v>
      </c>
      <c r="C4838" s="41" t="s">
        <v>19349</v>
      </c>
      <c r="D4838" s="11"/>
      <c r="E4838" s="11" t="s">
        <v>207</v>
      </c>
      <c r="F4838" s="90">
        <v>300.0</v>
      </c>
      <c r="G4838" s="321"/>
      <c r="H4838" s="11" t="s">
        <v>158</v>
      </c>
      <c r="I4838" s="276"/>
      <c r="J4838" s="11" t="s">
        <v>25</v>
      </c>
      <c r="K4838" s="12"/>
      <c r="L4838" s="12"/>
      <c r="M4838" s="11" t="s">
        <v>11788</v>
      </c>
      <c r="N4838" s="5" t="s">
        <v>19350</v>
      </c>
      <c r="O4838" s="5" t="s">
        <v>564</v>
      </c>
      <c r="P4838" s="15"/>
      <c r="Q4838" s="15"/>
      <c r="R4838" s="422"/>
      <c r="S4838" s="15"/>
      <c r="T4838" s="15"/>
      <c r="U4838" s="15"/>
      <c r="V4838" s="15"/>
      <c r="W4838" s="15"/>
      <c r="X4838" s="15"/>
      <c r="Y4838" s="15"/>
      <c r="Z4838" s="15"/>
      <c r="AA4838" s="15"/>
    </row>
    <row r="4839">
      <c r="A4839" s="5" t="s">
        <v>19330</v>
      </c>
      <c r="B4839" s="292" t="str">
        <f>HYPERLINK("https://akshar-exim-company-pvt-ltd.odoo.com/web#id=21718&amp;action=152&amp;model=crm.lead&amp;view_type=form&amp;menu_id=111","C2011077")</f>
        <v>C2011077</v>
      </c>
      <c r="C4839" s="41" t="s">
        <v>19351</v>
      </c>
      <c r="D4839" s="41"/>
      <c r="E4839" s="41" t="s">
        <v>6311</v>
      </c>
      <c r="F4839" s="9">
        <v>200000.0</v>
      </c>
      <c r="G4839" s="430"/>
      <c r="H4839" s="41" t="s">
        <v>4460</v>
      </c>
      <c r="I4839" s="276"/>
      <c r="J4839" s="11" t="s">
        <v>25</v>
      </c>
      <c r="K4839" s="12"/>
      <c r="L4839" s="12"/>
      <c r="M4839" s="11" t="s">
        <v>7965</v>
      </c>
      <c r="N4839" s="5" t="s">
        <v>19352</v>
      </c>
      <c r="O4839" s="5" t="s">
        <v>17993</v>
      </c>
      <c r="P4839" s="15"/>
      <c r="Q4839" s="15"/>
      <c r="R4839" s="422"/>
      <c r="S4839" s="15"/>
      <c r="T4839" s="15"/>
      <c r="U4839" s="15"/>
      <c r="V4839" s="15"/>
      <c r="W4839" s="15"/>
      <c r="X4839" s="15"/>
      <c r="Y4839" s="15"/>
      <c r="Z4839" s="15"/>
      <c r="AA4839" s="15"/>
    </row>
    <row r="4840">
      <c r="A4840" s="5" t="s">
        <v>19330</v>
      </c>
      <c r="B4840" s="292" t="str">
        <f>HYPERLINK("https://akshar-exim-company-pvt-ltd.odoo.com/web#id=21689&amp;action=152&amp;model=crm.lead&amp;view_type=form&amp;menu_id=111","C2011076")</f>
        <v>C2011076</v>
      </c>
      <c r="C4840" s="41" t="s">
        <v>19353</v>
      </c>
      <c r="D4840" s="41"/>
      <c r="E4840" s="41" t="s">
        <v>1675</v>
      </c>
      <c r="F4840" s="90">
        <v>5.0</v>
      </c>
      <c r="G4840" s="321"/>
      <c r="H4840" s="11" t="s">
        <v>906</v>
      </c>
      <c r="I4840" s="276"/>
      <c r="J4840" s="11" t="s">
        <v>18223</v>
      </c>
      <c r="K4840" s="13"/>
      <c r="L4840" s="13"/>
      <c r="M4840" s="14"/>
      <c r="N4840" s="15"/>
      <c r="O4840" s="5" t="s">
        <v>10708</v>
      </c>
      <c r="P4840" s="15"/>
      <c r="Q4840" s="15"/>
      <c r="R4840" s="422"/>
      <c r="S4840" s="15"/>
      <c r="T4840" s="15"/>
      <c r="U4840" s="15"/>
      <c r="V4840" s="15"/>
      <c r="W4840" s="15"/>
      <c r="X4840" s="15"/>
      <c r="Y4840" s="15"/>
      <c r="Z4840" s="15"/>
      <c r="AA4840" s="15"/>
    </row>
    <row r="4841">
      <c r="A4841" s="5" t="s">
        <v>19330</v>
      </c>
      <c r="B4841" s="292" t="str">
        <f>HYPERLINK("https://akshar-exim-company-pvt-ltd.odoo.com/web#id=21692&amp;action=152&amp;model=crm.lead&amp;view_type=form&amp;menu_id=111","C2011075")</f>
        <v>C2011075</v>
      </c>
      <c r="C4841" s="41" t="s">
        <v>19354</v>
      </c>
      <c r="D4841" s="405"/>
      <c r="E4841" s="405" t="s">
        <v>19355</v>
      </c>
      <c r="F4841" s="90" t="s">
        <v>19356</v>
      </c>
      <c r="G4841" s="321"/>
      <c r="H4841" s="11" t="s">
        <v>742</v>
      </c>
      <c r="I4841" s="276"/>
      <c r="J4841" s="11" t="s">
        <v>17976</v>
      </c>
      <c r="K4841" s="12"/>
      <c r="L4841" s="12"/>
      <c r="M4841" s="11" t="s">
        <v>19357</v>
      </c>
      <c r="N4841" s="5" t="s">
        <v>19358</v>
      </c>
      <c r="O4841" s="5" t="s">
        <v>17993</v>
      </c>
      <c r="P4841" s="15"/>
      <c r="Q4841" s="15"/>
      <c r="R4841" s="422"/>
      <c r="S4841" s="15"/>
      <c r="T4841" s="15"/>
      <c r="U4841" s="15"/>
      <c r="V4841" s="15"/>
      <c r="W4841" s="15"/>
      <c r="X4841" s="15"/>
      <c r="Y4841" s="15"/>
      <c r="Z4841" s="15"/>
      <c r="AA4841" s="15"/>
    </row>
    <row r="4842">
      <c r="A4842" s="5" t="s">
        <v>19330</v>
      </c>
      <c r="B4842" s="292" t="str">
        <f>HYPERLINK("https://akshar-exim-company-pvt-ltd.odoo.com/web#id=21694&amp;action=152&amp;model=crm.lead&amp;view_type=form&amp;menu_id=111","C2011074")</f>
        <v>C2011074</v>
      </c>
      <c r="C4842" s="41" t="s">
        <v>6794</v>
      </c>
      <c r="D4842" s="11"/>
      <c r="E4842" s="11" t="s">
        <v>9283</v>
      </c>
      <c r="F4842" s="90">
        <v>100.0</v>
      </c>
      <c r="G4842" s="321"/>
      <c r="H4842" s="11" t="s">
        <v>18637</v>
      </c>
      <c r="I4842" s="423"/>
      <c r="J4842" s="14"/>
      <c r="K4842" s="13"/>
      <c r="L4842" s="13"/>
      <c r="M4842" s="14"/>
      <c r="N4842" s="15"/>
      <c r="O4842" s="5" t="s">
        <v>10708</v>
      </c>
      <c r="P4842" s="15"/>
      <c r="Q4842" s="15"/>
      <c r="R4842" s="422"/>
      <c r="S4842" s="15"/>
      <c r="T4842" s="15"/>
      <c r="U4842" s="15"/>
      <c r="V4842" s="15"/>
      <c r="W4842" s="15"/>
      <c r="X4842" s="15"/>
      <c r="Y4842" s="15"/>
      <c r="Z4842" s="15"/>
      <c r="AA4842" s="15"/>
    </row>
    <row r="4843">
      <c r="A4843" s="5" t="s">
        <v>19330</v>
      </c>
      <c r="B4843" s="292" t="str">
        <f>HYPERLINK("https://akshar-exim-company-pvt-ltd.odoo.com/web#id=21695&amp;action=152&amp;model=crm.lead&amp;view_type=form&amp;menu_id=111","C2011073")</f>
        <v>C2011073</v>
      </c>
      <c r="C4843" s="41" t="s">
        <v>19359</v>
      </c>
      <c r="D4843" s="11"/>
      <c r="E4843" s="11" t="s">
        <v>1373</v>
      </c>
      <c r="F4843" s="433"/>
      <c r="G4843" s="434"/>
      <c r="H4843" s="14"/>
      <c r="I4843" s="423"/>
      <c r="J4843" s="14"/>
      <c r="K4843" s="13"/>
      <c r="L4843" s="13"/>
      <c r="M4843" s="14"/>
      <c r="N4843" s="15"/>
      <c r="O4843" s="15"/>
      <c r="P4843" s="15"/>
      <c r="Q4843" s="15"/>
      <c r="R4843" s="422"/>
      <c r="S4843" s="15"/>
      <c r="T4843" s="15"/>
      <c r="U4843" s="15"/>
      <c r="V4843" s="15"/>
      <c r="W4843" s="15"/>
      <c r="X4843" s="15"/>
      <c r="Y4843" s="15"/>
      <c r="Z4843" s="15"/>
      <c r="AA4843" s="15"/>
    </row>
    <row r="4844">
      <c r="A4844" s="5" t="s">
        <v>19330</v>
      </c>
      <c r="B4844" s="292" t="str">
        <f>HYPERLINK("https://akshar-exim-company-pvt-ltd.odoo.com/web#id=21697&amp;action=152&amp;model=crm.lead&amp;view_type=form&amp;menu_id=111","C2011072")</f>
        <v>C2011072</v>
      </c>
      <c r="C4844" s="41" t="s">
        <v>19360</v>
      </c>
      <c r="D4844" s="11"/>
      <c r="E4844" s="11" t="s">
        <v>9283</v>
      </c>
      <c r="F4844" s="433"/>
      <c r="G4844" s="434"/>
      <c r="H4844" s="14"/>
      <c r="I4844" s="423"/>
      <c r="J4844" s="14"/>
      <c r="K4844" s="13"/>
      <c r="L4844" s="13"/>
      <c r="M4844" s="14"/>
      <c r="N4844" s="15"/>
      <c r="O4844" s="15"/>
      <c r="P4844" s="15"/>
      <c r="Q4844" s="15"/>
      <c r="R4844" s="422"/>
      <c r="S4844" s="15"/>
      <c r="T4844" s="15"/>
      <c r="U4844" s="15"/>
      <c r="V4844" s="15"/>
      <c r="W4844" s="15"/>
      <c r="X4844" s="15"/>
      <c r="Y4844" s="15"/>
      <c r="Z4844" s="15"/>
      <c r="AA4844" s="15"/>
    </row>
    <row r="4845">
      <c r="A4845" s="5" t="s">
        <v>19330</v>
      </c>
      <c r="B4845" s="292" t="str">
        <f>HYPERLINK("https://akshar-exim-company-pvt-ltd.odoo.com/web#id=21699&amp;action=152&amp;model=crm.lead&amp;view_type=form&amp;menu_id=111","C2011071")</f>
        <v>C2011071</v>
      </c>
      <c r="C4845" s="435" t="s">
        <v>19361</v>
      </c>
      <c r="D4845" s="11"/>
      <c r="E4845" s="11" t="s">
        <v>19362</v>
      </c>
      <c r="F4845" s="90">
        <v>1.0</v>
      </c>
      <c r="G4845" s="321"/>
      <c r="H4845" s="11" t="s">
        <v>467</v>
      </c>
      <c r="I4845" s="276"/>
      <c r="J4845" s="11" t="s">
        <v>7109</v>
      </c>
      <c r="K4845" s="13"/>
      <c r="L4845" s="13"/>
      <c r="M4845" s="14"/>
      <c r="N4845" s="15"/>
      <c r="O4845" s="5" t="s">
        <v>10708</v>
      </c>
      <c r="P4845" s="15"/>
      <c r="Q4845" s="15"/>
      <c r="R4845" s="422"/>
      <c r="S4845" s="15"/>
      <c r="T4845" s="15"/>
      <c r="U4845" s="15"/>
      <c r="V4845" s="15"/>
      <c r="W4845" s="15"/>
      <c r="X4845" s="15"/>
      <c r="Y4845" s="15"/>
      <c r="Z4845" s="15"/>
      <c r="AA4845" s="15"/>
    </row>
    <row r="4846">
      <c r="A4846" s="5" t="s">
        <v>19330</v>
      </c>
      <c r="B4846" s="292" t="str">
        <f>HYPERLINK("https://akshar-exim-company-pvt-ltd.odoo.com/web#id=21700&amp;action=152&amp;model=crm.lead&amp;view_type=form&amp;menu_id=111","C2011070")</f>
        <v>C2011070</v>
      </c>
      <c r="C4846" s="41" t="s">
        <v>19363</v>
      </c>
      <c r="D4846" s="11"/>
      <c r="E4846" s="11" t="s">
        <v>3682</v>
      </c>
      <c r="F4846" s="90">
        <v>5000.0</v>
      </c>
      <c r="G4846" s="321"/>
      <c r="H4846" s="11" t="s">
        <v>49</v>
      </c>
      <c r="I4846" s="276"/>
      <c r="J4846" s="11" t="s">
        <v>17976</v>
      </c>
      <c r="K4846" s="12"/>
      <c r="L4846" s="12"/>
      <c r="M4846" s="11" t="s">
        <v>19364</v>
      </c>
      <c r="N4846" s="5" t="s">
        <v>19365</v>
      </c>
      <c r="O4846" s="5" t="s">
        <v>13963</v>
      </c>
      <c r="P4846" s="15"/>
      <c r="Q4846" s="15"/>
      <c r="R4846" s="422"/>
      <c r="S4846" s="15"/>
      <c r="T4846" s="15"/>
      <c r="U4846" s="15"/>
      <c r="V4846" s="15"/>
      <c r="W4846" s="15"/>
      <c r="X4846" s="15"/>
      <c r="Y4846" s="15"/>
      <c r="Z4846" s="15"/>
      <c r="AA4846" s="15"/>
    </row>
    <row r="4847">
      <c r="A4847" s="5" t="s">
        <v>19330</v>
      </c>
      <c r="B4847" s="292" t="str">
        <f>HYPERLINK("https://akshar-exim-company-pvt-ltd.odoo.com/web#id=21705&amp;action=152&amp;model=crm.lead&amp;view_type=form&amp;menu_id=111","C2011069")</f>
        <v>C2011069</v>
      </c>
      <c r="C4847" s="41" t="s">
        <v>19366</v>
      </c>
      <c r="D4847" s="11"/>
      <c r="E4847" s="11" t="s">
        <v>9682</v>
      </c>
      <c r="F4847" s="9">
        <v>10000.0</v>
      </c>
      <c r="G4847" s="430"/>
      <c r="H4847" s="41" t="s">
        <v>19367</v>
      </c>
      <c r="I4847" s="276"/>
      <c r="J4847" s="11" t="s">
        <v>17976</v>
      </c>
      <c r="K4847" s="12"/>
      <c r="L4847" s="12"/>
      <c r="M4847" s="11" t="s">
        <v>9445</v>
      </c>
      <c r="N4847" s="5" t="s">
        <v>19368</v>
      </c>
      <c r="O4847" s="5" t="s">
        <v>13963</v>
      </c>
      <c r="P4847" s="15"/>
      <c r="Q4847" s="15"/>
      <c r="R4847" s="422"/>
      <c r="S4847" s="15"/>
      <c r="T4847" s="15"/>
      <c r="U4847" s="15"/>
      <c r="V4847" s="15"/>
      <c r="W4847" s="15"/>
      <c r="X4847" s="15"/>
      <c r="Y4847" s="15"/>
      <c r="Z4847" s="15"/>
      <c r="AA4847" s="15"/>
    </row>
    <row r="4848">
      <c r="A4848" s="5" t="s">
        <v>19330</v>
      </c>
      <c r="B4848" s="292" t="str">
        <f>HYPERLINK("https://akshar-exim-company-pvt-ltd.odoo.com/web#id=21706&amp;action=152&amp;model=crm.lead&amp;view_type=form&amp;menu_id=111","C2011068")</f>
        <v>C2011068</v>
      </c>
      <c r="C4848" s="41" t="s">
        <v>19369</v>
      </c>
      <c r="D4848" s="405"/>
      <c r="E4848" s="405" t="s">
        <v>2647</v>
      </c>
      <c r="F4848" s="9">
        <v>300000.0</v>
      </c>
      <c r="G4848" s="430"/>
      <c r="H4848" s="41" t="s">
        <v>9261</v>
      </c>
      <c r="I4848" s="276"/>
      <c r="J4848" s="11" t="s">
        <v>25</v>
      </c>
      <c r="K4848" s="13"/>
      <c r="L4848" s="13"/>
      <c r="M4848" s="14"/>
      <c r="N4848" s="15"/>
      <c r="O4848" s="5" t="s">
        <v>17993</v>
      </c>
      <c r="P4848" s="15"/>
      <c r="Q4848" s="15"/>
      <c r="R4848" s="422"/>
      <c r="S4848" s="15"/>
      <c r="T4848" s="15"/>
      <c r="U4848" s="15"/>
      <c r="V4848" s="15"/>
      <c r="W4848" s="15"/>
      <c r="X4848" s="15"/>
      <c r="Y4848" s="15"/>
      <c r="Z4848" s="15"/>
      <c r="AA4848" s="15"/>
    </row>
    <row r="4849">
      <c r="A4849" s="5" t="s">
        <v>19370</v>
      </c>
      <c r="B4849" s="292" t="str">
        <f>HYPERLINK("https://akshar-exim-company-pvt-ltd.odoo.com/web#id=21681&amp;action=152&amp;model=crm.lead&amp;view_type=form&amp;menu_id=111","C2011067")</f>
        <v>C2011067</v>
      </c>
      <c r="C4849" s="41" t="s">
        <v>19371</v>
      </c>
      <c r="D4849" s="11"/>
      <c r="E4849" s="11" t="s">
        <v>523</v>
      </c>
      <c r="F4849" s="9">
        <v>25000.0</v>
      </c>
      <c r="G4849" s="430"/>
      <c r="H4849" s="41" t="s">
        <v>19372</v>
      </c>
      <c r="I4849" s="276"/>
      <c r="J4849" s="11" t="s">
        <v>17976</v>
      </c>
      <c r="K4849" s="12"/>
      <c r="L4849" s="12"/>
      <c r="M4849" s="11" t="s">
        <v>8348</v>
      </c>
      <c r="N4849" s="5" t="s">
        <v>19373</v>
      </c>
      <c r="O4849" s="5" t="s">
        <v>17993</v>
      </c>
      <c r="P4849" s="15"/>
      <c r="Q4849" s="15"/>
      <c r="R4849" s="422"/>
      <c r="S4849" s="15"/>
      <c r="T4849" s="15"/>
      <c r="U4849" s="15"/>
      <c r="V4849" s="15"/>
      <c r="W4849" s="15"/>
      <c r="X4849" s="15"/>
      <c r="Y4849" s="15"/>
      <c r="Z4849" s="15"/>
      <c r="AA4849" s="15"/>
    </row>
    <row r="4850">
      <c r="A4850" s="5" t="s">
        <v>19370</v>
      </c>
      <c r="B4850" s="292" t="str">
        <f>HYPERLINK("https://akshar-exim-company-pvt-ltd.odoo.com/web#id=21682&amp;action=152&amp;model=crm.lead&amp;view_type=form&amp;menu_id=111","C2011066")</f>
        <v>C2011066</v>
      </c>
      <c r="C4850" s="41" t="s">
        <v>19374</v>
      </c>
      <c r="D4850" s="41"/>
      <c r="E4850" s="41" t="s">
        <v>87</v>
      </c>
      <c r="F4850" s="90">
        <v>20.0</v>
      </c>
      <c r="G4850" s="321"/>
      <c r="H4850" s="11" t="s">
        <v>906</v>
      </c>
      <c r="I4850" s="276"/>
      <c r="J4850" s="11" t="s">
        <v>17976</v>
      </c>
      <c r="K4850" s="13"/>
      <c r="L4850" s="13"/>
      <c r="M4850" s="14"/>
      <c r="N4850" s="15"/>
      <c r="O4850" s="5" t="s">
        <v>10708</v>
      </c>
      <c r="P4850" s="15"/>
      <c r="Q4850" s="15"/>
      <c r="R4850" s="422"/>
      <c r="S4850" s="15"/>
      <c r="T4850" s="15"/>
      <c r="U4850" s="15"/>
      <c r="V4850" s="15"/>
      <c r="W4850" s="15"/>
      <c r="X4850" s="15"/>
      <c r="Y4850" s="15"/>
      <c r="Z4850" s="15"/>
      <c r="AA4850" s="15"/>
    </row>
    <row r="4851">
      <c r="A4851" s="5" t="s">
        <v>19370</v>
      </c>
      <c r="B4851" s="292" t="str">
        <f>HYPERLINK("https://akshar-exim-company-pvt-ltd.odoo.com/web#id=21676&amp;action=152&amp;model=crm.lead&amp;view_type=form&amp;menu_id=111","C2011065")</f>
        <v>C2011065</v>
      </c>
      <c r="C4851" s="41" t="s">
        <v>19375</v>
      </c>
      <c r="D4851" s="11"/>
      <c r="E4851" s="11" t="s">
        <v>116</v>
      </c>
      <c r="F4851" s="442">
        <v>10000.0</v>
      </c>
      <c r="G4851" s="321"/>
      <c r="H4851" s="11" t="s">
        <v>906</v>
      </c>
      <c r="I4851" s="276"/>
      <c r="J4851" s="11" t="s">
        <v>14563</v>
      </c>
      <c r="K4851" s="12"/>
      <c r="L4851" s="12"/>
      <c r="M4851" s="11" t="s">
        <v>15366</v>
      </c>
      <c r="N4851" s="5" t="s">
        <v>19376</v>
      </c>
      <c r="O4851" s="5" t="s">
        <v>17993</v>
      </c>
      <c r="P4851" s="15"/>
      <c r="Q4851" s="15"/>
      <c r="R4851" s="422"/>
      <c r="S4851" s="15"/>
      <c r="T4851" s="15"/>
      <c r="U4851" s="15"/>
      <c r="V4851" s="15"/>
      <c r="W4851" s="15"/>
      <c r="X4851" s="15"/>
      <c r="Y4851" s="15"/>
      <c r="Z4851" s="15"/>
      <c r="AA4851" s="15"/>
    </row>
    <row r="4852">
      <c r="A4852" s="5" t="s">
        <v>19370</v>
      </c>
      <c r="B4852" s="292" t="str">
        <f>HYPERLINK("https://akshar-exim-company-pvt-ltd.odoo.com/web#id=21635&amp;action=152&amp;model=crm.lead&amp;view_type=form&amp;menu_id=111","C2011064")</f>
        <v>C2011064</v>
      </c>
      <c r="C4852" s="41" t="s">
        <v>19377</v>
      </c>
      <c r="D4852" s="11"/>
      <c r="E4852" s="11" t="s">
        <v>344</v>
      </c>
      <c r="F4852" s="433"/>
      <c r="G4852" s="434"/>
      <c r="H4852" s="14"/>
      <c r="I4852" s="423"/>
      <c r="J4852" s="14"/>
      <c r="K4852" s="12"/>
      <c r="L4852" s="12"/>
      <c r="M4852" s="11" t="s">
        <v>17614</v>
      </c>
      <c r="N4852" s="5" t="s">
        <v>19378</v>
      </c>
      <c r="O4852" s="15"/>
      <c r="P4852" s="15"/>
      <c r="Q4852" s="15"/>
      <c r="R4852" s="422"/>
      <c r="S4852" s="15"/>
      <c r="T4852" s="15"/>
      <c r="U4852" s="15"/>
      <c r="V4852" s="15"/>
      <c r="W4852" s="15"/>
      <c r="X4852" s="15"/>
      <c r="Y4852" s="15"/>
      <c r="Z4852" s="15"/>
      <c r="AA4852" s="15"/>
    </row>
    <row r="4853">
      <c r="A4853" s="5" t="s">
        <v>19370</v>
      </c>
      <c r="B4853" s="292" t="str">
        <f>HYPERLINK("https://akshar-exim-company-pvt-ltd.odoo.com/web#id=21666&amp;action=152&amp;model=crm.lead&amp;view_type=form&amp;menu_id=111","C2011063")</f>
        <v>C2011063</v>
      </c>
      <c r="C4853" s="41" t="s">
        <v>19379</v>
      </c>
      <c r="D4853" s="11"/>
      <c r="E4853" s="11" t="s">
        <v>11748</v>
      </c>
      <c r="F4853" s="90">
        <v>2500.0</v>
      </c>
      <c r="G4853" s="321"/>
      <c r="H4853" s="11" t="s">
        <v>906</v>
      </c>
      <c r="I4853" s="276"/>
      <c r="J4853" s="11" t="s">
        <v>12978</v>
      </c>
      <c r="K4853" s="12"/>
      <c r="L4853" s="12"/>
      <c r="M4853" s="11" t="s">
        <v>10171</v>
      </c>
      <c r="N4853" s="5" t="s">
        <v>19380</v>
      </c>
      <c r="O4853" s="5" t="s">
        <v>17993</v>
      </c>
      <c r="P4853" s="15"/>
      <c r="Q4853" s="15"/>
      <c r="R4853" s="422"/>
      <c r="S4853" s="15"/>
      <c r="T4853" s="15"/>
      <c r="U4853" s="15"/>
      <c r="V4853" s="15"/>
      <c r="W4853" s="15"/>
      <c r="X4853" s="15"/>
      <c r="Y4853" s="15"/>
      <c r="Z4853" s="15"/>
      <c r="AA4853" s="15"/>
    </row>
    <row r="4854">
      <c r="A4854" s="5" t="s">
        <v>19370</v>
      </c>
      <c r="B4854" s="292" t="str">
        <f>HYPERLINK("https://akshar-exim-company-pvt-ltd.odoo.com/web#id=21660&amp;action=152&amp;model=crm.lead&amp;view_type=form&amp;menu_id=111","C2011062")</f>
        <v>C2011062</v>
      </c>
      <c r="C4854" s="40" t="s">
        <v>19381</v>
      </c>
      <c r="D4854" s="11"/>
      <c r="E4854" s="11" t="s">
        <v>18877</v>
      </c>
      <c r="F4854" s="433"/>
      <c r="G4854" s="434"/>
      <c r="H4854" s="14"/>
      <c r="I4854" s="423"/>
      <c r="J4854" s="14"/>
      <c r="K4854" s="13"/>
      <c r="L4854" s="13"/>
      <c r="M4854" s="14"/>
      <c r="N4854" s="15"/>
      <c r="O4854" s="15"/>
      <c r="P4854" s="15"/>
      <c r="Q4854" s="15"/>
      <c r="R4854" s="422"/>
      <c r="S4854" s="15"/>
      <c r="T4854" s="15"/>
      <c r="U4854" s="15"/>
      <c r="V4854" s="15"/>
      <c r="W4854" s="15"/>
      <c r="X4854" s="15"/>
      <c r="Y4854" s="15"/>
      <c r="Z4854" s="15"/>
      <c r="AA4854" s="15"/>
    </row>
    <row r="4855">
      <c r="A4855" s="5" t="s">
        <v>19370</v>
      </c>
      <c r="B4855" s="292" t="str">
        <f>HYPERLINK("https://akshar-exim-company-pvt-ltd.odoo.com/web#id=21659&amp;action=152&amp;model=crm.lead&amp;view_type=form&amp;menu_id=111","C2011061")</f>
        <v>C2011061</v>
      </c>
      <c r="C4855" s="41" t="s">
        <v>19382</v>
      </c>
      <c r="D4855" s="11"/>
      <c r="E4855" s="11" t="s">
        <v>18086</v>
      </c>
      <c r="F4855" s="9">
        <v>400000.0</v>
      </c>
      <c r="G4855" s="321"/>
      <c r="H4855" s="11" t="s">
        <v>19074</v>
      </c>
      <c r="I4855" s="423"/>
      <c r="J4855" s="14"/>
      <c r="K4855" s="12"/>
      <c r="L4855" s="12"/>
      <c r="M4855" s="11" t="s">
        <v>11202</v>
      </c>
      <c r="N4855" s="5" t="s">
        <v>19383</v>
      </c>
      <c r="O4855" s="5" t="s">
        <v>1112</v>
      </c>
      <c r="P4855" s="15"/>
      <c r="Q4855" s="15"/>
      <c r="R4855" s="422"/>
      <c r="S4855" s="15"/>
      <c r="T4855" s="15"/>
      <c r="U4855" s="15"/>
      <c r="V4855" s="15"/>
      <c r="W4855" s="15"/>
      <c r="X4855" s="15"/>
      <c r="Y4855" s="15"/>
      <c r="Z4855" s="15"/>
      <c r="AA4855" s="15"/>
    </row>
    <row r="4856">
      <c r="A4856" s="5" t="s">
        <v>19370</v>
      </c>
      <c r="B4856" s="292" t="str">
        <f>HYPERLINK("https://akshar-exim-company-pvt-ltd.odoo.com/web#id=21656&amp;action=152&amp;model=crm.lead&amp;view_type=form&amp;menu_id=111","C2011060")</f>
        <v>C2011060</v>
      </c>
      <c r="C4856" s="41" t="s">
        <v>19384</v>
      </c>
      <c r="D4856" s="11"/>
      <c r="E4856" s="11" t="s">
        <v>167</v>
      </c>
      <c r="F4856" s="90">
        <v>20.0</v>
      </c>
      <c r="G4856" s="321"/>
      <c r="H4856" s="11" t="s">
        <v>19385</v>
      </c>
      <c r="I4856" s="276"/>
      <c r="J4856" s="11" t="s">
        <v>14563</v>
      </c>
      <c r="K4856" s="13"/>
      <c r="L4856" s="13"/>
      <c r="M4856" s="14"/>
      <c r="N4856" s="15"/>
      <c r="O4856" s="5" t="s">
        <v>10708</v>
      </c>
      <c r="P4856" s="15"/>
      <c r="Q4856" s="15"/>
      <c r="R4856" s="422"/>
      <c r="S4856" s="15"/>
      <c r="T4856" s="15"/>
      <c r="U4856" s="15"/>
      <c r="V4856" s="15"/>
      <c r="W4856" s="15"/>
      <c r="X4856" s="15"/>
      <c r="Y4856" s="15"/>
      <c r="Z4856" s="15"/>
      <c r="AA4856" s="15"/>
    </row>
    <row r="4857">
      <c r="A4857" s="5" t="s">
        <v>19370</v>
      </c>
      <c r="B4857" s="292" t="str">
        <f>HYPERLINK("https://akshar-exim-company-pvt-ltd.odoo.com/web#id=21654&amp;action=152&amp;model=crm.lead&amp;view_type=form&amp;menu_id=111","C2011059")</f>
        <v>C2011059</v>
      </c>
      <c r="C4857" s="41" t="s">
        <v>19386</v>
      </c>
      <c r="D4857" s="405"/>
      <c r="E4857" s="405" t="s">
        <v>19387</v>
      </c>
      <c r="F4857" s="90" t="s">
        <v>19388</v>
      </c>
      <c r="G4857" s="430"/>
      <c r="H4857" s="41" t="s">
        <v>19389</v>
      </c>
      <c r="I4857" s="423"/>
      <c r="J4857" s="14"/>
      <c r="K4857" s="12"/>
      <c r="L4857" s="12"/>
      <c r="M4857" s="11" t="s">
        <v>19390</v>
      </c>
      <c r="N4857" s="5" t="s">
        <v>19391</v>
      </c>
      <c r="O4857" s="5" t="s">
        <v>564</v>
      </c>
      <c r="P4857" s="15"/>
      <c r="Q4857" s="15"/>
      <c r="R4857" s="422"/>
      <c r="S4857" s="15"/>
      <c r="T4857" s="15"/>
      <c r="U4857" s="15"/>
      <c r="V4857" s="15"/>
      <c r="W4857" s="15"/>
      <c r="X4857" s="15"/>
      <c r="Y4857" s="15"/>
      <c r="Z4857" s="15"/>
      <c r="AA4857" s="15"/>
    </row>
    <row r="4858">
      <c r="A4858" s="5" t="s">
        <v>19370</v>
      </c>
      <c r="B4858" s="292" t="str">
        <f>HYPERLINK("https://akshar-exim-company-pvt-ltd.odoo.com/web#id=21651&amp;action=152&amp;model=crm.lead&amp;view_type=form&amp;menu_id=111","C2011058")</f>
        <v>C2011058</v>
      </c>
      <c r="C4858" s="41" t="s">
        <v>1694</v>
      </c>
      <c r="D4858" s="11"/>
      <c r="E4858" s="11" t="s">
        <v>167</v>
      </c>
      <c r="F4858" s="9">
        <v>10000.0</v>
      </c>
      <c r="G4858" s="321"/>
      <c r="H4858" s="11" t="s">
        <v>19392</v>
      </c>
      <c r="I4858" s="276"/>
      <c r="J4858" s="11" t="s">
        <v>7109</v>
      </c>
      <c r="K4858" s="12"/>
      <c r="L4858" s="12"/>
      <c r="M4858" s="11" t="s">
        <v>8860</v>
      </c>
      <c r="N4858" s="5" t="s">
        <v>19393</v>
      </c>
      <c r="O4858" s="5" t="s">
        <v>17993</v>
      </c>
      <c r="P4858" s="15"/>
      <c r="Q4858" s="15"/>
      <c r="R4858" s="422"/>
      <c r="S4858" s="15"/>
      <c r="T4858" s="15"/>
      <c r="U4858" s="15"/>
      <c r="V4858" s="15"/>
      <c r="W4858" s="15"/>
      <c r="X4858" s="15"/>
      <c r="Y4858" s="15"/>
      <c r="Z4858" s="15"/>
      <c r="AA4858" s="15"/>
    </row>
    <row r="4859">
      <c r="A4859" s="5" t="s">
        <v>19370</v>
      </c>
      <c r="B4859" s="292" t="str">
        <f>HYPERLINK("https://akshar-exim-company-pvt-ltd.odoo.com/web#id=21650&amp;action=152&amp;model=crm.lead&amp;view_type=form&amp;menu_id=111","C2011057")</f>
        <v>C2011057</v>
      </c>
      <c r="C4859" s="41" t="s">
        <v>19394</v>
      </c>
      <c r="D4859" s="11"/>
      <c r="E4859" s="11" t="s">
        <v>18354</v>
      </c>
      <c r="F4859" s="90">
        <v>1.0</v>
      </c>
      <c r="G4859" s="321"/>
      <c r="H4859" s="11" t="s">
        <v>19395</v>
      </c>
      <c r="I4859" s="276"/>
      <c r="J4859" s="11" t="s">
        <v>25</v>
      </c>
      <c r="K4859" s="13"/>
      <c r="L4859" s="13"/>
      <c r="M4859" s="14"/>
      <c r="N4859" s="15"/>
      <c r="O4859" s="5" t="s">
        <v>10708</v>
      </c>
      <c r="P4859" s="15"/>
      <c r="Q4859" s="15"/>
      <c r="R4859" s="422"/>
      <c r="S4859" s="15"/>
      <c r="T4859" s="15"/>
      <c r="U4859" s="15"/>
      <c r="V4859" s="15"/>
      <c r="W4859" s="15"/>
      <c r="X4859" s="15"/>
      <c r="Y4859" s="15"/>
      <c r="Z4859" s="15"/>
      <c r="AA4859" s="15"/>
    </row>
    <row r="4860">
      <c r="A4860" s="5" t="s">
        <v>19370</v>
      </c>
      <c r="B4860" s="292" t="str">
        <f>HYPERLINK("https://akshar-exim-company-pvt-ltd.odoo.com/web#id=21649&amp;action=152&amp;model=crm.lead&amp;view_type=form&amp;menu_id=111","C2011056")</f>
        <v>C2011056</v>
      </c>
      <c r="C4860" s="41" t="s">
        <v>19396</v>
      </c>
      <c r="D4860" s="11"/>
      <c r="E4860" s="11" t="s">
        <v>19397</v>
      </c>
      <c r="F4860" s="433"/>
      <c r="G4860" s="434"/>
      <c r="H4860" s="14"/>
      <c r="I4860" s="423"/>
      <c r="J4860" s="14"/>
      <c r="K4860" s="13"/>
      <c r="L4860" s="13"/>
      <c r="M4860" s="14"/>
      <c r="N4860" s="15"/>
      <c r="O4860" s="15"/>
      <c r="P4860" s="15"/>
      <c r="Q4860" s="15"/>
      <c r="R4860" s="422"/>
      <c r="S4860" s="15"/>
      <c r="T4860" s="15"/>
      <c r="U4860" s="15"/>
      <c r="V4860" s="15"/>
      <c r="W4860" s="15"/>
      <c r="X4860" s="15"/>
      <c r="Y4860" s="15"/>
      <c r="Z4860" s="15"/>
      <c r="AA4860" s="15"/>
    </row>
    <row r="4861">
      <c r="A4861" s="5" t="s">
        <v>19370</v>
      </c>
      <c r="B4861" s="292" t="str">
        <f>HYPERLINK("https://akshar-exim-company-pvt-ltd.odoo.com/web#id=21645&amp;action=152&amp;model=crm.lead&amp;view_type=form&amp;menu_id=111","C2011055")</f>
        <v>C2011055</v>
      </c>
      <c r="C4861" s="41" t="s">
        <v>19398</v>
      </c>
      <c r="D4861" s="41"/>
      <c r="E4861" s="41" t="s">
        <v>11816</v>
      </c>
      <c r="F4861" s="90">
        <v>1.0</v>
      </c>
      <c r="G4861" s="321"/>
      <c r="H4861" s="11" t="s">
        <v>906</v>
      </c>
      <c r="I4861" s="276"/>
      <c r="J4861" s="11" t="s">
        <v>9536</v>
      </c>
      <c r="K4861" s="13"/>
      <c r="L4861" s="13"/>
      <c r="M4861" s="14"/>
      <c r="N4861" s="15"/>
      <c r="O4861" s="5" t="s">
        <v>10708</v>
      </c>
      <c r="P4861" s="15"/>
      <c r="Q4861" s="15"/>
      <c r="R4861" s="422"/>
      <c r="S4861" s="15"/>
      <c r="T4861" s="15"/>
      <c r="U4861" s="15"/>
      <c r="V4861" s="15"/>
      <c r="W4861" s="15"/>
      <c r="X4861" s="15"/>
      <c r="Y4861" s="15"/>
      <c r="Z4861" s="15"/>
      <c r="AA4861" s="15"/>
    </row>
    <row r="4862">
      <c r="A4862" s="5" t="s">
        <v>19370</v>
      </c>
      <c r="B4862" s="292" t="str">
        <f>HYPERLINK("https://akshar-exim-company-pvt-ltd.odoo.com/web#id=21644&amp;action=152&amp;model=crm.lead&amp;view_type=form&amp;menu_id=111","C2011054")</f>
        <v>C2011054</v>
      </c>
      <c r="C4862" s="41" t="s">
        <v>19399</v>
      </c>
      <c r="D4862" s="11"/>
      <c r="E4862" s="11" t="s">
        <v>167</v>
      </c>
      <c r="F4862" s="90">
        <v>7.0</v>
      </c>
      <c r="G4862" s="321"/>
      <c r="H4862" s="11" t="s">
        <v>930</v>
      </c>
      <c r="I4862" s="276"/>
      <c r="J4862" s="11" t="s">
        <v>18788</v>
      </c>
      <c r="K4862" s="13"/>
      <c r="L4862" s="13"/>
      <c r="M4862" s="14"/>
      <c r="N4862" s="15"/>
      <c r="O4862" s="5" t="s">
        <v>10708</v>
      </c>
      <c r="P4862" s="15"/>
      <c r="Q4862" s="15"/>
      <c r="R4862" s="422"/>
      <c r="S4862" s="15"/>
      <c r="T4862" s="15"/>
      <c r="U4862" s="15"/>
      <c r="V4862" s="15"/>
      <c r="W4862" s="15"/>
      <c r="X4862" s="15"/>
      <c r="Y4862" s="15"/>
      <c r="Z4862" s="15"/>
      <c r="AA4862" s="15"/>
    </row>
    <row r="4863">
      <c r="A4863" s="5" t="s">
        <v>19370</v>
      </c>
      <c r="B4863" s="292" t="str">
        <f>HYPERLINK("https://akshar-exim-company-pvt-ltd.odoo.com/web#id=21643&amp;action=152&amp;model=crm.lead&amp;view_type=form&amp;menu_id=111","C2011053")</f>
        <v>C2011053</v>
      </c>
      <c r="C4863" s="41" t="s">
        <v>4709</v>
      </c>
      <c r="D4863" s="11"/>
      <c r="E4863" s="11" t="s">
        <v>1749</v>
      </c>
      <c r="F4863" s="90">
        <v>1.0</v>
      </c>
      <c r="G4863" s="321"/>
      <c r="H4863" s="11" t="s">
        <v>906</v>
      </c>
      <c r="I4863" s="276"/>
      <c r="J4863" s="11" t="s">
        <v>25</v>
      </c>
      <c r="K4863" s="13"/>
      <c r="L4863" s="13"/>
      <c r="M4863" s="14"/>
      <c r="N4863" s="15"/>
      <c r="O4863" s="5" t="s">
        <v>10708</v>
      </c>
      <c r="P4863" s="15"/>
      <c r="Q4863" s="15"/>
      <c r="R4863" s="422"/>
      <c r="S4863" s="15"/>
      <c r="T4863" s="15"/>
      <c r="U4863" s="15"/>
      <c r="V4863" s="15"/>
      <c r="W4863" s="15"/>
      <c r="X4863" s="15"/>
      <c r="Y4863" s="15"/>
      <c r="Z4863" s="15"/>
      <c r="AA4863" s="15"/>
    </row>
    <row r="4864">
      <c r="A4864" s="5" t="s">
        <v>19370</v>
      </c>
      <c r="B4864" s="292" t="str">
        <f>HYPERLINK("https://akshar-exim-company-pvt-ltd.odoo.com/web#id=21640&amp;action=152&amp;model=crm.lead&amp;view_type=form&amp;menu_id=111","C2011052")</f>
        <v>C2011052</v>
      </c>
      <c r="C4864" s="41" t="s">
        <v>19400</v>
      </c>
      <c r="D4864" s="11"/>
      <c r="E4864" s="11" t="s">
        <v>167</v>
      </c>
      <c r="F4864" s="90">
        <v>10.0</v>
      </c>
      <c r="G4864" s="430"/>
      <c r="H4864" s="41" t="s">
        <v>2682</v>
      </c>
      <c r="I4864" s="276"/>
      <c r="J4864" s="11" t="s">
        <v>7109</v>
      </c>
      <c r="K4864" s="13"/>
      <c r="L4864" s="13"/>
      <c r="M4864" s="14"/>
      <c r="N4864" s="15"/>
      <c r="O4864" s="5" t="s">
        <v>10708</v>
      </c>
      <c r="P4864" s="15"/>
      <c r="Q4864" s="15"/>
      <c r="R4864" s="422"/>
      <c r="S4864" s="15"/>
      <c r="T4864" s="15"/>
      <c r="U4864" s="15"/>
      <c r="V4864" s="15"/>
      <c r="W4864" s="15"/>
      <c r="X4864" s="15"/>
      <c r="Y4864" s="15"/>
      <c r="Z4864" s="15"/>
      <c r="AA4864" s="15"/>
    </row>
    <row r="4865">
      <c r="A4865" s="5" t="s">
        <v>19370</v>
      </c>
      <c r="B4865" s="292" t="str">
        <f>HYPERLINK("https://akshar-exim-company-pvt-ltd.odoo.com/web#id=21639&amp;action=152&amp;model=crm.lead&amp;view_type=form&amp;menu_id=111","C2011051")</f>
        <v>C2011051</v>
      </c>
      <c r="C4865" s="41" t="s">
        <v>19401</v>
      </c>
      <c r="D4865" s="41"/>
      <c r="E4865" s="41" t="s">
        <v>2284</v>
      </c>
      <c r="F4865" s="90">
        <v>1.0</v>
      </c>
      <c r="G4865" s="430"/>
      <c r="H4865" s="41" t="s">
        <v>19402</v>
      </c>
      <c r="I4865" s="276"/>
      <c r="J4865" s="11" t="s">
        <v>13956</v>
      </c>
      <c r="K4865" s="13"/>
      <c r="L4865" s="13"/>
      <c r="M4865" s="14"/>
      <c r="N4865" s="15"/>
      <c r="O4865" s="5" t="s">
        <v>10708</v>
      </c>
      <c r="P4865" s="15"/>
      <c r="Q4865" s="15"/>
      <c r="R4865" s="422"/>
      <c r="S4865" s="15"/>
      <c r="T4865" s="15"/>
      <c r="U4865" s="15"/>
      <c r="V4865" s="15"/>
      <c r="W4865" s="15"/>
      <c r="X4865" s="15"/>
      <c r="Y4865" s="15"/>
      <c r="Z4865" s="15"/>
      <c r="AA4865" s="15"/>
    </row>
    <row r="4866">
      <c r="A4866" s="5" t="s">
        <v>19370</v>
      </c>
      <c r="B4866" s="292" t="str">
        <f>HYPERLINK("https://akshar-exim-company-pvt-ltd.odoo.com/web#id=21634&amp;action=152&amp;model=crm.lead&amp;view_type=form&amp;menu_id=111","C2011050")</f>
        <v>C2011050</v>
      </c>
      <c r="C4866" s="41" t="s">
        <v>19403</v>
      </c>
      <c r="D4866" s="11"/>
      <c r="E4866" s="11" t="s">
        <v>152</v>
      </c>
      <c r="F4866" s="9">
        <v>10000.0</v>
      </c>
      <c r="G4866" s="321"/>
      <c r="H4866" s="11" t="s">
        <v>519</v>
      </c>
      <c r="I4866" s="276"/>
      <c r="J4866" s="11" t="s">
        <v>12745</v>
      </c>
      <c r="K4866" s="12"/>
      <c r="L4866" s="12"/>
      <c r="M4866" s="11" t="s">
        <v>19404</v>
      </c>
      <c r="N4866" s="5" t="s">
        <v>19405</v>
      </c>
      <c r="O4866" s="5" t="s">
        <v>17993</v>
      </c>
      <c r="P4866" s="15"/>
      <c r="Q4866" s="15"/>
      <c r="R4866" s="422"/>
      <c r="S4866" s="15"/>
      <c r="T4866" s="15"/>
      <c r="U4866" s="15"/>
      <c r="V4866" s="15"/>
      <c r="W4866" s="15"/>
      <c r="X4866" s="15"/>
      <c r="Y4866" s="15"/>
      <c r="Z4866" s="15"/>
      <c r="AA4866" s="15"/>
    </row>
    <row r="4867">
      <c r="A4867" s="5" t="s">
        <v>19370</v>
      </c>
      <c r="B4867" s="292" t="str">
        <f>HYPERLINK("https://akshar-exim-company-pvt-ltd.odoo.com/web#id=21633&amp;action=152&amp;model=crm.lead&amp;view_type=form&amp;menu_id=111","C2011049")</f>
        <v>C2011049</v>
      </c>
      <c r="C4867" s="41" t="s">
        <v>15850</v>
      </c>
      <c r="D4867" s="405"/>
      <c r="E4867" s="405" t="s">
        <v>6421</v>
      </c>
      <c r="F4867" s="90">
        <v>2000.0</v>
      </c>
      <c r="G4867" s="321"/>
      <c r="H4867" s="11" t="s">
        <v>495</v>
      </c>
      <c r="I4867" s="276"/>
      <c r="J4867" s="11" t="s">
        <v>19406</v>
      </c>
      <c r="K4867" s="12"/>
      <c r="L4867" s="12"/>
      <c r="M4867" s="11" t="s">
        <v>19407</v>
      </c>
      <c r="N4867" s="5" t="s">
        <v>19408</v>
      </c>
      <c r="O4867" s="5" t="s">
        <v>564</v>
      </c>
      <c r="P4867" s="15"/>
      <c r="Q4867" s="15"/>
      <c r="R4867" s="422"/>
      <c r="S4867" s="15"/>
      <c r="T4867" s="15"/>
      <c r="U4867" s="15"/>
      <c r="V4867" s="15"/>
      <c r="W4867" s="15"/>
      <c r="X4867" s="15"/>
      <c r="Y4867" s="15"/>
      <c r="Z4867" s="15"/>
      <c r="AA4867" s="15"/>
    </row>
    <row r="4868">
      <c r="A4868" s="5" t="s">
        <v>19370</v>
      </c>
      <c r="B4868" s="292" t="str">
        <f>HYPERLINK("https://akshar-exim-company-pvt-ltd.odoo.com/web#id=21627&amp;action=152&amp;model=crm.lead&amp;view_type=form&amp;menu_id=111","C2011048")</f>
        <v>C2011048</v>
      </c>
      <c r="C4868" s="41" t="s">
        <v>19409</v>
      </c>
      <c r="D4868" s="405"/>
      <c r="E4868" s="405" t="s">
        <v>412</v>
      </c>
      <c r="F4868" s="90">
        <v>1.0</v>
      </c>
      <c r="G4868" s="321"/>
      <c r="H4868" s="11" t="s">
        <v>9359</v>
      </c>
      <c r="I4868" s="276"/>
      <c r="J4868" s="11" t="s">
        <v>13956</v>
      </c>
      <c r="K4868" s="13"/>
      <c r="L4868" s="13"/>
      <c r="M4868" s="14"/>
      <c r="N4868" s="15"/>
      <c r="O4868" s="5" t="s">
        <v>10708</v>
      </c>
      <c r="P4868" s="15"/>
      <c r="Q4868" s="15"/>
      <c r="R4868" s="422"/>
      <c r="S4868" s="15"/>
      <c r="T4868" s="15"/>
      <c r="U4868" s="15"/>
      <c r="V4868" s="15"/>
      <c r="W4868" s="15"/>
      <c r="X4868" s="15"/>
      <c r="Y4868" s="15"/>
      <c r="Z4868" s="15"/>
      <c r="AA4868" s="15"/>
    </row>
    <row r="4869">
      <c r="A4869" s="5" t="s">
        <v>19370</v>
      </c>
      <c r="B4869" s="292" t="str">
        <f>HYPERLINK("https://akshar-exim-company-pvt-ltd.odoo.com/web#id=21625&amp;action=152&amp;model=crm.lead&amp;view_type=form&amp;menu_id=111","C2011047")</f>
        <v>C2011047</v>
      </c>
      <c r="C4869" s="41" t="s">
        <v>19410</v>
      </c>
      <c r="D4869" s="11"/>
      <c r="E4869" s="11" t="s">
        <v>207</v>
      </c>
      <c r="F4869" s="90">
        <v>100.0</v>
      </c>
      <c r="G4869" s="321"/>
      <c r="H4869" s="11" t="s">
        <v>19411</v>
      </c>
      <c r="I4869" s="276"/>
      <c r="J4869" s="11" t="s">
        <v>19412</v>
      </c>
      <c r="K4869" s="13"/>
      <c r="L4869" s="13"/>
      <c r="M4869" s="14"/>
      <c r="N4869" s="15"/>
      <c r="O4869" s="5" t="s">
        <v>10708</v>
      </c>
      <c r="P4869" s="15"/>
      <c r="Q4869" s="15"/>
      <c r="R4869" s="422"/>
      <c r="S4869" s="15"/>
      <c r="T4869" s="15"/>
      <c r="U4869" s="15"/>
      <c r="V4869" s="15"/>
      <c r="W4869" s="15"/>
      <c r="X4869" s="15"/>
      <c r="Y4869" s="15"/>
      <c r="Z4869" s="15"/>
      <c r="AA4869" s="15"/>
    </row>
    <row r="4870">
      <c r="A4870" s="5" t="s">
        <v>19370</v>
      </c>
      <c r="B4870" s="292" t="str">
        <f>HYPERLINK("https://akshar-exim-company-pvt-ltd.odoo.com/web#id=21624&amp;action=152&amp;model=crm.lead&amp;view_type=form&amp;menu_id=111","C2011046")</f>
        <v>C2011046</v>
      </c>
      <c r="C4870" s="41" t="s">
        <v>2028</v>
      </c>
      <c r="D4870" s="41"/>
      <c r="E4870" s="41" t="s">
        <v>19413</v>
      </c>
      <c r="F4870" s="90">
        <v>150.0</v>
      </c>
      <c r="G4870" s="321"/>
      <c r="H4870" s="11" t="s">
        <v>3078</v>
      </c>
      <c r="I4870" s="276"/>
      <c r="J4870" s="11" t="s">
        <v>25</v>
      </c>
      <c r="K4870" s="12"/>
      <c r="L4870" s="12"/>
      <c r="M4870" s="11" t="s">
        <v>9298</v>
      </c>
      <c r="N4870" s="5" t="s">
        <v>19414</v>
      </c>
      <c r="O4870" s="5" t="s">
        <v>17993</v>
      </c>
      <c r="P4870" s="15"/>
      <c r="Q4870" s="15"/>
      <c r="R4870" s="422"/>
      <c r="S4870" s="15"/>
      <c r="T4870" s="15"/>
      <c r="U4870" s="15"/>
      <c r="V4870" s="15"/>
      <c r="W4870" s="15"/>
      <c r="X4870" s="15"/>
      <c r="Y4870" s="15"/>
      <c r="Z4870" s="15"/>
      <c r="AA4870" s="15"/>
    </row>
    <row r="4871">
      <c r="A4871" s="5" t="s">
        <v>19370</v>
      </c>
      <c r="B4871" s="292" t="str">
        <f>HYPERLINK("https://akshar-exim-company-pvt-ltd.odoo.com/web#id=21604&amp;action=152&amp;model=crm.lead&amp;view_type=form&amp;menu_id=111","C2011045")</f>
        <v>C2011045</v>
      </c>
      <c r="C4871" s="41" t="s">
        <v>19415</v>
      </c>
      <c r="D4871" s="11"/>
      <c r="E4871" s="11" t="s">
        <v>167</v>
      </c>
      <c r="F4871" s="433"/>
      <c r="G4871" s="434"/>
      <c r="H4871" s="14"/>
      <c r="I4871" s="423"/>
      <c r="J4871" s="14"/>
      <c r="K4871" s="13"/>
      <c r="L4871" s="13"/>
      <c r="M4871" s="14"/>
      <c r="N4871" s="15"/>
      <c r="O4871" s="15"/>
      <c r="P4871" s="15"/>
      <c r="Q4871" s="15"/>
      <c r="R4871" s="422"/>
      <c r="S4871" s="15"/>
      <c r="T4871" s="15"/>
      <c r="U4871" s="15"/>
      <c r="V4871" s="15"/>
      <c r="W4871" s="15"/>
      <c r="X4871" s="15"/>
      <c r="Y4871" s="15"/>
      <c r="Z4871" s="15"/>
      <c r="AA4871" s="15"/>
    </row>
    <row r="4872">
      <c r="A4872" s="5" t="s">
        <v>19370</v>
      </c>
      <c r="B4872" s="292" t="str">
        <f>HYPERLINK("https://akshar-exim-company-pvt-ltd.odoo.com/web#id=21598&amp;action=152&amp;model=crm.lead&amp;view_type=form&amp;menu_id=111","C2011044")</f>
        <v>C2011044</v>
      </c>
      <c r="C4872" s="41" t="s">
        <v>19416</v>
      </c>
      <c r="D4872" s="41"/>
      <c r="E4872" s="41" t="s">
        <v>19417</v>
      </c>
      <c r="F4872" s="433"/>
      <c r="G4872" s="430"/>
      <c r="H4872" s="41" t="s">
        <v>19418</v>
      </c>
      <c r="I4872" s="423"/>
      <c r="J4872" s="14"/>
      <c r="K4872" s="13"/>
      <c r="L4872" s="13"/>
      <c r="M4872" s="14"/>
      <c r="N4872" s="15"/>
      <c r="O4872" s="15"/>
      <c r="P4872" s="15"/>
      <c r="Q4872" s="15"/>
      <c r="R4872" s="422"/>
      <c r="S4872" s="15"/>
      <c r="T4872" s="15"/>
      <c r="U4872" s="15"/>
      <c r="V4872" s="15"/>
      <c r="W4872" s="15"/>
      <c r="X4872" s="15"/>
      <c r="Y4872" s="15"/>
      <c r="Z4872" s="15"/>
      <c r="AA4872" s="15"/>
    </row>
    <row r="4873">
      <c r="A4873" s="5" t="s">
        <v>19419</v>
      </c>
      <c r="B4873" s="292" t="str">
        <f>HYPERLINK("https://akshar-exim-company-pvt-ltd.odoo.com/web#id=21623&amp;action=152&amp;model=crm.lead&amp;view_type=form&amp;menu_id=111","C2011043")</f>
        <v>C2011043</v>
      </c>
      <c r="C4873" s="41" t="s">
        <v>18461</v>
      </c>
      <c r="D4873" s="11"/>
      <c r="E4873" s="11" t="s">
        <v>10404</v>
      </c>
      <c r="F4873" s="90">
        <v>50.0</v>
      </c>
      <c r="G4873" s="321"/>
      <c r="H4873" s="11" t="s">
        <v>822</v>
      </c>
      <c r="I4873" s="276"/>
      <c r="J4873" s="11" t="s">
        <v>13644</v>
      </c>
      <c r="K4873" s="13"/>
      <c r="L4873" s="13"/>
      <c r="M4873" s="14"/>
      <c r="N4873" s="15"/>
      <c r="O4873" s="5" t="s">
        <v>10708</v>
      </c>
      <c r="P4873" s="15"/>
      <c r="Q4873" s="15"/>
      <c r="R4873" s="422"/>
      <c r="S4873" s="15"/>
      <c r="T4873" s="15"/>
      <c r="U4873" s="15"/>
      <c r="V4873" s="15"/>
      <c r="W4873" s="15"/>
      <c r="X4873" s="15"/>
      <c r="Y4873" s="15"/>
      <c r="Z4873" s="15"/>
      <c r="AA4873" s="15"/>
    </row>
    <row r="4874">
      <c r="A4874" s="5" t="s">
        <v>19419</v>
      </c>
      <c r="B4874" s="292" t="str">
        <f>HYPERLINK("https://akshar-exim-company-pvt-ltd.odoo.com/web#id=21621&amp;action=152&amp;model=crm.lead&amp;view_type=form&amp;menu_id=111","C2011042")</f>
        <v>C2011042</v>
      </c>
      <c r="C4874" s="41" t="s">
        <v>19420</v>
      </c>
      <c r="D4874" s="11"/>
      <c r="E4874" s="11" t="s">
        <v>19421</v>
      </c>
      <c r="F4874" s="90" t="s">
        <v>19422</v>
      </c>
      <c r="G4874" s="321"/>
      <c r="H4874" s="11" t="s">
        <v>906</v>
      </c>
      <c r="I4874" s="423"/>
      <c r="J4874" s="14"/>
      <c r="K4874" s="12"/>
      <c r="L4874" s="12"/>
      <c r="M4874" s="11" t="s">
        <v>19423</v>
      </c>
      <c r="N4874" s="5" t="s">
        <v>19424</v>
      </c>
      <c r="O4874" s="5" t="s">
        <v>17993</v>
      </c>
      <c r="P4874" s="15"/>
      <c r="Q4874" s="15"/>
      <c r="R4874" s="422"/>
      <c r="S4874" s="15"/>
      <c r="T4874" s="15"/>
      <c r="U4874" s="15"/>
      <c r="V4874" s="15"/>
      <c r="W4874" s="15"/>
      <c r="X4874" s="15"/>
      <c r="Y4874" s="15"/>
      <c r="Z4874" s="15"/>
      <c r="AA4874" s="15"/>
    </row>
    <row r="4875">
      <c r="A4875" s="5" t="s">
        <v>19419</v>
      </c>
      <c r="B4875" s="292" t="str">
        <f>HYPERLINK("https://akshar-exim-company-pvt-ltd.odoo.com/web#id=21616&amp;action=152&amp;model=crm.lead&amp;view_type=form&amp;menu_id=111","C2011041")</f>
        <v>C2011041</v>
      </c>
      <c r="C4875" s="41" t="s">
        <v>19425</v>
      </c>
      <c r="D4875" s="11"/>
      <c r="E4875" s="11" t="s">
        <v>152</v>
      </c>
      <c r="F4875" s="90">
        <v>50.0</v>
      </c>
      <c r="G4875" s="321"/>
      <c r="H4875" s="11" t="s">
        <v>19426</v>
      </c>
      <c r="I4875" s="276"/>
      <c r="J4875" s="11" t="s">
        <v>25</v>
      </c>
      <c r="K4875" s="13"/>
      <c r="L4875" s="13"/>
      <c r="M4875" s="14"/>
      <c r="N4875" s="15"/>
      <c r="O4875" s="5" t="s">
        <v>10708</v>
      </c>
      <c r="P4875" s="15"/>
      <c r="Q4875" s="15"/>
      <c r="R4875" s="422"/>
      <c r="S4875" s="15"/>
      <c r="T4875" s="15"/>
      <c r="U4875" s="15"/>
      <c r="V4875" s="15"/>
      <c r="W4875" s="15"/>
      <c r="X4875" s="15"/>
      <c r="Y4875" s="15"/>
      <c r="Z4875" s="15"/>
      <c r="AA4875" s="15"/>
    </row>
    <row r="4876">
      <c r="A4876" s="5" t="s">
        <v>19419</v>
      </c>
      <c r="B4876" s="292" t="str">
        <f>HYPERLINK("https://akshar-exim-company-pvt-ltd.odoo.com/web#id=21612&amp;action=152&amp;model=crm.lead&amp;view_type=form&amp;menu_id=111","C2011040")</f>
        <v>C2011040</v>
      </c>
      <c r="C4876" s="41" t="s">
        <v>19427</v>
      </c>
      <c r="D4876" s="11"/>
      <c r="E4876" s="11" t="s">
        <v>152</v>
      </c>
      <c r="F4876" s="90">
        <v>450.0</v>
      </c>
      <c r="G4876" s="430"/>
      <c r="H4876" s="41" t="s">
        <v>19147</v>
      </c>
      <c r="I4876" s="276"/>
      <c r="J4876" s="11" t="s">
        <v>19428</v>
      </c>
      <c r="K4876" s="12"/>
      <c r="L4876" s="12"/>
      <c r="M4876" s="11" t="s">
        <v>10721</v>
      </c>
      <c r="N4876" s="5" t="s">
        <v>19429</v>
      </c>
      <c r="O4876" s="5" t="s">
        <v>17993</v>
      </c>
      <c r="P4876" s="15"/>
      <c r="Q4876" s="15"/>
      <c r="R4876" s="422"/>
      <c r="S4876" s="15"/>
      <c r="T4876" s="15"/>
      <c r="U4876" s="15"/>
      <c r="V4876" s="15"/>
      <c r="W4876" s="15"/>
      <c r="X4876" s="15"/>
      <c r="Y4876" s="15"/>
      <c r="Z4876" s="15"/>
      <c r="AA4876" s="15"/>
    </row>
    <row r="4877">
      <c r="A4877" s="5" t="s">
        <v>19419</v>
      </c>
      <c r="B4877" s="292" t="str">
        <f>HYPERLINK("https://akshar-exim-company-pvt-ltd.odoo.com/web#id=21605&amp;action=152&amp;model=crm.lead&amp;view_type=form&amp;menu_id=111","C2011039")</f>
        <v>C2011039</v>
      </c>
      <c r="C4877" s="41" t="s">
        <v>19430</v>
      </c>
      <c r="D4877" s="11"/>
      <c r="E4877" s="11" t="s">
        <v>19431</v>
      </c>
      <c r="F4877" s="433"/>
      <c r="G4877" s="434"/>
      <c r="H4877" s="14"/>
      <c r="I4877" s="423"/>
      <c r="J4877" s="14"/>
      <c r="K4877" s="13"/>
      <c r="L4877" s="13"/>
      <c r="M4877" s="14"/>
      <c r="N4877" s="15"/>
      <c r="O4877" s="15"/>
      <c r="P4877" s="15"/>
      <c r="Q4877" s="15"/>
      <c r="R4877" s="422"/>
      <c r="S4877" s="15"/>
      <c r="T4877" s="15"/>
      <c r="U4877" s="15"/>
      <c r="V4877" s="15"/>
      <c r="W4877" s="15"/>
      <c r="X4877" s="15"/>
      <c r="Y4877" s="15"/>
      <c r="Z4877" s="15"/>
      <c r="AA4877" s="15"/>
    </row>
    <row r="4878">
      <c r="A4878" s="5" t="s">
        <v>19419</v>
      </c>
      <c r="B4878" s="292" t="str">
        <f>HYPERLINK("https://akshar-exim-company-pvt-ltd.odoo.com/web#id=21603&amp;action=152&amp;model=crm.lead&amp;view_type=form&amp;menu_id=111","C2011038")</f>
        <v>C2011038</v>
      </c>
      <c r="C4878" s="41" t="s">
        <v>19432</v>
      </c>
      <c r="D4878" s="11"/>
      <c r="E4878" s="11" t="s">
        <v>1749</v>
      </c>
      <c r="F4878" s="90">
        <v>5.0</v>
      </c>
      <c r="G4878" s="321"/>
      <c r="H4878" s="11" t="s">
        <v>44</v>
      </c>
      <c r="I4878" s="276"/>
      <c r="J4878" s="11" t="s">
        <v>25</v>
      </c>
      <c r="K4878" s="13"/>
      <c r="L4878" s="13"/>
      <c r="M4878" s="14"/>
      <c r="N4878" s="15"/>
      <c r="O4878" s="5" t="s">
        <v>10708</v>
      </c>
      <c r="P4878" s="15"/>
      <c r="Q4878" s="15"/>
      <c r="R4878" s="422"/>
      <c r="S4878" s="15"/>
      <c r="T4878" s="15"/>
      <c r="U4878" s="15"/>
      <c r="V4878" s="15"/>
      <c r="W4878" s="15"/>
      <c r="X4878" s="15"/>
      <c r="Y4878" s="15"/>
      <c r="Z4878" s="15"/>
      <c r="AA4878" s="15"/>
    </row>
    <row r="4879">
      <c r="A4879" s="5" t="s">
        <v>19419</v>
      </c>
      <c r="B4879" s="292" t="str">
        <f>HYPERLINK("https://akshar-exim-company-pvt-ltd.odoo.com/web#id=21602&amp;action=152&amp;model=crm.lead&amp;view_type=form&amp;menu_id=111","C2011037")</f>
        <v>C2011037</v>
      </c>
      <c r="C4879" s="41" t="s">
        <v>19433</v>
      </c>
      <c r="D4879" s="11"/>
      <c r="E4879" s="11" t="s">
        <v>106</v>
      </c>
      <c r="F4879" s="90">
        <v>50.0</v>
      </c>
      <c r="G4879" s="321"/>
      <c r="H4879" s="11" t="s">
        <v>44</v>
      </c>
      <c r="I4879" s="423"/>
      <c r="J4879" s="14"/>
      <c r="K4879" s="13"/>
      <c r="L4879" s="13"/>
      <c r="M4879" s="14"/>
      <c r="N4879" s="15"/>
      <c r="O4879" s="5" t="s">
        <v>10708</v>
      </c>
      <c r="P4879" s="15"/>
      <c r="Q4879" s="15"/>
      <c r="R4879" s="422"/>
      <c r="S4879" s="15"/>
      <c r="T4879" s="15"/>
      <c r="U4879" s="15"/>
      <c r="V4879" s="15"/>
      <c r="W4879" s="15"/>
      <c r="X4879" s="15"/>
      <c r="Y4879" s="15"/>
      <c r="Z4879" s="15"/>
      <c r="AA4879" s="15"/>
    </row>
    <row r="4880">
      <c r="A4880" s="5" t="s">
        <v>19419</v>
      </c>
      <c r="B4880" s="292" t="str">
        <f>HYPERLINK("https://akshar-exim-company-pvt-ltd.odoo.com/web#id=21601&amp;action=152&amp;model=crm.lead&amp;view_type=form&amp;menu_id=111","C2011036")</f>
        <v>C2011036</v>
      </c>
      <c r="C4880" s="41" t="s">
        <v>19434</v>
      </c>
      <c r="D4880" s="11"/>
      <c r="E4880" s="11" t="s">
        <v>841</v>
      </c>
      <c r="F4880" s="90">
        <v>1000.0</v>
      </c>
      <c r="G4880" s="321"/>
      <c r="H4880" s="11" t="s">
        <v>19435</v>
      </c>
      <c r="I4880" s="423"/>
      <c r="J4880" s="14"/>
      <c r="K4880" s="12"/>
      <c r="L4880" s="12"/>
      <c r="M4880" s="11" t="s">
        <v>9901</v>
      </c>
      <c r="N4880" s="5" t="s">
        <v>19436</v>
      </c>
      <c r="O4880" s="5" t="s">
        <v>17993</v>
      </c>
      <c r="P4880" s="15"/>
      <c r="Q4880" s="15"/>
      <c r="R4880" s="422"/>
      <c r="S4880" s="15"/>
      <c r="T4880" s="15"/>
      <c r="U4880" s="15"/>
      <c r="V4880" s="15"/>
      <c r="W4880" s="15"/>
      <c r="X4880" s="15"/>
      <c r="Y4880" s="15"/>
      <c r="Z4880" s="15"/>
      <c r="AA4880" s="15"/>
    </row>
    <row r="4881">
      <c r="A4881" s="5" t="s">
        <v>19419</v>
      </c>
      <c r="B4881" s="292" t="str">
        <f>HYPERLINK("https://akshar-exim-company-pvt-ltd.odoo.com/web#id=21600&amp;action=152&amp;model=crm.lead&amp;view_type=form&amp;menu_id=111","C2011035")</f>
        <v>C2011035</v>
      </c>
      <c r="C4881" s="41" t="s">
        <v>19437</v>
      </c>
      <c r="D4881" s="41"/>
      <c r="E4881" s="41" t="s">
        <v>116</v>
      </c>
      <c r="F4881" s="90">
        <v>100.0</v>
      </c>
      <c r="G4881" s="321"/>
      <c r="H4881" s="11" t="s">
        <v>507</v>
      </c>
      <c r="I4881" s="276"/>
      <c r="J4881" s="11" t="s">
        <v>7109</v>
      </c>
      <c r="K4881" s="13"/>
      <c r="L4881" s="13"/>
      <c r="M4881" s="14"/>
      <c r="N4881" s="15"/>
      <c r="O4881" s="5" t="s">
        <v>10708</v>
      </c>
      <c r="P4881" s="15"/>
      <c r="Q4881" s="15"/>
      <c r="R4881" s="422"/>
      <c r="S4881" s="15"/>
      <c r="T4881" s="15"/>
      <c r="U4881" s="15"/>
      <c r="V4881" s="15"/>
      <c r="W4881" s="15"/>
      <c r="X4881" s="15"/>
      <c r="Y4881" s="15"/>
      <c r="Z4881" s="15"/>
      <c r="AA4881" s="15"/>
    </row>
    <row r="4882">
      <c r="A4882" s="5" t="s">
        <v>19419</v>
      </c>
      <c r="B4882" s="292" t="str">
        <f>HYPERLINK("https://akshar-exim-company-pvt-ltd.odoo.com/web#id=21599&amp;action=152&amp;model=crm.lead&amp;view_type=form&amp;menu_id=111","C2011034")</f>
        <v>C2011034</v>
      </c>
      <c r="C4882" s="41" t="s">
        <v>19438</v>
      </c>
      <c r="D4882" s="11"/>
      <c r="E4882" s="11" t="s">
        <v>10404</v>
      </c>
      <c r="F4882" s="90">
        <v>500.0</v>
      </c>
      <c r="G4882" s="430"/>
      <c r="H4882" s="41" t="s">
        <v>2662</v>
      </c>
      <c r="I4882" s="276"/>
      <c r="J4882" s="11" t="s">
        <v>12745</v>
      </c>
      <c r="K4882" s="12"/>
      <c r="L4882" s="12"/>
      <c r="M4882" s="11" t="s">
        <v>10721</v>
      </c>
      <c r="N4882" s="5" t="s">
        <v>19439</v>
      </c>
      <c r="O4882" s="5" t="s">
        <v>17993</v>
      </c>
      <c r="P4882" s="15"/>
      <c r="Q4882" s="15"/>
      <c r="R4882" s="422"/>
      <c r="S4882" s="15"/>
      <c r="T4882" s="15"/>
      <c r="U4882" s="15"/>
      <c r="V4882" s="15"/>
      <c r="W4882" s="15"/>
      <c r="X4882" s="15"/>
      <c r="Y4882" s="15"/>
      <c r="Z4882" s="15"/>
      <c r="AA4882" s="15"/>
    </row>
    <row r="4883">
      <c r="A4883" s="5" t="s">
        <v>19419</v>
      </c>
      <c r="B4883" s="292" t="str">
        <f>HYPERLINK("https://akshar-exim-company-pvt-ltd.odoo.com/web#id=21597&amp;action=152&amp;model=crm.lead&amp;view_type=form&amp;menu_id=111","C2011033")</f>
        <v>C2011033</v>
      </c>
      <c r="C4883" s="41" t="s">
        <v>19440</v>
      </c>
      <c r="D4883" s="41"/>
      <c r="E4883" s="41" t="s">
        <v>13331</v>
      </c>
      <c r="F4883" s="90">
        <v>5.0</v>
      </c>
      <c r="G4883" s="321"/>
      <c r="H4883" s="11" t="s">
        <v>1082</v>
      </c>
      <c r="I4883" s="423"/>
      <c r="J4883" s="14"/>
      <c r="K4883" s="13"/>
      <c r="L4883" s="13"/>
      <c r="M4883" s="14"/>
      <c r="N4883" s="15"/>
      <c r="O4883" s="5" t="s">
        <v>10708</v>
      </c>
      <c r="P4883" s="15"/>
      <c r="Q4883" s="15"/>
      <c r="R4883" s="422"/>
      <c r="S4883" s="15"/>
      <c r="T4883" s="15"/>
      <c r="U4883" s="15"/>
      <c r="V4883" s="15"/>
      <c r="W4883" s="15"/>
      <c r="X4883" s="15"/>
      <c r="Y4883" s="15"/>
      <c r="Z4883" s="15"/>
      <c r="AA4883" s="15"/>
    </row>
    <row r="4884">
      <c r="A4884" s="5" t="s">
        <v>19419</v>
      </c>
      <c r="B4884" s="292" t="str">
        <f>HYPERLINK("https://akshar-exim-company-pvt-ltd.odoo.com/web#id=21596&amp;action=152&amp;model=crm.lead&amp;view_type=form&amp;menu_id=111","C2011032")</f>
        <v>C2011032</v>
      </c>
      <c r="C4884" s="41" t="s">
        <v>19441</v>
      </c>
      <c r="D4884" s="11"/>
      <c r="E4884" s="11" t="s">
        <v>19442</v>
      </c>
      <c r="F4884" s="90">
        <v>25.0</v>
      </c>
      <c r="G4884" s="321"/>
      <c r="H4884" s="11" t="s">
        <v>44</v>
      </c>
      <c r="I4884" s="276"/>
      <c r="J4884" s="11" t="s">
        <v>25</v>
      </c>
      <c r="K4884" s="13"/>
      <c r="L4884" s="13"/>
      <c r="M4884" s="14"/>
      <c r="N4884" s="15"/>
      <c r="O4884" s="5" t="s">
        <v>10708</v>
      </c>
      <c r="P4884" s="15"/>
      <c r="Q4884" s="15"/>
      <c r="R4884" s="422"/>
      <c r="S4884" s="15"/>
      <c r="T4884" s="15"/>
      <c r="U4884" s="15"/>
      <c r="V4884" s="15"/>
      <c r="W4884" s="15"/>
      <c r="X4884" s="15"/>
      <c r="Y4884" s="15"/>
      <c r="Z4884" s="15"/>
      <c r="AA4884" s="15"/>
    </row>
    <row r="4885">
      <c r="A4885" s="5" t="s">
        <v>19419</v>
      </c>
      <c r="B4885" s="292" t="str">
        <f>HYPERLINK("https://akshar-exim-company-pvt-ltd.odoo.com/web#id=21595&amp;action=152&amp;model=crm.lead&amp;view_type=form&amp;menu_id=111","C2011031")</f>
        <v>C2011031</v>
      </c>
      <c r="C4885" s="41" t="s">
        <v>19443</v>
      </c>
      <c r="D4885" s="11"/>
      <c r="E4885" s="11" t="s">
        <v>10404</v>
      </c>
      <c r="F4885" s="90">
        <v>20.0</v>
      </c>
      <c r="G4885" s="321"/>
      <c r="H4885" s="11" t="s">
        <v>44</v>
      </c>
      <c r="I4885" s="276"/>
      <c r="J4885" s="11" t="s">
        <v>25</v>
      </c>
      <c r="K4885" s="13"/>
      <c r="L4885" s="13"/>
      <c r="M4885" s="14"/>
      <c r="N4885" s="15"/>
      <c r="O4885" s="5" t="s">
        <v>10708</v>
      </c>
      <c r="P4885" s="15"/>
      <c r="Q4885" s="15"/>
      <c r="R4885" s="422"/>
      <c r="S4885" s="15"/>
      <c r="T4885" s="15"/>
      <c r="U4885" s="15"/>
      <c r="V4885" s="15"/>
      <c r="W4885" s="15"/>
      <c r="X4885" s="15"/>
      <c r="Y4885" s="15"/>
      <c r="Z4885" s="15"/>
      <c r="AA4885" s="15"/>
    </row>
    <row r="4886">
      <c r="A4886" s="5" t="s">
        <v>19419</v>
      </c>
      <c r="B4886" s="292" t="str">
        <f>HYPERLINK("https://akshar-exim-company-pvt-ltd.odoo.com/web#id=21518&amp;action=152&amp;model=crm.lead&amp;view_type=form&amp;menu_id=111","C2011030")</f>
        <v>C2011030</v>
      </c>
      <c r="C4886" s="41" t="s">
        <v>19444</v>
      </c>
      <c r="D4886" s="41"/>
      <c r="E4886" s="41" t="s">
        <v>19445</v>
      </c>
      <c r="F4886" s="90" t="s">
        <v>19446</v>
      </c>
      <c r="G4886" s="321"/>
      <c r="H4886" s="11" t="s">
        <v>507</v>
      </c>
      <c r="I4886" s="276"/>
      <c r="J4886" s="11" t="s">
        <v>25</v>
      </c>
      <c r="K4886" s="12"/>
      <c r="L4886" s="12"/>
      <c r="M4886" s="11" t="s">
        <v>19447</v>
      </c>
      <c r="N4886" s="5" t="s">
        <v>19448</v>
      </c>
      <c r="O4886" s="5" t="s">
        <v>17993</v>
      </c>
      <c r="P4886" s="15"/>
      <c r="Q4886" s="15"/>
      <c r="R4886" s="422"/>
      <c r="S4886" s="15"/>
      <c r="T4886" s="15"/>
      <c r="U4886" s="15"/>
      <c r="V4886" s="15"/>
      <c r="W4886" s="15"/>
      <c r="X4886" s="15"/>
      <c r="Y4886" s="15"/>
      <c r="Z4886" s="15"/>
      <c r="AA4886" s="15"/>
    </row>
    <row r="4887">
      <c r="A4887" s="5" t="s">
        <v>19419</v>
      </c>
      <c r="B4887" s="292" t="str">
        <f>HYPERLINK("https://akshar-exim-company-pvt-ltd.odoo.com/web#id=21545&amp;action=152&amp;model=crm.lead&amp;view_type=form&amp;menu_id=111","C2011029")</f>
        <v>C2011029</v>
      </c>
      <c r="C4887" s="41" t="s">
        <v>19449</v>
      </c>
      <c r="D4887" s="11"/>
      <c r="E4887" s="11" t="s">
        <v>8247</v>
      </c>
      <c r="F4887" s="90">
        <v>5.0</v>
      </c>
      <c r="G4887" s="321"/>
      <c r="H4887" s="11" t="s">
        <v>44</v>
      </c>
      <c r="I4887" s="276"/>
      <c r="J4887" s="11" t="s">
        <v>25</v>
      </c>
      <c r="K4887" s="13"/>
      <c r="L4887" s="13"/>
      <c r="M4887" s="14"/>
      <c r="N4887" s="15"/>
      <c r="O4887" s="5" t="s">
        <v>10708</v>
      </c>
      <c r="P4887" s="15"/>
      <c r="Q4887" s="15"/>
      <c r="R4887" s="422"/>
      <c r="S4887" s="15"/>
      <c r="T4887" s="15"/>
      <c r="U4887" s="15"/>
      <c r="V4887" s="15"/>
      <c r="W4887" s="15"/>
      <c r="X4887" s="15"/>
      <c r="Y4887" s="15"/>
      <c r="Z4887" s="15"/>
      <c r="AA4887" s="15"/>
    </row>
    <row r="4888">
      <c r="A4888" s="5" t="s">
        <v>19419</v>
      </c>
      <c r="B4888" s="292" t="str">
        <f>HYPERLINK("https://akshar-exim-company-pvt-ltd.odoo.com/web#id=21566&amp;action=152&amp;model=crm.lead&amp;view_type=form&amp;menu_id=111","C2011028")</f>
        <v>C2011028</v>
      </c>
      <c r="C4888" s="41" t="s">
        <v>19450</v>
      </c>
      <c r="D4888" s="41"/>
      <c r="E4888" s="41" t="s">
        <v>19451</v>
      </c>
      <c r="F4888" s="90">
        <v>2000.0</v>
      </c>
      <c r="G4888" s="321"/>
      <c r="H4888" s="11" t="s">
        <v>15303</v>
      </c>
      <c r="I4888" s="276"/>
      <c r="J4888" s="11" t="s">
        <v>7109</v>
      </c>
      <c r="K4888" s="13"/>
      <c r="L4888" s="13"/>
      <c r="M4888" s="14"/>
      <c r="N4888" s="15"/>
      <c r="O4888" s="5" t="s">
        <v>13963</v>
      </c>
      <c r="P4888" s="15"/>
      <c r="Q4888" s="15"/>
      <c r="R4888" s="422"/>
      <c r="S4888" s="15"/>
      <c r="T4888" s="15"/>
      <c r="U4888" s="15"/>
      <c r="V4888" s="15"/>
      <c r="W4888" s="15"/>
      <c r="X4888" s="15"/>
      <c r="Y4888" s="15"/>
      <c r="Z4888" s="15"/>
      <c r="AA4888" s="15"/>
    </row>
    <row r="4889">
      <c r="A4889" s="5" t="s">
        <v>19419</v>
      </c>
      <c r="B4889" s="292" t="str">
        <f>HYPERLINK("https://akshar-exim-company-pvt-ltd.odoo.com/web#id=21567&amp;action=152&amp;model=crm.lead&amp;view_type=form&amp;menu_id=111","C2011027")</f>
        <v>C2011027</v>
      </c>
      <c r="C4889" s="41" t="s">
        <v>19452</v>
      </c>
      <c r="D4889" s="11"/>
      <c r="E4889" s="11" t="s">
        <v>794</v>
      </c>
      <c r="F4889" s="9">
        <v>25000.0</v>
      </c>
      <c r="G4889" s="321"/>
      <c r="H4889" s="11" t="s">
        <v>906</v>
      </c>
      <c r="I4889" s="276"/>
      <c r="J4889" s="11" t="s">
        <v>17976</v>
      </c>
      <c r="K4889" s="12"/>
      <c r="L4889" s="12"/>
      <c r="M4889" s="11" t="s">
        <v>11202</v>
      </c>
      <c r="N4889" s="5" t="s">
        <v>19453</v>
      </c>
      <c r="O4889" s="5" t="s">
        <v>17993</v>
      </c>
      <c r="P4889" s="15"/>
      <c r="Q4889" s="15"/>
      <c r="R4889" s="422"/>
      <c r="S4889" s="15"/>
      <c r="T4889" s="15"/>
      <c r="U4889" s="15"/>
      <c r="V4889" s="15"/>
      <c r="W4889" s="15"/>
      <c r="X4889" s="15"/>
      <c r="Y4889" s="15"/>
      <c r="Z4889" s="15"/>
      <c r="AA4889" s="15"/>
    </row>
    <row r="4890">
      <c r="A4890" s="5" t="s">
        <v>19419</v>
      </c>
      <c r="B4890" s="292" t="str">
        <f>HYPERLINK("https://akshar-exim-company-pvt-ltd.odoo.com/web#id=21569&amp;action=152&amp;model=crm.lead&amp;view_type=form&amp;menu_id=111","C2011026")</f>
        <v>C2011026</v>
      </c>
      <c r="C4890" s="41" t="s">
        <v>19454</v>
      </c>
      <c r="D4890" s="11"/>
      <c r="E4890" s="11" t="s">
        <v>18844</v>
      </c>
      <c r="F4890" s="90">
        <v>25.0</v>
      </c>
      <c r="G4890" s="321"/>
      <c r="H4890" s="11" t="s">
        <v>44</v>
      </c>
      <c r="I4890" s="276"/>
      <c r="J4890" s="11" t="s">
        <v>14057</v>
      </c>
      <c r="K4890" s="13"/>
      <c r="L4890" s="13"/>
      <c r="M4890" s="14"/>
      <c r="N4890" s="15"/>
      <c r="O4890" s="5" t="s">
        <v>10708</v>
      </c>
      <c r="P4890" s="15"/>
      <c r="Q4890" s="15"/>
      <c r="R4890" s="422"/>
      <c r="S4890" s="15"/>
      <c r="T4890" s="15"/>
      <c r="U4890" s="15"/>
      <c r="V4890" s="15"/>
      <c r="W4890" s="15"/>
      <c r="X4890" s="15"/>
      <c r="Y4890" s="15"/>
      <c r="Z4890" s="15"/>
      <c r="AA4890" s="15"/>
    </row>
    <row r="4891">
      <c r="A4891" s="5" t="s">
        <v>19419</v>
      </c>
      <c r="B4891" s="292" t="str">
        <f>HYPERLINK("https://akshar-exim-company-pvt-ltd.odoo.com/web#id=21575&amp;action=152&amp;model=crm.lead&amp;view_type=form&amp;menu_id=111","C2011025")</f>
        <v>C2011025</v>
      </c>
      <c r="C4891" s="41" t="s">
        <v>19455</v>
      </c>
      <c r="D4891" s="11"/>
      <c r="E4891" s="11" t="s">
        <v>10433</v>
      </c>
      <c r="F4891" s="90">
        <v>30.0</v>
      </c>
      <c r="G4891" s="430"/>
      <c r="H4891" s="41" t="s">
        <v>5521</v>
      </c>
      <c r="I4891" s="276"/>
      <c r="J4891" s="11" t="s">
        <v>25</v>
      </c>
      <c r="K4891" s="13"/>
      <c r="L4891" s="13"/>
      <c r="M4891" s="14"/>
      <c r="N4891" s="15"/>
      <c r="O4891" s="5" t="s">
        <v>10708</v>
      </c>
      <c r="P4891" s="15"/>
      <c r="Q4891" s="15"/>
      <c r="R4891" s="422"/>
      <c r="S4891" s="15"/>
      <c r="T4891" s="15"/>
      <c r="U4891" s="15"/>
      <c r="V4891" s="15"/>
      <c r="W4891" s="15"/>
      <c r="X4891" s="15"/>
      <c r="Y4891" s="15"/>
      <c r="Z4891" s="15"/>
      <c r="AA4891" s="15"/>
    </row>
    <row r="4892">
      <c r="A4892" s="5" t="s">
        <v>19419</v>
      </c>
      <c r="B4892" s="292" t="str">
        <f>HYPERLINK("https://akshar-exim-company-pvt-ltd.odoo.com/web#id=21578&amp;action=152&amp;model=crm.lead&amp;view_type=form&amp;menu_id=111","C2011024")</f>
        <v>C2011024</v>
      </c>
      <c r="C4892" s="41" t="s">
        <v>19456</v>
      </c>
      <c r="D4892" s="405"/>
      <c r="E4892" s="405" t="s">
        <v>11581</v>
      </c>
      <c r="F4892" s="9">
        <v>16000.0</v>
      </c>
      <c r="G4892" s="430"/>
      <c r="H4892" s="41" t="s">
        <v>6710</v>
      </c>
      <c r="I4892" s="276"/>
      <c r="J4892" s="11" t="s">
        <v>17976</v>
      </c>
      <c r="K4892" s="12"/>
      <c r="L4892" s="12"/>
      <c r="M4892" s="11" t="s">
        <v>9298</v>
      </c>
      <c r="N4892" s="5" t="s">
        <v>19457</v>
      </c>
      <c r="O4892" s="5" t="s">
        <v>1112</v>
      </c>
      <c r="P4892" s="15"/>
      <c r="Q4892" s="15"/>
      <c r="R4892" s="422"/>
      <c r="S4892" s="15"/>
      <c r="T4892" s="15"/>
      <c r="U4892" s="15"/>
      <c r="V4892" s="15"/>
      <c r="W4892" s="15"/>
      <c r="X4892" s="15"/>
      <c r="Y4892" s="15"/>
      <c r="Z4892" s="15"/>
      <c r="AA4892" s="15"/>
    </row>
    <row r="4893">
      <c r="A4893" s="5" t="s">
        <v>19419</v>
      </c>
      <c r="B4893" s="292" t="str">
        <f>HYPERLINK("https://akshar-exim-company-pvt-ltd.odoo.com/web#id=21581&amp;action=152&amp;model=crm.lead&amp;view_type=form&amp;menu_id=111","C2011023")</f>
        <v>C2011023</v>
      </c>
      <c r="C4893" s="41" t="s">
        <v>19458</v>
      </c>
      <c r="D4893" s="11"/>
      <c r="E4893" s="11" t="s">
        <v>19459</v>
      </c>
      <c r="F4893" s="9">
        <v>20000.0</v>
      </c>
      <c r="G4893" s="430"/>
      <c r="H4893" s="41" t="s">
        <v>19460</v>
      </c>
      <c r="I4893" s="423"/>
      <c r="J4893" s="14"/>
      <c r="K4893" s="12"/>
      <c r="L4893" s="12"/>
      <c r="M4893" s="11" t="s">
        <v>14925</v>
      </c>
      <c r="N4893" s="5" t="s">
        <v>19461</v>
      </c>
      <c r="O4893" s="5" t="s">
        <v>17993</v>
      </c>
      <c r="P4893" s="15"/>
      <c r="Q4893" s="15"/>
      <c r="R4893" s="422"/>
      <c r="S4893" s="15"/>
      <c r="T4893" s="15"/>
      <c r="U4893" s="15"/>
      <c r="V4893" s="15"/>
      <c r="W4893" s="15"/>
      <c r="X4893" s="15"/>
      <c r="Y4893" s="15"/>
      <c r="Z4893" s="15"/>
      <c r="AA4893" s="15"/>
    </row>
    <row r="4894">
      <c r="A4894" s="5" t="s">
        <v>19419</v>
      </c>
      <c r="B4894" s="292" t="str">
        <f>HYPERLINK("https://akshar-exim-company-pvt-ltd.odoo.com/web#id=21584&amp;action=152&amp;model=crm.lead&amp;view_type=form&amp;menu_id=111","C2011022")</f>
        <v>C2011022</v>
      </c>
      <c r="C4894" s="41" t="s">
        <v>19462</v>
      </c>
      <c r="D4894" s="11"/>
      <c r="E4894" s="11" t="s">
        <v>3165</v>
      </c>
      <c r="F4894" s="433"/>
      <c r="G4894" s="321"/>
      <c r="H4894" s="11" t="s">
        <v>19463</v>
      </c>
      <c r="I4894" s="423"/>
      <c r="J4894" s="14"/>
      <c r="K4894" s="13"/>
      <c r="L4894" s="13"/>
      <c r="M4894" s="14"/>
      <c r="N4894" s="15"/>
      <c r="O4894" s="15"/>
      <c r="P4894" s="15"/>
      <c r="Q4894" s="15"/>
      <c r="R4894" s="422"/>
      <c r="S4894" s="15"/>
      <c r="T4894" s="15"/>
      <c r="U4894" s="15"/>
      <c r="V4894" s="15"/>
      <c r="W4894" s="15"/>
      <c r="X4894" s="15"/>
      <c r="Y4894" s="15"/>
      <c r="Z4894" s="15"/>
      <c r="AA4894" s="15"/>
    </row>
    <row r="4895">
      <c r="A4895" s="5" t="s">
        <v>19419</v>
      </c>
      <c r="B4895" s="292" t="str">
        <f>HYPERLINK("https://akshar-exim-company-pvt-ltd.odoo.com/web#id=21586&amp;action=152&amp;model=crm.lead&amp;view_type=form&amp;menu_id=111","C2011021")</f>
        <v>C2011021</v>
      </c>
      <c r="C4895" s="41" t="s">
        <v>19464</v>
      </c>
      <c r="D4895" s="41"/>
      <c r="E4895" s="41" t="s">
        <v>11377</v>
      </c>
      <c r="F4895" s="90">
        <v>1.5</v>
      </c>
      <c r="G4895" s="321"/>
      <c r="H4895" s="11" t="s">
        <v>44</v>
      </c>
      <c r="I4895" s="276"/>
      <c r="J4895" s="11" t="s">
        <v>18788</v>
      </c>
      <c r="K4895" s="13"/>
      <c r="L4895" s="13"/>
      <c r="M4895" s="14"/>
      <c r="N4895" s="15"/>
      <c r="O4895" s="5" t="s">
        <v>10708</v>
      </c>
      <c r="P4895" s="15"/>
      <c r="Q4895" s="15"/>
      <c r="R4895" s="422"/>
      <c r="S4895" s="15"/>
      <c r="T4895" s="15"/>
      <c r="U4895" s="15"/>
      <c r="V4895" s="15"/>
      <c r="W4895" s="15"/>
      <c r="X4895" s="15"/>
      <c r="Y4895" s="15"/>
      <c r="Z4895" s="15"/>
      <c r="AA4895" s="15"/>
    </row>
    <row r="4896">
      <c r="A4896" s="5" t="s">
        <v>19419</v>
      </c>
      <c r="B4896" s="292" t="str">
        <f>HYPERLINK("https://akshar-exim-company-pvt-ltd.odoo.com/web#id=21589&amp;action=152&amp;model=crm.lead&amp;view_type=form&amp;menu_id=111","C2011020")</f>
        <v>C2011020</v>
      </c>
      <c r="C4896" s="41" t="s">
        <v>19465</v>
      </c>
      <c r="D4896" s="11"/>
      <c r="E4896" s="11" t="s">
        <v>523</v>
      </c>
      <c r="F4896" s="90">
        <v>100.0</v>
      </c>
      <c r="G4896" s="430"/>
      <c r="H4896" s="41" t="s">
        <v>19466</v>
      </c>
      <c r="I4896" s="276"/>
      <c r="J4896" s="11" t="s">
        <v>25</v>
      </c>
      <c r="K4896" s="12"/>
      <c r="L4896" s="12"/>
      <c r="M4896" s="11" t="s">
        <v>9445</v>
      </c>
      <c r="N4896" s="5" t="s">
        <v>19467</v>
      </c>
      <c r="O4896" s="5" t="s">
        <v>564</v>
      </c>
      <c r="P4896" s="15"/>
      <c r="Q4896" s="15"/>
      <c r="R4896" s="422"/>
      <c r="S4896" s="15"/>
      <c r="T4896" s="15"/>
      <c r="U4896" s="15"/>
      <c r="V4896" s="15"/>
      <c r="W4896" s="15"/>
      <c r="X4896" s="15"/>
      <c r="Y4896" s="15"/>
      <c r="Z4896" s="15"/>
      <c r="AA4896" s="15"/>
    </row>
    <row r="4897">
      <c r="A4897" s="5" t="s">
        <v>19419</v>
      </c>
      <c r="B4897" s="292" t="str">
        <f>HYPERLINK("https://akshar-exim-company-pvt-ltd.odoo.com/web#id=21590&amp;action=152&amp;model=crm.lead&amp;view_type=form&amp;menu_id=111","C2011019")</f>
        <v>C2011019</v>
      </c>
      <c r="C4897" s="40" t="s">
        <v>5456</v>
      </c>
      <c r="D4897" s="41"/>
      <c r="E4897" s="41" t="s">
        <v>17975</v>
      </c>
      <c r="F4897" s="90">
        <v>25.0</v>
      </c>
      <c r="G4897" s="321"/>
      <c r="H4897" s="11" t="s">
        <v>906</v>
      </c>
      <c r="I4897" s="276"/>
      <c r="J4897" s="11" t="s">
        <v>25</v>
      </c>
      <c r="K4897" s="13"/>
      <c r="L4897" s="13"/>
      <c r="M4897" s="14"/>
      <c r="N4897" s="15"/>
      <c r="O4897" s="5" t="s">
        <v>10708</v>
      </c>
      <c r="P4897" s="15"/>
      <c r="Q4897" s="15"/>
      <c r="R4897" s="422"/>
      <c r="S4897" s="15"/>
      <c r="T4897" s="15"/>
      <c r="U4897" s="15"/>
      <c r="V4897" s="15"/>
      <c r="W4897" s="15"/>
      <c r="X4897" s="15"/>
      <c r="Y4897" s="15"/>
      <c r="Z4897" s="15"/>
      <c r="AA4897" s="15"/>
    </row>
    <row r="4898">
      <c r="A4898" s="5" t="s">
        <v>19419</v>
      </c>
      <c r="B4898" s="292" t="str">
        <f>HYPERLINK("https://akshar-exim-company-pvt-ltd.odoo.com/web#id=21591&amp;action=152&amp;model=crm.lead&amp;view_type=form&amp;menu_id=111","C2011018")</f>
        <v>C2011018</v>
      </c>
      <c r="C4898" s="41" t="s">
        <v>19468</v>
      </c>
      <c r="D4898" s="41"/>
      <c r="E4898" s="41" t="s">
        <v>19469</v>
      </c>
      <c r="F4898" s="90">
        <v>5.0</v>
      </c>
      <c r="G4898" s="321"/>
      <c r="H4898" s="11" t="s">
        <v>196</v>
      </c>
      <c r="I4898" s="276"/>
      <c r="J4898" s="11" t="s">
        <v>19470</v>
      </c>
      <c r="K4898" s="13"/>
      <c r="L4898" s="13"/>
      <c r="M4898" s="14"/>
      <c r="N4898" s="15"/>
      <c r="O4898" s="5" t="s">
        <v>10708</v>
      </c>
      <c r="P4898" s="15"/>
      <c r="Q4898" s="15"/>
      <c r="R4898" s="422"/>
      <c r="S4898" s="15"/>
      <c r="T4898" s="15"/>
      <c r="U4898" s="15"/>
      <c r="V4898" s="15"/>
      <c r="W4898" s="15"/>
      <c r="X4898" s="15"/>
      <c r="Y4898" s="15"/>
      <c r="Z4898" s="15"/>
      <c r="AA4898" s="15"/>
    </row>
    <row r="4899">
      <c r="A4899" s="5" t="s">
        <v>19419</v>
      </c>
      <c r="B4899" s="292" t="str">
        <f>HYPERLINK("https://akshar-exim-company-pvt-ltd.odoo.com/web#id=21593&amp;action=152&amp;model=crm.lead&amp;view_type=form&amp;menu_id=111","C2011017")</f>
        <v>C2011017</v>
      </c>
      <c r="C4899" s="41" t="s">
        <v>19471</v>
      </c>
      <c r="D4899" s="11"/>
      <c r="E4899" s="11" t="s">
        <v>12255</v>
      </c>
      <c r="F4899" s="433"/>
      <c r="G4899" s="434"/>
      <c r="H4899" s="14"/>
      <c r="I4899" s="423"/>
      <c r="J4899" s="14"/>
      <c r="K4899" s="13"/>
      <c r="L4899" s="13"/>
      <c r="M4899" s="14"/>
      <c r="N4899" s="15"/>
      <c r="O4899" s="15"/>
      <c r="P4899" s="15"/>
      <c r="Q4899" s="15"/>
      <c r="R4899" s="422"/>
      <c r="S4899" s="15"/>
      <c r="T4899" s="15"/>
      <c r="U4899" s="15"/>
      <c r="V4899" s="15"/>
      <c r="W4899" s="15"/>
      <c r="X4899" s="15"/>
      <c r="Y4899" s="15"/>
      <c r="Z4899" s="15"/>
      <c r="AA4899" s="15"/>
    </row>
    <row r="4900">
      <c r="A4900" s="5" t="s">
        <v>19419</v>
      </c>
      <c r="B4900" s="292" t="str">
        <f>HYPERLINK("https://akshar-exim-company-pvt-ltd.odoo.com/web#id=21594&amp;action=152&amp;model=crm.lead&amp;view_type=form&amp;menu_id=111","C2011016")</f>
        <v>C2011016</v>
      </c>
      <c r="C4900" s="41" t="s">
        <v>19472</v>
      </c>
      <c r="D4900" s="11"/>
      <c r="E4900" s="11" t="s">
        <v>167</v>
      </c>
      <c r="F4900" s="90">
        <v>10.0</v>
      </c>
      <c r="G4900" s="321"/>
      <c r="H4900" s="11" t="s">
        <v>2682</v>
      </c>
      <c r="I4900" s="276"/>
      <c r="J4900" s="11" t="s">
        <v>14563</v>
      </c>
      <c r="K4900" s="13"/>
      <c r="L4900" s="13"/>
      <c r="M4900" s="14"/>
      <c r="N4900" s="15"/>
      <c r="O4900" s="5" t="s">
        <v>10708</v>
      </c>
      <c r="P4900" s="15"/>
      <c r="Q4900" s="15"/>
      <c r="R4900" s="422"/>
      <c r="S4900" s="15"/>
      <c r="T4900" s="15"/>
      <c r="U4900" s="15"/>
      <c r="V4900" s="15"/>
      <c r="W4900" s="15"/>
      <c r="X4900" s="15"/>
      <c r="Y4900" s="15"/>
      <c r="Z4900" s="15"/>
      <c r="AA4900" s="15"/>
    </row>
    <row r="4901">
      <c r="A4901" s="5" t="s">
        <v>19473</v>
      </c>
      <c r="B4901" s="292" t="str">
        <f>HYPERLINK("https://akshar-exim-company-pvt-ltd.odoo.com/web#id=21515&amp;action=152&amp;model=crm.lead&amp;view_type=form&amp;menu_id=111","C2011015")</f>
        <v>C2011015</v>
      </c>
      <c r="C4901" s="41" t="s">
        <v>1028</v>
      </c>
      <c r="D4901" s="11"/>
      <c r="E4901" s="11" t="s">
        <v>19474</v>
      </c>
      <c r="F4901" s="90">
        <v>5000.0</v>
      </c>
      <c r="G4901" s="321"/>
      <c r="H4901" s="11" t="s">
        <v>44</v>
      </c>
      <c r="I4901" s="276"/>
      <c r="J4901" s="11" t="s">
        <v>25</v>
      </c>
      <c r="K4901" s="12"/>
      <c r="L4901" s="12"/>
      <c r="M4901" s="11" t="s">
        <v>10342</v>
      </c>
      <c r="N4901" s="5" t="s">
        <v>19475</v>
      </c>
      <c r="O4901" s="5" t="s">
        <v>564</v>
      </c>
      <c r="P4901" s="15"/>
      <c r="Q4901" s="15"/>
      <c r="R4901" s="422"/>
      <c r="S4901" s="15"/>
      <c r="T4901" s="15"/>
      <c r="U4901" s="15"/>
      <c r="V4901" s="15"/>
      <c r="W4901" s="15"/>
      <c r="X4901" s="15"/>
      <c r="Y4901" s="15"/>
      <c r="Z4901" s="15"/>
      <c r="AA4901" s="15"/>
    </row>
    <row r="4902">
      <c r="A4902" s="5" t="s">
        <v>19473</v>
      </c>
      <c r="B4902" s="292" t="str">
        <f>HYPERLINK("https://akshar-exim-company-pvt-ltd.odoo.com/web#id=21495&amp;action=152&amp;model=crm.lead&amp;view_type=form&amp;menu_id=111","C2011014")</f>
        <v>C2011014</v>
      </c>
      <c r="C4902" s="41" t="s">
        <v>19476</v>
      </c>
      <c r="D4902" s="41"/>
      <c r="E4902" s="41" t="s">
        <v>5502</v>
      </c>
      <c r="F4902" s="90" t="s">
        <v>18722</v>
      </c>
      <c r="G4902" s="321"/>
      <c r="H4902" s="11" t="s">
        <v>2882</v>
      </c>
      <c r="I4902" s="276"/>
      <c r="J4902" s="11" t="s">
        <v>25</v>
      </c>
      <c r="K4902" s="12"/>
      <c r="L4902" s="12"/>
      <c r="M4902" s="11" t="s">
        <v>19477</v>
      </c>
      <c r="N4902" s="5" t="s">
        <v>19478</v>
      </c>
      <c r="O4902" s="5" t="s">
        <v>17993</v>
      </c>
      <c r="P4902" s="15"/>
      <c r="Q4902" s="15"/>
      <c r="R4902" s="422"/>
      <c r="S4902" s="15"/>
      <c r="T4902" s="15"/>
      <c r="U4902" s="15"/>
      <c r="V4902" s="15"/>
      <c r="W4902" s="15"/>
      <c r="X4902" s="15"/>
      <c r="Y4902" s="15"/>
      <c r="Z4902" s="15"/>
      <c r="AA4902" s="15"/>
    </row>
    <row r="4903">
      <c r="A4903" s="5" t="s">
        <v>19473</v>
      </c>
      <c r="B4903" s="292" t="str">
        <f>HYPERLINK("https://akshar-exim-company-pvt-ltd.odoo.com/web#id=21560&amp;action=152&amp;model=crm.lead&amp;view_type=form&amp;menu_id=111","C2011013")</f>
        <v>C2011013</v>
      </c>
      <c r="C4903" s="41" t="s">
        <v>19479</v>
      </c>
      <c r="D4903" s="11"/>
      <c r="E4903" s="11" t="s">
        <v>116</v>
      </c>
      <c r="F4903" s="90">
        <v>500.0</v>
      </c>
      <c r="G4903" s="321"/>
      <c r="H4903" s="11" t="s">
        <v>2662</v>
      </c>
      <c r="I4903" s="276"/>
      <c r="J4903" s="11" t="s">
        <v>17976</v>
      </c>
      <c r="K4903" s="12"/>
      <c r="L4903" s="12"/>
      <c r="M4903" s="11" t="s">
        <v>19291</v>
      </c>
      <c r="N4903" s="5" t="s">
        <v>19480</v>
      </c>
      <c r="O4903" s="5" t="s">
        <v>17993</v>
      </c>
      <c r="P4903" s="15"/>
      <c r="Q4903" s="15"/>
      <c r="R4903" s="422"/>
      <c r="S4903" s="15"/>
      <c r="T4903" s="15"/>
      <c r="U4903" s="15"/>
      <c r="V4903" s="15"/>
      <c r="W4903" s="15"/>
      <c r="X4903" s="15"/>
      <c r="Y4903" s="15"/>
      <c r="Z4903" s="15"/>
      <c r="AA4903" s="15"/>
    </row>
    <row r="4904">
      <c r="A4904" s="5" t="s">
        <v>19473</v>
      </c>
      <c r="B4904" s="292" t="str">
        <f>HYPERLINK("https://akshar-exim-company-pvt-ltd.odoo.com/web#id=21562&amp;action=152&amp;model=crm.lead&amp;view_type=form&amp;menu_id=111","C2011012")</f>
        <v>C2011012</v>
      </c>
      <c r="C4904" s="41" t="s">
        <v>19481</v>
      </c>
      <c r="D4904" s="41"/>
      <c r="E4904" s="41" t="s">
        <v>6027</v>
      </c>
      <c r="F4904" s="90">
        <v>25.0</v>
      </c>
      <c r="G4904" s="430"/>
      <c r="H4904" s="41" t="s">
        <v>19482</v>
      </c>
      <c r="I4904" s="276"/>
      <c r="J4904" s="11" t="s">
        <v>17976</v>
      </c>
      <c r="K4904" s="13"/>
      <c r="L4904" s="13"/>
      <c r="M4904" s="14"/>
      <c r="N4904" s="15"/>
      <c r="O4904" s="5" t="s">
        <v>10708</v>
      </c>
      <c r="P4904" s="15"/>
      <c r="Q4904" s="15"/>
      <c r="R4904" s="422"/>
      <c r="S4904" s="15"/>
      <c r="T4904" s="15"/>
      <c r="U4904" s="15"/>
      <c r="V4904" s="15"/>
      <c r="W4904" s="15"/>
      <c r="X4904" s="15"/>
      <c r="Y4904" s="15"/>
      <c r="Z4904" s="15"/>
      <c r="AA4904" s="15"/>
    </row>
    <row r="4905">
      <c r="A4905" s="5" t="s">
        <v>19473</v>
      </c>
      <c r="B4905" s="292" t="str">
        <f>HYPERLINK("https://akshar-exim-company-pvt-ltd.odoo.com/web#id=21550&amp;action=152&amp;model=crm.lead&amp;view_type=form&amp;menu_id=111","C2011011")</f>
        <v>C2011011</v>
      </c>
      <c r="C4905" s="41" t="s">
        <v>19483</v>
      </c>
      <c r="D4905" s="11"/>
      <c r="E4905" s="11" t="s">
        <v>31</v>
      </c>
      <c r="F4905" s="90">
        <v>2000.0</v>
      </c>
      <c r="G4905" s="321"/>
      <c r="H4905" s="11" t="s">
        <v>44</v>
      </c>
      <c r="I4905" s="276"/>
      <c r="J4905" s="11" t="s">
        <v>25</v>
      </c>
      <c r="K4905" s="12"/>
      <c r="L4905" s="12"/>
      <c r="M4905" s="11" t="s">
        <v>10171</v>
      </c>
      <c r="N4905" s="5" t="s">
        <v>19484</v>
      </c>
      <c r="O4905" s="5" t="s">
        <v>564</v>
      </c>
      <c r="P4905" s="15"/>
      <c r="Q4905" s="15"/>
      <c r="R4905" s="422"/>
      <c r="S4905" s="15"/>
      <c r="T4905" s="15"/>
      <c r="U4905" s="15"/>
      <c r="V4905" s="15"/>
      <c r="W4905" s="15"/>
      <c r="X4905" s="15"/>
      <c r="Y4905" s="15"/>
      <c r="Z4905" s="15"/>
      <c r="AA4905" s="15"/>
    </row>
    <row r="4906">
      <c r="A4906" s="5" t="s">
        <v>19473</v>
      </c>
      <c r="B4906" s="292" t="str">
        <f>HYPERLINK("https://akshar-exim-company-pvt-ltd.odoo.com/web#id=21561&amp;action=152&amp;model=crm.lead&amp;view_type=form&amp;menu_id=111","C2011010")</f>
        <v>C2011010</v>
      </c>
      <c r="C4906" s="41" t="s">
        <v>19485</v>
      </c>
      <c r="D4906" s="405"/>
      <c r="E4906" s="405" t="s">
        <v>43</v>
      </c>
      <c r="F4906" s="90">
        <v>100.0</v>
      </c>
      <c r="G4906" s="430"/>
      <c r="H4906" s="41" t="s">
        <v>18358</v>
      </c>
      <c r="I4906" s="97"/>
      <c r="J4906" s="41" t="s">
        <v>18182</v>
      </c>
      <c r="K4906" s="13"/>
      <c r="L4906" s="13"/>
      <c r="M4906" s="14"/>
      <c r="N4906" s="15"/>
      <c r="O4906" s="5" t="s">
        <v>10708</v>
      </c>
      <c r="P4906" s="15"/>
      <c r="Q4906" s="15"/>
      <c r="R4906" s="422"/>
      <c r="S4906" s="15"/>
      <c r="T4906" s="15"/>
      <c r="U4906" s="15"/>
      <c r="V4906" s="15"/>
      <c r="W4906" s="15"/>
      <c r="X4906" s="15"/>
      <c r="Y4906" s="15"/>
      <c r="Z4906" s="15"/>
      <c r="AA4906" s="15"/>
    </row>
    <row r="4907">
      <c r="A4907" s="5" t="s">
        <v>19473</v>
      </c>
      <c r="B4907" s="292" t="str">
        <f>HYPERLINK("https://akshar-exim-company-pvt-ltd.odoo.com/web#id=21559&amp;action=152&amp;model=crm.lead&amp;view_type=form&amp;menu_id=111","C2011009")</f>
        <v>C2011009</v>
      </c>
      <c r="C4907" s="41" t="s">
        <v>19486</v>
      </c>
      <c r="D4907" s="11"/>
      <c r="E4907" s="11" t="s">
        <v>167</v>
      </c>
      <c r="F4907" s="433"/>
      <c r="G4907" s="434"/>
      <c r="H4907" s="14"/>
      <c r="I4907" s="423"/>
      <c r="J4907" s="14"/>
      <c r="K4907" s="13"/>
      <c r="L4907" s="13"/>
      <c r="M4907" s="14"/>
      <c r="N4907" s="15"/>
      <c r="O4907" s="15"/>
      <c r="P4907" s="15"/>
      <c r="Q4907" s="15"/>
      <c r="R4907" s="422"/>
      <c r="S4907" s="15"/>
      <c r="T4907" s="15"/>
      <c r="U4907" s="15"/>
      <c r="V4907" s="15"/>
      <c r="W4907" s="15"/>
      <c r="X4907" s="15"/>
      <c r="Y4907" s="15"/>
      <c r="Z4907" s="15"/>
      <c r="AA4907" s="15"/>
    </row>
    <row r="4908">
      <c r="A4908" s="5" t="s">
        <v>19473</v>
      </c>
      <c r="B4908" s="292" t="str">
        <f>HYPERLINK("https://akshar-exim-company-pvt-ltd.odoo.com/web#id=21558&amp;action=152&amp;model=crm.lead&amp;view_type=form&amp;menu_id=111","C2011008")</f>
        <v>C2011008</v>
      </c>
      <c r="C4908" s="40" t="s">
        <v>17835</v>
      </c>
      <c r="D4908" s="41"/>
      <c r="E4908" s="41" t="s">
        <v>19487</v>
      </c>
      <c r="F4908" s="90">
        <v>155.0</v>
      </c>
      <c r="G4908" s="321"/>
      <c r="H4908" s="11" t="s">
        <v>507</v>
      </c>
      <c r="I4908" s="423"/>
      <c r="J4908" s="14"/>
      <c r="K4908" s="13"/>
      <c r="L4908" s="13"/>
      <c r="M4908" s="14"/>
      <c r="N4908" s="15"/>
      <c r="O4908" s="5" t="s">
        <v>17993</v>
      </c>
      <c r="P4908" s="15"/>
      <c r="Q4908" s="15"/>
      <c r="R4908" s="422"/>
      <c r="S4908" s="15"/>
      <c r="T4908" s="15"/>
      <c r="U4908" s="15"/>
      <c r="V4908" s="15"/>
      <c r="W4908" s="15"/>
      <c r="X4908" s="15"/>
      <c r="Y4908" s="15"/>
      <c r="Z4908" s="15"/>
      <c r="AA4908" s="15"/>
    </row>
    <row r="4909">
      <c r="A4909" s="5" t="s">
        <v>19473</v>
      </c>
      <c r="B4909" s="292" t="str">
        <f>HYPERLINK("https://akshar-exim-company-pvt-ltd.odoo.com/web#id=21553&amp;action=152&amp;model=crm.lead&amp;view_type=form&amp;menu_id=111","C2011007")</f>
        <v>C2011007</v>
      </c>
      <c r="C4909" s="41" t="s">
        <v>19488</v>
      </c>
      <c r="D4909" s="405"/>
      <c r="E4909" s="405" t="s">
        <v>15207</v>
      </c>
      <c r="F4909" s="90">
        <v>3000.0</v>
      </c>
      <c r="G4909" s="430"/>
      <c r="H4909" s="41" t="s">
        <v>19489</v>
      </c>
      <c r="I4909" s="276"/>
      <c r="J4909" s="11" t="s">
        <v>17976</v>
      </c>
      <c r="K4909" s="12"/>
      <c r="L4909" s="12"/>
      <c r="M4909" s="11" t="s">
        <v>10476</v>
      </c>
      <c r="N4909" s="5" t="s">
        <v>19490</v>
      </c>
      <c r="O4909" s="5" t="s">
        <v>17993</v>
      </c>
      <c r="P4909" s="15"/>
      <c r="Q4909" s="15"/>
      <c r="R4909" s="422"/>
      <c r="S4909" s="15"/>
      <c r="T4909" s="15"/>
      <c r="U4909" s="15"/>
      <c r="V4909" s="15"/>
      <c r="W4909" s="15"/>
      <c r="X4909" s="15"/>
      <c r="Y4909" s="15"/>
      <c r="Z4909" s="15"/>
      <c r="AA4909" s="15"/>
    </row>
    <row r="4910">
      <c r="A4910" s="5" t="s">
        <v>19473</v>
      </c>
      <c r="B4910" s="292" t="str">
        <f>HYPERLINK("https://akshar-exim-company-pvt-ltd.odoo.com/web#id=21554&amp;action=152&amp;model=crm.lead&amp;view_type=form&amp;menu_id=111","C2011006")</f>
        <v>C2011006</v>
      </c>
      <c r="C4910" s="41" t="s">
        <v>19491</v>
      </c>
      <c r="D4910" s="41"/>
      <c r="E4910" s="41" t="s">
        <v>5014</v>
      </c>
      <c r="F4910" s="90">
        <v>100.0</v>
      </c>
      <c r="G4910" s="430"/>
      <c r="H4910" s="41" t="s">
        <v>19492</v>
      </c>
      <c r="I4910" s="276"/>
      <c r="J4910" s="11" t="s">
        <v>7109</v>
      </c>
      <c r="K4910" s="13"/>
      <c r="L4910" s="13"/>
      <c r="M4910" s="14"/>
      <c r="N4910" s="15"/>
      <c r="O4910" s="5" t="s">
        <v>10708</v>
      </c>
      <c r="P4910" s="15"/>
      <c r="Q4910" s="15"/>
      <c r="R4910" s="422"/>
      <c r="S4910" s="15"/>
      <c r="T4910" s="15"/>
      <c r="U4910" s="15"/>
      <c r="V4910" s="15"/>
      <c r="W4910" s="15"/>
      <c r="X4910" s="15"/>
      <c r="Y4910" s="15"/>
      <c r="Z4910" s="15"/>
      <c r="AA4910" s="15"/>
    </row>
    <row r="4911">
      <c r="A4911" s="5" t="s">
        <v>19473</v>
      </c>
      <c r="B4911" s="292" t="str">
        <f>HYPERLINK("https://akshar-exim-company-pvt-ltd.odoo.com/web#id=21555&amp;action=152&amp;model=crm.lead&amp;view_type=form&amp;menu_id=111","C2011005")</f>
        <v>C2011005</v>
      </c>
      <c r="C4911" s="41" t="s">
        <v>19493</v>
      </c>
      <c r="D4911" s="11"/>
      <c r="E4911" s="11" t="s">
        <v>18086</v>
      </c>
      <c r="F4911" s="90">
        <v>2000.0</v>
      </c>
      <c r="G4911" s="321"/>
      <c r="H4911" s="11" t="s">
        <v>608</v>
      </c>
      <c r="I4911" s="423"/>
      <c r="J4911" s="14"/>
      <c r="K4911" s="12"/>
      <c r="L4911" s="12"/>
      <c r="M4911" s="11" t="s">
        <v>19494</v>
      </c>
      <c r="N4911" s="5" t="s">
        <v>19495</v>
      </c>
      <c r="O4911" s="5" t="s">
        <v>1112</v>
      </c>
      <c r="P4911" s="15"/>
      <c r="Q4911" s="15"/>
      <c r="R4911" s="422"/>
      <c r="S4911" s="15"/>
      <c r="T4911" s="15"/>
      <c r="U4911" s="15"/>
      <c r="V4911" s="15"/>
      <c r="W4911" s="15"/>
      <c r="X4911" s="15"/>
      <c r="Y4911" s="15"/>
      <c r="Z4911" s="15"/>
      <c r="AA4911" s="15"/>
    </row>
    <row r="4912">
      <c r="A4912" s="5" t="s">
        <v>19473</v>
      </c>
      <c r="B4912" s="292" t="str">
        <f>HYPERLINK("https://akshar-exim-company-pvt-ltd.odoo.com/web#id=21552&amp;action=152&amp;model=crm.lead&amp;view_type=form&amp;menu_id=111","C2011004")</f>
        <v>C2011004</v>
      </c>
      <c r="C4912" s="41" t="s">
        <v>15148</v>
      </c>
      <c r="D4912" s="405"/>
      <c r="E4912" s="405" t="s">
        <v>10622</v>
      </c>
      <c r="F4912" s="90">
        <v>10.0</v>
      </c>
      <c r="G4912" s="321"/>
      <c r="H4912" s="11" t="s">
        <v>507</v>
      </c>
      <c r="I4912" s="423"/>
      <c r="J4912" s="14"/>
      <c r="K4912" s="13"/>
      <c r="L4912" s="13"/>
      <c r="M4912" s="14"/>
      <c r="N4912" s="15"/>
      <c r="O4912" s="5" t="s">
        <v>10708</v>
      </c>
      <c r="P4912" s="15"/>
      <c r="Q4912" s="15"/>
      <c r="R4912" s="422"/>
      <c r="S4912" s="15"/>
      <c r="T4912" s="15"/>
      <c r="U4912" s="15"/>
      <c r="V4912" s="15"/>
      <c r="W4912" s="15"/>
      <c r="X4912" s="15"/>
      <c r="Y4912" s="15"/>
      <c r="Z4912" s="15"/>
      <c r="AA4912" s="15"/>
    </row>
    <row r="4913">
      <c r="A4913" s="5" t="s">
        <v>19473</v>
      </c>
      <c r="B4913" s="292" t="str">
        <f>HYPERLINK("https://akshar-exim-company-pvt-ltd.odoo.com/web#id=21549&amp;action=152&amp;model=crm.lead&amp;view_type=form&amp;menu_id=111","C2011003")</f>
        <v>C2011003</v>
      </c>
      <c r="C4913" s="41" t="s">
        <v>19496</v>
      </c>
      <c r="D4913" s="11"/>
      <c r="E4913" s="11" t="s">
        <v>130</v>
      </c>
      <c r="F4913" s="9">
        <v>200000.0</v>
      </c>
      <c r="G4913" s="430"/>
      <c r="H4913" s="41" t="s">
        <v>2662</v>
      </c>
      <c r="I4913" s="276"/>
      <c r="J4913" s="11" t="s">
        <v>17976</v>
      </c>
      <c r="K4913" s="12"/>
      <c r="L4913" s="12"/>
      <c r="M4913" s="11" t="s">
        <v>19497</v>
      </c>
      <c r="N4913" s="5" t="s">
        <v>19498</v>
      </c>
      <c r="O4913" s="5" t="s">
        <v>17993</v>
      </c>
      <c r="P4913" s="15"/>
      <c r="Q4913" s="15"/>
      <c r="R4913" s="422"/>
      <c r="S4913" s="15"/>
      <c r="T4913" s="15"/>
      <c r="U4913" s="15"/>
      <c r="V4913" s="15"/>
      <c r="W4913" s="15"/>
      <c r="X4913" s="15"/>
      <c r="Y4913" s="15"/>
      <c r="Z4913" s="15"/>
      <c r="AA4913" s="15"/>
    </row>
    <row r="4914">
      <c r="A4914" s="5" t="s">
        <v>19473</v>
      </c>
      <c r="B4914" s="292" t="str">
        <f>HYPERLINK("https://akshar-exim-company-pvt-ltd.odoo.com/web#id=21548&amp;action=152&amp;model=crm.lead&amp;view_type=form&amp;menu_id=111","C2011002")</f>
        <v>C2011002</v>
      </c>
      <c r="C4914" s="41" t="s">
        <v>18232</v>
      </c>
      <c r="D4914" s="11"/>
      <c r="E4914" s="11" t="s">
        <v>19499</v>
      </c>
      <c r="F4914" s="90">
        <v>2000.0</v>
      </c>
      <c r="G4914" s="321"/>
      <c r="H4914" s="11" t="s">
        <v>2882</v>
      </c>
      <c r="I4914" s="276"/>
      <c r="J4914" s="11" t="s">
        <v>25</v>
      </c>
      <c r="K4914" s="12"/>
      <c r="L4914" s="12"/>
      <c r="M4914" s="11" t="s">
        <v>9875</v>
      </c>
      <c r="N4914" s="5" t="s">
        <v>19500</v>
      </c>
      <c r="O4914" s="5" t="s">
        <v>17993</v>
      </c>
      <c r="P4914" s="15"/>
      <c r="Q4914" s="15"/>
      <c r="R4914" s="422"/>
      <c r="S4914" s="15"/>
      <c r="T4914" s="15"/>
      <c r="U4914" s="15"/>
      <c r="V4914" s="15"/>
      <c r="W4914" s="15"/>
      <c r="X4914" s="15"/>
      <c r="Y4914" s="15"/>
      <c r="Z4914" s="15"/>
      <c r="AA4914" s="15"/>
    </row>
    <row r="4915">
      <c r="A4915" s="5" t="s">
        <v>19473</v>
      </c>
      <c r="B4915" s="292" t="str">
        <f>HYPERLINK("https://akshar-exim-company-pvt-ltd.odoo.com/web#id=21547&amp;action=152&amp;model=crm.lead&amp;view_type=form&amp;menu_id=111","C2011001")</f>
        <v>C2011001</v>
      </c>
      <c r="C4915" s="41" t="s">
        <v>14549</v>
      </c>
      <c r="D4915" s="41"/>
      <c r="E4915" s="41" t="s">
        <v>19209</v>
      </c>
      <c r="F4915" s="433"/>
      <c r="G4915" s="434"/>
      <c r="H4915" s="14"/>
      <c r="I4915" s="423"/>
      <c r="J4915" s="14"/>
      <c r="K4915" s="13"/>
      <c r="L4915" s="13"/>
      <c r="M4915" s="14"/>
      <c r="N4915" s="15"/>
      <c r="O4915" s="15"/>
      <c r="P4915" s="15"/>
      <c r="Q4915" s="15"/>
      <c r="R4915" s="422"/>
      <c r="S4915" s="15"/>
      <c r="T4915" s="15"/>
      <c r="U4915" s="15"/>
      <c r="V4915" s="15"/>
      <c r="W4915" s="15"/>
      <c r="X4915" s="15"/>
      <c r="Y4915" s="15"/>
      <c r="Z4915" s="15"/>
      <c r="AA4915" s="15"/>
    </row>
    <row r="4916">
      <c r="A4916" s="5" t="s">
        <v>19473</v>
      </c>
      <c r="B4916" s="292" t="str">
        <f>HYPERLINK("https://akshar-exim-company-pvt-ltd.odoo.com/web#id=21539&amp;action=152&amp;model=crm.lead&amp;view_type=form&amp;menu_id=111","C2011000")</f>
        <v>C2011000</v>
      </c>
      <c r="C4916" s="41" t="s">
        <v>19501</v>
      </c>
      <c r="D4916" s="41"/>
      <c r="E4916" s="41" t="s">
        <v>11227</v>
      </c>
      <c r="F4916" s="90">
        <v>5.0</v>
      </c>
      <c r="G4916" s="430"/>
      <c r="H4916" s="41" t="s">
        <v>4699</v>
      </c>
      <c r="I4916" s="276"/>
      <c r="J4916" s="11" t="s">
        <v>25</v>
      </c>
      <c r="K4916" s="13"/>
      <c r="L4916" s="13"/>
      <c r="M4916" s="14"/>
      <c r="N4916" s="15"/>
      <c r="O4916" s="5" t="s">
        <v>10708</v>
      </c>
      <c r="P4916" s="15"/>
      <c r="Q4916" s="15"/>
      <c r="R4916" s="422"/>
      <c r="S4916" s="15"/>
      <c r="T4916" s="15"/>
      <c r="U4916" s="15"/>
      <c r="V4916" s="15"/>
      <c r="W4916" s="15"/>
      <c r="X4916" s="15"/>
      <c r="Y4916" s="15"/>
      <c r="Z4916" s="15"/>
      <c r="AA4916" s="15"/>
    </row>
    <row r="4917">
      <c r="A4917" s="5" t="s">
        <v>19473</v>
      </c>
      <c r="B4917" s="292" t="str">
        <f>HYPERLINK("https://akshar-exim-company-pvt-ltd.odoo.com/web#id=21541&amp;action=152&amp;model=crm.lead&amp;view_type=form&amp;menu_id=111","C2010999")</f>
        <v>C2010999</v>
      </c>
      <c r="C4917" s="41" t="s">
        <v>19502</v>
      </c>
      <c r="D4917" s="11"/>
      <c r="E4917" s="11" t="s">
        <v>9237</v>
      </c>
      <c r="F4917" s="90">
        <v>500.0</v>
      </c>
      <c r="G4917" s="321"/>
      <c r="H4917" s="11" t="s">
        <v>507</v>
      </c>
      <c r="I4917" s="276"/>
      <c r="J4917" s="11" t="s">
        <v>25</v>
      </c>
      <c r="K4917" s="12"/>
      <c r="L4917" s="12"/>
      <c r="M4917" s="11" t="s">
        <v>19291</v>
      </c>
      <c r="N4917" s="5" t="s">
        <v>19503</v>
      </c>
      <c r="O4917" s="5" t="s">
        <v>17993</v>
      </c>
      <c r="P4917" s="15"/>
      <c r="Q4917" s="15"/>
      <c r="R4917" s="422"/>
      <c r="S4917" s="15"/>
      <c r="T4917" s="15"/>
      <c r="U4917" s="15"/>
      <c r="V4917" s="15"/>
      <c r="W4917" s="15"/>
      <c r="X4917" s="15"/>
      <c r="Y4917" s="15"/>
      <c r="Z4917" s="15"/>
      <c r="AA4917" s="15"/>
    </row>
    <row r="4918">
      <c r="A4918" s="5" t="s">
        <v>19473</v>
      </c>
      <c r="B4918" s="292" t="str">
        <f>HYPERLINK("https://akshar-exim-company-pvt-ltd.odoo.com/web#id=21542&amp;action=152&amp;model=crm.lead&amp;view_type=form&amp;menu_id=111","C2010998")</f>
        <v>C2010998</v>
      </c>
      <c r="C4918" s="41" t="s">
        <v>5456</v>
      </c>
      <c r="D4918" s="11"/>
      <c r="E4918" s="11" t="s">
        <v>130</v>
      </c>
      <c r="F4918" s="9">
        <v>10000.0</v>
      </c>
      <c r="G4918" s="321"/>
      <c r="H4918" s="11" t="s">
        <v>24</v>
      </c>
      <c r="I4918" s="276"/>
      <c r="J4918" s="11" t="s">
        <v>25</v>
      </c>
      <c r="K4918" s="12"/>
      <c r="L4918" s="12"/>
      <c r="M4918" s="11" t="s">
        <v>18665</v>
      </c>
      <c r="N4918" s="5" t="s">
        <v>19504</v>
      </c>
      <c r="O4918" s="5" t="s">
        <v>564</v>
      </c>
      <c r="P4918" s="15"/>
      <c r="Q4918" s="15"/>
      <c r="R4918" s="422"/>
      <c r="S4918" s="15"/>
      <c r="T4918" s="15"/>
      <c r="U4918" s="15"/>
      <c r="V4918" s="15"/>
      <c r="W4918" s="15"/>
      <c r="X4918" s="15"/>
      <c r="Y4918" s="15"/>
      <c r="Z4918" s="15"/>
      <c r="AA4918" s="15"/>
    </row>
    <row r="4919">
      <c r="A4919" s="5" t="s">
        <v>19473</v>
      </c>
      <c r="B4919" s="292" t="str">
        <f>HYPERLINK("https://akshar-exim-company-pvt-ltd.odoo.com/web#id=21497&amp;action=152&amp;model=crm.lead&amp;view_type=form&amp;menu_id=111","C2010997")</f>
        <v>C2010997</v>
      </c>
      <c r="C4919" s="41" t="s">
        <v>19505</v>
      </c>
      <c r="D4919" s="41"/>
      <c r="E4919" s="41" t="s">
        <v>10913</v>
      </c>
      <c r="F4919" s="90">
        <v>25.0</v>
      </c>
      <c r="G4919" s="321"/>
      <c r="H4919" s="11" t="s">
        <v>19506</v>
      </c>
      <c r="I4919" s="423"/>
      <c r="J4919" s="14"/>
      <c r="K4919" s="13"/>
      <c r="L4919" s="13"/>
      <c r="M4919" s="14"/>
      <c r="N4919" s="15"/>
      <c r="O4919" s="5" t="s">
        <v>10708</v>
      </c>
      <c r="P4919" s="15"/>
      <c r="Q4919" s="15"/>
      <c r="R4919" s="422"/>
      <c r="S4919" s="15"/>
      <c r="T4919" s="15"/>
      <c r="U4919" s="15"/>
      <c r="V4919" s="15"/>
      <c r="W4919" s="15"/>
      <c r="X4919" s="15"/>
      <c r="Y4919" s="15"/>
      <c r="Z4919" s="15"/>
      <c r="AA4919" s="15"/>
    </row>
    <row r="4920">
      <c r="A4920" s="5" t="s">
        <v>19473</v>
      </c>
      <c r="B4920" s="292" t="str">
        <f>HYPERLINK("https://akshar-exim-company-pvt-ltd.odoo.com/web#id=21427&amp;action=152&amp;model=crm.lead&amp;view_type=form&amp;menu_id=111","C2010996")</f>
        <v>C2010996</v>
      </c>
      <c r="C4920" s="41" t="s">
        <v>19507</v>
      </c>
      <c r="D4920" s="11"/>
      <c r="E4920" s="11" t="s">
        <v>19508</v>
      </c>
      <c r="F4920" s="90" t="s">
        <v>19509</v>
      </c>
      <c r="G4920" s="321"/>
      <c r="H4920" s="11" t="s">
        <v>1561</v>
      </c>
      <c r="I4920" s="276"/>
      <c r="J4920" s="11" t="s">
        <v>16326</v>
      </c>
      <c r="K4920" s="12"/>
      <c r="L4920" s="12"/>
      <c r="M4920" s="11" t="s">
        <v>19510</v>
      </c>
      <c r="N4920" s="5" t="s">
        <v>19511</v>
      </c>
      <c r="O4920" s="5" t="s">
        <v>564</v>
      </c>
      <c r="P4920" s="15"/>
      <c r="Q4920" s="15"/>
      <c r="R4920" s="422"/>
      <c r="S4920" s="15"/>
      <c r="T4920" s="15"/>
      <c r="U4920" s="15"/>
      <c r="V4920" s="15"/>
      <c r="W4920" s="15"/>
      <c r="X4920" s="15"/>
      <c r="Y4920" s="15"/>
      <c r="Z4920" s="15"/>
      <c r="AA4920" s="15"/>
    </row>
    <row r="4921">
      <c r="A4921" s="5" t="s">
        <v>19473</v>
      </c>
      <c r="B4921" s="292" t="str">
        <f>HYPERLINK("https://akshar-exim-company-pvt-ltd.odoo.com/web#id=21519&amp;action=152&amp;model=crm.lead&amp;view_type=form&amp;menu_id=111","C2010995")</f>
        <v>C2010995</v>
      </c>
      <c r="C4921" s="41" t="s">
        <v>19512</v>
      </c>
      <c r="D4921" s="405"/>
      <c r="E4921" s="405" t="s">
        <v>7700</v>
      </c>
      <c r="F4921" s="90" t="s">
        <v>19513</v>
      </c>
      <c r="G4921" s="321"/>
      <c r="H4921" s="11" t="s">
        <v>19514</v>
      </c>
      <c r="I4921" s="276"/>
      <c r="J4921" s="11" t="s">
        <v>19515</v>
      </c>
      <c r="K4921" s="13"/>
      <c r="L4921" s="13"/>
      <c r="M4921" s="14"/>
      <c r="N4921" s="15"/>
      <c r="O4921" s="5" t="s">
        <v>10708</v>
      </c>
      <c r="P4921" s="15"/>
      <c r="Q4921" s="15"/>
      <c r="R4921" s="422"/>
      <c r="S4921" s="15"/>
      <c r="T4921" s="15"/>
      <c r="U4921" s="15"/>
      <c r="V4921" s="15"/>
      <c r="W4921" s="15"/>
      <c r="X4921" s="15"/>
      <c r="Y4921" s="15"/>
      <c r="Z4921" s="15"/>
      <c r="AA4921" s="15"/>
    </row>
    <row r="4922">
      <c r="A4922" s="5" t="s">
        <v>19473</v>
      </c>
      <c r="B4922" s="292" t="str">
        <f>HYPERLINK("https://akshar-exim-company-pvt-ltd.odoo.com/web#id=21522&amp;action=152&amp;model=crm.lead&amp;view_type=form&amp;menu_id=111","C2010994")</f>
        <v>C2010994</v>
      </c>
      <c r="C4922" s="41" t="s">
        <v>19516</v>
      </c>
      <c r="D4922" s="405"/>
      <c r="E4922" s="405" t="s">
        <v>19517</v>
      </c>
      <c r="F4922" s="90">
        <v>25.0</v>
      </c>
      <c r="G4922" s="430"/>
      <c r="H4922" s="41" t="s">
        <v>19518</v>
      </c>
      <c r="I4922" s="423"/>
      <c r="J4922" s="14"/>
      <c r="K4922" s="13"/>
      <c r="L4922" s="13"/>
      <c r="M4922" s="14"/>
      <c r="N4922" s="15"/>
      <c r="O4922" s="5" t="s">
        <v>10708</v>
      </c>
      <c r="P4922" s="15"/>
      <c r="Q4922" s="15"/>
      <c r="R4922" s="422"/>
      <c r="S4922" s="15"/>
      <c r="T4922" s="15"/>
      <c r="U4922" s="15"/>
      <c r="V4922" s="15"/>
      <c r="W4922" s="15"/>
      <c r="X4922" s="15"/>
      <c r="Y4922" s="15"/>
      <c r="Z4922" s="15"/>
      <c r="AA4922" s="15"/>
    </row>
    <row r="4923">
      <c r="A4923" s="5" t="s">
        <v>19473</v>
      </c>
      <c r="B4923" s="292" t="str">
        <f>HYPERLINK("https://akshar-exim-company-pvt-ltd.odoo.com/web#id=21529&amp;action=152&amp;model=crm.lead&amp;view_type=form&amp;menu_id=111","C2010993")</f>
        <v>C2010993</v>
      </c>
      <c r="C4923" s="41" t="s">
        <v>19472</v>
      </c>
      <c r="D4923" s="11"/>
      <c r="E4923" s="11" t="s">
        <v>167</v>
      </c>
      <c r="F4923" s="90">
        <v>10.0</v>
      </c>
      <c r="G4923" s="430"/>
      <c r="H4923" s="41" t="s">
        <v>2682</v>
      </c>
      <c r="I4923" s="276"/>
      <c r="J4923" s="11" t="s">
        <v>14563</v>
      </c>
      <c r="K4923" s="13"/>
      <c r="L4923" s="13"/>
      <c r="M4923" s="14"/>
      <c r="N4923" s="15"/>
      <c r="O4923" s="5" t="s">
        <v>10708</v>
      </c>
      <c r="P4923" s="15"/>
      <c r="Q4923" s="15"/>
      <c r="R4923" s="422"/>
      <c r="S4923" s="15"/>
      <c r="T4923" s="15"/>
      <c r="U4923" s="15"/>
      <c r="V4923" s="15"/>
      <c r="W4923" s="15"/>
      <c r="X4923" s="15"/>
      <c r="Y4923" s="15"/>
      <c r="Z4923" s="15"/>
      <c r="AA4923" s="15"/>
    </row>
    <row r="4924">
      <c r="A4924" s="5" t="s">
        <v>19473</v>
      </c>
      <c r="B4924" s="292" t="str">
        <f>HYPERLINK("https://akshar-exim-company-pvt-ltd.odoo.com/web#id=21425&amp;action=152&amp;model=crm.lead&amp;view_type=form&amp;menu_id=111","C2010992")</f>
        <v>C2010992</v>
      </c>
      <c r="C4924" s="41" t="s">
        <v>19519</v>
      </c>
      <c r="D4924" s="11"/>
      <c r="E4924" s="11" t="s">
        <v>17975</v>
      </c>
      <c r="F4924" s="433"/>
      <c r="G4924" s="434"/>
      <c r="H4924" s="14"/>
      <c r="I4924" s="423"/>
      <c r="J4924" s="14"/>
      <c r="K4924" s="13"/>
      <c r="L4924" s="13"/>
      <c r="M4924" s="14"/>
      <c r="N4924" s="15"/>
      <c r="O4924" s="15"/>
      <c r="P4924" s="15"/>
      <c r="Q4924" s="15"/>
      <c r="R4924" s="422"/>
      <c r="S4924" s="15"/>
      <c r="T4924" s="15"/>
      <c r="U4924" s="15"/>
      <c r="V4924" s="15"/>
      <c r="W4924" s="15"/>
      <c r="X4924" s="15"/>
      <c r="Y4924" s="15"/>
      <c r="Z4924" s="15"/>
      <c r="AA4924" s="15"/>
    </row>
    <row r="4925">
      <c r="A4925" s="5" t="s">
        <v>19473</v>
      </c>
      <c r="B4925" s="292" t="str">
        <f>HYPERLINK("https://akshar-exim-company-pvt-ltd.odoo.com/web#id=21517&amp;action=152&amp;model=crm.lead&amp;view_type=form&amp;menu_id=111","C2010991")</f>
        <v>C2010991</v>
      </c>
      <c r="C4925" s="41" t="s">
        <v>19520</v>
      </c>
      <c r="D4925" s="11"/>
      <c r="E4925" s="11" t="s">
        <v>6323</v>
      </c>
      <c r="F4925" s="9">
        <v>20000.0</v>
      </c>
      <c r="G4925" s="321"/>
      <c r="H4925" s="11" t="s">
        <v>44</v>
      </c>
      <c r="I4925" s="276"/>
      <c r="J4925" s="11" t="s">
        <v>25</v>
      </c>
      <c r="K4925" s="12"/>
      <c r="L4925" s="12"/>
      <c r="M4925" s="11" t="s">
        <v>9504</v>
      </c>
      <c r="N4925" s="5" t="s">
        <v>19521</v>
      </c>
      <c r="O4925" s="5" t="s">
        <v>10708</v>
      </c>
      <c r="P4925" s="15"/>
      <c r="Q4925" s="15"/>
      <c r="R4925" s="422"/>
      <c r="S4925" s="15"/>
      <c r="T4925" s="15"/>
      <c r="U4925" s="15"/>
      <c r="V4925" s="15"/>
      <c r="W4925" s="15"/>
      <c r="X4925" s="15"/>
      <c r="Y4925" s="15"/>
      <c r="Z4925" s="15"/>
      <c r="AA4925" s="15"/>
    </row>
    <row r="4926">
      <c r="A4926" s="5" t="s">
        <v>19473</v>
      </c>
      <c r="B4926" s="292" t="str">
        <f>HYPERLINK("https://akshar-exim-company-pvt-ltd.odoo.com/web#id=21523&amp;action=152&amp;model=crm.lead&amp;view_type=form&amp;menu_id=111","C2010990")</f>
        <v>C2010990</v>
      </c>
      <c r="C4926" s="41" t="s">
        <v>19522</v>
      </c>
      <c r="D4926" s="11"/>
      <c r="E4926" s="11" t="s">
        <v>167</v>
      </c>
      <c r="F4926" s="90">
        <v>25.0</v>
      </c>
      <c r="G4926" s="321"/>
      <c r="H4926" s="11" t="s">
        <v>2682</v>
      </c>
      <c r="I4926" s="276"/>
      <c r="J4926" s="11" t="s">
        <v>13956</v>
      </c>
      <c r="K4926" s="13"/>
      <c r="L4926" s="13"/>
      <c r="M4926" s="14"/>
      <c r="N4926" s="15"/>
      <c r="O4926" s="5" t="s">
        <v>10708</v>
      </c>
      <c r="P4926" s="15"/>
      <c r="Q4926" s="15"/>
      <c r="R4926" s="422"/>
      <c r="S4926" s="15"/>
      <c r="T4926" s="15"/>
      <c r="U4926" s="15"/>
      <c r="V4926" s="15"/>
      <c r="W4926" s="15"/>
      <c r="X4926" s="15"/>
      <c r="Y4926" s="15"/>
      <c r="Z4926" s="15"/>
      <c r="AA4926" s="15"/>
    </row>
    <row r="4927">
      <c r="A4927" s="5" t="s">
        <v>19473</v>
      </c>
      <c r="B4927" s="292" t="str">
        <f>HYPERLINK("https://akshar-exim-company-pvt-ltd.odoo.com/web#id=21526&amp;action=152&amp;model=crm.lead&amp;view_type=form&amp;menu_id=111","C2010989")</f>
        <v>C2010989</v>
      </c>
      <c r="C4927" s="41" t="s">
        <v>19523</v>
      </c>
      <c r="D4927" s="405"/>
      <c r="E4927" s="405" t="s">
        <v>15501</v>
      </c>
      <c r="F4927" s="90">
        <v>2.0</v>
      </c>
      <c r="G4927" s="321"/>
      <c r="H4927" s="11" t="s">
        <v>44</v>
      </c>
      <c r="I4927" s="276"/>
      <c r="J4927" s="11" t="s">
        <v>16904</v>
      </c>
      <c r="K4927" s="13"/>
      <c r="L4927" s="13"/>
      <c r="M4927" s="14"/>
      <c r="N4927" s="15"/>
      <c r="O4927" s="5" t="s">
        <v>10708</v>
      </c>
      <c r="P4927" s="15"/>
      <c r="Q4927" s="15"/>
      <c r="R4927" s="422"/>
      <c r="S4927" s="15"/>
      <c r="T4927" s="15"/>
      <c r="U4927" s="15"/>
      <c r="V4927" s="15"/>
      <c r="W4927" s="15"/>
      <c r="X4927" s="15"/>
      <c r="Y4927" s="15"/>
      <c r="Z4927" s="15"/>
      <c r="AA4927" s="15"/>
    </row>
    <row r="4928">
      <c r="A4928" s="5" t="s">
        <v>19473</v>
      </c>
      <c r="B4928" s="292" t="str">
        <f>HYPERLINK("https://akshar-exim-company-pvt-ltd.odoo.com/web#id=21527&amp;action=152&amp;model=crm.lead&amp;view_type=form&amp;menu_id=111","C2010988")</f>
        <v>C2010988</v>
      </c>
      <c r="C4928" s="40" t="s">
        <v>19524</v>
      </c>
      <c r="D4928" s="405"/>
      <c r="E4928" s="405" t="s">
        <v>3073</v>
      </c>
      <c r="F4928" s="90">
        <v>50.0</v>
      </c>
      <c r="G4928" s="430"/>
      <c r="H4928" s="41" t="s">
        <v>507</v>
      </c>
      <c r="I4928" s="276"/>
      <c r="J4928" s="11" t="s">
        <v>25</v>
      </c>
      <c r="K4928" s="13"/>
      <c r="L4928" s="13"/>
      <c r="M4928" s="14"/>
      <c r="N4928" s="15"/>
      <c r="O4928" s="5" t="s">
        <v>10708</v>
      </c>
      <c r="P4928" s="15"/>
      <c r="Q4928" s="15"/>
      <c r="R4928" s="422"/>
      <c r="S4928" s="15"/>
      <c r="T4928" s="15"/>
      <c r="U4928" s="15"/>
      <c r="V4928" s="15"/>
      <c r="W4928" s="15"/>
      <c r="X4928" s="15"/>
      <c r="Y4928" s="15"/>
      <c r="Z4928" s="15"/>
      <c r="AA4928" s="15"/>
    </row>
    <row r="4929">
      <c r="A4929" s="5" t="s">
        <v>19473</v>
      </c>
      <c r="B4929" s="292" t="str">
        <f>HYPERLINK("https://akshar-exim-company-pvt-ltd.odoo.com/web#id=21528&amp;action=152&amp;model=crm.lead&amp;view_type=form&amp;menu_id=111","C2010987")</f>
        <v>C2010987</v>
      </c>
      <c r="C4929" s="41" t="s">
        <v>19525</v>
      </c>
      <c r="D4929" s="11"/>
      <c r="E4929" s="11" t="s">
        <v>523</v>
      </c>
      <c r="F4929" s="9">
        <v>10000.0</v>
      </c>
      <c r="G4929" s="321"/>
      <c r="H4929" s="11" t="s">
        <v>44</v>
      </c>
      <c r="I4929" s="276"/>
      <c r="J4929" s="11" t="s">
        <v>25</v>
      </c>
      <c r="K4929" s="12"/>
      <c r="L4929" s="12"/>
      <c r="M4929" s="11" t="s">
        <v>19526</v>
      </c>
      <c r="N4929" s="5" t="s">
        <v>19527</v>
      </c>
      <c r="O4929" s="5" t="s">
        <v>564</v>
      </c>
      <c r="P4929" s="15"/>
      <c r="Q4929" s="15"/>
      <c r="R4929" s="422"/>
      <c r="S4929" s="15"/>
      <c r="T4929" s="15"/>
      <c r="U4929" s="15"/>
      <c r="V4929" s="15"/>
      <c r="W4929" s="15"/>
      <c r="X4929" s="15"/>
      <c r="Y4929" s="15"/>
      <c r="Z4929" s="15"/>
      <c r="AA4929" s="15"/>
    </row>
    <row r="4930">
      <c r="A4930" s="5" t="s">
        <v>19528</v>
      </c>
      <c r="B4930" s="292" t="str">
        <f>HYPERLINK("https://akshar-exim-company-pvt-ltd.odoo.com/web#id=21433&amp;action=152&amp;model=crm.lead&amp;view_type=form&amp;menu_id=111","C2010986")</f>
        <v>C2010986</v>
      </c>
      <c r="C4930" s="41" t="s">
        <v>19529</v>
      </c>
      <c r="D4930" s="405"/>
      <c r="E4930" s="405" t="s">
        <v>19530</v>
      </c>
      <c r="F4930" s="9">
        <v>10000.0</v>
      </c>
      <c r="G4930" s="321"/>
      <c r="H4930" s="11" t="s">
        <v>44</v>
      </c>
      <c r="I4930" s="276"/>
      <c r="J4930" s="11" t="s">
        <v>25</v>
      </c>
      <c r="K4930" s="13"/>
      <c r="L4930" s="13"/>
      <c r="M4930" s="14"/>
      <c r="N4930" s="15"/>
      <c r="O4930" s="5" t="s">
        <v>564</v>
      </c>
      <c r="P4930" s="15"/>
      <c r="Q4930" s="15"/>
      <c r="R4930" s="422"/>
      <c r="S4930" s="15"/>
      <c r="T4930" s="15"/>
      <c r="U4930" s="15"/>
      <c r="V4930" s="15"/>
      <c r="W4930" s="15"/>
      <c r="X4930" s="15"/>
      <c r="Y4930" s="15"/>
      <c r="Z4930" s="15"/>
      <c r="AA4930" s="15"/>
    </row>
    <row r="4931">
      <c r="A4931" s="5" t="s">
        <v>19528</v>
      </c>
      <c r="B4931" s="292" t="str">
        <f>HYPERLINK("https://akshar-exim-company-pvt-ltd.odoo.com/web#id=21434&amp;action=152&amp;model=crm.lead&amp;view_type=form&amp;menu_id=111","C2010985")</f>
        <v>C2010985</v>
      </c>
      <c r="C4931" s="41" t="s">
        <v>19531</v>
      </c>
      <c r="D4931" s="41"/>
      <c r="E4931" s="41" t="s">
        <v>116</v>
      </c>
      <c r="F4931" s="90">
        <v>300.0</v>
      </c>
      <c r="G4931" s="321"/>
      <c r="H4931" s="11" t="s">
        <v>2682</v>
      </c>
      <c r="I4931" s="276"/>
      <c r="J4931" s="11" t="s">
        <v>17976</v>
      </c>
      <c r="K4931" s="12"/>
      <c r="L4931" s="12"/>
      <c r="M4931" s="11" t="s">
        <v>19532</v>
      </c>
      <c r="N4931" s="5" t="s">
        <v>19533</v>
      </c>
      <c r="O4931" s="5" t="s">
        <v>17993</v>
      </c>
      <c r="P4931" s="15"/>
      <c r="Q4931" s="15"/>
      <c r="R4931" s="422"/>
      <c r="S4931" s="15"/>
      <c r="T4931" s="15"/>
      <c r="U4931" s="15"/>
      <c r="V4931" s="15"/>
      <c r="W4931" s="15"/>
      <c r="X4931" s="15"/>
      <c r="Y4931" s="15"/>
      <c r="Z4931" s="15"/>
      <c r="AA4931" s="15"/>
    </row>
    <row r="4932">
      <c r="A4932" s="5" t="s">
        <v>19528</v>
      </c>
      <c r="B4932" s="292" t="str">
        <f>HYPERLINK("https://akshar-exim-company-pvt-ltd.odoo.com/web#id=21494&amp;action=152&amp;model=crm.lead&amp;view_type=form&amp;menu_id=111","C2010984")</f>
        <v>C2010984</v>
      </c>
      <c r="C4932" s="41" t="s">
        <v>19534</v>
      </c>
      <c r="D4932" s="41"/>
      <c r="E4932" s="41" t="s">
        <v>9502</v>
      </c>
      <c r="F4932" s="90">
        <v>25.0</v>
      </c>
      <c r="G4932" s="430"/>
      <c r="H4932" s="41" t="s">
        <v>44</v>
      </c>
      <c r="I4932" s="97"/>
      <c r="J4932" s="41" t="s">
        <v>18182</v>
      </c>
      <c r="K4932" s="13"/>
      <c r="L4932" s="13"/>
      <c r="M4932" s="14"/>
      <c r="N4932" s="15"/>
      <c r="O4932" s="5" t="s">
        <v>10708</v>
      </c>
      <c r="P4932" s="15"/>
      <c r="Q4932" s="15"/>
      <c r="R4932" s="422"/>
      <c r="S4932" s="15"/>
      <c r="T4932" s="15"/>
      <c r="U4932" s="15"/>
      <c r="V4932" s="15"/>
      <c r="W4932" s="15"/>
      <c r="X4932" s="15"/>
      <c r="Y4932" s="15"/>
      <c r="Z4932" s="15"/>
      <c r="AA4932" s="15"/>
    </row>
    <row r="4933">
      <c r="A4933" s="5" t="s">
        <v>19528</v>
      </c>
      <c r="B4933" s="292" t="str">
        <f>HYPERLINK("https://akshar-exim-company-pvt-ltd.odoo.com/web#id=21502&amp;action=152&amp;model=crm.lead&amp;view_type=form&amp;menu_id=111","C2010983")</f>
        <v>C2010983</v>
      </c>
      <c r="C4933" s="41" t="s">
        <v>19535</v>
      </c>
      <c r="D4933" s="11"/>
      <c r="E4933" s="11" t="s">
        <v>19536</v>
      </c>
      <c r="F4933" s="90">
        <v>25.0</v>
      </c>
      <c r="G4933" s="321"/>
      <c r="H4933" s="11" t="s">
        <v>930</v>
      </c>
      <c r="I4933" s="276"/>
      <c r="J4933" s="11" t="s">
        <v>14563</v>
      </c>
      <c r="K4933" s="13"/>
      <c r="L4933" s="13"/>
      <c r="M4933" s="14"/>
      <c r="N4933" s="15"/>
      <c r="O4933" s="5" t="s">
        <v>10708</v>
      </c>
      <c r="P4933" s="15"/>
      <c r="Q4933" s="15"/>
      <c r="R4933" s="422"/>
      <c r="S4933" s="15"/>
      <c r="T4933" s="15"/>
      <c r="U4933" s="15"/>
      <c r="V4933" s="15"/>
      <c r="W4933" s="15"/>
      <c r="X4933" s="15"/>
      <c r="Y4933" s="15"/>
      <c r="Z4933" s="15"/>
      <c r="AA4933" s="15"/>
    </row>
    <row r="4934">
      <c r="A4934" s="5" t="s">
        <v>19528</v>
      </c>
      <c r="B4934" s="292" t="str">
        <f>HYPERLINK("https://akshar-exim-company-pvt-ltd.odoo.com/web#id=21508&amp;action=152&amp;model=crm.lead&amp;view_type=form&amp;menu_id=111","C2010982")</f>
        <v>C2010982</v>
      </c>
      <c r="C4934" s="41" t="s">
        <v>5265</v>
      </c>
      <c r="D4934" s="11"/>
      <c r="E4934" s="11" t="s">
        <v>13809</v>
      </c>
      <c r="F4934" s="90">
        <v>500.0</v>
      </c>
      <c r="G4934" s="321"/>
      <c r="H4934" s="11" t="s">
        <v>44</v>
      </c>
      <c r="I4934" s="276"/>
      <c r="J4934" s="11" t="s">
        <v>25</v>
      </c>
      <c r="K4934" s="13"/>
      <c r="L4934" s="13"/>
      <c r="M4934" s="14"/>
      <c r="N4934" s="15"/>
      <c r="O4934" s="5" t="s">
        <v>10708</v>
      </c>
      <c r="P4934" s="15"/>
      <c r="Q4934" s="15"/>
      <c r="R4934" s="422"/>
      <c r="S4934" s="15"/>
      <c r="T4934" s="15"/>
      <c r="U4934" s="15"/>
      <c r="V4934" s="15"/>
      <c r="W4934" s="15"/>
      <c r="X4934" s="15"/>
      <c r="Y4934" s="15"/>
      <c r="Z4934" s="15"/>
      <c r="AA4934" s="15"/>
    </row>
    <row r="4935">
      <c r="A4935" s="5" t="s">
        <v>19528</v>
      </c>
      <c r="B4935" s="292" t="str">
        <f>HYPERLINK("https://akshar-exim-company-pvt-ltd.odoo.com/web#id=21507&amp;action=152&amp;model=crm.lead&amp;view_type=form&amp;menu_id=111","C2010981")</f>
        <v>C2010981</v>
      </c>
      <c r="C4935" s="41" t="s">
        <v>19537</v>
      </c>
      <c r="D4935" s="11"/>
      <c r="E4935" s="11" t="s">
        <v>130</v>
      </c>
      <c r="F4935" s="9">
        <v>10000.0</v>
      </c>
      <c r="G4935" s="430"/>
      <c r="H4935" s="41" t="s">
        <v>19538</v>
      </c>
      <c r="I4935" s="276"/>
      <c r="J4935" s="11" t="s">
        <v>25</v>
      </c>
      <c r="K4935" s="12"/>
      <c r="L4935" s="12"/>
      <c r="M4935" s="11" t="s">
        <v>18665</v>
      </c>
      <c r="N4935" s="5" t="s">
        <v>19539</v>
      </c>
      <c r="O4935" s="5" t="s">
        <v>17993</v>
      </c>
      <c r="P4935" s="15"/>
      <c r="Q4935" s="15"/>
      <c r="R4935" s="422"/>
      <c r="S4935" s="15"/>
      <c r="T4935" s="15"/>
      <c r="U4935" s="15"/>
      <c r="V4935" s="15"/>
      <c r="W4935" s="15"/>
      <c r="X4935" s="15"/>
      <c r="Y4935" s="15"/>
      <c r="Z4935" s="15"/>
      <c r="AA4935" s="15"/>
    </row>
    <row r="4936">
      <c r="A4936" s="5" t="s">
        <v>19528</v>
      </c>
      <c r="B4936" s="292" t="str">
        <f>HYPERLINK("https://akshar-exim-company-pvt-ltd.odoo.com/web#id=21504&amp;action=152&amp;model=crm.lead&amp;view_type=form&amp;menu_id=111","C2010980")</f>
        <v>C2010980</v>
      </c>
      <c r="C4936" s="40" t="s">
        <v>19540</v>
      </c>
      <c r="D4936" s="14"/>
      <c r="E4936" s="14"/>
      <c r="F4936" s="433"/>
      <c r="G4936" s="434"/>
      <c r="H4936" s="14"/>
      <c r="I4936" s="423"/>
      <c r="J4936" s="14"/>
      <c r="K4936" s="13"/>
      <c r="L4936" s="13"/>
      <c r="M4936" s="14"/>
      <c r="N4936" s="15"/>
      <c r="O4936" s="15"/>
      <c r="P4936" s="15"/>
      <c r="Q4936" s="15"/>
      <c r="R4936" s="422"/>
      <c r="S4936" s="15"/>
      <c r="T4936" s="15"/>
      <c r="U4936" s="15"/>
      <c r="V4936" s="15"/>
      <c r="W4936" s="15"/>
      <c r="X4936" s="15"/>
      <c r="Y4936" s="15"/>
      <c r="Z4936" s="15"/>
      <c r="AA4936" s="15"/>
    </row>
    <row r="4937">
      <c r="A4937" s="5" t="s">
        <v>19528</v>
      </c>
      <c r="B4937" s="292" t="str">
        <f>HYPERLINK("https://akshar-exim-company-pvt-ltd.odoo.com/web#id=21505&amp;action=152&amp;model=crm.lead&amp;view_type=form&amp;menu_id=111","C2010979")</f>
        <v>C2010979</v>
      </c>
      <c r="C4937" s="41" t="s">
        <v>19541</v>
      </c>
      <c r="D4937" s="11"/>
      <c r="E4937" s="11" t="s">
        <v>6323</v>
      </c>
      <c r="F4937" s="9">
        <v>25000.0</v>
      </c>
      <c r="G4937" s="321"/>
      <c r="H4937" s="11" t="s">
        <v>44</v>
      </c>
      <c r="I4937" s="276"/>
      <c r="J4937" s="11" t="s">
        <v>17976</v>
      </c>
      <c r="K4937" s="12"/>
      <c r="L4937" s="12"/>
      <c r="M4937" s="11" t="s">
        <v>9504</v>
      </c>
      <c r="N4937" s="5" t="s">
        <v>19542</v>
      </c>
      <c r="O4937" s="5" t="s">
        <v>17993</v>
      </c>
      <c r="P4937" s="15"/>
      <c r="Q4937" s="15"/>
      <c r="R4937" s="422"/>
      <c r="S4937" s="15"/>
      <c r="T4937" s="15"/>
      <c r="U4937" s="15"/>
      <c r="V4937" s="15"/>
      <c r="W4937" s="15"/>
      <c r="X4937" s="15"/>
      <c r="Y4937" s="15"/>
      <c r="Z4937" s="15"/>
      <c r="AA4937" s="15"/>
    </row>
    <row r="4938">
      <c r="A4938" s="5" t="s">
        <v>19528</v>
      </c>
      <c r="B4938" s="292" t="str">
        <f>HYPERLINK("https://akshar-exim-company-pvt-ltd.odoo.com/web#id=21483&amp;action=152&amp;model=crm.lead&amp;view_type=form&amp;menu_id=111","C2010978")</f>
        <v>C2010978</v>
      </c>
      <c r="C4938" s="40" t="s">
        <v>19543</v>
      </c>
      <c r="D4938" s="11"/>
      <c r="E4938" s="11" t="s">
        <v>167</v>
      </c>
      <c r="F4938" s="90">
        <v>25.0</v>
      </c>
      <c r="G4938" s="321"/>
      <c r="H4938" s="11" t="s">
        <v>2662</v>
      </c>
      <c r="I4938" s="276"/>
      <c r="J4938" s="11" t="s">
        <v>18788</v>
      </c>
      <c r="K4938" s="13"/>
      <c r="L4938" s="13"/>
      <c r="M4938" s="14"/>
      <c r="N4938" s="15"/>
      <c r="O4938" s="5" t="s">
        <v>10708</v>
      </c>
      <c r="P4938" s="15"/>
      <c r="Q4938" s="15"/>
      <c r="R4938" s="422"/>
      <c r="S4938" s="15"/>
      <c r="T4938" s="15"/>
      <c r="U4938" s="15"/>
      <c r="V4938" s="15"/>
      <c r="W4938" s="15"/>
      <c r="X4938" s="15"/>
      <c r="Y4938" s="15"/>
      <c r="Z4938" s="15"/>
      <c r="AA4938" s="15"/>
    </row>
    <row r="4939">
      <c r="A4939" s="5" t="s">
        <v>19528</v>
      </c>
      <c r="B4939" s="292" t="str">
        <f>HYPERLINK("https://akshar-exim-company-pvt-ltd.odoo.com/web#id=21490&amp;action=152&amp;model=crm.lead&amp;view_type=form&amp;menu_id=111","C2010977")</f>
        <v>C2010977</v>
      </c>
      <c r="C4939" s="41" t="s">
        <v>19544</v>
      </c>
      <c r="D4939" s="405"/>
      <c r="E4939" s="405" t="s">
        <v>412</v>
      </c>
      <c r="F4939" s="90">
        <v>1.0</v>
      </c>
      <c r="G4939" s="430"/>
      <c r="H4939" s="41" t="s">
        <v>158</v>
      </c>
      <c r="I4939" s="423"/>
      <c r="J4939" s="14"/>
      <c r="K4939" s="13"/>
      <c r="L4939" s="13"/>
      <c r="M4939" s="14"/>
      <c r="N4939" s="15"/>
      <c r="O4939" s="5" t="s">
        <v>10708</v>
      </c>
      <c r="P4939" s="15"/>
      <c r="Q4939" s="15"/>
      <c r="R4939" s="422"/>
      <c r="S4939" s="15"/>
      <c r="T4939" s="15"/>
      <c r="U4939" s="15"/>
      <c r="V4939" s="15"/>
      <c r="W4939" s="15"/>
      <c r="X4939" s="15"/>
      <c r="Y4939" s="15"/>
      <c r="Z4939" s="15"/>
      <c r="AA4939" s="15"/>
    </row>
    <row r="4940">
      <c r="A4940" s="5" t="s">
        <v>19528</v>
      </c>
      <c r="B4940" s="292" t="str">
        <f>HYPERLINK("https://akshar-exim-company-pvt-ltd.odoo.com/web#id=21486&amp;action=152&amp;model=crm.lead&amp;view_type=form&amp;menu_id=111","C2010976")</f>
        <v>C2010976</v>
      </c>
      <c r="C4940" s="41" t="s">
        <v>19545</v>
      </c>
      <c r="D4940" s="11"/>
      <c r="E4940" s="11" t="s">
        <v>152</v>
      </c>
      <c r="F4940" s="90">
        <v>25.0</v>
      </c>
      <c r="G4940" s="430"/>
      <c r="H4940" s="41" t="s">
        <v>19546</v>
      </c>
      <c r="I4940" s="276"/>
      <c r="J4940" s="11" t="s">
        <v>9536</v>
      </c>
      <c r="K4940" s="13"/>
      <c r="L4940" s="13"/>
      <c r="M4940" s="14"/>
      <c r="N4940" s="15"/>
      <c r="O4940" s="5" t="s">
        <v>10708</v>
      </c>
      <c r="P4940" s="15"/>
      <c r="Q4940" s="15"/>
      <c r="R4940" s="422"/>
      <c r="S4940" s="15"/>
      <c r="T4940" s="15"/>
      <c r="U4940" s="15"/>
      <c r="V4940" s="15"/>
      <c r="W4940" s="15"/>
      <c r="X4940" s="15"/>
      <c r="Y4940" s="15"/>
      <c r="Z4940" s="15"/>
      <c r="AA4940" s="15"/>
    </row>
    <row r="4941">
      <c r="A4941" s="5" t="s">
        <v>19528</v>
      </c>
      <c r="B4941" s="292" t="str">
        <f>HYPERLINK("https://akshar-exim-company-pvt-ltd.odoo.com/web#id=21438&amp;action=152&amp;model=crm.lead&amp;view_type=form&amp;menu_id=111","C2010975")</f>
        <v>C2010975</v>
      </c>
      <c r="C4941" s="41" t="s">
        <v>19547</v>
      </c>
      <c r="D4941" s="41"/>
      <c r="E4941" s="41" t="s">
        <v>11692</v>
      </c>
      <c r="F4941" s="90">
        <v>1.0</v>
      </c>
      <c r="G4941" s="321"/>
      <c r="H4941" s="11" t="s">
        <v>44</v>
      </c>
      <c r="I4941" s="276"/>
      <c r="J4941" s="11" t="s">
        <v>25</v>
      </c>
      <c r="K4941" s="13"/>
      <c r="L4941" s="13"/>
      <c r="M4941" s="14"/>
      <c r="N4941" s="15"/>
      <c r="O4941" s="5" t="s">
        <v>10708</v>
      </c>
      <c r="P4941" s="15"/>
      <c r="Q4941" s="15"/>
      <c r="R4941" s="422"/>
      <c r="S4941" s="15"/>
      <c r="T4941" s="15"/>
      <c r="U4941" s="15"/>
      <c r="V4941" s="15"/>
      <c r="W4941" s="15"/>
      <c r="X4941" s="15"/>
      <c r="Y4941" s="15"/>
      <c r="Z4941" s="15"/>
      <c r="AA4941" s="15"/>
    </row>
    <row r="4942">
      <c r="A4942" s="5" t="s">
        <v>19528</v>
      </c>
      <c r="B4942" s="292" t="str">
        <f>HYPERLINK("https://akshar-exim-company-pvt-ltd.odoo.com/web#id=21439&amp;action=152&amp;model=crm.lead&amp;view_type=form&amp;menu_id=111","C2010974")</f>
        <v>C2010974</v>
      </c>
      <c r="C4942" s="41" t="s">
        <v>19548</v>
      </c>
      <c r="D4942" s="11"/>
      <c r="E4942" s="11" t="s">
        <v>152</v>
      </c>
      <c r="F4942" s="90">
        <v>50.0</v>
      </c>
      <c r="G4942" s="430"/>
      <c r="H4942" s="41" t="s">
        <v>19549</v>
      </c>
      <c r="I4942" s="276"/>
      <c r="J4942" s="11" t="s">
        <v>19550</v>
      </c>
      <c r="K4942" s="13"/>
      <c r="L4942" s="13"/>
      <c r="M4942" s="14"/>
      <c r="N4942" s="15"/>
      <c r="O4942" s="5" t="s">
        <v>10708</v>
      </c>
      <c r="P4942" s="15"/>
      <c r="Q4942" s="15"/>
      <c r="R4942" s="422"/>
      <c r="S4942" s="15"/>
      <c r="T4942" s="15"/>
      <c r="U4942" s="15"/>
      <c r="V4942" s="15"/>
      <c r="W4942" s="15"/>
      <c r="X4942" s="15"/>
      <c r="Y4942" s="15"/>
      <c r="Z4942" s="15"/>
      <c r="AA4942" s="15"/>
    </row>
    <row r="4943">
      <c r="A4943" s="5" t="s">
        <v>19528</v>
      </c>
      <c r="B4943" s="292" t="str">
        <f>HYPERLINK("https://akshar-exim-company-pvt-ltd.odoo.com/web#id=21442&amp;action=152&amp;model=crm.lead&amp;view_type=form&amp;menu_id=111","C2010973")</f>
        <v>C2010973</v>
      </c>
      <c r="C4943" s="41" t="s">
        <v>19551</v>
      </c>
      <c r="D4943" s="405"/>
      <c r="E4943" s="405" t="s">
        <v>106</v>
      </c>
      <c r="F4943" s="90">
        <v>2000.0</v>
      </c>
      <c r="G4943" s="321"/>
      <c r="H4943" s="11" t="s">
        <v>44</v>
      </c>
      <c r="I4943" s="276"/>
      <c r="J4943" s="11" t="s">
        <v>17976</v>
      </c>
      <c r="K4943" s="12"/>
      <c r="L4943" s="12"/>
      <c r="M4943" s="11" t="s">
        <v>9901</v>
      </c>
      <c r="N4943" s="5" t="s">
        <v>19552</v>
      </c>
      <c r="O4943" s="5" t="s">
        <v>1112</v>
      </c>
      <c r="P4943" s="15"/>
      <c r="Q4943" s="15"/>
      <c r="R4943" s="422"/>
      <c r="S4943" s="15"/>
      <c r="T4943" s="15"/>
      <c r="U4943" s="15"/>
      <c r="V4943" s="15"/>
      <c r="W4943" s="15"/>
      <c r="X4943" s="15"/>
      <c r="Y4943" s="15"/>
      <c r="Z4943" s="15"/>
      <c r="AA4943" s="15"/>
    </row>
    <row r="4944">
      <c r="A4944" s="5" t="s">
        <v>19528</v>
      </c>
      <c r="B4944" s="292" t="str">
        <f>HYPERLINK("https://akshar-exim-company-pvt-ltd.odoo.com/web#id=21446&amp;action=152&amp;model=crm.lead&amp;view_type=form&amp;menu_id=111","C2010972")</f>
        <v>C2010972</v>
      </c>
      <c r="C4944" s="41" t="s">
        <v>19553</v>
      </c>
      <c r="D4944" s="405"/>
      <c r="E4944" s="405" t="s">
        <v>116</v>
      </c>
      <c r="F4944" s="90">
        <v>1.0</v>
      </c>
      <c r="G4944" s="321"/>
      <c r="H4944" s="11" t="s">
        <v>507</v>
      </c>
      <c r="I4944" s="276"/>
      <c r="J4944" s="11" t="s">
        <v>14563</v>
      </c>
      <c r="K4944" s="13"/>
      <c r="L4944" s="13"/>
      <c r="M4944" s="14"/>
      <c r="N4944" s="15"/>
      <c r="O4944" s="5" t="s">
        <v>10708</v>
      </c>
      <c r="P4944" s="15"/>
      <c r="Q4944" s="15"/>
      <c r="R4944" s="422"/>
      <c r="S4944" s="15"/>
      <c r="T4944" s="15"/>
      <c r="U4944" s="15"/>
      <c r="V4944" s="15"/>
      <c r="W4944" s="15"/>
      <c r="X4944" s="15"/>
      <c r="Y4944" s="15"/>
      <c r="Z4944" s="15"/>
      <c r="AA4944" s="15"/>
    </row>
    <row r="4945">
      <c r="A4945" s="5" t="s">
        <v>19528</v>
      </c>
      <c r="B4945" s="292" t="str">
        <f>HYPERLINK("https://akshar-exim-company-pvt-ltd.odoo.com/web#id=21447&amp;action=152&amp;model=crm.lead&amp;view_type=form&amp;menu_id=111","C2010971")</f>
        <v>C2010971</v>
      </c>
      <c r="C4945" s="41" t="s">
        <v>19554</v>
      </c>
      <c r="D4945" s="41"/>
      <c r="E4945" s="41" t="s">
        <v>4240</v>
      </c>
      <c r="F4945" s="9">
        <v>500000.0</v>
      </c>
      <c r="G4945" s="321"/>
      <c r="H4945" s="11" t="s">
        <v>906</v>
      </c>
      <c r="I4945" s="276"/>
      <c r="J4945" s="11" t="s">
        <v>25</v>
      </c>
      <c r="K4945" s="12"/>
      <c r="L4945" s="12"/>
      <c r="M4945" s="11" t="s">
        <v>19555</v>
      </c>
      <c r="N4945" s="5" t="s">
        <v>19556</v>
      </c>
      <c r="O4945" s="5" t="s">
        <v>17993</v>
      </c>
      <c r="P4945" s="15"/>
      <c r="Q4945" s="15"/>
      <c r="R4945" s="422"/>
      <c r="S4945" s="15"/>
      <c r="T4945" s="15"/>
      <c r="U4945" s="15"/>
      <c r="V4945" s="15"/>
      <c r="W4945" s="15"/>
      <c r="X4945" s="15"/>
      <c r="Y4945" s="15"/>
      <c r="Z4945" s="15"/>
      <c r="AA4945" s="15"/>
    </row>
    <row r="4946">
      <c r="A4946" s="5" t="s">
        <v>19528</v>
      </c>
      <c r="B4946" s="292" t="str">
        <f>HYPERLINK("https://akshar-exim-company-pvt-ltd.odoo.com/web#id=21451&amp;action=152&amp;model=crm.lead&amp;view_type=form&amp;menu_id=111","C2010970")</f>
        <v>C2010970</v>
      </c>
      <c r="C4946" s="41" t="s">
        <v>19557</v>
      </c>
      <c r="D4946" s="11"/>
      <c r="E4946" s="11" t="s">
        <v>19558</v>
      </c>
      <c r="F4946" s="90">
        <v>5000.0</v>
      </c>
      <c r="G4946" s="321"/>
      <c r="H4946" s="11" t="s">
        <v>44</v>
      </c>
      <c r="I4946" s="276"/>
      <c r="J4946" s="11" t="s">
        <v>17976</v>
      </c>
      <c r="K4946" s="12"/>
      <c r="L4946" s="12"/>
      <c r="M4946" s="11" t="s">
        <v>9531</v>
      </c>
      <c r="N4946" s="5" t="s">
        <v>19559</v>
      </c>
      <c r="O4946" s="5" t="s">
        <v>10708</v>
      </c>
      <c r="P4946" s="15"/>
      <c r="Q4946" s="15"/>
      <c r="R4946" s="422"/>
      <c r="S4946" s="15"/>
      <c r="T4946" s="15"/>
      <c r="U4946" s="15"/>
      <c r="V4946" s="15"/>
      <c r="W4946" s="15"/>
      <c r="X4946" s="15"/>
      <c r="Y4946" s="15"/>
      <c r="Z4946" s="15"/>
      <c r="AA4946" s="15"/>
    </row>
    <row r="4947">
      <c r="A4947" s="5" t="s">
        <v>19528</v>
      </c>
      <c r="B4947" s="292" t="str">
        <f>HYPERLINK("https://akshar-exim-company-pvt-ltd.odoo.com/web#id=21452&amp;action=152&amp;model=crm.lead&amp;view_type=form&amp;menu_id=111","C2010969")</f>
        <v>C2010969</v>
      </c>
      <c r="C4947" s="41" t="s">
        <v>19560</v>
      </c>
      <c r="D4947" s="41"/>
      <c r="E4947" s="41" t="s">
        <v>17908</v>
      </c>
      <c r="F4947" s="90">
        <v>500.0</v>
      </c>
      <c r="G4947" s="321"/>
      <c r="H4947" s="11" t="s">
        <v>906</v>
      </c>
      <c r="I4947" s="276"/>
      <c r="J4947" s="11" t="s">
        <v>25</v>
      </c>
      <c r="K4947" s="12"/>
      <c r="L4947" s="12"/>
      <c r="M4947" s="11" t="s">
        <v>10171</v>
      </c>
      <c r="N4947" s="5" t="s">
        <v>19561</v>
      </c>
      <c r="O4947" s="5" t="s">
        <v>17993</v>
      </c>
      <c r="P4947" s="15"/>
      <c r="Q4947" s="15"/>
      <c r="R4947" s="422"/>
      <c r="S4947" s="15"/>
      <c r="T4947" s="15"/>
      <c r="U4947" s="15"/>
      <c r="V4947" s="15"/>
      <c r="W4947" s="15"/>
      <c r="X4947" s="15"/>
      <c r="Y4947" s="15"/>
      <c r="Z4947" s="15"/>
      <c r="AA4947" s="15"/>
    </row>
    <row r="4948">
      <c r="A4948" s="5" t="s">
        <v>19528</v>
      </c>
      <c r="B4948" s="292" t="str">
        <f>HYPERLINK("https://akshar-exim-company-pvt-ltd.odoo.com/web#id=21458&amp;action=152&amp;model=crm.lead&amp;view_type=form&amp;menu_id=111","C2010968")</f>
        <v>C2010968</v>
      </c>
      <c r="C4948" s="41" t="s">
        <v>19562</v>
      </c>
      <c r="D4948" s="11"/>
      <c r="E4948" s="11" t="s">
        <v>152</v>
      </c>
      <c r="F4948" s="90">
        <v>5000.0</v>
      </c>
      <c r="G4948" s="321"/>
      <c r="H4948" s="11" t="s">
        <v>906</v>
      </c>
      <c r="I4948" s="276"/>
      <c r="J4948" s="11" t="s">
        <v>17976</v>
      </c>
      <c r="K4948" s="12"/>
      <c r="L4948" s="12"/>
      <c r="M4948" s="11" t="s">
        <v>15852</v>
      </c>
      <c r="N4948" s="5" t="s">
        <v>19563</v>
      </c>
      <c r="O4948" s="5" t="s">
        <v>17993</v>
      </c>
      <c r="P4948" s="15"/>
      <c r="Q4948" s="15"/>
      <c r="R4948" s="422"/>
      <c r="S4948" s="15"/>
      <c r="T4948" s="15"/>
      <c r="U4948" s="15"/>
      <c r="V4948" s="15"/>
      <c r="W4948" s="15"/>
      <c r="X4948" s="15"/>
      <c r="Y4948" s="15"/>
      <c r="Z4948" s="15"/>
      <c r="AA4948" s="15"/>
    </row>
    <row r="4949">
      <c r="A4949" s="5" t="s">
        <v>19528</v>
      </c>
      <c r="B4949" s="292" t="str">
        <f>HYPERLINK("https://akshar-exim-company-pvt-ltd.odoo.com/web#id=21460&amp;action=152&amp;model=crm.lead&amp;view_type=form&amp;menu_id=111","C2010967")</f>
        <v>C2010967</v>
      </c>
      <c r="C4949" s="41" t="s">
        <v>19564</v>
      </c>
      <c r="D4949" s="41"/>
      <c r="E4949" s="41" t="s">
        <v>5226</v>
      </c>
      <c r="F4949" s="90" t="s">
        <v>19565</v>
      </c>
      <c r="G4949" s="321"/>
      <c r="H4949" s="11" t="s">
        <v>467</v>
      </c>
      <c r="I4949" s="276"/>
      <c r="J4949" s="11" t="s">
        <v>17976</v>
      </c>
      <c r="K4949" s="13"/>
      <c r="L4949" s="13"/>
      <c r="M4949" s="14"/>
      <c r="N4949" s="15"/>
      <c r="O4949" s="5" t="s">
        <v>10708</v>
      </c>
      <c r="P4949" s="15"/>
      <c r="Q4949" s="15"/>
      <c r="R4949" s="422"/>
      <c r="S4949" s="15"/>
      <c r="T4949" s="15"/>
      <c r="U4949" s="15"/>
      <c r="V4949" s="15"/>
      <c r="W4949" s="15"/>
      <c r="X4949" s="15"/>
      <c r="Y4949" s="15"/>
      <c r="Z4949" s="15"/>
      <c r="AA4949" s="15"/>
    </row>
    <row r="4950">
      <c r="A4950" s="5" t="s">
        <v>19528</v>
      </c>
      <c r="B4950" s="292" t="str">
        <f>HYPERLINK("https://akshar-exim-company-pvt-ltd.odoo.com/web#id=21462&amp;action=152&amp;model=crm.lead&amp;view_type=form&amp;menu_id=111","C2010966")</f>
        <v>C2010966</v>
      </c>
      <c r="C4950" s="41" t="s">
        <v>19566</v>
      </c>
      <c r="D4950" s="11"/>
      <c r="E4950" s="11" t="s">
        <v>19567</v>
      </c>
      <c r="F4950" s="90">
        <v>20.0</v>
      </c>
      <c r="G4950" s="321"/>
      <c r="H4950" s="11" t="s">
        <v>2662</v>
      </c>
      <c r="I4950" s="276"/>
      <c r="J4950" s="11" t="s">
        <v>14563</v>
      </c>
      <c r="K4950" s="13"/>
      <c r="L4950" s="13"/>
      <c r="M4950" s="14"/>
      <c r="N4950" s="15"/>
      <c r="O4950" s="5" t="s">
        <v>10708</v>
      </c>
      <c r="P4950" s="15"/>
      <c r="Q4950" s="15"/>
      <c r="R4950" s="422"/>
      <c r="S4950" s="15"/>
      <c r="T4950" s="15"/>
      <c r="U4950" s="15"/>
      <c r="V4950" s="15"/>
      <c r="W4950" s="15"/>
      <c r="X4950" s="15"/>
      <c r="Y4950" s="15"/>
      <c r="Z4950" s="15"/>
      <c r="AA4950" s="15"/>
    </row>
    <row r="4951">
      <c r="A4951" s="5" t="s">
        <v>19528</v>
      </c>
      <c r="B4951" s="292" t="str">
        <f>HYPERLINK("https://akshar-exim-company-pvt-ltd.odoo.com/web#id=21469&amp;action=152&amp;model=crm.lead&amp;view_type=form&amp;menu_id=111","C2010965")</f>
        <v>C2010965</v>
      </c>
      <c r="C4951" s="435" t="s">
        <v>19568</v>
      </c>
      <c r="D4951" s="11"/>
      <c r="E4951" s="11" t="s">
        <v>17975</v>
      </c>
      <c r="F4951" s="90">
        <v>1.0</v>
      </c>
      <c r="G4951" s="321"/>
      <c r="H4951" s="11" t="s">
        <v>507</v>
      </c>
      <c r="I4951" s="276"/>
      <c r="J4951" s="11" t="s">
        <v>17976</v>
      </c>
      <c r="K4951" s="13"/>
      <c r="L4951" s="13"/>
      <c r="M4951" s="14"/>
      <c r="N4951" s="15"/>
      <c r="O4951" s="5" t="s">
        <v>10708</v>
      </c>
      <c r="P4951" s="15"/>
      <c r="Q4951" s="15"/>
      <c r="R4951" s="422"/>
      <c r="S4951" s="15"/>
      <c r="T4951" s="15"/>
      <c r="U4951" s="15"/>
      <c r="V4951" s="15"/>
      <c r="W4951" s="15"/>
      <c r="X4951" s="15"/>
      <c r="Y4951" s="15"/>
      <c r="Z4951" s="15"/>
      <c r="AA4951" s="15"/>
    </row>
    <row r="4952">
      <c r="A4952" s="5" t="s">
        <v>19528</v>
      </c>
      <c r="B4952" s="292" t="str">
        <f>HYPERLINK("https://akshar-exim-company-pvt-ltd.odoo.com/web#id=21477&amp;action=152&amp;model=crm.lead&amp;view_type=form&amp;menu_id=111","C2010964")</f>
        <v>C2010964</v>
      </c>
      <c r="C4952" s="41" t="s">
        <v>19569</v>
      </c>
      <c r="D4952" s="11"/>
      <c r="E4952" s="11" t="s">
        <v>19570</v>
      </c>
      <c r="F4952" s="90" t="s">
        <v>19571</v>
      </c>
      <c r="G4952" s="321"/>
      <c r="H4952" s="11" t="s">
        <v>19572</v>
      </c>
      <c r="I4952" s="276"/>
      <c r="J4952" s="11" t="s">
        <v>14608</v>
      </c>
      <c r="K4952" s="13"/>
      <c r="L4952" s="13"/>
      <c r="M4952" s="14"/>
      <c r="N4952" s="15"/>
      <c r="O4952" s="5" t="s">
        <v>10708</v>
      </c>
      <c r="P4952" s="15"/>
      <c r="Q4952" s="15"/>
      <c r="R4952" s="422"/>
      <c r="S4952" s="15"/>
      <c r="T4952" s="15"/>
      <c r="U4952" s="15"/>
      <c r="V4952" s="15"/>
      <c r="W4952" s="15"/>
      <c r="X4952" s="15"/>
      <c r="Y4952" s="15"/>
      <c r="Z4952" s="15"/>
      <c r="AA4952" s="15"/>
    </row>
    <row r="4953">
      <c r="A4953" s="5" t="s">
        <v>19528</v>
      </c>
      <c r="B4953" s="443" t="str">
        <f>HYPERLINK("https://akshar-exim-company-pvt-ltd.odoo.com/web#id=21478&amp;action=152&amp;model=crm.lead&amp;view_type=form&amp;menu_id=111","C2010963")</f>
        <v>C2010963</v>
      </c>
      <c r="C4953" s="41" t="s">
        <v>19573</v>
      </c>
      <c r="D4953" s="332"/>
      <c r="E4953" s="332" t="s">
        <v>19574</v>
      </c>
      <c r="F4953" s="328" t="s">
        <v>19575</v>
      </c>
      <c r="G4953" s="321"/>
      <c r="H4953" s="11" t="s">
        <v>906</v>
      </c>
      <c r="I4953" s="276"/>
      <c r="J4953" s="11" t="s">
        <v>25</v>
      </c>
      <c r="K4953" s="12"/>
      <c r="L4953" s="12"/>
      <c r="M4953" s="11" t="s">
        <v>19576</v>
      </c>
      <c r="N4953" s="5" t="s">
        <v>19577</v>
      </c>
      <c r="O4953" s="5" t="s">
        <v>17993</v>
      </c>
      <c r="P4953" s="15"/>
      <c r="Q4953" s="15"/>
      <c r="R4953" s="422"/>
      <c r="S4953" s="15"/>
      <c r="T4953" s="15"/>
      <c r="U4953" s="15"/>
      <c r="V4953" s="15"/>
      <c r="W4953" s="15"/>
      <c r="X4953" s="15"/>
      <c r="Y4953" s="15"/>
      <c r="Z4953" s="15"/>
      <c r="AA4953" s="15"/>
    </row>
    <row r="4954">
      <c r="A4954" s="5" t="s">
        <v>19528</v>
      </c>
      <c r="B4954" s="292" t="str">
        <f>HYPERLINK("https://akshar-exim-company-pvt-ltd.odoo.com/web#id=21479&amp;action=152&amp;model=crm.lead&amp;view_type=form&amp;menu_id=111","C2010962")</f>
        <v>C2010962</v>
      </c>
      <c r="C4954" s="41" t="s">
        <v>19578</v>
      </c>
      <c r="D4954" s="11"/>
      <c r="E4954" s="11" t="s">
        <v>10433</v>
      </c>
      <c r="F4954" s="90">
        <v>1.0</v>
      </c>
      <c r="G4954" s="321"/>
      <c r="H4954" s="11" t="s">
        <v>906</v>
      </c>
      <c r="I4954" s="276"/>
      <c r="J4954" s="11" t="s">
        <v>13956</v>
      </c>
      <c r="K4954" s="13"/>
      <c r="L4954" s="13"/>
      <c r="M4954" s="14"/>
      <c r="N4954" s="15"/>
      <c r="O4954" s="5" t="s">
        <v>10708</v>
      </c>
      <c r="P4954" s="15"/>
      <c r="Q4954" s="15"/>
      <c r="R4954" s="422"/>
      <c r="S4954" s="15"/>
      <c r="T4954" s="15"/>
      <c r="U4954" s="15"/>
      <c r="V4954" s="15"/>
      <c r="W4954" s="15"/>
      <c r="X4954" s="15"/>
      <c r="Y4954" s="15"/>
      <c r="Z4954" s="15"/>
      <c r="AA4954" s="15"/>
    </row>
    <row r="4955">
      <c r="A4955" s="5" t="s">
        <v>19579</v>
      </c>
      <c r="B4955" s="292" t="str">
        <f>HYPERLINK("https://akshar-exim-company-pvt-ltd.odoo.com/web#id=21419&amp;action=152&amp;model=crm.lead&amp;view_type=form&amp;menu_id=111","C2010961")</f>
        <v>C2010961</v>
      </c>
      <c r="C4955" s="41" t="s">
        <v>19580</v>
      </c>
      <c r="D4955" s="11"/>
      <c r="E4955" s="11" t="s">
        <v>5756</v>
      </c>
      <c r="F4955" s="90">
        <v>100.0</v>
      </c>
      <c r="G4955" s="321"/>
      <c r="H4955" s="11" t="s">
        <v>44</v>
      </c>
      <c r="I4955" s="276"/>
      <c r="J4955" s="11" t="s">
        <v>17976</v>
      </c>
      <c r="K4955" s="13"/>
      <c r="L4955" s="13"/>
      <c r="M4955" s="14"/>
      <c r="N4955" s="15"/>
      <c r="O4955" s="5" t="s">
        <v>10708</v>
      </c>
      <c r="P4955" s="15"/>
      <c r="Q4955" s="15"/>
      <c r="R4955" s="422"/>
      <c r="S4955" s="15"/>
      <c r="T4955" s="15"/>
      <c r="U4955" s="15"/>
      <c r="V4955" s="15"/>
      <c r="W4955" s="15"/>
      <c r="X4955" s="15"/>
      <c r="Y4955" s="15"/>
      <c r="Z4955" s="15"/>
      <c r="AA4955" s="15"/>
    </row>
    <row r="4956">
      <c r="A4956" s="5" t="s">
        <v>19579</v>
      </c>
      <c r="B4956" s="292" t="str">
        <f>HYPERLINK("https://akshar-exim-company-pvt-ltd.odoo.com/web#id=21415&amp;action=152&amp;model=crm.lead&amp;view_type=form&amp;menu_id=111","C2010960")</f>
        <v>C2010960</v>
      </c>
      <c r="C4956" s="41" t="s">
        <v>19581</v>
      </c>
      <c r="D4956" s="11"/>
      <c r="E4956" s="11" t="s">
        <v>152</v>
      </c>
      <c r="F4956" s="90">
        <v>10.0</v>
      </c>
      <c r="G4956" s="321"/>
      <c r="H4956" s="11" t="s">
        <v>44</v>
      </c>
      <c r="I4956" s="276"/>
      <c r="J4956" s="11" t="s">
        <v>25</v>
      </c>
      <c r="K4956" s="13"/>
      <c r="L4956" s="13"/>
      <c r="M4956" s="14"/>
      <c r="N4956" s="15"/>
      <c r="O4956" s="5" t="s">
        <v>10708</v>
      </c>
      <c r="P4956" s="15"/>
      <c r="Q4956" s="15"/>
      <c r="R4956" s="422"/>
      <c r="S4956" s="15"/>
      <c r="T4956" s="15"/>
      <c r="U4956" s="15"/>
      <c r="V4956" s="15"/>
      <c r="W4956" s="15"/>
      <c r="X4956" s="15"/>
      <c r="Y4956" s="15"/>
      <c r="Z4956" s="15"/>
      <c r="AA4956" s="15"/>
    </row>
    <row r="4957">
      <c r="A4957" s="5" t="s">
        <v>19579</v>
      </c>
      <c r="B4957" s="292" t="str">
        <f>HYPERLINK("https://akshar-exim-company-pvt-ltd.odoo.com/web#id=21408&amp;action=152&amp;model=crm.lead&amp;view_type=form&amp;menu_id=111","C2010959")</f>
        <v>C2010959</v>
      </c>
      <c r="C4957" s="41" t="s">
        <v>2389</v>
      </c>
      <c r="D4957" s="11"/>
      <c r="E4957" s="11" t="s">
        <v>6042</v>
      </c>
      <c r="F4957" s="90">
        <v>5.0</v>
      </c>
      <c r="G4957" s="321"/>
      <c r="H4957" s="11" t="s">
        <v>514</v>
      </c>
      <c r="I4957" s="276"/>
      <c r="J4957" s="11" t="s">
        <v>25</v>
      </c>
      <c r="K4957" s="13"/>
      <c r="L4957" s="13"/>
      <c r="M4957" s="14"/>
      <c r="N4957" s="15"/>
      <c r="O4957" s="5" t="s">
        <v>10708</v>
      </c>
      <c r="P4957" s="15"/>
      <c r="Q4957" s="15"/>
      <c r="R4957" s="422"/>
      <c r="S4957" s="15"/>
      <c r="T4957" s="15"/>
      <c r="U4957" s="15"/>
      <c r="V4957" s="15"/>
      <c r="W4957" s="15"/>
      <c r="X4957" s="15"/>
      <c r="Y4957" s="15"/>
      <c r="Z4957" s="15"/>
      <c r="AA4957" s="15"/>
    </row>
    <row r="4958">
      <c r="A4958" s="5" t="s">
        <v>19579</v>
      </c>
      <c r="B4958" s="292" t="str">
        <f>HYPERLINK("https://akshar-exim-company-pvt-ltd.odoo.com/web#id=21405&amp;action=152&amp;model=crm.lead&amp;view_type=form&amp;menu_id=111","C2010958")</f>
        <v>C2010958</v>
      </c>
      <c r="C4958" s="40" t="s">
        <v>19582</v>
      </c>
      <c r="D4958" s="11"/>
      <c r="E4958" s="11" t="s">
        <v>1280</v>
      </c>
      <c r="F4958" s="90">
        <v>50.0</v>
      </c>
      <c r="G4958" s="321"/>
      <c r="H4958" s="11" t="s">
        <v>44</v>
      </c>
      <c r="I4958" s="276"/>
      <c r="J4958" s="11" t="s">
        <v>19583</v>
      </c>
      <c r="K4958" s="13"/>
      <c r="L4958" s="13"/>
      <c r="M4958" s="14"/>
      <c r="N4958" s="15"/>
      <c r="O4958" s="5" t="s">
        <v>10708</v>
      </c>
      <c r="P4958" s="15"/>
      <c r="Q4958" s="15"/>
      <c r="R4958" s="422"/>
      <c r="S4958" s="15"/>
      <c r="T4958" s="15"/>
      <c r="U4958" s="15"/>
      <c r="V4958" s="15"/>
      <c r="W4958" s="15"/>
      <c r="X4958" s="15"/>
      <c r="Y4958" s="15"/>
      <c r="Z4958" s="15"/>
      <c r="AA4958" s="15"/>
    </row>
    <row r="4959">
      <c r="A4959" s="5" t="s">
        <v>19579</v>
      </c>
      <c r="B4959" s="292" t="str">
        <f>HYPERLINK("https://akshar-exim-company-pvt-ltd.odoo.com/web#id=21404&amp;action=152&amp;model=crm.lead&amp;view_type=form&amp;menu_id=111","C2010957")</f>
        <v>C2010957</v>
      </c>
      <c r="C4959" s="41" t="s">
        <v>19584</v>
      </c>
      <c r="D4959" s="405"/>
      <c r="E4959" s="405" t="s">
        <v>9050</v>
      </c>
      <c r="F4959" s="90">
        <v>60.0</v>
      </c>
      <c r="G4959" s="321"/>
      <c r="H4959" s="11" t="s">
        <v>1663</v>
      </c>
      <c r="I4959" s="423"/>
      <c r="J4959" s="14"/>
      <c r="K4959" s="13"/>
      <c r="L4959" s="13"/>
      <c r="M4959" s="14"/>
      <c r="N4959" s="15"/>
      <c r="O4959" s="5" t="s">
        <v>10708</v>
      </c>
      <c r="P4959" s="15"/>
      <c r="Q4959" s="15"/>
      <c r="R4959" s="422"/>
      <c r="S4959" s="15"/>
      <c r="T4959" s="15"/>
      <c r="U4959" s="15"/>
      <c r="V4959" s="15"/>
      <c r="W4959" s="15"/>
      <c r="X4959" s="15"/>
      <c r="Y4959" s="15"/>
      <c r="Z4959" s="15"/>
      <c r="AA4959" s="15"/>
    </row>
    <row r="4960">
      <c r="A4960" s="5" t="s">
        <v>19579</v>
      </c>
      <c r="B4960" s="292" t="str">
        <f>HYPERLINK("https://akshar-exim-company-pvt-ltd.odoo.com/web#id=21403&amp;action=152&amp;model=crm.lead&amp;view_type=form&amp;menu_id=111","C2010956")</f>
        <v>C2010956</v>
      </c>
      <c r="C4960" s="41" t="s">
        <v>19585</v>
      </c>
      <c r="D4960" s="11"/>
      <c r="E4960" s="11" t="s">
        <v>167</v>
      </c>
      <c r="F4960" s="90">
        <v>5.0</v>
      </c>
      <c r="G4960" s="321"/>
      <c r="H4960" s="11" t="s">
        <v>2662</v>
      </c>
      <c r="I4960" s="276"/>
      <c r="J4960" s="11" t="s">
        <v>25</v>
      </c>
      <c r="K4960" s="13"/>
      <c r="L4960" s="13"/>
      <c r="M4960" s="14"/>
      <c r="N4960" s="15"/>
      <c r="O4960" s="5" t="s">
        <v>10708</v>
      </c>
      <c r="P4960" s="15"/>
      <c r="Q4960" s="15"/>
      <c r="R4960" s="422"/>
      <c r="S4960" s="15"/>
      <c r="T4960" s="15"/>
      <c r="U4960" s="15"/>
      <c r="V4960" s="15"/>
      <c r="W4960" s="15"/>
      <c r="X4960" s="15"/>
      <c r="Y4960" s="15"/>
      <c r="Z4960" s="15"/>
      <c r="AA4960" s="15"/>
    </row>
    <row r="4961">
      <c r="A4961" s="5" t="s">
        <v>19579</v>
      </c>
      <c r="B4961" s="292" t="str">
        <f>HYPERLINK("https://akshar-exim-company-pvt-ltd.odoo.com/web#id=21304&amp;action=152&amp;model=crm.lead&amp;view_type=form&amp;menu_id=111","C2010955")</f>
        <v>C2010955</v>
      </c>
      <c r="C4961" s="41" t="s">
        <v>19586</v>
      </c>
      <c r="D4961" s="11"/>
      <c r="E4961" s="11" t="s">
        <v>167</v>
      </c>
      <c r="F4961" s="90">
        <v>20.0</v>
      </c>
      <c r="G4961" s="321"/>
      <c r="H4961" s="11" t="s">
        <v>3861</v>
      </c>
      <c r="I4961" s="276"/>
      <c r="J4961" s="11" t="s">
        <v>19137</v>
      </c>
      <c r="K4961" s="13"/>
      <c r="L4961" s="13"/>
      <c r="M4961" s="14"/>
      <c r="N4961" s="15"/>
      <c r="O4961" s="5" t="s">
        <v>10708</v>
      </c>
      <c r="P4961" s="15"/>
      <c r="Q4961" s="15"/>
      <c r="R4961" s="422"/>
      <c r="S4961" s="15"/>
      <c r="T4961" s="15"/>
      <c r="U4961" s="15"/>
      <c r="V4961" s="15"/>
      <c r="W4961" s="15"/>
      <c r="X4961" s="15"/>
      <c r="Y4961" s="15"/>
      <c r="Z4961" s="15"/>
      <c r="AA4961" s="15"/>
    </row>
    <row r="4962">
      <c r="A4962" s="5" t="s">
        <v>19579</v>
      </c>
      <c r="B4962" s="292" t="str">
        <f>HYPERLINK("https://akshar-exim-company-pvt-ltd.odoo.com/web#id=21399&amp;action=152&amp;model=crm.lead&amp;view_type=form&amp;menu_id=111","C2010954")</f>
        <v>C2010954</v>
      </c>
      <c r="C4962" s="41" t="s">
        <v>19587</v>
      </c>
      <c r="D4962" s="11"/>
      <c r="E4962" s="11" t="s">
        <v>9109</v>
      </c>
      <c r="F4962" s="90">
        <v>5.0</v>
      </c>
      <c r="G4962" s="321"/>
      <c r="H4962" s="11" t="s">
        <v>44</v>
      </c>
      <c r="I4962" s="423"/>
      <c r="J4962" s="14"/>
      <c r="K4962" s="13"/>
      <c r="L4962" s="13"/>
      <c r="M4962" s="14"/>
      <c r="N4962" s="15"/>
      <c r="O4962" s="5" t="s">
        <v>10708</v>
      </c>
      <c r="P4962" s="15"/>
      <c r="Q4962" s="15"/>
      <c r="R4962" s="422"/>
      <c r="S4962" s="15"/>
      <c r="T4962" s="15"/>
      <c r="U4962" s="15"/>
      <c r="V4962" s="15"/>
      <c r="W4962" s="15"/>
      <c r="X4962" s="15"/>
      <c r="Y4962" s="15"/>
      <c r="Z4962" s="15"/>
      <c r="AA4962" s="15"/>
    </row>
    <row r="4963">
      <c r="A4963" s="5" t="s">
        <v>19579</v>
      </c>
      <c r="B4963" s="292" t="str">
        <f>HYPERLINK("https://akshar-exim-company-pvt-ltd.odoo.com/web#id=21354&amp;action=152&amp;model=crm.lead&amp;view_type=form&amp;menu_id=111","C2010953")</f>
        <v>C2010953</v>
      </c>
      <c r="C4963" s="41" t="s">
        <v>19588</v>
      </c>
      <c r="D4963" s="41"/>
      <c r="E4963" s="41" t="s">
        <v>19589</v>
      </c>
      <c r="F4963" s="90">
        <v>1000.0</v>
      </c>
      <c r="G4963" s="430"/>
      <c r="H4963" s="41" t="s">
        <v>507</v>
      </c>
      <c r="I4963" s="97"/>
      <c r="J4963" s="41" t="s">
        <v>10933</v>
      </c>
      <c r="K4963" s="12"/>
      <c r="L4963" s="12"/>
      <c r="M4963" s="11" t="s">
        <v>9298</v>
      </c>
      <c r="N4963" s="5" t="s">
        <v>19590</v>
      </c>
      <c r="O4963" s="5" t="s">
        <v>17993</v>
      </c>
      <c r="P4963" s="15"/>
      <c r="Q4963" s="15"/>
      <c r="R4963" s="422"/>
      <c r="S4963" s="15"/>
      <c r="T4963" s="15"/>
      <c r="U4963" s="15"/>
      <c r="V4963" s="15"/>
      <c r="W4963" s="15"/>
      <c r="X4963" s="15"/>
      <c r="Y4963" s="15"/>
      <c r="Z4963" s="15"/>
      <c r="AA4963" s="15"/>
    </row>
    <row r="4964">
      <c r="A4964" s="5" t="s">
        <v>19579</v>
      </c>
      <c r="B4964" s="292" t="str">
        <f>HYPERLINK("https://akshar-exim-company-pvt-ltd.odoo.com/web#id=21356&amp;action=152&amp;model=crm.lead&amp;view_type=form&amp;menu_id=111","C2010952")</f>
        <v>C2010952</v>
      </c>
      <c r="C4964" s="41" t="s">
        <v>19591</v>
      </c>
      <c r="D4964" s="405"/>
      <c r="E4964" s="405" t="s">
        <v>13311</v>
      </c>
      <c r="F4964" s="9">
        <v>10000.0</v>
      </c>
      <c r="G4964" s="321"/>
      <c r="H4964" s="11" t="s">
        <v>107</v>
      </c>
      <c r="I4964" s="276"/>
      <c r="J4964" s="11" t="s">
        <v>25</v>
      </c>
      <c r="K4964" s="13"/>
      <c r="L4964" s="13"/>
      <c r="M4964" s="14"/>
      <c r="N4964" s="15"/>
      <c r="O4964" s="5" t="s">
        <v>17993</v>
      </c>
      <c r="P4964" s="15"/>
      <c r="Q4964" s="15"/>
      <c r="R4964" s="422"/>
      <c r="S4964" s="15"/>
      <c r="T4964" s="15"/>
      <c r="U4964" s="15"/>
      <c r="V4964" s="15"/>
      <c r="W4964" s="15"/>
      <c r="X4964" s="15"/>
      <c r="Y4964" s="15"/>
      <c r="Z4964" s="15"/>
      <c r="AA4964" s="15"/>
    </row>
    <row r="4965">
      <c r="A4965" s="5" t="s">
        <v>19579</v>
      </c>
      <c r="B4965" s="292" t="str">
        <f>HYPERLINK("https://akshar-exim-company-pvt-ltd.odoo.com/web#id=21368&amp;action=152&amp;model=crm.lead&amp;view_type=form&amp;menu_id=111","C2010951")</f>
        <v>C2010951</v>
      </c>
      <c r="C4965" s="41" t="s">
        <v>19592</v>
      </c>
      <c r="D4965" s="11"/>
      <c r="E4965" s="11" t="s">
        <v>19593</v>
      </c>
      <c r="F4965" s="90">
        <v>500.0</v>
      </c>
      <c r="G4965" s="321"/>
      <c r="H4965" s="11" t="s">
        <v>44</v>
      </c>
      <c r="I4965" s="276"/>
      <c r="J4965" s="11" t="s">
        <v>17976</v>
      </c>
      <c r="K4965" s="13"/>
      <c r="L4965" s="13"/>
      <c r="M4965" s="14"/>
      <c r="N4965" s="15"/>
      <c r="O4965" s="5" t="s">
        <v>1112</v>
      </c>
      <c r="P4965" s="15"/>
      <c r="Q4965" s="15"/>
      <c r="R4965" s="422"/>
      <c r="S4965" s="15"/>
      <c r="T4965" s="15"/>
      <c r="U4965" s="15"/>
      <c r="V4965" s="15"/>
      <c r="W4965" s="15"/>
      <c r="X4965" s="15"/>
      <c r="Y4965" s="15"/>
      <c r="Z4965" s="15"/>
      <c r="AA4965" s="15"/>
    </row>
    <row r="4966">
      <c r="A4966" s="5" t="s">
        <v>19579</v>
      </c>
      <c r="B4966" s="292" t="str">
        <f>HYPERLINK("https://akshar-exim-company-pvt-ltd.odoo.com/web#id=21373&amp;action=152&amp;model=crm.lead&amp;view_type=form&amp;menu_id=111","C2010950")</f>
        <v>C2010950</v>
      </c>
      <c r="C4966" s="41" t="s">
        <v>19594</v>
      </c>
      <c r="D4966" s="11"/>
      <c r="E4966" s="11" t="s">
        <v>19595</v>
      </c>
      <c r="F4966" s="90">
        <v>5000.0</v>
      </c>
      <c r="G4966" s="321"/>
      <c r="H4966" s="11" t="s">
        <v>131</v>
      </c>
      <c r="I4966" s="276"/>
      <c r="J4966" s="11" t="s">
        <v>17976</v>
      </c>
      <c r="K4966" s="12"/>
      <c r="L4966" s="12"/>
      <c r="M4966" s="11" t="s">
        <v>8782</v>
      </c>
      <c r="N4966" s="5" t="s">
        <v>19596</v>
      </c>
      <c r="O4966" s="5" t="s">
        <v>10708</v>
      </c>
      <c r="P4966" s="15"/>
      <c r="Q4966" s="15"/>
      <c r="R4966" s="422"/>
      <c r="S4966" s="15"/>
      <c r="T4966" s="15"/>
      <c r="U4966" s="15"/>
      <c r="V4966" s="15"/>
      <c r="W4966" s="15"/>
      <c r="X4966" s="15"/>
      <c r="Y4966" s="15"/>
      <c r="Z4966" s="15"/>
      <c r="AA4966" s="15"/>
    </row>
    <row r="4967">
      <c r="A4967" s="5" t="s">
        <v>19579</v>
      </c>
      <c r="B4967" s="292" t="str">
        <f>HYPERLINK("https://akshar-exim-company-pvt-ltd.odoo.com/web#id=21392&amp;action=152&amp;model=crm.lead&amp;view_type=form&amp;menu_id=111","C2010949")</f>
        <v>C2010949</v>
      </c>
      <c r="C4967" s="41" t="s">
        <v>19597</v>
      </c>
      <c r="D4967" s="11"/>
      <c r="E4967" s="11" t="s">
        <v>9648</v>
      </c>
      <c r="F4967" s="433"/>
      <c r="G4967" s="434"/>
      <c r="H4967" s="14"/>
      <c r="I4967" s="423"/>
      <c r="J4967" s="14"/>
      <c r="K4967" s="13"/>
      <c r="L4967" s="13"/>
      <c r="M4967" s="14"/>
      <c r="N4967" s="15"/>
      <c r="O4967" s="15"/>
      <c r="P4967" s="15"/>
      <c r="Q4967" s="15"/>
      <c r="R4967" s="422"/>
      <c r="S4967" s="15"/>
      <c r="T4967" s="15"/>
      <c r="U4967" s="15"/>
      <c r="V4967" s="15"/>
      <c r="W4967" s="15"/>
      <c r="X4967" s="15"/>
      <c r="Y4967" s="15"/>
      <c r="Z4967" s="15"/>
      <c r="AA4967" s="15"/>
    </row>
    <row r="4968">
      <c r="A4968" s="5" t="s">
        <v>19579</v>
      </c>
      <c r="B4968" s="292" t="str">
        <f>HYPERLINK("https://akshar-exim-company-pvt-ltd.odoo.com/web#id=21394&amp;action=152&amp;model=crm.lead&amp;view_type=form&amp;menu_id=111","C2010948")</f>
        <v>C2010948</v>
      </c>
      <c r="C4968" s="41" t="s">
        <v>1992</v>
      </c>
      <c r="D4968" s="41"/>
      <c r="E4968" s="41" t="s">
        <v>2429</v>
      </c>
      <c r="F4968" s="90">
        <v>5000.0</v>
      </c>
      <c r="G4968" s="321"/>
      <c r="H4968" s="11" t="s">
        <v>19598</v>
      </c>
      <c r="I4968" s="276"/>
      <c r="J4968" s="11" t="s">
        <v>25</v>
      </c>
      <c r="K4968" s="12"/>
      <c r="L4968" s="12"/>
      <c r="M4968" s="11" t="s">
        <v>10119</v>
      </c>
      <c r="N4968" s="5" t="s">
        <v>19599</v>
      </c>
      <c r="O4968" s="5" t="s">
        <v>13963</v>
      </c>
      <c r="P4968" s="15"/>
      <c r="Q4968" s="15"/>
      <c r="R4968" s="422"/>
      <c r="S4968" s="15"/>
      <c r="T4968" s="15"/>
      <c r="U4968" s="15"/>
      <c r="V4968" s="15"/>
      <c r="W4968" s="15"/>
      <c r="X4968" s="15"/>
      <c r="Y4968" s="15"/>
      <c r="Z4968" s="15"/>
      <c r="AA4968" s="15"/>
    </row>
    <row r="4969">
      <c r="A4969" s="444" t="s">
        <v>19579</v>
      </c>
      <c r="B4969" s="445" t="str">
        <f>HYPERLINK("https://akshar-exim-company-pvt-ltd.odoo.com/web#id=21386&amp;action=152&amp;model=crm.lead&amp;view_type=form&amp;menu_id=111","C2010947")</f>
        <v>C2010947</v>
      </c>
      <c r="C4969" s="396" t="s">
        <v>19600</v>
      </c>
      <c r="D4969" s="396"/>
      <c r="E4969" s="396" t="s">
        <v>19601</v>
      </c>
      <c r="F4969" s="148">
        <v>7000.0</v>
      </c>
      <c r="G4969" s="446"/>
      <c r="H4969" s="146" t="s">
        <v>44</v>
      </c>
      <c r="I4969" s="391"/>
      <c r="J4969" s="146" t="s">
        <v>19602</v>
      </c>
      <c r="K4969" s="447"/>
      <c r="L4969" s="447"/>
      <c r="M4969" s="146" t="s">
        <v>19603</v>
      </c>
      <c r="N4969" s="444" t="s">
        <v>19604</v>
      </c>
      <c r="O4969" s="444" t="s">
        <v>34</v>
      </c>
      <c r="P4969" s="15"/>
      <c r="Q4969" s="15"/>
      <c r="R4969" s="422"/>
      <c r="S4969" s="15"/>
      <c r="T4969" s="15"/>
      <c r="U4969" s="15"/>
      <c r="V4969" s="15"/>
      <c r="W4969" s="15"/>
      <c r="X4969" s="15"/>
      <c r="Y4969" s="15"/>
      <c r="Z4969" s="15"/>
      <c r="AA4969" s="15"/>
    </row>
    <row r="4970">
      <c r="A4970" s="5" t="s">
        <v>19579</v>
      </c>
      <c r="B4970" s="292" t="str">
        <f>HYPERLINK("https://akshar-exim-company-pvt-ltd.odoo.com/web#id=21390&amp;action=152&amp;model=crm.lead&amp;view_type=form&amp;menu_id=111","C2010946")</f>
        <v>C2010946</v>
      </c>
      <c r="C4970" s="41" t="s">
        <v>19605</v>
      </c>
      <c r="D4970" s="41"/>
      <c r="E4970" s="41" t="s">
        <v>19606</v>
      </c>
      <c r="F4970" s="9">
        <v>2750000.0</v>
      </c>
      <c r="G4970" s="321"/>
      <c r="H4970" s="11" t="s">
        <v>44</v>
      </c>
      <c r="I4970" s="276"/>
      <c r="J4970" s="11" t="s">
        <v>12314</v>
      </c>
      <c r="K4970" s="12"/>
      <c r="L4970" s="12"/>
      <c r="M4970" s="11" t="s">
        <v>9034</v>
      </c>
      <c r="N4970" s="5" t="s">
        <v>19607</v>
      </c>
      <c r="O4970" s="5" t="s">
        <v>13963</v>
      </c>
      <c r="P4970" s="15"/>
      <c r="Q4970" s="15"/>
      <c r="R4970" s="422"/>
      <c r="S4970" s="15"/>
      <c r="T4970" s="15"/>
      <c r="U4970" s="15"/>
      <c r="V4970" s="15"/>
      <c r="W4970" s="15"/>
      <c r="X4970" s="15"/>
      <c r="Y4970" s="15"/>
      <c r="Z4970" s="15"/>
      <c r="AA4970" s="15"/>
    </row>
    <row r="4971">
      <c r="A4971" s="5" t="s">
        <v>19579</v>
      </c>
      <c r="B4971" s="292" t="str">
        <f>HYPERLINK("https://akshar-exim-company-pvt-ltd.odoo.com/web#id=21388&amp;action=152&amp;model=crm.lead&amp;view_type=form&amp;menu_id=111","C2010945")</f>
        <v>C2010945</v>
      </c>
      <c r="C4971" s="424" t="s">
        <v>19608</v>
      </c>
      <c r="D4971" s="11"/>
      <c r="E4971" s="11" t="s">
        <v>17908</v>
      </c>
      <c r="F4971" s="9">
        <v>10000.0</v>
      </c>
      <c r="G4971" s="321"/>
      <c r="H4971" s="11" t="s">
        <v>906</v>
      </c>
      <c r="I4971" s="276"/>
      <c r="J4971" s="11" t="s">
        <v>25</v>
      </c>
      <c r="K4971" s="12"/>
      <c r="L4971" s="12"/>
      <c r="M4971" s="11" t="s">
        <v>9298</v>
      </c>
      <c r="N4971" s="5" t="s">
        <v>19609</v>
      </c>
      <c r="O4971" s="5" t="s">
        <v>17993</v>
      </c>
      <c r="P4971" s="15"/>
      <c r="Q4971" s="15"/>
      <c r="R4971" s="422"/>
      <c r="S4971" s="15"/>
      <c r="T4971" s="15"/>
      <c r="U4971" s="15"/>
      <c r="V4971" s="15"/>
      <c r="W4971" s="15"/>
      <c r="X4971" s="15"/>
      <c r="Y4971" s="15"/>
      <c r="Z4971" s="15"/>
      <c r="AA4971" s="15"/>
    </row>
    <row r="4972">
      <c r="A4972" s="5" t="s">
        <v>19579</v>
      </c>
      <c r="B4972" s="292" t="str">
        <f>HYPERLINK("https://akshar-exim-company-pvt-ltd.odoo.com/web#id=21384&amp;action=152&amp;model=crm.lead&amp;view_type=form&amp;menu_id=111","C2010944")</f>
        <v>C2010944</v>
      </c>
      <c r="C4972" s="424" t="s">
        <v>19610</v>
      </c>
      <c r="D4972" s="11"/>
      <c r="E4972" s="11" t="s">
        <v>5203</v>
      </c>
      <c r="F4972" s="9">
        <v>50000.0</v>
      </c>
      <c r="G4972" s="321"/>
      <c r="H4972" s="11" t="s">
        <v>19611</v>
      </c>
      <c r="I4972" s="276"/>
      <c r="J4972" s="11" t="s">
        <v>25</v>
      </c>
      <c r="K4972" s="12"/>
      <c r="L4972" s="12"/>
      <c r="M4972" s="11" t="s">
        <v>7820</v>
      </c>
      <c r="N4972" s="5" t="s">
        <v>19612</v>
      </c>
      <c r="O4972" s="5" t="s">
        <v>13963</v>
      </c>
      <c r="P4972" s="15"/>
      <c r="Q4972" s="15"/>
      <c r="R4972" s="422"/>
      <c r="S4972" s="15"/>
      <c r="T4972" s="15"/>
      <c r="U4972" s="15"/>
      <c r="V4972" s="15"/>
      <c r="W4972" s="15"/>
      <c r="X4972" s="15"/>
      <c r="Y4972" s="15"/>
      <c r="Z4972" s="15"/>
      <c r="AA4972" s="15"/>
    </row>
    <row r="4973">
      <c r="A4973" s="5" t="s">
        <v>19579</v>
      </c>
      <c r="B4973" s="292" t="str">
        <f>HYPERLINK("https://akshar-exim-company-pvt-ltd.odoo.com/web#id=21380&amp;action=152&amp;model=crm.lead&amp;view_type=form&amp;menu_id=111","C2010943")</f>
        <v>C2010943</v>
      </c>
      <c r="C4973" s="41" t="s">
        <v>19613</v>
      </c>
      <c r="D4973" s="41"/>
      <c r="E4973" s="41" t="s">
        <v>3073</v>
      </c>
      <c r="F4973" s="433"/>
      <c r="G4973" s="434"/>
      <c r="H4973" s="14"/>
      <c r="I4973" s="423"/>
      <c r="J4973" s="14"/>
      <c r="K4973" s="13"/>
      <c r="L4973" s="13"/>
      <c r="M4973" s="14"/>
      <c r="N4973" s="15"/>
      <c r="O4973" s="15"/>
      <c r="P4973" s="15"/>
      <c r="Q4973" s="15"/>
      <c r="R4973" s="422"/>
      <c r="S4973" s="15"/>
      <c r="T4973" s="15"/>
      <c r="U4973" s="15"/>
      <c r="V4973" s="15"/>
      <c r="W4973" s="15"/>
      <c r="X4973" s="15"/>
      <c r="Y4973" s="15"/>
      <c r="Z4973" s="15"/>
      <c r="AA4973" s="15"/>
    </row>
    <row r="4974">
      <c r="A4974" s="5" t="s">
        <v>19579</v>
      </c>
      <c r="B4974" s="292" t="str">
        <f>HYPERLINK("https://akshar-exim-company-pvt-ltd.odoo.com/web#id=21382&amp;action=152&amp;model=crm.lead&amp;view_type=form&amp;menu_id=111","C2010942")</f>
        <v>C2010942</v>
      </c>
      <c r="C4974" s="41" t="s">
        <v>19614</v>
      </c>
      <c r="D4974" s="11"/>
      <c r="E4974" s="11" t="s">
        <v>152</v>
      </c>
      <c r="F4974" s="90">
        <v>10.0</v>
      </c>
      <c r="G4974" s="321"/>
      <c r="H4974" s="11" t="s">
        <v>2682</v>
      </c>
      <c r="I4974" s="276"/>
      <c r="J4974" s="11" t="s">
        <v>9536</v>
      </c>
      <c r="K4974" s="13"/>
      <c r="L4974" s="13"/>
      <c r="M4974" s="14"/>
      <c r="N4974" s="15"/>
      <c r="O4974" s="5" t="s">
        <v>10708</v>
      </c>
      <c r="P4974" s="15"/>
      <c r="Q4974" s="15"/>
      <c r="R4974" s="422"/>
      <c r="S4974" s="15"/>
      <c r="T4974" s="15"/>
      <c r="U4974" s="15"/>
      <c r="V4974" s="15"/>
      <c r="W4974" s="15"/>
      <c r="X4974" s="15"/>
      <c r="Y4974" s="15"/>
      <c r="Z4974" s="15"/>
      <c r="AA4974" s="15"/>
    </row>
    <row r="4975">
      <c r="A4975" s="5" t="s">
        <v>19579</v>
      </c>
      <c r="B4975" s="292" t="str">
        <f>HYPERLINK("https://akshar-exim-company-pvt-ltd.odoo.com/web#id=21371&amp;action=152&amp;model=crm.lead&amp;view_type=form&amp;menu_id=111","C2010941")</f>
        <v>C2010941</v>
      </c>
      <c r="C4975" s="41" t="s">
        <v>19615</v>
      </c>
      <c r="D4975" s="405"/>
      <c r="E4975" s="405" t="s">
        <v>11279</v>
      </c>
      <c r="F4975" s="90">
        <v>1.0</v>
      </c>
      <c r="G4975" s="321"/>
      <c r="H4975" s="11" t="s">
        <v>107</v>
      </c>
      <c r="I4975" s="276"/>
      <c r="J4975" s="11" t="s">
        <v>14563</v>
      </c>
      <c r="K4975" s="13"/>
      <c r="L4975" s="13"/>
      <c r="M4975" s="14"/>
      <c r="N4975" s="15"/>
      <c r="O4975" s="5" t="s">
        <v>10708</v>
      </c>
      <c r="P4975" s="15"/>
      <c r="Q4975" s="15"/>
      <c r="R4975" s="422"/>
      <c r="S4975" s="15"/>
      <c r="T4975" s="15"/>
      <c r="U4975" s="15"/>
      <c r="V4975" s="15"/>
      <c r="W4975" s="15"/>
      <c r="X4975" s="15"/>
      <c r="Y4975" s="15"/>
      <c r="Z4975" s="15"/>
      <c r="AA4975" s="15"/>
    </row>
    <row r="4976">
      <c r="A4976" s="5" t="s">
        <v>19579</v>
      </c>
      <c r="B4976" s="292" t="str">
        <f>HYPERLINK("https://akshar-exim-company-pvt-ltd.odoo.com/web#id=21375&amp;action=152&amp;model=crm.lead&amp;view_type=form&amp;menu_id=111","C2010940")</f>
        <v>C2010940</v>
      </c>
      <c r="C4976" s="41" t="s">
        <v>19616</v>
      </c>
      <c r="D4976" s="41"/>
      <c r="E4976" s="41" t="s">
        <v>10377</v>
      </c>
      <c r="F4976" s="90" t="s">
        <v>19617</v>
      </c>
      <c r="G4976" s="321"/>
      <c r="H4976" s="11" t="s">
        <v>14534</v>
      </c>
      <c r="I4976" s="276"/>
      <c r="J4976" s="11" t="s">
        <v>19137</v>
      </c>
      <c r="K4976" s="13"/>
      <c r="L4976" s="13"/>
      <c r="M4976" s="14"/>
      <c r="N4976" s="15"/>
      <c r="O4976" s="5" t="s">
        <v>17993</v>
      </c>
      <c r="P4976" s="15"/>
      <c r="Q4976" s="15"/>
      <c r="R4976" s="422"/>
      <c r="S4976" s="15"/>
      <c r="T4976" s="15"/>
      <c r="U4976" s="15"/>
      <c r="V4976" s="15"/>
      <c r="W4976" s="15"/>
      <c r="X4976" s="15"/>
      <c r="Y4976" s="15"/>
      <c r="Z4976" s="15"/>
      <c r="AA4976" s="15"/>
    </row>
    <row r="4977">
      <c r="A4977" s="5" t="s">
        <v>19618</v>
      </c>
      <c r="B4977" s="292" t="str">
        <f>HYPERLINK("https://akshar-exim-company-pvt-ltd.odoo.com/web#id=21367&amp;action=152&amp;model=crm.lead&amp;view_type=form&amp;menu_id=111","C2010939")</f>
        <v>C2010939</v>
      </c>
      <c r="C4977" s="41" t="s">
        <v>17681</v>
      </c>
      <c r="D4977" s="11"/>
      <c r="E4977" s="11" t="s">
        <v>11748</v>
      </c>
      <c r="F4977" s="9">
        <v>10000.0</v>
      </c>
      <c r="G4977" s="321"/>
      <c r="H4977" s="11" t="s">
        <v>19392</v>
      </c>
      <c r="I4977" s="276"/>
      <c r="J4977" s="11" t="s">
        <v>7221</v>
      </c>
      <c r="K4977" s="12"/>
      <c r="L4977" s="12"/>
      <c r="M4977" s="11" t="s">
        <v>18665</v>
      </c>
      <c r="N4977" s="5" t="s">
        <v>19619</v>
      </c>
      <c r="O4977" s="5" t="s">
        <v>19620</v>
      </c>
      <c r="P4977" s="15"/>
      <c r="Q4977" s="15"/>
      <c r="R4977" s="422"/>
      <c r="S4977" s="15"/>
      <c r="T4977" s="15"/>
      <c r="U4977" s="15"/>
      <c r="V4977" s="15"/>
      <c r="W4977" s="15"/>
      <c r="X4977" s="15"/>
      <c r="Y4977" s="15"/>
      <c r="Z4977" s="15"/>
      <c r="AA4977" s="15"/>
    </row>
    <row r="4978">
      <c r="A4978" s="5" t="s">
        <v>19618</v>
      </c>
      <c r="B4978" s="292" t="str">
        <f>HYPERLINK("https://akshar-exim-company-pvt-ltd.odoo.com/web#id=21357&amp;action=152&amp;model=crm.lead&amp;view_type=form&amp;menu_id=111","C2010938")</f>
        <v>C2010938</v>
      </c>
      <c r="C4978" s="41" t="s">
        <v>19621</v>
      </c>
      <c r="D4978" s="11"/>
      <c r="E4978" s="11" t="s">
        <v>152</v>
      </c>
      <c r="F4978" s="9">
        <v>50000.0</v>
      </c>
      <c r="G4978" s="321"/>
      <c r="H4978" s="11" t="s">
        <v>507</v>
      </c>
      <c r="I4978" s="276"/>
      <c r="J4978" s="11" t="s">
        <v>12745</v>
      </c>
      <c r="K4978" s="12"/>
      <c r="L4978" s="12"/>
      <c r="M4978" s="11" t="s">
        <v>7718</v>
      </c>
      <c r="N4978" s="5" t="s">
        <v>19622</v>
      </c>
      <c r="O4978" s="5" t="s">
        <v>17993</v>
      </c>
      <c r="P4978" s="15"/>
      <c r="Q4978" s="15"/>
      <c r="R4978" s="422"/>
      <c r="S4978" s="15"/>
      <c r="T4978" s="15"/>
      <c r="U4978" s="15"/>
      <c r="V4978" s="15"/>
      <c r="W4978" s="15"/>
      <c r="X4978" s="15"/>
      <c r="Y4978" s="15"/>
      <c r="Z4978" s="15"/>
      <c r="AA4978" s="15"/>
    </row>
    <row r="4979">
      <c r="A4979" s="5" t="s">
        <v>19618</v>
      </c>
      <c r="B4979" s="292" t="str">
        <f>HYPERLINK("https://akshar-exim-company-pvt-ltd.odoo.com/web#id=21360&amp;action=152&amp;model=crm.lead&amp;view_type=form&amp;menu_id=111","C2010937")</f>
        <v>C2010937</v>
      </c>
      <c r="C4979" s="41" t="s">
        <v>19623</v>
      </c>
      <c r="D4979" s="405"/>
      <c r="E4979" s="405" t="s">
        <v>19624</v>
      </c>
      <c r="F4979" s="9">
        <v>500000.0</v>
      </c>
      <c r="G4979" s="321"/>
      <c r="H4979" s="11" t="s">
        <v>44</v>
      </c>
      <c r="I4979" s="276"/>
      <c r="J4979" s="11" t="s">
        <v>17976</v>
      </c>
      <c r="K4979" s="13"/>
      <c r="L4979" s="13"/>
      <c r="M4979" s="14"/>
      <c r="N4979" s="15"/>
      <c r="O4979" s="5" t="s">
        <v>1112</v>
      </c>
      <c r="P4979" s="15"/>
      <c r="Q4979" s="15"/>
      <c r="R4979" s="422"/>
      <c r="S4979" s="15"/>
      <c r="T4979" s="15"/>
      <c r="U4979" s="15"/>
      <c r="V4979" s="15"/>
      <c r="W4979" s="15"/>
      <c r="X4979" s="15"/>
      <c r="Y4979" s="15"/>
      <c r="Z4979" s="15"/>
      <c r="AA4979" s="15"/>
    </row>
    <row r="4980">
      <c r="A4980" s="5" t="s">
        <v>19618</v>
      </c>
      <c r="B4980" s="292" t="str">
        <f>HYPERLINK("https://akshar-exim-company-pvt-ltd.odoo.com/web#id=21348&amp;action=152&amp;model=crm.lead&amp;view_type=form&amp;menu_id=111","C2010936")</f>
        <v>C2010936</v>
      </c>
      <c r="C4980" s="41" t="s">
        <v>19625</v>
      </c>
      <c r="D4980" s="405"/>
      <c r="E4980" s="405" t="s">
        <v>19626</v>
      </c>
      <c r="F4980" s="90">
        <v>1000.0</v>
      </c>
      <c r="G4980" s="430"/>
      <c r="H4980" s="41" t="s">
        <v>19627</v>
      </c>
      <c r="I4980" s="276"/>
      <c r="J4980" s="11" t="s">
        <v>19628</v>
      </c>
      <c r="K4980" s="13"/>
      <c r="L4980" s="13"/>
      <c r="M4980" s="14"/>
      <c r="N4980" s="15"/>
      <c r="O4980" s="5" t="s">
        <v>17993</v>
      </c>
      <c r="P4980" s="15"/>
      <c r="Q4980" s="15"/>
      <c r="R4980" s="422"/>
      <c r="S4980" s="15"/>
      <c r="T4980" s="15"/>
      <c r="U4980" s="15"/>
      <c r="V4980" s="15"/>
      <c r="W4980" s="15"/>
      <c r="X4980" s="15"/>
      <c r="Y4980" s="15"/>
      <c r="Z4980" s="15"/>
      <c r="AA4980" s="15"/>
    </row>
    <row r="4981">
      <c r="A4981" s="5" t="s">
        <v>19618</v>
      </c>
      <c r="B4981" s="292" t="str">
        <f>HYPERLINK("https://akshar-exim-company-pvt-ltd.odoo.com/web#id=21347&amp;action=152&amp;model=crm.lead&amp;view_type=form&amp;menu_id=111","C2010935")</f>
        <v>C2010935</v>
      </c>
      <c r="C4981" s="41" t="s">
        <v>8641</v>
      </c>
      <c r="D4981" s="41"/>
      <c r="E4981" s="41" t="s">
        <v>4884</v>
      </c>
      <c r="F4981" s="9">
        <v>25000.0</v>
      </c>
      <c r="G4981" s="321"/>
      <c r="H4981" s="11" t="s">
        <v>507</v>
      </c>
      <c r="I4981" s="423"/>
      <c r="J4981" s="14"/>
      <c r="K4981" s="12"/>
      <c r="L4981" s="12"/>
      <c r="M4981" s="11" t="s">
        <v>8782</v>
      </c>
      <c r="N4981" s="5" t="s">
        <v>19629</v>
      </c>
      <c r="O4981" s="5" t="s">
        <v>10708</v>
      </c>
      <c r="P4981" s="15"/>
      <c r="Q4981" s="15"/>
      <c r="R4981" s="422"/>
      <c r="S4981" s="15"/>
      <c r="T4981" s="15"/>
      <c r="U4981" s="15"/>
      <c r="V4981" s="15"/>
      <c r="W4981" s="15"/>
      <c r="X4981" s="15"/>
      <c r="Y4981" s="15"/>
      <c r="Z4981" s="15"/>
      <c r="AA4981" s="15"/>
    </row>
    <row r="4982">
      <c r="A4982" s="5" t="s">
        <v>19618</v>
      </c>
      <c r="B4982" s="292" t="str">
        <f>HYPERLINK("https://akshar-exim-company-pvt-ltd.odoo.com/web#id=21312&amp;action=152&amp;model=crm.lead&amp;view_type=form&amp;menu_id=111","C2010934")</f>
        <v>C2010934</v>
      </c>
      <c r="C4982" s="41" t="s">
        <v>19630</v>
      </c>
      <c r="D4982" s="405"/>
      <c r="E4982" s="405" t="s">
        <v>19631</v>
      </c>
      <c r="F4982" s="90">
        <v>5000.0</v>
      </c>
      <c r="G4982" s="321"/>
      <c r="H4982" s="11" t="s">
        <v>278</v>
      </c>
      <c r="I4982" s="276"/>
      <c r="J4982" s="11" t="s">
        <v>25</v>
      </c>
      <c r="K4982" s="13"/>
      <c r="L4982" s="13"/>
      <c r="M4982" s="14"/>
      <c r="N4982" s="15"/>
      <c r="O4982" s="5" t="s">
        <v>10708</v>
      </c>
      <c r="P4982" s="15"/>
      <c r="Q4982" s="15"/>
      <c r="R4982" s="422"/>
      <c r="S4982" s="15"/>
      <c r="T4982" s="15"/>
      <c r="U4982" s="15"/>
      <c r="V4982" s="15"/>
      <c r="W4982" s="15"/>
      <c r="X4982" s="15"/>
      <c r="Y4982" s="15"/>
      <c r="Z4982" s="15"/>
      <c r="AA4982" s="15"/>
    </row>
    <row r="4983">
      <c r="A4983" s="5" t="s">
        <v>19618</v>
      </c>
      <c r="B4983" s="292" t="str">
        <f>HYPERLINK("https://akshar-exim-company-pvt-ltd.odoo.com/web#id=21345&amp;action=152&amp;model=crm.lead&amp;view_type=form&amp;menu_id=111","C2010933")</f>
        <v>C2010933</v>
      </c>
      <c r="C4983" s="41" t="s">
        <v>19632</v>
      </c>
      <c r="D4983" s="41"/>
      <c r="E4983" s="41" t="s">
        <v>5293</v>
      </c>
      <c r="F4983" s="90">
        <v>2000.0</v>
      </c>
      <c r="G4983" s="430"/>
      <c r="H4983" s="41" t="s">
        <v>6996</v>
      </c>
      <c r="I4983" s="276"/>
      <c r="J4983" s="11" t="s">
        <v>25</v>
      </c>
      <c r="K4983" s="12"/>
      <c r="L4983" s="12"/>
      <c r="M4983" s="11" t="s">
        <v>9147</v>
      </c>
      <c r="N4983" s="5" t="s">
        <v>19633</v>
      </c>
      <c r="O4983" s="5" t="s">
        <v>17993</v>
      </c>
      <c r="P4983" s="15"/>
      <c r="Q4983" s="15"/>
      <c r="R4983" s="422"/>
      <c r="S4983" s="15"/>
      <c r="T4983" s="15"/>
      <c r="U4983" s="15"/>
      <c r="V4983" s="15"/>
      <c r="W4983" s="15"/>
      <c r="X4983" s="15"/>
      <c r="Y4983" s="15"/>
      <c r="Z4983" s="15"/>
      <c r="AA4983" s="15"/>
    </row>
    <row r="4984">
      <c r="A4984" s="5" t="s">
        <v>19618</v>
      </c>
      <c r="B4984" s="292" t="str">
        <f>HYPERLINK("https://akshar-exim-company-pvt-ltd.odoo.com/web#id=21296&amp;action=152&amp;model=crm.lead&amp;view_type=form&amp;menu_id=111","C2010932")</f>
        <v>C2010932</v>
      </c>
      <c r="C4984" s="41" t="s">
        <v>11535</v>
      </c>
      <c r="D4984" s="41"/>
      <c r="E4984" s="41" t="s">
        <v>1182</v>
      </c>
      <c r="F4984" s="90">
        <v>20.0</v>
      </c>
      <c r="G4984" s="321"/>
      <c r="H4984" s="11" t="s">
        <v>906</v>
      </c>
      <c r="I4984" s="276"/>
      <c r="J4984" s="11" t="s">
        <v>25</v>
      </c>
      <c r="K4984" s="13"/>
      <c r="L4984" s="13"/>
      <c r="M4984" s="14"/>
      <c r="N4984" s="15"/>
      <c r="O4984" s="5" t="s">
        <v>10708</v>
      </c>
      <c r="P4984" s="15"/>
      <c r="Q4984" s="15"/>
      <c r="R4984" s="422"/>
      <c r="S4984" s="15"/>
      <c r="T4984" s="15"/>
      <c r="U4984" s="15"/>
      <c r="V4984" s="15"/>
      <c r="W4984" s="15"/>
      <c r="X4984" s="15"/>
      <c r="Y4984" s="15"/>
      <c r="Z4984" s="15"/>
      <c r="AA4984" s="15"/>
    </row>
    <row r="4985">
      <c r="A4985" s="5" t="s">
        <v>19618</v>
      </c>
      <c r="B4985" s="292" t="str">
        <f>HYPERLINK("https://akshar-exim-company-pvt-ltd.odoo.com/web#id=21302&amp;action=152&amp;model=crm.lead&amp;view_type=form&amp;menu_id=111","C2010931")</f>
        <v>C2010931</v>
      </c>
      <c r="C4985" s="40" t="s">
        <v>17835</v>
      </c>
      <c r="D4985" s="11"/>
      <c r="E4985" s="11" t="s">
        <v>167</v>
      </c>
      <c r="F4985" s="90">
        <v>15.0</v>
      </c>
      <c r="G4985" s="321"/>
      <c r="H4985" s="11" t="s">
        <v>3078</v>
      </c>
      <c r="I4985" s="276"/>
      <c r="J4985" s="11" t="s">
        <v>18788</v>
      </c>
      <c r="K4985" s="12"/>
      <c r="L4985" s="12"/>
      <c r="M4985" s="11"/>
      <c r="N4985" s="15"/>
      <c r="O4985" s="5" t="s">
        <v>10708</v>
      </c>
      <c r="P4985" s="15"/>
      <c r="Q4985" s="15"/>
      <c r="R4985" s="422"/>
      <c r="S4985" s="15"/>
      <c r="T4985" s="15"/>
      <c r="U4985" s="15"/>
      <c r="V4985" s="15"/>
      <c r="W4985" s="15"/>
      <c r="X4985" s="15"/>
      <c r="Y4985" s="15"/>
      <c r="Z4985" s="15"/>
      <c r="AA4985" s="15"/>
    </row>
    <row r="4986">
      <c r="A4986" s="5" t="s">
        <v>19618</v>
      </c>
      <c r="B4986" s="292" t="str">
        <f>HYPERLINK("https://akshar-exim-company-pvt-ltd.odoo.com/web#id=21309&amp;action=152&amp;model=crm.lead&amp;view_type=form&amp;menu_id=111","C2010930")</f>
        <v>C2010930</v>
      </c>
      <c r="C4986" s="41" t="s">
        <v>19634</v>
      </c>
      <c r="D4986" s="14"/>
      <c r="E4986" s="14"/>
      <c r="F4986" s="433"/>
      <c r="G4986" s="434"/>
      <c r="H4986" s="14"/>
      <c r="I4986" s="423"/>
      <c r="J4986" s="14"/>
      <c r="K4986" s="12"/>
      <c r="L4986" s="12"/>
      <c r="M4986" s="11"/>
      <c r="N4986" s="15"/>
      <c r="O4986" s="15"/>
      <c r="P4986" s="15"/>
      <c r="Q4986" s="15"/>
      <c r="R4986" s="422"/>
      <c r="S4986" s="15"/>
      <c r="T4986" s="15"/>
      <c r="U4986" s="15"/>
      <c r="V4986" s="15"/>
      <c r="W4986" s="15"/>
      <c r="X4986" s="15"/>
      <c r="Y4986" s="15"/>
      <c r="Z4986" s="15"/>
      <c r="AA4986" s="15"/>
    </row>
    <row r="4987">
      <c r="A4987" s="5" t="s">
        <v>19618</v>
      </c>
      <c r="B4987" s="292" t="str">
        <f>HYPERLINK("https://akshar-exim-company-pvt-ltd.odoo.com/web#id=21299&amp;action=152&amp;model=crm.lead&amp;view_type=form&amp;menu_id=111","C2010929")</f>
        <v>C2010929</v>
      </c>
      <c r="C4987" s="41" t="s">
        <v>19635</v>
      </c>
      <c r="D4987" s="11"/>
      <c r="E4987" s="11" t="s">
        <v>152</v>
      </c>
      <c r="F4987" s="9">
        <v>200000.0</v>
      </c>
      <c r="G4987" s="321"/>
      <c r="H4987" s="11" t="s">
        <v>2662</v>
      </c>
      <c r="I4987" s="276"/>
      <c r="J4987" s="11" t="s">
        <v>19636</v>
      </c>
      <c r="K4987" s="12"/>
      <c r="L4987" s="12"/>
      <c r="M4987" s="11" t="s">
        <v>7718</v>
      </c>
      <c r="N4987" s="5" t="s">
        <v>19637</v>
      </c>
      <c r="O4987" s="5" t="s">
        <v>17993</v>
      </c>
      <c r="P4987" s="15"/>
      <c r="Q4987" s="15"/>
      <c r="R4987" s="422"/>
      <c r="S4987" s="15"/>
      <c r="T4987" s="15"/>
      <c r="U4987" s="15"/>
      <c r="V4987" s="15"/>
      <c r="W4987" s="15"/>
      <c r="X4987" s="15"/>
      <c r="Y4987" s="15"/>
      <c r="Z4987" s="15"/>
      <c r="AA4987" s="15"/>
    </row>
    <row r="4988">
      <c r="A4988" s="5" t="s">
        <v>19618</v>
      </c>
      <c r="B4988" s="292" t="str">
        <f>HYPERLINK("https://akshar-exim-company-pvt-ltd.odoo.com/web#id=21341&amp;action=152&amp;model=crm.lead&amp;view_type=form&amp;menu_id=111","C2010928")</f>
        <v>C2010928</v>
      </c>
      <c r="C4988" s="41" t="s">
        <v>19630</v>
      </c>
      <c r="D4988" s="41"/>
      <c r="E4988" s="41" t="s">
        <v>7103</v>
      </c>
      <c r="F4988" s="90">
        <v>50.0</v>
      </c>
      <c r="G4988" s="430"/>
      <c r="H4988" s="41" t="s">
        <v>19638</v>
      </c>
      <c r="I4988" s="276"/>
      <c r="J4988" s="11" t="s">
        <v>7109</v>
      </c>
      <c r="K4988" s="13"/>
      <c r="L4988" s="13"/>
      <c r="M4988" s="14"/>
      <c r="N4988" s="15"/>
      <c r="O4988" s="5" t="s">
        <v>10708</v>
      </c>
      <c r="P4988" s="15"/>
      <c r="Q4988" s="15"/>
      <c r="R4988" s="422"/>
      <c r="S4988" s="15"/>
      <c r="T4988" s="15"/>
      <c r="U4988" s="15"/>
      <c r="V4988" s="15"/>
      <c r="W4988" s="15"/>
      <c r="X4988" s="15"/>
      <c r="Y4988" s="15"/>
      <c r="Z4988" s="15"/>
      <c r="AA4988" s="15"/>
    </row>
    <row r="4989">
      <c r="A4989" s="5" t="s">
        <v>19618</v>
      </c>
      <c r="B4989" s="292" t="str">
        <f>HYPERLINK("https://akshar-exim-company-pvt-ltd.odoo.com/web#id=21335&amp;action=152&amp;model=crm.lead&amp;view_type=form&amp;menu_id=111https://akshar-exim-company-pvt-ltd.odoo.com/web#id=21335&amp;action=152&amp;model=crm.lead&amp;view_type=form&amp;menu_id=111","C2010927")</f>
        <v>C2010927</v>
      </c>
      <c r="C4989" s="41" t="s">
        <v>19639</v>
      </c>
      <c r="D4989" s="41"/>
      <c r="E4989" s="41" t="s">
        <v>147</v>
      </c>
      <c r="F4989" s="90">
        <v>1.0</v>
      </c>
      <c r="G4989" s="321"/>
      <c r="H4989" s="11" t="s">
        <v>44</v>
      </c>
      <c r="I4989" s="423"/>
      <c r="J4989" s="14"/>
      <c r="K4989" s="13"/>
      <c r="L4989" s="13"/>
      <c r="M4989" s="14"/>
      <c r="N4989" s="15"/>
      <c r="O4989" s="5" t="s">
        <v>10708</v>
      </c>
      <c r="P4989" s="15"/>
      <c r="Q4989" s="15"/>
      <c r="R4989" s="422"/>
      <c r="S4989" s="15"/>
      <c r="T4989" s="15"/>
      <c r="U4989" s="15"/>
      <c r="V4989" s="15"/>
      <c r="W4989" s="15"/>
      <c r="X4989" s="15"/>
      <c r="Y4989" s="15"/>
      <c r="Z4989" s="15"/>
      <c r="AA4989" s="15"/>
    </row>
    <row r="4990">
      <c r="A4990" s="5" t="s">
        <v>19618</v>
      </c>
      <c r="B4990" s="292" t="str">
        <f>HYPERLINK("https://akshar-exim-company-pvt-ltd.odoo.com/web#id=21337&amp;action=152&amp;model=crm.lead&amp;view_type=form&amp;menu_id=111","C2010926")</f>
        <v>C2010926</v>
      </c>
      <c r="C4990" s="41" t="s">
        <v>19640</v>
      </c>
      <c r="D4990" s="11"/>
      <c r="E4990" s="11" t="s">
        <v>9699</v>
      </c>
      <c r="F4990" s="90">
        <v>50.0</v>
      </c>
      <c r="G4990" s="321"/>
      <c r="H4990" s="11" t="s">
        <v>44</v>
      </c>
      <c r="I4990" s="423"/>
      <c r="J4990" s="14"/>
      <c r="K4990" s="13"/>
      <c r="L4990" s="13"/>
      <c r="M4990" s="14"/>
      <c r="N4990" s="15"/>
      <c r="O4990" s="5" t="s">
        <v>10708</v>
      </c>
      <c r="P4990" s="15"/>
      <c r="Q4990" s="15"/>
      <c r="R4990" s="422"/>
      <c r="S4990" s="15"/>
      <c r="T4990" s="15"/>
      <c r="U4990" s="15"/>
      <c r="V4990" s="15"/>
      <c r="W4990" s="15"/>
      <c r="X4990" s="15"/>
      <c r="Y4990" s="15"/>
      <c r="Z4990" s="15"/>
      <c r="AA4990" s="15"/>
    </row>
    <row r="4991">
      <c r="A4991" s="5" t="s">
        <v>19618</v>
      </c>
      <c r="B4991" s="292" t="str">
        <f>HYPERLINK("https://akshar-exim-company-pvt-ltd.odoo.com/web#id=21338&amp;action=152&amp;model=crm.lead&amp;view_type=form&amp;menu_id=111","C2010925")</f>
        <v>C2010925</v>
      </c>
      <c r="C4991" s="41" t="s">
        <v>19641</v>
      </c>
      <c r="D4991" s="11"/>
      <c r="E4991" s="11" t="s">
        <v>22</v>
      </c>
      <c r="F4991" s="90">
        <v>30.0</v>
      </c>
      <c r="G4991" s="321"/>
      <c r="H4991" s="11" t="s">
        <v>44</v>
      </c>
      <c r="I4991" s="276"/>
      <c r="J4991" s="11" t="s">
        <v>12790</v>
      </c>
      <c r="K4991" s="13"/>
      <c r="L4991" s="13"/>
      <c r="M4991" s="14"/>
      <c r="N4991" s="15"/>
      <c r="O4991" s="5" t="s">
        <v>10708</v>
      </c>
      <c r="P4991" s="15"/>
      <c r="Q4991" s="15"/>
      <c r="R4991" s="422"/>
      <c r="S4991" s="15"/>
      <c r="T4991" s="15"/>
      <c r="U4991" s="15"/>
      <c r="V4991" s="15"/>
      <c r="W4991" s="15"/>
      <c r="X4991" s="15"/>
      <c r="Y4991" s="15"/>
      <c r="Z4991" s="15"/>
      <c r="AA4991" s="15"/>
    </row>
    <row r="4992">
      <c r="A4992" s="5" t="s">
        <v>19618</v>
      </c>
      <c r="B4992" s="292" t="str">
        <f>HYPERLINK("https://akshar-exim-company-pvt-ltd.odoo.com/web#id=21336&amp;action=152&amp;model=crm.lead&amp;view_type=form&amp;menu_id=111","C2010924")</f>
        <v>C2010924</v>
      </c>
      <c r="C4992" s="41" t="s">
        <v>19642</v>
      </c>
      <c r="D4992" s="11"/>
      <c r="E4992" s="11" t="s">
        <v>523</v>
      </c>
      <c r="F4992" s="90">
        <v>1000.0</v>
      </c>
      <c r="G4992" s="321"/>
      <c r="H4992" s="11" t="s">
        <v>44</v>
      </c>
      <c r="I4992" s="276"/>
      <c r="J4992" s="11" t="s">
        <v>19643</v>
      </c>
      <c r="K4992" s="12"/>
      <c r="L4992" s="12"/>
      <c r="M4992" s="11" t="s">
        <v>9901</v>
      </c>
      <c r="N4992" s="5" t="s">
        <v>19644</v>
      </c>
      <c r="O4992" s="5" t="s">
        <v>564</v>
      </c>
      <c r="P4992" s="15"/>
      <c r="Q4992" s="15"/>
      <c r="R4992" s="422"/>
      <c r="S4992" s="15"/>
      <c r="T4992" s="15"/>
      <c r="U4992" s="15"/>
      <c r="V4992" s="15"/>
      <c r="W4992" s="15"/>
      <c r="X4992" s="15"/>
      <c r="Y4992" s="15"/>
      <c r="Z4992" s="15"/>
      <c r="AA4992" s="15"/>
    </row>
    <row r="4993">
      <c r="A4993" s="5" t="s">
        <v>19618</v>
      </c>
      <c r="B4993" s="292" t="str">
        <f>HYPERLINK("https://akshar-exim-company-pvt-ltd.odoo.com/web#id=21313&amp;action=152&amp;model=crm.lead&amp;view_type=form&amp;menu_id=111","C2010923")</f>
        <v>C2010923</v>
      </c>
      <c r="C4993" s="41" t="s">
        <v>19645</v>
      </c>
      <c r="D4993" s="405"/>
      <c r="E4993" s="405" t="s">
        <v>19646</v>
      </c>
      <c r="F4993" s="433"/>
      <c r="G4993" s="434"/>
      <c r="H4993" s="14"/>
      <c r="I4993" s="423"/>
      <c r="J4993" s="14"/>
      <c r="K4993" s="13"/>
      <c r="L4993" s="13"/>
      <c r="M4993" s="14"/>
      <c r="N4993" s="15"/>
      <c r="O4993" s="15"/>
      <c r="P4993" s="15"/>
      <c r="Q4993" s="15"/>
      <c r="R4993" s="422"/>
      <c r="S4993" s="15"/>
      <c r="T4993" s="15"/>
      <c r="U4993" s="15"/>
      <c r="V4993" s="15"/>
      <c r="W4993" s="15"/>
      <c r="X4993" s="15"/>
      <c r="Y4993" s="15"/>
      <c r="Z4993" s="15"/>
      <c r="AA4993" s="15"/>
    </row>
    <row r="4994">
      <c r="A4994" s="5" t="s">
        <v>19618</v>
      </c>
      <c r="B4994" s="292" t="str">
        <f>HYPERLINK("https://akshar-exim-company-pvt-ltd.odoo.com/web#id=21317&amp;action=152&amp;model=crm.lead&amp;view_type=form&amp;menu_id=111","C2010922")</f>
        <v>C2010922</v>
      </c>
      <c r="C4994" s="41" t="s">
        <v>19647</v>
      </c>
      <c r="D4994" s="405"/>
      <c r="E4994" s="405" t="s">
        <v>10293</v>
      </c>
      <c r="F4994" s="90">
        <v>1.0</v>
      </c>
      <c r="G4994" s="321"/>
      <c r="H4994" s="11" t="s">
        <v>44</v>
      </c>
      <c r="I4994" s="423"/>
      <c r="J4994" s="14"/>
      <c r="K4994" s="13"/>
      <c r="L4994" s="13"/>
      <c r="M4994" s="14"/>
      <c r="N4994" s="15"/>
      <c r="O4994" s="5" t="s">
        <v>10708</v>
      </c>
      <c r="P4994" s="15"/>
      <c r="Q4994" s="15"/>
      <c r="R4994" s="422"/>
      <c r="S4994" s="15"/>
      <c r="T4994" s="15"/>
      <c r="U4994" s="15"/>
      <c r="V4994" s="15"/>
      <c r="W4994" s="15"/>
      <c r="X4994" s="15"/>
      <c r="Y4994" s="15"/>
      <c r="Z4994" s="15"/>
      <c r="AA4994" s="15"/>
    </row>
    <row r="4995">
      <c r="A4995" s="5" t="s">
        <v>19618</v>
      </c>
      <c r="B4995" s="292" t="str">
        <f>HYPERLINK("https://akshar-exim-company-pvt-ltd.odoo.com/web#id=21333&amp;action=152&amp;model=crm.lead&amp;view_type=form&amp;menu_id=111","C2010921")</f>
        <v>C2010921</v>
      </c>
      <c r="C4995" s="41" t="s">
        <v>19648</v>
      </c>
      <c r="D4995" s="41"/>
      <c r="E4995" s="41" t="s">
        <v>19649</v>
      </c>
      <c r="F4995" s="90">
        <v>600.0</v>
      </c>
      <c r="G4995" s="321"/>
      <c r="H4995" s="11" t="s">
        <v>7815</v>
      </c>
      <c r="I4995" s="276"/>
      <c r="J4995" s="11" t="s">
        <v>25</v>
      </c>
      <c r="K4995" s="12"/>
      <c r="L4995" s="12"/>
      <c r="M4995" s="11" t="s">
        <v>11788</v>
      </c>
      <c r="N4995" s="5" t="s">
        <v>19650</v>
      </c>
      <c r="O4995" s="5" t="s">
        <v>564</v>
      </c>
      <c r="P4995" s="15"/>
      <c r="Q4995" s="15"/>
      <c r="R4995" s="422"/>
      <c r="S4995" s="15"/>
      <c r="T4995" s="15"/>
      <c r="U4995" s="15"/>
      <c r="V4995" s="15"/>
      <c r="W4995" s="15"/>
      <c r="X4995" s="15"/>
      <c r="Y4995" s="15"/>
      <c r="Z4995" s="15"/>
      <c r="AA4995" s="15"/>
    </row>
    <row r="4996">
      <c r="A4996" s="5" t="s">
        <v>19618</v>
      </c>
      <c r="B4996" s="292" t="str">
        <f>HYPERLINK("https://akshar-exim-company-pvt-ltd.odoo.com/web#id=21327&amp;action=152&amp;model=crm.lead&amp;view_type=form&amp;menu_id=111","C2010920")</f>
        <v>C2010920</v>
      </c>
      <c r="C4996" s="41" t="s">
        <v>19651</v>
      </c>
      <c r="D4996" s="41"/>
      <c r="E4996" s="41" t="s">
        <v>4229</v>
      </c>
      <c r="F4996" s="90">
        <v>4.0</v>
      </c>
      <c r="G4996" s="321"/>
      <c r="H4996" s="11" t="s">
        <v>1337</v>
      </c>
      <c r="I4996" s="276"/>
      <c r="J4996" s="11" t="s">
        <v>19652</v>
      </c>
      <c r="K4996" s="13"/>
      <c r="L4996" s="13"/>
      <c r="M4996" s="14"/>
      <c r="N4996" s="15"/>
      <c r="O4996" s="5" t="s">
        <v>10708</v>
      </c>
      <c r="P4996" s="15"/>
      <c r="Q4996" s="15"/>
      <c r="R4996" s="422"/>
      <c r="S4996" s="15"/>
      <c r="T4996" s="15"/>
      <c r="U4996" s="15"/>
      <c r="V4996" s="15"/>
      <c r="W4996" s="15"/>
      <c r="X4996" s="15"/>
      <c r="Y4996" s="15"/>
      <c r="Z4996" s="15"/>
      <c r="AA4996" s="15"/>
    </row>
    <row r="4997">
      <c r="A4997" s="5" t="s">
        <v>19618</v>
      </c>
      <c r="B4997" s="292" t="str">
        <f>HYPERLINK("https://akshar-exim-company-pvt-ltd.odoo.com/web#id=21326&amp;action=152&amp;model=crm.lead&amp;view_type=form&amp;menu_id=111","C2010919")</f>
        <v>C2010919</v>
      </c>
      <c r="C4997" s="40" t="s">
        <v>5039</v>
      </c>
      <c r="D4997" s="11"/>
      <c r="E4997" s="11" t="s">
        <v>18354</v>
      </c>
      <c r="F4997" s="90">
        <v>1000.0</v>
      </c>
      <c r="G4997" s="321"/>
      <c r="H4997" s="11" t="s">
        <v>906</v>
      </c>
      <c r="I4997" s="276"/>
      <c r="J4997" s="11" t="s">
        <v>12745</v>
      </c>
      <c r="K4997" s="12"/>
      <c r="L4997" s="12"/>
      <c r="M4997" s="11" t="s">
        <v>7928</v>
      </c>
      <c r="N4997" s="5" t="s">
        <v>19653</v>
      </c>
      <c r="O4997" s="5" t="s">
        <v>17993</v>
      </c>
      <c r="P4997" s="15"/>
      <c r="Q4997" s="15"/>
      <c r="R4997" s="422"/>
      <c r="S4997" s="15"/>
      <c r="T4997" s="15"/>
      <c r="U4997" s="15"/>
      <c r="V4997" s="15"/>
      <c r="W4997" s="15"/>
      <c r="X4997" s="15"/>
      <c r="Y4997" s="15"/>
      <c r="Z4997" s="15"/>
      <c r="AA4997" s="15"/>
    </row>
    <row r="4998">
      <c r="A4998" s="5" t="s">
        <v>19618</v>
      </c>
      <c r="B4998" s="292" t="str">
        <f>HYPERLINK("https://akshar-exim-company-pvt-ltd.odoo.com/web#id=21325&amp;action=152&amp;model=crm.lead&amp;view_type=form&amp;menu_id=111","C2010918")</f>
        <v>C2010918</v>
      </c>
      <c r="C4998" s="448" t="s">
        <v>19654</v>
      </c>
      <c r="D4998" s="449"/>
      <c r="E4998" s="449" t="s">
        <v>3918</v>
      </c>
      <c r="F4998" s="9">
        <v>10000.0</v>
      </c>
      <c r="G4998" s="321"/>
      <c r="H4998" s="11" t="s">
        <v>19655</v>
      </c>
      <c r="I4998" s="276"/>
      <c r="J4998" s="11" t="s">
        <v>17976</v>
      </c>
      <c r="K4998" s="12"/>
      <c r="L4998" s="12"/>
      <c r="M4998" s="11" t="s">
        <v>7952</v>
      </c>
      <c r="N4998" s="5" t="s">
        <v>19656</v>
      </c>
      <c r="O4998" s="5" t="s">
        <v>17993</v>
      </c>
      <c r="P4998" s="15"/>
      <c r="Q4998" s="15"/>
      <c r="R4998" s="422"/>
      <c r="S4998" s="15"/>
      <c r="T4998" s="15"/>
      <c r="U4998" s="15"/>
      <c r="V4998" s="15"/>
      <c r="W4998" s="15"/>
      <c r="X4998" s="15"/>
      <c r="Y4998" s="15"/>
      <c r="Z4998" s="15"/>
      <c r="AA4998" s="15"/>
    </row>
    <row r="4999">
      <c r="A4999" s="5" t="s">
        <v>19618</v>
      </c>
      <c r="B4999" s="292" t="str">
        <f>HYPERLINK("https://akshar-exim-company-pvt-ltd.odoo.com/web#id=21323&amp;action=152&amp;model=crm.lead&amp;view_type=form&amp;menu_id=111","C2010917")</f>
        <v>C2010917</v>
      </c>
      <c r="C4999" s="448" t="s">
        <v>18619</v>
      </c>
      <c r="D4999" s="11"/>
      <c r="E4999" s="11" t="s">
        <v>1000</v>
      </c>
      <c r="F4999" s="90">
        <v>2000.0</v>
      </c>
      <c r="G4999" s="321"/>
      <c r="H4999" s="11" t="s">
        <v>906</v>
      </c>
      <c r="I4999" s="423"/>
      <c r="J4999" s="14"/>
      <c r="K4999" s="12"/>
      <c r="L4999" s="12"/>
      <c r="M4999" s="11" t="s">
        <v>18775</v>
      </c>
      <c r="N4999" s="5" t="s">
        <v>19657</v>
      </c>
      <c r="O4999" s="5" t="s">
        <v>17993</v>
      </c>
      <c r="P4999" s="15"/>
      <c r="Q4999" s="15"/>
      <c r="R4999" s="422"/>
      <c r="S4999" s="15"/>
      <c r="T4999" s="15"/>
      <c r="U4999" s="15"/>
      <c r="V4999" s="15"/>
      <c r="W4999" s="15"/>
      <c r="X4999" s="15"/>
      <c r="Y4999" s="15"/>
      <c r="Z4999" s="15"/>
      <c r="AA4999" s="15"/>
    </row>
    <row r="5000">
      <c r="A5000" s="5" t="s">
        <v>19618</v>
      </c>
      <c r="B5000" s="292" t="str">
        <f>HYPERLINK("https://akshar-exim-company-pvt-ltd.odoo.com/web#id=21324&amp;action=152&amp;model=crm.lead&amp;view_type=form&amp;menu_id=111","C2010916")</f>
        <v>C2010916</v>
      </c>
      <c r="C5000" s="448" t="s">
        <v>19658</v>
      </c>
      <c r="D5000" s="11"/>
      <c r="E5000" s="11" t="s">
        <v>19659</v>
      </c>
      <c r="F5000" s="9">
        <v>12000.0</v>
      </c>
      <c r="G5000" s="321"/>
      <c r="H5000" s="11" t="s">
        <v>507</v>
      </c>
      <c r="I5000" s="276"/>
      <c r="J5000" s="11" t="s">
        <v>17976</v>
      </c>
      <c r="K5000" s="12"/>
      <c r="L5000" s="12"/>
      <c r="M5000" s="11" t="s">
        <v>15366</v>
      </c>
      <c r="N5000" s="5" t="s">
        <v>19660</v>
      </c>
      <c r="O5000" s="5" t="s">
        <v>17993</v>
      </c>
      <c r="P5000" s="15"/>
      <c r="Q5000" s="15"/>
      <c r="R5000" s="422"/>
      <c r="S5000" s="15"/>
      <c r="T5000" s="15"/>
      <c r="U5000" s="15"/>
      <c r="V5000" s="15"/>
      <c r="W5000" s="15"/>
      <c r="X5000" s="15"/>
      <c r="Y5000" s="15"/>
      <c r="Z5000" s="15"/>
      <c r="AA5000" s="15"/>
    </row>
    <row r="5001">
      <c r="A5001" s="5" t="s">
        <v>19618</v>
      </c>
      <c r="B5001" s="292" t="str">
        <f>HYPERLINK("https://akshar-exim-company-pvt-ltd.odoo.com/web#id=21322&amp;action=152&amp;model=crm.lead&amp;view_type=form&amp;menu_id=111","C2010915")</f>
        <v>C2010915</v>
      </c>
      <c r="C5001" s="41" t="s">
        <v>19661</v>
      </c>
      <c r="D5001" s="11"/>
      <c r="E5001" s="11" t="s">
        <v>167</v>
      </c>
      <c r="F5001" s="433"/>
      <c r="G5001" s="434"/>
      <c r="H5001" s="14"/>
      <c r="I5001" s="423"/>
      <c r="J5001" s="14"/>
      <c r="K5001" s="13"/>
      <c r="L5001" s="13"/>
      <c r="M5001" s="14"/>
      <c r="N5001" s="15"/>
      <c r="O5001" s="15"/>
      <c r="P5001" s="15"/>
      <c r="Q5001" s="15"/>
      <c r="R5001" s="422"/>
      <c r="S5001" s="15"/>
      <c r="T5001" s="15"/>
      <c r="U5001" s="15"/>
      <c r="V5001" s="15"/>
      <c r="W5001" s="15"/>
      <c r="X5001" s="15"/>
      <c r="Y5001" s="15"/>
      <c r="Z5001" s="15"/>
      <c r="AA5001" s="15"/>
    </row>
    <row r="5002">
      <c r="A5002" s="5" t="s">
        <v>19618</v>
      </c>
      <c r="B5002" s="292" t="str">
        <f>HYPERLINK("https://akshar-exim-company-pvt-ltd.odoo.com/web#id=21318&amp;action=152&amp;model=crm.lead&amp;view_type=form&amp;menu_id=111","C2010914")</f>
        <v>C2010914</v>
      </c>
      <c r="C5002" s="41" t="s">
        <v>19662</v>
      </c>
      <c r="D5002" s="41"/>
      <c r="E5002" s="41" t="s">
        <v>19663</v>
      </c>
      <c r="F5002" s="90">
        <v>5.0</v>
      </c>
      <c r="G5002" s="321"/>
      <c r="H5002" s="11" t="s">
        <v>906</v>
      </c>
      <c r="I5002" s="276"/>
      <c r="J5002" s="11" t="s">
        <v>9772</v>
      </c>
      <c r="K5002" s="13"/>
      <c r="L5002" s="13"/>
      <c r="M5002" s="14"/>
      <c r="N5002" s="15"/>
      <c r="O5002" s="5" t="s">
        <v>10708</v>
      </c>
      <c r="P5002" s="15"/>
      <c r="Q5002" s="15"/>
      <c r="R5002" s="422"/>
      <c r="S5002" s="15"/>
      <c r="T5002" s="15"/>
      <c r="U5002" s="15"/>
      <c r="V5002" s="15"/>
      <c r="W5002" s="15"/>
      <c r="X5002" s="15"/>
      <c r="Y5002" s="15"/>
      <c r="Z5002" s="15"/>
      <c r="AA5002" s="15"/>
    </row>
    <row r="5003">
      <c r="A5003" s="5" t="s">
        <v>19664</v>
      </c>
      <c r="B5003" s="292" t="str">
        <f>HYPERLINK("https://akshar-exim-company-pvt-ltd.odoo.com/web#id=21303&amp;action=152&amp;model=crm.lead&amp;view_type=form&amp;menu_id=111","C2010913")</f>
        <v>C2010913</v>
      </c>
      <c r="C5003" s="41" t="s">
        <v>19665</v>
      </c>
      <c r="D5003" s="11"/>
      <c r="E5003" s="11" t="s">
        <v>116</v>
      </c>
      <c r="F5003" s="90">
        <v>5000.0</v>
      </c>
      <c r="G5003" s="430"/>
      <c r="H5003" s="41" t="s">
        <v>19666</v>
      </c>
      <c r="I5003" s="276"/>
      <c r="J5003" s="11" t="s">
        <v>17976</v>
      </c>
      <c r="K5003" s="12"/>
      <c r="L5003" s="12"/>
      <c r="M5003" s="11" t="s">
        <v>14365</v>
      </c>
      <c r="N5003" s="5" t="s">
        <v>19667</v>
      </c>
      <c r="O5003" s="5" t="s">
        <v>17993</v>
      </c>
      <c r="P5003" s="15"/>
      <c r="Q5003" s="15"/>
      <c r="R5003" s="422"/>
      <c r="S5003" s="15"/>
      <c r="T5003" s="15"/>
      <c r="U5003" s="15"/>
      <c r="V5003" s="15"/>
      <c r="W5003" s="15"/>
      <c r="X5003" s="15"/>
      <c r="Y5003" s="15"/>
      <c r="Z5003" s="15"/>
      <c r="AA5003" s="15"/>
    </row>
    <row r="5004">
      <c r="A5004" s="5" t="s">
        <v>19664</v>
      </c>
      <c r="B5004" s="292" t="str">
        <f>HYPERLINK("https://akshar-exim-company-pvt-ltd.odoo.com/web#id=21300&amp;action=152&amp;model=crm.lead&amp;view_type=form&amp;menu_id=111","C2010912")</f>
        <v>C2010912</v>
      </c>
      <c r="C5004" s="41" t="s">
        <v>19668</v>
      </c>
      <c r="D5004" s="11"/>
      <c r="E5004" s="11" t="s">
        <v>167</v>
      </c>
      <c r="F5004" s="90">
        <v>25.0</v>
      </c>
      <c r="G5004" s="321"/>
      <c r="H5004" s="11" t="s">
        <v>3861</v>
      </c>
      <c r="I5004" s="276"/>
      <c r="J5004" s="11" t="s">
        <v>13956</v>
      </c>
      <c r="K5004" s="13"/>
      <c r="L5004" s="13"/>
      <c r="M5004" s="14"/>
      <c r="N5004" s="15"/>
      <c r="O5004" s="5" t="s">
        <v>10708</v>
      </c>
      <c r="P5004" s="15"/>
      <c r="Q5004" s="15"/>
      <c r="R5004" s="422"/>
      <c r="S5004" s="15"/>
      <c r="T5004" s="15"/>
      <c r="U5004" s="15"/>
      <c r="V5004" s="15"/>
      <c r="W5004" s="15"/>
      <c r="X5004" s="15"/>
      <c r="Y5004" s="15"/>
      <c r="Z5004" s="15"/>
      <c r="AA5004" s="15"/>
    </row>
    <row r="5005">
      <c r="A5005" s="5" t="s">
        <v>19664</v>
      </c>
      <c r="B5005" s="292" t="str">
        <f>HYPERLINK("https://akshar-exim-company-pvt-ltd.odoo.com/web#id=21298&amp;action=152&amp;model=crm.lead&amp;view_type=form&amp;menu_id=111","C2010911")</f>
        <v>C2010911</v>
      </c>
      <c r="C5005" s="41" t="s">
        <v>19669</v>
      </c>
      <c r="D5005" s="11"/>
      <c r="E5005" s="11" t="s">
        <v>4123</v>
      </c>
      <c r="F5005" s="90">
        <v>200.0</v>
      </c>
      <c r="G5005" s="430"/>
      <c r="H5005" s="41" t="s">
        <v>18881</v>
      </c>
      <c r="I5005" s="423"/>
      <c r="J5005" s="14"/>
      <c r="K5005" s="12"/>
      <c r="L5005" s="12"/>
      <c r="M5005" s="11" t="s">
        <v>10342</v>
      </c>
      <c r="N5005" s="5" t="s">
        <v>19670</v>
      </c>
      <c r="O5005" s="5" t="s">
        <v>17993</v>
      </c>
      <c r="P5005" s="15"/>
      <c r="Q5005" s="15"/>
      <c r="R5005" s="422"/>
      <c r="S5005" s="15"/>
      <c r="T5005" s="15"/>
      <c r="U5005" s="15"/>
      <c r="V5005" s="15"/>
      <c r="W5005" s="15"/>
      <c r="X5005" s="15"/>
      <c r="Y5005" s="15"/>
      <c r="Z5005" s="15"/>
      <c r="AA5005" s="15"/>
    </row>
    <row r="5006">
      <c r="A5006" s="5" t="s">
        <v>19664</v>
      </c>
      <c r="B5006" s="292" t="str">
        <f>HYPERLINK("https://akshar-exim-company-pvt-ltd.odoo.com/web#id=21297&amp;action=152&amp;model=crm.lead&amp;view_type=form&amp;menu_id=111","C2010910")</f>
        <v>C2010910</v>
      </c>
      <c r="C5006" s="40" t="s">
        <v>19671</v>
      </c>
      <c r="D5006" s="405"/>
      <c r="E5006" s="405" t="s">
        <v>7197</v>
      </c>
      <c r="F5006" s="9">
        <v>16000.0</v>
      </c>
      <c r="G5006" s="321"/>
      <c r="H5006" s="11" t="s">
        <v>19672</v>
      </c>
      <c r="I5006" s="276"/>
      <c r="J5006" s="11" t="s">
        <v>17976</v>
      </c>
      <c r="K5006" s="12"/>
      <c r="L5006" s="12"/>
      <c r="M5006" s="11" t="s">
        <v>10768</v>
      </c>
      <c r="N5006" s="5" t="s">
        <v>19673</v>
      </c>
      <c r="O5006" s="5" t="s">
        <v>13963</v>
      </c>
      <c r="P5006" s="15"/>
      <c r="Q5006" s="15"/>
      <c r="R5006" s="422"/>
      <c r="S5006" s="15"/>
      <c r="T5006" s="15"/>
      <c r="U5006" s="15"/>
      <c r="V5006" s="15"/>
      <c r="W5006" s="15"/>
      <c r="X5006" s="15"/>
      <c r="Y5006" s="15"/>
      <c r="Z5006" s="15"/>
      <c r="AA5006" s="15"/>
    </row>
    <row r="5007">
      <c r="A5007" s="5" t="s">
        <v>19664</v>
      </c>
      <c r="B5007" s="292" t="str">
        <f>HYPERLINK("https://akshar-exim-company-pvt-ltd.odoo.com/web#id=21286&amp;action=152&amp;model=crm.lead&amp;view_type=form&amp;menu_id=111","C2010909")</f>
        <v>C2010909</v>
      </c>
      <c r="C5007" s="41" t="s">
        <v>19674</v>
      </c>
      <c r="D5007" s="405"/>
      <c r="E5007" s="405" t="s">
        <v>19675</v>
      </c>
      <c r="F5007" s="90" t="s">
        <v>19676</v>
      </c>
      <c r="G5007" s="430"/>
      <c r="H5007" s="41" t="s">
        <v>7322</v>
      </c>
      <c r="I5007" s="276"/>
      <c r="J5007" s="11" t="s">
        <v>7221</v>
      </c>
      <c r="K5007" s="13"/>
      <c r="L5007" s="13"/>
      <c r="M5007" s="14"/>
      <c r="N5007" s="15"/>
      <c r="O5007" s="5" t="s">
        <v>10708</v>
      </c>
      <c r="P5007" s="15"/>
      <c r="Q5007" s="15"/>
      <c r="R5007" s="422"/>
      <c r="S5007" s="15"/>
      <c r="T5007" s="15"/>
      <c r="U5007" s="15"/>
      <c r="V5007" s="15"/>
      <c r="W5007" s="15"/>
      <c r="X5007" s="15"/>
      <c r="Y5007" s="15"/>
      <c r="Z5007" s="15"/>
      <c r="AA5007" s="15"/>
    </row>
    <row r="5008">
      <c r="A5008" s="5" t="s">
        <v>19664</v>
      </c>
      <c r="B5008" s="292" t="str">
        <f>HYPERLINK("https://akshar-exim-company-pvt-ltd.odoo.com/web#id=21287&amp;action=152&amp;model=crm.lead&amp;view_type=form&amp;menu_id=111","C2010908")</f>
        <v>C2010908</v>
      </c>
      <c r="C5008" s="41" t="s">
        <v>18315</v>
      </c>
      <c r="D5008" s="41"/>
      <c r="E5008" s="41" t="s">
        <v>19677</v>
      </c>
      <c r="F5008" s="90">
        <v>25.0</v>
      </c>
      <c r="G5008" s="430"/>
      <c r="H5008" s="41" t="s">
        <v>2682</v>
      </c>
      <c r="I5008" s="276"/>
      <c r="J5008" s="11" t="s">
        <v>18788</v>
      </c>
      <c r="K5008" s="13"/>
      <c r="L5008" s="13"/>
      <c r="M5008" s="14"/>
      <c r="N5008" s="15"/>
      <c r="O5008" s="5" t="s">
        <v>10708</v>
      </c>
      <c r="P5008" s="15"/>
      <c r="Q5008" s="15"/>
      <c r="R5008" s="422"/>
      <c r="S5008" s="15"/>
      <c r="T5008" s="15"/>
      <c r="U5008" s="15"/>
      <c r="V5008" s="15"/>
      <c r="W5008" s="15"/>
      <c r="X5008" s="15"/>
      <c r="Y5008" s="15"/>
      <c r="Z5008" s="15"/>
      <c r="AA5008" s="15"/>
    </row>
    <row r="5009">
      <c r="A5009" s="5" t="s">
        <v>19664</v>
      </c>
      <c r="B5009" s="292" t="str">
        <f>HYPERLINK("https://akshar-exim-company-pvt-ltd.odoo.com/web#id=21265&amp;action=152&amp;model=crm.lead&amp;view_type=form&amp;menu_id=111","C2010907")</f>
        <v>C2010907</v>
      </c>
      <c r="C5009" s="41" t="s">
        <v>19678</v>
      </c>
      <c r="D5009" s="11"/>
      <c r="E5009" s="11" t="s">
        <v>167</v>
      </c>
      <c r="F5009" s="90">
        <v>1000.0</v>
      </c>
      <c r="G5009" s="321"/>
      <c r="H5009" s="11" t="s">
        <v>3078</v>
      </c>
      <c r="I5009" s="276"/>
      <c r="J5009" s="11" t="s">
        <v>19679</v>
      </c>
      <c r="K5009" s="12"/>
      <c r="L5009" s="12"/>
      <c r="M5009" s="11" t="s">
        <v>10342</v>
      </c>
      <c r="N5009" s="5" t="s">
        <v>19680</v>
      </c>
      <c r="O5009" s="5" t="s">
        <v>17993</v>
      </c>
      <c r="P5009" s="15"/>
      <c r="Q5009" s="15"/>
      <c r="R5009" s="422"/>
      <c r="S5009" s="15"/>
      <c r="T5009" s="15"/>
      <c r="U5009" s="15"/>
      <c r="V5009" s="15"/>
      <c r="W5009" s="15"/>
      <c r="X5009" s="15"/>
      <c r="Y5009" s="15"/>
      <c r="Z5009" s="15"/>
      <c r="AA5009" s="15"/>
    </row>
    <row r="5010">
      <c r="A5010" s="5" t="s">
        <v>19664</v>
      </c>
      <c r="B5010" s="292" t="str">
        <f>HYPERLINK("https://akshar-exim-company-pvt-ltd.odoo.com/web#id=21267&amp;action=152&amp;model=crm.lead&amp;view_type=form&amp;menu_id=111","C2010906")</f>
        <v>C2010906</v>
      </c>
      <c r="C5010" s="41" t="s">
        <v>19681</v>
      </c>
      <c r="D5010" s="11"/>
      <c r="E5010" s="11" t="s">
        <v>5203</v>
      </c>
      <c r="F5010" s="90">
        <v>10.0</v>
      </c>
      <c r="G5010" s="321"/>
      <c r="H5010" s="11" t="s">
        <v>906</v>
      </c>
      <c r="I5010" s="423"/>
      <c r="J5010" s="14"/>
      <c r="K5010" s="13"/>
      <c r="L5010" s="13"/>
      <c r="M5010" s="14"/>
      <c r="N5010" s="15"/>
      <c r="O5010" s="5" t="s">
        <v>10708</v>
      </c>
      <c r="P5010" s="15"/>
      <c r="Q5010" s="15"/>
      <c r="R5010" s="422"/>
      <c r="S5010" s="15"/>
      <c r="T5010" s="15"/>
      <c r="U5010" s="15"/>
      <c r="V5010" s="15"/>
      <c r="W5010" s="15"/>
      <c r="X5010" s="15"/>
      <c r="Y5010" s="15"/>
      <c r="Z5010" s="15"/>
      <c r="AA5010" s="15"/>
    </row>
    <row r="5011">
      <c r="A5011" s="5" t="s">
        <v>19664</v>
      </c>
      <c r="B5011" s="292" t="str">
        <f>HYPERLINK("https://akshar-exim-company-pvt-ltd.odoo.com/web#id=21278&amp;action=152&amp;model=crm.lead&amp;view_type=form&amp;menu_id=111","C2010905")</f>
        <v>C2010905</v>
      </c>
      <c r="C5011" s="41" t="s">
        <v>19682</v>
      </c>
      <c r="D5011" s="41"/>
      <c r="E5011" s="41" t="s">
        <v>19683</v>
      </c>
      <c r="F5011" s="90">
        <v>25.0</v>
      </c>
      <c r="G5011" s="430"/>
      <c r="H5011" s="41" t="s">
        <v>2682</v>
      </c>
      <c r="I5011" s="276"/>
      <c r="J5011" s="11" t="s">
        <v>7109</v>
      </c>
      <c r="K5011" s="13"/>
      <c r="L5011" s="13"/>
      <c r="M5011" s="14"/>
      <c r="N5011" s="15"/>
      <c r="O5011" s="5" t="s">
        <v>10708</v>
      </c>
      <c r="P5011" s="15"/>
      <c r="Q5011" s="15"/>
      <c r="R5011" s="422"/>
      <c r="S5011" s="15"/>
      <c r="T5011" s="15"/>
      <c r="U5011" s="15"/>
      <c r="V5011" s="15"/>
      <c r="W5011" s="15"/>
      <c r="X5011" s="15"/>
      <c r="Y5011" s="15"/>
      <c r="Z5011" s="15"/>
      <c r="AA5011" s="15"/>
    </row>
    <row r="5012">
      <c r="A5012" s="5" t="s">
        <v>19664</v>
      </c>
      <c r="B5012" s="292" t="str">
        <f>HYPERLINK("https://akshar-exim-company-pvt-ltd.odoo.com/web#id=21280&amp;action=152&amp;model=crm.lead&amp;view_type=form&amp;menu_id=111","C2010904")</f>
        <v>C2010904</v>
      </c>
      <c r="C5012" s="41" t="s">
        <v>19684</v>
      </c>
      <c r="D5012" s="41"/>
      <c r="E5012" s="41" t="s">
        <v>593</v>
      </c>
      <c r="F5012" s="90">
        <v>25.0</v>
      </c>
      <c r="G5012" s="321"/>
      <c r="H5012" s="11" t="s">
        <v>19685</v>
      </c>
      <c r="I5012" s="276"/>
      <c r="J5012" s="11" t="s">
        <v>13081</v>
      </c>
      <c r="K5012" s="13"/>
      <c r="L5012" s="13"/>
      <c r="M5012" s="14"/>
      <c r="N5012" s="15"/>
      <c r="O5012" s="5" t="s">
        <v>10708</v>
      </c>
      <c r="P5012" s="15"/>
      <c r="Q5012" s="15"/>
      <c r="R5012" s="422"/>
      <c r="S5012" s="15"/>
      <c r="T5012" s="15"/>
      <c r="U5012" s="15"/>
      <c r="V5012" s="15"/>
      <c r="W5012" s="15"/>
      <c r="X5012" s="15"/>
      <c r="Y5012" s="15"/>
      <c r="Z5012" s="15"/>
      <c r="AA5012" s="15"/>
    </row>
    <row r="5013">
      <c r="A5013" s="5" t="s">
        <v>19664</v>
      </c>
      <c r="B5013" s="292" t="str">
        <f>HYPERLINK("https://akshar-exim-company-pvt-ltd.odoo.com/web#id=21269&amp;action=152&amp;model=crm.lead&amp;view_type=form&amp;menu_id=111","C2010903")</f>
        <v>C2010903</v>
      </c>
      <c r="C5013" s="41" t="s">
        <v>19686</v>
      </c>
      <c r="D5013" s="11"/>
      <c r="E5013" s="11" t="s">
        <v>167</v>
      </c>
      <c r="F5013" s="90">
        <v>25.0</v>
      </c>
      <c r="G5013" s="321"/>
      <c r="H5013" s="11" t="s">
        <v>2662</v>
      </c>
      <c r="I5013" s="276"/>
      <c r="J5013" s="11" t="s">
        <v>18788</v>
      </c>
      <c r="K5013" s="13"/>
      <c r="L5013" s="13"/>
      <c r="M5013" s="14"/>
      <c r="N5013" s="15"/>
      <c r="O5013" s="5" t="s">
        <v>10708</v>
      </c>
      <c r="P5013" s="15"/>
      <c r="Q5013" s="15"/>
      <c r="R5013" s="422"/>
      <c r="S5013" s="15"/>
      <c r="T5013" s="15"/>
      <c r="U5013" s="15"/>
      <c r="V5013" s="15"/>
      <c r="W5013" s="15"/>
      <c r="X5013" s="15"/>
      <c r="Y5013" s="15"/>
      <c r="Z5013" s="15"/>
      <c r="AA5013" s="15"/>
    </row>
    <row r="5014">
      <c r="A5014" s="5" t="s">
        <v>19664</v>
      </c>
      <c r="B5014" s="292" t="str">
        <f>HYPERLINK("https://akshar-exim-company-pvt-ltd.odoo.com/web#id=21276&amp;action=152&amp;model=crm.lead&amp;view_type=form&amp;menu_id=111","C2010902")</f>
        <v>C2010902</v>
      </c>
      <c r="C5014" s="41" t="s">
        <v>19687</v>
      </c>
      <c r="D5014" s="11"/>
      <c r="E5014" s="11" t="s">
        <v>11748</v>
      </c>
      <c r="F5014" s="9">
        <v>30000.0</v>
      </c>
      <c r="G5014" s="321"/>
      <c r="H5014" s="11" t="s">
        <v>19688</v>
      </c>
      <c r="I5014" s="276"/>
      <c r="J5014" s="11" t="s">
        <v>7717</v>
      </c>
      <c r="K5014" s="12"/>
      <c r="L5014" s="12"/>
      <c r="M5014" s="11" t="s">
        <v>19497</v>
      </c>
      <c r="N5014" s="5" t="s">
        <v>19689</v>
      </c>
      <c r="O5014" s="5" t="s">
        <v>17993</v>
      </c>
      <c r="P5014" s="15"/>
      <c r="Q5014" s="15"/>
      <c r="R5014" s="422"/>
      <c r="S5014" s="15"/>
      <c r="T5014" s="15"/>
      <c r="U5014" s="15"/>
      <c r="V5014" s="15"/>
      <c r="W5014" s="15"/>
      <c r="X5014" s="15"/>
      <c r="Y5014" s="15"/>
      <c r="Z5014" s="15"/>
      <c r="AA5014" s="15"/>
    </row>
    <row r="5015">
      <c r="A5015" s="5" t="s">
        <v>19664</v>
      </c>
      <c r="B5015" s="292" t="str">
        <f>HYPERLINK("https://akshar-exim-company-pvt-ltd.odoo.com/web#id=21275&amp;action=152&amp;model=crm.lead&amp;view_type=form&amp;menu_id=111","C2010901")</f>
        <v>C2010901</v>
      </c>
      <c r="C5015" s="41" t="s">
        <v>19690</v>
      </c>
      <c r="D5015" s="41"/>
      <c r="E5015" s="41" t="s">
        <v>1520</v>
      </c>
      <c r="F5015" s="90">
        <v>25.0</v>
      </c>
      <c r="G5015" s="321"/>
      <c r="H5015" s="11" t="s">
        <v>507</v>
      </c>
      <c r="I5015" s="423"/>
      <c r="J5015" s="14"/>
      <c r="K5015" s="13"/>
      <c r="L5015" s="13"/>
      <c r="M5015" s="14"/>
      <c r="N5015" s="15"/>
      <c r="O5015" s="5" t="s">
        <v>10708</v>
      </c>
      <c r="P5015" s="15"/>
      <c r="Q5015" s="15"/>
      <c r="R5015" s="422"/>
      <c r="S5015" s="15"/>
      <c r="T5015" s="15"/>
      <c r="U5015" s="15"/>
      <c r="V5015" s="15"/>
      <c r="W5015" s="15"/>
      <c r="X5015" s="15"/>
      <c r="Y5015" s="15"/>
      <c r="Z5015" s="15"/>
      <c r="AA5015" s="15"/>
    </row>
    <row r="5016">
      <c r="A5016" s="5" t="s">
        <v>19664</v>
      </c>
      <c r="B5016" s="292" t="str">
        <f>HYPERLINK("https://akshar-exim-company-pvt-ltd.odoo.com/web#id=21268&amp;action=152&amp;model=crm.lead&amp;view_type=form&amp;menu_id=111","C2010900")</f>
        <v>C2010900</v>
      </c>
      <c r="C5016" s="41" t="s">
        <v>18737</v>
      </c>
      <c r="D5016" s="11"/>
      <c r="E5016" s="11" t="s">
        <v>22</v>
      </c>
      <c r="F5016" s="9">
        <v>10000.0</v>
      </c>
      <c r="G5016" s="430"/>
      <c r="H5016" s="41" t="s">
        <v>7017</v>
      </c>
      <c r="I5016" s="423"/>
      <c r="J5016" s="14"/>
      <c r="K5016" s="12"/>
      <c r="L5016" s="12"/>
      <c r="M5016" s="11" t="s">
        <v>19691</v>
      </c>
      <c r="N5016" s="11" t="s">
        <v>19692</v>
      </c>
      <c r="O5016" s="5" t="s">
        <v>1112</v>
      </c>
      <c r="P5016" s="15"/>
      <c r="Q5016" s="15"/>
      <c r="R5016" s="422"/>
      <c r="S5016" s="15"/>
      <c r="T5016" s="15"/>
      <c r="U5016" s="15"/>
      <c r="V5016" s="15"/>
      <c r="W5016" s="15"/>
      <c r="X5016" s="15"/>
      <c r="Y5016" s="15"/>
      <c r="Z5016" s="15"/>
      <c r="AA5016" s="15"/>
    </row>
    <row r="5017">
      <c r="A5017" s="5" t="s">
        <v>19664</v>
      </c>
      <c r="B5017" s="292" t="str">
        <f>HYPERLINK("https://akshar-exim-company-pvt-ltd.odoo.com/web#id=21270&amp;action=152&amp;model=crm.lead&amp;view_type=form&amp;menu_id=111","C2010899")</f>
        <v>C2010899</v>
      </c>
      <c r="C5017" s="41" t="s">
        <v>19693</v>
      </c>
      <c r="D5017" s="11"/>
      <c r="E5017" s="11" t="s">
        <v>207</v>
      </c>
      <c r="F5017" s="90">
        <v>100.0</v>
      </c>
      <c r="G5017" s="321"/>
      <c r="H5017" s="11" t="s">
        <v>906</v>
      </c>
      <c r="I5017" s="423"/>
      <c r="J5017" s="14"/>
      <c r="K5017" s="13"/>
      <c r="L5017" s="13"/>
      <c r="M5017" s="14"/>
      <c r="N5017" s="15"/>
      <c r="O5017" s="5" t="s">
        <v>10708</v>
      </c>
      <c r="P5017" s="15"/>
      <c r="Q5017" s="15"/>
      <c r="R5017" s="422"/>
      <c r="S5017" s="15"/>
      <c r="T5017" s="15"/>
      <c r="U5017" s="15"/>
      <c r="V5017" s="15"/>
      <c r="W5017" s="15"/>
      <c r="X5017" s="15"/>
      <c r="Y5017" s="15"/>
      <c r="Z5017" s="15"/>
      <c r="AA5017" s="15"/>
    </row>
    <row r="5018">
      <c r="A5018" s="5" t="s">
        <v>19664</v>
      </c>
      <c r="B5018" s="292" t="str">
        <f>HYPERLINK("https://akshar-exim-company-pvt-ltd.odoo.com/web#id=21261&amp;action=152&amp;model=crm.lead&amp;view_type=form&amp;menu_id=111","C2010898")</f>
        <v>C2010898</v>
      </c>
      <c r="C5018" s="41" t="s">
        <v>19694</v>
      </c>
      <c r="D5018" s="405"/>
      <c r="E5018" s="405" t="s">
        <v>8931</v>
      </c>
      <c r="F5018" s="90">
        <v>1000.0</v>
      </c>
      <c r="G5018" s="321"/>
      <c r="H5018" s="11" t="s">
        <v>99</v>
      </c>
      <c r="I5018" s="276"/>
      <c r="J5018" s="11" t="s">
        <v>19137</v>
      </c>
      <c r="K5018" s="13"/>
      <c r="L5018" s="13"/>
      <c r="M5018" s="14"/>
      <c r="N5018" s="15"/>
      <c r="O5018" s="5" t="s">
        <v>13963</v>
      </c>
      <c r="P5018" s="15"/>
      <c r="Q5018" s="15"/>
      <c r="R5018" s="422"/>
      <c r="S5018" s="15"/>
      <c r="T5018" s="15"/>
      <c r="U5018" s="15"/>
      <c r="V5018" s="15"/>
      <c r="W5018" s="15"/>
      <c r="X5018" s="15"/>
      <c r="Y5018" s="15"/>
      <c r="Z5018" s="15"/>
      <c r="AA5018" s="15"/>
    </row>
    <row r="5019">
      <c r="A5019" s="5" t="s">
        <v>19664</v>
      </c>
      <c r="B5019" s="292" t="str">
        <f>HYPERLINK("https://akshar-exim-company-pvt-ltd.odoo.com/web#id=21259&amp;action=152&amp;model=crm.lead&amp;view_type=form&amp;menu_id=111","C2010897")</f>
        <v>C2010897</v>
      </c>
      <c r="C5019" s="41" t="s">
        <v>19695</v>
      </c>
      <c r="D5019" s="405"/>
      <c r="E5019" s="405" t="s">
        <v>11279</v>
      </c>
      <c r="F5019" s="433"/>
      <c r="G5019" s="434"/>
      <c r="H5019" s="14"/>
      <c r="I5019" s="423"/>
      <c r="J5019" s="14"/>
      <c r="K5019" s="13"/>
      <c r="L5019" s="13"/>
      <c r="M5019" s="14"/>
      <c r="N5019" s="15"/>
      <c r="O5019" s="15"/>
      <c r="P5019" s="15"/>
      <c r="Q5019" s="15"/>
      <c r="R5019" s="422"/>
      <c r="S5019" s="15"/>
      <c r="T5019" s="15"/>
      <c r="U5019" s="15"/>
      <c r="V5019" s="15"/>
      <c r="W5019" s="15"/>
      <c r="X5019" s="15"/>
      <c r="Y5019" s="15"/>
      <c r="Z5019" s="15"/>
      <c r="AA5019" s="15"/>
    </row>
    <row r="5020">
      <c r="A5020" s="5" t="s">
        <v>19664</v>
      </c>
      <c r="B5020" s="292" t="str">
        <f>HYPERLINK("https://akshar-exim-company-pvt-ltd.odoo.com/web#id=21258&amp;action=152&amp;model=crm.lead&amp;view_type=form&amp;menu_id=111","C2010896")</f>
        <v>C2010896</v>
      </c>
      <c r="C5020" s="41" t="s">
        <v>15281</v>
      </c>
      <c r="D5020" s="41"/>
      <c r="E5020" s="41" t="s">
        <v>2576</v>
      </c>
      <c r="F5020" s="90">
        <v>50.0</v>
      </c>
      <c r="G5020" s="321"/>
      <c r="H5020" s="11" t="s">
        <v>44</v>
      </c>
      <c r="I5020" s="423"/>
      <c r="J5020" s="14"/>
      <c r="K5020" s="13"/>
      <c r="L5020" s="13"/>
      <c r="M5020" s="14"/>
      <c r="N5020" s="15"/>
      <c r="O5020" s="5" t="s">
        <v>10708</v>
      </c>
      <c r="P5020" s="15"/>
      <c r="Q5020" s="15"/>
      <c r="R5020" s="422"/>
      <c r="S5020" s="15"/>
      <c r="T5020" s="15"/>
      <c r="U5020" s="15"/>
      <c r="V5020" s="15"/>
      <c r="W5020" s="15"/>
      <c r="X5020" s="15"/>
      <c r="Y5020" s="15"/>
      <c r="Z5020" s="15"/>
      <c r="AA5020" s="15"/>
    </row>
    <row r="5021">
      <c r="A5021" s="5" t="s">
        <v>19664</v>
      </c>
      <c r="B5021" s="292" t="str">
        <f>HYPERLINK("https://akshar-exim-company-pvt-ltd.odoo.com/web#id=21256&amp;action=152&amp;model=crm.lead&amp;view_type=form&amp;menu_id=111","C2010895")</f>
        <v>C2010895</v>
      </c>
      <c r="C5021" s="41" t="s">
        <v>19696</v>
      </c>
      <c r="D5021" s="11"/>
      <c r="E5021" s="11" t="s">
        <v>213</v>
      </c>
      <c r="F5021" s="90">
        <v>1000.0</v>
      </c>
      <c r="G5021" s="321"/>
      <c r="H5021" s="11" t="s">
        <v>44</v>
      </c>
      <c r="I5021" s="276"/>
      <c r="J5021" s="11" t="s">
        <v>17976</v>
      </c>
      <c r="K5021" s="12"/>
      <c r="L5021" s="12"/>
      <c r="M5021" s="11" t="s">
        <v>9742</v>
      </c>
      <c r="N5021" s="5" t="s">
        <v>19697</v>
      </c>
      <c r="O5021" s="5" t="s">
        <v>564</v>
      </c>
      <c r="P5021" s="15"/>
      <c r="Q5021" s="15"/>
      <c r="R5021" s="422"/>
      <c r="S5021" s="15"/>
      <c r="T5021" s="15"/>
      <c r="U5021" s="15"/>
      <c r="V5021" s="15"/>
      <c r="W5021" s="15"/>
      <c r="X5021" s="15"/>
      <c r="Y5021" s="15"/>
      <c r="Z5021" s="15"/>
      <c r="AA5021" s="15"/>
    </row>
    <row r="5022">
      <c r="A5022" s="5" t="s">
        <v>19664</v>
      </c>
      <c r="B5022" s="292" t="str">
        <f>HYPERLINK("https://akshar-exim-company-pvt-ltd.odoo.com/web#id=21255&amp;action=152&amp;model=crm.lead&amp;view_type=form&amp;menu_id=111","C2010894")</f>
        <v>C2010894</v>
      </c>
      <c r="C5022" s="40" t="s">
        <v>19698</v>
      </c>
      <c r="D5022" s="14"/>
      <c r="E5022" s="14"/>
      <c r="F5022" s="433"/>
      <c r="G5022" s="434"/>
      <c r="H5022" s="14"/>
      <c r="I5022" s="423"/>
      <c r="J5022" s="14"/>
      <c r="K5022" s="13"/>
      <c r="L5022" s="13"/>
      <c r="M5022" s="14"/>
      <c r="N5022" s="15"/>
      <c r="O5022" s="15"/>
      <c r="P5022" s="15"/>
      <c r="Q5022" s="15"/>
      <c r="R5022" s="422"/>
      <c r="S5022" s="15"/>
      <c r="T5022" s="15"/>
      <c r="U5022" s="15"/>
      <c r="V5022" s="15"/>
      <c r="W5022" s="15"/>
      <c r="X5022" s="15"/>
      <c r="Y5022" s="15"/>
      <c r="Z5022" s="15"/>
      <c r="AA5022" s="15"/>
    </row>
    <row r="5023">
      <c r="A5023" s="5" t="s">
        <v>19664</v>
      </c>
      <c r="B5023" s="292" t="str">
        <f>HYPERLINK("https://akshar-exim-company-pvt-ltd.odoo.com/web#id=21253&amp;action=152&amp;model=crm.lead&amp;view_type=form&amp;menu_id=111","C2010893")</f>
        <v>C2010893</v>
      </c>
      <c r="C5023" s="41" t="s">
        <v>19699</v>
      </c>
      <c r="D5023" s="11"/>
      <c r="E5023" s="11" t="s">
        <v>152</v>
      </c>
      <c r="F5023" s="90">
        <v>300.0</v>
      </c>
      <c r="G5023" s="321"/>
      <c r="H5023" s="11" t="s">
        <v>906</v>
      </c>
      <c r="I5023" s="276"/>
      <c r="J5023" s="11" t="s">
        <v>25</v>
      </c>
      <c r="K5023" s="12"/>
      <c r="L5023" s="12"/>
      <c r="M5023" s="11" t="s">
        <v>9298</v>
      </c>
      <c r="N5023" s="5" t="s">
        <v>19700</v>
      </c>
      <c r="O5023" s="5" t="s">
        <v>17993</v>
      </c>
      <c r="P5023" s="15"/>
      <c r="Q5023" s="15"/>
      <c r="R5023" s="422"/>
      <c r="S5023" s="15"/>
      <c r="T5023" s="15"/>
      <c r="U5023" s="15"/>
      <c r="V5023" s="15"/>
      <c r="W5023" s="15"/>
      <c r="X5023" s="15"/>
      <c r="Y5023" s="15"/>
      <c r="Z5023" s="15"/>
      <c r="AA5023" s="15"/>
    </row>
    <row r="5024">
      <c r="A5024" s="5" t="s">
        <v>19664</v>
      </c>
      <c r="B5024" s="292" t="str">
        <f>HYPERLINK("https://akshar-exim-company-pvt-ltd.odoo.com/web#id=21243&amp;action=152&amp;model=crm.lead&amp;view_type=form&amp;menu_id=111","C2010892")</f>
        <v>C2010892</v>
      </c>
      <c r="C5024" s="424" t="s">
        <v>19701</v>
      </c>
      <c r="D5024" s="11"/>
      <c r="E5024" s="11" t="s">
        <v>19702</v>
      </c>
      <c r="F5024" s="9">
        <v>80000.0</v>
      </c>
      <c r="G5024" s="430"/>
      <c r="H5024" s="41" t="s">
        <v>19703</v>
      </c>
      <c r="I5024" s="276"/>
      <c r="J5024" s="11" t="s">
        <v>17976</v>
      </c>
      <c r="K5024" s="13"/>
      <c r="L5024" s="13"/>
      <c r="M5024" s="14"/>
      <c r="N5024" s="15"/>
      <c r="O5024" s="5" t="s">
        <v>17993</v>
      </c>
      <c r="P5024" s="15"/>
      <c r="Q5024" s="15"/>
      <c r="R5024" s="422"/>
      <c r="S5024" s="15"/>
      <c r="T5024" s="15"/>
      <c r="U5024" s="15"/>
      <c r="V5024" s="15"/>
      <c r="W5024" s="15"/>
      <c r="X5024" s="15"/>
      <c r="Y5024" s="15"/>
      <c r="Z5024" s="15"/>
      <c r="AA5024" s="15"/>
    </row>
    <row r="5025">
      <c r="A5025" s="5" t="s">
        <v>19664</v>
      </c>
      <c r="B5025" s="292" t="str">
        <f>HYPERLINK("https://akshar-exim-company-pvt-ltd.odoo.com/web#id=21242&amp;action=152&amp;model=crm.lead&amp;view_type=form&amp;menu_id=111","C2010891")</f>
        <v>C2010891</v>
      </c>
      <c r="C5025" s="41" t="s">
        <v>19704</v>
      </c>
      <c r="D5025" s="41"/>
      <c r="E5025" s="41" t="s">
        <v>19705</v>
      </c>
      <c r="F5025" s="90">
        <v>50.0</v>
      </c>
      <c r="G5025" s="430"/>
      <c r="H5025" s="41" t="s">
        <v>19706</v>
      </c>
      <c r="I5025" s="276"/>
      <c r="J5025" s="11" t="s">
        <v>7109</v>
      </c>
      <c r="K5025" s="13"/>
      <c r="L5025" s="13"/>
      <c r="M5025" s="14"/>
      <c r="N5025" s="15"/>
      <c r="O5025" s="5" t="s">
        <v>10708</v>
      </c>
      <c r="P5025" s="15"/>
      <c r="Q5025" s="15"/>
      <c r="R5025" s="422"/>
      <c r="S5025" s="15"/>
      <c r="T5025" s="15"/>
      <c r="U5025" s="15"/>
      <c r="V5025" s="15"/>
      <c r="W5025" s="15"/>
      <c r="X5025" s="15"/>
      <c r="Y5025" s="15"/>
      <c r="Z5025" s="15"/>
      <c r="AA5025" s="15"/>
    </row>
    <row r="5026">
      <c r="A5026" s="5" t="s">
        <v>19707</v>
      </c>
      <c r="B5026" s="292" t="str">
        <f>HYPERLINK("https://akshar-exim-company-pvt-ltd.odoo.com/web#id=21225&amp;action=152&amp;model=crm.lead&amp;view_type=form&amp;menu_id=111","C2010890")</f>
        <v>C2010890</v>
      </c>
      <c r="C5026" s="41" t="s">
        <v>19708</v>
      </c>
      <c r="D5026" s="405"/>
      <c r="E5026" s="405" t="s">
        <v>8931</v>
      </c>
      <c r="F5026" s="90">
        <v>2000.0</v>
      </c>
      <c r="G5026" s="430"/>
      <c r="H5026" s="41" t="s">
        <v>19709</v>
      </c>
      <c r="I5026" s="276"/>
      <c r="J5026" s="11" t="s">
        <v>19710</v>
      </c>
      <c r="K5026" s="12"/>
      <c r="L5026" s="12"/>
      <c r="M5026" s="11" t="s">
        <v>7928</v>
      </c>
      <c r="N5026" s="5" t="s">
        <v>19711</v>
      </c>
      <c r="O5026" s="5" t="s">
        <v>17993</v>
      </c>
      <c r="P5026" s="15"/>
      <c r="Q5026" s="15"/>
      <c r="R5026" s="422"/>
      <c r="S5026" s="15"/>
      <c r="T5026" s="15"/>
      <c r="U5026" s="15"/>
      <c r="V5026" s="15"/>
      <c r="W5026" s="15"/>
      <c r="X5026" s="15"/>
      <c r="Y5026" s="15"/>
      <c r="Z5026" s="15"/>
      <c r="AA5026" s="15"/>
    </row>
    <row r="5027">
      <c r="A5027" s="5" t="s">
        <v>19707</v>
      </c>
      <c r="B5027" s="292" t="str">
        <f>HYPERLINK("https://akshar-exim-company-pvt-ltd.odoo.com/web#id=21229&amp;action=152&amp;model=crm.lead&amp;view_type=form&amp;menu_id=111","C2010889")</f>
        <v>C2010889</v>
      </c>
      <c r="C5027" s="41" t="s">
        <v>4438</v>
      </c>
      <c r="D5027" s="41"/>
      <c r="E5027" s="41" t="s">
        <v>7868</v>
      </c>
      <c r="F5027" s="90">
        <v>200.0</v>
      </c>
      <c r="G5027" s="430"/>
      <c r="H5027" s="41" t="s">
        <v>19712</v>
      </c>
      <c r="I5027" s="276"/>
      <c r="J5027" s="11" t="s">
        <v>17976</v>
      </c>
      <c r="K5027" s="12"/>
      <c r="L5027" s="12"/>
      <c r="M5027" s="11" t="s">
        <v>19713</v>
      </c>
      <c r="N5027" s="5" t="s">
        <v>19714</v>
      </c>
      <c r="O5027" s="5" t="s">
        <v>17993</v>
      </c>
      <c r="P5027" s="15"/>
      <c r="Q5027" s="15"/>
      <c r="R5027" s="422"/>
      <c r="S5027" s="15"/>
      <c r="T5027" s="15"/>
      <c r="U5027" s="15"/>
      <c r="V5027" s="15"/>
      <c r="W5027" s="15"/>
      <c r="X5027" s="15"/>
      <c r="Y5027" s="15"/>
      <c r="Z5027" s="15"/>
      <c r="AA5027" s="15"/>
    </row>
    <row r="5028">
      <c r="A5028" s="5" t="s">
        <v>19707</v>
      </c>
      <c r="B5028" s="292" t="str">
        <f>HYPERLINK("https://akshar-exim-company-pvt-ltd.odoo.com/web#id=21221&amp;action=152&amp;model=crm.lead&amp;view_type=form&amp;menu_id=111","C2010888")</f>
        <v>C2010888</v>
      </c>
      <c r="C5028" s="41" t="s">
        <v>5071</v>
      </c>
      <c r="D5028" s="41"/>
      <c r="E5028" s="41" t="s">
        <v>6168</v>
      </c>
      <c r="F5028" s="90">
        <v>2000.0</v>
      </c>
      <c r="G5028" s="321"/>
      <c r="H5028" s="11" t="s">
        <v>44</v>
      </c>
      <c r="I5028" s="276"/>
      <c r="J5028" s="11" t="s">
        <v>16356</v>
      </c>
      <c r="K5028" s="12"/>
      <c r="L5028" s="12"/>
      <c r="M5028" s="11" t="s">
        <v>11139</v>
      </c>
      <c r="N5028" s="5" t="s">
        <v>19715</v>
      </c>
      <c r="O5028" s="5" t="s">
        <v>10708</v>
      </c>
      <c r="P5028" s="15"/>
      <c r="Q5028" s="15"/>
      <c r="R5028" s="422"/>
      <c r="S5028" s="15"/>
      <c r="T5028" s="15"/>
      <c r="U5028" s="15"/>
      <c r="V5028" s="15"/>
      <c r="W5028" s="15"/>
      <c r="X5028" s="15"/>
      <c r="Y5028" s="15"/>
      <c r="Z5028" s="15"/>
      <c r="AA5028" s="15"/>
    </row>
    <row r="5029">
      <c r="A5029" s="352" t="s">
        <v>19707</v>
      </c>
      <c r="B5029" s="292" t="str">
        <f>HYPERLINK("https://akshar-exim-company-pvt-ltd.odoo.com/web#id=21218&amp;action=152&amp;model=crm.lead&amp;view_type=form&amp;menu_id=111","C2010887")</f>
        <v>C2010887</v>
      </c>
      <c r="C5029" s="41" t="s">
        <v>19716</v>
      </c>
      <c r="D5029" s="11"/>
      <c r="E5029" s="11" t="s">
        <v>167</v>
      </c>
      <c r="F5029" s="90">
        <v>5.0</v>
      </c>
      <c r="G5029" s="430"/>
      <c r="H5029" s="41" t="s">
        <v>19717</v>
      </c>
      <c r="I5029" s="276"/>
      <c r="J5029" s="11" t="s">
        <v>14563</v>
      </c>
      <c r="K5029" s="13"/>
      <c r="L5029" s="13"/>
      <c r="M5029" s="14"/>
      <c r="N5029" s="15"/>
      <c r="O5029" s="5" t="s">
        <v>10708</v>
      </c>
      <c r="P5029" s="15"/>
      <c r="Q5029" s="15"/>
      <c r="R5029" s="422"/>
      <c r="S5029" s="15"/>
      <c r="T5029" s="15"/>
      <c r="U5029" s="15"/>
      <c r="V5029" s="15"/>
      <c r="W5029" s="15"/>
      <c r="X5029" s="15"/>
      <c r="Y5029" s="15"/>
      <c r="Z5029" s="15"/>
      <c r="AA5029" s="15"/>
    </row>
    <row r="5030">
      <c r="A5030" s="5" t="s">
        <v>19707</v>
      </c>
      <c r="B5030" s="292" t="str">
        <f>HYPERLINK("https://akshar-exim-company-pvt-ltd.odoo.com/web#id=21216&amp;action=152&amp;model=crm.lead&amp;view_type=form&amp;menu_id=111","C2010886")</f>
        <v>C2010886</v>
      </c>
      <c r="C5030" s="41" t="s">
        <v>19718</v>
      </c>
      <c r="D5030" s="11"/>
      <c r="E5030" s="11" t="s">
        <v>43</v>
      </c>
      <c r="F5030" s="9">
        <v>100000.0</v>
      </c>
      <c r="G5030" s="430"/>
      <c r="H5030" s="41" t="s">
        <v>18374</v>
      </c>
      <c r="I5030" s="276"/>
      <c r="J5030" s="11" t="s">
        <v>17976</v>
      </c>
      <c r="K5030" s="12"/>
      <c r="L5030" s="12"/>
      <c r="M5030" s="11" t="s">
        <v>9034</v>
      </c>
      <c r="N5030" s="5" t="s">
        <v>19719</v>
      </c>
      <c r="O5030" s="5" t="s">
        <v>13963</v>
      </c>
      <c r="P5030" s="15"/>
      <c r="Q5030" s="15"/>
      <c r="R5030" s="422"/>
      <c r="S5030" s="15"/>
      <c r="T5030" s="15"/>
      <c r="U5030" s="15"/>
      <c r="V5030" s="15"/>
      <c r="W5030" s="15"/>
      <c r="X5030" s="15"/>
      <c r="Y5030" s="15"/>
      <c r="Z5030" s="15"/>
      <c r="AA5030" s="15"/>
    </row>
    <row r="5031">
      <c r="A5031" s="5" t="s">
        <v>19707</v>
      </c>
      <c r="B5031" s="292" t="str">
        <f>HYPERLINK("https://akshar-exim-company-pvt-ltd.odoo.com/web#id=21215&amp;action=152&amp;model=crm.lead&amp;view_type=form&amp;menu_id=111","C2010885")</f>
        <v>C2010885</v>
      </c>
      <c r="C5031" s="41" t="s">
        <v>19720</v>
      </c>
      <c r="D5031" s="11"/>
      <c r="E5031" s="11" t="s">
        <v>213</v>
      </c>
      <c r="F5031" s="9">
        <v>500000.0</v>
      </c>
      <c r="G5031" s="430"/>
      <c r="H5031" s="41" t="s">
        <v>3090</v>
      </c>
      <c r="I5031" s="276"/>
      <c r="J5031" s="11" t="s">
        <v>4008</v>
      </c>
      <c r="K5031" s="12"/>
      <c r="L5031" s="12"/>
      <c r="M5031" s="11" t="s">
        <v>18665</v>
      </c>
      <c r="N5031" s="5" t="s">
        <v>19721</v>
      </c>
      <c r="O5031" s="5" t="s">
        <v>1112</v>
      </c>
      <c r="P5031" s="15"/>
      <c r="Q5031" s="15"/>
      <c r="R5031" s="422"/>
      <c r="S5031" s="15"/>
      <c r="T5031" s="15"/>
      <c r="U5031" s="15"/>
      <c r="V5031" s="15"/>
      <c r="W5031" s="15"/>
      <c r="X5031" s="15"/>
      <c r="Y5031" s="15"/>
      <c r="Z5031" s="15"/>
      <c r="AA5031" s="15"/>
    </row>
    <row r="5032">
      <c r="A5032" s="5" t="s">
        <v>19707</v>
      </c>
      <c r="B5032" s="292" t="str">
        <f>HYPERLINK("https://akshar-exim-company-pvt-ltd.odoo.com/web#id=21214&amp;action=152&amp;model=crm.lead&amp;view_type=form&amp;menu_id=111","C2010884")</f>
        <v>C2010884</v>
      </c>
      <c r="C5032" s="41" t="s">
        <v>19722</v>
      </c>
      <c r="D5032" s="41"/>
      <c r="E5032" s="41" t="s">
        <v>19723</v>
      </c>
      <c r="F5032" s="90">
        <v>25.0</v>
      </c>
      <c r="G5032" s="321"/>
      <c r="H5032" s="11" t="s">
        <v>44</v>
      </c>
      <c r="I5032" s="276"/>
      <c r="J5032" s="11" t="s">
        <v>19724</v>
      </c>
      <c r="K5032" s="13"/>
      <c r="L5032" s="13"/>
      <c r="M5032" s="14"/>
      <c r="N5032" s="15"/>
      <c r="O5032" s="5" t="s">
        <v>10708</v>
      </c>
      <c r="P5032" s="15"/>
      <c r="Q5032" s="15"/>
      <c r="R5032" s="422"/>
      <c r="S5032" s="15"/>
      <c r="T5032" s="15"/>
      <c r="U5032" s="15"/>
      <c r="V5032" s="15"/>
      <c r="W5032" s="15"/>
      <c r="X5032" s="15"/>
      <c r="Y5032" s="15"/>
      <c r="Z5032" s="15"/>
      <c r="AA5032" s="15"/>
    </row>
    <row r="5033">
      <c r="A5033" s="5" t="s">
        <v>19707</v>
      </c>
      <c r="B5033" s="292" t="str">
        <f>HYPERLINK("https://akshar-exim-company-pvt-ltd.odoo.com/web#id=21213&amp;action=152&amp;model=crm.lead&amp;view_type=form&amp;menu_id=111","C2010883")</f>
        <v>C2010883</v>
      </c>
      <c r="C5033" s="41" t="s">
        <v>19725</v>
      </c>
      <c r="D5033" s="41"/>
      <c r="E5033" s="41" t="s">
        <v>167</v>
      </c>
      <c r="F5033" s="90">
        <v>4.0</v>
      </c>
      <c r="G5033" s="321"/>
      <c r="H5033" s="11" t="s">
        <v>930</v>
      </c>
      <c r="I5033" s="276"/>
      <c r="J5033" s="11" t="s">
        <v>14563</v>
      </c>
      <c r="K5033" s="13"/>
      <c r="L5033" s="13"/>
      <c r="M5033" s="14"/>
      <c r="N5033" s="15"/>
      <c r="O5033" s="5" t="s">
        <v>10708</v>
      </c>
      <c r="P5033" s="15"/>
      <c r="Q5033" s="15"/>
      <c r="R5033" s="422"/>
      <c r="S5033" s="15"/>
      <c r="T5033" s="15"/>
      <c r="U5033" s="15"/>
      <c r="V5033" s="15"/>
      <c r="W5033" s="15"/>
      <c r="X5033" s="15"/>
      <c r="Y5033" s="15"/>
      <c r="Z5033" s="15"/>
      <c r="AA5033" s="15"/>
    </row>
    <row r="5034">
      <c r="A5034" s="5" t="s">
        <v>19707</v>
      </c>
      <c r="B5034" s="292" t="str">
        <f>HYPERLINK("https://akshar-exim-company-pvt-ltd.odoo.com/web#id=21211&amp;action=152&amp;model=crm.lead&amp;view_type=form&amp;menu_id=111","C2010882")</f>
        <v>C2010882</v>
      </c>
      <c r="C5034" s="41" t="s">
        <v>19726</v>
      </c>
      <c r="D5034" s="405"/>
      <c r="E5034" s="405" t="s">
        <v>167</v>
      </c>
      <c r="F5034" s="433"/>
      <c r="G5034" s="434"/>
      <c r="H5034" s="14"/>
      <c r="I5034" s="423"/>
      <c r="J5034" s="14"/>
      <c r="K5034" s="13"/>
      <c r="L5034" s="13"/>
      <c r="M5034" s="14"/>
      <c r="N5034" s="15"/>
      <c r="O5034" s="15"/>
      <c r="P5034" s="15"/>
      <c r="Q5034" s="15"/>
      <c r="R5034" s="422"/>
      <c r="S5034" s="15"/>
      <c r="T5034" s="15"/>
      <c r="U5034" s="15"/>
      <c r="V5034" s="15"/>
      <c r="W5034" s="15"/>
      <c r="X5034" s="15"/>
      <c r="Y5034" s="15"/>
      <c r="Z5034" s="15"/>
      <c r="AA5034" s="15"/>
    </row>
    <row r="5035">
      <c r="A5035" s="5" t="s">
        <v>19707</v>
      </c>
      <c r="B5035" s="292" t="str">
        <f>HYPERLINK("https://akshar-exim-company-pvt-ltd.odoo.com/web#id=21207&amp;action=152&amp;model=crm.lead&amp;view_type=form&amp;menu_id=111","C2010881")</f>
        <v>C2010881</v>
      </c>
      <c r="C5035" s="41" t="s">
        <v>19727</v>
      </c>
      <c r="D5035" s="41"/>
      <c r="E5035" s="41" t="s">
        <v>19728</v>
      </c>
      <c r="F5035" s="9">
        <v>10000.0</v>
      </c>
      <c r="G5035" s="321"/>
      <c r="H5035" s="11" t="s">
        <v>44</v>
      </c>
      <c r="I5035" s="276"/>
      <c r="J5035" s="11" t="s">
        <v>17976</v>
      </c>
      <c r="K5035" s="12"/>
      <c r="L5035" s="12"/>
      <c r="M5035" s="11" t="s">
        <v>9034</v>
      </c>
      <c r="N5035" s="5" t="s">
        <v>19729</v>
      </c>
      <c r="O5035" s="5" t="s">
        <v>1112</v>
      </c>
      <c r="P5035" s="15"/>
      <c r="Q5035" s="15"/>
      <c r="R5035" s="422"/>
      <c r="S5035" s="15"/>
      <c r="T5035" s="15"/>
      <c r="U5035" s="15"/>
      <c r="V5035" s="15"/>
      <c r="W5035" s="15"/>
      <c r="X5035" s="15"/>
      <c r="Y5035" s="15"/>
      <c r="Z5035" s="15"/>
      <c r="AA5035" s="15"/>
    </row>
    <row r="5036">
      <c r="A5036" s="5" t="s">
        <v>19707</v>
      </c>
      <c r="B5036" s="292" t="str">
        <f>HYPERLINK("https://akshar-exim-company-pvt-ltd.odoo.com/web#id=21205&amp;action=152&amp;model=crm.lead&amp;view_type=form&amp;menu_id=111","C2010880")</f>
        <v>C2010880</v>
      </c>
      <c r="C5036" s="41" t="s">
        <v>19730</v>
      </c>
      <c r="D5036" s="41"/>
      <c r="E5036" s="41" t="s">
        <v>344</v>
      </c>
      <c r="F5036" s="90">
        <v>1.0</v>
      </c>
      <c r="G5036" s="430"/>
      <c r="H5036" s="41" t="s">
        <v>19731</v>
      </c>
      <c r="I5036" s="276"/>
      <c r="J5036" s="11" t="s">
        <v>14286</v>
      </c>
      <c r="K5036" s="13"/>
      <c r="L5036" s="13"/>
      <c r="M5036" s="14"/>
      <c r="N5036" s="15"/>
      <c r="O5036" s="5" t="s">
        <v>10708</v>
      </c>
      <c r="P5036" s="15"/>
      <c r="Q5036" s="15"/>
      <c r="R5036" s="422"/>
      <c r="S5036" s="15"/>
      <c r="T5036" s="15"/>
      <c r="U5036" s="15"/>
      <c r="V5036" s="15"/>
      <c r="W5036" s="15"/>
      <c r="X5036" s="15"/>
      <c r="Y5036" s="15"/>
      <c r="Z5036" s="15"/>
      <c r="AA5036" s="15"/>
    </row>
    <row r="5037">
      <c r="A5037" s="5" t="s">
        <v>19707</v>
      </c>
      <c r="B5037" s="292" t="str">
        <f>HYPERLINK("https://akshar-exim-company-pvt-ltd.odoo.com/web#id=21193&amp;action=152&amp;model=crm.lead&amp;view_type=form&amp;menu_id=111","C2010879")</f>
        <v>C2010879</v>
      </c>
      <c r="C5037" s="41" t="s">
        <v>19732</v>
      </c>
      <c r="D5037" s="405"/>
      <c r="E5037" s="405" t="s">
        <v>19733</v>
      </c>
      <c r="F5037" s="9">
        <v>100000.0</v>
      </c>
      <c r="G5037" s="430"/>
      <c r="H5037" s="41" t="s">
        <v>19734</v>
      </c>
      <c r="I5037" s="276"/>
      <c r="J5037" s="11" t="s">
        <v>17976</v>
      </c>
      <c r="K5037" s="12"/>
      <c r="L5037" s="12"/>
      <c r="M5037" s="11" t="s">
        <v>19735</v>
      </c>
      <c r="N5037" s="11" t="s">
        <v>19736</v>
      </c>
      <c r="O5037" s="5" t="s">
        <v>564</v>
      </c>
      <c r="P5037" s="15"/>
      <c r="Q5037" s="15"/>
      <c r="R5037" s="422"/>
      <c r="S5037" s="15"/>
      <c r="T5037" s="15"/>
      <c r="U5037" s="15"/>
      <c r="V5037" s="15"/>
      <c r="W5037" s="15"/>
      <c r="X5037" s="15"/>
      <c r="Y5037" s="15"/>
      <c r="Z5037" s="15"/>
      <c r="AA5037" s="15"/>
    </row>
    <row r="5038">
      <c r="A5038" s="5" t="s">
        <v>19707</v>
      </c>
      <c r="B5038" s="292" t="str">
        <f>HYPERLINK("https://akshar-exim-company-pvt-ltd.odoo.com/web#id=21202&amp;action=152&amp;model=crm.lead&amp;view_type=form&amp;menu_id=111","C2010878")</f>
        <v>C2010878</v>
      </c>
      <c r="C5038" s="41" t="s">
        <v>19737</v>
      </c>
      <c r="D5038" s="41"/>
      <c r="E5038" s="41" t="s">
        <v>19738</v>
      </c>
      <c r="F5038" s="9">
        <v>100000.0</v>
      </c>
      <c r="G5038" s="321"/>
      <c r="H5038" s="11" t="s">
        <v>44</v>
      </c>
      <c r="I5038" s="276"/>
      <c r="J5038" s="11" t="s">
        <v>8773</v>
      </c>
      <c r="K5038" s="12"/>
      <c r="L5038" s="12"/>
      <c r="M5038" s="11" t="s">
        <v>8638</v>
      </c>
      <c r="N5038" s="5" t="s">
        <v>19739</v>
      </c>
      <c r="O5038" s="5" t="s">
        <v>564</v>
      </c>
      <c r="P5038" s="15"/>
      <c r="Q5038" s="15"/>
      <c r="R5038" s="422"/>
      <c r="S5038" s="15"/>
      <c r="T5038" s="15"/>
      <c r="U5038" s="15"/>
      <c r="V5038" s="15"/>
      <c r="W5038" s="15"/>
      <c r="X5038" s="15"/>
      <c r="Y5038" s="15"/>
      <c r="Z5038" s="15"/>
      <c r="AA5038" s="15"/>
    </row>
    <row r="5039">
      <c r="A5039" s="5" t="s">
        <v>19707</v>
      </c>
      <c r="B5039" s="292" t="str">
        <f>HYPERLINK("https://akshar-exim-company-pvt-ltd.odoo.com/web#id=21201&amp;action=152&amp;model=crm.lead&amp;view_type=form&amp;menu_id=111","C2010877")</f>
        <v>C2010877</v>
      </c>
      <c r="C5039" s="41" t="s">
        <v>19740</v>
      </c>
      <c r="D5039" s="405"/>
      <c r="E5039" s="405" t="s">
        <v>1629</v>
      </c>
      <c r="F5039" s="433"/>
      <c r="G5039" s="434"/>
      <c r="H5039" s="14"/>
      <c r="I5039" s="423"/>
      <c r="J5039" s="14"/>
      <c r="K5039" s="13"/>
      <c r="L5039" s="13"/>
      <c r="M5039" s="14"/>
      <c r="N5039" s="15"/>
      <c r="O5039" s="15"/>
      <c r="P5039" s="15"/>
      <c r="Q5039" s="15"/>
      <c r="R5039" s="422"/>
      <c r="S5039" s="15"/>
      <c r="T5039" s="15"/>
      <c r="U5039" s="15"/>
      <c r="V5039" s="15"/>
      <c r="W5039" s="15"/>
      <c r="X5039" s="15"/>
      <c r="Y5039" s="15"/>
      <c r="Z5039" s="15"/>
      <c r="AA5039" s="15"/>
    </row>
    <row r="5040">
      <c r="A5040" s="5" t="s">
        <v>19707</v>
      </c>
      <c r="B5040" s="292" t="str">
        <f>HYPERLINK("https://akshar-exim-company-pvt-ltd.odoo.com/web#id=21200&amp;action=152&amp;model=crm.lead&amp;view_type=form&amp;menu_id=111","C2010876")</f>
        <v>C2010876</v>
      </c>
      <c r="C5040" s="41" t="s">
        <v>11231</v>
      </c>
      <c r="D5040" s="405"/>
      <c r="E5040" s="405" t="s">
        <v>116</v>
      </c>
      <c r="F5040" s="90">
        <v>500.0</v>
      </c>
      <c r="G5040" s="321"/>
      <c r="H5040" s="11" t="s">
        <v>617</v>
      </c>
      <c r="I5040" s="276"/>
      <c r="J5040" s="11" t="s">
        <v>7109</v>
      </c>
      <c r="K5040" s="12"/>
      <c r="L5040" s="12"/>
      <c r="M5040" s="11" t="s">
        <v>19291</v>
      </c>
      <c r="N5040" s="5" t="s">
        <v>19741</v>
      </c>
      <c r="O5040" s="5" t="s">
        <v>17993</v>
      </c>
      <c r="P5040" s="15"/>
      <c r="Q5040" s="15"/>
      <c r="R5040" s="422"/>
      <c r="S5040" s="15"/>
      <c r="T5040" s="15"/>
      <c r="U5040" s="15"/>
      <c r="V5040" s="15"/>
      <c r="W5040" s="15"/>
      <c r="X5040" s="15"/>
      <c r="Y5040" s="15"/>
      <c r="Z5040" s="15"/>
      <c r="AA5040" s="15"/>
    </row>
    <row r="5041">
      <c r="A5041" s="5" t="s">
        <v>19707</v>
      </c>
      <c r="B5041" s="292" t="str">
        <f>HYPERLINK("https://akshar-exim-company-pvt-ltd.odoo.com/web#id=21199&amp;action=152&amp;model=crm.lead&amp;view_type=form&amp;menu_id=111","C2010875")</f>
        <v>C2010875</v>
      </c>
      <c r="C5041" s="41" t="s">
        <v>19742</v>
      </c>
      <c r="D5041" s="41"/>
      <c r="E5041" s="41" t="s">
        <v>19743</v>
      </c>
      <c r="F5041" s="90">
        <v>7.0</v>
      </c>
      <c r="G5041" s="321"/>
      <c r="H5041" s="11" t="s">
        <v>19744</v>
      </c>
      <c r="I5041" s="423"/>
      <c r="J5041" s="14"/>
      <c r="K5041" s="13"/>
      <c r="L5041" s="13"/>
      <c r="M5041" s="14"/>
      <c r="N5041" s="15"/>
      <c r="O5041" s="5" t="s">
        <v>10708</v>
      </c>
      <c r="P5041" s="15"/>
      <c r="Q5041" s="15"/>
      <c r="R5041" s="422"/>
      <c r="S5041" s="15"/>
      <c r="T5041" s="15"/>
      <c r="U5041" s="15"/>
      <c r="V5041" s="15"/>
      <c r="W5041" s="15"/>
      <c r="X5041" s="15"/>
      <c r="Y5041" s="15"/>
      <c r="Z5041" s="15"/>
      <c r="AA5041" s="15"/>
    </row>
    <row r="5042">
      <c r="A5042" s="5" t="s">
        <v>19707</v>
      </c>
      <c r="B5042" s="292" t="str">
        <f>HYPERLINK("https://akshar-exim-company-pvt-ltd.odoo.com/web#id=21198&amp;action=152&amp;model=crm.lead&amp;view_type=form&amp;menu_id=111","C2010874")</f>
        <v>C2010874</v>
      </c>
      <c r="C5042" s="41" t="s">
        <v>19745</v>
      </c>
      <c r="D5042" s="11"/>
      <c r="E5042" s="11" t="s">
        <v>3165</v>
      </c>
      <c r="F5042" s="90">
        <v>50.0</v>
      </c>
      <c r="G5042" s="321"/>
      <c r="H5042" s="11" t="s">
        <v>44</v>
      </c>
      <c r="I5042" s="276"/>
      <c r="J5042" s="11" t="s">
        <v>8773</v>
      </c>
      <c r="K5042" s="13"/>
      <c r="L5042" s="13"/>
      <c r="M5042" s="14"/>
      <c r="N5042" s="15"/>
      <c r="O5042" s="5" t="s">
        <v>10708</v>
      </c>
      <c r="P5042" s="15"/>
      <c r="Q5042" s="15"/>
      <c r="R5042" s="422"/>
      <c r="S5042" s="15"/>
      <c r="T5042" s="15"/>
      <c r="U5042" s="15"/>
      <c r="V5042" s="15"/>
      <c r="W5042" s="15"/>
      <c r="X5042" s="15"/>
      <c r="Y5042" s="15"/>
      <c r="Z5042" s="15"/>
      <c r="AA5042" s="15"/>
    </row>
    <row r="5043">
      <c r="A5043" s="5" t="s">
        <v>19707</v>
      </c>
      <c r="B5043" s="292" t="str">
        <f>HYPERLINK("https://akshar-exim-company-pvt-ltd.odoo.com/web#id=21197&amp;action=152&amp;model=crm.lead&amp;view_type=form&amp;menu_id=111","C2010873")</f>
        <v>C2010873</v>
      </c>
      <c r="C5043" s="41" t="s">
        <v>19746</v>
      </c>
      <c r="D5043" s="405"/>
      <c r="E5043" s="405" t="s">
        <v>262</v>
      </c>
      <c r="F5043" s="9">
        <v>10000.0</v>
      </c>
      <c r="G5043" s="321"/>
      <c r="H5043" s="11" t="s">
        <v>44</v>
      </c>
      <c r="I5043" s="423"/>
      <c r="J5043" s="14"/>
      <c r="K5043" s="12"/>
      <c r="L5043" s="12"/>
      <c r="M5043" s="11" t="s">
        <v>9104</v>
      </c>
      <c r="N5043" s="5" t="s">
        <v>19747</v>
      </c>
      <c r="O5043" s="5" t="s">
        <v>564</v>
      </c>
      <c r="P5043" s="15"/>
      <c r="Q5043" s="15"/>
      <c r="R5043" s="422"/>
      <c r="S5043" s="15"/>
      <c r="T5043" s="15"/>
      <c r="U5043" s="15"/>
      <c r="V5043" s="15"/>
      <c r="W5043" s="15"/>
      <c r="X5043" s="15"/>
      <c r="Y5043" s="15"/>
      <c r="Z5043" s="15"/>
      <c r="AA5043" s="15"/>
    </row>
    <row r="5044">
      <c r="A5044" s="5" t="s">
        <v>19707</v>
      </c>
      <c r="B5044" s="292" t="str">
        <f>HYPERLINK("https://akshar-exim-company-pvt-ltd.odoo.com/web#id=21194&amp;action=152&amp;model=crm.lead&amp;view_type=form&amp;menu_id=111","C2010872")</f>
        <v>C2010872</v>
      </c>
      <c r="C5044" s="41" t="s">
        <v>19748</v>
      </c>
      <c r="D5044" s="41"/>
      <c r="E5044" s="41" t="s">
        <v>9237</v>
      </c>
      <c r="F5044" s="90">
        <v>50.0</v>
      </c>
      <c r="G5044" s="321"/>
      <c r="H5044" s="11" t="s">
        <v>742</v>
      </c>
      <c r="I5044" s="276"/>
      <c r="J5044" s="11" t="s">
        <v>25</v>
      </c>
      <c r="K5044" s="13"/>
      <c r="L5044" s="13"/>
      <c r="M5044" s="14"/>
      <c r="N5044" s="15"/>
      <c r="O5044" s="5" t="s">
        <v>10708</v>
      </c>
      <c r="P5044" s="15"/>
      <c r="Q5044" s="15"/>
      <c r="R5044" s="422"/>
      <c r="S5044" s="15"/>
      <c r="T5044" s="15"/>
      <c r="U5044" s="15"/>
      <c r="V5044" s="15"/>
      <c r="W5044" s="15"/>
      <c r="X5044" s="15"/>
      <c r="Y5044" s="15"/>
      <c r="Z5044" s="15"/>
      <c r="AA5044" s="15"/>
    </row>
    <row r="5045">
      <c r="A5045" s="5" t="s">
        <v>19749</v>
      </c>
      <c r="B5045" s="292" t="str">
        <f>HYPERLINK("https://akshar-exim-company-pvt-ltd.odoo.com/web#id=21187&amp;action=152&amp;model=crm.lead&amp;view_type=form&amp;menu_id=111","C2010870")</f>
        <v>C2010870</v>
      </c>
      <c r="C5045" s="41" t="s">
        <v>19750</v>
      </c>
      <c r="D5045" s="11"/>
      <c r="E5045" s="11" t="s">
        <v>130</v>
      </c>
      <c r="F5045" s="9">
        <v>1000000.0</v>
      </c>
      <c r="G5045" s="430"/>
      <c r="H5045" s="41" t="s">
        <v>19751</v>
      </c>
      <c r="I5045" s="276"/>
      <c r="J5045" s="11" t="s">
        <v>17976</v>
      </c>
      <c r="K5045" s="12"/>
      <c r="L5045" s="12"/>
      <c r="M5045" s="11" t="s">
        <v>18665</v>
      </c>
      <c r="N5045" s="5" t="s">
        <v>19752</v>
      </c>
      <c r="O5045" s="5" t="s">
        <v>17993</v>
      </c>
      <c r="P5045" s="15"/>
      <c r="Q5045" s="15"/>
      <c r="R5045" s="422"/>
      <c r="S5045" s="15"/>
      <c r="T5045" s="15"/>
      <c r="U5045" s="15"/>
      <c r="V5045" s="15"/>
      <c r="W5045" s="15"/>
      <c r="X5045" s="15"/>
      <c r="Y5045" s="15"/>
      <c r="Z5045" s="15"/>
      <c r="AA5045" s="15"/>
    </row>
    <row r="5046">
      <c r="A5046" s="5" t="s">
        <v>19749</v>
      </c>
      <c r="B5046" s="292" t="str">
        <f>HYPERLINK("https://akshar-exim-company-pvt-ltd.odoo.com/web#id=21179&amp;action=152&amp;model=crm.lead&amp;view_type=form&amp;menu_id=111","C2010869")</f>
        <v>C2010869</v>
      </c>
      <c r="C5046" s="41" t="s">
        <v>19753</v>
      </c>
      <c r="D5046" s="14"/>
      <c r="E5046" s="14"/>
      <c r="F5046" s="433"/>
      <c r="G5046" s="434"/>
      <c r="H5046" s="14"/>
      <c r="I5046" s="423"/>
      <c r="J5046" s="14"/>
      <c r="K5046" s="13"/>
      <c r="L5046" s="13"/>
      <c r="M5046" s="14"/>
      <c r="N5046" s="15"/>
      <c r="O5046" s="15"/>
      <c r="P5046" s="15"/>
      <c r="Q5046" s="15"/>
      <c r="R5046" s="422"/>
      <c r="S5046" s="15"/>
      <c r="T5046" s="15"/>
      <c r="U5046" s="15"/>
      <c r="V5046" s="15"/>
      <c r="W5046" s="15"/>
      <c r="X5046" s="15"/>
      <c r="Y5046" s="15"/>
      <c r="Z5046" s="15"/>
      <c r="AA5046" s="15"/>
    </row>
    <row r="5047">
      <c r="A5047" s="5" t="s">
        <v>19749</v>
      </c>
      <c r="B5047" s="292" t="str">
        <f>HYPERLINK("https://akshar-exim-company-pvt-ltd.odoo.com/web#id=21185&amp;action=152&amp;model=crm.lead&amp;view_type=form&amp;menu_id=111","C2010868")</f>
        <v>C2010868</v>
      </c>
      <c r="C5047" s="41" t="s">
        <v>19754</v>
      </c>
      <c r="D5047" s="11"/>
      <c r="E5047" s="11" t="s">
        <v>17988</v>
      </c>
      <c r="F5047" s="90">
        <v>2.0</v>
      </c>
      <c r="G5047" s="321"/>
      <c r="H5047" s="11" t="s">
        <v>19755</v>
      </c>
      <c r="I5047" s="423"/>
      <c r="J5047" s="14"/>
      <c r="K5047" s="13"/>
      <c r="L5047" s="13"/>
      <c r="M5047" s="14"/>
      <c r="N5047" s="15"/>
      <c r="O5047" s="5" t="s">
        <v>10708</v>
      </c>
      <c r="P5047" s="15"/>
      <c r="Q5047" s="15"/>
      <c r="R5047" s="422"/>
      <c r="S5047" s="15"/>
      <c r="T5047" s="15"/>
      <c r="U5047" s="15"/>
      <c r="V5047" s="15"/>
      <c r="W5047" s="15"/>
      <c r="X5047" s="15"/>
      <c r="Y5047" s="15"/>
      <c r="Z5047" s="15"/>
      <c r="AA5047" s="15"/>
    </row>
    <row r="5048">
      <c r="A5048" s="5" t="s">
        <v>19749</v>
      </c>
      <c r="B5048" s="292" t="str">
        <f>HYPERLINK("https://akshar-exim-company-pvt-ltd.odoo.com/web#id=21160&amp;action=152&amp;model=crm.lead&amp;view_type=form&amp;menu_id=111","C2010867")</f>
        <v>C2010867</v>
      </c>
      <c r="C5048" s="41" t="s">
        <v>19756</v>
      </c>
      <c r="D5048" s="41"/>
      <c r="E5048" s="41" t="s">
        <v>19757</v>
      </c>
      <c r="F5048" s="90">
        <v>100.0</v>
      </c>
      <c r="G5048" s="430"/>
      <c r="H5048" s="41" t="s">
        <v>4271</v>
      </c>
      <c r="I5048" s="423"/>
      <c r="J5048" s="14"/>
      <c r="K5048" s="13"/>
      <c r="L5048" s="13"/>
      <c r="M5048" s="14"/>
      <c r="N5048" s="15"/>
      <c r="O5048" s="5" t="s">
        <v>10708</v>
      </c>
      <c r="P5048" s="15"/>
      <c r="Q5048" s="15"/>
      <c r="R5048" s="422"/>
      <c r="S5048" s="15"/>
      <c r="T5048" s="15"/>
      <c r="U5048" s="15"/>
      <c r="V5048" s="15"/>
      <c r="W5048" s="15"/>
      <c r="X5048" s="15"/>
      <c r="Y5048" s="15"/>
      <c r="Z5048" s="15"/>
      <c r="AA5048" s="15"/>
    </row>
    <row r="5049">
      <c r="A5049" s="5" t="s">
        <v>19749</v>
      </c>
      <c r="B5049" s="292" t="str">
        <f>HYPERLINK("https://akshar-exim-company-pvt-ltd.odoo.com/web#id=21163&amp;action=152&amp;model=crm.lead&amp;view_type=form&amp;menu_id=111","C2010866")</f>
        <v>C2010866</v>
      </c>
      <c r="C5049" s="41" t="s">
        <v>19758</v>
      </c>
      <c r="D5049" s="405"/>
      <c r="E5049" s="405" t="s">
        <v>19759</v>
      </c>
      <c r="F5049" s="90">
        <v>10.0</v>
      </c>
      <c r="G5049" s="434"/>
      <c r="H5049" s="14"/>
      <c r="I5049" s="423"/>
      <c r="J5049" s="14"/>
      <c r="K5049" s="13"/>
      <c r="L5049" s="13"/>
      <c r="M5049" s="14"/>
      <c r="N5049" s="15"/>
      <c r="O5049" s="15"/>
      <c r="P5049" s="15"/>
      <c r="Q5049" s="15"/>
      <c r="R5049" s="422"/>
      <c r="S5049" s="15"/>
      <c r="T5049" s="15"/>
      <c r="U5049" s="15"/>
      <c r="V5049" s="15"/>
      <c r="W5049" s="15"/>
      <c r="X5049" s="15"/>
      <c r="Y5049" s="15"/>
      <c r="Z5049" s="15"/>
      <c r="AA5049" s="15"/>
    </row>
    <row r="5050">
      <c r="A5050" s="5" t="s">
        <v>19749</v>
      </c>
      <c r="B5050" s="292" t="str">
        <f>HYPERLINK("https://akshar-exim-company-pvt-ltd.odoo.com/web#id=21165&amp;action=152&amp;model=crm.lead&amp;view_type=form&amp;menu_id=111","C2010865")</f>
        <v>C2010865</v>
      </c>
      <c r="C5050" s="41" t="s">
        <v>19760</v>
      </c>
      <c r="D5050" s="41"/>
      <c r="E5050" s="41" t="s">
        <v>6027</v>
      </c>
      <c r="F5050" s="90">
        <v>500.0</v>
      </c>
      <c r="G5050" s="321"/>
      <c r="H5050" s="11" t="s">
        <v>19426</v>
      </c>
      <c r="I5050" s="276"/>
      <c r="J5050" s="11" t="s">
        <v>4008</v>
      </c>
      <c r="K5050" s="12"/>
      <c r="L5050" s="12"/>
      <c r="M5050" s="11" t="s">
        <v>19761</v>
      </c>
      <c r="N5050" s="5" t="s">
        <v>19762</v>
      </c>
      <c r="O5050" s="5" t="s">
        <v>19763</v>
      </c>
      <c r="P5050" s="15"/>
      <c r="Q5050" s="15"/>
      <c r="R5050" s="422"/>
      <c r="S5050" s="15"/>
      <c r="T5050" s="15"/>
      <c r="U5050" s="15"/>
      <c r="V5050" s="15"/>
      <c r="W5050" s="15"/>
      <c r="X5050" s="15"/>
      <c r="Y5050" s="15"/>
      <c r="Z5050" s="15"/>
      <c r="AA5050" s="15"/>
    </row>
    <row r="5051">
      <c r="A5051" s="5" t="s">
        <v>19749</v>
      </c>
      <c r="B5051" s="292" t="str">
        <f>HYPERLINK("https://akshar-exim-company-pvt-ltd.odoo.com/web#id=21166&amp;action=152&amp;model=crm.lead&amp;view_type=form&amp;menu_id=111","C2010864")</f>
        <v>C2010864</v>
      </c>
      <c r="C5051" s="41" t="s">
        <v>19764</v>
      </c>
      <c r="D5051" s="41"/>
      <c r="E5051" s="41" t="s">
        <v>9283</v>
      </c>
      <c r="F5051" s="90">
        <v>1.0</v>
      </c>
      <c r="G5051" s="321"/>
      <c r="H5051" s="11" t="s">
        <v>1461</v>
      </c>
      <c r="I5051" s="276"/>
      <c r="J5051" s="11" t="s">
        <v>14563</v>
      </c>
      <c r="K5051" s="13"/>
      <c r="L5051" s="13"/>
      <c r="M5051" s="14"/>
      <c r="N5051" s="15"/>
      <c r="O5051" s="5" t="s">
        <v>10708</v>
      </c>
      <c r="P5051" s="15"/>
      <c r="Q5051" s="15"/>
      <c r="R5051" s="422"/>
      <c r="S5051" s="15"/>
      <c r="T5051" s="15"/>
      <c r="U5051" s="15"/>
      <c r="V5051" s="15"/>
      <c r="W5051" s="15"/>
      <c r="X5051" s="15"/>
      <c r="Y5051" s="15"/>
      <c r="Z5051" s="15"/>
      <c r="AA5051" s="15"/>
    </row>
    <row r="5052">
      <c r="A5052" s="5" t="s">
        <v>19749</v>
      </c>
      <c r="B5052" s="292" t="str">
        <f>HYPERLINK("https://akshar-exim-company-pvt-ltd.odoo.com/web#id=21167&amp;action=152&amp;model=crm.lead&amp;view_type=form&amp;menu_id=111","C2010863 ")</f>
        <v>C2010863 </v>
      </c>
      <c r="C5052" s="41" t="s">
        <v>19765</v>
      </c>
      <c r="D5052" s="11"/>
      <c r="E5052" s="11" t="s">
        <v>3165</v>
      </c>
      <c r="F5052" s="90">
        <v>50.0</v>
      </c>
      <c r="G5052" s="321"/>
      <c r="H5052" s="11" t="s">
        <v>44</v>
      </c>
      <c r="I5052" s="276"/>
      <c r="J5052" s="11" t="s">
        <v>8773</v>
      </c>
      <c r="K5052" s="13"/>
      <c r="L5052" s="13"/>
      <c r="M5052" s="14"/>
      <c r="N5052" s="15"/>
      <c r="O5052" s="5" t="s">
        <v>10708</v>
      </c>
      <c r="P5052" s="15"/>
      <c r="Q5052" s="15"/>
      <c r="R5052" s="422"/>
      <c r="S5052" s="15"/>
      <c r="T5052" s="15"/>
      <c r="U5052" s="15"/>
      <c r="V5052" s="15"/>
      <c r="W5052" s="15"/>
      <c r="X5052" s="15"/>
      <c r="Y5052" s="15"/>
      <c r="Z5052" s="15"/>
      <c r="AA5052" s="15"/>
    </row>
    <row r="5053">
      <c r="A5053" s="5" t="s">
        <v>19749</v>
      </c>
      <c r="B5053" s="292" t="str">
        <f>HYPERLINK("https://akshar-exim-company-pvt-ltd.odoo.com/web#id=21159&amp;action=152&amp;model=crm.lead&amp;view_type=form&amp;menu_id=111","C2010862")</f>
        <v>C2010862</v>
      </c>
      <c r="C5053" s="41" t="s">
        <v>9356</v>
      </c>
      <c r="D5053" s="11"/>
      <c r="E5053" s="11" t="s">
        <v>152</v>
      </c>
      <c r="F5053" s="90">
        <v>200.0</v>
      </c>
      <c r="G5053" s="430"/>
      <c r="H5053" s="41" t="s">
        <v>9266</v>
      </c>
      <c r="I5053" s="276"/>
      <c r="J5053" s="11" t="s">
        <v>12745</v>
      </c>
      <c r="K5053" s="12"/>
      <c r="L5053" s="12"/>
      <c r="M5053" s="11" t="s">
        <v>9587</v>
      </c>
      <c r="N5053" s="5" t="s">
        <v>19766</v>
      </c>
      <c r="O5053" s="5" t="s">
        <v>17993</v>
      </c>
      <c r="P5053" s="15"/>
      <c r="Q5053" s="15"/>
      <c r="R5053" s="422"/>
      <c r="S5053" s="15"/>
      <c r="T5053" s="15"/>
      <c r="U5053" s="15"/>
      <c r="V5053" s="15"/>
      <c r="W5053" s="15"/>
      <c r="X5053" s="15"/>
      <c r="Y5053" s="15"/>
      <c r="Z5053" s="15"/>
      <c r="AA5053" s="15"/>
    </row>
    <row r="5054">
      <c r="A5054" s="5" t="s">
        <v>19749</v>
      </c>
      <c r="B5054" s="292" t="str">
        <f>HYPERLINK("https://akshar-exim-company-pvt-ltd.odoo.com/web#id=21157&amp;action=152&amp;model=crm.lead&amp;view_type=form&amp;menu_id=111","C2010861")</f>
        <v>C2010861</v>
      </c>
      <c r="C5054" s="41" t="s">
        <v>19767</v>
      </c>
      <c r="D5054" s="41"/>
      <c r="E5054" s="41" t="s">
        <v>9237</v>
      </c>
      <c r="F5054" s="90">
        <v>1.0</v>
      </c>
      <c r="G5054" s="430"/>
      <c r="H5054" s="41" t="s">
        <v>507</v>
      </c>
      <c r="I5054" s="423"/>
      <c r="J5054" s="14"/>
      <c r="K5054" s="13"/>
      <c r="L5054" s="13"/>
      <c r="M5054" s="14"/>
      <c r="N5054" s="15"/>
      <c r="O5054" s="5" t="s">
        <v>10708</v>
      </c>
      <c r="P5054" s="15"/>
      <c r="Q5054" s="15"/>
      <c r="R5054" s="422"/>
      <c r="S5054" s="15"/>
      <c r="T5054" s="15"/>
      <c r="U5054" s="15"/>
      <c r="V5054" s="15"/>
      <c r="W5054" s="15"/>
      <c r="X5054" s="15"/>
      <c r="Y5054" s="15"/>
      <c r="Z5054" s="15"/>
      <c r="AA5054" s="15"/>
    </row>
    <row r="5055">
      <c r="A5055" s="5" t="s">
        <v>19749</v>
      </c>
      <c r="B5055" s="292" t="str">
        <f>HYPERLINK("https://akshar-exim-company-pvt-ltd.odoo.com/web#id=21156&amp;action=152&amp;model=crm.lead&amp;view_type=form&amp;menu_id=111","C2010860")</f>
        <v>C2010860</v>
      </c>
      <c r="C5055" s="41" t="s">
        <v>19768</v>
      </c>
      <c r="D5055" s="405"/>
      <c r="E5055" s="405" t="s">
        <v>19769</v>
      </c>
      <c r="F5055" s="90">
        <v>1000.0</v>
      </c>
      <c r="G5055" s="430"/>
      <c r="H5055" s="41" t="s">
        <v>19770</v>
      </c>
      <c r="I5055" s="423"/>
      <c r="J5055" s="14"/>
      <c r="K5055" s="13"/>
      <c r="L5055" s="13"/>
      <c r="M5055" s="14"/>
      <c r="N5055" s="15"/>
      <c r="O5055" s="5" t="s">
        <v>17993</v>
      </c>
      <c r="P5055" s="15"/>
      <c r="Q5055" s="15"/>
      <c r="R5055" s="422"/>
      <c r="S5055" s="15"/>
      <c r="T5055" s="15"/>
      <c r="U5055" s="15"/>
      <c r="V5055" s="15"/>
      <c r="W5055" s="15"/>
      <c r="X5055" s="15"/>
      <c r="Y5055" s="15"/>
      <c r="Z5055" s="15"/>
      <c r="AA5055" s="15"/>
    </row>
    <row r="5056">
      <c r="A5056" s="5" t="s">
        <v>19749</v>
      </c>
      <c r="B5056" s="292" t="str">
        <f>HYPERLINK("https://akshar-exim-company-pvt-ltd.odoo.com/web#id=21005&amp;action=152&amp;model=crm.lead&amp;view_type=form&amp;menu_id=111","C2010859")</f>
        <v>C2010859</v>
      </c>
      <c r="C5056" s="41" t="s">
        <v>19771</v>
      </c>
      <c r="D5056" s="11"/>
      <c r="E5056" s="11" t="s">
        <v>130</v>
      </c>
      <c r="F5056" s="433"/>
      <c r="G5056" s="434"/>
      <c r="H5056" s="14"/>
      <c r="I5056" s="423"/>
      <c r="J5056" s="14"/>
      <c r="K5056" s="13"/>
      <c r="L5056" s="13"/>
      <c r="M5056" s="14"/>
      <c r="N5056" s="15"/>
      <c r="O5056" s="15"/>
      <c r="P5056" s="15"/>
      <c r="Q5056" s="15"/>
      <c r="R5056" s="422"/>
      <c r="S5056" s="15"/>
      <c r="T5056" s="15"/>
      <c r="U5056" s="15"/>
      <c r="V5056" s="15"/>
      <c r="W5056" s="15"/>
      <c r="X5056" s="15"/>
      <c r="Y5056" s="15"/>
      <c r="Z5056" s="15"/>
      <c r="AA5056" s="15"/>
    </row>
    <row r="5057">
      <c r="A5057" s="5" t="s">
        <v>19749</v>
      </c>
      <c r="B5057" s="292" t="str">
        <f>HYPERLINK("https://akshar-exim-company-pvt-ltd.odoo.com/web#id=21016&amp;action=152&amp;model=crm.lead&amp;view_type=form&amp;menu_id=111","C2010858")</f>
        <v>C2010858</v>
      </c>
      <c r="C5057" s="41" t="s">
        <v>19772</v>
      </c>
      <c r="D5057" s="11"/>
      <c r="E5057" s="11" t="s">
        <v>167</v>
      </c>
      <c r="F5057" s="90">
        <v>10.0</v>
      </c>
      <c r="G5057" s="321"/>
      <c r="H5057" s="11" t="s">
        <v>2662</v>
      </c>
      <c r="I5057" s="423"/>
      <c r="J5057" s="14"/>
      <c r="K5057" s="13"/>
      <c r="L5057" s="13"/>
      <c r="M5057" s="14"/>
      <c r="N5057" s="15"/>
      <c r="O5057" s="5" t="s">
        <v>10708</v>
      </c>
      <c r="P5057" s="15"/>
      <c r="Q5057" s="15"/>
      <c r="R5057" s="422"/>
      <c r="S5057" s="15"/>
      <c r="T5057" s="15"/>
      <c r="U5057" s="15"/>
      <c r="V5057" s="15"/>
      <c r="W5057" s="15"/>
      <c r="X5057" s="15"/>
      <c r="Y5057" s="15"/>
      <c r="Z5057" s="15"/>
      <c r="AA5057" s="15"/>
    </row>
    <row r="5058">
      <c r="A5058" s="5" t="s">
        <v>19749</v>
      </c>
      <c r="B5058" s="292" t="str">
        <f>HYPERLINK("https://akshar-exim-company-pvt-ltd.odoo.com/web#id=21025&amp;action=152&amp;model=crm.lead&amp;view_type=form&amp;menu_id=111","C2010857")</f>
        <v>C2010857</v>
      </c>
      <c r="C5058" s="40" t="s">
        <v>19773</v>
      </c>
      <c r="D5058" s="405"/>
      <c r="E5058" s="405" t="s">
        <v>3864</v>
      </c>
      <c r="F5058" s="90">
        <v>10.0</v>
      </c>
      <c r="G5058" s="321"/>
      <c r="H5058" s="11" t="s">
        <v>44</v>
      </c>
      <c r="I5058" s="423"/>
      <c r="J5058" s="14"/>
      <c r="K5058" s="13"/>
      <c r="L5058" s="13"/>
      <c r="M5058" s="14"/>
      <c r="N5058" s="15"/>
      <c r="O5058" s="5" t="s">
        <v>10708</v>
      </c>
      <c r="P5058" s="15"/>
      <c r="Q5058" s="15"/>
      <c r="R5058" s="422"/>
      <c r="S5058" s="15"/>
      <c r="T5058" s="15"/>
      <c r="U5058" s="15"/>
      <c r="V5058" s="15"/>
      <c r="W5058" s="15"/>
      <c r="X5058" s="15"/>
      <c r="Y5058" s="15"/>
      <c r="Z5058" s="15"/>
      <c r="AA5058" s="15"/>
    </row>
    <row r="5059">
      <c r="A5059" s="5" t="s">
        <v>19749</v>
      </c>
      <c r="B5059" s="292" t="str">
        <f>HYPERLINK("https://akshar-exim-company-pvt-ltd.odoo.com/web#id=21119&amp;action=152&amp;model=crm.lead&amp;view_type=form&amp;menu_id=111","C2010856")</f>
        <v>C2010856</v>
      </c>
      <c r="C5059" s="41" t="s">
        <v>19774</v>
      </c>
      <c r="D5059" s="11"/>
      <c r="E5059" s="11" t="s">
        <v>6323</v>
      </c>
      <c r="F5059" s="90">
        <v>25.0</v>
      </c>
      <c r="G5059" s="430"/>
      <c r="H5059" s="41" t="s">
        <v>19775</v>
      </c>
      <c r="I5059" s="423"/>
      <c r="J5059" s="14"/>
      <c r="K5059" s="13"/>
      <c r="L5059" s="13"/>
      <c r="M5059" s="14"/>
      <c r="N5059" s="15"/>
      <c r="O5059" s="5" t="s">
        <v>10708</v>
      </c>
      <c r="P5059" s="15"/>
      <c r="Q5059" s="15"/>
      <c r="R5059" s="422"/>
      <c r="S5059" s="15"/>
      <c r="T5059" s="15"/>
      <c r="U5059" s="15"/>
      <c r="V5059" s="15"/>
      <c r="W5059" s="15"/>
      <c r="X5059" s="15"/>
      <c r="Y5059" s="15"/>
      <c r="Z5059" s="15"/>
      <c r="AA5059" s="15"/>
    </row>
    <row r="5060">
      <c r="A5060" s="5" t="s">
        <v>19749</v>
      </c>
      <c r="B5060" s="292" t="str">
        <f>HYPERLINK("https://akshar-exim-company-pvt-ltd.odoo.com/web#id=21123&amp;action=152&amp;model=crm.lead&amp;view_type=form&amp;menu_id=111","C2010855")</f>
        <v>C2010855</v>
      </c>
      <c r="C5060" s="424" t="s">
        <v>19776</v>
      </c>
      <c r="D5060" s="11"/>
      <c r="E5060" s="11" t="s">
        <v>2266</v>
      </c>
      <c r="F5060" s="9">
        <v>10000.0</v>
      </c>
      <c r="G5060" s="430"/>
      <c r="H5060" s="41" t="s">
        <v>19777</v>
      </c>
      <c r="I5060" s="423"/>
      <c r="J5060" s="14"/>
      <c r="K5060" s="12"/>
      <c r="L5060" s="12"/>
      <c r="M5060" s="11" t="s">
        <v>7884</v>
      </c>
      <c r="N5060" s="5" t="s">
        <v>19778</v>
      </c>
      <c r="O5060" s="5" t="s">
        <v>1112</v>
      </c>
      <c r="P5060" s="15"/>
      <c r="Q5060" s="15"/>
      <c r="R5060" s="422"/>
      <c r="S5060" s="15"/>
      <c r="T5060" s="15"/>
      <c r="U5060" s="15"/>
      <c r="V5060" s="15"/>
      <c r="W5060" s="15"/>
      <c r="X5060" s="15"/>
      <c r="Y5060" s="15"/>
      <c r="Z5060" s="15"/>
      <c r="AA5060" s="15"/>
    </row>
    <row r="5061">
      <c r="A5061" s="5" t="s">
        <v>19749</v>
      </c>
      <c r="B5061" s="292" t="str">
        <f>HYPERLINK("https://akshar-exim-company-pvt-ltd.odoo.com/web#id=21125&amp;action=152&amp;model=crm.lead&amp;view_type=form&amp;menu_id=111","C2010854")</f>
        <v>C2010854</v>
      </c>
      <c r="C5061" s="41" t="s">
        <v>19779</v>
      </c>
      <c r="D5061" s="11"/>
      <c r="E5061" s="11" t="s">
        <v>19319</v>
      </c>
      <c r="F5061" s="433"/>
      <c r="G5061" s="434"/>
      <c r="H5061" s="14"/>
      <c r="I5061" s="423"/>
      <c r="J5061" s="14"/>
      <c r="K5061" s="13"/>
      <c r="L5061" s="13"/>
      <c r="M5061" s="14"/>
      <c r="N5061" s="15"/>
      <c r="O5061" s="15"/>
      <c r="P5061" s="15"/>
      <c r="Q5061" s="15"/>
      <c r="R5061" s="422"/>
      <c r="S5061" s="15"/>
      <c r="T5061" s="15"/>
      <c r="U5061" s="15"/>
      <c r="V5061" s="15"/>
      <c r="W5061" s="15"/>
      <c r="X5061" s="15"/>
      <c r="Y5061" s="15"/>
      <c r="Z5061" s="15"/>
      <c r="AA5061" s="15"/>
    </row>
    <row r="5062">
      <c r="A5062" s="5" t="s">
        <v>19749</v>
      </c>
      <c r="B5062" s="292" t="str">
        <f>HYPERLINK("https://akshar-exim-company-pvt-ltd.odoo.com/web#id=21130&amp;action=152&amp;model=crm.lead&amp;view_type=form&amp;menu_id=111","C2010853")</f>
        <v>C2010853</v>
      </c>
      <c r="C5062" s="41" t="s">
        <v>19780</v>
      </c>
      <c r="D5062" s="405"/>
      <c r="E5062" s="405" t="s">
        <v>9862</v>
      </c>
      <c r="F5062" s="90">
        <v>8000.0</v>
      </c>
      <c r="G5062" s="321"/>
      <c r="H5062" s="11" t="s">
        <v>278</v>
      </c>
      <c r="I5062" s="423"/>
      <c r="J5062" s="14"/>
      <c r="K5062" s="12"/>
      <c r="L5062" s="12"/>
      <c r="M5062" s="11" t="s">
        <v>19781</v>
      </c>
      <c r="N5062" s="5" t="s">
        <v>19782</v>
      </c>
      <c r="O5062" s="5" t="s">
        <v>10708</v>
      </c>
      <c r="P5062" s="15"/>
      <c r="Q5062" s="15"/>
      <c r="R5062" s="422"/>
      <c r="S5062" s="15"/>
      <c r="T5062" s="15"/>
      <c r="U5062" s="15"/>
      <c r="V5062" s="15"/>
      <c r="W5062" s="15"/>
      <c r="X5062" s="15"/>
      <c r="Y5062" s="15"/>
      <c r="Z5062" s="15"/>
      <c r="AA5062" s="15"/>
    </row>
    <row r="5063">
      <c r="A5063" s="5" t="s">
        <v>19749</v>
      </c>
      <c r="B5063" s="292" t="str">
        <f>HYPERLINK("https://akshar-exim-company-pvt-ltd.odoo.com/web#id=21131&amp;action=152&amp;model=crm.lead&amp;view_type=form&amp;menu_id=111","C2010852")</f>
        <v>C2010852</v>
      </c>
      <c r="C5063" s="41" t="s">
        <v>19783</v>
      </c>
      <c r="D5063" s="405"/>
      <c r="E5063" s="405" t="s">
        <v>8704</v>
      </c>
      <c r="F5063" s="90">
        <v>1.0</v>
      </c>
      <c r="G5063" s="321"/>
      <c r="H5063" s="11" t="s">
        <v>742</v>
      </c>
      <c r="I5063" s="423"/>
      <c r="J5063" s="14"/>
      <c r="K5063" s="13"/>
      <c r="L5063" s="13"/>
      <c r="M5063" s="14"/>
      <c r="N5063" s="15"/>
      <c r="O5063" s="5" t="s">
        <v>10708</v>
      </c>
      <c r="P5063" s="15"/>
      <c r="Q5063" s="15"/>
      <c r="R5063" s="422"/>
      <c r="S5063" s="15"/>
      <c r="T5063" s="15"/>
      <c r="U5063" s="15"/>
      <c r="V5063" s="15"/>
      <c r="W5063" s="15"/>
      <c r="X5063" s="15"/>
      <c r="Y5063" s="15"/>
      <c r="Z5063" s="15"/>
      <c r="AA5063" s="15"/>
    </row>
    <row r="5064">
      <c r="A5064" s="5" t="s">
        <v>19749</v>
      </c>
      <c r="B5064" s="292" t="str">
        <f>HYPERLINK("https://akshar-exim-company-pvt-ltd.odoo.com/web#id=21144&amp;action=152&amp;model=crm.lead&amp;view_type=form&amp;menu_id=111","C2010851")</f>
        <v>C2010851</v>
      </c>
      <c r="C5064" s="41" t="s">
        <v>19784</v>
      </c>
      <c r="D5064" s="11"/>
      <c r="E5064" s="11" t="s">
        <v>189</v>
      </c>
      <c r="F5064" s="9">
        <v>25000.0</v>
      </c>
      <c r="G5064" s="321"/>
      <c r="H5064" s="11" t="s">
        <v>44</v>
      </c>
      <c r="I5064" s="276"/>
      <c r="J5064" s="11" t="s">
        <v>4008</v>
      </c>
      <c r="K5064" s="12"/>
      <c r="L5064" s="12"/>
      <c r="M5064" s="11" t="s">
        <v>8860</v>
      </c>
      <c r="N5064" s="5" t="s">
        <v>19785</v>
      </c>
      <c r="O5064" s="5" t="s">
        <v>564</v>
      </c>
      <c r="P5064" s="15"/>
      <c r="Q5064" s="15"/>
      <c r="R5064" s="422"/>
      <c r="S5064" s="15"/>
      <c r="T5064" s="15"/>
      <c r="U5064" s="15"/>
      <c r="V5064" s="15"/>
      <c r="W5064" s="15"/>
      <c r="X5064" s="15"/>
      <c r="Y5064" s="15"/>
      <c r="Z5064" s="15"/>
      <c r="AA5064" s="15"/>
    </row>
    <row r="5065">
      <c r="A5065" s="5" t="s">
        <v>19749</v>
      </c>
      <c r="B5065" s="292" t="str">
        <f>HYPERLINK("https://akshar-exim-company-pvt-ltd.odoo.com/web#id=21147&amp;action=152&amp;model=crm.lead&amp;view_type=form&amp;menu_id=111","C2010850")</f>
        <v>C2010850</v>
      </c>
      <c r="C5065" s="41" t="s">
        <v>19786</v>
      </c>
      <c r="D5065" s="41"/>
      <c r="E5065" s="41" t="s">
        <v>19787</v>
      </c>
      <c r="F5065" s="90">
        <v>1.0</v>
      </c>
      <c r="G5065" s="321"/>
      <c r="H5065" s="11" t="s">
        <v>906</v>
      </c>
      <c r="I5065" s="276"/>
      <c r="J5065" s="11" t="s">
        <v>25</v>
      </c>
      <c r="K5065" s="13"/>
      <c r="L5065" s="13"/>
      <c r="M5065" s="14"/>
      <c r="N5065" s="15"/>
      <c r="O5065" s="5" t="s">
        <v>10708</v>
      </c>
      <c r="P5065" s="15"/>
      <c r="Q5065" s="15"/>
      <c r="R5065" s="422"/>
      <c r="S5065" s="15"/>
      <c r="T5065" s="15"/>
      <c r="U5065" s="15"/>
      <c r="V5065" s="15"/>
      <c r="W5065" s="15"/>
      <c r="X5065" s="15"/>
      <c r="Y5065" s="15"/>
      <c r="Z5065" s="15"/>
      <c r="AA5065" s="15"/>
    </row>
    <row r="5066">
      <c r="A5066" s="5" t="s">
        <v>19749</v>
      </c>
      <c r="B5066" s="292" t="str">
        <f>HYPERLINK("https://akshar-exim-company-pvt-ltd.odoo.com/web#id=21009&amp;action=152&amp;model=crm.lead&amp;view_type=form&amp;menu_id=111","C2010849")</f>
        <v>C2010849</v>
      </c>
      <c r="C5066" s="40" t="s">
        <v>19114</v>
      </c>
      <c r="D5066" s="11"/>
      <c r="E5066" s="11" t="s">
        <v>14677</v>
      </c>
      <c r="F5066" s="90">
        <v>100.0</v>
      </c>
      <c r="G5066" s="321"/>
      <c r="H5066" s="11" t="s">
        <v>1561</v>
      </c>
      <c r="I5066" s="276"/>
      <c r="J5066" s="11" t="s">
        <v>7109</v>
      </c>
      <c r="K5066" s="12"/>
      <c r="L5066" s="12"/>
      <c r="M5066" s="11" t="s">
        <v>12184</v>
      </c>
      <c r="N5066" s="5" t="s">
        <v>19788</v>
      </c>
      <c r="O5066" s="5" t="s">
        <v>10708</v>
      </c>
      <c r="P5066" s="15"/>
      <c r="Q5066" s="15"/>
      <c r="R5066" s="422"/>
      <c r="S5066" s="15"/>
      <c r="T5066" s="15"/>
      <c r="U5066" s="15"/>
      <c r="V5066" s="15"/>
      <c r="W5066" s="15"/>
      <c r="X5066" s="15"/>
      <c r="Y5066" s="15"/>
      <c r="Z5066" s="15"/>
      <c r="AA5066" s="15"/>
    </row>
    <row r="5067">
      <c r="A5067" s="5" t="s">
        <v>19749</v>
      </c>
      <c r="B5067" s="292" t="str">
        <f>HYPERLINK("https://akshar-exim-company-pvt-ltd.odoo.com/web#id=21010&amp;action=152&amp;model=crm.lead&amp;view_type=form&amp;menu_id=111","C2010848")</f>
        <v>C2010848</v>
      </c>
      <c r="C5067" s="40" t="s">
        <v>19789</v>
      </c>
      <c r="D5067" s="11"/>
      <c r="E5067" s="11" t="s">
        <v>130</v>
      </c>
      <c r="F5067" s="90">
        <v>2000.0</v>
      </c>
      <c r="G5067" s="321"/>
      <c r="H5067" s="11" t="s">
        <v>19790</v>
      </c>
      <c r="I5067" s="423"/>
      <c r="J5067" s="14"/>
      <c r="K5067" s="12"/>
      <c r="L5067" s="12"/>
      <c r="M5067" s="11" t="s">
        <v>10171</v>
      </c>
      <c r="N5067" s="5" t="s">
        <v>19791</v>
      </c>
      <c r="O5067" s="5" t="s">
        <v>564</v>
      </c>
      <c r="P5067" s="15"/>
      <c r="Q5067" s="15"/>
      <c r="R5067" s="422"/>
      <c r="S5067" s="15"/>
      <c r="T5067" s="15"/>
      <c r="U5067" s="15"/>
      <c r="V5067" s="15"/>
      <c r="W5067" s="15"/>
      <c r="X5067" s="15"/>
      <c r="Y5067" s="15"/>
      <c r="Z5067" s="15"/>
      <c r="AA5067" s="15"/>
    </row>
    <row r="5068">
      <c r="A5068" s="5" t="s">
        <v>19749</v>
      </c>
      <c r="B5068" s="292" t="str">
        <f>HYPERLINK("https://akshar-exim-company-pvt-ltd.odoo.com/web#id=21053&amp;action=152&amp;model=crm.lead&amp;view_type=form&amp;menu_id=111","C2010847")</f>
        <v>C2010847</v>
      </c>
      <c r="C5068" s="40" t="s">
        <v>19792</v>
      </c>
      <c r="D5068" s="11"/>
      <c r="E5068" s="11" t="s">
        <v>9434</v>
      </c>
      <c r="F5068" s="90">
        <v>1000.0</v>
      </c>
      <c r="G5068" s="321"/>
      <c r="H5068" s="11" t="s">
        <v>44</v>
      </c>
      <c r="I5068" s="423"/>
      <c r="J5068" s="14"/>
      <c r="K5068" s="12"/>
      <c r="L5068" s="12"/>
      <c r="M5068" s="11" t="s">
        <v>8348</v>
      </c>
      <c r="N5068" s="5" t="s">
        <v>19793</v>
      </c>
      <c r="O5068" s="5" t="s">
        <v>564</v>
      </c>
      <c r="P5068" s="15"/>
      <c r="Q5068" s="15"/>
      <c r="R5068" s="422"/>
      <c r="S5068" s="15"/>
      <c r="T5068" s="15"/>
      <c r="U5068" s="15"/>
      <c r="V5068" s="15"/>
      <c r="W5068" s="15"/>
      <c r="X5068" s="15"/>
      <c r="Y5068" s="15"/>
      <c r="Z5068" s="15"/>
      <c r="AA5068" s="15"/>
    </row>
    <row r="5069">
      <c r="A5069" s="5" t="s">
        <v>19749</v>
      </c>
      <c r="B5069" s="292" t="str">
        <f>HYPERLINK("https://akshar-exim-company-pvt-ltd.odoo.com/web#id=21054&amp;action=152&amp;model=crm.lead&amp;view_type=form&amp;menu_id=111","C2010846")</f>
        <v>C2010846</v>
      </c>
      <c r="C5069" s="40" t="s">
        <v>19794</v>
      </c>
      <c r="D5069" s="11"/>
      <c r="E5069" s="11" t="s">
        <v>167</v>
      </c>
      <c r="F5069" s="90">
        <v>6264.0</v>
      </c>
      <c r="G5069" s="321"/>
      <c r="H5069" s="11" t="s">
        <v>19795</v>
      </c>
      <c r="I5069" s="276"/>
      <c r="J5069" s="11" t="s">
        <v>18788</v>
      </c>
      <c r="K5069" s="12"/>
      <c r="L5069" s="12"/>
      <c r="M5069" s="11" t="s">
        <v>11788</v>
      </c>
      <c r="N5069" s="5" t="s">
        <v>19796</v>
      </c>
      <c r="O5069" s="5" t="s">
        <v>17993</v>
      </c>
      <c r="P5069" s="15"/>
      <c r="Q5069" s="15"/>
      <c r="R5069" s="422"/>
      <c r="S5069" s="15"/>
      <c r="T5069" s="15"/>
      <c r="U5069" s="15"/>
      <c r="V5069" s="15"/>
      <c r="W5069" s="15"/>
      <c r="X5069" s="15"/>
      <c r="Y5069" s="15"/>
      <c r="Z5069" s="15"/>
      <c r="AA5069" s="15"/>
    </row>
    <row r="5070">
      <c r="A5070" s="5" t="s">
        <v>19749</v>
      </c>
      <c r="B5070" s="292" t="str">
        <f>HYPERLINK("https://akshar-exim-company-pvt-ltd.odoo.com/web#id=21058&amp;action=152&amp;model=crm.lead&amp;view_type=form&amp;menu_id=111","C2010845")</f>
        <v>C2010845</v>
      </c>
      <c r="C5070" s="40" t="s">
        <v>19797</v>
      </c>
      <c r="D5070" s="11"/>
      <c r="E5070" s="11" t="s">
        <v>130</v>
      </c>
      <c r="F5070" s="90">
        <v>300.0</v>
      </c>
      <c r="G5070" s="321"/>
      <c r="H5070" s="11" t="s">
        <v>218</v>
      </c>
      <c r="I5070" s="423"/>
      <c r="J5070" s="14"/>
      <c r="K5070" s="12"/>
      <c r="L5070" s="12"/>
      <c r="M5070" s="11" t="s">
        <v>19798</v>
      </c>
      <c r="N5070" s="5" t="s">
        <v>19799</v>
      </c>
      <c r="O5070" s="5" t="s">
        <v>564</v>
      </c>
      <c r="P5070" s="15"/>
      <c r="Q5070" s="15"/>
      <c r="R5070" s="422"/>
      <c r="S5070" s="15"/>
      <c r="T5070" s="15"/>
      <c r="U5070" s="15"/>
      <c r="V5070" s="15"/>
      <c r="W5070" s="15"/>
      <c r="X5070" s="15"/>
      <c r="Y5070" s="15"/>
      <c r="Z5070" s="15"/>
      <c r="AA5070" s="15"/>
    </row>
    <row r="5071">
      <c r="A5071" s="5" t="s">
        <v>19749</v>
      </c>
      <c r="B5071" s="292" t="str">
        <f>HYPERLINK("https://akshar-exim-company-pvt-ltd.odoo.com/web#id=21136&amp;action=152&amp;model=crm.lead&amp;view_type=form&amp;menu_id=111","C2010844")</f>
        <v>C2010844</v>
      </c>
      <c r="C5071" s="41" t="s">
        <v>19800</v>
      </c>
      <c r="D5071" s="405"/>
      <c r="E5071" s="405" t="s">
        <v>14841</v>
      </c>
      <c r="F5071" s="90">
        <v>1050.0</v>
      </c>
      <c r="G5071" s="321"/>
      <c r="H5071" s="11" t="s">
        <v>7815</v>
      </c>
      <c r="I5071" s="276"/>
      <c r="J5071" s="11" t="s">
        <v>17976</v>
      </c>
      <c r="K5071" s="12"/>
      <c r="L5071" s="12"/>
      <c r="M5071" s="11" t="s">
        <v>19801</v>
      </c>
      <c r="N5071" s="5" t="s">
        <v>19802</v>
      </c>
      <c r="O5071" s="5" t="s">
        <v>13963</v>
      </c>
      <c r="P5071" s="15"/>
      <c r="Q5071" s="15"/>
      <c r="R5071" s="422"/>
      <c r="S5071" s="15"/>
      <c r="T5071" s="15"/>
      <c r="U5071" s="15"/>
      <c r="V5071" s="15"/>
      <c r="W5071" s="15"/>
      <c r="X5071" s="15"/>
      <c r="Y5071" s="15"/>
      <c r="Z5071" s="15"/>
      <c r="AA5071" s="15"/>
    </row>
    <row r="5072">
      <c r="A5072" s="5" t="s">
        <v>19749</v>
      </c>
      <c r="B5072" s="443" t="str">
        <f>HYPERLINK("https://akshar-exim-company-pvt-ltd.odoo.com/web#id=21140&amp;action=152&amp;model=crm.lead&amp;view_type=form&amp;menu_id=111","C2010843")</f>
        <v>C2010843</v>
      </c>
      <c r="C5072" s="41" t="s">
        <v>19803</v>
      </c>
      <c r="D5072" s="11"/>
      <c r="E5072" s="11" t="s">
        <v>8779</v>
      </c>
      <c r="F5072" s="90">
        <v>50.0</v>
      </c>
      <c r="G5072" s="321"/>
      <c r="H5072" s="11" t="s">
        <v>19804</v>
      </c>
      <c r="I5072" s="423"/>
      <c r="J5072" s="14"/>
      <c r="K5072" s="13"/>
      <c r="L5072" s="13"/>
      <c r="M5072" s="14"/>
      <c r="N5072" s="15"/>
      <c r="O5072" s="5" t="s">
        <v>10708</v>
      </c>
      <c r="P5072" s="15"/>
      <c r="Q5072" s="15"/>
      <c r="R5072" s="422"/>
      <c r="S5072" s="15"/>
      <c r="T5072" s="15"/>
      <c r="U5072" s="15"/>
      <c r="V5072" s="15"/>
      <c r="W5072" s="15"/>
      <c r="X5072" s="15"/>
      <c r="Y5072" s="15"/>
      <c r="Z5072" s="15"/>
      <c r="AA5072" s="15"/>
    </row>
    <row r="5073">
      <c r="A5073" s="5" t="s">
        <v>19749</v>
      </c>
      <c r="B5073" s="292" t="str">
        <f>HYPERLINK("https://akshar-exim-company-pvt-ltd.odoo.com/web#id=21143&amp;action=152&amp;model=crm.lead&amp;view_type=form&amp;menu_id=111","C2010842")</f>
        <v>C2010842</v>
      </c>
      <c r="C5073" s="40" t="s">
        <v>19805</v>
      </c>
      <c r="D5073" s="41"/>
      <c r="E5073" s="41" t="s">
        <v>1749</v>
      </c>
      <c r="F5073" s="90">
        <v>10.0</v>
      </c>
      <c r="G5073" s="321"/>
      <c r="H5073" s="11" t="s">
        <v>44</v>
      </c>
      <c r="I5073" s="423"/>
      <c r="J5073" s="14"/>
      <c r="K5073" s="13"/>
      <c r="L5073" s="13"/>
      <c r="M5073" s="14"/>
      <c r="N5073" s="15"/>
      <c r="O5073" s="5" t="s">
        <v>10708</v>
      </c>
      <c r="P5073" s="15"/>
      <c r="Q5073" s="15"/>
      <c r="R5073" s="422"/>
      <c r="S5073" s="15"/>
      <c r="T5073" s="15"/>
      <c r="U5073" s="15"/>
      <c r="V5073" s="15"/>
      <c r="W5073" s="15"/>
      <c r="X5073" s="15"/>
      <c r="Y5073" s="15"/>
      <c r="Z5073" s="15"/>
      <c r="AA5073" s="15"/>
    </row>
    <row r="5074">
      <c r="A5074" s="431">
        <v>44106.0</v>
      </c>
      <c r="B5074" s="292" t="str">
        <f>HYPERLINK("https://akshar-exim-company-pvt-ltd.odoo.com/web#id=21064&amp;action=152&amp;model=crm.lead&amp;view_type=form&amp;menu_id=111","C2010841")</f>
        <v>C2010841</v>
      </c>
      <c r="C5074" s="40" t="s">
        <v>19320</v>
      </c>
      <c r="D5074" s="11"/>
      <c r="E5074" s="11" t="s">
        <v>19806</v>
      </c>
      <c r="F5074" s="90">
        <v>1000.0</v>
      </c>
      <c r="G5074" s="321"/>
      <c r="H5074" s="11" t="s">
        <v>19807</v>
      </c>
      <c r="I5074" s="423"/>
      <c r="J5074" s="14"/>
      <c r="K5074" s="12"/>
      <c r="L5074" s="12"/>
      <c r="M5074" s="11" t="s">
        <v>19808</v>
      </c>
      <c r="N5074" s="5" t="s">
        <v>19809</v>
      </c>
      <c r="O5074" s="5" t="s">
        <v>564</v>
      </c>
      <c r="P5074" s="15"/>
      <c r="Q5074" s="15"/>
      <c r="R5074" s="422"/>
      <c r="S5074" s="15"/>
      <c r="T5074" s="15"/>
      <c r="U5074" s="15"/>
      <c r="V5074" s="15"/>
      <c r="W5074" s="15"/>
      <c r="X5074" s="15"/>
      <c r="Y5074" s="15"/>
      <c r="Z5074" s="15"/>
      <c r="AA5074" s="15"/>
    </row>
    <row r="5075">
      <c r="A5075" s="431">
        <v>44106.0</v>
      </c>
      <c r="B5075" s="292" t="str">
        <f>HYPERLINK("https://akshar-exim-company-pvt-ltd.odoo.com/web#id=21086&amp;action=152&amp;model=crm.lead&amp;view_type=form&amp;menu_id=111","C2010840")</f>
        <v>C2010840</v>
      </c>
      <c r="C5075" s="40" t="s">
        <v>9575</v>
      </c>
      <c r="D5075" s="11"/>
      <c r="E5075" s="11" t="s">
        <v>19810</v>
      </c>
      <c r="F5075" s="9">
        <v>10000.0</v>
      </c>
      <c r="G5075" s="321"/>
      <c r="H5075" s="11" t="s">
        <v>19811</v>
      </c>
      <c r="I5075" s="423"/>
      <c r="J5075" s="14"/>
      <c r="K5075" s="12"/>
      <c r="L5075" s="12"/>
      <c r="M5075" s="11" t="s">
        <v>19812</v>
      </c>
      <c r="N5075" s="5" t="s">
        <v>19813</v>
      </c>
      <c r="O5075" s="5" t="s">
        <v>17993</v>
      </c>
      <c r="P5075" s="15"/>
      <c r="Q5075" s="15"/>
      <c r="R5075" s="422"/>
      <c r="S5075" s="15"/>
      <c r="T5075" s="15"/>
      <c r="U5075" s="15"/>
      <c r="V5075" s="15"/>
      <c r="W5075" s="15"/>
      <c r="X5075" s="15"/>
      <c r="Y5075" s="15"/>
      <c r="Z5075" s="15"/>
      <c r="AA5075" s="15"/>
    </row>
    <row r="5076">
      <c r="A5076" s="431">
        <v>44106.0</v>
      </c>
      <c r="B5076" s="292" t="str">
        <f>HYPERLINK("https://akshar-exim-company-pvt-ltd.odoo.com/web#id=21090&amp;action=152&amp;model=crm.lead&amp;view_type=form&amp;menu_id=111","C2010839")</f>
        <v>C2010839</v>
      </c>
      <c r="C5076" s="40" t="s">
        <v>19814</v>
      </c>
      <c r="D5076" s="11"/>
      <c r="E5076" s="11" t="s">
        <v>152</v>
      </c>
      <c r="F5076" s="90">
        <v>1000.0</v>
      </c>
      <c r="G5076" s="321"/>
      <c r="H5076" s="11" t="s">
        <v>19815</v>
      </c>
      <c r="I5076" s="423"/>
      <c r="J5076" s="14"/>
      <c r="K5076" s="12"/>
      <c r="L5076" s="12"/>
      <c r="M5076" s="11" t="s">
        <v>18334</v>
      </c>
      <c r="N5076" s="5" t="s">
        <v>19809</v>
      </c>
      <c r="O5076" s="5" t="s">
        <v>564</v>
      </c>
      <c r="P5076" s="15"/>
      <c r="Q5076" s="15"/>
      <c r="R5076" s="422"/>
      <c r="S5076" s="15"/>
      <c r="T5076" s="15"/>
      <c r="U5076" s="15"/>
      <c r="V5076" s="15"/>
      <c r="W5076" s="15"/>
      <c r="X5076" s="15"/>
      <c r="Y5076" s="15"/>
      <c r="Z5076" s="15"/>
      <c r="AA5076" s="15"/>
    </row>
    <row r="5077">
      <c r="A5077" s="431">
        <v>44106.0</v>
      </c>
      <c r="B5077" s="292" t="str">
        <f>HYPERLINK("https://akshar-exim-company-pvt-ltd.odoo.com/web#id=21091&amp;action=152&amp;model=crm.lead&amp;view_type=form&amp;menu_id=111","C2010838")</f>
        <v>C2010838</v>
      </c>
      <c r="C5077" s="40" t="s">
        <v>19816</v>
      </c>
      <c r="D5077" s="11"/>
      <c r="E5077" s="11" t="s">
        <v>19817</v>
      </c>
      <c r="F5077" s="90">
        <v>1000.0</v>
      </c>
      <c r="G5077" s="321"/>
      <c r="H5077" s="11" t="s">
        <v>519</v>
      </c>
      <c r="I5077" s="423"/>
      <c r="J5077" s="14"/>
      <c r="K5077" s="12"/>
      <c r="L5077" s="12"/>
      <c r="M5077" s="11" t="s">
        <v>10171</v>
      </c>
      <c r="N5077" s="5" t="s">
        <v>19818</v>
      </c>
      <c r="O5077" s="5" t="s">
        <v>17993</v>
      </c>
      <c r="P5077" s="15"/>
      <c r="Q5077" s="15"/>
      <c r="R5077" s="422"/>
      <c r="S5077" s="15"/>
      <c r="T5077" s="15"/>
      <c r="U5077" s="15"/>
      <c r="V5077" s="15"/>
      <c r="W5077" s="15"/>
      <c r="X5077" s="15"/>
      <c r="Y5077" s="15"/>
      <c r="Z5077" s="15"/>
      <c r="AA5077" s="15"/>
    </row>
    <row r="5078">
      <c r="A5078" s="431">
        <v>44106.0</v>
      </c>
      <c r="B5078" s="292" t="str">
        <f>HYPERLINK("https://akshar-exim-company-pvt-ltd.odoo.com/web#id=21031&amp;action=152&amp;model=crm.lead&amp;view_type=form&amp;menu_id=111","C2010837")</f>
        <v>C2010837</v>
      </c>
      <c r="C5078" s="41" t="s">
        <v>19819</v>
      </c>
      <c r="D5078" s="11"/>
      <c r="E5078" s="11" t="s">
        <v>523</v>
      </c>
      <c r="F5078" s="90">
        <v>1000.0</v>
      </c>
      <c r="G5078" s="321"/>
      <c r="H5078" s="11" t="s">
        <v>184</v>
      </c>
      <c r="I5078" s="423"/>
      <c r="J5078" s="14"/>
      <c r="K5078" s="12"/>
      <c r="L5078" s="12"/>
      <c r="M5078" s="11" t="s">
        <v>9918</v>
      </c>
      <c r="N5078" s="5" t="s">
        <v>19820</v>
      </c>
      <c r="O5078" s="5" t="s">
        <v>564</v>
      </c>
      <c r="P5078" s="15"/>
      <c r="Q5078" s="15"/>
      <c r="R5078" s="422"/>
      <c r="S5078" s="15"/>
      <c r="T5078" s="15"/>
      <c r="U5078" s="15"/>
      <c r="V5078" s="15"/>
      <c r="W5078" s="15"/>
      <c r="X5078" s="15"/>
      <c r="Y5078" s="15"/>
      <c r="Z5078" s="15"/>
      <c r="AA5078" s="15"/>
    </row>
    <row r="5079">
      <c r="A5079" s="431">
        <v>44106.0</v>
      </c>
      <c r="B5079" s="292" t="str">
        <f>HYPERLINK("https://akshar-exim-company-pvt-ltd.odoo.com/web#id=21039&amp;action=152&amp;model=crm.lead&amp;view_type=form&amp;menu_id=111","C2010836")</f>
        <v>C2010836</v>
      </c>
      <c r="C5079" s="41" t="s">
        <v>19821</v>
      </c>
      <c r="D5079" s="11"/>
      <c r="E5079" s="11" t="s">
        <v>5293</v>
      </c>
      <c r="F5079" s="90">
        <v>1000.0</v>
      </c>
      <c r="G5079" s="430"/>
      <c r="H5079" s="41" t="s">
        <v>6968</v>
      </c>
      <c r="I5079" s="423"/>
      <c r="J5079" s="14"/>
      <c r="K5079" s="12"/>
      <c r="L5079" s="12"/>
      <c r="M5079" s="11" t="s">
        <v>13537</v>
      </c>
      <c r="N5079" s="5" t="s">
        <v>19822</v>
      </c>
      <c r="O5079" s="5" t="s">
        <v>17993</v>
      </c>
      <c r="P5079" s="15"/>
      <c r="Q5079" s="15"/>
      <c r="R5079" s="422"/>
      <c r="S5079" s="15"/>
      <c r="T5079" s="15"/>
      <c r="U5079" s="15"/>
      <c r="V5079" s="15"/>
      <c r="W5079" s="15"/>
      <c r="X5079" s="15"/>
      <c r="Y5079" s="15"/>
      <c r="Z5079" s="15"/>
      <c r="AA5079" s="15"/>
    </row>
    <row r="5080">
      <c r="A5080" s="431">
        <v>44106.0</v>
      </c>
      <c r="B5080" s="292" t="str">
        <f>HYPERLINK("https://akshar-exim-company-pvt-ltd.odoo.com/web#id=21041&amp;action=152&amp;model=crm.lead&amp;view_type=form&amp;menu_id=111","C2010835")</f>
        <v>C2010835</v>
      </c>
      <c r="C5080" s="41" t="s">
        <v>19823</v>
      </c>
      <c r="D5080" s="11"/>
      <c r="E5080" s="11" t="s">
        <v>130</v>
      </c>
      <c r="F5080" s="9">
        <v>10000.0</v>
      </c>
      <c r="G5080" s="321"/>
      <c r="H5080" s="11" t="s">
        <v>906</v>
      </c>
      <c r="I5080" s="423"/>
      <c r="J5080" s="14"/>
      <c r="K5080" s="13"/>
      <c r="L5080" s="13"/>
      <c r="M5080" s="14"/>
      <c r="N5080" s="15"/>
      <c r="O5080" s="5" t="s">
        <v>17993</v>
      </c>
      <c r="P5080" s="15"/>
      <c r="Q5080" s="15"/>
      <c r="R5080" s="422"/>
      <c r="S5080" s="15"/>
      <c r="T5080" s="15"/>
      <c r="U5080" s="15"/>
      <c r="V5080" s="15"/>
      <c r="W5080" s="15"/>
      <c r="X5080" s="15"/>
      <c r="Y5080" s="15"/>
      <c r="Z5080" s="15"/>
      <c r="AA5080" s="15"/>
    </row>
    <row r="5081">
      <c r="A5081" s="431">
        <v>44106.0</v>
      </c>
      <c r="B5081" s="292" t="str">
        <f>HYPERLINK("https://akshar-exim-company-pvt-ltd.odoo.com/web#id=21042&amp;action=152&amp;model=crm.lead&amp;view_type=form&amp;menu_id=111","C2010834")</f>
        <v>C2010834</v>
      </c>
      <c r="C5081" s="41" t="s">
        <v>19824</v>
      </c>
      <c r="D5081" s="11"/>
      <c r="E5081" s="11" t="s">
        <v>152</v>
      </c>
      <c r="F5081" s="90">
        <v>10.0</v>
      </c>
      <c r="G5081" s="321"/>
      <c r="H5081" s="11" t="s">
        <v>906</v>
      </c>
      <c r="I5081" s="423"/>
      <c r="J5081" s="14"/>
      <c r="K5081" s="13"/>
      <c r="L5081" s="13"/>
      <c r="M5081" s="14"/>
      <c r="N5081" s="15"/>
      <c r="O5081" s="5" t="s">
        <v>10708</v>
      </c>
      <c r="P5081" s="15"/>
      <c r="Q5081" s="15"/>
      <c r="R5081" s="422"/>
      <c r="S5081" s="15"/>
      <c r="T5081" s="15"/>
      <c r="U5081" s="15"/>
      <c r="V5081" s="15"/>
      <c r="W5081" s="15"/>
      <c r="X5081" s="15"/>
      <c r="Y5081" s="15"/>
      <c r="Z5081" s="15"/>
      <c r="AA5081" s="15"/>
    </row>
    <row r="5082">
      <c r="A5082" s="431">
        <v>44106.0</v>
      </c>
      <c r="B5082" s="292" t="str">
        <f>HYPERLINK("https://akshar-exim-company-pvt-ltd.odoo.com/web#id=21043&amp;action=152&amp;model=crm.lead&amp;view_type=form&amp;menu_id=111","C2010833")</f>
        <v>C2010833</v>
      </c>
      <c r="C5082" s="41" t="s">
        <v>19825</v>
      </c>
      <c r="D5082" s="11"/>
      <c r="E5082" s="11" t="s">
        <v>152</v>
      </c>
      <c r="F5082" s="90">
        <v>100.0</v>
      </c>
      <c r="G5082" s="321"/>
      <c r="H5082" s="11" t="s">
        <v>906</v>
      </c>
      <c r="I5082" s="423"/>
      <c r="J5082" s="14"/>
      <c r="K5082" s="13"/>
      <c r="L5082" s="13"/>
      <c r="M5082" s="14"/>
      <c r="N5082" s="15"/>
      <c r="O5082" s="5" t="s">
        <v>10708</v>
      </c>
      <c r="P5082" s="15"/>
      <c r="Q5082" s="15"/>
      <c r="R5082" s="422"/>
      <c r="S5082" s="15"/>
      <c r="T5082" s="15"/>
      <c r="U5082" s="15"/>
      <c r="V5082" s="15"/>
      <c r="W5082" s="15"/>
      <c r="X5082" s="15"/>
      <c r="Y5082" s="15"/>
      <c r="Z5082" s="15"/>
      <c r="AA5082" s="15"/>
    </row>
    <row r="5083">
      <c r="A5083" s="431">
        <v>44106.0</v>
      </c>
      <c r="B5083" s="292" t="str">
        <f>HYPERLINK("https://akshar-exim-company-pvt-ltd.odoo.com/web#id=21046&amp;action=152&amp;model=crm.lead&amp;view_type=form&amp;menu_id=111","C2010832")</f>
        <v>C2010832</v>
      </c>
      <c r="C5083" s="40" t="s">
        <v>19826</v>
      </c>
      <c r="D5083" s="11"/>
      <c r="E5083" s="11" t="s">
        <v>130</v>
      </c>
      <c r="F5083" s="90">
        <v>4.0</v>
      </c>
      <c r="G5083" s="321"/>
      <c r="H5083" s="11" t="s">
        <v>278</v>
      </c>
      <c r="I5083" s="276"/>
      <c r="J5083" s="11" t="s">
        <v>12978</v>
      </c>
      <c r="K5083" s="13"/>
      <c r="L5083" s="13"/>
      <c r="M5083" s="14"/>
      <c r="N5083" s="15"/>
      <c r="O5083" s="5" t="s">
        <v>10708</v>
      </c>
      <c r="P5083" s="15"/>
      <c r="Q5083" s="15"/>
      <c r="R5083" s="422"/>
      <c r="S5083" s="15"/>
      <c r="T5083" s="15"/>
      <c r="U5083" s="15"/>
      <c r="V5083" s="15"/>
      <c r="W5083" s="15"/>
      <c r="X5083" s="15"/>
      <c r="Y5083" s="15"/>
      <c r="Z5083" s="15"/>
      <c r="AA5083" s="15"/>
    </row>
    <row r="5084">
      <c r="A5084" s="431">
        <v>44106.0</v>
      </c>
      <c r="B5084" s="292" t="str">
        <f>HYPERLINK("https://akshar-exim-company-pvt-ltd.odoo.com/web#id=21051&amp;action=152&amp;model=crm.lead&amp;view_type=form&amp;menu_id=111","C2010831")</f>
        <v>C2010831</v>
      </c>
      <c r="C5084" s="41" t="s">
        <v>19827</v>
      </c>
      <c r="D5084" s="41"/>
      <c r="E5084" s="41" t="s">
        <v>10426</v>
      </c>
      <c r="F5084" s="9">
        <v>50000.0</v>
      </c>
      <c r="G5084" s="321"/>
      <c r="H5084" s="11" t="s">
        <v>519</v>
      </c>
      <c r="I5084" s="423"/>
      <c r="J5084" s="14"/>
      <c r="K5084" s="13"/>
      <c r="L5084" s="13"/>
      <c r="M5084" s="14"/>
      <c r="N5084" s="15"/>
      <c r="O5084" s="5" t="s">
        <v>17993</v>
      </c>
      <c r="P5084" s="15"/>
      <c r="Q5084" s="15"/>
      <c r="R5084" s="422"/>
      <c r="S5084" s="15"/>
      <c r="T5084" s="15"/>
      <c r="U5084" s="15"/>
      <c r="V5084" s="15"/>
      <c r="W5084" s="15"/>
      <c r="X5084" s="15"/>
      <c r="Y5084" s="15"/>
      <c r="Z5084" s="15"/>
      <c r="AA5084" s="15"/>
    </row>
    <row r="5085">
      <c r="A5085" s="431">
        <v>44106.0</v>
      </c>
      <c r="B5085" s="292" t="str">
        <f>HYPERLINK("https://akshar-exim-company-pvt-ltd.odoo.com/web#id=21052&amp;action=152&amp;model=crm.lead&amp;view_type=form&amp;menu_id=111","C2010830")</f>
        <v>C2010830</v>
      </c>
      <c r="C5085" s="41" t="s">
        <v>19828</v>
      </c>
      <c r="D5085" s="405"/>
      <c r="E5085" s="405" t="s">
        <v>2476</v>
      </c>
      <c r="F5085" s="90">
        <v>1.0</v>
      </c>
      <c r="G5085" s="321"/>
      <c r="H5085" s="11" t="s">
        <v>906</v>
      </c>
      <c r="I5085" s="423"/>
      <c r="J5085" s="14"/>
      <c r="K5085" s="13"/>
      <c r="L5085" s="13"/>
      <c r="M5085" s="14"/>
      <c r="N5085" s="15"/>
      <c r="O5085" s="5" t="s">
        <v>10708</v>
      </c>
      <c r="P5085" s="15"/>
      <c r="Q5085" s="15"/>
      <c r="R5085" s="422"/>
      <c r="S5085" s="15"/>
      <c r="T5085" s="15"/>
      <c r="U5085" s="15"/>
      <c r="V5085" s="15"/>
      <c r="W5085" s="15"/>
      <c r="X5085" s="15"/>
      <c r="Y5085" s="15"/>
      <c r="Z5085" s="15"/>
      <c r="AA5085" s="15"/>
    </row>
    <row r="5086">
      <c r="A5086" s="431">
        <v>44106.0</v>
      </c>
      <c r="B5086" s="292" t="str">
        <f>HYPERLINK("https://akshar-exim-company-pvt-ltd.odoo.com/web#id=21059&amp;action=152&amp;model=crm.lead&amp;view_type=form&amp;menu_id=111","C2010829")</f>
        <v>C2010829</v>
      </c>
      <c r="C5086" s="424" t="s">
        <v>19829</v>
      </c>
      <c r="D5086" s="41"/>
      <c r="E5086" s="41" t="s">
        <v>11907</v>
      </c>
      <c r="F5086" s="90">
        <v>1000.0</v>
      </c>
      <c r="G5086" s="321"/>
      <c r="H5086" s="11" t="s">
        <v>19830</v>
      </c>
      <c r="I5086" s="423"/>
      <c r="J5086" s="14"/>
      <c r="K5086" s="13"/>
      <c r="L5086" s="13"/>
      <c r="M5086" s="14"/>
      <c r="N5086" s="15"/>
      <c r="O5086" s="5" t="s">
        <v>13963</v>
      </c>
      <c r="P5086" s="15"/>
      <c r="Q5086" s="15"/>
      <c r="R5086" s="422"/>
      <c r="S5086" s="15"/>
      <c r="T5086" s="15"/>
      <c r="U5086" s="15"/>
      <c r="V5086" s="15"/>
      <c r="W5086" s="15"/>
      <c r="X5086" s="15"/>
      <c r="Y5086" s="15"/>
      <c r="Z5086" s="15"/>
      <c r="AA5086" s="15"/>
    </row>
    <row r="5087">
      <c r="A5087" s="431">
        <v>44106.0</v>
      </c>
      <c r="B5087" s="292" t="str">
        <f>HYPERLINK("https://akshar-exim-company-pvt-ltd.odoo.com/web#id=21103&amp;action=152&amp;model=crm.lead&amp;view_type=form&amp;menu_id=111","C2010828")</f>
        <v>C2010828</v>
      </c>
      <c r="C5087" s="41" t="s">
        <v>19831</v>
      </c>
      <c r="D5087" s="405"/>
      <c r="E5087" s="405" t="s">
        <v>412</v>
      </c>
      <c r="F5087" s="433"/>
      <c r="G5087" s="321"/>
      <c r="H5087" s="11" t="s">
        <v>9266</v>
      </c>
      <c r="I5087" s="423"/>
      <c r="J5087" s="14"/>
      <c r="K5087" s="13"/>
      <c r="L5087" s="13"/>
      <c r="M5087" s="14"/>
      <c r="N5087" s="15"/>
      <c r="O5087" s="5" t="s">
        <v>17993</v>
      </c>
      <c r="P5087" s="15"/>
      <c r="Q5087" s="15"/>
      <c r="R5087" s="422"/>
      <c r="S5087" s="15"/>
      <c r="T5087" s="15"/>
      <c r="U5087" s="15"/>
      <c r="V5087" s="15"/>
      <c r="W5087" s="15"/>
      <c r="X5087" s="15"/>
      <c r="Y5087" s="15"/>
      <c r="Z5087" s="15"/>
      <c r="AA5087" s="15"/>
    </row>
    <row r="5088">
      <c r="A5088" s="431">
        <v>44106.0</v>
      </c>
      <c r="B5088" s="292" t="str">
        <f>HYPERLINK("https://akshar-exim-company-pvt-ltd.odoo.com/web#id=21107&amp;action=152&amp;model=crm.lead&amp;view_type=form&amp;menu_id=111","C2010827")</f>
        <v>C2010827</v>
      </c>
      <c r="C5088" s="41" t="s">
        <v>18601</v>
      </c>
      <c r="D5088" s="41"/>
      <c r="E5088" s="41" t="s">
        <v>19832</v>
      </c>
      <c r="F5088" s="90">
        <v>10.0</v>
      </c>
      <c r="G5088" s="321"/>
      <c r="H5088" s="11" t="s">
        <v>44</v>
      </c>
      <c r="I5088" s="423"/>
      <c r="J5088" s="14"/>
      <c r="K5088" s="13"/>
      <c r="L5088" s="13"/>
      <c r="M5088" s="14"/>
      <c r="N5088" s="15"/>
      <c r="O5088" s="5" t="s">
        <v>10708</v>
      </c>
      <c r="P5088" s="15"/>
      <c r="Q5088" s="15"/>
      <c r="R5088" s="422"/>
      <c r="S5088" s="15"/>
      <c r="T5088" s="15"/>
      <c r="U5088" s="15"/>
      <c r="V5088" s="15"/>
      <c r="W5088" s="15"/>
      <c r="X5088" s="15"/>
      <c r="Y5088" s="15"/>
      <c r="Z5088" s="15"/>
      <c r="AA5088" s="15"/>
    </row>
    <row r="5089">
      <c r="A5089" s="431">
        <v>44106.0</v>
      </c>
      <c r="B5089" s="292" t="str">
        <f>HYPERLINK("https://akshar-exim-company-pvt-ltd.odoo.com/web#id=21106&amp;action=152&amp;model=crm.lead&amp;view_type=form&amp;menu_id=111","C2010826")</f>
        <v>C2010826</v>
      </c>
      <c r="C5089" s="41" t="s">
        <v>19833</v>
      </c>
      <c r="D5089" s="41"/>
      <c r="E5089" s="41" t="s">
        <v>19834</v>
      </c>
      <c r="F5089" s="90">
        <v>1000.0</v>
      </c>
      <c r="G5089" s="321"/>
      <c r="H5089" s="11" t="s">
        <v>507</v>
      </c>
      <c r="I5089" s="423"/>
      <c r="J5089" s="14"/>
      <c r="K5089" s="13"/>
      <c r="L5089" s="13"/>
      <c r="M5089" s="14"/>
      <c r="N5089" s="15"/>
      <c r="O5089" s="5" t="s">
        <v>17993</v>
      </c>
      <c r="P5089" s="15"/>
      <c r="Q5089" s="15"/>
      <c r="R5089" s="422"/>
      <c r="S5089" s="15"/>
      <c r="T5089" s="15"/>
      <c r="U5089" s="15"/>
      <c r="V5089" s="15"/>
      <c r="W5089" s="15"/>
      <c r="X5089" s="15"/>
      <c r="Y5089" s="15"/>
      <c r="Z5089" s="15"/>
      <c r="AA5089" s="15"/>
    </row>
    <row r="5090">
      <c r="A5090" s="431">
        <v>44106.0</v>
      </c>
      <c r="B5090" s="292" t="str">
        <f>HYPERLINK("https://akshar-exim-company-pvt-ltd.odoo.com/web#id=21099&amp;action=152&amp;model=crm.lead&amp;view_type=form&amp;menu_id=111","C2010825")</f>
        <v>C2010825</v>
      </c>
      <c r="C5090" s="41" t="s">
        <v>10480</v>
      </c>
      <c r="D5090" s="11"/>
      <c r="E5090" s="11" t="s">
        <v>267</v>
      </c>
      <c r="F5090" s="433"/>
      <c r="G5090" s="434"/>
      <c r="H5090" s="14"/>
      <c r="I5090" s="423"/>
      <c r="J5090" s="14"/>
      <c r="K5090" s="13"/>
      <c r="L5090" s="13"/>
      <c r="M5090" s="14"/>
      <c r="N5090" s="15"/>
      <c r="O5090" s="15"/>
      <c r="P5090" s="15"/>
      <c r="Q5090" s="15"/>
      <c r="R5090" s="422"/>
      <c r="S5090" s="15"/>
      <c r="T5090" s="15"/>
      <c r="U5090" s="15"/>
      <c r="V5090" s="15"/>
      <c r="W5090" s="15"/>
      <c r="X5090" s="15"/>
      <c r="Y5090" s="15"/>
      <c r="Z5090" s="15"/>
      <c r="AA5090" s="15"/>
    </row>
    <row r="5091">
      <c r="A5091" s="431">
        <v>44106.0</v>
      </c>
      <c r="B5091" s="292" t="str">
        <f>HYPERLINK("https://akshar-exim-company-pvt-ltd.odoo.com/web#id=21102&amp;action=152&amp;model=crm.lead&amp;view_type=form&amp;menu_id=111","C2010824")</f>
        <v>C2010824</v>
      </c>
      <c r="C5091" s="41" t="s">
        <v>19835</v>
      </c>
      <c r="D5091" s="11"/>
      <c r="E5091" s="11" t="s">
        <v>16923</v>
      </c>
      <c r="F5091" s="90">
        <v>1.0</v>
      </c>
      <c r="G5091" s="321"/>
      <c r="H5091" s="11" t="s">
        <v>519</v>
      </c>
      <c r="I5091" s="276"/>
      <c r="J5091" s="11" t="s">
        <v>9536</v>
      </c>
      <c r="K5091" s="13"/>
      <c r="L5091" s="13"/>
      <c r="M5091" s="14"/>
      <c r="N5091" s="15"/>
      <c r="O5091" s="5" t="s">
        <v>10708</v>
      </c>
      <c r="P5091" s="15"/>
      <c r="Q5091" s="15"/>
      <c r="R5091" s="422"/>
      <c r="S5091" s="15"/>
      <c r="T5091" s="15"/>
      <c r="U5091" s="15"/>
      <c r="V5091" s="15"/>
      <c r="W5091" s="15"/>
      <c r="X5091" s="15"/>
      <c r="Y5091" s="15"/>
      <c r="Z5091" s="15"/>
      <c r="AA5091" s="15"/>
    </row>
    <row r="5092">
      <c r="A5092" s="431">
        <v>44106.0</v>
      </c>
      <c r="B5092" s="292" t="str">
        <f>HYPERLINK("https://akshar-exim-company-pvt-ltd.odoo.com/web#id=21105&amp;action=152&amp;model=crm.lead&amp;view_type=form&amp;menu_id=111","C2010823")</f>
        <v>C2010823</v>
      </c>
      <c r="C5092" s="41" t="s">
        <v>19836</v>
      </c>
      <c r="D5092" s="11"/>
      <c r="E5092" s="11" t="s">
        <v>4567</v>
      </c>
      <c r="F5092" s="433"/>
      <c r="G5092" s="434"/>
      <c r="H5092" s="14"/>
      <c r="I5092" s="423"/>
      <c r="J5092" s="14"/>
      <c r="K5092" s="13"/>
      <c r="L5092" s="13"/>
      <c r="M5092" s="14"/>
      <c r="N5092" s="15"/>
      <c r="O5092" s="15"/>
      <c r="P5092" s="15"/>
      <c r="Q5092" s="15"/>
      <c r="R5092" s="422"/>
      <c r="S5092" s="15"/>
      <c r="T5092" s="15"/>
      <c r="U5092" s="15"/>
      <c r="V5092" s="15"/>
      <c r="W5092" s="15"/>
      <c r="X5092" s="15"/>
      <c r="Y5092" s="15"/>
      <c r="Z5092" s="15"/>
      <c r="AA5092" s="15"/>
    </row>
    <row r="5093">
      <c r="A5093" s="431">
        <v>44106.0</v>
      </c>
      <c r="B5093" s="292" t="str">
        <f>HYPERLINK("https://akshar-exim-company-pvt-ltd.odoo.com/web#id=21047&amp;action=152&amp;model=crm.lead&amp;view_type=form&amp;menu_id=111","C2010822")</f>
        <v>C2010822</v>
      </c>
      <c r="C5093" s="41" t="s">
        <v>19837</v>
      </c>
      <c r="D5093" s="11"/>
      <c r="E5093" s="11" t="s">
        <v>4114</v>
      </c>
      <c r="F5093" s="90">
        <v>1.0</v>
      </c>
      <c r="G5093" s="321"/>
      <c r="H5093" s="11" t="s">
        <v>44</v>
      </c>
      <c r="I5093" s="423"/>
      <c r="J5093" s="14"/>
      <c r="K5093" s="12"/>
      <c r="L5093" s="12"/>
      <c r="M5093" s="11"/>
      <c r="N5093" s="15"/>
      <c r="O5093" s="5" t="s">
        <v>19838</v>
      </c>
      <c r="P5093" s="15"/>
      <c r="Q5093" s="15"/>
      <c r="R5093" s="422"/>
      <c r="S5093" s="15"/>
      <c r="T5093" s="15"/>
      <c r="U5093" s="15"/>
      <c r="V5093" s="15"/>
      <c r="W5093" s="15"/>
      <c r="X5093" s="15"/>
      <c r="Y5093" s="15"/>
      <c r="Z5093" s="15"/>
      <c r="AA5093" s="15"/>
    </row>
    <row r="5094">
      <c r="A5094" s="431">
        <v>44106.0</v>
      </c>
      <c r="B5094" s="292" t="str">
        <f>HYPERLINK("https://akshar-exim-company-pvt-ltd.odoo.com/web#id=21065&amp;action=152&amp;model=crm.lead&amp;view_type=form&amp;menu_id=111","C2010821")</f>
        <v>C2010821</v>
      </c>
      <c r="C5094" s="41" t="s">
        <v>19839</v>
      </c>
      <c r="D5094" s="11"/>
      <c r="E5094" s="11" t="s">
        <v>152</v>
      </c>
      <c r="F5094" s="90">
        <v>200.0</v>
      </c>
      <c r="G5094" s="321"/>
      <c r="H5094" s="11" t="s">
        <v>467</v>
      </c>
      <c r="I5094" s="276"/>
      <c r="J5094" s="11" t="s">
        <v>19840</v>
      </c>
      <c r="K5094" s="12"/>
      <c r="L5094" s="12"/>
      <c r="M5094" s="11" t="s">
        <v>9587</v>
      </c>
      <c r="N5094" s="5" t="s">
        <v>19841</v>
      </c>
      <c r="O5094" s="5" t="s">
        <v>17993</v>
      </c>
      <c r="P5094" s="15"/>
      <c r="Q5094" s="15"/>
      <c r="R5094" s="422"/>
      <c r="S5094" s="15"/>
      <c r="T5094" s="15"/>
      <c r="U5094" s="15"/>
      <c r="V5094" s="15"/>
      <c r="W5094" s="15"/>
      <c r="X5094" s="15"/>
      <c r="Y5094" s="15"/>
      <c r="Z5094" s="15"/>
      <c r="AA5094" s="15"/>
    </row>
    <row r="5095">
      <c r="A5095" s="431">
        <v>44106.0</v>
      </c>
      <c r="B5095" s="292" t="str">
        <f>HYPERLINK("https://akshar-exim-company-pvt-ltd.odoo.com/web#id=21066&amp;action=152&amp;model=crm.lead&amp;view_type=form&amp;menu_id=111","C2010820")</f>
        <v>C2010820</v>
      </c>
      <c r="C5095" s="41" t="s">
        <v>19320</v>
      </c>
      <c r="D5095" s="11"/>
      <c r="E5095" s="11" t="s">
        <v>16206</v>
      </c>
      <c r="F5095" s="433"/>
      <c r="G5095" s="434"/>
      <c r="H5095" s="14"/>
      <c r="I5095" s="423"/>
      <c r="J5095" s="14"/>
      <c r="K5095" s="13"/>
      <c r="L5095" s="13"/>
      <c r="M5095" s="14"/>
      <c r="N5095" s="15"/>
      <c r="O5095" s="15"/>
      <c r="P5095" s="15"/>
      <c r="Q5095" s="15"/>
      <c r="R5095" s="422"/>
      <c r="S5095" s="15"/>
      <c r="T5095" s="15"/>
      <c r="U5095" s="15"/>
      <c r="V5095" s="15"/>
      <c r="W5095" s="15"/>
      <c r="X5095" s="15"/>
      <c r="Y5095" s="15"/>
      <c r="Z5095" s="15"/>
      <c r="AA5095" s="15"/>
    </row>
    <row r="5096">
      <c r="A5096" s="431">
        <v>44106.0</v>
      </c>
      <c r="B5096" s="292" t="str">
        <f>HYPERLINK("https://akshar-exim-company-pvt-ltd.odoo.com/web#id=21069&amp;action=152&amp;model=crm.lead&amp;view_type=form&amp;menu_id=111","C2010819")</f>
        <v>C2010819</v>
      </c>
      <c r="C5096" s="41" t="s">
        <v>19842</v>
      </c>
      <c r="D5096" s="11"/>
      <c r="E5096" s="11" t="s">
        <v>19843</v>
      </c>
      <c r="F5096" s="90">
        <v>5.0</v>
      </c>
      <c r="G5096" s="321"/>
      <c r="H5096" s="11" t="s">
        <v>44</v>
      </c>
      <c r="I5096" s="276"/>
      <c r="J5096" s="11" t="s">
        <v>25</v>
      </c>
      <c r="K5096" s="13"/>
      <c r="L5096" s="13"/>
      <c r="M5096" s="14"/>
      <c r="N5096" s="15"/>
      <c r="O5096" s="5" t="s">
        <v>10708</v>
      </c>
      <c r="P5096" s="15"/>
      <c r="Q5096" s="15"/>
      <c r="R5096" s="422"/>
      <c r="S5096" s="15"/>
      <c r="T5096" s="15"/>
      <c r="U5096" s="15"/>
      <c r="V5096" s="15"/>
      <c r="W5096" s="15"/>
      <c r="X5096" s="15"/>
      <c r="Y5096" s="15"/>
      <c r="Z5096" s="15"/>
      <c r="AA5096" s="15"/>
    </row>
    <row r="5097">
      <c r="A5097" s="431">
        <v>44106.0</v>
      </c>
      <c r="B5097" s="292" t="str">
        <f>HYPERLINK("https://akshar-exim-company-pvt-ltd.odoo.com/web#id=21070&amp;action=152&amp;model=crm.lead&amp;view_type=form&amp;menu_id=111","C2010818")</f>
        <v>C2010818</v>
      </c>
      <c r="C5097" s="41" t="s">
        <v>19844</v>
      </c>
      <c r="D5097" s="11"/>
      <c r="E5097" s="11" t="s">
        <v>130</v>
      </c>
      <c r="F5097" s="9">
        <v>50000.0</v>
      </c>
      <c r="G5097" s="321"/>
      <c r="H5097" s="11" t="s">
        <v>519</v>
      </c>
      <c r="I5097" s="276"/>
      <c r="J5097" s="11" t="s">
        <v>25</v>
      </c>
      <c r="K5097" s="12"/>
      <c r="L5097" s="12"/>
      <c r="M5097" s="11" t="s">
        <v>18665</v>
      </c>
      <c r="N5097" s="5" t="s">
        <v>19845</v>
      </c>
      <c r="O5097" s="5" t="s">
        <v>17993</v>
      </c>
      <c r="P5097" s="15"/>
      <c r="Q5097" s="15"/>
      <c r="R5097" s="422"/>
      <c r="S5097" s="15"/>
      <c r="T5097" s="15"/>
      <c r="U5097" s="15"/>
      <c r="V5097" s="15"/>
      <c r="W5097" s="15"/>
      <c r="X5097" s="15"/>
      <c r="Y5097" s="15"/>
      <c r="Z5097" s="15"/>
      <c r="AA5097" s="15"/>
    </row>
    <row r="5098">
      <c r="A5098" s="431">
        <v>44106.0</v>
      </c>
      <c r="B5098" s="292" t="str">
        <f>HYPERLINK("https://akshar-exim-company-pvt-ltd.odoo.com/web#id=21073&amp;action=152&amp;model=crm.lead&amp;view_type=form&amp;menu_id=111","C2010817")</f>
        <v>C2010817</v>
      </c>
      <c r="C5098" s="41" t="s">
        <v>19846</v>
      </c>
      <c r="D5098" s="11"/>
      <c r="E5098" s="11" t="s">
        <v>10433</v>
      </c>
      <c r="F5098" s="90">
        <v>50.0</v>
      </c>
      <c r="G5098" s="430"/>
      <c r="H5098" s="41" t="s">
        <v>19847</v>
      </c>
      <c r="I5098" s="276"/>
      <c r="J5098" s="11" t="s">
        <v>19848</v>
      </c>
      <c r="K5098" s="13"/>
      <c r="L5098" s="13"/>
      <c r="M5098" s="14"/>
      <c r="N5098" s="15"/>
      <c r="O5098" s="5" t="s">
        <v>10708</v>
      </c>
      <c r="P5098" s="15"/>
      <c r="Q5098" s="15"/>
      <c r="R5098" s="422"/>
      <c r="S5098" s="15"/>
      <c r="T5098" s="15"/>
      <c r="U5098" s="15"/>
      <c r="V5098" s="15"/>
      <c r="W5098" s="15"/>
      <c r="X5098" s="15"/>
      <c r="Y5098" s="15"/>
      <c r="Z5098" s="15"/>
      <c r="AA5098" s="15"/>
    </row>
    <row r="5099">
      <c r="A5099" s="431">
        <v>44106.0</v>
      </c>
      <c r="B5099" s="292" t="str">
        <f>HYPERLINK("https://akshar-exim-company-pvt-ltd.odoo.com/web#id=21077&amp;action=152&amp;model=crm.lead&amp;view_type=form&amp;menu_id=111","C2010816")</f>
        <v>C2010816</v>
      </c>
      <c r="C5099" s="41" t="s">
        <v>19849</v>
      </c>
      <c r="D5099" s="11"/>
      <c r="E5099" s="11" t="s">
        <v>19850</v>
      </c>
      <c r="F5099" s="90" t="s">
        <v>19388</v>
      </c>
      <c r="G5099" s="321"/>
      <c r="H5099" s="11" t="s">
        <v>1337</v>
      </c>
      <c r="I5099" s="283"/>
      <c r="J5099" s="11" t="s">
        <v>19851</v>
      </c>
      <c r="K5099" s="12"/>
      <c r="L5099" s="12"/>
      <c r="M5099" s="11" t="s">
        <v>19852</v>
      </c>
      <c r="N5099" s="5" t="s">
        <v>19853</v>
      </c>
      <c r="O5099" s="5" t="s">
        <v>564</v>
      </c>
      <c r="P5099" s="15"/>
      <c r="Q5099" s="15"/>
      <c r="R5099" s="422"/>
      <c r="S5099" s="15"/>
      <c r="T5099" s="15"/>
      <c r="U5099" s="15"/>
      <c r="V5099" s="15"/>
      <c r="W5099" s="15"/>
      <c r="X5099" s="15"/>
      <c r="Y5099" s="15"/>
      <c r="Z5099" s="15"/>
      <c r="AA5099" s="15"/>
    </row>
    <row r="5100">
      <c r="A5100" s="431">
        <v>44106.0</v>
      </c>
      <c r="B5100" s="292" t="str">
        <f>HYPERLINK("https://akshar-exim-company-pvt-ltd.odoo.com/web#id=21080&amp;action=152&amp;model=crm.lead&amp;view_type=form&amp;menu_id=111","C2010815")</f>
        <v>C2010815</v>
      </c>
      <c r="C5100" s="41" t="s">
        <v>19854</v>
      </c>
      <c r="D5100" s="14"/>
      <c r="E5100" s="14"/>
      <c r="F5100" s="433"/>
      <c r="G5100" s="434"/>
      <c r="H5100" s="14"/>
      <c r="I5100" s="423"/>
      <c r="J5100" s="14"/>
      <c r="K5100" s="13"/>
      <c r="L5100" s="13"/>
      <c r="M5100" s="14"/>
      <c r="N5100" s="15"/>
      <c r="O5100" s="15"/>
      <c r="P5100" s="15"/>
      <c r="Q5100" s="15"/>
      <c r="R5100" s="422"/>
      <c r="S5100" s="15"/>
      <c r="T5100" s="15"/>
      <c r="U5100" s="15"/>
      <c r="V5100" s="15"/>
      <c r="W5100" s="15"/>
      <c r="X5100" s="15"/>
      <c r="Y5100" s="15"/>
      <c r="Z5100" s="15"/>
      <c r="AA5100" s="15"/>
    </row>
    <row r="5101">
      <c r="A5101" s="431">
        <v>44106.0</v>
      </c>
      <c r="B5101" s="292" t="str">
        <f>HYPERLINK("https://akshar-exim-company-pvt-ltd.odoo.com/web#id=21084&amp;action=152&amp;model=crm.lead&amp;view_type=form&amp;menu_id=111","C2010814")</f>
        <v>C2010814</v>
      </c>
      <c r="C5101" s="41" t="s">
        <v>19855</v>
      </c>
      <c r="D5101" s="11"/>
      <c r="E5101" s="11" t="s">
        <v>257</v>
      </c>
      <c r="F5101" s="9">
        <v>200000.0</v>
      </c>
      <c r="G5101" s="321"/>
      <c r="H5101" s="11" t="s">
        <v>6241</v>
      </c>
      <c r="I5101" s="276"/>
      <c r="J5101" s="11" t="s">
        <v>17976</v>
      </c>
      <c r="K5101" s="12"/>
      <c r="L5101" s="12"/>
      <c r="M5101" s="11" t="s">
        <v>19856</v>
      </c>
      <c r="N5101" s="5" t="s">
        <v>19857</v>
      </c>
      <c r="O5101" s="5" t="s">
        <v>564</v>
      </c>
      <c r="P5101" s="15"/>
      <c r="Q5101" s="15"/>
      <c r="R5101" s="422"/>
      <c r="S5101" s="15"/>
      <c r="T5101" s="15"/>
      <c r="U5101" s="15"/>
      <c r="V5101" s="15"/>
      <c r="W5101" s="15"/>
      <c r="X5101" s="15"/>
      <c r="Y5101" s="15"/>
      <c r="Z5101" s="15"/>
      <c r="AA5101" s="15"/>
    </row>
    <row r="5102">
      <c r="A5102" s="431">
        <v>44106.0</v>
      </c>
      <c r="B5102" s="292" t="str">
        <f>HYPERLINK("https://akshar-exim-company-pvt-ltd.odoo.com/web#id=21083&amp;action=152&amp;model=crm.lead&amp;view_type=form&amp;menu_id=111","C2010813")</f>
        <v>C2010813</v>
      </c>
      <c r="C5102" s="41" t="s">
        <v>19858</v>
      </c>
      <c r="D5102" s="11"/>
      <c r="E5102" s="11" t="s">
        <v>130</v>
      </c>
      <c r="F5102" s="9">
        <v>200000.0</v>
      </c>
      <c r="G5102" s="321"/>
      <c r="H5102" s="11" t="s">
        <v>19859</v>
      </c>
      <c r="I5102" s="276"/>
      <c r="J5102" s="11" t="s">
        <v>25</v>
      </c>
      <c r="K5102" s="12"/>
      <c r="L5102" s="12"/>
      <c r="M5102" s="11" t="s">
        <v>18665</v>
      </c>
      <c r="N5102" s="5" t="s">
        <v>19860</v>
      </c>
      <c r="O5102" s="5" t="s">
        <v>17993</v>
      </c>
      <c r="P5102" s="15"/>
      <c r="Q5102" s="15"/>
      <c r="R5102" s="422"/>
      <c r="S5102" s="15"/>
      <c r="T5102" s="15"/>
      <c r="U5102" s="15"/>
      <c r="V5102" s="15"/>
      <c r="W5102" s="15"/>
      <c r="X5102" s="15"/>
      <c r="Y5102" s="15"/>
      <c r="Z5102" s="15"/>
      <c r="AA5102" s="15"/>
    </row>
    <row r="5103">
      <c r="A5103" s="431">
        <v>44045.0</v>
      </c>
      <c r="B5103" s="292" t="str">
        <f>HYPERLINK("https://akshar-exim-company-pvt-ltd.odoo.com/web#id=20984&amp;action=152&amp;model=crm.lead&amp;view_type=form&amp;menu_id=111","C2010812")</f>
        <v>C2010812</v>
      </c>
      <c r="C5103" s="40" t="s">
        <v>19861</v>
      </c>
      <c r="D5103" s="11"/>
      <c r="E5103" s="11" t="s">
        <v>11692</v>
      </c>
      <c r="F5103" s="90">
        <v>1000.0</v>
      </c>
      <c r="G5103" s="321"/>
      <c r="H5103" s="11" t="s">
        <v>638</v>
      </c>
      <c r="I5103" s="423"/>
      <c r="J5103" s="14"/>
      <c r="K5103" s="12"/>
      <c r="L5103" s="12"/>
      <c r="M5103" s="11" t="s">
        <v>12141</v>
      </c>
      <c r="N5103" s="5" t="s">
        <v>19862</v>
      </c>
      <c r="O5103" s="5" t="s">
        <v>564</v>
      </c>
      <c r="P5103" s="15"/>
      <c r="Q5103" s="15"/>
      <c r="R5103" s="422"/>
      <c r="S5103" s="15"/>
      <c r="T5103" s="15"/>
      <c r="U5103" s="15"/>
      <c r="V5103" s="15"/>
      <c r="W5103" s="15"/>
      <c r="X5103" s="15"/>
      <c r="Y5103" s="15"/>
      <c r="Z5103" s="15"/>
      <c r="AA5103" s="15"/>
    </row>
    <row r="5104">
      <c r="A5104" s="431">
        <v>44045.0</v>
      </c>
      <c r="B5104" s="292" t="str">
        <f>HYPERLINK("https://akshar-exim-company-pvt-ltd.odoo.com/web#id=20917&amp;action=152&amp;model=crm.lead&amp;view_type=form&amp;menu_id=111","C2010811")</f>
        <v>C2010811</v>
      </c>
      <c r="C5104" s="40" t="s">
        <v>19863</v>
      </c>
      <c r="D5104" s="11"/>
      <c r="E5104" s="11" t="s">
        <v>213</v>
      </c>
      <c r="F5104" s="90">
        <v>500.0</v>
      </c>
      <c r="G5104" s="321"/>
      <c r="H5104" s="11" t="s">
        <v>590</v>
      </c>
      <c r="I5104" s="423"/>
      <c r="J5104" s="14"/>
      <c r="K5104" s="12"/>
      <c r="L5104" s="12"/>
      <c r="M5104" s="11" t="s">
        <v>19864</v>
      </c>
      <c r="N5104" s="5" t="s">
        <v>19865</v>
      </c>
      <c r="O5104" s="5" t="s">
        <v>564</v>
      </c>
      <c r="P5104" s="15"/>
      <c r="Q5104" s="15"/>
      <c r="R5104" s="422"/>
      <c r="S5104" s="15"/>
      <c r="T5104" s="15"/>
      <c r="U5104" s="15"/>
      <c r="V5104" s="15"/>
      <c r="W5104" s="15"/>
      <c r="X5104" s="15"/>
      <c r="Y5104" s="15"/>
      <c r="Z5104" s="15"/>
      <c r="AA5104" s="15"/>
    </row>
    <row r="5105">
      <c r="A5105" s="431">
        <v>44045.0</v>
      </c>
      <c r="B5105" s="292" t="str">
        <f>HYPERLINK("https://akshar-exim-company-pvt-ltd.odoo.com/web#id=20991&amp;action=152&amp;model=crm.lead&amp;view_type=form&amp;menu_id=111","C2010810")</f>
        <v>C2010810</v>
      </c>
      <c r="C5105" s="40" t="s">
        <v>19866</v>
      </c>
      <c r="D5105" s="11"/>
      <c r="E5105" s="11" t="s">
        <v>19867</v>
      </c>
      <c r="F5105" s="90">
        <v>1000.0</v>
      </c>
      <c r="G5105" s="321"/>
      <c r="H5105" s="11" t="s">
        <v>19868</v>
      </c>
      <c r="I5105" s="423"/>
      <c r="J5105" s="14"/>
      <c r="K5105" s="12"/>
      <c r="L5105" s="12"/>
      <c r="M5105" s="11" t="s">
        <v>15852</v>
      </c>
      <c r="N5105" s="5" t="s">
        <v>19869</v>
      </c>
      <c r="O5105" s="5" t="s">
        <v>17993</v>
      </c>
      <c r="P5105" s="15"/>
      <c r="Q5105" s="15"/>
      <c r="R5105" s="422"/>
      <c r="S5105" s="15"/>
      <c r="T5105" s="15"/>
      <c r="U5105" s="15"/>
      <c r="V5105" s="15"/>
      <c r="W5105" s="15"/>
      <c r="X5105" s="15"/>
      <c r="Y5105" s="15"/>
      <c r="Z5105" s="15"/>
      <c r="AA5105" s="15"/>
    </row>
    <row r="5106">
      <c r="A5106" s="431">
        <v>44045.0</v>
      </c>
      <c r="B5106" s="292" t="str">
        <f>HYPERLINK("https://akshar-exim-company-pvt-ltd.odoo.com/web#id=20999&amp;action=152&amp;model=crm.lead&amp;view_type=form&amp;menu_id=111","C2010809")</f>
        <v>C2010809</v>
      </c>
      <c r="C5106" s="40" t="s">
        <v>19870</v>
      </c>
      <c r="D5106" s="11"/>
      <c r="E5106" s="11" t="s">
        <v>794</v>
      </c>
      <c r="F5106" s="90">
        <v>5000.0</v>
      </c>
      <c r="G5106" s="321"/>
      <c r="H5106" s="11" t="s">
        <v>19685</v>
      </c>
      <c r="I5106" s="276"/>
      <c r="J5106" s="11" t="s">
        <v>17976</v>
      </c>
      <c r="K5106" s="12"/>
      <c r="L5106" s="12"/>
      <c r="M5106" s="11" t="s">
        <v>9901</v>
      </c>
      <c r="N5106" s="5" t="s">
        <v>19871</v>
      </c>
      <c r="O5106" s="5" t="s">
        <v>564</v>
      </c>
      <c r="P5106" s="15"/>
      <c r="Q5106" s="15"/>
      <c r="R5106" s="422"/>
      <c r="S5106" s="15"/>
      <c r="T5106" s="15"/>
      <c r="U5106" s="15"/>
      <c r="V5106" s="15"/>
      <c r="W5106" s="15"/>
      <c r="X5106" s="15"/>
      <c r="Y5106" s="15"/>
      <c r="Z5106" s="15"/>
      <c r="AA5106" s="15"/>
    </row>
    <row r="5107">
      <c r="A5107" s="431">
        <v>44045.0</v>
      </c>
      <c r="B5107" s="292" t="str">
        <f>HYPERLINK("https://akshar-exim-company-pvt-ltd.odoo.com/web#id=21003&amp;action=152&amp;model=crm.lead&amp;view_type=form&amp;menu_id=111","C2010808")</f>
        <v>C2010808</v>
      </c>
      <c r="C5107" s="40" t="s">
        <v>19872</v>
      </c>
      <c r="D5107" s="11"/>
      <c r="E5107" s="11" t="s">
        <v>152</v>
      </c>
      <c r="F5107" s="90">
        <v>1000.0</v>
      </c>
      <c r="G5107" s="321"/>
      <c r="H5107" s="11" t="s">
        <v>906</v>
      </c>
      <c r="I5107" s="423"/>
      <c r="J5107" s="14"/>
      <c r="K5107" s="12"/>
      <c r="L5107" s="12"/>
      <c r="M5107" s="11" t="s">
        <v>18334</v>
      </c>
      <c r="N5107" s="5" t="s">
        <v>19873</v>
      </c>
      <c r="O5107" s="5" t="s">
        <v>17993</v>
      </c>
      <c r="P5107" s="15"/>
      <c r="Q5107" s="15"/>
      <c r="R5107" s="422"/>
      <c r="S5107" s="15"/>
      <c r="T5107" s="15"/>
      <c r="U5107" s="15"/>
      <c r="V5107" s="15"/>
      <c r="W5107" s="15"/>
      <c r="X5107" s="15"/>
      <c r="Y5107" s="15"/>
      <c r="Z5107" s="15"/>
      <c r="AA5107" s="15"/>
    </row>
    <row r="5108">
      <c r="A5108" s="431">
        <v>44045.0</v>
      </c>
      <c r="B5108" s="292" t="str">
        <f>HYPERLINK("https://akshar-exim-company-pvt-ltd.odoo.com/web#id=21004&amp;action=152&amp;model=crm.lead&amp;view_type=form&amp;menu_id=111","C2010807")</f>
        <v>C2010807</v>
      </c>
      <c r="C5108" s="40" t="s">
        <v>19874</v>
      </c>
      <c r="D5108" s="11"/>
      <c r="E5108" s="11" t="s">
        <v>19875</v>
      </c>
      <c r="F5108" s="9">
        <v>15000.0</v>
      </c>
      <c r="G5108" s="321"/>
      <c r="H5108" s="11" t="s">
        <v>19876</v>
      </c>
      <c r="I5108" s="276"/>
      <c r="J5108" s="11" t="s">
        <v>19877</v>
      </c>
      <c r="K5108" s="12"/>
      <c r="L5108" s="12"/>
      <c r="M5108" s="11" t="s">
        <v>18665</v>
      </c>
      <c r="N5108" s="5" t="s">
        <v>19878</v>
      </c>
      <c r="O5108" s="5" t="s">
        <v>17993</v>
      </c>
      <c r="P5108" s="15"/>
      <c r="Q5108" s="15"/>
      <c r="R5108" s="422"/>
      <c r="S5108" s="15"/>
      <c r="T5108" s="15"/>
      <c r="U5108" s="15"/>
      <c r="V5108" s="15"/>
      <c r="W5108" s="15"/>
      <c r="X5108" s="15"/>
      <c r="Y5108" s="15"/>
      <c r="Z5108" s="15"/>
      <c r="AA5108" s="15"/>
    </row>
    <row r="5109">
      <c r="A5109" s="431">
        <v>44045.0</v>
      </c>
      <c r="B5109" s="292" t="str">
        <f>HYPERLINK("https://akshar-exim-company-pvt-ltd.odoo.com/web#id=21002&amp;action=152&amp;model=crm.lead&amp;view_type=form&amp;menu_id=111","C2010806")</f>
        <v>C2010806</v>
      </c>
      <c r="C5109" s="41" t="s">
        <v>16368</v>
      </c>
      <c r="D5109" s="11"/>
      <c r="E5109" s="11" t="s">
        <v>3971</v>
      </c>
      <c r="F5109" s="90">
        <v>1000.0</v>
      </c>
      <c r="G5109" s="430"/>
      <c r="H5109" s="41" t="s">
        <v>6385</v>
      </c>
      <c r="I5109" s="276"/>
      <c r="J5109" s="11" t="s">
        <v>17976</v>
      </c>
      <c r="K5109" s="12"/>
      <c r="L5109" s="12"/>
      <c r="M5109" s="11" t="s">
        <v>19879</v>
      </c>
      <c r="N5109" s="5" t="s">
        <v>19880</v>
      </c>
      <c r="O5109" s="5" t="s">
        <v>34</v>
      </c>
      <c r="P5109" s="15"/>
      <c r="Q5109" s="15"/>
      <c r="R5109" s="422"/>
      <c r="S5109" s="15"/>
      <c r="T5109" s="15"/>
      <c r="U5109" s="15"/>
      <c r="V5109" s="15"/>
      <c r="W5109" s="15"/>
      <c r="X5109" s="15"/>
      <c r="Y5109" s="15"/>
      <c r="Z5109" s="15"/>
      <c r="AA5109" s="15"/>
    </row>
    <row r="5110">
      <c r="A5110" s="431">
        <v>44045.0</v>
      </c>
      <c r="B5110" s="292" t="str">
        <f>HYPERLINK("https://akshar-exim-company-pvt-ltd.odoo.com/web#id=21000&amp;action=152&amp;model=crm.lead&amp;view_type=form&amp;menu_id=111","C2010805")</f>
        <v>C2010805</v>
      </c>
      <c r="C5110" s="41" t="s">
        <v>19881</v>
      </c>
      <c r="D5110" s="11"/>
      <c r="E5110" s="11" t="s">
        <v>152</v>
      </c>
      <c r="F5110" s="90">
        <v>5.0</v>
      </c>
      <c r="G5110" s="321"/>
      <c r="H5110" s="11" t="s">
        <v>5334</v>
      </c>
      <c r="I5110" s="276"/>
      <c r="J5110" s="11" t="s">
        <v>16326</v>
      </c>
      <c r="K5110" s="13"/>
      <c r="L5110" s="13"/>
      <c r="M5110" s="14"/>
      <c r="N5110" s="15"/>
      <c r="O5110" s="5" t="s">
        <v>10708</v>
      </c>
      <c r="P5110" s="15"/>
      <c r="Q5110" s="15"/>
      <c r="R5110" s="422"/>
      <c r="S5110" s="15"/>
      <c r="T5110" s="15"/>
      <c r="U5110" s="15"/>
      <c r="V5110" s="15"/>
      <c r="W5110" s="15"/>
      <c r="X5110" s="15"/>
      <c r="Y5110" s="15"/>
      <c r="Z5110" s="15"/>
      <c r="AA5110" s="15"/>
    </row>
    <row r="5111">
      <c r="A5111" s="431">
        <v>44045.0</v>
      </c>
      <c r="B5111" s="292" t="str">
        <f>HYPERLINK("https://akshar-exim-company-pvt-ltd.odoo.com/web#id=20992&amp;action=152&amp;model=crm.lead&amp;view_type=form&amp;menu_id=111","C2010804")</f>
        <v>C2010804</v>
      </c>
      <c r="C5111" s="40" t="s">
        <v>19882</v>
      </c>
      <c r="D5111" s="11"/>
      <c r="E5111" s="11" t="s">
        <v>152</v>
      </c>
      <c r="F5111" s="90">
        <v>10.0</v>
      </c>
      <c r="G5111" s="321"/>
      <c r="H5111" s="11" t="s">
        <v>19883</v>
      </c>
      <c r="I5111" s="276"/>
      <c r="J5111" s="11" t="s">
        <v>16326</v>
      </c>
      <c r="K5111" s="13"/>
      <c r="L5111" s="13"/>
      <c r="M5111" s="14"/>
      <c r="N5111" s="15"/>
      <c r="O5111" s="5" t="s">
        <v>10708</v>
      </c>
      <c r="P5111" s="15"/>
      <c r="Q5111" s="15"/>
      <c r="R5111" s="422"/>
      <c r="S5111" s="15"/>
      <c r="T5111" s="15"/>
      <c r="U5111" s="15"/>
      <c r="V5111" s="15"/>
      <c r="W5111" s="15"/>
      <c r="X5111" s="15"/>
      <c r="Y5111" s="15"/>
      <c r="Z5111" s="15"/>
      <c r="AA5111" s="15"/>
    </row>
    <row r="5112">
      <c r="A5112" s="431">
        <v>44045.0</v>
      </c>
      <c r="B5112" s="292" t="str">
        <f>HYPERLINK("https://akshar-exim-company-pvt-ltd.odoo.com/web#id=20988&amp;action=152&amp;model=crm.lead&amp;view_type=form&amp;menu_id=111","C2010803")</f>
        <v>C2010803</v>
      </c>
      <c r="C5112" s="40" t="s">
        <v>1827</v>
      </c>
      <c r="D5112" s="11"/>
      <c r="E5112" s="11" t="s">
        <v>19884</v>
      </c>
      <c r="F5112" s="90" t="s">
        <v>19885</v>
      </c>
      <c r="G5112" s="321"/>
      <c r="H5112" s="11" t="s">
        <v>19886</v>
      </c>
      <c r="I5112" s="423"/>
      <c r="J5112" s="14"/>
      <c r="K5112" s="12"/>
      <c r="L5112" s="12"/>
      <c r="M5112" s="11" t="s">
        <v>9445</v>
      </c>
      <c r="N5112" s="5" t="s">
        <v>19887</v>
      </c>
      <c r="O5112" s="5" t="s">
        <v>19838</v>
      </c>
      <c r="P5112" s="15"/>
      <c r="Q5112" s="15"/>
      <c r="R5112" s="422"/>
      <c r="S5112" s="15"/>
      <c r="T5112" s="15"/>
      <c r="U5112" s="15"/>
      <c r="V5112" s="15"/>
      <c r="W5112" s="15"/>
      <c r="X5112" s="15"/>
      <c r="Y5112" s="15"/>
      <c r="Z5112" s="15"/>
      <c r="AA5112" s="15"/>
    </row>
    <row r="5113">
      <c r="A5113" s="431">
        <v>44045.0</v>
      </c>
      <c r="B5113" s="292" t="str">
        <f>HYPERLINK("https://akshar-exim-company-pvt-ltd.odoo.com/web#id=20983&amp;action=152&amp;model=crm.lead&amp;view_type=form&amp;menu_id=111","C2010802")</f>
        <v>C2010802</v>
      </c>
      <c r="C5113" s="41" t="s">
        <v>19888</v>
      </c>
      <c r="D5113" s="11"/>
      <c r="E5113" s="11" t="s">
        <v>1675</v>
      </c>
      <c r="F5113" s="90">
        <v>5.0</v>
      </c>
      <c r="G5113" s="321"/>
      <c r="H5113" s="11" t="s">
        <v>906</v>
      </c>
      <c r="I5113" s="276"/>
      <c r="J5113" s="11" t="s">
        <v>25</v>
      </c>
      <c r="K5113" s="13"/>
      <c r="L5113" s="13"/>
      <c r="M5113" s="14"/>
      <c r="N5113" s="15"/>
      <c r="O5113" s="5" t="s">
        <v>10708</v>
      </c>
      <c r="P5113" s="15"/>
      <c r="Q5113" s="15"/>
      <c r="R5113" s="422"/>
      <c r="S5113" s="15"/>
      <c r="T5113" s="15"/>
      <c r="U5113" s="15"/>
      <c r="V5113" s="15"/>
      <c r="W5113" s="15"/>
      <c r="X5113" s="15"/>
      <c r="Y5113" s="15"/>
      <c r="Z5113" s="15"/>
      <c r="AA5113" s="15"/>
    </row>
    <row r="5114">
      <c r="A5114" s="431">
        <v>44045.0</v>
      </c>
      <c r="B5114" s="292" t="str">
        <f>HYPERLINK("https://akshar-exim-company-pvt-ltd.odoo.com/web#id=20982&amp;action=152&amp;model=crm.lead&amp;view_type=form&amp;menu_id=111","C2010801")</f>
        <v>C2010801</v>
      </c>
      <c r="C5114" s="40" t="s">
        <v>19889</v>
      </c>
      <c r="D5114" s="41"/>
      <c r="E5114" s="41" t="s">
        <v>19890</v>
      </c>
      <c r="F5114" s="433"/>
      <c r="G5114" s="434"/>
      <c r="H5114" s="14"/>
      <c r="I5114" s="423"/>
      <c r="J5114" s="14"/>
      <c r="K5114" s="13"/>
      <c r="L5114" s="13"/>
      <c r="M5114" s="14"/>
      <c r="N5114" s="15"/>
      <c r="O5114" s="15"/>
      <c r="P5114" s="15"/>
      <c r="Q5114" s="15"/>
      <c r="R5114" s="422"/>
      <c r="S5114" s="15"/>
      <c r="T5114" s="15"/>
      <c r="U5114" s="15"/>
      <c r="V5114" s="15"/>
      <c r="W5114" s="15"/>
      <c r="X5114" s="15"/>
      <c r="Y5114" s="15"/>
      <c r="Z5114" s="15"/>
      <c r="AA5114" s="15"/>
    </row>
    <row r="5115">
      <c r="A5115" s="431">
        <v>44045.0</v>
      </c>
      <c r="B5115" s="292" t="str">
        <f>HYPERLINK("https://akshar-exim-company-pvt-ltd.odoo.com/web#id=20980&amp;action=152&amp;model=crm.lead&amp;view_type=form&amp;menu_id=111","C2010800")</f>
        <v>C2010800</v>
      </c>
      <c r="C5115" s="41" t="s">
        <v>19891</v>
      </c>
      <c r="D5115" s="11"/>
      <c r="E5115" s="11" t="s">
        <v>19892</v>
      </c>
      <c r="F5115" s="9">
        <v>10000.0</v>
      </c>
      <c r="G5115" s="321"/>
      <c r="H5115" s="11" t="s">
        <v>638</v>
      </c>
      <c r="I5115" s="276"/>
      <c r="J5115" s="11" t="s">
        <v>17976</v>
      </c>
      <c r="K5115" s="12"/>
      <c r="L5115" s="12"/>
      <c r="M5115" s="11" t="s">
        <v>19893</v>
      </c>
      <c r="N5115" s="5" t="s">
        <v>19894</v>
      </c>
      <c r="O5115" s="5" t="s">
        <v>10708</v>
      </c>
      <c r="P5115" s="15"/>
      <c r="Q5115" s="15"/>
      <c r="R5115" s="422"/>
      <c r="S5115" s="15"/>
      <c r="T5115" s="15"/>
      <c r="U5115" s="15"/>
      <c r="V5115" s="15"/>
      <c r="W5115" s="15"/>
      <c r="X5115" s="15"/>
      <c r="Y5115" s="15"/>
      <c r="Z5115" s="15"/>
      <c r="AA5115" s="15"/>
    </row>
    <row r="5116">
      <c r="A5116" s="431">
        <v>44045.0</v>
      </c>
      <c r="B5116" s="292" t="str">
        <f>HYPERLINK("https://akshar-exim-company-pvt-ltd.odoo.com/web#id=20966&amp;action=152&amp;model=crm.lead&amp;view_type=form&amp;menu_id=111","C210799")</f>
        <v>C210799</v>
      </c>
      <c r="C5116" s="40" t="s">
        <v>19895</v>
      </c>
      <c r="D5116" s="11"/>
      <c r="E5116" s="11" t="s">
        <v>5774</v>
      </c>
      <c r="F5116" s="9">
        <v>100000.0</v>
      </c>
      <c r="G5116" s="434"/>
      <c r="H5116" s="14"/>
      <c r="I5116" s="423"/>
      <c r="J5116" s="14"/>
      <c r="K5116" s="12"/>
      <c r="L5116" s="12"/>
      <c r="M5116" s="11" t="s">
        <v>9104</v>
      </c>
      <c r="N5116" s="5" t="s">
        <v>19896</v>
      </c>
      <c r="O5116" s="5" t="s">
        <v>13963</v>
      </c>
      <c r="P5116" s="15"/>
      <c r="Q5116" s="15"/>
      <c r="R5116" s="422"/>
      <c r="S5116" s="15"/>
      <c r="T5116" s="15"/>
      <c r="U5116" s="15"/>
      <c r="V5116" s="15"/>
      <c r="W5116" s="15"/>
      <c r="X5116" s="15"/>
      <c r="Y5116" s="15"/>
      <c r="Z5116" s="15"/>
      <c r="AA5116" s="15"/>
    </row>
    <row r="5117">
      <c r="A5117" s="431">
        <v>44045.0</v>
      </c>
      <c r="B5117" s="292" t="str">
        <f>HYPERLINK("https://akshar-exim-company-pvt-ltd.odoo.com/web#id=20962&amp;action=152&amp;model=crm.lead&amp;view_type=form&amp;menu_id=111","C2010798")</f>
        <v>C2010798</v>
      </c>
      <c r="C5117" s="41" t="s">
        <v>18498</v>
      </c>
      <c r="D5117" s="11"/>
      <c r="E5117" s="11" t="s">
        <v>6027</v>
      </c>
      <c r="F5117" s="90">
        <v>3000.0</v>
      </c>
      <c r="G5117" s="430"/>
      <c r="H5117" s="41" t="s">
        <v>18499</v>
      </c>
      <c r="I5117" s="276"/>
      <c r="J5117" s="11" t="s">
        <v>7109</v>
      </c>
      <c r="K5117" s="13"/>
      <c r="L5117" s="13"/>
      <c r="M5117" s="14"/>
      <c r="N5117" s="15"/>
      <c r="O5117" s="5" t="s">
        <v>13963</v>
      </c>
      <c r="P5117" s="15"/>
      <c r="Q5117" s="15"/>
      <c r="R5117" s="422"/>
      <c r="S5117" s="15"/>
      <c r="T5117" s="15"/>
      <c r="U5117" s="15"/>
      <c r="V5117" s="15"/>
      <c r="W5117" s="15"/>
      <c r="X5117" s="15"/>
      <c r="Y5117" s="15"/>
      <c r="Z5117" s="15"/>
      <c r="AA5117" s="15"/>
    </row>
    <row r="5118">
      <c r="A5118" s="431">
        <v>44045.0</v>
      </c>
      <c r="B5118" s="292" t="str">
        <f>HYPERLINK("https://akshar-exim-company-pvt-ltd.odoo.com/web#id=20961&amp;action=152&amp;model=crm.lead&amp;view_type=form&amp;menu_id=111","C2010797")</f>
        <v>C2010797</v>
      </c>
      <c r="C5118" s="41" t="s">
        <v>19897</v>
      </c>
      <c r="D5118" s="11"/>
      <c r="E5118" s="11" t="s">
        <v>207</v>
      </c>
      <c r="F5118" s="433"/>
      <c r="G5118" s="321"/>
      <c r="H5118" s="11" t="s">
        <v>985</v>
      </c>
      <c r="I5118" s="423"/>
      <c r="J5118" s="14"/>
      <c r="K5118" s="12"/>
      <c r="L5118" s="12"/>
      <c r="M5118" s="11" t="s">
        <v>8442</v>
      </c>
      <c r="N5118" s="5" t="s">
        <v>19898</v>
      </c>
      <c r="O5118" s="5" t="s">
        <v>1112</v>
      </c>
      <c r="P5118" s="15"/>
      <c r="Q5118" s="15"/>
      <c r="R5118" s="422"/>
      <c r="S5118" s="15"/>
      <c r="T5118" s="15"/>
      <c r="U5118" s="15"/>
      <c r="V5118" s="15"/>
      <c r="W5118" s="15"/>
      <c r="X5118" s="15"/>
      <c r="Y5118" s="15"/>
      <c r="Z5118" s="15"/>
      <c r="AA5118" s="15"/>
    </row>
    <row r="5119">
      <c r="A5119" s="431">
        <v>44045.0</v>
      </c>
      <c r="B5119" s="292" t="str">
        <f>HYPERLINK("https://akshar-exim-company-pvt-ltd.odoo.com/web#id=20987&amp;action=152&amp;model=crm.lead&amp;view_type=form&amp;menu_id=111","C2010796")</f>
        <v>C2010796</v>
      </c>
      <c r="C5119" s="41" t="s">
        <v>19899</v>
      </c>
      <c r="D5119" s="11"/>
      <c r="E5119" s="11" t="s">
        <v>167</v>
      </c>
      <c r="F5119" s="90">
        <v>10.0</v>
      </c>
      <c r="G5119" s="430"/>
      <c r="H5119" s="41" t="s">
        <v>7180</v>
      </c>
      <c r="I5119" s="423"/>
      <c r="J5119" s="14"/>
      <c r="K5119" s="13"/>
      <c r="L5119" s="13"/>
      <c r="M5119" s="14"/>
      <c r="N5119" s="15"/>
      <c r="O5119" s="5" t="s">
        <v>10708</v>
      </c>
      <c r="P5119" s="15"/>
      <c r="Q5119" s="15"/>
      <c r="R5119" s="422"/>
      <c r="S5119" s="15"/>
      <c r="T5119" s="15"/>
      <c r="U5119" s="15"/>
      <c r="V5119" s="15"/>
      <c r="W5119" s="15"/>
      <c r="X5119" s="15"/>
      <c r="Y5119" s="15"/>
      <c r="Z5119" s="15"/>
      <c r="AA5119" s="15"/>
    </row>
    <row r="5120">
      <c r="A5120" s="431">
        <v>44045.0</v>
      </c>
      <c r="B5120" s="292" t="str">
        <f>HYPERLINK("https://akshar-exim-company-pvt-ltd.odoo.com/web#id=20949&amp;action=152&amp;model=crm.lead&amp;view_type=form&amp;menu_id=111","C2010795")</f>
        <v>C2010795</v>
      </c>
      <c r="C5120" s="41" t="s">
        <v>19900</v>
      </c>
      <c r="D5120" s="11"/>
      <c r="E5120" s="11" t="s">
        <v>11843</v>
      </c>
      <c r="F5120" s="90">
        <v>500.0</v>
      </c>
      <c r="G5120" s="321"/>
      <c r="H5120" s="11" t="s">
        <v>184</v>
      </c>
      <c r="I5120" s="276"/>
      <c r="J5120" s="11" t="s">
        <v>19901</v>
      </c>
      <c r="K5120" s="13"/>
      <c r="L5120" s="13"/>
      <c r="M5120" s="14"/>
      <c r="N5120" s="15"/>
      <c r="O5120" s="5" t="s">
        <v>564</v>
      </c>
      <c r="P5120" s="15"/>
      <c r="Q5120" s="15"/>
      <c r="R5120" s="422"/>
      <c r="S5120" s="15"/>
      <c r="T5120" s="15"/>
      <c r="U5120" s="15"/>
      <c r="V5120" s="15"/>
      <c r="W5120" s="15"/>
      <c r="X5120" s="15"/>
      <c r="Y5120" s="15"/>
      <c r="Z5120" s="15"/>
      <c r="AA5120" s="15"/>
    </row>
    <row r="5121">
      <c r="A5121" s="431">
        <v>44045.0</v>
      </c>
      <c r="B5121" s="292" t="str">
        <f>HYPERLINK("https://akshar-exim-company-pvt-ltd.odoo.com/web#id=20959&amp;action=152&amp;model=crm.lead&amp;view_type=form&amp;menu_id=111","C2010794")</f>
        <v>C2010794</v>
      </c>
      <c r="C5121" s="41" t="s">
        <v>19902</v>
      </c>
      <c r="D5121" s="11"/>
      <c r="E5121" s="11" t="s">
        <v>130</v>
      </c>
      <c r="F5121" s="90">
        <v>20.0</v>
      </c>
      <c r="G5121" s="321"/>
      <c r="H5121" s="11" t="s">
        <v>19903</v>
      </c>
      <c r="I5121" s="276"/>
      <c r="J5121" s="11" t="s">
        <v>25</v>
      </c>
      <c r="K5121" s="13"/>
      <c r="L5121" s="13"/>
      <c r="M5121" s="14"/>
      <c r="N5121" s="15"/>
      <c r="O5121" s="5" t="s">
        <v>10708</v>
      </c>
      <c r="P5121" s="15"/>
      <c r="Q5121" s="15"/>
      <c r="R5121" s="422"/>
      <c r="S5121" s="15"/>
      <c r="T5121" s="15"/>
      <c r="U5121" s="15"/>
      <c r="V5121" s="15"/>
      <c r="W5121" s="15"/>
      <c r="X5121" s="15"/>
      <c r="Y5121" s="15"/>
      <c r="Z5121" s="15"/>
      <c r="AA5121" s="15"/>
    </row>
    <row r="5122">
      <c r="A5122" s="431">
        <v>44045.0</v>
      </c>
      <c r="B5122" s="292" t="str">
        <f>HYPERLINK("https://akshar-exim-company-pvt-ltd.odoo.com/web#id=20967&amp;action=152&amp;model=crm.lead&amp;view_type=form&amp;menu_id=111","C2010793")</f>
        <v>C2010793</v>
      </c>
      <c r="C5122" s="41" t="s">
        <v>19904</v>
      </c>
      <c r="D5122" s="11"/>
      <c r="E5122" s="11" t="s">
        <v>9434</v>
      </c>
      <c r="F5122" s="9">
        <v>500000.0</v>
      </c>
      <c r="G5122" s="430"/>
      <c r="H5122" s="41" t="s">
        <v>19905</v>
      </c>
      <c r="I5122" s="276"/>
      <c r="J5122" s="11" t="s">
        <v>4008</v>
      </c>
      <c r="K5122" s="13"/>
      <c r="L5122" s="13"/>
      <c r="M5122" s="14"/>
      <c r="N5122" s="15"/>
      <c r="O5122" s="5" t="s">
        <v>17993</v>
      </c>
      <c r="P5122" s="15"/>
      <c r="Q5122" s="15"/>
      <c r="R5122" s="422"/>
      <c r="S5122" s="15"/>
      <c r="T5122" s="15"/>
      <c r="U5122" s="15"/>
      <c r="V5122" s="15"/>
      <c r="W5122" s="15"/>
      <c r="X5122" s="15"/>
      <c r="Y5122" s="15"/>
      <c r="Z5122" s="15"/>
      <c r="AA5122" s="15"/>
    </row>
    <row r="5123">
      <c r="A5123" s="431">
        <v>44045.0</v>
      </c>
      <c r="B5123" s="292" t="str">
        <f>HYPERLINK("https://akshar-exim-company-pvt-ltd.odoo.com/web#id=20968&amp;action=152&amp;model=crm.lead&amp;view_type=form&amp;menu_id=111","C2010792")</f>
        <v>C2010792</v>
      </c>
      <c r="C5123" s="41" t="s">
        <v>18600</v>
      </c>
      <c r="D5123" s="11"/>
      <c r="E5123" s="11" t="s">
        <v>9283</v>
      </c>
      <c r="F5123" s="90">
        <v>1.0</v>
      </c>
      <c r="G5123" s="321"/>
      <c r="H5123" s="11" t="s">
        <v>4841</v>
      </c>
      <c r="I5123" s="276"/>
      <c r="J5123" s="11" t="s">
        <v>14563</v>
      </c>
      <c r="K5123" s="13"/>
      <c r="L5123" s="13"/>
      <c r="M5123" s="14"/>
      <c r="N5123" s="15"/>
      <c r="O5123" s="5" t="s">
        <v>10708</v>
      </c>
      <c r="P5123" s="15"/>
      <c r="Q5123" s="15"/>
      <c r="R5123" s="422"/>
      <c r="S5123" s="15"/>
      <c r="T5123" s="15"/>
      <c r="U5123" s="15"/>
      <c r="V5123" s="15"/>
      <c r="W5123" s="15"/>
      <c r="X5123" s="15"/>
      <c r="Y5123" s="15"/>
      <c r="Z5123" s="15"/>
      <c r="AA5123" s="15"/>
    </row>
    <row r="5124">
      <c r="A5124" s="431">
        <v>44045.0</v>
      </c>
      <c r="B5124" s="292" t="str">
        <f>HYPERLINK("https://akshar-exim-company-pvt-ltd.odoo.com/web#id=20969&amp;action=152&amp;model=crm.lead&amp;view_type=form&amp;menu_id=111","C2010791")</f>
        <v>C2010791</v>
      </c>
      <c r="C5124" s="41" t="s">
        <v>19906</v>
      </c>
      <c r="D5124" s="11"/>
      <c r="E5124" s="11" t="s">
        <v>19907</v>
      </c>
      <c r="F5124" s="90">
        <v>50.0</v>
      </c>
      <c r="G5124" s="321"/>
      <c r="H5124" s="11" t="s">
        <v>158</v>
      </c>
      <c r="I5124" s="276"/>
      <c r="J5124" s="11" t="s">
        <v>25</v>
      </c>
      <c r="K5124" s="13"/>
      <c r="L5124" s="13"/>
      <c r="M5124" s="14"/>
      <c r="N5124" s="15"/>
      <c r="O5124" s="5" t="s">
        <v>10708</v>
      </c>
      <c r="P5124" s="15"/>
      <c r="Q5124" s="15"/>
      <c r="R5124" s="422"/>
      <c r="S5124" s="15"/>
      <c r="T5124" s="15"/>
      <c r="U5124" s="15"/>
      <c r="V5124" s="15"/>
      <c r="W5124" s="15"/>
      <c r="X5124" s="15"/>
      <c r="Y5124" s="15"/>
      <c r="Z5124" s="15"/>
      <c r="AA5124" s="15"/>
    </row>
    <row r="5125">
      <c r="A5125" s="431">
        <v>44045.0</v>
      </c>
      <c r="B5125" s="292" t="str">
        <f>HYPERLINK("https://akshar-exim-company-pvt-ltd.odoo.com/web#id=20970&amp;action=152&amp;model=crm.lead&amp;view_type=form&amp;menu_id=111","C2010790")</f>
        <v>C2010790</v>
      </c>
      <c r="C5125" s="435" t="s">
        <v>19908</v>
      </c>
      <c r="D5125" s="11"/>
      <c r="E5125" s="11" t="s">
        <v>19909</v>
      </c>
      <c r="F5125" s="90">
        <v>25.0</v>
      </c>
      <c r="G5125" s="321"/>
      <c r="H5125" s="11" t="s">
        <v>742</v>
      </c>
      <c r="I5125" s="423"/>
      <c r="J5125" s="14"/>
      <c r="K5125" s="13"/>
      <c r="L5125" s="13"/>
      <c r="M5125" s="14"/>
      <c r="N5125" s="15"/>
      <c r="O5125" s="15"/>
      <c r="P5125" s="15"/>
      <c r="Q5125" s="15"/>
      <c r="R5125" s="422"/>
      <c r="S5125" s="15"/>
      <c r="T5125" s="15"/>
      <c r="U5125" s="15"/>
      <c r="V5125" s="15"/>
      <c r="W5125" s="15"/>
      <c r="X5125" s="15"/>
      <c r="Y5125" s="15"/>
      <c r="Z5125" s="15"/>
      <c r="AA5125" s="15"/>
    </row>
    <row r="5126">
      <c r="A5126" s="431">
        <v>44045.0</v>
      </c>
      <c r="B5126" s="292" t="str">
        <f>HYPERLINK("https://akshar-exim-company-pvt-ltd.odoo.com/web#id=20971&amp;action=152&amp;model=crm.lead&amp;view_type=form&amp;menu_id=111","C2010789")</f>
        <v>C2010789</v>
      </c>
      <c r="C5126" s="41" t="s">
        <v>19910</v>
      </c>
      <c r="D5126" s="11"/>
      <c r="E5126" s="11" t="s">
        <v>10433</v>
      </c>
      <c r="F5126" s="90">
        <v>50.0</v>
      </c>
      <c r="G5126" s="430"/>
      <c r="H5126" s="41" t="s">
        <v>19911</v>
      </c>
      <c r="I5126" s="423"/>
      <c r="J5126" s="14"/>
      <c r="K5126" s="13"/>
      <c r="L5126" s="13"/>
      <c r="M5126" s="14"/>
      <c r="N5126" s="15"/>
      <c r="O5126" s="5" t="s">
        <v>10708</v>
      </c>
      <c r="P5126" s="15"/>
      <c r="Q5126" s="15"/>
      <c r="R5126" s="422"/>
      <c r="S5126" s="15"/>
      <c r="T5126" s="15"/>
      <c r="U5126" s="15"/>
      <c r="V5126" s="15"/>
      <c r="W5126" s="15"/>
      <c r="X5126" s="15"/>
      <c r="Y5126" s="15"/>
      <c r="Z5126" s="15"/>
      <c r="AA5126" s="15"/>
    </row>
    <row r="5127">
      <c r="A5127" s="431">
        <v>44045.0</v>
      </c>
      <c r="B5127" s="292" t="str">
        <f>HYPERLINK("https://akshar-exim-company-pvt-ltd.odoo.com/web#id=20977&amp;action=152&amp;model=crm.lead&amp;view_type=form&amp;menu_id=111","C2010788")</f>
        <v>C2010788</v>
      </c>
      <c r="C5127" s="41" t="s">
        <v>19912</v>
      </c>
      <c r="D5127" s="11"/>
      <c r="E5127" s="11" t="s">
        <v>9283</v>
      </c>
      <c r="F5127" s="90">
        <v>2.0</v>
      </c>
      <c r="G5127" s="321"/>
      <c r="H5127" s="11" t="s">
        <v>14534</v>
      </c>
      <c r="I5127" s="423"/>
      <c r="J5127" s="14"/>
      <c r="K5127" s="13"/>
      <c r="L5127" s="13"/>
      <c r="M5127" s="14"/>
      <c r="N5127" s="15"/>
      <c r="O5127" s="5" t="s">
        <v>10708</v>
      </c>
      <c r="P5127" s="15"/>
      <c r="Q5127" s="15"/>
      <c r="R5127" s="422"/>
      <c r="S5127" s="15"/>
      <c r="T5127" s="15"/>
      <c r="U5127" s="15"/>
      <c r="V5127" s="15"/>
      <c r="W5127" s="15"/>
      <c r="X5127" s="15"/>
      <c r="Y5127" s="15"/>
      <c r="Z5127" s="15"/>
      <c r="AA5127" s="15"/>
    </row>
    <row r="5128">
      <c r="A5128" s="431">
        <v>44045.0</v>
      </c>
      <c r="B5128" s="292" t="str">
        <f>HYPERLINK("https://akshar-exim-company-pvt-ltd.odoo.com/web#id=20974&amp;action=152&amp;model=crm.lead&amp;view_type=form&amp;menu_id=111","C2010787")</f>
        <v>C2010787</v>
      </c>
      <c r="C5128" s="41" t="s">
        <v>19913</v>
      </c>
      <c r="D5128" s="11"/>
      <c r="E5128" s="11" t="s">
        <v>167</v>
      </c>
      <c r="F5128" s="433"/>
      <c r="G5128" s="434"/>
      <c r="H5128" s="14"/>
      <c r="I5128" s="423"/>
      <c r="J5128" s="14"/>
      <c r="K5128" s="13"/>
      <c r="L5128" s="13"/>
      <c r="M5128" s="14"/>
      <c r="N5128" s="15"/>
      <c r="O5128" s="15"/>
      <c r="P5128" s="15"/>
      <c r="Q5128" s="15"/>
      <c r="R5128" s="422"/>
      <c r="S5128" s="15"/>
      <c r="T5128" s="15"/>
      <c r="U5128" s="15"/>
      <c r="V5128" s="15"/>
      <c r="W5128" s="15"/>
      <c r="X5128" s="15"/>
      <c r="Y5128" s="15"/>
      <c r="Z5128" s="15"/>
      <c r="AA5128" s="15"/>
    </row>
    <row r="5129">
      <c r="A5129" s="431">
        <v>44045.0</v>
      </c>
      <c r="B5129" s="292" t="str">
        <f>HYPERLINK("https://akshar-exim-company-pvt-ltd.odoo.com/web#id=20921&amp;action=152&amp;model=crm.lead&amp;view_type=form&amp;menu_id=111","C2010786")</f>
        <v>C2010786</v>
      </c>
      <c r="C5129" s="41" t="s">
        <v>19914</v>
      </c>
      <c r="D5129" s="11"/>
      <c r="E5129" s="11" t="s">
        <v>19915</v>
      </c>
      <c r="F5129" s="9">
        <v>10000.0</v>
      </c>
      <c r="G5129" s="430"/>
      <c r="H5129" s="41" t="s">
        <v>19916</v>
      </c>
      <c r="I5129" s="423"/>
      <c r="J5129" s="14"/>
      <c r="K5129" s="12"/>
      <c r="L5129" s="12"/>
      <c r="M5129" s="11" t="s">
        <v>14365</v>
      </c>
      <c r="N5129" s="5" t="s">
        <v>19917</v>
      </c>
      <c r="O5129" s="5" t="s">
        <v>17993</v>
      </c>
      <c r="P5129" s="15"/>
      <c r="Q5129" s="15"/>
      <c r="R5129" s="422"/>
      <c r="S5129" s="15"/>
      <c r="T5129" s="15"/>
      <c r="U5129" s="15"/>
      <c r="V5129" s="15"/>
      <c r="W5129" s="15"/>
      <c r="X5129" s="15"/>
      <c r="Y5129" s="15"/>
      <c r="Z5129" s="15"/>
      <c r="AA5129" s="15"/>
    </row>
    <row r="5130">
      <c r="A5130" s="431">
        <v>44045.0</v>
      </c>
      <c r="B5130" s="292" t="str">
        <f>HYPERLINK("https://akshar-exim-company-pvt-ltd.odoo.com/web#id=20915&amp;action=152&amp;model=crm.lead&amp;view_type=form&amp;menu_id=111","C2010785")</f>
        <v>C2010785</v>
      </c>
      <c r="C5130" s="41" t="s">
        <v>19918</v>
      </c>
      <c r="D5130" s="405"/>
      <c r="E5130" s="405" t="s">
        <v>18977</v>
      </c>
      <c r="F5130" s="90">
        <v>1000.0</v>
      </c>
      <c r="G5130" s="321"/>
      <c r="H5130" s="11" t="s">
        <v>19919</v>
      </c>
      <c r="I5130" s="276"/>
      <c r="J5130" s="11" t="s">
        <v>7109</v>
      </c>
      <c r="K5130" s="12"/>
      <c r="L5130" s="12"/>
      <c r="M5130" s="11" t="s">
        <v>19920</v>
      </c>
      <c r="N5130" s="5" t="s">
        <v>19921</v>
      </c>
      <c r="O5130" s="5" t="s">
        <v>17993</v>
      </c>
      <c r="P5130" s="15"/>
      <c r="Q5130" s="15"/>
      <c r="R5130" s="422"/>
      <c r="S5130" s="15"/>
      <c r="T5130" s="15"/>
      <c r="U5130" s="15"/>
      <c r="V5130" s="15"/>
      <c r="W5130" s="15"/>
      <c r="X5130" s="15"/>
      <c r="Y5130" s="15"/>
      <c r="Z5130" s="15"/>
      <c r="AA5130" s="15"/>
    </row>
    <row r="5131">
      <c r="A5131" s="431">
        <v>44014.0</v>
      </c>
      <c r="B5131" s="292" t="str">
        <f>HYPERLINK("https://akshar-exim-company-pvt-ltd.odoo.com/web#id=20955&amp;action=152&amp;model=crm.lead&amp;view_type=form&amp;menu_id=111","C2010784")</f>
        <v>C2010784</v>
      </c>
      <c r="C5131" s="450" t="s">
        <v>19922</v>
      </c>
      <c r="D5131" s="11"/>
      <c r="E5131" s="11" t="s">
        <v>152</v>
      </c>
      <c r="F5131" s="90">
        <v>100.0</v>
      </c>
      <c r="G5131" s="430"/>
      <c r="H5131" s="41" t="s">
        <v>19226</v>
      </c>
      <c r="I5131" s="423"/>
      <c r="J5131" s="14"/>
      <c r="K5131" s="13"/>
      <c r="L5131" s="13"/>
      <c r="M5131" s="14"/>
      <c r="N5131" s="15"/>
      <c r="O5131" s="5" t="s">
        <v>10708</v>
      </c>
      <c r="P5131" s="15"/>
      <c r="Q5131" s="15"/>
      <c r="R5131" s="422"/>
      <c r="S5131" s="15"/>
      <c r="T5131" s="15"/>
      <c r="U5131" s="15"/>
      <c r="V5131" s="15"/>
      <c r="W5131" s="15"/>
      <c r="X5131" s="15"/>
      <c r="Y5131" s="15"/>
      <c r="Z5131" s="15"/>
      <c r="AA5131" s="15"/>
    </row>
    <row r="5132">
      <c r="A5132" s="431">
        <v>44014.0</v>
      </c>
      <c r="B5132" s="292" t="str">
        <f>HYPERLINK("https://akshar-exim-company-pvt-ltd.odoo.com/web#id=20944&amp;action=152&amp;model=crm.lead&amp;view_type=form&amp;menu_id=111","C2010783")</f>
        <v>C2010783</v>
      </c>
      <c r="C5132" s="424" t="s">
        <v>19923</v>
      </c>
      <c r="D5132" s="11"/>
      <c r="E5132" s="11" t="s">
        <v>213</v>
      </c>
      <c r="F5132" s="90">
        <v>40.0</v>
      </c>
      <c r="G5132" s="430"/>
      <c r="H5132" s="41" t="s">
        <v>4638</v>
      </c>
      <c r="I5132" s="423"/>
      <c r="J5132" s="14"/>
      <c r="K5132" s="13"/>
      <c r="L5132" s="13"/>
      <c r="M5132" s="14"/>
      <c r="N5132" s="15"/>
      <c r="O5132" s="5" t="s">
        <v>10708</v>
      </c>
      <c r="P5132" s="15"/>
      <c r="Q5132" s="15"/>
      <c r="R5132" s="422"/>
      <c r="S5132" s="15"/>
      <c r="T5132" s="15"/>
      <c r="U5132" s="15"/>
      <c r="V5132" s="15"/>
      <c r="W5132" s="15"/>
      <c r="X5132" s="15"/>
      <c r="Y5132" s="15"/>
      <c r="Z5132" s="15"/>
      <c r="AA5132" s="15"/>
    </row>
    <row r="5133">
      <c r="A5133" s="431">
        <v>44014.0</v>
      </c>
      <c r="B5133" s="292" t="str">
        <f>HYPERLINK("https://akshar-exim-company-pvt-ltd.odoo.com/web#id=20939&amp;action=152&amp;model=crm.lead&amp;view_type=form&amp;menu_id=111","C2010782")</f>
        <v>C2010782</v>
      </c>
      <c r="C5133" s="41" t="s">
        <v>19924</v>
      </c>
      <c r="D5133" s="11"/>
      <c r="E5133" s="11" t="s">
        <v>227</v>
      </c>
      <c r="F5133" s="9">
        <v>150000.0</v>
      </c>
      <c r="G5133" s="321"/>
      <c r="H5133" s="11" t="s">
        <v>638</v>
      </c>
      <c r="I5133" s="276"/>
      <c r="J5133" s="11" t="s">
        <v>19925</v>
      </c>
      <c r="K5133" s="12"/>
      <c r="L5133" s="12"/>
      <c r="M5133" s="11" t="s">
        <v>9298</v>
      </c>
      <c r="N5133" s="5" t="s">
        <v>19926</v>
      </c>
      <c r="O5133" s="5" t="s">
        <v>564</v>
      </c>
      <c r="P5133" s="15"/>
      <c r="Q5133" s="15"/>
      <c r="R5133" s="422"/>
      <c r="S5133" s="15"/>
      <c r="T5133" s="15"/>
      <c r="U5133" s="15"/>
      <c r="V5133" s="15"/>
      <c r="W5133" s="15"/>
      <c r="X5133" s="15"/>
      <c r="Y5133" s="15"/>
      <c r="Z5133" s="15"/>
      <c r="AA5133" s="15"/>
    </row>
    <row r="5134">
      <c r="A5134" s="431">
        <v>44014.0</v>
      </c>
      <c r="B5134" s="292" t="str">
        <f>HYPERLINK("https://akshar-exim-company-pvt-ltd.odoo.com/web#id=20938&amp;action=152&amp;model=crm.lead&amp;view_type=form&amp;menu_id=111","C2010781")</f>
        <v>C2010781</v>
      </c>
      <c r="C5134" s="41" t="s">
        <v>19927</v>
      </c>
      <c r="D5134" s="11"/>
      <c r="E5134" s="11" t="s">
        <v>19928</v>
      </c>
      <c r="F5134" s="433"/>
      <c r="G5134" s="434"/>
      <c r="H5134" s="14"/>
      <c r="I5134" s="423"/>
      <c r="J5134" s="14"/>
      <c r="K5134" s="13"/>
      <c r="L5134" s="13"/>
      <c r="M5134" s="14"/>
      <c r="N5134" s="15"/>
      <c r="O5134" s="15"/>
      <c r="P5134" s="15"/>
      <c r="Q5134" s="15"/>
      <c r="R5134" s="422"/>
      <c r="S5134" s="15"/>
      <c r="T5134" s="15"/>
      <c r="U5134" s="15"/>
      <c r="V5134" s="15"/>
      <c r="W5134" s="15"/>
      <c r="X5134" s="15"/>
      <c r="Y5134" s="15"/>
      <c r="Z5134" s="15"/>
      <c r="AA5134" s="15"/>
    </row>
    <row r="5135">
      <c r="A5135" s="431">
        <v>44014.0</v>
      </c>
      <c r="B5135" s="292" t="str">
        <f>HYPERLINK("https://akshar-exim-company-pvt-ltd.odoo.com/web#id=20936&amp;action=152&amp;model=crm.lead&amp;view_type=form&amp;menu_id=111","C2010780")</f>
        <v>C2010780</v>
      </c>
      <c r="C5135" s="41" t="s">
        <v>19929</v>
      </c>
      <c r="D5135" s="11"/>
      <c r="E5135" s="11" t="s">
        <v>19930</v>
      </c>
      <c r="F5135" s="433"/>
      <c r="G5135" s="434"/>
      <c r="H5135" s="14"/>
      <c r="I5135" s="423"/>
      <c r="J5135" s="14"/>
      <c r="K5135" s="13"/>
      <c r="L5135" s="13"/>
      <c r="M5135" s="14"/>
      <c r="N5135" s="15"/>
      <c r="O5135" s="15"/>
      <c r="P5135" s="15"/>
      <c r="Q5135" s="15"/>
      <c r="R5135" s="422"/>
      <c r="S5135" s="15"/>
      <c r="T5135" s="15"/>
      <c r="U5135" s="15"/>
      <c r="V5135" s="15"/>
      <c r="W5135" s="15"/>
      <c r="X5135" s="15"/>
      <c r="Y5135" s="15"/>
      <c r="Z5135" s="15"/>
      <c r="AA5135" s="15"/>
    </row>
    <row r="5136">
      <c r="A5136" s="431">
        <v>44014.0</v>
      </c>
      <c r="B5136" s="292" t="str">
        <f>HYPERLINK("https://akshar-exim-company-pvt-ltd.odoo.com/web#id=20933&amp;action=152&amp;model=crm.lead&amp;view_type=form&amp;menu_id=111","C2010779")</f>
        <v>C2010779</v>
      </c>
      <c r="C5136" s="41" t="s">
        <v>19931</v>
      </c>
      <c r="D5136" s="11"/>
      <c r="E5136" s="11" t="s">
        <v>14396</v>
      </c>
      <c r="F5136" s="433"/>
      <c r="G5136" s="434"/>
      <c r="H5136" s="14"/>
      <c r="I5136" s="423"/>
      <c r="J5136" s="14"/>
      <c r="K5136" s="13"/>
      <c r="L5136" s="13"/>
      <c r="M5136" s="14"/>
      <c r="N5136" s="15"/>
      <c r="O5136" s="15"/>
      <c r="P5136" s="15"/>
      <c r="Q5136" s="15"/>
      <c r="R5136" s="422"/>
      <c r="S5136" s="15"/>
      <c r="T5136" s="15"/>
      <c r="U5136" s="15"/>
      <c r="V5136" s="15"/>
      <c r="W5136" s="15"/>
      <c r="X5136" s="15"/>
      <c r="Y5136" s="15"/>
      <c r="Z5136" s="15"/>
      <c r="AA5136" s="15"/>
    </row>
    <row r="5137">
      <c r="A5137" s="431">
        <v>44014.0</v>
      </c>
      <c r="B5137" s="292" t="str">
        <f>HYPERLINK("https://akshar-exim-company-pvt-ltd.odoo.com/web#id=20929&amp;action=152&amp;model=crm.lead&amp;view_type=form&amp;menu_id=111","C2010778")</f>
        <v>C2010778</v>
      </c>
      <c r="C5137" s="40" t="s">
        <v>19932</v>
      </c>
      <c r="D5137" s="405"/>
      <c r="E5137" s="405" t="s">
        <v>3634</v>
      </c>
      <c r="F5137" s="90">
        <v>2.0</v>
      </c>
      <c r="G5137" s="321"/>
      <c r="H5137" s="11" t="s">
        <v>158</v>
      </c>
      <c r="I5137" s="423"/>
      <c r="J5137" s="14"/>
      <c r="K5137" s="13"/>
      <c r="L5137" s="13"/>
      <c r="M5137" s="14"/>
      <c r="N5137" s="15"/>
      <c r="O5137" s="5" t="s">
        <v>10708</v>
      </c>
      <c r="P5137" s="15"/>
      <c r="Q5137" s="15"/>
      <c r="R5137" s="422"/>
      <c r="S5137" s="15"/>
      <c r="T5137" s="15"/>
      <c r="U5137" s="15"/>
      <c r="V5137" s="15"/>
      <c r="W5137" s="15"/>
      <c r="X5137" s="15"/>
      <c r="Y5137" s="15"/>
      <c r="Z5137" s="15"/>
      <c r="AA5137" s="15"/>
    </row>
    <row r="5138">
      <c r="A5138" s="431">
        <v>44014.0</v>
      </c>
      <c r="B5138" s="292" t="str">
        <f>HYPERLINK("https://akshar-exim-company-pvt-ltd.odoo.com/web#id=20932&amp;action=152&amp;model=crm.lead&amp;view_type=form&amp;menu_id=111","C2010777")</f>
        <v>C2010777</v>
      </c>
      <c r="C5138" s="41" t="s">
        <v>19933</v>
      </c>
      <c r="D5138" s="41"/>
      <c r="E5138" s="41" t="s">
        <v>7197</v>
      </c>
      <c r="F5138" s="90">
        <v>200.0</v>
      </c>
      <c r="G5138" s="321"/>
      <c r="H5138" s="11" t="s">
        <v>7615</v>
      </c>
      <c r="I5138" s="276"/>
      <c r="J5138" s="11" t="s">
        <v>17976</v>
      </c>
      <c r="K5138" s="12"/>
      <c r="L5138" s="12"/>
      <c r="M5138" s="11" t="s">
        <v>10171</v>
      </c>
      <c r="N5138" s="5" t="s">
        <v>19934</v>
      </c>
      <c r="O5138" s="5" t="s">
        <v>13963</v>
      </c>
      <c r="P5138" s="15"/>
      <c r="Q5138" s="15"/>
      <c r="R5138" s="422"/>
      <c r="S5138" s="15"/>
      <c r="T5138" s="15"/>
      <c r="U5138" s="15"/>
      <c r="V5138" s="15"/>
      <c r="W5138" s="15"/>
      <c r="X5138" s="15"/>
      <c r="Y5138" s="15"/>
      <c r="Z5138" s="15"/>
      <c r="AA5138" s="15"/>
    </row>
    <row r="5139">
      <c r="A5139" s="431">
        <v>44014.0</v>
      </c>
      <c r="B5139" s="292" t="str">
        <f>HYPERLINK("https://akshar-exim-company-pvt-ltd.odoo.com/web#id=20931&amp;action=152&amp;model=crm.lead&amp;view_type=form&amp;menu_id=111","C2010776")</f>
        <v>C2010776</v>
      </c>
      <c r="C5139" s="41" t="s">
        <v>18802</v>
      </c>
      <c r="D5139" s="11"/>
      <c r="E5139" s="11" t="s">
        <v>3165</v>
      </c>
      <c r="F5139" s="90">
        <v>100.0</v>
      </c>
      <c r="G5139" s="321"/>
      <c r="H5139" s="11" t="s">
        <v>184</v>
      </c>
      <c r="I5139" s="276"/>
      <c r="J5139" s="11" t="s">
        <v>19643</v>
      </c>
      <c r="K5139" s="13"/>
      <c r="L5139" s="13"/>
      <c r="M5139" s="14"/>
      <c r="N5139" s="15"/>
      <c r="O5139" s="5" t="s">
        <v>10708</v>
      </c>
      <c r="P5139" s="15"/>
      <c r="Q5139" s="15"/>
      <c r="R5139" s="422"/>
      <c r="S5139" s="15"/>
      <c r="T5139" s="15"/>
      <c r="U5139" s="15"/>
      <c r="V5139" s="15"/>
      <c r="W5139" s="15"/>
      <c r="X5139" s="15"/>
      <c r="Y5139" s="15"/>
      <c r="Z5139" s="15"/>
      <c r="AA5139" s="15"/>
    </row>
    <row r="5140">
      <c r="A5140" s="431">
        <v>44014.0</v>
      </c>
      <c r="B5140" s="292" t="str">
        <f>HYPERLINK("https://akshar-exim-company-pvt-ltd.odoo.com/web#id=20930&amp;action=152&amp;model=crm.lead&amp;view_type=form&amp;menu_id=111","C2010775")</f>
        <v>C2010775</v>
      </c>
      <c r="C5140" s="40" t="s">
        <v>19935</v>
      </c>
      <c r="D5140" s="11"/>
      <c r="E5140" s="11" t="s">
        <v>12255</v>
      </c>
      <c r="F5140" s="90">
        <v>25.0</v>
      </c>
      <c r="G5140" s="321"/>
      <c r="H5140" s="11" t="s">
        <v>9266</v>
      </c>
      <c r="I5140" s="276"/>
      <c r="J5140" s="11" t="s">
        <v>19936</v>
      </c>
      <c r="K5140" s="13"/>
      <c r="L5140" s="13"/>
      <c r="M5140" s="14"/>
      <c r="N5140" s="15"/>
      <c r="O5140" s="5" t="s">
        <v>10708</v>
      </c>
      <c r="P5140" s="15"/>
      <c r="Q5140" s="15"/>
      <c r="R5140" s="422"/>
      <c r="S5140" s="15"/>
      <c r="T5140" s="15"/>
      <c r="U5140" s="15"/>
      <c r="V5140" s="15"/>
      <c r="W5140" s="15"/>
      <c r="X5140" s="15"/>
      <c r="Y5140" s="15"/>
      <c r="Z5140" s="15"/>
      <c r="AA5140" s="15"/>
    </row>
    <row r="5141">
      <c r="A5141" s="431">
        <v>44014.0</v>
      </c>
      <c r="B5141" s="292" t="str">
        <f>HYPERLINK("https://akshar-exim-company-pvt-ltd.odoo.com/web#id=20927&amp;action=152&amp;model=crm.lead&amp;view_type=form&amp;menu_id=111","C2010774")</f>
        <v>C2010774</v>
      </c>
      <c r="C5141" s="41" t="s">
        <v>19937</v>
      </c>
      <c r="D5141" s="11"/>
      <c r="E5141" s="11" t="s">
        <v>116</v>
      </c>
      <c r="F5141" s="90">
        <v>200.0</v>
      </c>
      <c r="G5141" s="321"/>
      <c r="H5141" s="11" t="s">
        <v>507</v>
      </c>
      <c r="I5141" s="276"/>
      <c r="J5141" s="11" t="s">
        <v>17976</v>
      </c>
      <c r="K5141" s="12"/>
      <c r="L5141" s="12"/>
      <c r="M5141" s="11" t="s">
        <v>14641</v>
      </c>
      <c r="N5141" s="5" t="s">
        <v>19938</v>
      </c>
      <c r="O5141" s="5" t="s">
        <v>17993</v>
      </c>
      <c r="P5141" s="15"/>
      <c r="Q5141" s="15"/>
      <c r="R5141" s="422"/>
      <c r="S5141" s="15"/>
      <c r="T5141" s="15"/>
      <c r="U5141" s="15"/>
      <c r="V5141" s="15"/>
      <c r="W5141" s="15"/>
      <c r="X5141" s="15"/>
      <c r="Y5141" s="15"/>
      <c r="Z5141" s="15"/>
      <c r="AA5141" s="15"/>
    </row>
    <row r="5142">
      <c r="A5142" s="431">
        <v>44014.0</v>
      </c>
      <c r="B5142" s="292" t="str">
        <f>HYPERLINK("https://akshar-exim-company-pvt-ltd.odoo.com/web#id=20913&amp;action=152&amp;model=crm.lead&amp;view_type=form&amp;menu_id=111","C2010773")</f>
        <v>C2010773</v>
      </c>
      <c r="C5142" s="41" t="s">
        <v>19939</v>
      </c>
      <c r="D5142" s="11"/>
      <c r="E5142" s="11" t="s">
        <v>19940</v>
      </c>
      <c r="F5142" s="90">
        <v>500.0</v>
      </c>
      <c r="G5142" s="321"/>
      <c r="H5142" s="11" t="s">
        <v>19941</v>
      </c>
      <c r="I5142" s="423"/>
      <c r="J5142" s="14"/>
      <c r="K5142" s="12"/>
      <c r="L5142" s="12"/>
      <c r="M5142" s="11" t="s">
        <v>19942</v>
      </c>
      <c r="N5142" s="5" t="s">
        <v>19943</v>
      </c>
      <c r="O5142" s="5" t="s">
        <v>17993</v>
      </c>
      <c r="P5142" s="15"/>
      <c r="Q5142" s="15"/>
      <c r="R5142" s="422"/>
      <c r="S5142" s="15"/>
      <c r="T5142" s="15"/>
      <c r="U5142" s="15"/>
      <c r="V5142" s="15"/>
      <c r="W5142" s="15"/>
      <c r="X5142" s="15"/>
      <c r="Y5142" s="15"/>
      <c r="Z5142" s="15"/>
      <c r="AA5142" s="15"/>
    </row>
    <row r="5143">
      <c r="A5143" s="431">
        <v>44014.0</v>
      </c>
      <c r="B5143" s="292" t="str">
        <f>HYPERLINK("https://akshar-exim-company-pvt-ltd.odoo.com/web#id=20899&amp;action=152&amp;model=crm.lead&amp;view_type=form&amp;menu_id=111","C2010772")</f>
        <v>C2010772</v>
      </c>
      <c r="C5143" s="41" t="s">
        <v>17541</v>
      </c>
      <c r="D5143" s="11"/>
      <c r="E5143" s="11" t="s">
        <v>11856</v>
      </c>
      <c r="F5143" s="90">
        <v>100.0</v>
      </c>
      <c r="G5143" s="430"/>
      <c r="H5143" s="41" t="s">
        <v>1315</v>
      </c>
      <c r="I5143" s="276"/>
      <c r="J5143" s="11" t="s">
        <v>1316</v>
      </c>
      <c r="K5143" s="13"/>
      <c r="L5143" s="13"/>
      <c r="M5143" s="14"/>
      <c r="N5143" s="15"/>
      <c r="O5143" s="5" t="s">
        <v>17993</v>
      </c>
      <c r="P5143" s="15"/>
      <c r="Q5143" s="15"/>
      <c r="R5143" s="422"/>
      <c r="S5143" s="15"/>
      <c r="T5143" s="15"/>
      <c r="U5143" s="15"/>
      <c r="V5143" s="15"/>
      <c r="W5143" s="15"/>
      <c r="X5143" s="15"/>
      <c r="Y5143" s="15"/>
      <c r="Z5143" s="15"/>
      <c r="AA5143" s="15"/>
    </row>
    <row r="5144">
      <c r="A5144" s="431">
        <v>44014.0</v>
      </c>
      <c r="B5144" s="292" t="str">
        <f>HYPERLINK("https://akshar-exim-company-pvt-ltd.odoo.com/web#id=20897&amp;action=152&amp;model=crm.lead&amp;view_type=form&amp;menu_id=111","C2010771")</f>
        <v>C2010771</v>
      </c>
      <c r="C5144" s="41" t="s">
        <v>19944</v>
      </c>
      <c r="D5144" s="14"/>
      <c r="E5144" s="14"/>
      <c r="F5144" s="433"/>
      <c r="G5144" s="434"/>
      <c r="H5144" s="14"/>
      <c r="I5144" s="423"/>
      <c r="J5144" s="14"/>
      <c r="K5144" s="13"/>
      <c r="L5144" s="13"/>
      <c r="M5144" s="14"/>
      <c r="N5144" s="15"/>
      <c r="O5144" s="15"/>
      <c r="P5144" s="15"/>
      <c r="Q5144" s="15"/>
      <c r="R5144" s="422"/>
      <c r="S5144" s="15"/>
      <c r="T5144" s="15"/>
      <c r="U5144" s="15"/>
      <c r="V5144" s="15"/>
      <c r="W5144" s="15"/>
      <c r="X5144" s="15"/>
      <c r="Y5144" s="15"/>
      <c r="Z5144" s="15"/>
      <c r="AA5144" s="15"/>
    </row>
    <row r="5145">
      <c r="A5145" s="431">
        <v>44014.0</v>
      </c>
      <c r="B5145" s="292" t="str">
        <f>HYPERLINK("https://akshar-exim-company-pvt-ltd.odoo.com/web#id=20900&amp;action=152&amp;model=crm.lead&amp;view_type=form&amp;menu_id=111","C2010770")</f>
        <v>C2010770</v>
      </c>
      <c r="C5145" s="41" t="s">
        <v>19945</v>
      </c>
      <c r="D5145" s="11"/>
      <c r="E5145" s="11" t="s">
        <v>19946</v>
      </c>
      <c r="F5145" s="90" t="s">
        <v>19947</v>
      </c>
      <c r="G5145" s="430"/>
      <c r="H5145" s="41" t="s">
        <v>19948</v>
      </c>
      <c r="I5145" s="423"/>
      <c r="J5145" s="14"/>
      <c r="K5145" s="12"/>
      <c r="L5145" s="12"/>
      <c r="M5145" s="11" t="s">
        <v>19949</v>
      </c>
      <c r="N5145" s="5" t="s">
        <v>19950</v>
      </c>
      <c r="O5145" s="5" t="s">
        <v>17993</v>
      </c>
      <c r="P5145" s="15"/>
      <c r="Q5145" s="15"/>
      <c r="R5145" s="422"/>
      <c r="S5145" s="15"/>
      <c r="T5145" s="15"/>
      <c r="U5145" s="15"/>
      <c r="V5145" s="15"/>
      <c r="W5145" s="15"/>
      <c r="X5145" s="15"/>
      <c r="Y5145" s="15"/>
      <c r="Z5145" s="15"/>
      <c r="AA5145" s="15"/>
    </row>
    <row r="5146">
      <c r="A5146" s="431">
        <v>44014.0</v>
      </c>
      <c r="B5146" s="292" t="str">
        <f>HYPERLINK("https://akshar-exim-company-pvt-ltd.odoo.com/web#id=20901&amp;action=152&amp;model=crm.lead&amp;view_type=form&amp;menu_id=111","C2010769")</f>
        <v>C2010769</v>
      </c>
      <c r="C5146" s="40" t="s">
        <v>19951</v>
      </c>
      <c r="D5146" s="405"/>
      <c r="E5146" s="405" t="s">
        <v>19952</v>
      </c>
      <c r="F5146" s="433"/>
      <c r="G5146" s="434"/>
      <c r="H5146" s="14"/>
      <c r="I5146" s="423"/>
      <c r="J5146" s="14"/>
      <c r="K5146" s="13"/>
      <c r="L5146" s="13"/>
      <c r="M5146" s="14"/>
      <c r="N5146" s="15"/>
      <c r="O5146" s="15"/>
      <c r="P5146" s="15"/>
      <c r="Q5146" s="15"/>
      <c r="R5146" s="422"/>
      <c r="S5146" s="15"/>
      <c r="T5146" s="15"/>
      <c r="U5146" s="15"/>
      <c r="V5146" s="15"/>
      <c r="W5146" s="15"/>
      <c r="X5146" s="15"/>
      <c r="Y5146" s="15"/>
      <c r="Z5146" s="15"/>
      <c r="AA5146" s="15"/>
    </row>
    <row r="5147">
      <c r="A5147" s="431">
        <v>44014.0</v>
      </c>
      <c r="B5147" s="292" t="str">
        <f>HYPERLINK("https://akshar-exim-company-pvt-ltd.odoo.com/web#id=20908&amp;action=152&amp;model=crm.lead&amp;view_type=form&amp;menu_id=111","C2010768")</f>
        <v>C2010768</v>
      </c>
      <c r="C5147" s="41" t="s">
        <v>19953</v>
      </c>
      <c r="D5147" s="41"/>
      <c r="E5147" s="41" t="s">
        <v>19954</v>
      </c>
      <c r="F5147" s="433"/>
      <c r="G5147" s="434"/>
      <c r="H5147" s="14"/>
      <c r="I5147" s="423"/>
      <c r="J5147" s="14"/>
      <c r="K5147" s="13"/>
      <c r="L5147" s="13"/>
      <c r="M5147" s="14"/>
      <c r="N5147" s="15"/>
      <c r="O5147" s="15"/>
      <c r="P5147" s="15"/>
      <c r="Q5147" s="15"/>
      <c r="R5147" s="422"/>
      <c r="S5147" s="15"/>
      <c r="T5147" s="15"/>
      <c r="U5147" s="15"/>
      <c r="V5147" s="15"/>
      <c r="W5147" s="15"/>
      <c r="X5147" s="15"/>
      <c r="Y5147" s="15"/>
      <c r="Z5147" s="15"/>
      <c r="AA5147" s="15"/>
    </row>
    <row r="5148">
      <c r="A5148" s="431">
        <v>44014.0</v>
      </c>
      <c r="B5148" s="292" t="str">
        <f>HYPERLINK("https://akshar-exim-company-pvt-ltd.odoo.com/web#id=20911&amp;action=152&amp;model=crm.lead&amp;view_type=form&amp;menu_id=111","C2010767")</f>
        <v>C2010767</v>
      </c>
      <c r="C5148" s="41" t="s">
        <v>19955</v>
      </c>
      <c r="D5148" s="11"/>
      <c r="E5148" s="11" t="s">
        <v>9682</v>
      </c>
      <c r="F5148" s="9">
        <v>11000.0</v>
      </c>
      <c r="G5148" s="321"/>
      <c r="H5148" s="11" t="s">
        <v>1408</v>
      </c>
      <c r="I5148" s="276"/>
      <c r="J5148" s="11" t="s">
        <v>12790</v>
      </c>
      <c r="K5148" s="12"/>
      <c r="L5148" s="12"/>
      <c r="M5148" s="11" t="s">
        <v>9685</v>
      </c>
      <c r="N5148" s="5" t="s">
        <v>19956</v>
      </c>
      <c r="O5148" s="5" t="s">
        <v>13963</v>
      </c>
      <c r="P5148" s="15"/>
      <c r="Q5148" s="15"/>
      <c r="R5148" s="422"/>
      <c r="S5148" s="15"/>
      <c r="T5148" s="15"/>
      <c r="U5148" s="15"/>
      <c r="V5148" s="15"/>
      <c r="W5148" s="15"/>
      <c r="X5148" s="15"/>
      <c r="Y5148" s="15"/>
      <c r="Z5148" s="15"/>
      <c r="AA5148" s="15"/>
    </row>
    <row r="5149">
      <c r="A5149" s="431">
        <v>44014.0</v>
      </c>
      <c r="B5149" s="292" t="str">
        <f>HYPERLINK("https://akshar-exim-company-pvt-ltd.odoo.com/web#id=20909&amp;action=152&amp;model=crm.lead&amp;view_type=form&amp;menu_id=111","C2010766")</f>
        <v>C2010766</v>
      </c>
      <c r="C5149" s="41" t="s">
        <v>19957</v>
      </c>
      <c r="D5149" s="405"/>
      <c r="E5149" s="405" t="s">
        <v>19958</v>
      </c>
      <c r="F5149" s="90">
        <v>2.0</v>
      </c>
      <c r="G5149" s="321"/>
      <c r="H5149" s="11" t="s">
        <v>742</v>
      </c>
      <c r="I5149" s="423"/>
      <c r="J5149" s="14"/>
      <c r="K5149" s="13"/>
      <c r="L5149" s="13"/>
      <c r="M5149" s="14"/>
      <c r="N5149" s="15"/>
      <c r="O5149" s="15"/>
      <c r="P5149" s="15"/>
      <c r="Q5149" s="15"/>
      <c r="R5149" s="422"/>
      <c r="S5149" s="15"/>
      <c r="T5149" s="15"/>
      <c r="U5149" s="15"/>
      <c r="V5149" s="15"/>
      <c r="W5149" s="15"/>
      <c r="X5149" s="15"/>
      <c r="Y5149" s="15"/>
      <c r="Z5149" s="15"/>
      <c r="AA5149" s="15"/>
    </row>
    <row r="5150">
      <c r="A5150" s="431">
        <v>44014.0</v>
      </c>
      <c r="B5150" s="292" t="str">
        <f>HYPERLINK("https://akshar-exim-company-pvt-ltd.odoo.com/web#id=20910&amp;action=152&amp;model=crm.lead&amp;view_type=form&amp;menu_id=111","C2010765")</f>
        <v>C2010765</v>
      </c>
      <c r="C5150" s="41" t="s">
        <v>19959</v>
      </c>
      <c r="D5150" s="41"/>
      <c r="E5150" s="41" t="s">
        <v>3571</v>
      </c>
      <c r="F5150" s="90">
        <v>1000.0</v>
      </c>
      <c r="G5150" s="321"/>
      <c r="H5150" s="11" t="s">
        <v>19127</v>
      </c>
      <c r="I5150" s="276"/>
      <c r="J5150" s="11" t="s">
        <v>7109</v>
      </c>
      <c r="K5150" s="12"/>
      <c r="L5150" s="12"/>
      <c r="M5150" s="11" t="s">
        <v>14766</v>
      </c>
      <c r="N5150" s="5" t="s">
        <v>19960</v>
      </c>
      <c r="O5150" s="5" t="s">
        <v>17993</v>
      </c>
      <c r="P5150" s="15"/>
      <c r="Q5150" s="15"/>
      <c r="R5150" s="422"/>
      <c r="S5150" s="15"/>
      <c r="T5150" s="15"/>
      <c r="U5150" s="15"/>
      <c r="V5150" s="15"/>
      <c r="W5150" s="15"/>
      <c r="X5150" s="15"/>
      <c r="Y5150" s="15"/>
      <c r="Z5150" s="15"/>
      <c r="AA5150" s="15"/>
    </row>
    <row r="5151">
      <c r="A5151" s="431">
        <v>43984.0</v>
      </c>
      <c r="B5151" s="292" t="str">
        <f>HYPERLINK("https://akshar-exim-company-pvt-ltd.odoo.com/web#id=20891&amp;action=152&amp;model=crm.lead&amp;view_type=form&amp;menu_id=111","C2010764")</f>
        <v>C2010764</v>
      </c>
      <c r="C5151" s="41" t="s">
        <v>19961</v>
      </c>
      <c r="D5151" s="11"/>
      <c r="E5151" s="11" t="s">
        <v>19962</v>
      </c>
      <c r="F5151" s="9">
        <v>10000.0</v>
      </c>
      <c r="G5151" s="321"/>
      <c r="H5151" s="11" t="s">
        <v>19963</v>
      </c>
      <c r="I5151" s="276"/>
      <c r="J5151" s="11" t="s">
        <v>7696</v>
      </c>
      <c r="K5151" s="13"/>
      <c r="L5151" s="13"/>
      <c r="M5151" s="14"/>
      <c r="N5151" s="15"/>
      <c r="O5151" s="5" t="s">
        <v>17993</v>
      </c>
      <c r="P5151" s="15"/>
      <c r="Q5151" s="15"/>
      <c r="R5151" s="422"/>
      <c r="S5151" s="15"/>
      <c r="T5151" s="15"/>
      <c r="U5151" s="15"/>
      <c r="V5151" s="15"/>
      <c r="W5151" s="15"/>
      <c r="X5151" s="15"/>
      <c r="Y5151" s="15"/>
      <c r="Z5151" s="15"/>
      <c r="AA5151" s="15"/>
    </row>
    <row r="5152">
      <c r="A5152" s="431">
        <v>43984.0</v>
      </c>
      <c r="B5152" s="292" t="str">
        <f>HYPERLINK("https://akshar-exim-company-pvt-ltd.odoo.com/web#id=20876&amp;action=152&amp;model=crm.lead&amp;view_type=form&amp;menu_id=111","C2010763")</f>
        <v>C2010763</v>
      </c>
      <c r="C5152" s="41" t="s">
        <v>19964</v>
      </c>
      <c r="D5152" s="11"/>
      <c r="E5152" s="11" t="s">
        <v>152</v>
      </c>
      <c r="F5152" s="90" t="s">
        <v>19965</v>
      </c>
      <c r="G5152" s="321"/>
      <c r="H5152" s="11" t="s">
        <v>467</v>
      </c>
      <c r="I5152" s="276"/>
      <c r="J5152" s="11" t="s">
        <v>17976</v>
      </c>
      <c r="K5152" s="12"/>
      <c r="L5152" s="12"/>
      <c r="M5152" s="11" t="s">
        <v>11788</v>
      </c>
      <c r="N5152" s="5" t="s">
        <v>19966</v>
      </c>
      <c r="O5152" s="5" t="s">
        <v>17993</v>
      </c>
      <c r="P5152" s="15"/>
      <c r="Q5152" s="15"/>
      <c r="R5152" s="422"/>
      <c r="S5152" s="15"/>
      <c r="T5152" s="15"/>
      <c r="U5152" s="15"/>
      <c r="V5152" s="15"/>
      <c r="W5152" s="15"/>
      <c r="X5152" s="15"/>
      <c r="Y5152" s="15"/>
      <c r="Z5152" s="15"/>
      <c r="AA5152" s="15"/>
    </row>
    <row r="5153">
      <c r="A5153" s="431">
        <v>43984.0</v>
      </c>
      <c r="B5153" s="292" t="str">
        <f>HYPERLINK("https://akshar-exim-company-pvt-ltd.odoo.com/web#id=20878&amp;action=152&amp;model=crm.lead&amp;view_type=form&amp;menu_id=111","C2010762")</f>
        <v>C2010762</v>
      </c>
      <c r="C5153" s="424" t="s">
        <v>19967</v>
      </c>
      <c r="D5153" s="41"/>
      <c r="E5153" s="41" t="s">
        <v>1363</v>
      </c>
      <c r="F5153" s="90">
        <v>200.0</v>
      </c>
      <c r="G5153" s="430"/>
      <c r="H5153" s="41" t="s">
        <v>9239</v>
      </c>
      <c r="I5153" s="276"/>
      <c r="J5153" s="11" t="s">
        <v>17976</v>
      </c>
      <c r="K5153" s="12"/>
      <c r="L5153" s="12"/>
      <c r="M5153" s="11" t="s">
        <v>19968</v>
      </c>
      <c r="N5153" s="5" t="s">
        <v>19969</v>
      </c>
      <c r="O5153" s="5" t="s">
        <v>17993</v>
      </c>
      <c r="P5153" s="15"/>
      <c r="Q5153" s="15"/>
      <c r="R5153" s="422"/>
      <c r="S5153" s="15"/>
      <c r="T5153" s="15"/>
      <c r="U5153" s="15"/>
      <c r="V5153" s="15"/>
      <c r="W5153" s="15"/>
      <c r="X5153" s="15"/>
      <c r="Y5153" s="15"/>
      <c r="Z5153" s="15"/>
      <c r="AA5153" s="15"/>
    </row>
    <row r="5154">
      <c r="A5154" s="431">
        <v>43984.0</v>
      </c>
      <c r="B5154" s="292" t="str">
        <f>HYPERLINK("https://akshar-exim-company-pvt-ltd.odoo.com/web#id=20882&amp;action=152&amp;model=crm.lead&amp;view_type=form&amp;menu_id=111","C2010761")</f>
        <v>C2010761</v>
      </c>
      <c r="C5154" s="41" t="s">
        <v>19970</v>
      </c>
      <c r="D5154" s="11"/>
      <c r="E5154" s="11" t="s">
        <v>19971</v>
      </c>
      <c r="F5154" s="90">
        <v>500.0</v>
      </c>
      <c r="G5154" s="430"/>
      <c r="H5154" s="41" t="s">
        <v>507</v>
      </c>
      <c r="I5154" s="276"/>
      <c r="J5154" s="11" t="s">
        <v>17976</v>
      </c>
      <c r="K5154" s="12"/>
      <c r="L5154" s="12"/>
      <c r="M5154" s="11" t="s">
        <v>19972</v>
      </c>
      <c r="N5154" s="5" t="s">
        <v>19973</v>
      </c>
      <c r="O5154" s="5" t="s">
        <v>17993</v>
      </c>
      <c r="P5154" s="15"/>
      <c r="Q5154" s="15"/>
      <c r="R5154" s="422"/>
      <c r="S5154" s="15"/>
      <c r="T5154" s="15"/>
      <c r="U5154" s="15"/>
      <c r="V5154" s="15"/>
      <c r="W5154" s="15"/>
      <c r="X5154" s="15"/>
      <c r="Y5154" s="15"/>
      <c r="Z5154" s="15"/>
      <c r="AA5154" s="15"/>
    </row>
    <row r="5155">
      <c r="A5155" s="431">
        <v>43984.0</v>
      </c>
      <c r="B5155" s="292" t="str">
        <f>HYPERLINK("https://akshar-exim-company-pvt-ltd.odoo.com/web#id=20883&amp;action=152&amp;model=crm.lead&amp;view_type=form&amp;menu_id=111","C2010760")</f>
        <v>C2010760</v>
      </c>
      <c r="C5155" s="41" t="s">
        <v>19974</v>
      </c>
      <c r="D5155" s="11"/>
      <c r="E5155" s="11" t="s">
        <v>167</v>
      </c>
      <c r="F5155" s="90">
        <v>50.0</v>
      </c>
      <c r="G5155" s="321"/>
      <c r="H5155" s="11" t="s">
        <v>2682</v>
      </c>
      <c r="I5155" s="276"/>
      <c r="J5155" s="11" t="s">
        <v>19975</v>
      </c>
      <c r="K5155" s="13"/>
      <c r="L5155" s="13"/>
      <c r="M5155" s="14"/>
      <c r="N5155" s="15"/>
      <c r="O5155" s="5" t="s">
        <v>10708</v>
      </c>
      <c r="P5155" s="15"/>
      <c r="Q5155" s="15"/>
      <c r="R5155" s="422"/>
      <c r="S5155" s="15"/>
      <c r="T5155" s="15"/>
      <c r="U5155" s="15"/>
      <c r="V5155" s="15"/>
      <c r="W5155" s="15"/>
      <c r="X5155" s="15"/>
      <c r="Y5155" s="15"/>
      <c r="Z5155" s="15"/>
      <c r="AA5155" s="15"/>
    </row>
    <row r="5156">
      <c r="A5156" s="431">
        <v>43984.0</v>
      </c>
      <c r="B5156" s="292" t="str">
        <f>HYPERLINK("https://akshar-exim-company-pvt-ltd.odoo.com/web#id=20880&amp;action=152&amp;model=crm.lead&amp;view_type=form&amp;menu_id=111","C2010759")</f>
        <v>C2010759</v>
      </c>
      <c r="C5156" s="41" t="s">
        <v>19976</v>
      </c>
      <c r="D5156" s="11"/>
      <c r="E5156" s="11" t="s">
        <v>5014</v>
      </c>
      <c r="F5156" s="90">
        <v>10.0</v>
      </c>
      <c r="G5156" s="321"/>
      <c r="H5156" s="11" t="s">
        <v>131</v>
      </c>
      <c r="I5156" s="423"/>
      <c r="J5156" s="14"/>
      <c r="K5156" s="13"/>
      <c r="L5156" s="13"/>
      <c r="M5156" s="14"/>
      <c r="N5156" s="15"/>
      <c r="O5156" s="5" t="s">
        <v>10708</v>
      </c>
      <c r="P5156" s="15"/>
      <c r="Q5156" s="15"/>
      <c r="R5156" s="422"/>
      <c r="S5156" s="15"/>
      <c r="T5156" s="15"/>
      <c r="U5156" s="15"/>
      <c r="V5156" s="15"/>
      <c r="W5156" s="15"/>
      <c r="X5156" s="15"/>
      <c r="Y5156" s="15"/>
      <c r="Z5156" s="15"/>
      <c r="AA5156" s="15"/>
    </row>
    <row r="5157">
      <c r="A5157" s="431">
        <v>43984.0</v>
      </c>
      <c r="B5157" s="292" t="str">
        <f>HYPERLINK("https://akshar-exim-company-pvt-ltd.odoo.com/web#id=20877&amp;action=152&amp;model=crm.lead&amp;view_type=form&amp;menu_id=111","C2010758")</f>
        <v>C2010758</v>
      </c>
      <c r="C5157" s="41" t="s">
        <v>19977</v>
      </c>
      <c r="D5157" s="11"/>
      <c r="E5157" s="11" t="s">
        <v>116</v>
      </c>
      <c r="F5157" s="90">
        <v>200.0</v>
      </c>
      <c r="G5157" s="321"/>
      <c r="H5157" s="11" t="s">
        <v>19978</v>
      </c>
      <c r="I5157" s="276"/>
      <c r="J5157" s="11" t="s">
        <v>12841</v>
      </c>
      <c r="K5157" s="12"/>
      <c r="L5157" s="12"/>
      <c r="M5157" s="11" t="s">
        <v>10609</v>
      </c>
      <c r="N5157" s="5" t="s">
        <v>19979</v>
      </c>
      <c r="O5157" s="5" t="s">
        <v>10708</v>
      </c>
      <c r="P5157" s="15"/>
      <c r="Q5157" s="15"/>
      <c r="R5157" s="422"/>
      <c r="S5157" s="15"/>
      <c r="T5157" s="15"/>
      <c r="U5157" s="15"/>
      <c r="V5157" s="15"/>
      <c r="W5157" s="15"/>
      <c r="X5157" s="15"/>
      <c r="Y5157" s="15"/>
      <c r="Z5157" s="15"/>
      <c r="AA5157" s="15"/>
    </row>
    <row r="5158">
      <c r="A5158" s="431">
        <v>43984.0</v>
      </c>
      <c r="B5158" s="292" t="str">
        <f>HYPERLINK("https://akshar-exim-company-pvt-ltd.odoo.com/web#id=20875&amp;action=152&amp;model=crm.lead&amp;view_type=form&amp;menu_id=111","C2010757")</f>
        <v>C2010757</v>
      </c>
      <c r="C5158" s="41" t="s">
        <v>19980</v>
      </c>
      <c r="D5158" s="11"/>
      <c r="E5158" s="11" t="s">
        <v>10216</v>
      </c>
      <c r="F5158" s="90">
        <v>5000.0</v>
      </c>
      <c r="G5158" s="321"/>
      <c r="H5158" s="11" t="s">
        <v>9266</v>
      </c>
      <c r="I5158" s="276"/>
      <c r="J5158" s="11" t="s">
        <v>17976</v>
      </c>
      <c r="K5158" s="12"/>
      <c r="L5158" s="12"/>
      <c r="M5158" s="11" t="s">
        <v>19981</v>
      </c>
      <c r="N5158" s="5" t="s">
        <v>19982</v>
      </c>
      <c r="O5158" s="5" t="s">
        <v>17993</v>
      </c>
      <c r="P5158" s="15"/>
      <c r="Q5158" s="15"/>
      <c r="R5158" s="422"/>
      <c r="S5158" s="15"/>
      <c r="T5158" s="15"/>
      <c r="U5158" s="15"/>
      <c r="V5158" s="15"/>
      <c r="W5158" s="15"/>
      <c r="X5158" s="15"/>
      <c r="Y5158" s="15"/>
      <c r="Z5158" s="15"/>
      <c r="AA5158" s="15"/>
    </row>
    <row r="5159">
      <c r="A5159" s="431">
        <v>43984.0</v>
      </c>
      <c r="B5159" s="292" t="str">
        <f>HYPERLINK("https://akshar-exim-company-pvt-ltd.odoo.com/web#id=20873&amp;action=152&amp;model=crm.lead&amp;view_type=form&amp;menu_id=111","C2010756")</f>
        <v>C2010756</v>
      </c>
      <c r="C5159" s="41" t="s">
        <v>19983</v>
      </c>
      <c r="D5159" s="41"/>
      <c r="E5159" s="41" t="s">
        <v>18614</v>
      </c>
      <c r="F5159" s="90">
        <v>1.0</v>
      </c>
      <c r="G5159" s="430"/>
      <c r="H5159" s="41" t="s">
        <v>19984</v>
      </c>
      <c r="I5159" s="276"/>
      <c r="J5159" s="11" t="s">
        <v>18788</v>
      </c>
      <c r="K5159" s="13"/>
      <c r="L5159" s="13"/>
      <c r="M5159" s="14"/>
      <c r="N5159" s="15"/>
      <c r="O5159" s="5" t="s">
        <v>19985</v>
      </c>
      <c r="P5159" s="15"/>
      <c r="Q5159" s="15"/>
      <c r="R5159" s="422"/>
      <c r="S5159" s="15"/>
      <c r="T5159" s="15"/>
      <c r="U5159" s="15"/>
      <c r="V5159" s="15"/>
      <c r="W5159" s="15"/>
      <c r="X5159" s="15"/>
      <c r="Y5159" s="15"/>
      <c r="Z5159" s="15"/>
      <c r="AA5159" s="15"/>
    </row>
    <row r="5160">
      <c r="A5160" s="431">
        <v>43984.0</v>
      </c>
      <c r="B5160" s="292" t="str">
        <f>HYPERLINK("https://akshar-exim-company-pvt-ltd.odoo.com/web#id=20867&amp;action=152&amp;model=crm.lead&amp;view_type=form&amp;menu_id=111","C2010755")</f>
        <v>C2010755</v>
      </c>
      <c r="C5160" s="41" t="s">
        <v>19986</v>
      </c>
      <c r="D5160" s="41"/>
      <c r="E5160" s="41" t="s">
        <v>19987</v>
      </c>
      <c r="F5160" s="90">
        <v>100.0</v>
      </c>
      <c r="G5160" s="430"/>
      <c r="H5160" s="41" t="s">
        <v>19988</v>
      </c>
      <c r="I5160" s="423"/>
      <c r="J5160" s="14"/>
      <c r="K5160" s="12"/>
      <c r="L5160" s="12"/>
      <c r="M5160" s="11" t="s">
        <v>19989</v>
      </c>
      <c r="N5160" s="5" t="s">
        <v>19990</v>
      </c>
      <c r="O5160" s="5" t="s">
        <v>17993</v>
      </c>
      <c r="P5160" s="15"/>
      <c r="Q5160" s="15"/>
      <c r="R5160" s="422"/>
      <c r="S5160" s="15"/>
      <c r="T5160" s="15"/>
      <c r="U5160" s="15"/>
      <c r="V5160" s="15"/>
      <c r="W5160" s="15"/>
      <c r="X5160" s="15"/>
      <c r="Y5160" s="15"/>
      <c r="Z5160" s="15"/>
      <c r="AA5160" s="15"/>
    </row>
    <row r="5161">
      <c r="A5161" s="431">
        <v>43984.0</v>
      </c>
      <c r="B5161" s="292" t="str">
        <f>HYPERLINK("https://akshar-exim-company-pvt-ltd.odoo.com/web#id=20864&amp;action=152&amp;model=crm.lead&amp;view_type=form&amp;menu_id=111","C2010754")</f>
        <v>C2010754</v>
      </c>
      <c r="C5161" s="41" t="s">
        <v>19991</v>
      </c>
      <c r="D5161" s="11"/>
      <c r="E5161" s="11" t="s">
        <v>19992</v>
      </c>
      <c r="F5161" s="90" t="s">
        <v>19993</v>
      </c>
      <c r="G5161" s="434"/>
      <c r="H5161" s="14"/>
      <c r="I5161" s="423"/>
      <c r="J5161" s="14"/>
      <c r="K5161" s="13"/>
      <c r="L5161" s="13"/>
      <c r="M5161" s="14"/>
      <c r="N5161" s="15"/>
      <c r="O5161" s="15"/>
      <c r="P5161" s="15"/>
      <c r="Q5161" s="15"/>
      <c r="R5161" s="422"/>
      <c r="S5161" s="15"/>
      <c r="T5161" s="15"/>
      <c r="U5161" s="15"/>
      <c r="V5161" s="15"/>
      <c r="W5161" s="15"/>
      <c r="X5161" s="15"/>
      <c r="Y5161" s="15"/>
      <c r="Z5161" s="15"/>
      <c r="AA5161" s="15"/>
    </row>
    <row r="5162">
      <c r="A5162" s="431">
        <v>43984.0</v>
      </c>
      <c r="B5162" s="292" t="str">
        <f>HYPERLINK("https://akshar-exim-company-pvt-ltd.odoo.com/web#id=20863&amp;action=152&amp;model=crm.lead&amp;view_type=form&amp;menu_id=111","C2010753")</f>
        <v>C2010753</v>
      </c>
      <c r="C5162" s="41" t="s">
        <v>19994</v>
      </c>
      <c r="D5162" s="11"/>
      <c r="E5162" s="11" t="s">
        <v>130</v>
      </c>
      <c r="F5162" s="9">
        <v>25000.0</v>
      </c>
      <c r="G5162" s="321"/>
      <c r="H5162" s="11" t="s">
        <v>906</v>
      </c>
      <c r="I5162" s="423"/>
      <c r="J5162" s="14"/>
      <c r="K5162" s="12"/>
      <c r="L5162" s="12"/>
      <c r="M5162" s="11" t="s">
        <v>9298</v>
      </c>
      <c r="N5162" s="5" t="s">
        <v>19995</v>
      </c>
      <c r="O5162" s="5" t="s">
        <v>17993</v>
      </c>
      <c r="P5162" s="15"/>
      <c r="Q5162" s="15"/>
      <c r="R5162" s="422"/>
      <c r="S5162" s="15"/>
      <c r="T5162" s="15"/>
      <c r="U5162" s="15"/>
      <c r="V5162" s="15"/>
      <c r="W5162" s="15"/>
      <c r="X5162" s="15"/>
      <c r="Y5162" s="15"/>
      <c r="Z5162" s="15"/>
      <c r="AA5162" s="15"/>
    </row>
    <row r="5163">
      <c r="A5163" s="431">
        <v>43984.0</v>
      </c>
      <c r="B5163" s="292" t="str">
        <f>HYPERLINK("https://akshar-exim-company-pvt-ltd.odoo.com/web#id=20812&amp;action=152&amp;model=crm.lead&amp;view_type=form&amp;menu_id=111","C2010752")</f>
        <v>C2010752</v>
      </c>
      <c r="C5163" s="41" t="s">
        <v>19996</v>
      </c>
      <c r="D5163" s="11"/>
      <c r="E5163" s="11" t="s">
        <v>872</v>
      </c>
      <c r="F5163" s="90">
        <v>500.0</v>
      </c>
      <c r="G5163" s="321"/>
      <c r="H5163" s="11" t="s">
        <v>2662</v>
      </c>
      <c r="I5163" s="423"/>
      <c r="J5163" s="14"/>
      <c r="K5163" s="12"/>
      <c r="L5163" s="12"/>
      <c r="M5163" s="11" t="s">
        <v>10090</v>
      </c>
      <c r="N5163" s="5" t="s">
        <v>19997</v>
      </c>
      <c r="O5163" s="5" t="s">
        <v>17993</v>
      </c>
      <c r="P5163" s="15"/>
      <c r="Q5163" s="15"/>
      <c r="R5163" s="422"/>
      <c r="S5163" s="15"/>
      <c r="T5163" s="15"/>
      <c r="U5163" s="15"/>
      <c r="V5163" s="15"/>
      <c r="W5163" s="15"/>
      <c r="X5163" s="15"/>
      <c r="Y5163" s="15"/>
      <c r="Z5163" s="15"/>
      <c r="AA5163" s="15"/>
    </row>
    <row r="5164">
      <c r="A5164" s="431">
        <v>43984.0</v>
      </c>
      <c r="B5164" s="292" t="str">
        <f>HYPERLINK("https://akshar-exim-company-pvt-ltd.odoo.com/web#id=20787&amp;action=152&amp;model=crm.lead&amp;view_type=form&amp;menu_id=111","C2010751")</f>
        <v>C2010751</v>
      </c>
      <c r="C5164" s="451" t="s">
        <v>19998</v>
      </c>
      <c r="D5164" s="11"/>
      <c r="E5164" s="11" t="s">
        <v>19999</v>
      </c>
      <c r="F5164" s="90">
        <v>100.0</v>
      </c>
      <c r="G5164" s="321"/>
      <c r="H5164" s="11" t="s">
        <v>218</v>
      </c>
      <c r="I5164" s="423"/>
      <c r="J5164" s="14"/>
      <c r="K5164" s="12"/>
      <c r="L5164" s="12"/>
      <c r="M5164" s="11" t="s">
        <v>20000</v>
      </c>
      <c r="N5164" s="5" t="s">
        <v>20001</v>
      </c>
      <c r="O5164" s="5" t="s">
        <v>13963</v>
      </c>
      <c r="P5164" s="15"/>
      <c r="Q5164" s="15"/>
      <c r="R5164" s="422"/>
      <c r="S5164" s="15"/>
      <c r="T5164" s="15"/>
      <c r="U5164" s="15"/>
      <c r="V5164" s="15"/>
      <c r="W5164" s="15"/>
      <c r="X5164" s="15"/>
      <c r="Y5164" s="15"/>
      <c r="Z5164" s="15"/>
      <c r="AA5164" s="15"/>
    </row>
    <row r="5165">
      <c r="A5165" s="431">
        <v>43984.0</v>
      </c>
      <c r="B5165" s="292" t="str">
        <f>HYPERLINK("https://akshar-exim-company-pvt-ltd.odoo.com/web#id=20853&amp;action=152&amp;model=crm.lead&amp;view_type=form&amp;menu_id=111","C2010750")</f>
        <v>C2010750</v>
      </c>
      <c r="C5165" s="40" t="s">
        <v>14799</v>
      </c>
      <c r="D5165" s="11"/>
      <c r="E5165" s="11" t="s">
        <v>11808</v>
      </c>
      <c r="F5165" s="433"/>
      <c r="G5165" s="434"/>
      <c r="H5165" s="14"/>
      <c r="I5165" s="423"/>
      <c r="J5165" s="14"/>
      <c r="K5165" s="13"/>
      <c r="L5165" s="13"/>
      <c r="M5165" s="14"/>
      <c r="N5165" s="15"/>
      <c r="O5165" s="15"/>
      <c r="P5165" s="15"/>
      <c r="Q5165" s="15"/>
      <c r="R5165" s="422"/>
      <c r="S5165" s="15"/>
      <c r="T5165" s="15"/>
      <c r="U5165" s="15"/>
      <c r="V5165" s="15"/>
      <c r="W5165" s="15"/>
      <c r="X5165" s="15"/>
      <c r="Y5165" s="15"/>
      <c r="Z5165" s="15"/>
      <c r="AA5165" s="15"/>
    </row>
    <row r="5166">
      <c r="A5166" s="431">
        <v>43984.0</v>
      </c>
      <c r="B5166" s="292" t="str">
        <f>HYPERLINK("https://akshar-exim-company-pvt-ltd.odoo.com/web#id=20854&amp;action=152&amp;model=crm.lead&amp;view_type=form&amp;menu_id=111","C2010749")</f>
        <v>C2010749</v>
      </c>
      <c r="C5166" s="41" t="s">
        <v>20002</v>
      </c>
      <c r="D5166" s="11"/>
      <c r="E5166" s="11" t="s">
        <v>130</v>
      </c>
      <c r="F5166" s="90">
        <v>3.0</v>
      </c>
      <c r="G5166" s="321"/>
      <c r="H5166" s="11" t="s">
        <v>906</v>
      </c>
      <c r="I5166" s="276"/>
      <c r="J5166" s="11" t="s">
        <v>20003</v>
      </c>
      <c r="K5166" s="13"/>
      <c r="L5166" s="13"/>
      <c r="M5166" s="14"/>
      <c r="N5166" s="15"/>
      <c r="O5166" s="5" t="s">
        <v>19985</v>
      </c>
      <c r="P5166" s="15"/>
      <c r="Q5166" s="15"/>
      <c r="R5166" s="422"/>
      <c r="S5166" s="15"/>
      <c r="T5166" s="15"/>
      <c r="U5166" s="15"/>
      <c r="V5166" s="15"/>
      <c r="W5166" s="15"/>
      <c r="X5166" s="15"/>
      <c r="Y5166" s="15"/>
      <c r="Z5166" s="15"/>
      <c r="AA5166" s="15"/>
    </row>
    <row r="5167">
      <c r="A5167" s="431">
        <v>43984.0</v>
      </c>
      <c r="B5167" s="292" t="str">
        <f>HYPERLINK("https://akshar-exim-company-pvt-ltd.odoo.com/web#id=20860&amp;action=152&amp;model=crm.lead&amp;view_type=form&amp;menu_id=111","C2010748")</f>
        <v>C2010748</v>
      </c>
      <c r="C5167" s="40" t="s">
        <v>20004</v>
      </c>
      <c r="D5167" s="11"/>
      <c r="E5167" s="11" t="s">
        <v>167</v>
      </c>
      <c r="F5167" s="90">
        <v>25.0</v>
      </c>
      <c r="G5167" s="321"/>
      <c r="H5167" s="11" t="s">
        <v>2682</v>
      </c>
      <c r="I5167" s="276"/>
      <c r="J5167" s="11" t="s">
        <v>14563</v>
      </c>
      <c r="K5167" s="13"/>
      <c r="L5167" s="13"/>
      <c r="M5167" s="14"/>
      <c r="N5167" s="15"/>
      <c r="O5167" s="5" t="s">
        <v>17993</v>
      </c>
      <c r="P5167" s="15"/>
      <c r="Q5167" s="15"/>
      <c r="R5167" s="422"/>
      <c r="S5167" s="15"/>
      <c r="T5167" s="15"/>
      <c r="U5167" s="15"/>
      <c r="V5167" s="15"/>
      <c r="W5167" s="15"/>
      <c r="X5167" s="15"/>
      <c r="Y5167" s="15"/>
      <c r="Z5167" s="15"/>
      <c r="AA5167" s="15"/>
    </row>
    <row r="5168">
      <c r="A5168" s="431">
        <v>43984.0</v>
      </c>
      <c r="B5168" s="292" t="str">
        <f>HYPERLINK("https://akshar-exim-company-pvt-ltd.odoo.com/web#id=20861&amp;action=152&amp;model=crm.lead&amp;view_type=form&amp;menu_id=111","C2010747")</f>
        <v>C2010747</v>
      </c>
      <c r="C5168" s="41" t="s">
        <v>20005</v>
      </c>
      <c r="D5168" s="11"/>
      <c r="E5168" s="11" t="s">
        <v>167</v>
      </c>
      <c r="F5168" s="90">
        <v>10.0</v>
      </c>
      <c r="G5168" s="321"/>
      <c r="H5168" s="11" t="s">
        <v>2662</v>
      </c>
      <c r="I5168" s="276"/>
      <c r="J5168" s="11" t="s">
        <v>14563</v>
      </c>
      <c r="K5168" s="13"/>
      <c r="L5168" s="13"/>
      <c r="M5168" s="14"/>
      <c r="N5168" s="15"/>
      <c r="O5168" s="5" t="s">
        <v>19985</v>
      </c>
      <c r="P5168" s="15"/>
      <c r="Q5168" s="15"/>
      <c r="R5168" s="422"/>
      <c r="S5168" s="15"/>
      <c r="T5168" s="15"/>
      <c r="U5168" s="15"/>
      <c r="V5168" s="15"/>
      <c r="W5168" s="15"/>
      <c r="X5168" s="15"/>
      <c r="Y5168" s="15"/>
      <c r="Z5168" s="15"/>
      <c r="AA5168" s="15"/>
    </row>
    <row r="5169">
      <c r="A5169" s="431">
        <v>43984.0</v>
      </c>
      <c r="B5169" s="292" t="str">
        <f>HYPERLINK("https://akshar-exim-company-pvt-ltd.odoo.com/web#id=20849&amp;action=152&amp;model=crm.lead&amp;view_type=form&amp;menu_id=111","C2010746")</f>
        <v>C2010746</v>
      </c>
      <c r="C5169" s="41" t="s">
        <v>20006</v>
      </c>
      <c r="D5169" s="11"/>
      <c r="E5169" s="11" t="s">
        <v>5774</v>
      </c>
      <c r="F5169" s="433"/>
      <c r="G5169" s="434"/>
      <c r="H5169" s="14"/>
      <c r="I5169" s="423"/>
      <c r="J5169" s="14"/>
      <c r="K5169" s="13"/>
      <c r="L5169" s="13"/>
      <c r="M5169" s="14"/>
      <c r="N5169" s="15"/>
      <c r="O5169" s="15"/>
      <c r="P5169" s="15"/>
      <c r="Q5169" s="15"/>
      <c r="R5169" s="422"/>
      <c r="S5169" s="15"/>
      <c r="T5169" s="15"/>
      <c r="U5169" s="15"/>
      <c r="V5169" s="15"/>
      <c r="W5169" s="15"/>
      <c r="X5169" s="15"/>
      <c r="Y5169" s="15"/>
      <c r="Z5169" s="15"/>
      <c r="AA5169" s="15"/>
    </row>
    <row r="5170">
      <c r="A5170" s="431">
        <v>43984.0</v>
      </c>
      <c r="B5170" s="292" t="str">
        <f>HYPERLINK("https://akshar-exim-company-pvt-ltd.odoo.com/web#id=20851&amp;action=152&amp;model=crm.lead&amp;view_type=form&amp;menu_id=111","C2010745")</f>
        <v>C2010745</v>
      </c>
      <c r="C5170" s="40" t="s">
        <v>20007</v>
      </c>
      <c r="D5170" s="11"/>
      <c r="E5170" s="11" t="s">
        <v>19999</v>
      </c>
      <c r="F5170" s="90">
        <v>5.0</v>
      </c>
      <c r="G5170" s="321"/>
      <c r="H5170" s="11" t="s">
        <v>196</v>
      </c>
      <c r="I5170" s="276"/>
      <c r="J5170" s="11" t="s">
        <v>13644</v>
      </c>
      <c r="K5170" s="13"/>
      <c r="L5170" s="13"/>
      <c r="M5170" s="14"/>
      <c r="N5170" s="15"/>
      <c r="O5170" s="5" t="s">
        <v>19985</v>
      </c>
      <c r="P5170" s="15"/>
      <c r="Q5170" s="15"/>
      <c r="R5170" s="422"/>
      <c r="S5170" s="15"/>
      <c r="T5170" s="15"/>
      <c r="U5170" s="15"/>
      <c r="V5170" s="15"/>
      <c r="W5170" s="15"/>
      <c r="X5170" s="15"/>
      <c r="Y5170" s="15"/>
      <c r="Z5170" s="15"/>
      <c r="AA5170" s="15"/>
    </row>
    <row r="5171">
      <c r="A5171" s="431">
        <v>43984.0</v>
      </c>
      <c r="B5171" s="292" t="str">
        <f>HYPERLINK("https://akshar-exim-company-pvt-ltd.odoo.com/web#id=20856&amp;action=152&amp;model=crm.lead&amp;view_type=form&amp;menu_id=111","C2010744")</f>
        <v>C2010744</v>
      </c>
      <c r="C5171" s="40" t="s">
        <v>19959</v>
      </c>
      <c r="D5171" s="11"/>
      <c r="E5171" s="11" t="s">
        <v>20008</v>
      </c>
      <c r="F5171" s="90" t="s">
        <v>20009</v>
      </c>
      <c r="G5171" s="321"/>
      <c r="H5171" s="11" t="s">
        <v>372</v>
      </c>
      <c r="I5171" s="276"/>
      <c r="J5171" s="11" t="s">
        <v>18114</v>
      </c>
      <c r="K5171" s="13"/>
      <c r="L5171" s="13"/>
      <c r="M5171" s="14"/>
      <c r="N5171" s="15"/>
      <c r="O5171" s="5" t="s">
        <v>19985</v>
      </c>
      <c r="P5171" s="15"/>
      <c r="Q5171" s="15"/>
      <c r="R5171" s="422"/>
      <c r="S5171" s="15"/>
      <c r="T5171" s="15"/>
      <c r="U5171" s="15"/>
      <c r="V5171" s="15"/>
      <c r="W5171" s="15"/>
      <c r="X5171" s="15"/>
      <c r="Y5171" s="15"/>
      <c r="Z5171" s="15"/>
      <c r="AA5171" s="15"/>
    </row>
    <row r="5172">
      <c r="A5172" s="431">
        <v>43984.0</v>
      </c>
      <c r="B5172" s="292" t="str">
        <f>HYPERLINK("https://akshar-exim-company-pvt-ltd.odoo.com/web#id=20858&amp;action=152&amp;model=crm.lead&amp;view_type=form&amp;menu_id=111","C2010743")</f>
        <v>C2010743</v>
      </c>
      <c r="C5172" s="40" t="s">
        <v>20010</v>
      </c>
      <c r="D5172" s="11"/>
      <c r="E5172" s="11" t="s">
        <v>147</v>
      </c>
      <c r="F5172" s="90">
        <v>5.0</v>
      </c>
      <c r="G5172" s="321"/>
      <c r="H5172" s="11" t="s">
        <v>20011</v>
      </c>
      <c r="I5172" s="423"/>
      <c r="J5172" s="14"/>
      <c r="K5172" s="13"/>
      <c r="L5172" s="13"/>
      <c r="M5172" s="14"/>
      <c r="N5172" s="15"/>
      <c r="O5172" s="5" t="s">
        <v>19985</v>
      </c>
      <c r="P5172" s="15"/>
      <c r="Q5172" s="15"/>
      <c r="R5172" s="422"/>
      <c r="S5172" s="15"/>
      <c r="T5172" s="15"/>
      <c r="U5172" s="15"/>
      <c r="V5172" s="15"/>
      <c r="W5172" s="15"/>
      <c r="X5172" s="15"/>
      <c r="Y5172" s="15"/>
      <c r="Z5172" s="15"/>
      <c r="AA5172" s="15"/>
    </row>
    <row r="5173">
      <c r="A5173" s="431">
        <v>43984.0</v>
      </c>
      <c r="B5173" s="292" t="str">
        <f>HYPERLINK("https://akshar-exim-company-pvt-ltd.odoo.com/web#id=20855&amp;action=152&amp;model=crm.lead&amp;view_type=form&amp;menu_id=111","C2010742")</f>
        <v>C2010742</v>
      </c>
      <c r="C5173" s="451" t="s">
        <v>20012</v>
      </c>
      <c r="D5173" s="11"/>
      <c r="E5173" s="11" t="s">
        <v>20013</v>
      </c>
      <c r="F5173" s="90">
        <v>100.0</v>
      </c>
      <c r="G5173" s="321"/>
      <c r="H5173" s="11" t="s">
        <v>617</v>
      </c>
      <c r="I5173" s="423"/>
      <c r="J5173" s="14"/>
      <c r="K5173" s="12"/>
      <c r="L5173" s="12"/>
      <c r="M5173" s="11" t="s">
        <v>20014</v>
      </c>
      <c r="N5173" s="5" t="s">
        <v>20015</v>
      </c>
      <c r="O5173" s="5" t="s">
        <v>17993</v>
      </c>
      <c r="P5173" s="15"/>
      <c r="Q5173" s="15"/>
      <c r="R5173" s="422"/>
      <c r="S5173" s="15"/>
      <c r="T5173" s="15"/>
      <c r="U5173" s="15"/>
      <c r="V5173" s="15"/>
      <c r="W5173" s="15"/>
      <c r="X5173" s="15"/>
      <c r="Y5173" s="15"/>
      <c r="Z5173" s="15"/>
      <c r="AA5173" s="15"/>
    </row>
    <row r="5174">
      <c r="A5174" s="431">
        <v>43984.0</v>
      </c>
      <c r="B5174" s="292" t="str">
        <f>HYPERLINK("https://akshar-exim-company-pvt-ltd.odoo.com/web#id=20857&amp;action=152&amp;model=crm.lead&amp;view_type=form&amp;menu_id=111","C2010741")</f>
        <v>C2010741</v>
      </c>
      <c r="C5174" s="40" t="s">
        <v>20016</v>
      </c>
      <c r="D5174" s="11"/>
      <c r="E5174" s="11" t="s">
        <v>1080</v>
      </c>
      <c r="F5174" s="90">
        <v>10.0</v>
      </c>
      <c r="G5174" s="321"/>
      <c r="H5174" s="11" t="s">
        <v>3861</v>
      </c>
      <c r="I5174" s="276"/>
      <c r="J5174" s="11" t="s">
        <v>25</v>
      </c>
      <c r="K5174" s="13"/>
      <c r="L5174" s="13"/>
      <c r="M5174" s="14"/>
      <c r="N5174" s="15"/>
      <c r="O5174" s="5" t="s">
        <v>19985</v>
      </c>
      <c r="P5174" s="15"/>
      <c r="Q5174" s="15"/>
      <c r="R5174" s="422"/>
      <c r="S5174" s="15"/>
      <c r="T5174" s="15"/>
      <c r="U5174" s="15"/>
      <c r="V5174" s="15"/>
      <c r="W5174" s="15"/>
      <c r="X5174" s="15"/>
      <c r="Y5174" s="15"/>
      <c r="Z5174" s="15"/>
      <c r="AA5174" s="15"/>
    </row>
    <row r="5175">
      <c r="A5175" s="431">
        <v>43953.0</v>
      </c>
      <c r="B5175" s="292" t="str">
        <f>HYPERLINK("https://akshar-exim-company-pvt-ltd.odoo.com/web#id=20842&amp;action=152&amp;model=crm.lead&amp;view_type=form&amp;menu_id=111","C2010740")</f>
        <v>C2010740</v>
      </c>
      <c r="C5175" s="41" t="s">
        <v>20017</v>
      </c>
      <c r="D5175" s="11"/>
      <c r="E5175" s="11" t="s">
        <v>130</v>
      </c>
      <c r="F5175" s="90">
        <v>100.0</v>
      </c>
      <c r="G5175" s="430"/>
      <c r="H5175" s="41" t="s">
        <v>20018</v>
      </c>
      <c r="I5175" s="423"/>
      <c r="J5175" s="14"/>
      <c r="K5175" s="13"/>
      <c r="L5175" s="13"/>
      <c r="M5175" s="14"/>
      <c r="N5175" s="15"/>
      <c r="O5175" s="5" t="s">
        <v>17993</v>
      </c>
      <c r="P5175" s="15"/>
      <c r="Q5175" s="15"/>
      <c r="R5175" s="422"/>
      <c r="S5175" s="15"/>
      <c r="T5175" s="15"/>
      <c r="U5175" s="15"/>
      <c r="V5175" s="15"/>
      <c r="W5175" s="15"/>
      <c r="X5175" s="15"/>
      <c r="Y5175" s="15"/>
      <c r="Z5175" s="15"/>
      <c r="AA5175" s="15"/>
    </row>
    <row r="5176">
      <c r="A5176" s="431">
        <v>43953.0</v>
      </c>
      <c r="B5176" s="292" t="str">
        <f>HYPERLINK("https://akshar-exim-company-pvt-ltd.odoo.com/web#id=20845&amp;action=152&amp;model=crm.lead&amp;view_type=form&amp;menu_id=111","C2010739")</f>
        <v>C2010739</v>
      </c>
      <c r="C5176" s="424" t="s">
        <v>20019</v>
      </c>
      <c r="D5176" s="11"/>
      <c r="E5176" s="11" t="s">
        <v>872</v>
      </c>
      <c r="F5176" s="90">
        <v>100.0</v>
      </c>
      <c r="G5176" s="430"/>
      <c r="H5176" s="41" t="s">
        <v>20020</v>
      </c>
      <c r="I5176" s="276"/>
      <c r="J5176" s="11" t="s">
        <v>20021</v>
      </c>
      <c r="K5176" s="13"/>
      <c r="L5176" s="13"/>
      <c r="M5176" s="14"/>
      <c r="N5176" s="15"/>
      <c r="O5176" s="5" t="s">
        <v>17993</v>
      </c>
      <c r="P5176" s="15"/>
      <c r="Q5176" s="15"/>
      <c r="R5176" s="422"/>
      <c r="S5176" s="15"/>
      <c r="T5176" s="15"/>
      <c r="U5176" s="15"/>
      <c r="V5176" s="15"/>
      <c r="W5176" s="15"/>
      <c r="X5176" s="15"/>
      <c r="Y5176" s="15"/>
      <c r="Z5176" s="15"/>
      <c r="AA5176" s="15"/>
    </row>
    <row r="5177">
      <c r="A5177" s="431">
        <v>43953.0</v>
      </c>
      <c r="B5177" s="292" t="str">
        <f>HYPERLINK("https://akshar-exim-company-pvt-ltd.odoo.com/web#id=20841&amp;action=152&amp;model=crm.lead&amp;view_type=form&amp;menu_id=111","C2010738")</f>
        <v>C2010738</v>
      </c>
      <c r="C5177" s="424" t="s">
        <v>20022</v>
      </c>
      <c r="D5177" s="11"/>
      <c r="E5177" s="11" t="s">
        <v>152</v>
      </c>
      <c r="F5177" s="9">
        <v>3000000.0</v>
      </c>
      <c r="G5177" s="430"/>
      <c r="H5177" s="41" t="s">
        <v>20023</v>
      </c>
      <c r="I5177" s="276"/>
      <c r="J5177" s="11" t="s">
        <v>17976</v>
      </c>
      <c r="K5177" s="12"/>
      <c r="L5177" s="12"/>
      <c r="M5177" s="11" t="s">
        <v>11788</v>
      </c>
      <c r="N5177" s="5" t="s">
        <v>20024</v>
      </c>
      <c r="O5177" s="5" t="s">
        <v>17993</v>
      </c>
      <c r="P5177" s="15"/>
      <c r="Q5177" s="15"/>
      <c r="R5177" s="422"/>
      <c r="S5177" s="15"/>
      <c r="T5177" s="15"/>
      <c r="U5177" s="15"/>
      <c r="V5177" s="15"/>
      <c r="W5177" s="15"/>
      <c r="X5177" s="15"/>
      <c r="Y5177" s="15"/>
      <c r="Z5177" s="15"/>
      <c r="AA5177" s="15"/>
    </row>
    <row r="5178">
      <c r="A5178" s="431">
        <v>43953.0</v>
      </c>
      <c r="B5178" s="292" t="str">
        <f>HYPERLINK("https://akshar-exim-company-pvt-ltd.odoo.com/web#id=20837&amp;action=152&amp;model=crm.lead&amp;view_type=form&amp;menu_id=111","C2010737")</f>
        <v>C2010737</v>
      </c>
      <c r="C5178" s="41" t="s">
        <v>20025</v>
      </c>
      <c r="D5178" s="41"/>
      <c r="E5178" s="41" t="s">
        <v>20026</v>
      </c>
      <c r="F5178" s="90">
        <v>1.0</v>
      </c>
      <c r="G5178" s="321"/>
      <c r="H5178" s="11" t="s">
        <v>44</v>
      </c>
      <c r="I5178" s="276"/>
      <c r="J5178" s="11" t="s">
        <v>9536</v>
      </c>
      <c r="K5178" s="13"/>
      <c r="L5178" s="13"/>
      <c r="M5178" s="14"/>
      <c r="N5178" s="15"/>
      <c r="O5178" s="5" t="s">
        <v>19985</v>
      </c>
      <c r="P5178" s="15"/>
      <c r="Q5178" s="15"/>
      <c r="R5178" s="422"/>
      <c r="S5178" s="15"/>
      <c r="T5178" s="15"/>
      <c r="U5178" s="15"/>
      <c r="V5178" s="15"/>
      <c r="W5178" s="15"/>
      <c r="X5178" s="15"/>
      <c r="Y5178" s="15"/>
      <c r="Z5178" s="15"/>
      <c r="AA5178" s="15"/>
    </row>
    <row r="5179">
      <c r="A5179" s="431">
        <v>43953.0</v>
      </c>
      <c r="B5179" s="292" t="str">
        <f>HYPERLINK("https://akshar-exim-company-pvt-ltd.odoo.com/web#id=20826&amp;action=152&amp;model=crm.lead&amp;view_type=form&amp;menu_id=111","C2010736")</f>
        <v>C2010736</v>
      </c>
      <c r="C5179" s="41" t="s">
        <v>20027</v>
      </c>
      <c r="D5179" s="11"/>
      <c r="E5179" s="11" t="s">
        <v>523</v>
      </c>
      <c r="F5179" s="9">
        <v>500000.0</v>
      </c>
      <c r="G5179" s="321"/>
      <c r="H5179" s="11" t="s">
        <v>349</v>
      </c>
      <c r="I5179" s="276"/>
      <c r="J5179" s="11" t="s">
        <v>7221</v>
      </c>
      <c r="K5179" s="12"/>
      <c r="L5179" s="12"/>
      <c r="M5179" s="11" t="s">
        <v>13902</v>
      </c>
      <c r="N5179" s="5" t="s">
        <v>20028</v>
      </c>
      <c r="O5179" s="5" t="s">
        <v>564</v>
      </c>
      <c r="P5179" s="15"/>
      <c r="Q5179" s="15"/>
      <c r="R5179" s="422"/>
      <c r="S5179" s="15"/>
      <c r="T5179" s="15"/>
      <c r="U5179" s="15"/>
      <c r="V5179" s="15"/>
      <c r="W5179" s="15"/>
      <c r="X5179" s="15"/>
      <c r="Y5179" s="15"/>
      <c r="Z5179" s="15"/>
      <c r="AA5179" s="15"/>
    </row>
    <row r="5180">
      <c r="A5180" s="431">
        <v>43953.0</v>
      </c>
      <c r="B5180" s="292" t="str">
        <f>HYPERLINK("https://akshar-exim-company-pvt-ltd.odoo.com/web#id=20827&amp;action=152&amp;model=crm.lead&amp;view_type=form&amp;menu_id=111","C2010735")</f>
        <v>C2010735</v>
      </c>
      <c r="C5180" s="41" t="s">
        <v>20029</v>
      </c>
      <c r="D5180" s="11"/>
      <c r="E5180" s="11" t="s">
        <v>20030</v>
      </c>
      <c r="F5180" s="433"/>
      <c r="G5180" s="434"/>
      <c r="H5180" s="14"/>
      <c r="I5180" s="423"/>
      <c r="J5180" s="14"/>
      <c r="K5180" s="13"/>
      <c r="L5180" s="13"/>
      <c r="M5180" s="14"/>
      <c r="N5180" s="15"/>
      <c r="O5180" s="15"/>
      <c r="P5180" s="15"/>
      <c r="Q5180" s="15"/>
      <c r="R5180" s="422"/>
      <c r="S5180" s="15"/>
      <c r="T5180" s="15"/>
      <c r="U5180" s="15"/>
      <c r="V5180" s="15"/>
      <c r="W5180" s="15"/>
      <c r="X5180" s="15"/>
      <c r="Y5180" s="15"/>
      <c r="Z5180" s="15"/>
      <c r="AA5180" s="15"/>
    </row>
    <row r="5181">
      <c r="A5181" s="431">
        <v>43953.0</v>
      </c>
      <c r="B5181" s="292" t="str">
        <f>HYPERLINK("https://akshar-exim-company-pvt-ltd.odoo.com/web#id=20824&amp;action=152&amp;model=crm.lead&amp;view_type=form&amp;menu_id=111","C2010734")</f>
        <v>C2010734</v>
      </c>
      <c r="C5181" s="41" t="s">
        <v>20031</v>
      </c>
      <c r="D5181" s="11"/>
      <c r="E5181" s="11" t="s">
        <v>207</v>
      </c>
      <c r="F5181" s="90">
        <v>1000.0</v>
      </c>
      <c r="G5181" s="321"/>
      <c r="H5181" s="11" t="s">
        <v>44</v>
      </c>
      <c r="I5181" s="423"/>
      <c r="J5181" s="14"/>
      <c r="K5181" s="12"/>
      <c r="L5181" s="12"/>
      <c r="M5181" s="11" t="s">
        <v>20032</v>
      </c>
      <c r="N5181" s="5" t="s">
        <v>20033</v>
      </c>
      <c r="O5181" s="5" t="s">
        <v>564</v>
      </c>
      <c r="P5181" s="15"/>
      <c r="Q5181" s="15"/>
      <c r="R5181" s="422"/>
      <c r="S5181" s="15"/>
      <c r="T5181" s="15"/>
      <c r="U5181" s="15"/>
      <c r="V5181" s="15"/>
      <c r="W5181" s="15"/>
      <c r="X5181" s="15"/>
      <c r="Y5181" s="15"/>
      <c r="Z5181" s="15"/>
      <c r="AA5181" s="15"/>
    </row>
    <row r="5182">
      <c r="A5182" s="431">
        <v>43953.0</v>
      </c>
      <c r="B5182" s="292" t="str">
        <f>HYPERLINK("https://akshar-exim-company-pvt-ltd.odoo.com/web#id=20828&amp;action=152&amp;model=crm.lead&amp;view_type=form&amp;menu_id=111","C2010733")</f>
        <v>C2010733</v>
      </c>
      <c r="C5182" s="41" t="s">
        <v>20034</v>
      </c>
      <c r="D5182" s="11"/>
      <c r="E5182" s="11" t="s">
        <v>20008</v>
      </c>
      <c r="F5182" s="90">
        <v>10.0</v>
      </c>
      <c r="G5182" s="321"/>
      <c r="H5182" s="11" t="s">
        <v>930</v>
      </c>
      <c r="I5182" s="423"/>
      <c r="J5182" s="14"/>
      <c r="K5182" s="13"/>
      <c r="L5182" s="13"/>
      <c r="M5182" s="14"/>
      <c r="N5182" s="15"/>
      <c r="O5182" s="5" t="s">
        <v>20035</v>
      </c>
      <c r="P5182" s="15"/>
      <c r="Q5182" s="15"/>
      <c r="R5182" s="422"/>
      <c r="S5182" s="15"/>
      <c r="T5182" s="15"/>
      <c r="U5182" s="15"/>
      <c r="V5182" s="15"/>
      <c r="W5182" s="15"/>
      <c r="X5182" s="15"/>
      <c r="Y5182" s="15"/>
      <c r="Z5182" s="15"/>
      <c r="AA5182" s="15"/>
    </row>
    <row r="5183">
      <c r="A5183" s="431">
        <v>43953.0</v>
      </c>
      <c r="B5183" s="292" t="str">
        <f>HYPERLINK("https://akshar-exim-company-pvt-ltd.odoo.com/web#id=20831&amp;action=152&amp;model=crm.lead&amp;view_type=form&amp;menu_id=111","C2010732")</f>
        <v>C2010732</v>
      </c>
      <c r="C5183" s="41" t="s">
        <v>20036</v>
      </c>
      <c r="D5183" s="11"/>
      <c r="E5183" s="11" t="s">
        <v>5293</v>
      </c>
      <c r="F5183" s="90">
        <v>1.0</v>
      </c>
      <c r="G5183" s="321"/>
      <c r="H5183" s="11" t="s">
        <v>44</v>
      </c>
      <c r="I5183" s="423"/>
      <c r="J5183" s="14"/>
      <c r="K5183" s="13"/>
      <c r="L5183" s="13"/>
      <c r="M5183" s="14"/>
      <c r="N5183" s="15"/>
      <c r="O5183" s="5" t="s">
        <v>20035</v>
      </c>
      <c r="P5183" s="15"/>
      <c r="Q5183" s="15"/>
      <c r="R5183" s="422"/>
      <c r="S5183" s="15"/>
      <c r="T5183" s="15"/>
      <c r="U5183" s="15"/>
      <c r="V5183" s="15"/>
      <c r="W5183" s="15"/>
      <c r="X5183" s="15"/>
      <c r="Y5183" s="15"/>
      <c r="Z5183" s="15"/>
      <c r="AA5183" s="15"/>
    </row>
    <row r="5184">
      <c r="A5184" s="431">
        <v>43953.0</v>
      </c>
      <c r="B5184" s="292" t="str">
        <f>HYPERLINK("https://akshar-exim-company-pvt-ltd.odoo.com/web#id=20832&amp;action=152&amp;model=crm.lead&amp;view_type=form&amp;menu_id=111","C2010731")</f>
        <v>C2010731</v>
      </c>
      <c r="C5184" s="41" t="s">
        <v>20037</v>
      </c>
      <c r="D5184" s="11"/>
      <c r="E5184" s="11" t="s">
        <v>167</v>
      </c>
      <c r="F5184" s="90">
        <v>50.0</v>
      </c>
      <c r="G5184" s="321"/>
      <c r="H5184" s="11" t="s">
        <v>742</v>
      </c>
      <c r="I5184" s="276"/>
      <c r="J5184" s="11" t="s">
        <v>18788</v>
      </c>
      <c r="K5184" s="12"/>
      <c r="L5184" s="12"/>
      <c r="M5184" s="11" t="s">
        <v>10515</v>
      </c>
      <c r="N5184" s="5" t="s">
        <v>20038</v>
      </c>
      <c r="O5184" s="5" t="s">
        <v>17993</v>
      </c>
      <c r="P5184" s="15"/>
      <c r="Q5184" s="15"/>
      <c r="R5184" s="422"/>
      <c r="S5184" s="15"/>
      <c r="T5184" s="15"/>
      <c r="U5184" s="15"/>
      <c r="V5184" s="15"/>
      <c r="W5184" s="15"/>
      <c r="X5184" s="15"/>
      <c r="Y5184" s="15"/>
      <c r="Z5184" s="15"/>
      <c r="AA5184" s="15"/>
    </row>
    <row r="5185">
      <c r="A5185" s="431">
        <v>43953.0</v>
      </c>
      <c r="B5185" s="292" t="str">
        <f>HYPERLINK("https://akshar-exim-company-pvt-ltd.odoo.com/web#id=20817&amp;action=152&amp;model=crm.lead&amp;view_type=form&amp;menu_id=111","C2010730")</f>
        <v>C2010730</v>
      </c>
      <c r="C5185" s="41" t="s">
        <v>20039</v>
      </c>
      <c r="D5185" s="11"/>
      <c r="E5185" s="11" t="s">
        <v>213</v>
      </c>
      <c r="F5185" s="90">
        <v>100.0</v>
      </c>
      <c r="G5185" s="430"/>
      <c r="H5185" s="41" t="s">
        <v>20040</v>
      </c>
      <c r="I5185" s="423"/>
      <c r="J5185" s="14"/>
      <c r="K5185" s="12"/>
      <c r="L5185" s="12"/>
      <c r="M5185" s="11" t="s">
        <v>18367</v>
      </c>
      <c r="N5185" s="5" t="s">
        <v>20041</v>
      </c>
      <c r="O5185" s="5" t="s">
        <v>17993</v>
      </c>
      <c r="P5185" s="15"/>
      <c r="Q5185" s="15"/>
      <c r="R5185" s="422"/>
      <c r="S5185" s="15"/>
      <c r="T5185" s="15"/>
      <c r="U5185" s="15"/>
      <c r="V5185" s="15"/>
      <c r="W5185" s="15"/>
      <c r="X5185" s="15"/>
      <c r="Y5185" s="15"/>
      <c r="Z5185" s="15"/>
      <c r="AA5185" s="15"/>
    </row>
    <row r="5186">
      <c r="A5186" s="431">
        <v>43953.0</v>
      </c>
      <c r="B5186" s="292" t="str">
        <f>HYPERLINK("https://akshar-exim-company-pvt-ltd.odoo.com/web#id=20782&amp;action=152&amp;model=crm.lead&amp;view_type=form&amp;menu_id=111","C2010729")</f>
        <v>C2010729</v>
      </c>
      <c r="C5186" s="41" t="s">
        <v>20042</v>
      </c>
      <c r="D5186" s="11"/>
      <c r="E5186" s="11" t="s">
        <v>20043</v>
      </c>
      <c r="F5186" s="9">
        <v>50000.0</v>
      </c>
      <c r="G5186" s="321"/>
      <c r="H5186" s="11" t="s">
        <v>44</v>
      </c>
      <c r="I5186" s="423"/>
      <c r="J5186" s="14"/>
      <c r="K5186" s="12"/>
      <c r="L5186" s="12"/>
      <c r="M5186" s="11" t="s">
        <v>20044</v>
      </c>
      <c r="N5186" s="5" t="s">
        <v>20045</v>
      </c>
      <c r="O5186" s="5" t="s">
        <v>564</v>
      </c>
      <c r="P5186" s="15"/>
      <c r="Q5186" s="15"/>
      <c r="R5186" s="422"/>
      <c r="S5186" s="15"/>
      <c r="T5186" s="15"/>
      <c r="U5186" s="15"/>
      <c r="V5186" s="15"/>
      <c r="W5186" s="15"/>
      <c r="X5186" s="15"/>
      <c r="Y5186" s="15"/>
      <c r="Z5186" s="15"/>
      <c r="AA5186" s="15"/>
    </row>
    <row r="5187">
      <c r="A5187" s="431">
        <v>43953.0</v>
      </c>
      <c r="B5187" s="292" t="str">
        <f>HYPERLINK("https://akshar-exim-company-pvt-ltd.odoo.com/web#id=20776&amp;action=152&amp;model=crm.lead&amp;view_type=form&amp;menu_id=111","C2010728")</f>
        <v>C2010728</v>
      </c>
      <c r="C5187" s="41" t="s">
        <v>18315</v>
      </c>
      <c r="D5187" s="11"/>
      <c r="E5187" s="11" t="s">
        <v>1285</v>
      </c>
      <c r="F5187" s="9">
        <v>10000.0</v>
      </c>
      <c r="G5187" s="321"/>
      <c r="H5187" s="11" t="s">
        <v>20046</v>
      </c>
      <c r="I5187" s="423"/>
      <c r="J5187" s="14"/>
      <c r="K5187" s="12"/>
      <c r="L5187" s="12"/>
      <c r="M5187" s="11" t="s">
        <v>12072</v>
      </c>
      <c r="N5187" s="5" t="s">
        <v>20047</v>
      </c>
      <c r="O5187" s="5" t="s">
        <v>17993</v>
      </c>
      <c r="P5187" s="15"/>
      <c r="Q5187" s="15"/>
      <c r="R5187" s="422"/>
      <c r="S5187" s="15"/>
      <c r="T5187" s="15"/>
      <c r="U5187" s="15"/>
      <c r="V5187" s="15"/>
      <c r="W5187" s="15"/>
      <c r="X5187" s="15"/>
      <c r="Y5187" s="15"/>
      <c r="Z5187" s="15"/>
      <c r="AA5187" s="15"/>
    </row>
    <row r="5188">
      <c r="A5188" s="431">
        <v>43953.0</v>
      </c>
      <c r="B5188" s="292" t="str">
        <f>HYPERLINK("https://akshar-exim-company-pvt-ltd.odoo.com/web#id=20779&amp;action=152&amp;model=crm.lead&amp;view_type=form&amp;menu_id=111","C2010727")</f>
        <v>C2010727</v>
      </c>
      <c r="C5188" s="41" t="s">
        <v>20048</v>
      </c>
      <c r="D5188" s="11"/>
      <c r="E5188" s="11" t="s">
        <v>152</v>
      </c>
      <c r="F5188" s="90">
        <v>2000.0</v>
      </c>
      <c r="G5188" s="321"/>
      <c r="H5188" s="11" t="s">
        <v>20049</v>
      </c>
      <c r="I5188" s="276"/>
      <c r="J5188" s="11" t="s">
        <v>25</v>
      </c>
      <c r="K5188" s="12"/>
      <c r="L5188" s="12"/>
      <c r="M5188" s="11" t="s">
        <v>16591</v>
      </c>
      <c r="N5188" s="5" t="s">
        <v>20050</v>
      </c>
      <c r="O5188" s="5" t="s">
        <v>17993</v>
      </c>
      <c r="P5188" s="15"/>
      <c r="Q5188" s="15"/>
      <c r="R5188" s="422"/>
      <c r="S5188" s="15"/>
      <c r="T5188" s="15"/>
      <c r="U5188" s="15"/>
      <c r="V5188" s="15"/>
      <c r="W5188" s="15"/>
      <c r="X5188" s="15"/>
      <c r="Y5188" s="15"/>
      <c r="Z5188" s="15"/>
      <c r="AA5188" s="15"/>
    </row>
    <row r="5189">
      <c r="A5189" s="431">
        <v>43953.0</v>
      </c>
      <c r="B5189" s="292" t="str">
        <f>HYPERLINK("https://akshar-exim-company-pvt-ltd.odoo.com/web#id=20784&amp;action=152&amp;model=crm.lead&amp;view_type=form&amp;menu_id=111","C2010726")</f>
        <v>C2010726</v>
      </c>
      <c r="C5189" s="41" t="s">
        <v>20051</v>
      </c>
      <c r="D5189" s="11"/>
      <c r="E5189" s="11" t="s">
        <v>20052</v>
      </c>
      <c r="F5189" s="90">
        <v>200.0</v>
      </c>
      <c r="G5189" s="321"/>
      <c r="H5189" s="11" t="s">
        <v>906</v>
      </c>
      <c r="I5189" s="276"/>
      <c r="J5189" s="11" t="s">
        <v>7109</v>
      </c>
      <c r="K5189" s="13"/>
      <c r="L5189" s="13"/>
      <c r="M5189" s="14"/>
      <c r="N5189" s="15"/>
      <c r="O5189" s="5" t="s">
        <v>17993</v>
      </c>
      <c r="P5189" s="15"/>
      <c r="Q5189" s="15"/>
      <c r="R5189" s="422"/>
      <c r="S5189" s="15"/>
      <c r="T5189" s="15"/>
      <c r="U5189" s="15"/>
      <c r="V5189" s="15"/>
      <c r="W5189" s="15"/>
      <c r="X5189" s="15"/>
      <c r="Y5189" s="15"/>
      <c r="Z5189" s="15"/>
      <c r="AA5189" s="15"/>
    </row>
    <row r="5190">
      <c r="A5190" s="431">
        <v>43953.0</v>
      </c>
      <c r="B5190" s="292" t="str">
        <f>HYPERLINK("https://akshar-exim-company-pvt-ltd.odoo.com/web#id=20801&amp;action=152&amp;model=crm.lead&amp;view_type=form&amp;menu_id=111","C2010725")</f>
        <v>C2010725</v>
      </c>
      <c r="C5190" s="41" t="s">
        <v>20053</v>
      </c>
      <c r="D5190" s="11"/>
      <c r="E5190" s="11" t="s">
        <v>53</v>
      </c>
      <c r="F5190" s="90">
        <v>5.0</v>
      </c>
      <c r="G5190" s="321"/>
      <c r="H5190" s="11" t="s">
        <v>617</v>
      </c>
      <c r="I5190" s="423"/>
      <c r="J5190" s="14"/>
      <c r="K5190" s="13"/>
      <c r="L5190" s="13"/>
      <c r="M5190" s="14"/>
      <c r="N5190" s="15"/>
      <c r="O5190" s="15"/>
      <c r="P5190" s="15"/>
      <c r="Q5190" s="15"/>
      <c r="R5190" s="422"/>
      <c r="S5190" s="15"/>
      <c r="T5190" s="15"/>
      <c r="U5190" s="15"/>
      <c r="V5190" s="15"/>
      <c r="W5190" s="15"/>
      <c r="X5190" s="15"/>
      <c r="Y5190" s="15"/>
      <c r="Z5190" s="15"/>
      <c r="AA5190" s="15"/>
    </row>
    <row r="5191">
      <c r="A5191" s="431">
        <v>43953.0</v>
      </c>
      <c r="B5191" s="292" t="str">
        <f>HYPERLINK("https://akshar-exim-company-pvt-ltd.odoo.com/web#id=20805&amp;action=152&amp;model=crm.lead&amp;view_type=form&amp;menu_id=111","C2010724")</f>
        <v>C2010724</v>
      </c>
      <c r="C5191" s="41" t="s">
        <v>20054</v>
      </c>
      <c r="D5191" s="11"/>
      <c r="E5191" s="11" t="s">
        <v>11487</v>
      </c>
      <c r="F5191" s="433"/>
      <c r="G5191" s="434"/>
      <c r="H5191" s="14"/>
      <c r="I5191" s="423"/>
      <c r="J5191" s="14"/>
      <c r="K5191" s="13"/>
      <c r="L5191" s="13"/>
      <c r="M5191" s="14"/>
      <c r="N5191" s="15"/>
      <c r="O5191" s="15"/>
      <c r="P5191" s="15"/>
      <c r="Q5191" s="15"/>
      <c r="R5191" s="422"/>
      <c r="S5191" s="15"/>
      <c r="T5191" s="15"/>
      <c r="U5191" s="15"/>
      <c r="V5191" s="15"/>
      <c r="W5191" s="15"/>
      <c r="X5191" s="15"/>
      <c r="Y5191" s="15"/>
      <c r="Z5191" s="15"/>
      <c r="AA5191" s="15"/>
    </row>
    <row r="5192">
      <c r="A5192" s="431">
        <v>43953.0</v>
      </c>
      <c r="B5192" s="292" t="str">
        <f>HYPERLINK("https://akshar-exim-company-pvt-ltd.odoo.com/web#id=20807&amp;action=152&amp;model=crm.lead&amp;view_type=form&amp;menu_id=111","C2010723")</f>
        <v>C2010723</v>
      </c>
      <c r="C5192" s="41" t="s">
        <v>20055</v>
      </c>
      <c r="D5192" s="11"/>
      <c r="E5192" s="11" t="s">
        <v>20056</v>
      </c>
      <c r="F5192" s="90">
        <v>50.0</v>
      </c>
      <c r="G5192" s="321"/>
      <c r="H5192" s="11" t="s">
        <v>467</v>
      </c>
      <c r="I5192" s="276"/>
      <c r="J5192" s="11" t="s">
        <v>17976</v>
      </c>
      <c r="K5192" s="13"/>
      <c r="L5192" s="13"/>
      <c r="M5192" s="14"/>
      <c r="N5192" s="15"/>
      <c r="O5192" s="15"/>
      <c r="P5192" s="15"/>
      <c r="Q5192" s="15"/>
      <c r="R5192" s="422"/>
      <c r="S5192" s="15"/>
      <c r="T5192" s="15"/>
      <c r="U5192" s="15"/>
      <c r="V5192" s="15"/>
      <c r="W5192" s="15"/>
      <c r="X5192" s="15"/>
      <c r="Y5192" s="15"/>
      <c r="Z5192" s="15"/>
      <c r="AA5192" s="15"/>
    </row>
    <row r="5193">
      <c r="A5193" s="431">
        <v>43953.0</v>
      </c>
      <c r="B5193" s="292" t="str">
        <f>HYPERLINK("https://akshar-exim-company-pvt-ltd.odoo.com/web#id=20806&amp;action=152&amp;model=crm.lead&amp;view_type=form&amp;menu_id=111","C2010722")</f>
        <v>C2010722</v>
      </c>
      <c r="C5193" s="41" t="s">
        <v>20057</v>
      </c>
      <c r="D5193" s="41"/>
      <c r="E5193" s="41" t="s">
        <v>1675</v>
      </c>
      <c r="F5193" s="90">
        <v>1.0</v>
      </c>
      <c r="G5193" s="321"/>
      <c r="H5193" s="11" t="s">
        <v>906</v>
      </c>
      <c r="I5193" s="276"/>
      <c r="J5193" s="11" t="s">
        <v>18788</v>
      </c>
      <c r="K5193" s="13"/>
      <c r="L5193" s="13"/>
      <c r="M5193" s="14"/>
      <c r="N5193" s="15"/>
      <c r="O5193" s="5" t="s">
        <v>19985</v>
      </c>
      <c r="P5193" s="15"/>
      <c r="Q5193" s="15"/>
      <c r="R5193" s="422"/>
      <c r="S5193" s="15"/>
      <c r="T5193" s="15"/>
      <c r="U5193" s="15"/>
      <c r="V5193" s="15"/>
      <c r="W5193" s="15"/>
      <c r="X5193" s="15"/>
      <c r="Y5193" s="15"/>
      <c r="Z5193" s="15"/>
      <c r="AA5193" s="15"/>
    </row>
    <row r="5194">
      <c r="A5194" s="431">
        <v>43953.0</v>
      </c>
      <c r="B5194" s="292" t="str">
        <f>HYPERLINK("https://akshar-exim-company-pvt-ltd.odoo.com/web#id=20802&amp;action=152&amp;model=crm.lead&amp;view_type=form&amp;menu_id=111","C2010721")</f>
        <v>C2010721</v>
      </c>
      <c r="C5194" s="41" t="s">
        <v>20058</v>
      </c>
      <c r="D5194" s="11"/>
      <c r="E5194" s="11" t="s">
        <v>130</v>
      </c>
      <c r="F5194" s="9">
        <v>10000.0</v>
      </c>
      <c r="G5194" s="321"/>
      <c r="H5194" s="11" t="s">
        <v>507</v>
      </c>
      <c r="I5194" s="423"/>
      <c r="J5194" s="14"/>
      <c r="K5194" s="12"/>
      <c r="L5194" s="12"/>
      <c r="M5194" s="11" t="s">
        <v>18665</v>
      </c>
      <c r="N5194" s="5" t="s">
        <v>20059</v>
      </c>
      <c r="O5194" s="5" t="s">
        <v>17993</v>
      </c>
      <c r="P5194" s="15"/>
      <c r="Q5194" s="15"/>
      <c r="R5194" s="422"/>
      <c r="S5194" s="15"/>
      <c r="T5194" s="15"/>
      <c r="U5194" s="15"/>
      <c r="V5194" s="15"/>
      <c r="W5194" s="15"/>
      <c r="X5194" s="15"/>
      <c r="Y5194" s="15"/>
      <c r="Z5194" s="15"/>
      <c r="AA5194" s="15"/>
    </row>
    <row r="5195">
      <c r="A5195" s="431">
        <v>43953.0</v>
      </c>
      <c r="B5195" s="292" t="str">
        <f>HYPERLINK("https://akshar-exim-company-pvt-ltd.odoo.com/web#id=20803&amp;action=152&amp;model=crm.lead&amp;view_type=form&amp;menu_id=111","C2010720")</f>
        <v>C2010720</v>
      </c>
      <c r="C5195" s="41" t="s">
        <v>20060</v>
      </c>
      <c r="D5195" s="11"/>
      <c r="E5195" s="11" t="s">
        <v>167</v>
      </c>
      <c r="F5195" s="90">
        <v>60.0</v>
      </c>
      <c r="G5195" s="321"/>
      <c r="H5195" s="11" t="s">
        <v>2682</v>
      </c>
      <c r="I5195" s="276"/>
      <c r="J5195" s="11" t="s">
        <v>14563</v>
      </c>
      <c r="K5195" s="12"/>
      <c r="L5195" s="12"/>
      <c r="M5195" s="11" t="s">
        <v>12862</v>
      </c>
      <c r="N5195" s="5" t="s">
        <v>20061</v>
      </c>
      <c r="O5195" s="5" t="s">
        <v>17993</v>
      </c>
      <c r="P5195" s="15"/>
      <c r="Q5195" s="15"/>
      <c r="R5195" s="422"/>
      <c r="S5195" s="15"/>
      <c r="T5195" s="15"/>
      <c r="U5195" s="15"/>
      <c r="V5195" s="15"/>
      <c r="W5195" s="15"/>
      <c r="X5195" s="15"/>
      <c r="Y5195" s="15"/>
      <c r="Z5195" s="15"/>
      <c r="AA5195" s="15"/>
    </row>
    <row r="5196">
      <c r="A5196" s="431">
        <v>43953.0</v>
      </c>
      <c r="B5196" s="292" t="str">
        <f>HYPERLINK("https://akshar-exim-company-pvt-ltd.odoo.com/web#id=20793&amp;action=152&amp;model=crm.lead&amp;view_type=form&amp;menu_id=111","C2010719")</f>
        <v>C2010719</v>
      </c>
      <c r="C5196" s="41" t="s">
        <v>20062</v>
      </c>
      <c r="D5196" s="11"/>
      <c r="E5196" s="11" t="s">
        <v>17178</v>
      </c>
      <c r="F5196" s="433"/>
      <c r="G5196" s="434"/>
      <c r="H5196" s="14"/>
      <c r="I5196" s="423"/>
      <c r="J5196" s="14"/>
      <c r="K5196" s="13"/>
      <c r="L5196" s="13"/>
      <c r="M5196" s="14"/>
      <c r="N5196" s="15"/>
      <c r="O5196" s="15"/>
      <c r="P5196" s="15"/>
      <c r="Q5196" s="15"/>
      <c r="R5196" s="422"/>
      <c r="S5196" s="15"/>
      <c r="T5196" s="15"/>
      <c r="U5196" s="15"/>
      <c r="V5196" s="15"/>
      <c r="W5196" s="15"/>
      <c r="X5196" s="15"/>
      <c r="Y5196" s="15"/>
      <c r="Z5196" s="15"/>
      <c r="AA5196" s="15"/>
    </row>
    <row r="5197">
      <c r="A5197" s="431">
        <v>43953.0</v>
      </c>
      <c r="B5197" s="292" t="str">
        <f>HYPERLINK("https://akshar-exim-company-pvt-ltd.odoo.com/web#id=20798&amp;action=152&amp;model=crm.lead&amp;view_type=form&amp;menu_id=111","C2010718")</f>
        <v>C2010718</v>
      </c>
      <c r="C5197" s="40" t="s">
        <v>20063</v>
      </c>
      <c r="D5197" s="11"/>
      <c r="E5197" s="11" t="s">
        <v>3165</v>
      </c>
      <c r="F5197" s="90">
        <v>250.0</v>
      </c>
      <c r="G5197" s="321"/>
      <c r="H5197" s="11" t="s">
        <v>449</v>
      </c>
      <c r="I5197" s="276"/>
      <c r="J5197" s="11" t="s">
        <v>20064</v>
      </c>
      <c r="K5197" s="12"/>
      <c r="L5197" s="12"/>
      <c r="M5197" s="11" t="s">
        <v>20065</v>
      </c>
      <c r="N5197" s="5" t="s">
        <v>20066</v>
      </c>
      <c r="O5197" s="5" t="s">
        <v>10708</v>
      </c>
      <c r="P5197" s="15"/>
      <c r="Q5197" s="15"/>
      <c r="R5197" s="422"/>
      <c r="S5197" s="15"/>
      <c r="T5197" s="15"/>
      <c r="U5197" s="15"/>
      <c r="V5197" s="15"/>
      <c r="W5197" s="15"/>
      <c r="X5197" s="15"/>
      <c r="Y5197" s="15"/>
      <c r="Z5197" s="15"/>
      <c r="AA5197" s="15"/>
    </row>
    <row r="5198">
      <c r="A5198" s="431">
        <v>43953.0</v>
      </c>
      <c r="B5198" s="292" t="str">
        <f>HYPERLINK("https://akshar-exim-company-pvt-ltd.odoo.com/web#id=20748&amp;action=152&amp;model=crm.lead&amp;view_type=form&amp;menu_id=111","C2010717")</f>
        <v>C2010717</v>
      </c>
      <c r="C5198" s="41" t="s">
        <v>20067</v>
      </c>
      <c r="D5198" s="11"/>
      <c r="E5198" s="11" t="s">
        <v>213</v>
      </c>
      <c r="F5198" s="9">
        <v>10000.0</v>
      </c>
      <c r="G5198" s="321"/>
      <c r="H5198" s="11" t="s">
        <v>906</v>
      </c>
      <c r="I5198" s="276"/>
      <c r="J5198" s="11" t="s">
        <v>20068</v>
      </c>
      <c r="K5198" s="12"/>
      <c r="L5198" s="12"/>
      <c r="M5198" s="11" t="s">
        <v>9875</v>
      </c>
      <c r="N5198" s="5" t="s">
        <v>20069</v>
      </c>
      <c r="O5198" s="5" t="s">
        <v>17993</v>
      </c>
      <c r="P5198" s="15"/>
      <c r="Q5198" s="15"/>
      <c r="R5198" s="422"/>
      <c r="S5198" s="15"/>
      <c r="T5198" s="15"/>
      <c r="U5198" s="15"/>
      <c r="V5198" s="15"/>
      <c r="W5198" s="15"/>
      <c r="X5198" s="15"/>
      <c r="Y5198" s="15"/>
      <c r="Z5198" s="15"/>
      <c r="AA5198" s="15"/>
    </row>
    <row r="5199">
      <c r="A5199" s="431">
        <v>43953.0</v>
      </c>
      <c r="B5199" s="292" t="str">
        <f>HYPERLINK("https://akshar-exim-company-pvt-ltd.odoo.com/web#id=20746&amp;action=152&amp;model=crm.lead&amp;view_type=form&amp;menu_id=111","C2010716")</f>
        <v>C2010716</v>
      </c>
      <c r="C5199" s="41" t="s">
        <v>20070</v>
      </c>
      <c r="D5199" s="11"/>
      <c r="E5199" s="11" t="s">
        <v>412</v>
      </c>
      <c r="F5199" s="90">
        <v>25.0</v>
      </c>
      <c r="G5199" s="321"/>
      <c r="H5199" s="11" t="s">
        <v>19859</v>
      </c>
      <c r="I5199" s="276"/>
      <c r="J5199" s="11" t="s">
        <v>20071</v>
      </c>
      <c r="K5199" s="12"/>
      <c r="L5199" s="12"/>
      <c r="M5199" s="11" t="s">
        <v>17688</v>
      </c>
      <c r="N5199" s="5" t="s">
        <v>20072</v>
      </c>
      <c r="O5199" s="5" t="s">
        <v>10708</v>
      </c>
      <c r="P5199" s="15"/>
      <c r="Q5199" s="15"/>
      <c r="R5199" s="422"/>
      <c r="S5199" s="15"/>
      <c r="T5199" s="15"/>
      <c r="U5199" s="15"/>
      <c r="V5199" s="15"/>
      <c r="W5199" s="15"/>
      <c r="X5199" s="15"/>
      <c r="Y5199" s="15"/>
      <c r="Z5199" s="15"/>
      <c r="AA5199" s="15"/>
    </row>
    <row r="5200">
      <c r="A5200" s="431">
        <v>43953.0</v>
      </c>
      <c r="B5200" s="292" t="str">
        <f>HYPERLINK("https://akshar-exim-company-pvt-ltd.odoo.com/web#id=20743&amp;action=152&amp;model=crm.lead&amp;view_type=form&amp;menu_id=111","C2010715")</f>
        <v>C2010715</v>
      </c>
      <c r="C5200" s="41" t="s">
        <v>20073</v>
      </c>
      <c r="D5200" s="11"/>
      <c r="E5200" s="11" t="s">
        <v>130</v>
      </c>
      <c r="F5200" s="9">
        <v>10000.0</v>
      </c>
      <c r="G5200" s="321"/>
      <c r="H5200" s="11" t="s">
        <v>3836</v>
      </c>
      <c r="I5200" s="276"/>
      <c r="J5200" s="11" t="s">
        <v>17976</v>
      </c>
      <c r="K5200" s="12"/>
      <c r="L5200" s="12"/>
      <c r="M5200" s="11" t="s">
        <v>18665</v>
      </c>
      <c r="N5200" s="5" t="s">
        <v>20074</v>
      </c>
      <c r="O5200" s="5" t="s">
        <v>17993</v>
      </c>
      <c r="P5200" s="15"/>
      <c r="Q5200" s="15"/>
      <c r="R5200" s="422"/>
      <c r="S5200" s="15"/>
      <c r="T5200" s="15"/>
      <c r="U5200" s="15"/>
      <c r="V5200" s="15"/>
      <c r="W5200" s="15"/>
      <c r="X5200" s="15"/>
      <c r="Y5200" s="15"/>
      <c r="Z5200" s="15"/>
      <c r="AA5200" s="15"/>
    </row>
    <row r="5201">
      <c r="A5201" s="431">
        <v>43953.0</v>
      </c>
      <c r="B5201" s="292" t="str">
        <f>HYPERLINK("https://akshar-exim-company-pvt-ltd.odoo.com/web#id=20740&amp;action=152&amp;model=crm.lead&amp;view_type=form&amp;menu_id=111","C2010714")</f>
        <v>C2010714</v>
      </c>
      <c r="C5201" s="41" t="s">
        <v>20075</v>
      </c>
      <c r="D5201" s="11"/>
      <c r="E5201" s="11" t="s">
        <v>10913</v>
      </c>
      <c r="F5201" s="90">
        <v>100.0</v>
      </c>
      <c r="G5201" s="321"/>
      <c r="H5201" s="11" t="s">
        <v>349</v>
      </c>
      <c r="I5201" s="276"/>
      <c r="J5201" s="11" t="s">
        <v>16356</v>
      </c>
      <c r="K5201" s="12"/>
      <c r="L5201" s="12"/>
      <c r="M5201" s="11" t="s">
        <v>20076</v>
      </c>
      <c r="N5201" s="5" t="s">
        <v>20077</v>
      </c>
      <c r="O5201" s="5" t="s">
        <v>1112</v>
      </c>
      <c r="P5201" s="15"/>
      <c r="Q5201" s="15"/>
      <c r="R5201" s="422"/>
      <c r="S5201" s="15"/>
      <c r="T5201" s="15"/>
      <c r="U5201" s="15"/>
      <c r="V5201" s="15"/>
      <c r="W5201" s="15"/>
      <c r="X5201" s="15"/>
      <c r="Y5201" s="15"/>
      <c r="Z5201" s="15"/>
      <c r="AA5201" s="15"/>
    </row>
    <row r="5202">
      <c r="A5202" s="431">
        <v>43953.0</v>
      </c>
      <c r="B5202" s="292" t="str">
        <f>HYPERLINK("https://akshar-exim-company-pvt-ltd.odoo.com/web#id=20739&amp;action=152&amp;model=crm.lead&amp;view_type=form&amp;menu_id=111","C2010713")</f>
        <v>C2010713</v>
      </c>
      <c r="C5202" s="435" t="s">
        <v>7916</v>
      </c>
      <c r="D5202" s="11"/>
      <c r="E5202" s="11" t="s">
        <v>19999</v>
      </c>
      <c r="F5202" s="90">
        <v>200.0</v>
      </c>
      <c r="G5202" s="321"/>
      <c r="H5202" s="11" t="s">
        <v>906</v>
      </c>
      <c r="I5202" s="276"/>
      <c r="J5202" s="11" t="s">
        <v>20078</v>
      </c>
      <c r="K5202" s="12"/>
      <c r="L5202" s="12"/>
      <c r="M5202" s="11" t="s">
        <v>13205</v>
      </c>
      <c r="N5202" s="5" t="s">
        <v>20079</v>
      </c>
      <c r="O5202" s="5" t="s">
        <v>19620</v>
      </c>
      <c r="P5202" s="15"/>
      <c r="Q5202" s="15"/>
      <c r="R5202" s="422"/>
      <c r="S5202" s="15"/>
      <c r="T5202" s="15"/>
      <c r="U5202" s="15"/>
      <c r="V5202" s="15"/>
      <c r="W5202" s="15"/>
      <c r="X5202" s="15"/>
      <c r="Y5202" s="15"/>
      <c r="Z5202" s="15"/>
      <c r="AA5202" s="15"/>
    </row>
    <row r="5203">
      <c r="A5203" s="431">
        <v>43923.0</v>
      </c>
      <c r="B5203" s="292" t="str">
        <f>HYPERLINK("https://akshar-exim-company-pvt-ltd.odoo.com/web#id=20727&amp;action=152&amp;model=crm.lead&amp;view_type=form&amp;menu_id=111","C2010712")</f>
        <v>C2010712</v>
      </c>
      <c r="C5203" s="41" t="s">
        <v>20080</v>
      </c>
      <c r="D5203" s="41"/>
      <c r="E5203" s="41" t="s">
        <v>11478</v>
      </c>
      <c r="F5203" s="90">
        <v>10.0</v>
      </c>
      <c r="G5203" s="321"/>
      <c r="H5203" s="11" t="s">
        <v>906</v>
      </c>
      <c r="I5203" s="423"/>
      <c r="J5203" s="14"/>
      <c r="K5203" s="12"/>
      <c r="L5203" s="12"/>
      <c r="M5203" s="11" t="s">
        <v>20081</v>
      </c>
      <c r="N5203" s="5" t="s">
        <v>20082</v>
      </c>
      <c r="O5203" s="5" t="s">
        <v>10708</v>
      </c>
      <c r="P5203" s="15"/>
      <c r="Q5203" s="15"/>
      <c r="R5203" s="422"/>
      <c r="S5203" s="15"/>
      <c r="T5203" s="15"/>
      <c r="U5203" s="15"/>
      <c r="V5203" s="15"/>
      <c r="W5203" s="15"/>
      <c r="X5203" s="15"/>
      <c r="Y5203" s="15"/>
      <c r="Z5203" s="15"/>
      <c r="AA5203" s="15"/>
    </row>
    <row r="5204">
      <c r="A5204" s="431">
        <v>43923.0</v>
      </c>
      <c r="B5204" s="292" t="str">
        <f>HYPERLINK("https://akshar-exim-company-pvt-ltd.odoo.com/web#id=20694&amp;action=152&amp;model=crm.lead&amp;view_type=form&amp;menu_id=111","C2010711")</f>
        <v>C2010711</v>
      </c>
      <c r="C5204" s="41" t="s">
        <v>17072</v>
      </c>
      <c r="D5204" s="11"/>
      <c r="E5204" s="11" t="s">
        <v>152</v>
      </c>
      <c r="F5204" s="90">
        <v>2000.0</v>
      </c>
      <c r="G5204" s="321"/>
      <c r="H5204" s="11" t="s">
        <v>906</v>
      </c>
      <c r="I5204" s="423"/>
      <c r="J5204" s="14"/>
      <c r="K5204" s="12"/>
      <c r="L5204" s="12"/>
      <c r="M5204" s="11" t="s">
        <v>10171</v>
      </c>
      <c r="N5204" s="5" t="s">
        <v>20083</v>
      </c>
      <c r="O5204" s="5" t="s">
        <v>17993</v>
      </c>
      <c r="P5204" s="15"/>
      <c r="Q5204" s="15"/>
      <c r="R5204" s="422"/>
      <c r="S5204" s="15"/>
      <c r="T5204" s="15"/>
      <c r="U5204" s="15"/>
      <c r="V5204" s="15"/>
      <c r="W5204" s="15"/>
      <c r="X5204" s="15"/>
      <c r="Y5204" s="15"/>
      <c r="Z5204" s="15"/>
      <c r="AA5204" s="15"/>
    </row>
    <row r="5205">
      <c r="A5205" s="431">
        <v>43923.0</v>
      </c>
      <c r="B5205" s="292" t="str">
        <f>HYPERLINK("https://akshar-exim-company-pvt-ltd.odoo.com/web#id=20751&amp;action=152&amp;model=crm.lead&amp;view_type=form&amp;menu_id=111","C2010710")</f>
        <v>C2010710</v>
      </c>
      <c r="C5205" s="41" t="s">
        <v>20084</v>
      </c>
      <c r="D5205" s="11"/>
      <c r="E5205" s="11" t="s">
        <v>167</v>
      </c>
      <c r="F5205" s="90">
        <v>50.0</v>
      </c>
      <c r="G5205" s="321"/>
      <c r="H5205" s="11" t="s">
        <v>906</v>
      </c>
      <c r="I5205" s="276"/>
      <c r="J5205" s="11" t="s">
        <v>18788</v>
      </c>
      <c r="K5205" s="12"/>
      <c r="L5205" s="12"/>
      <c r="M5205" s="11" t="s">
        <v>8782</v>
      </c>
      <c r="N5205" s="5" t="s">
        <v>20085</v>
      </c>
      <c r="O5205" s="5" t="s">
        <v>19620</v>
      </c>
      <c r="P5205" s="15"/>
      <c r="Q5205" s="15"/>
      <c r="R5205" s="422"/>
      <c r="S5205" s="15"/>
      <c r="T5205" s="15"/>
      <c r="U5205" s="15"/>
      <c r="V5205" s="15"/>
      <c r="W5205" s="15"/>
      <c r="X5205" s="15"/>
      <c r="Y5205" s="15"/>
      <c r="Z5205" s="15"/>
      <c r="AA5205" s="15"/>
    </row>
    <row r="5206">
      <c r="A5206" s="431">
        <v>43923.0</v>
      </c>
      <c r="B5206" s="292" t="str">
        <f>HYPERLINK("https://akshar-exim-company-pvt-ltd.odoo.com/web#id=20763&amp;action=152&amp;model=crm.lead&amp;view_type=form&amp;menu_id=111","C2010708")</f>
        <v>C2010708</v>
      </c>
      <c r="C5206" s="40" t="s">
        <v>1694</v>
      </c>
      <c r="D5206" s="11"/>
      <c r="E5206" s="11" t="s">
        <v>20086</v>
      </c>
      <c r="F5206" s="90" t="s">
        <v>20087</v>
      </c>
      <c r="G5206" s="321"/>
      <c r="H5206" s="11" t="s">
        <v>519</v>
      </c>
      <c r="I5206" s="423"/>
      <c r="J5206" s="14"/>
      <c r="K5206" s="12"/>
      <c r="L5206" s="12"/>
      <c r="M5206" s="11" t="s">
        <v>20088</v>
      </c>
      <c r="N5206" s="5" t="s">
        <v>20089</v>
      </c>
      <c r="O5206" s="5" t="s">
        <v>17993</v>
      </c>
      <c r="P5206" s="15"/>
      <c r="Q5206" s="15"/>
      <c r="R5206" s="422"/>
      <c r="S5206" s="15"/>
      <c r="T5206" s="15"/>
      <c r="U5206" s="15"/>
      <c r="V5206" s="15"/>
      <c r="W5206" s="15"/>
      <c r="X5206" s="15"/>
      <c r="Y5206" s="15"/>
      <c r="Z5206" s="15"/>
      <c r="AA5206" s="15"/>
    </row>
    <row r="5207">
      <c r="A5207" s="431">
        <v>43923.0</v>
      </c>
      <c r="B5207" s="292" t="str">
        <f>HYPERLINK("https://akshar-exim-company-pvt-ltd.odoo.com/web#id=20441&amp;action=152&amp;model=crm.lead&amp;view_type=form&amp;menu_id=111","C2010707")</f>
        <v>C2010707</v>
      </c>
      <c r="C5207" s="41" t="s">
        <v>20090</v>
      </c>
      <c r="D5207" s="11"/>
      <c r="E5207" s="11" t="s">
        <v>3049</v>
      </c>
      <c r="F5207" s="90">
        <v>500.0</v>
      </c>
      <c r="G5207" s="321"/>
      <c r="H5207" s="11" t="s">
        <v>44</v>
      </c>
      <c r="I5207" s="423"/>
      <c r="J5207" s="14"/>
      <c r="K5207" s="12"/>
      <c r="L5207" s="12"/>
      <c r="M5207" s="11" t="s">
        <v>20091</v>
      </c>
      <c r="N5207" s="5" t="s">
        <v>20092</v>
      </c>
      <c r="O5207" s="5" t="s">
        <v>34</v>
      </c>
      <c r="P5207" s="15"/>
      <c r="Q5207" s="15"/>
      <c r="R5207" s="422"/>
      <c r="S5207" s="15"/>
      <c r="T5207" s="15"/>
      <c r="U5207" s="15"/>
      <c r="V5207" s="15"/>
      <c r="W5207" s="15"/>
      <c r="X5207" s="15"/>
      <c r="Y5207" s="15"/>
      <c r="Z5207" s="15"/>
      <c r="AA5207" s="15"/>
    </row>
    <row r="5208">
      <c r="A5208" s="431">
        <v>43923.0</v>
      </c>
      <c r="B5208" s="292" t="str">
        <f>HYPERLINK("https://akshar-exim-company-pvt-ltd.odoo.com/web#id=20391&amp;action=152&amp;model=crm.lead&amp;view_type=form&amp;menu_id=111","C2010705")</f>
        <v>C2010705</v>
      </c>
      <c r="C5208" s="452" t="s">
        <v>20093</v>
      </c>
      <c r="D5208" s="11"/>
      <c r="E5208" s="11" t="s">
        <v>3049</v>
      </c>
      <c r="F5208" s="90">
        <v>1000.0</v>
      </c>
      <c r="G5208" s="321"/>
      <c r="H5208" s="11" t="s">
        <v>467</v>
      </c>
      <c r="I5208" s="423"/>
      <c r="J5208" s="14"/>
      <c r="K5208" s="12"/>
      <c r="L5208" s="12"/>
      <c r="M5208" s="11" t="s">
        <v>20094</v>
      </c>
      <c r="N5208" s="5" t="s">
        <v>20095</v>
      </c>
      <c r="O5208" s="5" t="s">
        <v>17993</v>
      </c>
      <c r="P5208" s="15"/>
      <c r="Q5208" s="15"/>
      <c r="R5208" s="422"/>
      <c r="S5208" s="15"/>
      <c r="T5208" s="15"/>
      <c r="U5208" s="15"/>
      <c r="V5208" s="15"/>
      <c r="W5208" s="15"/>
      <c r="X5208" s="15"/>
      <c r="Y5208" s="15"/>
      <c r="Z5208" s="15"/>
      <c r="AA5208" s="15"/>
    </row>
    <row r="5209">
      <c r="A5209" s="431">
        <v>43923.0</v>
      </c>
      <c r="B5209" s="292" t="str">
        <f>HYPERLINK("https://akshar-exim-company-pvt-ltd.odoo.com/web#id=19952&amp;action=152&amp;model=crm.lead&amp;view_type=form&amp;menu_id=111","C2010704")</f>
        <v>C2010704</v>
      </c>
      <c r="C5209" s="424" t="s">
        <v>20096</v>
      </c>
      <c r="D5209" s="11"/>
      <c r="E5209" s="11" t="s">
        <v>1749</v>
      </c>
      <c r="F5209" s="433"/>
      <c r="G5209" s="430"/>
      <c r="H5209" s="41" t="s">
        <v>20097</v>
      </c>
      <c r="I5209" s="276"/>
      <c r="J5209" s="11" t="s">
        <v>25</v>
      </c>
      <c r="K5209" s="12"/>
      <c r="L5209" s="12"/>
      <c r="M5209" s="11" t="s">
        <v>19981</v>
      </c>
      <c r="N5209" s="5" t="s">
        <v>20098</v>
      </c>
      <c r="O5209" s="5" t="s">
        <v>13963</v>
      </c>
      <c r="P5209" s="15"/>
      <c r="Q5209" s="15"/>
      <c r="R5209" s="422"/>
      <c r="S5209" s="15"/>
      <c r="T5209" s="15"/>
      <c r="U5209" s="15"/>
      <c r="V5209" s="15"/>
      <c r="W5209" s="15"/>
      <c r="X5209" s="15"/>
      <c r="Y5209" s="15"/>
      <c r="Z5209" s="15"/>
      <c r="AA5209" s="15"/>
    </row>
    <row r="5210">
      <c r="A5210" s="431">
        <v>43923.0</v>
      </c>
      <c r="B5210" s="292" t="str">
        <f>HYPERLINK("https://akshar-exim-company-pvt-ltd.odoo.com/web#id=20758&amp;action=152&amp;model=crm.lead&amp;view_type=form&amp;menu_id=111","C2010703")</f>
        <v>C2010703</v>
      </c>
      <c r="C5210" s="41" t="s">
        <v>20099</v>
      </c>
      <c r="D5210" s="11"/>
      <c r="E5210" s="11" t="s">
        <v>130</v>
      </c>
      <c r="F5210" s="90">
        <v>1000.0</v>
      </c>
      <c r="G5210" s="321"/>
      <c r="H5210" s="11" t="s">
        <v>20100</v>
      </c>
      <c r="I5210" s="276"/>
      <c r="J5210" s="11" t="s">
        <v>12978</v>
      </c>
      <c r="K5210" s="13"/>
      <c r="L5210" s="13"/>
      <c r="M5210" s="14"/>
      <c r="N5210" s="15"/>
      <c r="O5210" s="5" t="s">
        <v>17993</v>
      </c>
      <c r="P5210" s="15"/>
      <c r="Q5210" s="15"/>
      <c r="R5210" s="422"/>
      <c r="S5210" s="15"/>
      <c r="T5210" s="15"/>
      <c r="U5210" s="15"/>
      <c r="V5210" s="15"/>
      <c r="W5210" s="15"/>
      <c r="X5210" s="15"/>
      <c r="Y5210" s="15"/>
      <c r="Z5210" s="15"/>
      <c r="AA5210" s="15"/>
    </row>
    <row r="5211">
      <c r="A5211" s="431">
        <v>43923.0</v>
      </c>
      <c r="B5211" s="292" t="str">
        <f>HYPERLINK("https://akshar-exim-company-pvt-ltd.odoo.com/web#id=20757&amp;action=152&amp;model=crm.lead&amp;view_type=form&amp;menu_id=111","C2010702")</f>
        <v>C2010702</v>
      </c>
      <c r="C5211" s="41" t="s">
        <v>20101</v>
      </c>
      <c r="D5211" s="11"/>
      <c r="E5211" s="11" t="s">
        <v>207</v>
      </c>
      <c r="F5211" s="90">
        <v>1.0</v>
      </c>
      <c r="G5211" s="321"/>
      <c r="H5211" s="11" t="s">
        <v>44</v>
      </c>
      <c r="I5211" s="423"/>
      <c r="J5211" s="14"/>
      <c r="K5211" s="13"/>
      <c r="L5211" s="13"/>
      <c r="M5211" s="14"/>
      <c r="N5211" s="15"/>
      <c r="O5211" s="5" t="s">
        <v>19985</v>
      </c>
      <c r="P5211" s="15"/>
      <c r="Q5211" s="15"/>
      <c r="R5211" s="422"/>
      <c r="S5211" s="15"/>
      <c r="T5211" s="15"/>
      <c r="U5211" s="15"/>
      <c r="V5211" s="15"/>
      <c r="W5211" s="15"/>
      <c r="X5211" s="15"/>
      <c r="Y5211" s="15"/>
      <c r="Z5211" s="15"/>
      <c r="AA5211" s="15"/>
    </row>
    <row r="5212">
      <c r="A5212" s="431">
        <v>43923.0</v>
      </c>
      <c r="B5212" s="292" t="str">
        <f>HYPERLINK("https://akshar-exim-company-pvt-ltd.odoo.com/web#id=20756&amp;action=152&amp;model=crm.lead&amp;view_type=form&amp;menu_id=111","C2010701")</f>
        <v>C2010701</v>
      </c>
      <c r="C5212" s="424" t="s">
        <v>20102</v>
      </c>
      <c r="D5212" s="11"/>
      <c r="E5212" s="11" t="s">
        <v>207</v>
      </c>
      <c r="F5212" s="9">
        <v>10000.0</v>
      </c>
      <c r="G5212" s="321"/>
      <c r="H5212" s="11" t="s">
        <v>977</v>
      </c>
      <c r="I5212" s="276"/>
      <c r="J5212" s="11" t="s">
        <v>25</v>
      </c>
      <c r="K5212" s="12"/>
      <c r="L5212" s="12"/>
      <c r="M5212" s="11" t="s">
        <v>14458</v>
      </c>
      <c r="N5212" s="5" t="s">
        <v>20103</v>
      </c>
      <c r="O5212" s="5" t="s">
        <v>1112</v>
      </c>
      <c r="P5212" s="15"/>
      <c r="Q5212" s="15"/>
      <c r="R5212" s="422"/>
      <c r="S5212" s="15"/>
      <c r="T5212" s="15"/>
      <c r="U5212" s="15"/>
      <c r="V5212" s="15"/>
      <c r="W5212" s="15"/>
      <c r="X5212" s="15"/>
      <c r="Y5212" s="15"/>
      <c r="Z5212" s="15"/>
      <c r="AA5212" s="15"/>
    </row>
    <row r="5213">
      <c r="A5213" s="431">
        <v>43923.0</v>
      </c>
      <c r="B5213" s="292" t="str">
        <f>HYPERLINK("https://akshar-exim-company-pvt-ltd.odoo.com/web#id=20754&amp;action=152&amp;model=crm.lead&amp;view_type=form&amp;menu_id=111","C2010700")</f>
        <v>C2010700</v>
      </c>
      <c r="C5213" s="41" t="s">
        <v>20104</v>
      </c>
      <c r="D5213" s="11"/>
      <c r="E5213" s="11" t="s">
        <v>3921</v>
      </c>
      <c r="F5213" s="90">
        <v>1000.0</v>
      </c>
      <c r="G5213" s="430"/>
      <c r="H5213" s="41" t="s">
        <v>20105</v>
      </c>
      <c r="I5213" s="276"/>
      <c r="J5213" s="11" t="s">
        <v>20106</v>
      </c>
      <c r="K5213" s="13"/>
      <c r="L5213" s="13"/>
      <c r="M5213" s="14"/>
      <c r="N5213" s="15"/>
      <c r="O5213" s="5" t="s">
        <v>17993</v>
      </c>
      <c r="P5213" s="15"/>
      <c r="Q5213" s="15"/>
      <c r="R5213" s="422"/>
      <c r="S5213" s="15"/>
      <c r="T5213" s="15"/>
      <c r="U5213" s="15"/>
      <c r="V5213" s="15"/>
      <c r="W5213" s="15"/>
      <c r="X5213" s="15"/>
      <c r="Y5213" s="15"/>
      <c r="Z5213" s="15"/>
      <c r="AA5213" s="15"/>
    </row>
    <row r="5214">
      <c r="A5214" s="431">
        <v>43923.0</v>
      </c>
      <c r="B5214" s="292" t="str">
        <f>HYPERLINK("https://akshar-exim-company-pvt-ltd.odoo.com/web#id=20753&amp;action=152&amp;model=crm.lead&amp;view_type=form&amp;menu_id=111","C2010699")</f>
        <v>C2010699</v>
      </c>
      <c r="C5214" s="41" t="s">
        <v>20107</v>
      </c>
      <c r="D5214" s="11"/>
      <c r="E5214" s="11" t="s">
        <v>20108</v>
      </c>
      <c r="F5214" s="90">
        <v>5000.0</v>
      </c>
      <c r="G5214" s="321"/>
      <c r="H5214" s="11" t="s">
        <v>44</v>
      </c>
      <c r="I5214" s="276"/>
      <c r="J5214" s="11" t="s">
        <v>25</v>
      </c>
      <c r="K5214" s="13"/>
      <c r="L5214" s="13"/>
      <c r="M5214" s="14"/>
      <c r="N5214" s="15"/>
      <c r="O5214" s="5" t="s">
        <v>10708</v>
      </c>
      <c r="P5214" s="15"/>
      <c r="Q5214" s="15"/>
      <c r="R5214" s="422"/>
      <c r="S5214" s="15"/>
      <c r="T5214" s="15"/>
      <c r="U5214" s="15"/>
      <c r="V5214" s="15"/>
      <c r="W5214" s="15"/>
      <c r="X5214" s="15"/>
      <c r="Y5214" s="15"/>
      <c r="Z5214" s="15"/>
      <c r="AA5214" s="15"/>
    </row>
    <row r="5215">
      <c r="A5215" s="431">
        <v>43923.0</v>
      </c>
      <c r="B5215" s="292" t="str">
        <f>HYPERLINK("https://akshar-exim-company-pvt-ltd.odoo.com/web#id=20752&amp;action=152&amp;model=crm.lead&amp;view_type=form&amp;menu_id=111","C2010698")</f>
        <v>C2010698</v>
      </c>
      <c r="C5215" s="41" t="s">
        <v>7112</v>
      </c>
      <c r="D5215" s="11"/>
      <c r="E5215" s="11" t="s">
        <v>92</v>
      </c>
      <c r="F5215" s="90">
        <v>5.0</v>
      </c>
      <c r="G5215" s="321"/>
      <c r="H5215" s="11" t="s">
        <v>906</v>
      </c>
      <c r="I5215" s="423"/>
      <c r="J5215" s="14"/>
      <c r="K5215" s="13"/>
      <c r="L5215" s="13"/>
      <c r="M5215" s="14"/>
      <c r="N5215" s="15"/>
      <c r="O5215" s="5" t="s">
        <v>19985</v>
      </c>
      <c r="P5215" s="15"/>
      <c r="Q5215" s="15"/>
      <c r="R5215" s="422"/>
      <c r="S5215" s="15"/>
      <c r="T5215" s="15"/>
      <c r="U5215" s="15"/>
      <c r="V5215" s="15"/>
      <c r="W5215" s="15"/>
      <c r="X5215" s="15"/>
      <c r="Y5215" s="15"/>
      <c r="Z5215" s="15"/>
      <c r="AA5215" s="15"/>
    </row>
    <row r="5216">
      <c r="A5216" s="431">
        <v>43923.0</v>
      </c>
      <c r="B5216" s="292" t="str">
        <f>HYPERLINK("https://akshar-exim-company-pvt-ltd.odoo.com/web#id=20744&amp;action=152&amp;model=crm.lead&amp;view_type=form&amp;menu_id=111","C2010697")</f>
        <v>C2010697</v>
      </c>
      <c r="C5216" s="424" t="s">
        <v>20109</v>
      </c>
      <c r="D5216" s="11"/>
      <c r="E5216" s="11" t="s">
        <v>1247</v>
      </c>
      <c r="F5216" s="90">
        <v>50.0</v>
      </c>
      <c r="G5216" s="321"/>
      <c r="H5216" s="11" t="s">
        <v>268</v>
      </c>
      <c r="I5216" s="276"/>
      <c r="J5216" s="11" t="s">
        <v>7109</v>
      </c>
      <c r="K5216" s="13"/>
      <c r="L5216" s="13"/>
      <c r="M5216" s="14"/>
      <c r="N5216" s="15"/>
      <c r="O5216" s="5" t="s">
        <v>1112</v>
      </c>
      <c r="P5216" s="15"/>
      <c r="Q5216" s="15"/>
      <c r="R5216" s="422"/>
      <c r="S5216" s="15"/>
      <c r="T5216" s="15"/>
      <c r="U5216" s="15"/>
      <c r="V5216" s="15"/>
      <c r="W5216" s="15"/>
      <c r="X5216" s="15"/>
      <c r="Y5216" s="15"/>
      <c r="Z5216" s="15"/>
      <c r="AA5216" s="15"/>
    </row>
    <row r="5217">
      <c r="A5217" s="431">
        <v>43923.0</v>
      </c>
      <c r="B5217" s="292" t="str">
        <f>HYPERLINK("https://akshar-exim-company-pvt-ltd.odoo.com/web#id=20741&amp;action=152&amp;model=crm.lead&amp;view_type=form&amp;menu_id=111","C2010696")</f>
        <v>C2010696</v>
      </c>
      <c r="C5217" s="41" t="s">
        <v>20110</v>
      </c>
      <c r="D5217" s="11"/>
      <c r="E5217" s="11" t="s">
        <v>152</v>
      </c>
      <c r="F5217" s="433"/>
      <c r="G5217" s="321"/>
      <c r="H5217" s="11" t="s">
        <v>590</v>
      </c>
      <c r="I5217" s="423"/>
      <c r="J5217" s="14"/>
      <c r="K5217" s="13"/>
      <c r="L5217" s="13"/>
      <c r="M5217" s="14"/>
      <c r="N5217" s="15"/>
      <c r="O5217" s="15"/>
      <c r="P5217" s="15"/>
      <c r="Q5217" s="15"/>
      <c r="R5217" s="422"/>
      <c r="S5217" s="15"/>
      <c r="T5217" s="15"/>
      <c r="U5217" s="15"/>
      <c r="V5217" s="15"/>
      <c r="W5217" s="15"/>
      <c r="X5217" s="15"/>
      <c r="Y5217" s="15"/>
      <c r="Z5217" s="15"/>
      <c r="AA5217" s="15"/>
    </row>
    <row r="5218">
      <c r="A5218" s="431">
        <v>43923.0</v>
      </c>
      <c r="B5218" s="292" t="str">
        <f>HYPERLINK("https://akshar-exim-company-pvt-ltd.odoo.com/web#id=20733&amp;action=152&amp;model=crm.lead&amp;view_type=form&amp;menu_id=111","C2010695")</f>
        <v>C2010695</v>
      </c>
      <c r="C5218" s="41" t="s">
        <v>20111</v>
      </c>
      <c r="D5218" s="11"/>
      <c r="E5218" s="11" t="s">
        <v>20112</v>
      </c>
      <c r="F5218" s="433"/>
      <c r="G5218" s="434"/>
      <c r="H5218" s="14"/>
      <c r="I5218" s="423"/>
      <c r="J5218" s="14"/>
      <c r="K5218" s="13"/>
      <c r="L5218" s="13"/>
      <c r="M5218" s="14"/>
      <c r="N5218" s="15"/>
      <c r="O5218" s="15"/>
      <c r="P5218" s="15"/>
      <c r="Q5218" s="15"/>
      <c r="R5218" s="422"/>
      <c r="S5218" s="15"/>
      <c r="T5218" s="15"/>
      <c r="U5218" s="15"/>
      <c r="V5218" s="15"/>
      <c r="W5218" s="15"/>
      <c r="X5218" s="15"/>
      <c r="Y5218" s="15"/>
      <c r="Z5218" s="15"/>
      <c r="AA5218" s="15"/>
    </row>
    <row r="5219">
      <c r="A5219" s="431">
        <v>43923.0</v>
      </c>
      <c r="B5219" s="292" t="str">
        <f>HYPERLINK("https://akshar-exim-company-pvt-ltd.odoo.com/web#id=20728&amp;action=152&amp;model=crm.lead&amp;view_type=form&amp;menu_id=111","C2010694")</f>
        <v>C2010694</v>
      </c>
      <c r="C5219" s="41" t="s">
        <v>20113</v>
      </c>
      <c r="D5219" s="405"/>
      <c r="E5219" s="405" t="s">
        <v>20114</v>
      </c>
      <c r="F5219" s="90">
        <v>10.0</v>
      </c>
      <c r="G5219" s="321"/>
      <c r="H5219" s="11" t="s">
        <v>44</v>
      </c>
      <c r="I5219" s="276"/>
      <c r="J5219" s="11" t="s">
        <v>25</v>
      </c>
      <c r="K5219" s="13"/>
      <c r="L5219" s="13"/>
      <c r="M5219" s="14"/>
      <c r="N5219" s="15"/>
      <c r="O5219" s="5" t="s">
        <v>19985</v>
      </c>
      <c r="P5219" s="15"/>
      <c r="Q5219" s="15"/>
      <c r="R5219" s="422"/>
      <c r="S5219" s="15"/>
      <c r="T5219" s="15"/>
      <c r="U5219" s="15"/>
      <c r="V5219" s="15"/>
      <c r="W5219" s="15"/>
      <c r="X5219" s="15"/>
      <c r="Y5219" s="15"/>
      <c r="Z5219" s="15"/>
      <c r="AA5219" s="15"/>
    </row>
    <row r="5220">
      <c r="A5220" s="431">
        <v>43923.0</v>
      </c>
      <c r="B5220" s="292" t="str">
        <f>HYPERLINK("https://akshar-exim-company-pvt-ltd.odoo.com/web#id=20722&amp;action=152&amp;model=crm.lead&amp;view_type=form&amp;menu_id=111","C2010693")</f>
        <v>C2010693</v>
      </c>
      <c r="C5220" s="40" t="s">
        <v>20115</v>
      </c>
      <c r="D5220" s="11"/>
      <c r="E5220" s="11" t="s">
        <v>20116</v>
      </c>
      <c r="F5220" s="90">
        <v>2.0</v>
      </c>
      <c r="G5220" s="321"/>
      <c r="H5220" s="11" t="s">
        <v>906</v>
      </c>
      <c r="I5220" s="276"/>
      <c r="J5220" s="11" t="s">
        <v>19848</v>
      </c>
      <c r="K5220" s="13"/>
      <c r="L5220" s="13"/>
      <c r="M5220" s="14"/>
      <c r="N5220" s="15"/>
      <c r="O5220" s="5" t="s">
        <v>19985</v>
      </c>
      <c r="P5220" s="15"/>
      <c r="Q5220" s="15"/>
      <c r="R5220" s="422"/>
      <c r="S5220" s="15"/>
      <c r="T5220" s="15"/>
      <c r="U5220" s="15"/>
      <c r="V5220" s="15"/>
      <c r="W5220" s="15"/>
      <c r="X5220" s="15"/>
      <c r="Y5220" s="15"/>
      <c r="Z5220" s="15"/>
      <c r="AA5220" s="15"/>
    </row>
    <row r="5221">
      <c r="A5221" s="431">
        <v>43923.0</v>
      </c>
      <c r="B5221" s="292" t="str">
        <f>HYPERLINK("https://akshar-exim-company-pvt-ltd.odoo.com/web#id=20720&amp;action=152&amp;model=crm.lead&amp;view_type=form&amp;menu_id=111","C2010692")</f>
        <v>C2010692</v>
      </c>
      <c r="C5221" s="41" t="s">
        <v>20080</v>
      </c>
      <c r="D5221" s="405"/>
      <c r="E5221" s="405" t="s">
        <v>11478</v>
      </c>
      <c r="F5221" s="90">
        <v>10.0</v>
      </c>
      <c r="G5221" s="321"/>
      <c r="H5221" s="11" t="s">
        <v>507</v>
      </c>
      <c r="I5221" s="423"/>
      <c r="J5221" s="14"/>
      <c r="K5221" s="13"/>
      <c r="L5221" s="13"/>
      <c r="M5221" s="14"/>
      <c r="N5221" s="15"/>
      <c r="O5221" s="5" t="s">
        <v>19985</v>
      </c>
      <c r="P5221" s="15"/>
      <c r="Q5221" s="15"/>
      <c r="R5221" s="422"/>
      <c r="S5221" s="15"/>
      <c r="T5221" s="15"/>
      <c r="U5221" s="15"/>
      <c r="V5221" s="15"/>
      <c r="W5221" s="15"/>
      <c r="X5221" s="15"/>
      <c r="Y5221" s="15"/>
      <c r="Z5221" s="15"/>
      <c r="AA5221" s="15"/>
    </row>
    <row r="5222">
      <c r="A5222" s="431">
        <v>43923.0</v>
      </c>
      <c r="B5222" s="292" t="str">
        <f>HYPERLINK("https://akshar-exim-company-pvt-ltd.odoo.com/web#id=20563&amp;action=152&amp;model=crm.lead&amp;view_type=form&amp;menu_id=111","C2010691")</f>
        <v>C2010691</v>
      </c>
      <c r="C5222" s="41" t="s">
        <v>20117</v>
      </c>
      <c r="D5222" s="11"/>
      <c r="E5222" s="11" t="s">
        <v>20118</v>
      </c>
      <c r="F5222" s="9">
        <v>22000.0</v>
      </c>
      <c r="G5222" s="321"/>
      <c r="H5222" s="11" t="s">
        <v>20119</v>
      </c>
      <c r="I5222" s="276"/>
      <c r="J5222" s="11" t="s">
        <v>17976</v>
      </c>
      <c r="K5222" s="13"/>
      <c r="L5222" s="13"/>
      <c r="M5222" s="14"/>
      <c r="N5222" s="15"/>
      <c r="O5222" s="5" t="s">
        <v>17993</v>
      </c>
      <c r="P5222" s="15"/>
      <c r="Q5222" s="15"/>
      <c r="R5222" s="422"/>
      <c r="S5222" s="15"/>
      <c r="T5222" s="15"/>
      <c r="U5222" s="15"/>
      <c r="V5222" s="15"/>
      <c r="W5222" s="15"/>
      <c r="X5222" s="15"/>
      <c r="Y5222" s="15"/>
      <c r="Z5222" s="15"/>
      <c r="AA5222" s="15"/>
    </row>
    <row r="5223">
      <c r="A5223" s="431">
        <v>43923.0</v>
      </c>
      <c r="B5223" s="292" t="str">
        <f>HYPERLINK("https://akshar-exim-company-pvt-ltd.odoo.com/web#id=20144&amp;action=152&amp;model=crm.lead&amp;view_type=form&amp;menu_id=111","C2010690")</f>
        <v>C2010690</v>
      </c>
      <c r="C5223" s="41" t="s">
        <v>20120</v>
      </c>
      <c r="D5223" s="217"/>
      <c r="E5223" s="217" t="s">
        <v>20121</v>
      </c>
      <c r="F5223" s="90">
        <v>5000.0</v>
      </c>
      <c r="G5223" s="321"/>
      <c r="H5223" s="11" t="s">
        <v>44</v>
      </c>
      <c r="I5223" s="276"/>
      <c r="J5223" s="11" t="s">
        <v>25</v>
      </c>
      <c r="K5223" s="12"/>
      <c r="L5223" s="12"/>
      <c r="M5223" s="11" t="s">
        <v>7904</v>
      </c>
      <c r="N5223" s="5" t="s">
        <v>20122</v>
      </c>
      <c r="O5223" s="5" t="s">
        <v>10708</v>
      </c>
      <c r="P5223" s="15"/>
      <c r="Q5223" s="15"/>
      <c r="R5223" s="422"/>
      <c r="S5223" s="15"/>
      <c r="T5223" s="15"/>
      <c r="U5223" s="15"/>
      <c r="V5223" s="15"/>
      <c r="W5223" s="15"/>
      <c r="X5223" s="15"/>
      <c r="Y5223" s="15"/>
      <c r="Z5223" s="15"/>
      <c r="AA5223" s="15"/>
    </row>
    <row r="5224">
      <c r="A5224" s="431">
        <v>43923.0</v>
      </c>
      <c r="B5224" s="292" t="str">
        <f>HYPERLINK("https://akshar-exim-company-pvt-ltd.odoo.com/web#id=19996&amp;action=152&amp;model=crm.lead&amp;view_type=form&amp;menu_id=111","C2010689")</f>
        <v>C2010689</v>
      </c>
      <c r="C5224" s="424" t="s">
        <v>20123</v>
      </c>
      <c r="D5224" s="11"/>
      <c r="E5224" s="11" t="s">
        <v>20121</v>
      </c>
      <c r="F5224" s="9">
        <v>200000.0</v>
      </c>
      <c r="G5224" s="321"/>
      <c r="H5224" s="11" t="s">
        <v>44</v>
      </c>
      <c r="I5224" s="276"/>
      <c r="J5224" s="11" t="s">
        <v>20124</v>
      </c>
      <c r="K5224" s="13"/>
      <c r="L5224" s="13"/>
      <c r="M5224" s="14"/>
      <c r="N5224" s="15"/>
      <c r="O5224" s="5" t="s">
        <v>10708</v>
      </c>
      <c r="P5224" s="15"/>
      <c r="Q5224" s="15"/>
      <c r="R5224" s="422"/>
      <c r="S5224" s="15"/>
      <c r="T5224" s="15"/>
      <c r="U5224" s="15"/>
      <c r="V5224" s="15"/>
      <c r="W5224" s="15"/>
      <c r="X5224" s="15"/>
      <c r="Y5224" s="15"/>
      <c r="Z5224" s="15"/>
      <c r="AA5224" s="15"/>
    </row>
    <row r="5225">
      <c r="A5225" s="431">
        <v>43923.0</v>
      </c>
      <c r="B5225" s="292" t="str">
        <f>HYPERLINK("https://akshar-exim-company-pvt-ltd.odoo.com/web#id=19750&amp;action=152&amp;model=crm.lead&amp;view_type=form&amp;menu_id=111","C2010688")</f>
        <v>C2010688</v>
      </c>
      <c r="C5225" s="41" t="s">
        <v>20125</v>
      </c>
      <c r="D5225" s="11"/>
      <c r="E5225" s="11" t="s">
        <v>3493</v>
      </c>
      <c r="F5225" s="90">
        <v>1000.0</v>
      </c>
      <c r="G5225" s="321"/>
      <c r="H5225" s="11" t="s">
        <v>44</v>
      </c>
      <c r="I5225" s="276"/>
      <c r="J5225" s="11" t="s">
        <v>25</v>
      </c>
      <c r="K5225" s="12"/>
      <c r="L5225" s="12"/>
      <c r="M5225" s="11" t="s">
        <v>15366</v>
      </c>
      <c r="N5225" s="5" t="s">
        <v>20126</v>
      </c>
      <c r="O5225" s="5" t="s">
        <v>13963</v>
      </c>
      <c r="P5225" s="15"/>
      <c r="Q5225" s="15"/>
      <c r="R5225" s="422"/>
      <c r="S5225" s="15"/>
      <c r="T5225" s="15"/>
      <c r="U5225" s="15"/>
      <c r="V5225" s="15"/>
      <c r="W5225" s="15"/>
      <c r="X5225" s="15"/>
      <c r="Y5225" s="15"/>
      <c r="Z5225" s="15"/>
      <c r="AA5225" s="15"/>
    </row>
    <row r="5226">
      <c r="A5226" s="431">
        <v>43923.0</v>
      </c>
      <c r="B5226" s="292" t="str">
        <f>HYPERLINK("https://akshar-exim-company-pvt-ltd.odoo.com/web#id=19561&amp;action=152&amp;model=crm.lead&amp;view_type=form&amp;menu_id=111","C2010687")</f>
        <v>C2010687</v>
      </c>
      <c r="C5226" s="41" t="s">
        <v>20127</v>
      </c>
      <c r="D5226" s="11"/>
      <c r="E5226" s="11" t="s">
        <v>1280</v>
      </c>
      <c r="F5226" s="433"/>
      <c r="G5226" s="434"/>
      <c r="H5226" s="14"/>
      <c r="I5226" s="423"/>
      <c r="J5226" s="14"/>
      <c r="K5226" s="13"/>
      <c r="L5226" s="13"/>
      <c r="M5226" s="14"/>
      <c r="N5226" s="15"/>
      <c r="O5226" s="15"/>
      <c r="P5226" s="15"/>
      <c r="Q5226" s="15"/>
      <c r="R5226" s="422"/>
      <c r="S5226" s="15"/>
      <c r="T5226" s="15"/>
      <c r="U5226" s="15"/>
      <c r="V5226" s="15"/>
      <c r="W5226" s="15"/>
      <c r="X5226" s="15"/>
      <c r="Y5226" s="15"/>
      <c r="Z5226" s="15"/>
      <c r="AA5226" s="15"/>
    </row>
    <row r="5227">
      <c r="A5227" s="431">
        <v>43923.0</v>
      </c>
      <c r="B5227" s="292" t="str">
        <f>HYPERLINK("https://akshar-exim-company-pvt-ltd.odoo.com/web#id=19554&amp;action=152&amp;model=crm.lead&amp;view_type=form&amp;menu_id=111","C2010686")</f>
        <v>C2010686</v>
      </c>
      <c r="C5227" s="41" t="s">
        <v>20128</v>
      </c>
      <c r="D5227" s="11"/>
      <c r="E5227" s="11" t="s">
        <v>3341</v>
      </c>
      <c r="F5227" s="90">
        <v>1000.0</v>
      </c>
      <c r="G5227" s="321"/>
      <c r="H5227" s="11" t="s">
        <v>44</v>
      </c>
      <c r="I5227" s="276"/>
      <c r="J5227" s="11" t="s">
        <v>7109</v>
      </c>
      <c r="K5227" s="12"/>
      <c r="L5227" s="12"/>
      <c r="M5227" s="11" t="s">
        <v>9983</v>
      </c>
      <c r="N5227" s="5" t="s">
        <v>20129</v>
      </c>
      <c r="O5227" s="5" t="s">
        <v>564</v>
      </c>
      <c r="P5227" s="15"/>
      <c r="Q5227" s="15"/>
      <c r="R5227" s="422"/>
      <c r="S5227" s="15"/>
      <c r="T5227" s="15"/>
      <c r="U5227" s="15"/>
      <c r="V5227" s="15"/>
      <c r="W5227" s="15"/>
      <c r="X5227" s="15"/>
      <c r="Y5227" s="15"/>
      <c r="Z5227" s="15"/>
      <c r="AA5227" s="15"/>
    </row>
    <row r="5228">
      <c r="A5228" s="431">
        <v>43923.0</v>
      </c>
      <c r="B5228" s="292" t="str">
        <f>HYPERLINK("https://akshar-exim-company-pvt-ltd.odoo.com/web#id=19306&amp;action=152&amp;model=crm.lead&amp;view_type=form&amp;menu_id=111","C2010685")</f>
        <v>C2010685</v>
      </c>
      <c r="C5228" s="424" t="s">
        <v>5707</v>
      </c>
      <c r="D5228" s="11"/>
      <c r="E5228" s="11" t="s">
        <v>20130</v>
      </c>
      <c r="F5228" s="9">
        <v>10000.0</v>
      </c>
      <c r="G5228" s="321"/>
      <c r="H5228" s="11" t="s">
        <v>44</v>
      </c>
      <c r="I5228" s="276"/>
      <c r="J5228" s="11" t="s">
        <v>17976</v>
      </c>
      <c r="K5228" s="12"/>
      <c r="L5228" s="12"/>
      <c r="M5228" s="11" t="s">
        <v>8722</v>
      </c>
      <c r="N5228" s="5" t="s">
        <v>20131</v>
      </c>
      <c r="O5228" s="5" t="s">
        <v>13963</v>
      </c>
      <c r="P5228" s="15"/>
      <c r="Q5228" s="15"/>
      <c r="R5228" s="422"/>
      <c r="S5228" s="15"/>
      <c r="T5228" s="15"/>
      <c r="U5228" s="15"/>
      <c r="V5228" s="15"/>
      <c r="W5228" s="15"/>
      <c r="X5228" s="15"/>
      <c r="Y5228" s="15"/>
      <c r="Z5228" s="15"/>
      <c r="AA5228" s="15"/>
    </row>
    <row r="5229">
      <c r="A5229" s="431">
        <v>43923.0</v>
      </c>
      <c r="B5229" s="292" t="str">
        <f>HYPERLINK("https://akshar-exim-company-pvt-ltd.odoo.com/web#id=19060&amp;action=152&amp;model=crm.lead&amp;view_type=form&amp;menu_id=111","C2010684")</f>
        <v>C2010684</v>
      </c>
      <c r="C5229" s="41" t="s">
        <v>20132</v>
      </c>
      <c r="D5229" s="11"/>
      <c r="E5229" s="11" t="s">
        <v>10852</v>
      </c>
      <c r="F5229" s="90">
        <v>3450.0</v>
      </c>
      <c r="G5229" s="321"/>
      <c r="H5229" s="11" t="s">
        <v>9266</v>
      </c>
      <c r="I5229" s="276"/>
      <c r="J5229" s="11" t="s">
        <v>17976</v>
      </c>
      <c r="K5229" s="13"/>
      <c r="L5229" s="13"/>
      <c r="M5229" s="14"/>
      <c r="N5229" s="15"/>
      <c r="O5229" s="5" t="s">
        <v>564</v>
      </c>
      <c r="P5229" s="15"/>
      <c r="Q5229" s="15"/>
      <c r="R5229" s="422"/>
      <c r="S5229" s="15"/>
      <c r="T5229" s="15"/>
      <c r="U5229" s="15"/>
      <c r="V5229" s="15"/>
      <c r="W5229" s="15"/>
      <c r="X5229" s="15"/>
      <c r="Y5229" s="15"/>
      <c r="Z5229" s="15"/>
      <c r="AA5229" s="15"/>
    </row>
    <row r="5230">
      <c r="A5230" s="431">
        <v>43923.0</v>
      </c>
      <c r="B5230" s="292" t="str">
        <f>HYPERLINK("https://akshar-exim-company-pvt-ltd.odoo.com/web#id=19031&amp;action=152&amp;model=crm.lead&amp;view_type=form&amp;menu_id=111","C2010683")</f>
        <v>C2010683</v>
      </c>
      <c r="C5230" s="41" t="s">
        <v>20133</v>
      </c>
      <c r="D5230" s="11"/>
      <c r="E5230" s="11" t="s">
        <v>20134</v>
      </c>
      <c r="F5230" s="90">
        <v>800.0</v>
      </c>
      <c r="G5230" s="430"/>
      <c r="H5230" s="41" t="s">
        <v>20135</v>
      </c>
      <c r="I5230" s="423"/>
      <c r="J5230" s="14"/>
      <c r="K5230" s="12"/>
      <c r="L5230" s="12"/>
      <c r="M5230" s="11" t="s">
        <v>11262</v>
      </c>
      <c r="N5230" s="5" t="s">
        <v>20136</v>
      </c>
      <c r="O5230" s="5" t="s">
        <v>564</v>
      </c>
      <c r="P5230" s="15"/>
      <c r="Q5230" s="15"/>
      <c r="R5230" s="422"/>
      <c r="S5230" s="15"/>
      <c r="T5230" s="15"/>
      <c r="U5230" s="15"/>
      <c r="V5230" s="15"/>
      <c r="W5230" s="15"/>
      <c r="X5230" s="15"/>
      <c r="Y5230" s="15"/>
      <c r="Z5230" s="15"/>
      <c r="AA5230" s="15"/>
    </row>
    <row r="5231">
      <c r="A5231" s="431">
        <v>43923.0</v>
      </c>
      <c r="B5231" s="292" t="str">
        <f>HYPERLINK("https://akshar-exim-company-pvt-ltd.odoo.com/web#id=18547&amp;action=152&amp;model=crm.lead&amp;view_type=form&amp;menu_id=111","C2010682")</f>
        <v>C2010682</v>
      </c>
      <c r="C5231" s="40" t="s">
        <v>20137</v>
      </c>
      <c r="D5231" s="11"/>
      <c r="E5231" s="11" t="s">
        <v>11149</v>
      </c>
      <c r="F5231" s="433"/>
      <c r="G5231" s="434"/>
      <c r="H5231" s="14"/>
      <c r="I5231" s="423"/>
      <c r="J5231" s="14"/>
      <c r="K5231" s="13"/>
      <c r="L5231" s="13"/>
      <c r="M5231" s="14"/>
      <c r="N5231" s="15"/>
      <c r="O5231" s="15"/>
      <c r="P5231" s="15"/>
      <c r="Q5231" s="15"/>
      <c r="R5231" s="422"/>
      <c r="S5231" s="15"/>
      <c r="T5231" s="15"/>
      <c r="U5231" s="15"/>
      <c r="V5231" s="15"/>
      <c r="W5231" s="15"/>
      <c r="X5231" s="15"/>
      <c r="Y5231" s="15"/>
      <c r="Z5231" s="15"/>
      <c r="AA5231" s="15"/>
    </row>
    <row r="5232">
      <c r="A5232" s="431">
        <v>43923.0</v>
      </c>
      <c r="B5232" s="292" t="str">
        <f>HYPERLINK("https://akshar-exim-company-pvt-ltd.odoo.com/web#id=17996&amp;action=152&amp;model=crm.lead&amp;view_type=form&amp;menu_id=111","C2010681")</f>
        <v>C2010681</v>
      </c>
      <c r="C5232" s="41" t="s">
        <v>12069</v>
      </c>
      <c r="D5232" s="11"/>
      <c r="E5232" s="11" t="s">
        <v>207</v>
      </c>
      <c r="F5232" s="90">
        <v>2000.0</v>
      </c>
      <c r="G5232" s="321"/>
      <c r="H5232" s="11" t="s">
        <v>5189</v>
      </c>
      <c r="I5232" s="276"/>
      <c r="J5232" s="11" t="s">
        <v>12314</v>
      </c>
      <c r="K5232" s="12"/>
      <c r="L5232" s="12"/>
      <c r="M5232" s="11" t="s">
        <v>8638</v>
      </c>
      <c r="N5232" s="5" t="s">
        <v>20138</v>
      </c>
      <c r="O5232" s="5" t="s">
        <v>1112</v>
      </c>
      <c r="P5232" s="15"/>
      <c r="Q5232" s="15"/>
      <c r="R5232" s="422"/>
      <c r="S5232" s="15"/>
      <c r="T5232" s="15"/>
      <c r="U5232" s="15"/>
      <c r="V5232" s="15"/>
      <c r="W5232" s="15"/>
      <c r="X5232" s="15"/>
      <c r="Y5232" s="15"/>
      <c r="Z5232" s="15"/>
      <c r="AA5232" s="15"/>
    </row>
    <row r="5233">
      <c r="A5233" s="431">
        <v>43923.0</v>
      </c>
      <c r="B5233" s="292" t="str">
        <f>HYPERLINK("https://akshar-exim-company-pvt-ltd.odoo.com/web#id=17804&amp;action=152&amp;model=crm.lead&amp;view_type=form&amp;menu_id=111","C2010680")</f>
        <v>C2010680</v>
      </c>
      <c r="C5233" s="41" t="s">
        <v>20139</v>
      </c>
      <c r="D5233" s="11"/>
      <c r="E5233" s="11" t="s">
        <v>517</v>
      </c>
      <c r="F5233" s="9">
        <v>25000.0</v>
      </c>
      <c r="G5233" s="321"/>
      <c r="H5233" s="11" t="s">
        <v>519</v>
      </c>
      <c r="I5233" s="276"/>
      <c r="J5233" s="11" t="s">
        <v>17976</v>
      </c>
      <c r="K5233" s="13"/>
      <c r="L5233" s="13"/>
      <c r="M5233" s="14"/>
      <c r="N5233" s="15"/>
      <c r="O5233" s="5" t="s">
        <v>17993</v>
      </c>
      <c r="P5233" s="15"/>
      <c r="Q5233" s="15"/>
      <c r="R5233" s="422"/>
      <c r="S5233" s="15"/>
      <c r="T5233" s="15"/>
      <c r="U5233" s="15"/>
      <c r="V5233" s="15"/>
      <c r="W5233" s="15"/>
      <c r="X5233" s="15"/>
      <c r="Y5233" s="15"/>
      <c r="Z5233" s="15"/>
      <c r="AA5233" s="15"/>
    </row>
    <row r="5234">
      <c r="A5234" s="431">
        <v>43923.0</v>
      </c>
      <c r="B5234" s="292" t="str">
        <f>HYPERLINK("https://akshar-exim-company-pvt-ltd.odoo.com/web#id=17791&amp;action=152&amp;model=crm.lead&amp;view_type=form&amp;menu_id=111","C2010679")</f>
        <v>C2010679</v>
      </c>
      <c r="C5234" s="424" t="s">
        <v>20140</v>
      </c>
      <c r="D5234" s="11"/>
      <c r="E5234" s="11" t="s">
        <v>20141</v>
      </c>
      <c r="F5234" s="9">
        <v>60000.0</v>
      </c>
      <c r="G5234" s="321"/>
      <c r="H5234" s="11" t="s">
        <v>44</v>
      </c>
      <c r="I5234" s="276"/>
      <c r="J5234" s="11" t="s">
        <v>7109</v>
      </c>
      <c r="K5234" s="12"/>
      <c r="L5234" s="12"/>
      <c r="M5234" s="11" t="s">
        <v>20142</v>
      </c>
      <c r="N5234" s="5" t="s">
        <v>20143</v>
      </c>
      <c r="O5234" s="5" t="s">
        <v>1112</v>
      </c>
      <c r="P5234" s="15"/>
      <c r="Q5234" s="15"/>
      <c r="R5234" s="422"/>
      <c r="S5234" s="15"/>
      <c r="T5234" s="15"/>
      <c r="U5234" s="15"/>
      <c r="V5234" s="15"/>
      <c r="W5234" s="15"/>
      <c r="X5234" s="15"/>
      <c r="Y5234" s="15"/>
      <c r="Z5234" s="15"/>
      <c r="AA5234" s="15"/>
    </row>
    <row r="5235">
      <c r="A5235" s="431">
        <v>43892.0</v>
      </c>
      <c r="B5235" s="292" t="str">
        <f>HYPERLINK("https://akshar-exim-company-pvt-ltd.odoo.com/web?#id=20731&amp;action=152&amp;model=crm.lead&amp;view_type=form&amp;menu_id=111","C2010678")</f>
        <v>C2010678</v>
      </c>
      <c r="C5235" s="41" t="s">
        <v>19906</v>
      </c>
      <c r="D5235" s="11"/>
      <c r="E5235" s="11" t="s">
        <v>1175</v>
      </c>
      <c r="F5235" s="90">
        <v>50.0</v>
      </c>
      <c r="G5235" s="321"/>
      <c r="H5235" s="11" t="s">
        <v>44</v>
      </c>
      <c r="I5235" s="423"/>
      <c r="J5235" s="14"/>
      <c r="K5235" s="12"/>
      <c r="L5235" s="12"/>
      <c r="M5235" s="11" t="s">
        <v>20144</v>
      </c>
      <c r="N5235" s="5" t="s">
        <v>20145</v>
      </c>
      <c r="O5235" s="5" t="s">
        <v>1112</v>
      </c>
      <c r="P5235" s="15"/>
      <c r="Q5235" s="15"/>
      <c r="R5235" s="422"/>
      <c r="S5235" s="15"/>
      <c r="T5235" s="15"/>
      <c r="U5235" s="15"/>
      <c r="V5235" s="15"/>
      <c r="W5235" s="15"/>
      <c r="X5235" s="15"/>
      <c r="Y5235" s="15"/>
      <c r="Z5235" s="15"/>
      <c r="AA5235" s="15"/>
    </row>
    <row r="5236">
      <c r="A5236" s="431">
        <v>43892.0</v>
      </c>
      <c r="B5236" s="292" t="str">
        <f>HYPERLINK("https://akshar-exim-company-pvt-ltd.odoo.com/web#id=20697&amp;action=152&amp;model=crm.lead&amp;view_type=form&amp;menu_id=111","C2010677")</f>
        <v>C2010677</v>
      </c>
      <c r="C5236" s="41" t="s">
        <v>12099</v>
      </c>
      <c r="D5236" s="11"/>
      <c r="E5236" s="11" t="s">
        <v>2476</v>
      </c>
      <c r="F5236" s="90">
        <v>500.0</v>
      </c>
      <c r="G5236" s="321"/>
      <c r="H5236" s="11" t="s">
        <v>44</v>
      </c>
      <c r="I5236" s="276"/>
      <c r="J5236" s="11" t="s">
        <v>20146</v>
      </c>
      <c r="K5236" s="12"/>
      <c r="L5236" s="12"/>
      <c r="M5236" s="11" t="s">
        <v>12601</v>
      </c>
      <c r="N5236" s="5" t="s">
        <v>20147</v>
      </c>
      <c r="O5236" s="5" t="s">
        <v>34</v>
      </c>
      <c r="P5236" s="15"/>
      <c r="Q5236" s="15"/>
      <c r="R5236" s="422"/>
      <c r="S5236" s="15"/>
      <c r="T5236" s="15"/>
      <c r="U5236" s="15"/>
      <c r="V5236" s="15"/>
      <c r="W5236" s="15"/>
      <c r="X5236" s="15"/>
      <c r="Y5236" s="15"/>
      <c r="Z5236" s="15"/>
      <c r="AA5236" s="15"/>
    </row>
    <row r="5237">
      <c r="A5237" s="431">
        <v>43892.0</v>
      </c>
      <c r="B5237" s="292" t="str">
        <f>HYPERLINK("https://akshar-exim-company-pvt-ltd.odoo.com/web#id=20700&amp;action=152&amp;model=crm.lead&amp;view_type=form&amp;menu_id=111","C2010676")</f>
        <v>C2010676</v>
      </c>
      <c r="C5237" s="41" t="s">
        <v>20148</v>
      </c>
      <c r="D5237" s="11"/>
      <c r="E5237" s="11" t="s">
        <v>207</v>
      </c>
      <c r="F5237" s="90">
        <v>1000.0</v>
      </c>
      <c r="G5237" s="321"/>
      <c r="H5237" s="11" t="s">
        <v>507</v>
      </c>
      <c r="I5237" s="423"/>
      <c r="J5237" s="14"/>
      <c r="K5237" s="12"/>
      <c r="L5237" s="12"/>
      <c r="M5237" s="11" t="s">
        <v>10171</v>
      </c>
      <c r="N5237" s="5" t="s">
        <v>20149</v>
      </c>
      <c r="O5237" s="5" t="s">
        <v>17993</v>
      </c>
      <c r="P5237" s="15"/>
      <c r="Q5237" s="15"/>
      <c r="R5237" s="422"/>
      <c r="S5237" s="15"/>
      <c r="T5237" s="15"/>
      <c r="U5237" s="15"/>
      <c r="V5237" s="15"/>
      <c r="W5237" s="15"/>
      <c r="X5237" s="15"/>
      <c r="Y5237" s="15"/>
      <c r="Z5237" s="15"/>
      <c r="AA5237" s="15"/>
    </row>
    <row r="5238">
      <c r="A5238" s="431">
        <v>43892.0</v>
      </c>
      <c r="B5238" s="292" t="str">
        <f>HYPERLINK("https://akshar-exim-company-pvt-ltd.odoo.com/web#id=20702&amp;action=152&amp;model=crm.lead&amp;view_type=form&amp;menu_id=111","C2010675")</f>
        <v>C2010675</v>
      </c>
      <c r="C5238" s="41" t="s">
        <v>20150</v>
      </c>
      <c r="D5238" s="11"/>
      <c r="E5238" s="11" t="s">
        <v>1520</v>
      </c>
      <c r="F5238" s="90">
        <v>10.0</v>
      </c>
      <c r="G5238" s="321"/>
      <c r="H5238" s="11" t="s">
        <v>507</v>
      </c>
      <c r="I5238" s="276"/>
      <c r="J5238" s="11" t="s">
        <v>20151</v>
      </c>
      <c r="K5238" s="13"/>
      <c r="L5238" s="13"/>
      <c r="M5238" s="14"/>
      <c r="N5238" s="15"/>
      <c r="O5238" s="5" t="s">
        <v>19985</v>
      </c>
      <c r="P5238" s="15"/>
      <c r="Q5238" s="15"/>
      <c r="R5238" s="422"/>
      <c r="S5238" s="15"/>
      <c r="T5238" s="15"/>
      <c r="U5238" s="15"/>
      <c r="V5238" s="15"/>
      <c r="W5238" s="15"/>
      <c r="X5238" s="15"/>
      <c r="Y5238" s="15"/>
      <c r="Z5238" s="15"/>
      <c r="AA5238" s="15"/>
    </row>
    <row r="5239">
      <c r="A5239" s="431">
        <v>43892.0</v>
      </c>
      <c r="B5239" s="292" t="str">
        <f>HYPERLINK("https://akshar-exim-company-pvt-ltd.odoo.com/web#id=20703&amp;action=152&amp;model=crm.lead&amp;view_type=form&amp;menu_id=111","C2010674")</f>
        <v>C2010674</v>
      </c>
      <c r="C5239" s="41" t="s">
        <v>20152</v>
      </c>
      <c r="D5239" s="11"/>
      <c r="E5239" s="11" t="s">
        <v>20153</v>
      </c>
      <c r="F5239" s="9">
        <v>50000.0</v>
      </c>
      <c r="G5239" s="321"/>
      <c r="H5239" s="11" t="s">
        <v>20154</v>
      </c>
      <c r="I5239" s="276"/>
      <c r="J5239" s="11" t="s">
        <v>17976</v>
      </c>
      <c r="K5239" s="12"/>
      <c r="L5239" s="12"/>
      <c r="M5239" s="11" t="s">
        <v>8722</v>
      </c>
      <c r="N5239" s="5" t="s">
        <v>20155</v>
      </c>
      <c r="O5239" s="5" t="s">
        <v>13963</v>
      </c>
      <c r="P5239" s="15"/>
      <c r="Q5239" s="15"/>
      <c r="R5239" s="422"/>
      <c r="S5239" s="15"/>
      <c r="T5239" s="15"/>
      <c r="U5239" s="15"/>
      <c r="V5239" s="15"/>
      <c r="W5239" s="15"/>
      <c r="X5239" s="15"/>
      <c r="Y5239" s="15"/>
      <c r="Z5239" s="15"/>
      <c r="AA5239" s="15"/>
    </row>
    <row r="5240">
      <c r="A5240" s="431">
        <v>43892.0</v>
      </c>
      <c r="B5240" s="292" t="str">
        <f>HYPERLINK("https://akshar-exim-company-pvt-ltd.odoo.com/web#id=20706&amp;action=152&amp;model=crm.lead&amp;view_type=form&amp;menu_id=111","C2010673")</f>
        <v>C2010673</v>
      </c>
      <c r="C5240" s="40" t="s">
        <v>20156</v>
      </c>
      <c r="D5240" s="11"/>
      <c r="E5240" s="11" t="s">
        <v>222</v>
      </c>
      <c r="F5240" s="433"/>
      <c r="G5240" s="321"/>
      <c r="H5240" s="11" t="s">
        <v>15578</v>
      </c>
      <c r="I5240" s="423"/>
      <c r="J5240" s="14"/>
      <c r="K5240" s="12"/>
      <c r="L5240" s="12"/>
      <c r="M5240" s="11" t="s">
        <v>20157</v>
      </c>
      <c r="N5240" s="5" t="s">
        <v>20158</v>
      </c>
      <c r="O5240" s="5" t="s">
        <v>1112</v>
      </c>
      <c r="P5240" s="15"/>
      <c r="Q5240" s="15"/>
      <c r="R5240" s="422"/>
      <c r="S5240" s="15"/>
      <c r="T5240" s="15"/>
      <c r="U5240" s="15"/>
      <c r="V5240" s="15"/>
      <c r="W5240" s="15"/>
      <c r="X5240" s="15"/>
      <c r="Y5240" s="15"/>
      <c r="Z5240" s="15"/>
      <c r="AA5240" s="15"/>
    </row>
    <row r="5241">
      <c r="A5241" s="431">
        <v>43892.0</v>
      </c>
      <c r="B5241" s="292" t="str">
        <f>HYPERLINK("https://akshar-exim-company-pvt-ltd.odoo.com/web?#id=20714&amp;action=152&amp;model=crm.lead&amp;view_type=form&amp;menu_id=111","C2010672")</f>
        <v>C2010672</v>
      </c>
      <c r="C5241" s="41" t="s">
        <v>8979</v>
      </c>
      <c r="D5241" s="11"/>
      <c r="E5241" s="11" t="s">
        <v>3555</v>
      </c>
      <c r="F5241" s="9">
        <v>20000.0</v>
      </c>
      <c r="G5241" s="321"/>
      <c r="H5241" s="11" t="s">
        <v>822</v>
      </c>
      <c r="I5241" s="423"/>
      <c r="J5241" s="14"/>
      <c r="K5241" s="12"/>
      <c r="L5241" s="12"/>
      <c r="M5241" s="11" t="s">
        <v>14789</v>
      </c>
      <c r="N5241" s="5" t="s">
        <v>20159</v>
      </c>
      <c r="O5241" s="5" t="s">
        <v>1112</v>
      </c>
      <c r="P5241" s="15"/>
      <c r="Q5241" s="15"/>
      <c r="R5241" s="422"/>
      <c r="S5241" s="15"/>
      <c r="T5241" s="15"/>
      <c r="U5241" s="15"/>
      <c r="V5241" s="15"/>
      <c r="W5241" s="15"/>
      <c r="X5241" s="15"/>
      <c r="Y5241" s="15"/>
      <c r="Z5241" s="15"/>
      <c r="AA5241" s="15"/>
    </row>
    <row r="5242">
      <c r="A5242" s="431">
        <v>43892.0</v>
      </c>
      <c r="B5242" s="292" t="str">
        <f>HYPERLINK("https://akshar-exim-company-pvt-ltd.odoo.com/web?#id=20705&amp;action=152&amp;model=crm.lead&amp;view_type=form&amp;menu_id=111","C2010671")</f>
        <v>C2010671</v>
      </c>
      <c r="C5242" s="41" t="s">
        <v>20160</v>
      </c>
      <c r="D5242" s="11"/>
      <c r="E5242" s="11" t="s">
        <v>6405</v>
      </c>
      <c r="F5242" s="90">
        <v>50.0</v>
      </c>
      <c r="G5242" s="430"/>
      <c r="H5242" s="41" t="s">
        <v>20161</v>
      </c>
      <c r="I5242" s="276"/>
      <c r="J5242" s="11" t="s">
        <v>17976</v>
      </c>
      <c r="K5242" s="13"/>
      <c r="L5242" s="13"/>
      <c r="M5242" s="14"/>
      <c r="N5242" s="15"/>
      <c r="O5242" s="5" t="s">
        <v>1112</v>
      </c>
      <c r="P5242" s="15"/>
      <c r="Q5242" s="15"/>
      <c r="R5242" s="422"/>
      <c r="S5242" s="15"/>
      <c r="T5242" s="15"/>
      <c r="U5242" s="15"/>
      <c r="V5242" s="15"/>
      <c r="W5242" s="15"/>
      <c r="X5242" s="15"/>
      <c r="Y5242" s="15"/>
      <c r="Z5242" s="15"/>
      <c r="AA5242" s="15"/>
    </row>
    <row r="5243">
      <c r="A5243" s="431">
        <v>43892.0</v>
      </c>
      <c r="B5243" s="292" t="str">
        <f>HYPERLINK("https://akshar-exim-company-pvt-ltd.odoo.com/web#id=20486&amp;action=152&amp;model=crm.lead&amp;view_type=form&amp;menu_id=111","C2010670")</f>
        <v>C2010670</v>
      </c>
      <c r="C5243" s="41" t="s">
        <v>20162</v>
      </c>
      <c r="D5243" s="11"/>
      <c r="E5243" s="11" t="s">
        <v>147</v>
      </c>
      <c r="F5243" s="9">
        <v>10000.0</v>
      </c>
      <c r="G5243" s="321"/>
      <c r="H5243" s="11" t="s">
        <v>495</v>
      </c>
      <c r="I5243" s="423"/>
      <c r="J5243" s="14"/>
      <c r="K5243" s="12"/>
      <c r="L5243" s="12"/>
      <c r="M5243" s="11" t="s">
        <v>20163</v>
      </c>
      <c r="N5243" s="5" t="s">
        <v>20164</v>
      </c>
      <c r="O5243" s="5" t="s">
        <v>1112</v>
      </c>
      <c r="P5243" s="15"/>
      <c r="Q5243" s="15"/>
      <c r="R5243" s="422"/>
      <c r="S5243" s="15"/>
      <c r="T5243" s="15"/>
      <c r="U5243" s="15"/>
      <c r="V5243" s="15"/>
      <c r="W5243" s="15"/>
      <c r="X5243" s="15"/>
      <c r="Y5243" s="15"/>
      <c r="Z5243" s="15"/>
      <c r="AA5243" s="15"/>
    </row>
    <row r="5244">
      <c r="A5244" s="431">
        <v>43892.0</v>
      </c>
      <c r="B5244" s="292" t="str">
        <f>HYPERLINK("https://akshar-exim-company-pvt-ltd.odoo.com/web#id=20644&amp;action=152&amp;model=crm.lead&amp;view_type=form&amp;menu_id=111","C2010669")</f>
        <v>C2010669</v>
      </c>
      <c r="C5244" s="41" t="s">
        <v>13954</v>
      </c>
      <c r="D5244" s="11"/>
      <c r="E5244" s="11" t="s">
        <v>20165</v>
      </c>
      <c r="F5244" s="90">
        <v>2.0</v>
      </c>
      <c r="G5244" s="321"/>
      <c r="H5244" s="11" t="s">
        <v>906</v>
      </c>
      <c r="I5244" s="423"/>
      <c r="J5244" s="14"/>
      <c r="K5244" s="13"/>
      <c r="L5244" s="13"/>
      <c r="M5244" s="14"/>
      <c r="N5244" s="15"/>
      <c r="O5244" s="15"/>
      <c r="P5244" s="15"/>
      <c r="Q5244" s="15"/>
      <c r="R5244" s="422"/>
      <c r="S5244" s="15"/>
      <c r="T5244" s="15"/>
      <c r="U5244" s="15"/>
      <c r="V5244" s="15"/>
      <c r="W5244" s="15"/>
      <c r="X5244" s="15"/>
      <c r="Y5244" s="15"/>
      <c r="Z5244" s="15"/>
      <c r="AA5244" s="15"/>
    </row>
    <row r="5245">
      <c r="A5245" s="431">
        <v>43892.0</v>
      </c>
      <c r="B5245" s="292" t="str">
        <f>HYPERLINK("https://akshar-exim-company-pvt-ltd.odoo.com/web#id=20647&amp;action=152&amp;model=crm.lead&amp;view_type=form&amp;menu_id=111","C2010668")</f>
        <v>C2010668</v>
      </c>
      <c r="C5245" s="62" t="s">
        <v>20166</v>
      </c>
      <c r="D5245" s="11"/>
      <c r="E5245" s="11" t="s">
        <v>5244</v>
      </c>
      <c r="F5245" s="90">
        <v>20.0</v>
      </c>
      <c r="G5245" s="321"/>
      <c r="H5245" s="11" t="s">
        <v>9094</v>
      </c>
      <c r="I5245" s="276"/>
      <c r="J5245" s="11" t="s">
        <v>7109</v>
      </c>
      <c r="K5245" s="13"/>
      <c r="L5245" s="13"/>
      <c r="M5245" s="14"/>
      <c r="N5245" s="15"/>
      <c r="O5245" s="5" t="s">
        <v>19985</v>
      </c>
      <c r="P5245" s="15"/>
      <c r="Q5245" s="15"/>
      <c r="R5245" s="422"/>
      <c r="S5245" s="15"/>
      <c r="T5245" s="15"/>
      <c r="U5245" s="15"/>
      <c r="V5245" s="15"/>
      <c r="W5245" s="15"/>
      <c r="X5245" s="15"/>
      <c r="Y5245" s="15"/>
      <c r="Z5245" s="15"/>
      <c r="AA5245" s="15"/>
    </row>
    <row r="5246">
      <c r="A5246" s="431">
        <v>43892.0</v>
      </c>
      <c r="B5246" s="292" t="str">
        <f>HYPERLINK("https://akshar-exim-company-pvt-ltd.odoo.com/web#id=20649&amp;action=152&amp;model=crm.lead&amp;view_type=form&amp;menu_id=111","C2010667")</f>
        <v>C2010667</v>
      </c>
      <c r="C5246" s="451" t="s">
        <v>20167</v>
      </c>
      <c r="D5246" s="11"/>
      <c r="E5246" s="11" t="s">
        <v>20168</v>
      </c>
      <c r="F5246" s="9">
        <v>50000.0</v>
      </c>
      <c r="G5246" s="321"/>
      <c r="H5246" s="11" t="s">
        <v>906</v>
      </c>
      <c r="I5246" s="276"/>
      <c r="J5246" s="11" t="s">
        <v>17976</v>
      </c>
      <c r="K5246" s="12"/>
      <c r="L5246" s="12"/>
      <c r="M5246" s="11" t="s">
        <v>20169</v>
      </c>
      <c r="N5246" s="5" t="s">
        <v>20170</v>
      </c>
      <c r="O5246" s="5" t="s">
        <v>17993</v>
      </c>
      <c r="P5246" s="15"/>
      <c r="Q5246" s="15"/>
      <c r="R5246" s="422"/>
      <c r="S5246" s="15"/>
      <c r="T5246" s="15"/>
      <c r="U5246" s="15"/>
      <c r="V5246" s="15"/>
      <c r="W5246" s="15"/>
      <c r="X5246" s="15"/>
      <c r="Y5246" s="15"/>
      <c r="Z5246" s="15"/>
      <c r="AA5246" s="15"/>
    </row>
    <row r="5247">
      <c r="A5247" s="431">
        <v>43892.0</v>
      </c>
      <c r="B5247" s="292" t="str">
        <f>HYPERLINK("https://akshar-exim-company-pvt-ltd.odoo.com/web#id=20652&amp;action=152&amp;model=crm.lead&amp;view_type=form&amp;menu_id=111","C2010666")</f>
        <v>C2010666</v>
      </c>
      <c r="C5247" s="40" t="s">
        <v>20171</v>
      </c>
      <c r="D5247" s="11"/>
      <c r="E5247" s="11" t="s">
        <v>3489</v>
      </c>
      <c r="F5247" s="9">
        <v>90000.0</v>
      </c>
      <c r="G5247" s="321"/>
      <c r="H5247" s="11" t="s">
        <v>906</v>
      </c>
      <c r="I5247" s="276"/>
      <c r="J5247" s="11" t="s">
        <v>20172</v>
      </c>
      <c r="K5247" s="12"/>
      <c r="L5247" s="12"/>
      <c r="M5247" s="11" t="s">
        <v>12862</v>
      </c>
      <c r="N5247" s="5" t="s">
        <v>20173</v>
      </c>
      <c r="O5247" s="5" t="s">
        <v>17993</v>
      </c>
      <c r="P5247" s="15"/>
      <c r="Q5247" s="15"/>
      <c r="R5247" s="422"/>
      <c r="S5247" s="15"/>
      <c r="T5247" s="15"/>
      <c r="U5247" s="15"/>
      <c r="V5247" s="15"/>
      <c r="W5247" s="15"/>
      <c r="X5247" s="15"/>
      <c r="Y5247" s="15"/>
      <c r="Z5247" s="15"/>
      <c r="AA5247" s="15"/>
    </row>
    <row r="5248">
      <c r="A5248" s="431">
        <v>43892.0</v>
      </c>
      <c r="B5248" s="5" t="s">
        <v>20174</v>
      </c>
      <c r="C5248" s="62" t="s">
        <v>20175</v>
      </c>
      <c r="D5248" s="11"/>
      <c r="E5248" s="11" t="s">
        <v>523</v>
      </c>
      <c r="F5248" s="9">
        <v>20000.0</v>
      </c>
      <c r="G5248" s="321"/>
      <c r="H5248" s="11" t="s">
        <v>1282</v>
      </c>
      <c r="I5248" s="276"/>
      <c r="J5248" s="11" t="s">
        <v>25</v>
      </c>
      <c r="K5248" s="12"/>
      <c r="L5248" s="12"/>
      <c r="M5248" s="11" t="s">
        <v>20176</v>
      </c>
      <c r="N5248" s="5" t="s">
        <v>20177</v>
      </c>
      <c r="O5248" s="5" t="s">
        <v>564</v>
      </c>
      <c r="P5248" s="15"/>
      <c r="Q5248" s="15"/>
      <c r="R5248" s="422"/>
      <c r="S5248" s="15"/>
      <c r="T5248" s="15"/>
      <c r="U5248" s="15"/>
      <c r="V5248" s="15"/>
      <c r="W5248" s="15"/>
      <c r="X5248" s="15"/>
      <c r="Y5248" s="15"/>
      <c r="Z5248" s="15"/>
      <c r="AA5248" s="15"/>
    </row>
    <row r="5249">
      <c r="A5249" s="431">
        <v>43892.0</v>
      </c>
      <c r="B5249" s="5" t="s">
        <v>20178</v>
      </c>
      <c r="C5249" s="41" t="s">
        <v>20179</v>
      </c>
      <c r="D5249" s="11"/>
      <c r="E5249" s="11" t="s">
        <v>130</v>
      </c>
      <c r="F5249" s="90">
        <v>5000.0</v>
      </c>
      <c r="G5249" s="321"/>
      <c r="H5249" s="11" t="s">
        <v>507</v>
      </c>
      <c r="I5249" s="276"/>
      <c r="J5249" s="11" t="s">
        <v>17976</v>
      </c>
      <c r="K5249" s="13"/>
      <c r="L5249" s="13"/>
      <c r="M5249" s="14"/>
      <c r="N5249" s="15"/>
      <c r="O5249" s="5" t="s">
        <v>17993</v>
      </c>
      <c r="P5249" s="15"/>
      <c r="Q5249" s="15"/>
      <c r="R5249" s="422"/>
      <c r="S5249" s="15"/>
      <c r="T5249" s="15"/>
      <c r="U5249" s="15"/>
      <c r="V5249" s="15"/>
      <c r="W5249" s="15"/>
      <c r="X5249" s="15"/>
      <c r="Y5249" s="15"/>
      <c r="Z5249" s="15"/>
      <c r="AA5249" s="15"/>
    </row>
    <row r="5250">
      <c r="A5250" s="431">
        <v>43892.0</v>
      </c>
      <c r="B5250" s="5" t="s">
        <v>20180</v>
      </c>
      <c r="C5250" s="41" t="s">
        <v>18405</v>
      </c>
      <c r="D5250" s="11"/>
      <c r="E5250" s="11" t="s">
        <v>167</v>
      </c>
      <c r="F5250" s="90">
        <v>10.0</v>
      </c>
      <c r="G5250" s="321"/>
      <c r="H5250" s="11" t="s">
        <v>20181</v>
      </c>
      <c r="I5250" s="276"/>
      <c r="J5250" s="11" t="s">
        <v>14563</v>
      </c>
      <c r="K5250" s="13"/>
      <c r="L5250" s="13"/>
      <c r="M5250" s="14"/>
      <c r="N5250" s="15"/>
      <c r="O5250" s="5" t="s">
        <v>19985</v>
      </c>
      <c r="P5250" s="15"/>
      <c r="Q5250" s="15"/>
      <c r="R5250" s="422"/>
      <c r="S5250" s="15"/>
      <c r="T5250" s="15"/>
      <c r="U5250" s="15"/>
      <c r="V5250" s="15"/>
      <c r="W5250" s="15"/>
      <c r="X5250" s="15"/>
      <c r="Y5250" s="15"/>
      <c r="Z5250" s="15"/>
      <c r="AA5250" s="15"/>
    </row>
    <row r="5251">
      <c r="A5251" s="431">
        <v>43892.0</v>
      </c>
      <c r="B5251" s="5" t="s">
        <v>20182</v>
      </c>
      <c r="C5251" s="41" t="s">
        <v>20183</v>
      </c>
      <c r="D5251" s="11"/>
      <c r="E5251" s="11" t="s">
        <v>19810</v>
      </c>
      <c r="F5251" s="90">
        <v>70.0</v>
      </c>
      <c r="G5251" s="321"/>
      <c r="H5251" s="11" t="s">
        <v>3861</v>
      </c>
      <c r="I5251" s="423"/>
      <c r="J5251" s="14"/>
      <c r="K5251" s="12"/>
      <c r="L5251" s="12"/>
      <c r="M5251" s="11" t="s">
        <v>20184</v>
      </c>
      <c r="N5251" s="5" t="s">
        <v>20185</v>
      </c>
      <c r="O5251" s="5" t="s">
        <v>10708</v>
      </c>
      <c r="P5251" s="15"/>
      <c r="Q5251" s="15"/>
      <c r="R5251" s="422"/>
      <c r="S5251" s="15"/>
      <c r="T5251" s="15"/>
      <c r="U5251" s="15"/>
      <c r="V5251" s="15"/>
      <c r="W5251" s="15"/>
      <c r="X5251" s="15"/>
      <c r="Y5251" s="15"/>
      <c r="Z5251" s="15"/>
      <c r="AA5251" s="15"/>
    </row>
    <row r="5252">
      <c r="A5252" s="431">
        <v>43892.0</v>
      </c>
      <c r="B5252" s="5" t="s">
        <v>20186</v>
      </c>
      <c r="C5252" s="40" t="s">
        <v>20187</v>
      </c>
      <c r="D5252" s="11"/>
      <c r="E5252" s="11" t="s">
        <v>116</v>
      </c>
      <c r="F5252" s="90">
        <v>1.0</v>
      </c>
      <c r="G5252" s="321"/>
      <c r="H5252" s="11" t="s">
        <v>906</v>
      </c>
      <c r="I5252" s="276"/>
      <c r="J5252" s="11" t="s">
        <v>14563</v>
      </c>
      <c r="K5252" s="13"/>
      <c r="L5252" s="13"/>
      <c r="M5252" s="14"/>
      <c r="N5252" s="15"/>
      <c r="O5252" s="5" t="s">
        <v>19985</v>
      </c>
      <c r="P5252" s="15"/>
      <c r="Q5252" s="15"/>
      <c r="R5252" s="422"/>
      <c r="S5252" s="15"/>
      <c r="T5252" s="15"/>
      <c r="U5252" s="15"/>
      <c r="V5252" s="15"/>
      <c r="W5252" s="15"/>
      <c r="X5252" s="15"/>
      <c r="Y5252" s="15"/>
      <c r="Z5252" s="15"/>
      <c r="AA5252" s="15"/>
    </row>
    <row r="5253">
      <c r="A5253" s="431">
        <v>43892.0</v>
      </c>
      <c r="B5253" s="5" t="s">
        <v>20188</v>
      </c>
      <c r="C5253" s="40" t="s">
        <v>20189</v>
      </c>
      <c r="D5253" s="11"/>
      <c r="E5253" s="11" t="s">
        <v>8590</v>
      </c>
      <c r="F5253" s="433"/>
      <c r="G5253" s="321"/>
      <c r="H5253" s="11" t="s">
        <v>2662</v>
      </c>
      <c r="I5253" s="423"/>
      <c r="J5253" s="14"/>
      <c r="K5253" s="13"/>
      <c r="L5253" s="13"/>
      <c r="M5253" s="14"/>
      <c r="N5253" s="15"/>
      <c r="O5253" s="15"/>
      <c r="P5253" s="15"/>
      <c r="Q5253" s="15"/>
      <c r="R5253" s="422"/>
      <c r="S5253" s="15"/>
      <c r="T5253" s="15"/>
      <c r="U5253" s="15"/>
      <c r="V5253" s="15"/>
      <c r="W5253" s="15"/>
      <c r="X5253" s="15"/>
      <c r="Y5253" s="15"/>
      <c r="Z5253" s="15"/>
      <c r="AA5253" s="15"/>
    </row>
    <row r="5254">
      <c r="A5254" s="431">
        <v>43892.0</v>
      </c>
      <c r="B5254" s="5" t="s">
        <v>20190</v>
      </c>
      <c r="C5254" s="41" t="s">
        <v>20191</v>
      </c>
      <c r="D5254" s="11"/>
      <c r="E5254" s="11" t="s">
        <v>130</v>
      </c>
      <c r="F5254" s="90">
        <v>20.0</v>
      </c>
      <c r="G5254" s="321"/>
      <c r="H5254" s="11" t="s">
        <v>906</v>
      </c>
      <c r="I5254" s="276"/>
      <c r="J5254" s="11" t="s">
        <v>25</v>
      </c>
      <c r="K5254" s="13"/>
      <c r="L5254" s="13"/>
      <c r="M5254" s="14"/>
      <c r="N5254" s="15"/>
      <c r="O5254" s="15"/>
      <c r="P5254" s="15"/>
      <c r="Q5254" s="15"/>
      <c r="R5254" s="422"/>
      <c r="S5254" s="15"/>
      <c r="T5254" s="15"/>
      <c r="U5254" s="15"/>
      <c r="V5254" s="15"/>
      <c r="W5254" s="15"/>
      <c r="X5254" s="15"/>
      <c r="Y5254" s="15"/>
      <c r="Z5254" s="15"/>
      <c r="AA5254" s="15"/>
    </row>
    <row r="5255">
      <c r="A5255" s="431">
        <v>43892.0</v>
      </c>
      <c r="B5255" s="5" t="s">
        <v>20192</v>
      </c>
      <c r="C5255" s="41" t="s">
        <v>20193</v>
      </c>
      <c r="D5255" s="11"/>
      <c r="E5255" s="11" t="s">
        <v>130</v>
      </c>
      <c r="F5255" s="433"/>
      <c r="G5255" s="430"/>
      <c r="H5255" s="41" t="s">
        <v>20194</v>
      </c>
      <c r="I5255" s="423"/>
      <c r="J5255" s="14"/>
      <c r="K5255" s="13"/>
      <c r="L5255" s="13"/>
      <c r="M5255" s="14"/>
      <c r="N5255" s="15"/>
      <c r="O5255" s="15"/>
      <c r="P5255" s="15"/>
      <c r="Q5255" s="15"/>
      <c r="R5255" s="422"/>
      <c r="S5255" s="15"/>
      <c r="T5255" s="15"/>
      <c r="U5255" s="15"/>
      <c r="V5255" s="15"/>
      <c r="W5255" s="15"/>
      <c r="X5255" s="15"/>
      <c r="Y5255" s="15"/>
      <c r="Z5255" s="15"/>
      <c r="AA5255" s="15"/>
    </row>
    <row r="5256">
      <c r="A5256" s="431">
        <v>43892.0</v>
      </c>
      <c r="B5256" s="5" t="s">
        <v>20195</v>
      </c>
      <c r="C5256" s="40" t="s">
        <v>20196</v>
      </c>
      <c r="D5256" s="11"/>
      <c r="E5256" s="11" t="s">
        <v>19319</v>
      </c>
      <c r="F5256" s="90">
        <v>5.0</v>
      </c>
      <c r="G5256" s="321"/>
      <c r="H5256" s="11" t="s">
        <v>507</v>
      </c>
      <c r="I5256" s="276"/>
      <c r="J5256" s="11" t="s">
        <v>17976</v>
      </c>
      <c r="K5256" s="13"/>
      <c r="L5256" s="13"/>
      <c r="M5256" s="14"/>
      <c r="N5256" s="15"/>
      <c r="O5256" s="5" t="s">
        <v>19985</v>
      </c>
      <c r="P5256" s="15"/>
      <c r="Q5256" s="15"/>
      <c r="R5256" s="422"/>
      <c r="S5256" s="15"/>
      <c r="T5256" s="15"/>
      <c r="U5256" s="15"/>
      <c r="V5256" s="15"/>
      <c r="W5256" s="15"/>
      <c r="X5256" s="15"/>
      <c r="Y5256" s="15"/>
      <c r="Z5256" s="15"/>
      <c r="AA5256" s="15"/>
    </row>
    <row r="5257">
      <c r="A5257" s="431">
        <v>43892.0</v>
      </c>
      <c r="B5257" s="5" t="s">
        <v>20197</v>
      </c>
      <c r="C5257" s="40" t="s">
        <v>20198</v>
      </c>
      <c r="D5257" s="11"/>
      <c r="E5257" s="11" t="s">
        <v>1080</v>
      </c>
      <c r="F5257" s="433"/>
      <c r="G5257" s="434"/>
      <c r="H5257" s="14"/>
      <c r="I5257" s="423"/>
      <c r="J5257" s="14"/>
      <c r="K5257" s="13"/>
      <c r="L5257" s="13"/>
      <c r="M5257" s="14"/>
      <c r="N5257" s="15"/>
      <c r="O5257" s="15"/>
      <c r="P5257" s="15"/>
      <c r="Q5257" s="15"/>
      <c r="R5257" s="422"/>
      <c r="S5257" s="15"/>
      <c r="T5257" s="15"/>
      <c r="U5257" s="15"/>
      <c r="V5257" s="15"/>
      <c r="W5257" s="15"/>
      <c r="X5257" s="15"/>
      <c r="Y5257" s="15"/>
      <c r="Z5257" s="15"/>
      <c r="AA5257" s="15"/>
    </row>
    <row r="5258">
      <c r="A5258" s="431">
        <v>43892.0</v>
      </c>
      <c r="B5258" s="5" t="s">
        <v>20199</v>
      </c>
      <c r="C5258" s="41" t="s">
        <v>20200</v>
      </c>
      <c r="D5258" s="11"/>
      <c r="E5258" s="11" t="s">
        <v>5613</v>
      </c>
      <c r="F5258" s="90">
        <v>1000.0</v>
      </c>
      <c r="G5258" s="430"/>
      <c r="H5258" s="41" t="s">
        <v>20201</v>
      </c>
      <c r="I5258" s="423"/>
      <c r="J5258" s="14"/>
      <c r="K5258" s="13"/>
      <c r="L5258" s="13"/>
      <c r="M5258" s="14"/>
      <c r="N5258" s="15"/>
      <c r="O5258" s="15"/>
      <c r="P5258" s="15"/>
      <c r="Q5258" s="15"/>
      <c r="R5258" s="422"/>
      <c r="S5258" s="15"/>
      <c r="T5258" s="15"/>
      <c r="U5258" s="15"/>
      <c r="V5258" s="15"/>
      <c r="W5258" s="15"/>
      <c r="X5258" s="15"/>
      <c r="Y5258" s="15"/>
      <c r="Z5258" s="15"/>
      <c r="AA5258" s="15"/>
    </row>
    <row r="5259">
      <c r="A5259" s="431">
        <v>43892.0</v>
      </c>
      <c r="B5259" s="5" t="s">
        <v>20202</v>
      </c>
      <c r="C5259" s="40" t="s">
        <v>20203</v>
      </c>
      <c r="D5259" s="11"/>
      <c r="E5259" s="11" t="s">
        <v>6360</v>
      </c>
      <c r="F5259" s="9">
        <v>500000.0</v>
      </c>
      <c r="G5259" s="321"/>
      <c r="H5259" s="11" t="s">
        <v>44</v>
      </c>
      <c r="I5259" s="276"/>
      <c r="J5259" s="11" t="s">
        <v>9814</v>
      </c>
      <c r="K5259" s="13"/>
      <c r="L5259" s="13"/>
      <c r="M5259" s="14"/>
      <c r="N5259" s="15"/>
      <c r="O5259" s="5" t="s">
        <v>10708</v>
      </c>
      <c r="P5259" s="15"/>
      <c r="Q5259" s="15"/>
      <c r="R5259" s="422"/>
      <c r="S5259" s="15"/>
      <c r="T5259" s="15"/>
      <c r="U5259" s="15"/>
      <c r="V5259" s="15"/>
      <c r="W5259" s="15"/>
      <c r="X5259" s="15"/>
      <c r="Y5259" s="15"/>
      <c r="Z5259" s="15"/>
      <c r="AA5259" s="15"/>
    </row>
    <row r="5260">
      <c r="A5260" s="453">
        <v>43892.0</v>
      </c>
      <c r="B5260" s="5" t="s">
        <v>20204</v>
      </c>
      <c r="C5260" s="40" t="s">
        <v>20205</v>
      </c>
      <c r="D5260" s="11"/>
      <c r="E5260" s="11" t="s">
        <v>20206</v>
      </c>
      <c r="F5260" s="90">
        <v>1000.0</v>
      </c>
      <c r="G5260" s="321"/>
      <c r="H5260" s="11" t="s">
        <v>20207</v>
      </c>
      <c r="I5260" s="276"/>
      <c r="J5260" s="11" t="s">
        <v>9814</v>
      </c>
      <c r="K5260" s="12"/>
      <c r="L5260" s="12"/>
      <c r="M5260" s="11" t="s">
        <v>20208</v>
      </c>
      <c r="N5260" s="5" t="s">
        <v>20209</v>
      </c>
      <c r="O5260" s="5" t="s">
        <v>13963</v>
      </c>
      <c r="P5260" s="15"/>
      <c r="Q5260" s="15"/>
      <c r="R5260" s="422"/>
      <c r="S5260" s="15"/>
      <c r="T5260" s="15"/>
      <c r="U5260" s="15"/>
      <c r="V5260" s="15"/>
      <c r="W5260" s="15"/>
      <c r="X5260" s="15"/>
      <c r="Y5260" s="15"/>
      <c r="Z5260" s="15"/>
      <c r="AA5260" s="15"/>
    </row>
    <row r="5261">
      <c r="A5261" s="453">
        <v>43892.0</v>
      </c>
      <c r="B5261" s="5" t="s">
        <v>20210</v>
      </c>
      <c r="C5261" s="40" t="s">
        <v>20211</v>
      </c>
      <c r="D5261" s="11"/>
      <c r="E5261" s="11" t="s">
        <v>38</v>
      </c>
      <c r="F5261" s="90">
        <v>5000.0</v>
      </c>
      <c r="G5261" s="321"/>
      <c r="H5261" s="11" t="s">
        <v>158</v>
      </c>
      <c r="I5261" s="276"/>
      <c r="J5261" s="11" t="s">
        <v>9814</v>
      </c>
      <c r="K5261" s="12"/>
      <c r="L5261" s="12"/>
      <c r="M5261" s="11" t="s">
        <v>19812</v>
      </c>
      <c r="N5261" s="5" t="s">
        <v>20212</v>
      </c>
      <c r="O5261" s="5" t="s">
        <v>564</v>
      </c>
      <c r="P5261" s="15"/>
      <c r="Q5261" s="15"/>
      <c r="R5261" s="422"/>
      <c r="S5261" s="15"/>
      <c r="T5261" s="15"/>
      <c r="U5261" s="15"/>
      <c r="V5261" s="15"/>
      <c r="W5261" s="15"/>
      <c r="X5261" s="15"/>
      <c r="Y5261" s="15"/>
      <c r="Z5261" s="15"/>
      <c r="AA5261" s="15"/>
    </row>
    <row r="5262">
      <c r="A5262" s="453">
        <v>43892.0</v>
      </c>
      <c r="B5262" s="5" t="s">
        <v>20213</v>
      </c>
      <c r="C5262" s="41" t="s">
        <v>20214</v>
      </c>
      <c r="D5262" s="11"/>
      <c r="E5262" s="11" t="s">
        <v>20215</v>
      </c>
      <c r="F5262" s="90">
        <v>100.0</v>
      </c>
      <c r="G5262" s="321"/>
      <c r="H5262" s="11" t="s">
        <v>184</v>
      </c>
      <c r="I5262" s="276"/>
      <c r="J5262" s="11" t="s">
        <v>9814</v>
      </c>
      <c r="K5262" s="13"/>
      <c r="L5262" s="13"/>
      <c r="M5262" s="14"/>
      <c r="N5262" s="15"/>
      <c r="O5262" s="5" t="s">
        <v>10708</v>
      </c>
      <c r="P5262" s="15"/>
      <c r="Q5262" s="15"/>
      <c r="R5262" s="422"/>
      <c r="S5262" s="15"/>
      <c r="T5262" s="15"/>
      <c r="U5262" s="15"/>
      <c r="V5262" s="15"/>
      <c r="W5262" s="15"/>
      <c r="X5262" s="15"/>
      <c r="Y5262" s="15"/>
      <c r="Z5262" s="15"/>
      <c r="AA5262" s="15"/>
    </row>
    <row r="5263">
      <c r="A5263" s="453">
        <v>43892.0</v>
      </c>
      <c r="B5263" s="5" t="s">
        <v>20216</v>
      </c>
      <c r="C5263" s="41" t="s">
        <v>20217</v>
      </c>
      <c r="D5263" s="11"/>
      <c r="E5263" s="11" t="s">
        <v>167</v>
      </c>
      <c r="F5263" s="90">
        <v>50.0</v>
      </c>
      <c r="G5263" s="321"/>
      <c r="H5263" s="11" t="s">
        <v>2662</v>
      </c>
      <c r="I5263" s="276"/>
      <c r="J5263" s="11" t="s">
        <v>18788</v>
      </c>
      <c r="K5263" s="12"/>
      <c r="L5263" s="12"/>
      <c r="M5263" s="11" t="s">
        <v>18985</v>
      </c>
      <c r="N5263" s="5" t="s">
        <v>20218</v>
      </c>
      <c r="O5263" s="5" t="s">
        <v>564</v>
      </c>
      <c r="P5263" s="15"/>
      <c r="Q5263" s="15"/>
      <c r="R5263" s="422"/>
      <c r="S5263" s="15"/>
      <c r="T5263" s="15"/>
      <c r="U5263" s="15"/>
      <c r="V5263" s="15"/>
      <c r="W5263" s="15"/>
      <c r="X5263" s="15"/>
      <c r="Y5263" s="15"/>
      <c r="Z5263" s="15"/>
      <c r="AA5263" s="15"/>
    </row>
    <row r="5264">
      <c r="A5264" s="453">
        <v>43892.0</v>
      </c>
      <c r="B5264" s="5" t="s">
        <v>20219</v>
      </c>
      <c r="C5264" s="41" t="s">
        <v>20220</v>
      </c>
      <c r="D5264" s="11"/>
      <c r="E5264" s="11" t="s">
        <v>152</v>
      </c>
      <c r="F5264" s="90">
        <v>1000.0</v>
      </c>
      <c r="G5264" s="321"/>
      <c r="H5264" s="11" t="s">
        <v>507</v>
      </c>
      <c r="I5264" s="276"/>
      <c r="J5264" s="11" t="s">
        <v>12745</v>
      </c>
      <c r="K5264" s="12"/>
      <c r="L5264" s="12"/>
      <c r="M5264" s="11" t="s">
        <v>9470</v>
      </c>
      <c r="N5264" s="5" t="s">
        <v>20221</v>
      </c>
      <c r="O5264" s="5" t="s">
        <v>564</v>
      </c>
      <c r="P5264" s="15"/>
      <c r="Q5264" s="15"/>
      <c r="R5264" s="422"/>
      <c r="S5264" s="15"/>
      <c r="T5264" s="15"/>
      <c r="U5264" s="15"/>
      <c r="V5264" s="15"/>
      <c r="W5264" s="15"/>
      <c r="X5264" s="15"/>
      <c r="Y5264" s="15"/>
      <c r="Z5264" s="15"/>
      <c r="AA5264" s="15"/>
    </row>
    <row r="5265">
      <c r="A5265" s="453">
        <v>43892.0</v>
      </c>
      <c r="B5265" s="5" t="s">
        <v>20222</v>
      </c>
      <c r="C5265" s="41" t="s">
        <v>9794</v>
      </c>
      <c r="D5265" s="11"/>
      <c r="E5265" s="11" t="s">
        <v>11939</v>
      </c>
      <c r="F5265" s="90">
        <v>100.0</v>
      </c>
      <c r="G5265" s="430"/>
      <c r="H5265" s="41" t="s">
        <v>13220</v>
      </c>
      <c r="I5265" s="276"/>
      <c r="J5265" s="11" t="s">
        <v>17976</v>
      </c>
      <c r="K5265" s="12"/>
      <c r="L5265" s="12"/>
      <c r="M5265" s="11" t="s">
        <v>20223</v>
      </c>
      <c r="N5265" s="5" t="s">
        <v>20224</v>
      </c>
      <c r="O5265" s="5" t="s">
        <v>10708</v>
      </c>
      <c r="P5265" s="15"/>
      <c r="Q5265" s="15"/>
      <c r="R5265" s="422"/>
      <c r="S5265" s="15"/>
      <c r="T5265" s="15"/>
      <c r="U5265" s="15"/>
      <c r="V5265" s="15"/>
      <c r="W5265" s="15"/>
      <c r="X5265" s="15"/>
      <c r="Y5265" s="15"/>
      <c r="Z5265" s="15"/>
      <c r="AA5265" s="15"/>
    </row>
    <row r="5266">
      <c r="A5266" s="453">
        <v>43892.0</v>
      </c>
      <c r="B5266" s="5" t="s">
        <v>20225</v>
      </c>
      <c r="C5266" s="41" t="s">
        <v>20226</v>
      </c>
      <c r="D5266" s="11"/>
      <c r="E5266" s="11" t="s">
        <v>152</v>
      </c>
      <c r="F5266" s="9">
        <v>40000.0</v>
      </c>
      <c r="G5266" s="321"/>
      <c r="H5266" s="11" t="s">
        <v>17883</v>
      </c>
      <c r="I5266" s="276"/>
      <c r="J5266" s="11" t="s">
        <v>9814</v>
      </c>
      <c r="K5266" s="12"/>
      <c r="L5266" s="12"/>
      <c r="M5266" s="11" t="s">
        <v>15852</v>
      </c>
      <c r="N5266" s="5" t="s">
        <v>20227</v>
      </c>
      <c r="O5266" s="5" t="s">
        <v>564</v>
      </c>
      <c r="P5266" s="15"/>
      <c r="Q5266" s="15"/>
      <c r="R5266" s="422"/>
      <c r="S5266" s="15"/>
      <c r="T5266" s="15"/>
      <c r="U5266" s="15"/>
      <c r="V5266" s="15"/>
      <c r="W5266" s="15"/>
      <c r="X5266" s="15"/>
      <c r="Y5266" s="15"/>
      <c r="Z5266" s="15"/>
      <c r="AA5266" s="15"/>
    </row>
    <row r="5267">
      <c r="A5267" s="431">
        <v>43892.0</v>
      </c>
      <c r="B5267" s="5" t="s">
        <v>20228</v>
      </c>
      <c r="C5267" s="40" t="s">
        <v>20229</v>
      </c>
      <c r="D5267" s="11"/>
      <c r="E5267" s="11" t="s">
        <v>20230</v>
      </c>
      <c r="F5267" s="90">
        <v>10.0</v>
      </c>
      <c r="G5267" s="321"/>
      <c r="H5267" s="11" t="s">
        <v>9266</v>
      </c>
      <c r="I5267" s="423"/>
      <c r="J5267" s="14"/>
      <c r="K5267" s="13"/>
      <c r="L5267" s="13"/>
      <c r="M5267" s="14"/>
      <c r="N5267" s="15"/>
      <c r="O5267" s="5" t="s">
        <v>19985</v>
      </c>
      <c r="P5267" s="15"/>
      <c r="Q5267" s="15"/>
      <c r="R5267" s="422"/>
      <c r="S5267" s="15"/>
      <c r="T5267" s="15"/>
      <c r="U5267" s="15"/>
      <c r="V5267" s="15"/>
      <c r="W5267" s="15"/>
      <c r="X5267" s="15"/>
      <c r="Y5267" s="15"/>
      <c r="Z5267" s="15"/>
      <c r="AA5267" s="15"/>
    </row>
    <row r="5268">
      <c r="A5268" s="431">
        <v>43892.0</v>
      </c>
      <c r="B5268" s="5" t="s">
        <v>20231</v>
      </c>
      <c r="C5268" s="40" t="s">
        <v>20232</v>
      </c>
      <c r="D5268" s="11"/>
      <c r="E5268" s="11" t="s">
        <v>20233</v>
      </c>
      <c r="F5268" s="433"/>
      <c r="G5268" s="434"/>
      <c r="H5268" s="14"/>
      <c r="I5268" s="423"/>
      <c r="J5268" s="14"/>
      <c r="K5268" s="13"/>
      <c r="L5268" s="13"/>
      <c r="M5268" s="14"/>
      <c r="N5268" s="15"/>
      <c r="O5268" s="15"/>
      <c r="P5268" s="15"/>
      <c r="Q5268" s="15"/>
      <c r="R5268" s="422"/>
      <c r="S5268" s="15"/>
      <c r="T5268" s="15"/>
      <c r="U5268" s="15"/>
      <c r="V5268" s="15"/>
      <c r="W5268" s="15"/>
      <c r="X5268" s="15"/>
      <c r="Y5268" s="15"/>
      <c r="Z5268" s="15"/>
      <c r="AA5268" s="15"/>
    </row>
    <row r="5269">
      <c r="A5269" s="431">
        <v>43832.0</v>
      </c>
      <c r="B5269" s="5" t="s">
        <v>20234</v>
      </c>
      <c r="C5269" s="40" t="s">
        <v>18048</v>
      </c>
      <c r="D5269" s="11"/>
      <c r="E5269" s="11" t="s">
        <v>5293</v>
      </c>
      <c r="F5269" s="90">
        <v>3.0</v>
      </c>
      <c r="G5269" s="321"/>
      <c r="H5269" s="11" t="s">
        <v>1461</v>
      </c>
      <c r="I5269" s="423"/>
      <c r="J5269" s="14"/>
      <c r="K5269" s="13"/>
      <c r="L5269" s="13"/>
      <c r="M5269" s="14"/>
      <c r="N5269" s="15"/>
      <c r="O5269" s="5" t="s">
        <v>19985</v>
      </c>
      <c r="P5269" s="15"/>
      <c r="Q5269" s="15"/>
      <c r="R5269" s="422"/>
      <c r="S5269" s="15"/>
      <c r="T5269" s="15"/>
      <c r="U5269" s="15"/>
      <c r="V5269" s="15"/>
      <c r="W5269" s="15"/>
      <c r="X5269" s="15"/>
      <c r="Y5269" s="15"/>
      <c r="Z5269" s="15"/>
      <c r="AA5269" s="15"/>
    </row>
    <row r="5270">
      <c r="A5270" s="431">
        <v>43832.0</v>
      </c>
      <c r="B5270" s="5" t="s">
        <v>20235</v>
      </c>
      <c r="C5270" s="41" t="s">
        <v>20236</v>
      </c>
      <c r="D5270" s="11"/>
      <c r="E5270" s="11" t="s">
        <v>222</v>
      </c>
      <c r="F5270" s="9">
        <v>25000.0</v>
      </c>
      <c r="G5270" s="321"/>
      <c r="H5270" s="11" t="s">
        <v>906</v>
      </c>
      <c r="I5270" s="276"/>
      <c r="J5270" s="11" t="s">
        <v>25</v>
      </c>
      <c r="K5270" s="12"/>
      <c r="L5270" s="12"/>
      <c r="M5270" s="11" t="s">
        <v>20237</v>
      </c>
      <c r="N5270" s="5" t="s">
        <v>20238</v>
      </c>
      <c r="O5270" s="5" t="s">
        <v>17993</v>
      </c>
      <c r="P5270" s="15"/>
      <c r="Q5270" s="15"/>
      <c r="R5270" s="422"/>
      <c r="S5270" s="15"/>
      <c r="T5270" s="15"/>
      <c r="U5270" s="15"/>
      <c r="V5270" s="15"/>
      <c r="W5270" s="15"/>
      <c r="X5270" s="15"/>
      <c r="Y5270" s="15"/>
      <c r="Z5270" s="15"/>
      <c r="AA5270" s="15"/>
    </row>
    <row r="5271">
      <c r="A5271" s="431">
        <v>43832.0</v>
      </c>
      <c r="B5271" s="5" t="s">
        <v>20239</v>
      </c>
      <c r="C5271" s="41" t="s">
        <v>20240</v>
      </c>
      <c r="D5271" s="11"/>
      <c r="E5271" s="11" t="s">
        <v>167</v>
      </c>
      <c r="F5271" s="90">
        <v>15.0</v>
      </c>
      <c r="G5271" s="321"/>
      <c r="H5271" s="11" t="s">
        <v>20241</v>
      </c>
      <c r="I5271" s="276"/>
      <c r="J5271" s="11" t="s">
        <v>18788</v>
      </c>
      <c r="K5271" s="13"/>
      <c r="L5271" s="13"/>
      <c r="M5271" s="14"/>
      <c r="N5271" s="15"/>
      <c r="O5271" s="5" t="s">
        <v>19985</v>
      </c>
      <c r="P5271" s="15"/>
      <c r="Q5271" s="15"/>
      <c r="R5271" s="422"/>
      <c r="S5271" s="15"/>
      <c r="T5271" s="15"/>
      <c r="U5271" s="15"/>
      <c r="V5271" s="15"/>
      <c r="W5271" s="15"/>
      <c r="X5271" s="15"/>
      <c r="Y5271" s="15"/>
      <c r="Z5271" s="15"/>
      <c r="AA5271" s="15"/>
    </row>
    <row r="5272">
      <c r="A5272" s="431">
        <v>43832.0</v>
      </c>
      <c r="B5272" s="5" t="s">
        <v>20242</v>
      </c>
      <c r="C5272" s="41" t="s">
        <v>20243</v>
      </c>
      <c r="D5272" s="11"/>
      <c r="E5272" s="11" t="s">
        <v>523</v>
      </c>
      <c r="F5272" s="90">
        <v>100.0</v>
      </c>
      <c r="G5272" s="321"/>
      <c r="H5272" s="11" t="s">
        <v>1337</v>
      </c>
      <c r="I5272" s="276"/>
      <c r="J5272" s="11" t="s">
        <v>25</v>
      </c>
      <c r="K5272" s="12"/>
      <c r="L5272" s="12"/>
      <c r="M5272" s="11" t="s">
        <v>14070</v>
      </c>
      <c r="N5272" s="5" t="s">
        <v>20244</v>
      </c>
      <c r="O5272" s="5" t="s">
        <v>564</v>
      </c>
      <c r="P5272" s="15"/>
      <c r="Q5272" s="15"/>
      <c r="R5272" s="422"/>
      <c r="S5272" s="15"/>
      <c r="T5272" s="15"/>
      <c r="U5272" s="15"/>
      <c r="V5272" s="15"/>
      <c r="W5272" s="15"/>
      <c r="X5272" s="15"/>
      <c r="Y5272" s="15"/>
      <c r="Z5272" s="15"/>
      <c r="AA5272" s="15"/>
    </row>
    <row r="5273">
      <c r="A5273" s="431">
        <v>43832.0</v>
      </c>
      <c r="B5273" s="5" t="s">
        <v>20245</v>
      </c>
      <c r="C5273" s="41" t="s">
        <v>1343</v>
      </c>
      <c r="D5273" s="11"/>
      <c r="E5273" s="11" t="s">
        <v>593</v>
      </c>
      <c r="F5273" s="9">
        <v>16000.0</v>
      </c>
      <c r="G5273" s="321"/>
      <c r="H5273" s="11" t="s">
        <v>44</v>
      </c>
      <c r="I5273" s="276"/>
      <c r="J5273" s="11" t="s">
        <v>17976</v>
      </c>
      <c r="K5273" s="12"/>
      <c r="L5273" s="12"/>
      <c r="M5273" s="11" t="s">
        <v>14514</v>
      </c>
      <c r="N5273" s="5" t="s">
        <v>20246</v>
      </c>
      <c r="O5273" s="5" t="s">
        <v>34</v>
      </c>
      <c r="P5273" s="15"/>
      <c r="Q5273" s="15"/>
      <c r="R5273" s="422"/>
      <c r="S5273" s="15"/>
      <c r="T5273" s="15"/>
      <c r="U5273" s="15"/>
      <c r="V5273" s="15"/>
      <c r="W5273" s="15"/>
      <c r="X5273" s="15"/>
      <c r="Y5273" s="15"/>
      <c r="Z5273" s="15"/>
      <c r="AA5273" s="15"/>
    </row>
    <row r="5274">
      <c r="A5274" s="431">
        <v>43832.0</v>
      </c>
      <c r="B5274" s="5" t="s">
        <v>20247</v>
      </c>
      <c r="C5274" s="41" t="s">
        <v>20248</v>
      </c>
      <c r="D5274" s="11"/>
      <c r="E5274" s="11" t="s">
        <v>2476</v>
      </c>
      <c r="F5274" s="90">
        <v>5000.0</v>
      </c>
      <c r="G5274" s="321"/>
      <c r="H5274" s="11" t="s">
        <v>44</v>
      </c>
      <c r="I5274" s="276"/>
      <c r="J5274" s="11" t="s">
        <v>20249</v>
      </c>
      <c r="K5274" s="12"/>
      <c r="L5274" s="12"/>
      <c r="M5274" s="11" t="s">
        <v>11891</v>
      </c>
      <c r="N5274" s="5" t="s">
        <v>20250</v>
      </c>
      <c r="O5274" s="5" t="s">
        <v>34</v>
      </c>
      <c r="P5274" s="15"/>
      <c r="Q5274" s="15"/>
      <c r="R5274" s="422"/>
      <c r="S5274" s="15"/>
      <c r="T5274" s="15"/>
      <c r="U5274" s="15"/>
      <c r="V5274" s="15"/>
      <c r="W5274" s="15"/>
      <c r="X5274" s="15"/>
      <c r="Y5274" s="15"/>
      <c r="Z5274" s="15"/>
      <c r="AA5274" s="15"/>
    </row>
    <row r="5275">
      <c r="A5275" s="431">
        <v>43832.0</v>
      </c>
      <c r="B5275" s="5" t="s">
        <v>20251</v>
      </c>
      <c r="C5275" s="41" t="s">
        <v>20252</v>
      </c>
      <c r="D5275" s="11"/>
      <c r="E5275" s="11" t="s">
        <v>116</v>
      </c>
      <c r="F5275" s="90">
        <v>1.0</v>
      </c>
      <c r="G5275" s="434"/>
      <c r="H5275" s="14"/>
      <c r="I5275" s="276"/>
      <c r="J5275" s="11" t="s">
        <v>19261</v>
      </c>
      <c r="K5275" s="13"/>
      <c r="L5275" s="13"/>
      <c r="M5275" s="14"/>
      <c r="N5275" s="15"/>
      <c r="O5275" s="5" t="s">
        <v>19985</v>
      </c>
      <c r="P5275" s="15"/>
      <c r="Q5275" s="15"/>
      <c r="R5275" s="422"/>
      <c r="S5275" s="15"/>
      <c r="T5275" s="15"/>
      <c r="U5275" s="15"/>
      <c r="V5275" s="15"/>
      <c r="W5275" s="15"/>
      <c r="X5275" s="15"/>
      <c r="Y5275" s="15"/>
      <c r="Z5275" s="15"/>
      <c r="AA5275" s="15"/>
    </row>
    <row r="5276">
      <c r="A5276" s="431">
        <v>43832.0</v>
      </c>
      <c r="B5276" s="5" t="s">
        <v>20253</v>
      </c>
      <c r="C5276" s="41" t="s">
        <v>20254</v>
      </c>
      <c r="D5276" s="11"/>
      <c r="E5276" s="11" t="s">
        <v>20255</v>
      </c>
      <c r="F5276" s="90">
        <v>0.5</v>
      </c>
      <c r="G5276" s="321"/>
      <c r="H5276" s="11" t="s">
        <v>906</v>
      </c>
      <c r="I5276" s="276"/>
      <c r="J5276" s="11" t="s">
        <v>14563</v>
      </c>
      <c r="K5276" s="13"/>
      <c r="L5276" s="13"/>
      <c r="M5276" s="14"/>
      <c r="N5276" s="15"/>
      <c r="O5276" s="5" t="s">
        <v>19985</v>
      </c>
      <c r="P5276" s="15"/>
      <c r="Q5276" s="15"/>
      <c r="R5276" s="422"/>
      <c r="S5276" s="15"/>
      <c r="T5276" s="15"/>
      <c r="U5276" s="15"/>
      <c r="V5276" s="15"/>
      <c r="W5276" s="15"/>
      <c r="X5276" s="15"/>
      <c r="Y5276" s="15"/>
      <c r="Z5276" s="15"/>
      <c r="AA5276" s="15"/>
    </row>
    <row r="5277">
      <c r="A5277" s="431">
        <v>43832.0</v>
      </c>
      <c r="B5277" s="5" t="s">
        <v>20256</v>
      </c>
      <c r="C5277" s="40" t="s">
        <v>20257</v>
      </c>
      <c r="D5277" s="11"/>
      <c r="E5277" s="11" t="s">
        <v>167</v>
      </c>
      <c r="F5277" s="90">
        <v>25.0</v>
      </c>
      <c r="G5277" s="321"/>
      <c r="H5277" s="11" t="s">
        <v>2662</v>
      </c>
      <c r="I5277" s="276"/>
      <c r="J5277" s="11" t="s">
        <v>18788</v>
      </c>
      <c r="K5277" s="13"/>
      <c r="L5277" s="13"/>
      <c r="M5277" s="14"/>
      <c r="N5277" s="15"/>
      <c r="O5277" s="5" t="s">
        <v>19985</v>
      </c>
      <c r="P5277" s="15"/>
      <c r="Q5277" s="15"/>
      <c r="R5277" s="422"/>
      <c r="S5277" s="15"/>
      <c r="T5277" s="15"/>
      <c r="U5277" s="15"/>
      <c r="V5277" s="15"/>
      <c r="W5277" s="15"/>
      <c r="X5277" s="15"/>
      <c r="Y5277" s="15"/>
      <c r="Z5277" s="15"/>
      <c r="AA5277" s="15"/>
    </row>
    <row r="5278">
      <c r="A5278" s="431">
        <v>43832.0</v>
      </c>
      <c r="B5278" s="5" t="s">
        <v>20258</v>
      </c>
      <c r="C5278" s="40" t="s">
        <v>20259</v>
      </c>
      <c r="D5278" s="11"/>
      <c r="E5278" s="11" t="s">
        <v>167</v>
      </c>
      <c r="F5278" s="90">
        <v>50.0</v>
      </c>
      <c r="G5278" s="321"/>
      <c r="H5278" s="11" t="s">
        <v>2682</v>
      </c>
      <c r="I5278" s="276"/>
      <c r="J5278" s="11" t="s">
        <v>14563</v>
      </c>
      <c r="K5278" s="12"/>
      <c r="L5278" s="12"/>
      <c r="M5278" s="11" t="s">
        <v>15725</v>
      </c>
      <c r="N5278" s="5" t="s">
        <v>20260</v>
      </c>
      <c r="O5278" s="5" t="s">
        <v>564</v>
      </c>
      <c r="P5278" s="15"/>
      <c r="Q5278" s="15"/>
      <c r="R5278" s="422"/>
      <c r="S5278" s="15"/>
      <c r="T5278" s="15"/>
      <c r="U5278" s="15"/>
      <c r="V5278" s="15"/>
      <c r="W5278" s="15"/>
      <c r="X5278" s="15"/>
      <c r="Y5278" s="15"/>
      <c r="Z5278" s="15"/>
      <c r="AA5278" s="15"/>
    </row>
    <row r="5279">
      <c r="A5279" s="431">
        <v>43832.0</v>
      </c>
      <c r="B5279" s="5" t="s">
        <v>20261</v>
      </c>
      <c r="C5279" s="41" t="s">
        <v>20262</v>
      </c>
      <c r="D5279" s="11"/>
      <c r="E5279" s="11" t="s">
        <v>5756</v>
      </c>
      <c r="F5279" s="90">
        <v>30.0</v>
      </c>
      <c r="G5279" s="321"/>
      <c r="H5279" s="11" t="s">
        <v>4717</v>
      </c>
      <c r="I5279" s="276"/>
      <c r="J5279" s="11" t="s">
        <v>20263</v>
      </c>
      <c r="K5279" s="13"/>
      <c r="L5279" s="13"/>
      <c r="M5279" s="14"/>
      <c r="N5279" s="15"/>
      <c r="O5279" s="5" t="s">
        <v>34</v>
      </c>
      <c r="P5279" s="15"/>
      <c r="Q5279" s="15"/>
      <c r="R5279" s="422"/>
      <c r="S5279" s="15"/>
      <c r="T5279" s="15"/>
      <c r="U5279" s="15"/>
      <c r="V5279" s="15"/>
      <c r="W5279" s="15"/>
      <c r="X5279" s="15"/>
      <c r="Y5279" s="15"/>
      <c r="Z5279" s="15"/>
      <c r="AA5279" s="15"/>
    </row>
    <row r="5280">
      <c r="A5280" s="431">
        <v>43832.0</v>
      </c>
      <c r="B5280" s="5" t="s">
        <v>20264</v>
      </c>
      <c r="C5280" s="41" t="s">
        <v>20265</v>
      </c>
      <c r="D5280" s="11"/>
      <c r="E5280" s="11" t="s">
        <v>20266</v>
      </c>
      <c r="F5280" s="433"/>
      <c r="G5280" s="434"/>
      <c r="H5280" s="14"/>
      <c r="I5280" s="423"/>
      <c r="J5280" s="14"/>
      <c r="K5280" s="13"/>
      <c r="L5280" s="13"/>
      <c r="M5280" s="14"/>
      <c r="N5280" s="15"/>
      <c r="O5280" s="15"/>
      <c r="P5280" s="15"/>
      <c r="Q5280" s="15"/>
      <c r="R5280" s="422"/>
      <c r="S5280" s="15"/>
      <c r="T5280" s="15"/>
      <c r="U5280" s="15"/>
      <c r="V5280" s="15"/>
      <c r="W5280" s="15"/>
      <c r="X5280" s="15"/>
      <c r="Y5280" s="15"/>
      <c r="Z5280" s="15"/>
      <c r="AA5280" s="15"/>
    </row>
    <row r="5281">
      <c r="A5281" s="431">
        <v>43832.0</v>
      </c>
      <c r="B5281" s="5" t="s">
        <v>20267</v>
      </c>
      <c r="C5281" s="41" t="s">
        <v>20268</v>
      </c>
      <c r="D5281" s="11"/>
      <c r="E5281" s="11" t="s">
        <v>1749</v>
      </c>
      <c r="F5281" s="90">
        <v>25.0</v>
      </c>
      <c r="G5281" s="321"/>
      <c r="H5281" s="11" t="s">
        <v>44</v>
      </c>
      <c r="I5281" s="423"/>
      <c r="J5281" s="14"/>
      <c r="K5281" s="12"/>
      <c r="L5281" s="12"/>
      <c r="M5281" s="11" t="s">
        <v>20269</v>
      </c>
      <c r="N5281" s="5" t="s">
        <v>20270</v>
      </c>
      <c r="O5281" s="5" t="s">
        <v>10708</v>
      </c>
      <c r="P5281" s="15"/>
      <c r="Q5281" s="15"/>
      <c r="R5281" s="422"/>
      <c r="S5281" s="15"/>
      <c r="T5281" s="15"/>
      <c r="U5281" s="15"/>
      <c r="V5281" s="15"/>
      <c r="W5281" s="15"/>
      <c r="X5281" s="15"/>
      <c r="Y5281" s="15"/>
      <c r="Z5281" s="15"/>
      <c r="AA5281" s="15"/>
    </row>
    <row r="5282">
      <c r="A5282" s="431">
        <v>43832.0</v>
      </c>
      <c r="B5282" s="5" t="s">
        <v>20271</v>
      </c>
      <c r="C5282" s="41" t="s">
        <v>20272</v>
      </c>
      <c r="D5282" s="11"/>
      <c r="E5282" s="11" t="s">
        <v>3391</v>
      </c>
      <c r="F5282" s="90">
        <v>500.0</v>
      </c>
      <c r="G5282" s="321"/>
      <c r="H5282" s="11" t="s">
        <v>17213</v>
      </c>
      <c r="I5282" s="276"/>
      <c r="J5282" s="11" t="s">
        <v>20273</v>
      </c>
      <c r="K5282" s="12"/>
      <c r="L5282" s="12"/>
      <c r="M5282" s="11" t="s">
        <v>20274</v>
      </c>
      <c r="N5282" s="5" t="s">
        <v>20275</v>
      </c>
      <c r="O5282" s="5" t="s">
        <v>13963</v>
      </c>
      <c r="P5282" s="15"/>
      <c r="Q5282" s="15"/>
      <c r="R5282" s="422"/>
      <c r="S5282" s="15"/>
      <c r="T5282" s="15"/>
      <c r="U5282" s="15"/>
      <c r="V5282" s="15"/>
      <c r="W5282" s="15"/>
      <c r="X5282" s="15"/>
      <c r="Y5282" s="15"/>
      <c r="Z5282" s="15"/>
      <c r="AA5282" s="15"/>
    </row>
    <row r="5283">
      <c r="A5283" s="431">
        <v>43832.0</v>
      </c>
      <c r="B5283" s="5" t="s">
        <v>20276</v>
      </c>
      <c r="C5283" s="40" t="s">
        <v>20277</v>
      </c>
      <c r="D5283" s="11"/>
      <c r="E5283" s="11" t="s">
        <v>20278</v>
      </c>
      <c r="F5283" s="90" t="s">
        <v>20279</v>
      </c>
      <c r="G5283" s="321"/>
      <c r="H5283" s="11" t="s">
        <v>19804</v>
      </c>
      <c r="I5283" s="276"/>
      <c r="J5283" s="11" t="s">
        <v>9874</v>
      </c>
      <c r="K5283" s="12"/>
      <c r="L5283" s="12"/>
      <c r="M5283" s="11" t="s">
        <v>20280</v>
      </c>
      <c r="N5283" s="5" t="s">
        <v>20281</v>
      </c>
      <c r="O5283" s="5" t="s">
        <v>10708</v>
      </c>
      <c r="P5283" s="15"/>
      <c r="Q5283" s="15"/>
      <c r="R5283" s="422"/>
      <c r="S5283" s="15"/>
      <c r="T5283" s="15"/>
      <c r="U5283" s="15"/>
      <c r="V5283" s="15"/>
      <c r="W5283" s="15"/>
      <c r="X5283" s="15"/>
      <c r="Y5283" s="15"/>
      <c r="Z5283" s="15"/>
      <c r="AA5283" s="15"/>
    </row>
    <row r="5284">
      <c r="A5284" s="431">
        <v>43832.0</v>
      </c>
      <c r="B5284" s="5" t="s">
        <v>20282</v>
      </c>
      <c r="C5284" s="41" t="s">
        <v>20283</v>
      </c>
      <c r="D5284" s="11"/>
      <c r="E5284" s="11" t="s">
        <v>147</v>
      </c>
      <c r="F5284" s="90" t="s">
        <v>20284</v>
      </c>
      <c r="G5284" s="321"/>
      <c r="H5284" s="11" t="s">
        <v>49</v>
      </c>
      <c r="I5284" s="276"/>
      <c r="J5284" s="11" t="s">
        <v>17976</v>
      </c>
      <c r="K5284" s="12"/>
      <c r="L5284" s="12"/>
      <c r="M5284" s="11" t="s">
        <v>9685</v>
      </c>
      <c r="N5284" s="5" t="s">
        <v>20285</v>
      </c>
      <c r="O5284" s="5" t="s">
        <v>1112</v>
      </c>
      <c r="P5284" s="15"/>
      <c r="Q5284" s="15"/>
      <c r="R5284" s="422"/>
      <c r="S5284" s="15"/>
      <c r="T5284" s="15"/>
      <c r="U5284" s="15"/>
      <c r="V5284" s="15"/>
      <c r="W5284" s="15"/>
      <c r="X5284" s="15"/>
      <c r="Y5284" s="15"/>
      <c r="Z5284" s="15"/>
      <c r="AA5284" s="15"/>
    </row>
    <row r="5285">
      <c r="A5285" s="431">
        <v>43832.0</v>
      </c>
      <c r="B5285" s="5" t="s">
        <v>20286</v>
      </c>
      <c r="C5285" s="41" t="s">
        <v>20287</v>
      </c>
      <c r="D5285" s="11"/>
      <c r="E5285" s="11" t="s">
        <v>20288</v>
      </c>
      <c r="F5285" s="433"/>
      <c r="G5285" s="321"/>
      <c r="H5285" s="11" t="s">
        <v>2662</v>
      </c>
      <c r="I5285" s="423"/>
      <c r="J5285" s="14"/>
      <c r="K5285" s="13"/>
      <c r="L5285" s="13"/>
      <c r="M5285" s="14"/>
      <c r="N5285" s="15"/>
      <c r="O5285" s="15"/>
      <c r="P5285" s="15"/>
      <c r="Q5285" s="15"/>
      <c r="R5285" s="422"/>
      <c r="S5285" s="15"/>
      <c r="T5285" s="15"/>
      <c r="U5285" s="15"/>
      <c r="V5285" s="15"/>
      <c r="W5285" s="15"/>
      <c r="X5285" s="15"/>
      <c r="Y5285" s="15"/>
      <c r="Z5285" s="15"/>
      <c r="AA5285" s="15"/>
    </row>
    <row r="5286">
      <c r="A5286" s="431">
        <v>43832.0</v>
      </c>
      <c r="B5286" s="5" t="s">
        <v>20289</v>
      </c>
      <c r="C5286" s="40" t="s">
        <v>20290</v>
      </c>
      <c r="D5286" s="11"/>
      <c r="E5286" s="11" t="s">
        <v>167</v>
      </c>
      <c r="F5286" s="90" t="s">
        <v>18673</v>
      </c>
      <c r="G5286" s="321"/>
      <c r="H5286" s="11" t="s">
        <v>930</v>
      </c>
      <c r="I5286" s="276"/>
      <c r="J5286" s="11" t="s">
        <v>18788</v>
      </c>
      <c r="K5286" s="12"/>
      <c r="L5286" s="12"/>
      <c r="M5286" s="11" t="s">
        <v>10721</v>
      </c>
      <c r="N5286" s="5" t="s">
        <v>20291</v>
      </c>
      <c r="O5286" s="5" t="s">
        <v>564</v>
      </c>
      <c r="P5286" s="15"/>
      <c r="Q5286" s="15"/>
      <c r="R5286" s="422"/>
      <c r="S5286" s="15"/>
      <c r="T5286" s="15"/>
      <c r="U5286" s="15"/>
      <c r="V5286" s="15"/>
      <c r="W5286" s="15"/>
      <c r="X5286" s="15"/>
      <c r="Y5286" s="15"/>
      <c r="Z5286" s="15"/>
      <c r="AA5286" s="15"/>
    </row>
    <row r="5287">
      <c r="A5287" s="431">
        <v>43832.0</v>
      </c>
      <c r="B5287" s="5" t="s">
        <v>20292</v>
      </c>
      <c r="C5287" s="40" t="s">
        <v>20293</v>
      </c>
      <c r="D5287" s="11"/>
      <c r="E5287" s="11" t="s">
        <v>167</v>
      </c>
      <c r="F5287" s="90" t="s">
        <v>20294</v>
      </c>
      <c r="G5287" s="321"/>
      <c r="H5287" s="11" t="s">
        <v>930</v>
      </c>
      <c r="I5287" s="276"/>
      <c r="J5287" s="11" t="s">
        <v>18788</v>
      </c>
      <c r="K5287" s="13"/>
      <c r="L5287" s="13"/>
      <c r="M5287" s="14"/>
      <c r="N5287" s="15"/>
      <c r="O5287" s="5" t="s">
        <v>19985</v>
      </c>
      <c r="P5287" s="15"/>
      <c r="Q5287" s="15"/>
      <c r="R5287" s="422"/>
      <c r="S5287" s="15"/>
      <c r="T5287" s="15"/>
      <c r="U5287" s="15"/>
      <c r="V5287" s="15"/>
      <c r="W5287" s="15"/>
      <c r="X5287" s="15"/>
      <c r="Y5287" s="15"/>
      <c r="Z5287" s="15"/>
      <c r="AA5287" s="15"/>
    </row>
    <row r="5288">
      <c r="A5288" s="431">
        <v>43832.0</v>
      </c>
      <c r="B5288" s="5" t="s">
        <v>20295</v>
      </c>
      <c r="C5288" s="41" t="s">
        <v>20296</v>
      </c>
      <c r="D5288" s="11"/>
      <c r="E5288" s="11" t="s">
        <v>20297</v>
      </c>
      <c r="F5288" s="433"/>
      <c r="G5288" s="434"/>
      <c r="H5288" s="14"/>
      <c r="I5288" s="423"/>
      <c r="J5288" s="14"/>
      <c r="K5288" s="13"/>
      <c r="L5288" s="13"/>
      <c r="M5288" s="14"/>
      <c r="N5288" s="15"/>
      <c r="O5288" s="15"/>
      <c r="P5288" s="15"/>
      <c r="Q5288" s="15"/>
      <c r="R5288" s="422"/>
      <c r="S5288" s="15"/>
      <c r="T5288" s="15"/>
      <c r="U5288" s="15"/>
      <c r="V5288" s="15"/>
      <c r="W5288" s="15"/>
      <c r="X5288" s="15"/>
      <c r="Y5288" s="15"/>
      <c r="Z5288" s="15"/>
      <c r="AA5288" s="15"/>
    </row>
    <row r="5289">
      <c r="A5289" s="431">
        <v>43832.0</v>
      </c>
      <c r="B5289" s="5" t="s">
        <v>20298</v>
      </c>
      <c r="C5289" s="424" t="s">
        <v>20299</v>
      </c>
      <c r="D5289" s="11"/>
      <c r="E5289" s="11" t="s">
        <v>3165</v>
      </c>
      <c r="F5289" s="90" t="s">
        <v>20300</v>
      </c>
      <c r="G5289" s="321"/>
      <c r="H5289" s="11" t="s">
        <v>1461</v>
      </c>
      <c r="I5289" s="276"/>
      <c r="J5289" s="11" t="s">
        <v>8773</v>
      </c>
      <c r="K5289" s="13"/>
      <c r="L5289" s="13"/>
      <c r="M5289" s="14"/>
      <c r="N5289" s="15"/>
      <c r="O5289" s="5" t="s">
        <v>10708</v>
      </c>
      <c r="P5289" s="15"/>
      <c r="Q5289" s="15"/>
      <c r="R5289" s="422"/>
      <c r="S5289" s="15"/>
      <c r="T5289" s="15"/>
      <c r="U5289" s="15"/>
      <c r="V5289" s="15"/>
      <c r="W5289" s="15"/>
      <c r="X5289" s="15"/>
      <c r="Y5289" s="15"/>
      <c r="Z5289" s="15"/>
      <c r="AA5289" s="15"/>
    </row>
    <row r="5290">
      <c r="A5290" s="431">
        <v>43832.0</v>
      </c>
      <c r="B5290" s="5" t="s">
        <v>20301</v>
      </c>
      <c r="C5290" s="41" t="s">
        <v>20302</v>
      </c>
      <c r="D5290" s="11"/>
      <c r="E5290" s="11" t="s">
        <v>344</v>
      </c>
      <c r="F5290" s="90" t="s">
        <v>20303</v>
      </c>
      <c r="G5290" s="321"/>
      <c r="H5290" s="11" t="s">
        <v>906</v>
      </c>
      <c r="I5290" s="276"/>
      <c r="J5290" s="11" t="s">
        <v>17976</v>
      </c>
      <c r="K5290" s="12"/>
      <c r="L5290" s="12"/>
      <c r="M5290" s="11" t="s">
        <v>20304</v>
      </c>
      <c r="N5290" s="5" t="s">
        <v>20305</v>
      </c>
      <c r="O5290" s="5" t="s">
        <v>13963</v>
      </c>
      <c r="P5290" s="15"/>
      <c r="Q5290" s="15"/>
      <c r="R5290" s="422"/>
      <c r="S5290" s="15"/>
      <c r="T5290" s="15"/>
      <c r="U5290" s="15"/>
      <c r="V5290" s="15"/>
      <c r="W5290" s="15"/>
      <c r="X5290" s="15"/>
      <c r="Y5290" s="15"/>
      <c r="Z5290" s="15"/>
      <c r="AA5290" s="15"/>
    </row>
    <row r="5291">
      <c r="A5291" s="431">
        <v>43832.0</v>
      </c>
      <c r="B5291" s="5" t="s">
        <v>20306</v>
      </c>
      <c r="C5291" s="40" t="s">
        <v>20307</v>
      </c>
      <c r="D5291" s="11"/>
      <c r="E5291" s="11" t="s">
        <v>20308</v>
      </c>
      <c r="F5291" s="433"/>
      <c r="G5291" s="434"/>
      <c r="H5291" s="14"/>
      <c r="I5291" s="423"/>
      <c r="J5291" s="14"/>
      <c r="K5291" s="13"/>
      <c r="L5291" s="13"/>
      <c r="M5291" s="14"/>
      <c r="N5291" s="15"/>
      <c r="O5291" s="15"/>
      <c r="P5291" s="15"/>
      <c r="Q5291" s="15"/>
      <c r="R5291" s="422"/>
      <c r="S5291" s="15"/>
      <c r="T5291" s="15"/>
      <c r="U5291" s="15"/>
      <c r="V5291" s="15"/>
      <c r="W5291" s="15"/>
      <c r="X5291" s="15"/>
      <c r="Y5291" s="15"/>
      <c r="Z5291" s="15"/>
      <c r="AA5291" s="15"/>
    </row>
    <row r="5292">
      <c r="A5292" s="431">
        <v>43832.0</v>
      </c>
      <c r="B5292" s="5" t="s">
        <v>20309</v>
      </c>
      <c r="C5292" s="40" t="s">
        <v>20310</v>
      </c>
      <c r="D5292" s="11"/>
      <c r="E5292" s="11" t="s">
        <v>19971</v>
      </c>
      <c r="F5292" s="433"/>
      <c r="G5292" s="434"/>
      <c r="H5292" s="14"/>
      <c r="I5292" s="423"/>
      <c r="J5292" s="14"/>
      <c r="K5292" s="13"/>
      <c r="L5292" s="13"/>
      <c r="M5292" s="14"/>
      <c r="N5292" s="15"/>
      <c r="O5292" s="15"/>
      <c r="P5292" s="15"/>
      <c r="Q5292" s="15"/>
      <c r="R5292" s="422"/>
      <c r="S5292" s="15"/>
      <c r="T5292" s="15"/>
      <c r="U5292" s="15"/>
      <c r="V5292" s="15"/>
      <c r="W5292" s="15"/>
      <c r="X5292" s="15"/>
      <c r="Y5292" s="15"/>
      <c r="Z5292" s="15"/>
      <c r="AA5292" s="15"/>
    </row>
    <row r="5293">
      <c r="A5293" s="431">
        <v>43832.0</v>
      </c>
      <c r="B5293" s="5" t="s">
        <v>20311</v>
      </c>
      <c r="C5293" s="40" t="s">
        <v>20312</v>
      </c>
      <c r="D5293" s="11"/>
      <c r="E5293" s="11" t="s">
        <v>11808</v>
      </c>
      <c r="F5293" s="90" t="s">
        <v>20313</v>
      </c>
      <c r="G5293" s="321"/>
      <c r="H5293" s="11" t="s">
        <v>930</v>
      </c>
      <c r="I5293" s="276"/>
      <c r="J5293" s="11" t="s">
        <v>19137</v>
      </c>
      <c r="K5293" s="12"/>
      <c r="L5293" s="12"/>
      <c r="M5293" s="11" t="s">
        <v>20314</v>
      </c>
      <c r="N5293" s="5" t="s">
        <v>20315</v>
      </c>
      <c r="O5293" s="5" t="s">
        <v>564</v>
      </c>
      <c r="P5293" s="15"/>
      <c r="Q5293" s="15"/>
      <c r="R5293" s="422"/>
      <c r="S5293" s="15"/>
      <c r="T5293" s="15"/>
      <c r="U5293" s="15"/>
      <c r="V5293" s="15"/>
      <c r="W5293" s="15"/>
      <c r="X5293" s="15"/>
      <c r="Y5293" s="15"/>
      <c r="Z5293" s="15"/>
      <c r="AA5293" s="15"/>
    </row>
    <row r="5294">
      <c r="A5294" s="431">
        <v>43832.0</v>
      </c>
      <c r="B5294" s="5" t="s">
        <v>20316</v>
      </c>
      <c r="C5294" s="41" t="s">
        <v>20317</v>
      </c>
      <c r="D5294" s="11"/>
      <c r="E5294" s="11" t="s">
        <v>14677</v>
      </c>
      <c r="F5294" s="90" t="s">
        <v>20318</v>
      </c>
      <c r="G5294" s="321"/>
      <c r="H5294" s="11" t="s">
        <v>268</v>
      </c>
      <c r="I5294" s="276"/>
      <c r="J5294" s="11" t="s">
        <v>7109</v>
      </c>
      <c r="K5294" s="12"/>
      <c r="L5294" s="12"/>
      <c r="M5294" s="11" t="s">
        <v>10362</v>
      </c>
      <c r="N5294" s="5" t="s">
        <v>20319</v>
      </c>
      <c r="O5294" s="5" t="s">
        <v>10708</v>
      </c>
      <c r="P5294" s="15"/>
      <c r="Q5294" s="15"/>
      <c r="R5294" s="422"/>
      <c r="S5294" s="15"/>
      <c r="T5294" s="15"/>
      <c r="U5294" s="15"/>
      <c r="V5294" s="15"/>
      <c r="W5294" s="15"/>
      <c r="X5294" s="15"/>
      <c r="Y5294" s="15"/>
      <c r="Z5294" s="15"/>
      <c r="AA5294" s="15"/>
    </row>
    <row r="5295">
      <c r="A5295" s="431">
        <v>43832.0</v>
      </c>
      <c r="B5295" s="5" t="s">
        <v>20320</v>
      </c>
      <c r="C5295" s="41" t="s">
        <v>20321</v>
      </c>
      <c r="D5295" s="11"/>
      <c r="E5295" s="11" t="s">
        <v>523</v>
      </c>
      <c r="F5295" s="90" t="s">
        <v>20322</v>
      </c>
      <c r="G5295" s="321"/>
      <c r="H5295" s="11" t="s">
        <v>590</v>
      </c>
      <c r="I5295" s="276"/>
      <c r="J5295" s="11" t="s">
        <v>17976</v>
      </c>
      <c r="K5295" s="12"/>
      <c r="L5295" s="12"/>
      <c r="M5295" s="11" t="s">
        <v>20323</v>
      </c>
      <c r="N5295" s="5" t="s">
        <v>20324</v>
      </c>
      <c r="O5295" s="5" t="s">
        <v>564</v>
      </c>
      <c r="P5295" s="15"/>
      <c r="Q5295" s="15"/>
      <c r="R5295" s="422"/>
      <c r="S5295" s="15"/>
      <c r="T5295" s="15"/>
      <c r="U5295" s="15"/>
      <c r="V5295" s="15"/>
      <c r="W5295" s="15"/>
      <c r="X5295" s="15"/>
      <c r="Y5295" s="15"/>
      <c r="Z5295" s="15"/>
      <c r="AA5295" s="15"/>
    </row>
    <row r="5296">
      <c r="A5296" s="15" t="s">
        <v>20325</v>
      </c>
      <c r="B5296" s="15" t="s">
        <v>20326</v>
      </c>
      <c r="C5296" s="432" t="s">
        <v>20327</v>
      </c>
      <c r="D5296" s="14"/>
      <c r="E5296" s="14" t="s">
        <v>20328</v>
      </c>
      <c r="F5296" s="433" t="s">
        <v>20329</v>
      </c>
      <c r="G5296" s="434"/>
      <c r="H5296" s="14" t="s">
        <v>20330</v>
      </c>
      <c r="I5296" s="423"/>
      <c r="J5296" s="14" t="s">
        <v>20331</v>
      </c>
      <c r="K5296" s="13"/>
      <c r="L5296" s="13"/>
      <c r="M5296" s="14"/>
      <c r="N5296" s="15"/>
      <c r="O5296" s="15" t="s">
        <v>19985</v>
      </c>
      <c r="P5296" s="15"/>
      <c r="Q5296" s="15"/>
      <c r="R5296" s="422"/>
      <c r="S5296" s="15"/>
      <c r="T5296" s="15"/>
      <c r="U5296" s="15"/>
      <c r="V5296" s="15"/>
      <c r="W5296" s="15"/>
      <c r="X5296" s="15"/>
      <c r="Y5296" s="15"/>
      <c r="Z5296" s="15"/>
      <c r="AA5296" s="15"/>
    </row>
    <row r="5297">
      <c r="A5297" s="15" t="s">
        <v>20325</v>
      </c>
      <c r="B5297" s="15" t="s">
        <v>20332</v>
      </c>
      <c r="C5297" s="454" t="s">
        <v>20333</v>
      </c>
      <c r="D5297" s="14"/>
      <c r="E5297" s="14" t="s">
        <v>147</v>
      </c>
      <c r="F5297" s="433" t="s">
        <v>20334</v>
      </c>
      <c r="G5297" s="434"/>
      <c r="H5297" s="14" t="s">
        <v>20335</v>
      </c>
      <c r="I5297" s="423"/>
      <c r="J5297" s="14" t="s">
        <v>17976</v>
      </c>
      <c r="K5297" s="13"/>
      <c r="L5297" s="13"/>
      <c r="M5297" s="14" t="s">
        <v>20336</v>
      </c>
      <c r="N5297" s="15" t="s">
        <v>20337</v>
      </c>
      <c r="O5297" s="15" t="s">
        <v>564</v>
      </c>
      <c r="P5297" s="15"/>
      <c r="Q5297" s="15"/>
      <c r="R5297" s="422"/>
      <c r="S5297" s="15"/>
      <c r="T5297" s="15"/>
      <c r="U5297" s="15"/>
      <c r="V5297" s="15"/>
      <c r="W5297" s="15"/>
      <c r="X5297" s="15"/>
      <c r="Y5297" s="15"/>
      <c r="Z5297" s="15"/>
      <c r="AA5297" s="15"/>
    </row>
    <row r="5298">
      <c r="A5298" s="455" t="s">
        <v>20325</v>
      </c>
      <c r="B5298" s="455" t="s">
        <v>20338</v>
      </c>
      <c r="C5298" s="456" t="s">
        <v>20339</v>
      </c>
      <c r="D5298" s="456"/>
      <c r="E5298" s="456" t="s">
        <v>2476</v>
      </c>
      <c r="F5298" s="457" t="s">
        <v>20340</v>
      </c>
      <c r="G5298" s="458"/>
      <c r="H5298" s="456" t="s">
        <v>20341</v>
      </c>
      <c r="I5298" s="459"/>
      <c r="J5298" s="456" t="s">
        <v>20342</v>
      </c>
      <c r="K5298" s="460"/>
      <c r="L5298" s="460"/>
      <c r="M5298" s="456" t="s">
        <v>20343</v>
      </c>
      <c r="N5298" s="455" t="s">
        <v>20344</v>
      </c>
      <c r="O5298" s="455" t="s">
        <v>34</v>
      </c>
      <c r="P5298" s="455"/>
      <c r="Q5298" s="455"/>
      <c r="R5298" s="461"/>
      <c r="S5298" s="455"/>
      <c r="T5298" s="455"/>
      <c r="U5298" s="455"/>
      <c r="V5298" s="455"/>
      <c r="W5298" s="455"/>
      <c r="X5298" s="455"/>
      <c r="Y5298" s="455"/>
      <c r="Z5298" s="455"/>
      <c r="AA5298" s="455"/>
    </row>
    <row r="5299">
      <c r="A5299" s="15" t="s">
        <v>20325</v>
      </c>
      <c r="B5299" s="15" t="s">
        <v>20345</v>
      </c>
      <c r="C5299" s="454" t="s">
        <v>20346</v>
      </c>
      <c r="D5299" s="462"/>
      <c r="E5299" s="462" t="s">
        <v>20347</v>
      </c>
      <c r="F5299" s="433" t="s">
        <v>20348</v>
      </c>
      <c r="G5299" s="463"/>
      <c r="H5299" s="432" t="s">
        <v>20349</v>
      </c>
      <c r="I5299" s="423"/>
      <c r="J5299" s="14" t="s">
        <v>17976</v>
      </c>
      <c r="K5299" s="13"/>
      <c r="L5299" s="13"/>
      <c r="M5299" s="14" t="s">
        <v>20350</v>
      </c>
      <c r="N5299" s="15" t="s">
        <v>20351</v>
      </c>
      <c r="O5299" s="15" t="s">
        <v>564</v>
      </c>
      <c r="P5299" s="15"/>
      <c r="Q5299" s="15"/>
      <c r="R5299" s="422"/>
      <c r="S5299" s="15"/>
      <c r="T5299" s="15"/>
      <c r="U5299" s="15"/>
      <c r="V5299" s="15"/>
      <c r="W5299" s="15"/>
      <c r="X5299" s="15"/>
      <c r="Y5299" s="15"/>
      <c r="Z5299" s="15"/>
      <c r="AA5299" s="15"/>
    </row>
    <row r="5300">
      <c r="A5300" s="15" t="s">
        <v>20325</v>
      </c>
      <c r="B5300" s="15" t="s">
        <v>20352</v>
      </c>
      <c r="C5300" s="432" t="s">
        <v>20353</v>
      </c>
      <c r="D5300" s="14"/>
      <c r="E5300" s="14" t="s">
        <v>1749</v>
      </c>
      <c r="F5300" s="433" t="s">
        <v>20354</v>
      </c>
      <c r="G5300" s="463"/>
      <c r="H5300" s="432" t="s">
        <v>20355</v>
      </c>
      <c r="I5300" s="423"/>
      <c r="J5300" s="14" t="s">
        <v>25</v>
      </c>
      <c r="K5300" s="13"/>
      <c r="L5300" s="13"/>
      <c r="M5300" s="14" t="s">
        <v>20356</v>
      </c>
      <c r="N5300" s="15" t="s">
        <v>20357</v>
      </c>
      <c r="O5300" s="15" t="s">
        <v>13963</v>
      </c>
      <c r="P5300" s="15"/>
      <c r="Q5300" s="15"/>
      <c r="R5300" s="422"/>
      <c r="S5300" s="15"/>
      <c r="T5300" s="15"/>
      <c r="U5300" s="15"/>
      <c r="V5300" s="15"/>
      <c r="W5300" s="15"/>
      <c r="X5300" s="15"/>
      <c r="Y5300" s="15"/>
      <c r="Z5300" s="15"/>
      <c r="AA5300" s="15"/>
    </row>
    <row r="5301">
      <c r="A5301" s="15" t="s">
        <v>20325</v>
      </c>
      <c r="B5301" s="15" t="s">
        <v>20358</v>
      </c>
      <c r="C5301" s="454" t="s">
        <v>20359</v>
      </c>
      <c r="D5301" s="14"/>
      <c r="E5301" s="14" t="s">
        <v>130</v>
      </c>
      <c r="F5301" s="433" t="s">
        <v>20340</v>
      </c>
      <c r="G5301" s="434"/>
      <c r="H5301" s="14" t="s">
        <v>20360</v>
      </c>
      <c r="I5301" s="423"/>
      <c r="J5301" s="14" t="s">
        <v>17976</v>
      </c>
      <c r="K5301" s="13"/>
      <c r="L5301" s="13"/>
      <c r="M5301" s="14" t="s">
        <v>7904</v>
      </c>
      <c r="N5301" s="15" t="s">
        <v>20361</v>
      </c>
      <c r="O5301" s="15" t="s">
        <v>564</v>
      </c>
      <c r="P5301" s="15"/>
      <c r="Q5301" s="15"/>
      <c r="R5301" s="422"/>
      <c r="S5301" s="15"/>
      <c r="T5301" s="15"/>
      <c r="U5301" s="15"/>
      <c r="V5301" s="15"/>
      <c r="W5301" s="15"/>
      <c r="X5301" s="15"/>
      <c r="Y5301" s="15"/>
      <c r="Z5301" s="15"/>
      <c r="AA5301" s="15"/>
    </row>
    <row r="5302">
      <c r="A5302" s="15" t="s">
        <v>20325</v>
      </c>
      <c r="B5302" s="15" t="s">
        <v>20362</v>
      </c>
      <c r="C5302" s="432" t="s">
        <v>20363</v>
      </c>
      <c r="D5302" s="14"/>
      <c r="E5302" s="14" t="s">
        <v>5293</v>
      </c>
      <c r="F5302" s="433" t="s">
        <v>20340</v>
      </c>
      <c r="G5302" s="463"/>
      <c r="H5302" s="432" t="s">
        <v>20364</v>
      </c>
      <c r="I5302" s="423"/>
      <c r="J5302" s="14" t="s">
        <v>20365</v>
      </c>
      <c r="K5302" s="13"/>
      <c r="L5302" s="13"/>
      <c r="M5302" s="14" t="s">
        <v>20366</v>
      </c>
      <c r="N5302" s="15" t="s">
        <v>20367</v>
      </c>
      <c r="O5302" s="15" t="s">
        <v>34</v>
      </c>
      <c r="P5302" s="15"/>
      <c r="Q5302" s="15"/>
      <c r="R5302" s="422"/>
      <c r="S5302" s="15"/>
      <c r="T5302" s="15"/>
      <c r="U5302" s="15"/>
      <c r="V5302" s="15"/>
      <c r="W5302" s="15"/>
      <c r="X5302" s="15"/>
      <c r="Y5302" s="15"/>
      <c r="Z5302" s="15"/>
      <c r="AA5302" s="15"/>
    </row>
    <row r="5303">
      <c r="A5303" s="15" t="s">
        <v>20325</v>
      </c>
      <c r="B5303" s="15" t="s">
        <v>20368</v>
      </c>
      <c r="C5303" s="454" t="s">
        <v>20369</v>
      </c>
      <c r="D5303" s="14"/>
      <c r="E5303" s="14" t="s">
        <v>20370</v>
      </c>
      <c r="F5303" s="433" t="s">
        <v>20303</v>
      </c>
      <c r="G5303" s="463"/>
      <c r="H5303" s="432" t="s">
        <v>20371</v>
      </c>
      <c r="I5303" s="423"/>
      <c r="J5303" s="14" t="s">
        <v>17976</v>
      </c>
      <c r="K5303" s="12"/>
      <c r="L5303" s="12"/>
      <c r="M5303" s="11" t="s">
        <v>9177</v>
      </c>
      <c r="N5303" s="5" t="s">
        <v>20372</v>
      </c>
      <c r="O5303" s="15" t="s">
        <v>564</v>
      </c>
      <c r="P5303" s="15"/>
      <c r="Q5303" s="15"/>
      <c r="R5303" s="422"/>
      <c r="S5303" s="15"/>
      <c r="T5303" s="15"/>
      <c r="U5303" s="15"/>
      <c r="V5303" s="15"/>
      <c r="W5303" s="15"/>
      <c r="X5303" s="15"/>
      <c r="Y5303" s="15"/>
      <c r="Z5303" s="15"/>
      <c r="AA5303" s="15"/>
    </row>
    <row r="5304">
      <c r="A5304" s="15" t="s">
        <v>20325</v>
      </c>
      <c r="B5304" s="15" t="s">
        <v>20373</v>
      </c>
      <c r="C5304" s="432" t="s">
        <v>20374</v>
      </c>
      <c r="D5304" s="14"/>
      <c r="E5304" s="14" t="s">
        <v>167</v>
      </c>
      <c r="F5304" s="433" t="s">
        <v>20375</v>
      </c>
      <c r="G5304" s="463"/>
      <c r="H5304" s="432" t="s">
        <v>20376</v>
      </c>
      <c r="I5304" s="423"/>
      <c r="J5304" s="14" t="s">
        <v>20151</v>
      </c>
      <c r="K5304" s="13"/>
      <c r="L5304" s="13"/>
      <c r="M5304" s="14" t="s">
        <v>20377</v>
      </c>
      <c r="N5304" s="15" t="s">
        <v>20378</v>
      </c>
      <c r="O5304" s="15" t="s">
        <v>19985</v>
      </c>
      <c r="P5304" s="15"/>
      <c r="Q5304" s="15"/>
      <c r="R5304" s="422"/>
      <c r="S5304" s="15"/>
      <c r="T5304" s="15"/>
      <c r="U5304" s="15"/>
      <c r="V5304" s="15"/>
      <c r="W5304" s="15"/>
      <c r="X5304" s="15"/>
      <c r="Y5304" s="15"/>
      <c r="Z5304" s="15"/>
      <c r="AA5304" s="15"/>
    </row>
    <row r="5305">
      <c r="A5305" s="15" t="s">
        <v>20325</v>
      </c>
      <c r="B5305" s="15" t="s">
        <v>20379</v>
      </c>
      <c r="C5305" s="432" t="s">
        <v>20380</v>
      </c>
      <c r="D5305" s="14"/>
      <c r="E5305" s="14" t="s">
        <v>3165</v>
      </c>
      <c r="F5305" s="433" t="s">
        <v>20381</v>
      </c>
      <c r="G5305" s="434"/>
      <c r="H5305" s="14" t="s">
        <v>278</v>
      </c>
      <c r="I5305" s="423"/>
      <c r="J5305" s="14" t="s">
        <v>19643</v>
      </c>
      <c r="K5305" s="12"/>
      <c r="L5305" s="12"/>
      <c r="M5305" s="11" t="s">
        <v>20382</v>
      </c>
      <c r="N5305" s="5" t="s">
        <v>20383</v>
      </c>
      <c r="O5305" s="15" t="s">
        <v>10708</v>
      </c>
      <c r="P5305" s="15"/>
      <c r="Q5305" s="15"/>
      <c r="R5305" s="422"/>
      <c r="S5305" s="15"/>
      <c r="T5305" s="15"/>
      <c r="U5305" s="15"/>
      <c r="V5305" s="15"/>
      <c r="W5305" s="15"/>
      <c r="X5305" s="15"/>
      <c r="Y5305" s="15"/>
      <c r="Z5305" s="15"/>
      <c r="AA5305" s="15"/>
    </row>
    <row r="5306">
      <c r="A5306" s="15" t="s">
        <v>20325</v>
      </c>
      <c r="B5306" s="15" t="s">
        <v>20384</v>
      </c>
      <c r="C5306" s="454" t="s">
        <v>4098</v>
      </c>
      <c r="D5306" s="14"/>
      <c r="E5306" s="14" t="s">
        <v>20385</v>
      </c>
      <c r="F5306" s="433" t="s">
        <v>20284</v>
      </c>
      <c r="G5306" s="434"/>
      <c r="H5306" s="14" t="s">
        <v>184</v>
      </c>
      <c r="I5306" s="423"/>
      <c r="J5306" s="14"/>
      <c r="K5306" s="13"/>
      <c r="L5306" s="13"/>
      <c r="M5306" s="14" t="s">
        <v>20386</v>
      </c>
      <c r="N5306" s="15" t="s">
        <v>20387</v>
      </c>
      <c r="O5306" s="15" t="s">
        <v>564</v>
      </c>
      <c r="P5306" s="15"/>
      <c r="Q5306" s="15"/>
      <c r="R5306" s="422"/>
      <c r="S5306" s="15"/>
      <c r="T5306" s="15"/>
      <c r="U5306" s="15"/>
      <c r="V5306" s="15"/>
      <c r="W5306" s="15"/>
      <c r="X5306" s="15"/>
      <c r="Y5306" s="15"/>
      <c r="Z5306" s="15"/>
      <c r="AA5306" s="15"/>
    </row>
    <row r="5307">
      <c r="A5307" s="15" t="s">
        <v>20325</v>
      </c>
      <c r="B5307" s="15" t="s">
        <v>20388</v>
      </c>
      <c r="C5307" s="432" t="s">
        <v>20389</v>
      </c>
      <c r="D5307" s="14"/>
      <c r="E5307" s="14" t="s">
        <v>1285</v>
      </c>
      <c r="F5307" s="433" t="s">
        <v>20348</v>
      </c>
      <c r="G5307" s="463"/>
      <c r="H5307" s="432" t="s">
        <v>13356</v>
      </c>
      <c r="I5307" s="423"/>
      <c r="J5307" s="14" t="s">
        <v>17976</v>
      </c>
      <c r="K5307" s="13"/>
      <c r="L5307" s="13"/>
      <c r="M5307" s="14"/>
      <c r="N5307" s="15"/>
      <c r="O5307" s="15" t="s">
        <v>564</v>
      </c>
      <c r="P5307" s="15"/>
      <c r="Q5307" s="15"/>
      <c r="R5307" s="422"/>
      <c r="S5307" s="15"/>
      <c r="T5307" s="15"/>
      <c r="U5307" s="15"/>
      <c r="V5307" s="15"/>
      <c r="W5307" s="15"/>
      <c r="X5307" s="15"/>
      <c r="Y5307" s="15"/>
      <c r="Z5307" s="15"/>
      <c r="AA5307" s="15"/>
    </row>
    <row r="5308">
      <c r="A5308" s="15" t="s">
        <v>20325</v>
      </c>
      <c r="B5308" s="15" t="s">
        <v>20390</v>
      </c>
      <c r="C5308" s="432" t="s">
        <v>20391</v>
      </c>
      <c r="D5308" s="14"/>
      <c r="E5308" s="14" t="s">
        <v>167</v>
      </c>
      <c r="F5308" s="433" t="s">
        <v>20392</v>
      </c>
      <c r="G5308" s="463"/>
      <c r="H5308" s="432" t="s">
        <v>20393</v>
      </c>
      <c r="I5308" s="423"/>
      <c r="J5308" s="14" t="s">
        <v>18788</v>
      </c>
      <c r="K5308" s="13"/>
      <c r="L5308" s="13"/>
      <c r="M5308" s="14" t="s">
        <v>20394</v>
      </c>
      <c r="N5308" s="15" t="s">
        <v>20395</v>
      </c>
      <c r="O5308" s="15" t="s">
        <v>564</v>
      </c>
      <c r="P5308" s="15"/>
      <c r="Q5308" s="15"/>
      <c r="R5308" s="422"/>
      <c r="S5308" s="15"/>
      <c r="T5308" s="15"/>
      <c r="U5308" s="15"/>
      <c r="V5308" s="15"/>
      <c r="W5308" s="15"/>
      <c r="X5308" s="15"/>
      <c r="Y5308" s="15"/>
      <c r="Z5308" s="15"/>
      <c r="AA5308" s="15"/>
    </row>
    <row r="5309">
      <c r="A5309" s="15" t="s">
        <v>20325</v>
      </c>
      <c r="B5309" s="15" t="s">
        <v>20396</v>
      </c>
      <c r="C5309" s="432" t="s">
        <v>20397</v>
      </c>
      <c r="D5309" s="14"/>
      <c r="E5309" s="14" t="s">
        <v>92</v>
      </c>
      <c r="F5309" s="433" t="s">
        <v>20398</v>
      </c>
      <c r="G5309" s="434"/>
      <c r="H5309" s="14" t="s">
        <v>507</v>
      </c>
      <c r="I5309" s="423"/>
      <c r="J5309" s="14" t="s">
        <v>9536</v>
      </c>
      <c r="K5309" s="13"/>
      <c r="L5309" s="13"/>
      <c r="M5309" s="14"/>
      <c r="N5309" s="15"/>
      <c r="O5309" s="15" t="s">
        <v>19985</v>
      </c>
      <c r="P5309" s="15"/>
      <c r="Q5309" s="15"/>
      <c r="R5309" s="422"/>
      <c r="S5309" s="15"/>
      <c r="T5309" s="15"/>
      <c r="U5309" s="15"/>
      <c r="V5309" s="15"/>
      <c r="W5309" s="15"/>
      <c r="X5309" s="15"/>
      <c r="Y5309" s="15"/>
      <c r="Z5309" s="15"/>
      <c r="AA5309" s="15"/>
    </row>
    <row r="5310">
      <c r="A5310" s="15" t="s">
        <v>20325</v>
      </c>
      <c r="B5310" s="15" t="s">
        <v>20399</v>
      </c>
      <c r="C5310" s="464" t="s">
        <v>3974</v>
      </c>
      <c r="D5310" s="14"/>
      <c r="E5310" s="14" t="s">
        <v>20400</v>
      </c>
      <c r="F5310" s="433" t="s">
        <v>20401</v>
      </c>
      <c r="G5310" s="434"/>
      <c r="H5310" s="14" t="s">
        <v>19876</v>
      </c>
      <c r="I5310" s="423"/>
      <c r="J5310" s="14" t="s">
        <v>4008</v>
      </c>
      <c r="K5310" s="12"/>
      <c r="L5310" s="12"/>
      <c r="M5310" s="11" t="s">
        <v>9445</v>
      </c>
      <c r="N5310" s="5" t="s">
        <v>20402</v>
      </c>
      <c r="O5310" s="15" t="s">
        <v>564</v>
      </c>
      <c r="P5310" s="15"/>
      <c r="Q5310" s="15"/>
      <c r="R5310" s="422"/>
      <c r="S5310" s="15"/>
      <c r="T5310" s="15"/>
      <c r="U5310" s="15"/>
      <c r="V5310" s="15"/>
      <c r="W5310" s="15"/>
      <c r="X5310" s="15"/>
      <c r="Y5310" s="15"/>
      <c r="Z5310" s="15"/>
      <c r="AA5310" s="15"/>
    </row>
    <row r="5311">
      <c r="A5311" s="15" t="s">
        <v>20325</v>
      </c>
      <c r="B5311" s="15" t="s">
        <v>20403</v>
      </c>
      <c r="C5311" s="432" t="s">
        <v>20404</v>
      </c>
      <c r="D5311" s="14"/>
      <c r="E5311" s="14" t="s">
        <v>20405</v>
      </c>
      <c r="F5311" s="433"/>
      <c r="G5311" s="434"/>
      <c r="H5311" s="14"/>
      <c r="I5311" s="423"/>
      <c r="J5311" s="14"/>
      <c r="K5311" s="13"/>
      <c r="L5311" s="13"/>
      <c r="M5311" s="14"/>
      <c r="N5311" s="15"/>
      <c r="O5311" s="15"/>
      <c r="P5311" s="15"/>
      <c r="Q5311" s="15"/>
      <c r="R5311" s="422"/>
      <c r="S5311" s="15"/>
      <c r="T5311" s="15"/>
      <c r="U5311" s="15"/>
      <c r="V5311" s="15"/>
      <c r="W5311" s="15"/>
      <c r="X5311" s="15"/>
      <c r="Y5311" s="15"/>
      <c r="Z5311" s="15"/>
      <c r="AA5311" s="15"/>
    </row>
    <row r="5312">
      <c r="A5312" s="15" t="s">
        <v>20325</v>
      </c>
      <c r="B5312" s="15" t="s">
        <v>20406</v>
      </c>
      <c r="C5312" s="464" t="s">
        <v>20407</v>
      </c>
      <c r="D5312" s="14"/>
      <c r="E5312" s="14" t="s">
        <v>20408</v>
      </c>
      <c r="F5312" s="433" t="s">
        <v>20348</v>
      </c>
      <c r="G5312" s="465"/>
      <c r="H5312" s="466" t="s">
        <v>20409</v>
      </c>
      <c r="I5312" s="423"/>
      <c r="J5312" s="14" t="s">
        <v>17976</v>
      </c>
      <c r="K5312" s="13"/>
      <c r="L5312" s="13"/>
      <c r="M5312" s="14"/>
      <c r="N5312" s="15"/>
      <c r="O5312" s="15" t="s">
        <v>10708</v>
      </c>
      <c r="P5312" s="15"/>
      <c r="Q5312" s="15"/>
      <c r="R5312" s="422"/>
      <c r="S5312" s="15"/>
      <c r="T5312" s="15"/>
      <c r="U5312" s="15"/>
      <c r="V5312" s="15"/>
      <c r="W5312" s="15"/>
      <c r="X5312" s="15"/>
      <c r="Y5312" s="15"/>
      <c r="Z5312" s="15"/>
      <c r="AA5312" s="15"/>
    </row>
    <row r="5313">
      <c r="A5313" s="15" t="s">
        <v>20325</v>
      </c>
      <c r="B5313" s="15" t="s">
        <v>20410</v>
      </c>
      <c r="C5313" s="432" t="s">
        <v>20411</v>
      </c>
      <c r="D5313" s="14"/>
      <c r="E5313" s="14" t="s">
        <v>20412</v>
      </c>
      <c r="F5313" s="433" t="s">
        <v>20329</v>
      </c>
      <c r="G5313" s="434"/>
      <c r="H5313" s="14" t="s">
        <v>507</v>
      </c>
      <c r="I5313" s="423"/>
      <c r="J5313" s="14" t="s">
        <v>20413</v>
      </c>
      <c r="K5313" s="13"/>
      <c r="L5313" s="13"/>
      <c r="M5313" s="14"/>
      <c r="N5313" s="15"/>
      <c r="O5313" s="15" t="s">
        <v>19985</v>
      </c>
      <c r="P5313" s="15"/>
      <c r="Q5313" s="15"/>
      <c r="R5313" s="422"/>
      <c r="S5313" s="15"/>
      <c r="T5313" s="15"/>
      <c r="U5313" s="15"/>
      <c r="V5313" s="15"/>
      <c r="W5313" s="15"/>
      <c r="X5313" s="15"/>
      <c r="Y5313" s="15"/>
      <c r="Z5313" s="15"/>
      <c r="AA5313" s="15"/>
    </row>
    <row r="5314">
      <c r="A5314" s="15" t="s">
        <v>20325</v>
      </c>
      <c r="B5314" s="15" t="s">
        <v>20414</v>
      </c>
      <c r="C5314" s="454" t="s">
        <v>20415</v>
      </c>
      <c r="D5314" s="14"/>
      <c r="E5314" s="14" t="s">
        <v>3971</v>
      </c>
      <c r="F5314" s="433" t="s">
        <v>20416</v>
      </c>
      <c r="G5314" s="465"/>
      <c r="H5314" s="466" t="s">
        <v>20417</v>
      </c>
      <c r="I5314" s="423"/>
      <c r="J5314" s="14"/>
      <c r="K5314" s="13"/>
      <c r="L5314" s="13"/>
      <c r="M5314" s="14"/>
      <c r="N5314" s="15"/>
      <c r="O5314" s="15" t="s">
        <v>19985</v>
      </c>
      <c r="P5314" s="15"/>
      <c r="Q5314" s="15"/>
      <c r="R5314" s="422"/>
      <c r="S5314" s="15"/>
      <c r="T5314" s="15"/>
      <c r="U5314" s="15"/>
      <c r="V5314" s="15"/>
      <c r="W5314" s="15"/>
      <c r="X5314" s="15"/>
      <c r="Y5314" s="15"/>
      <c r="Z5314" s="15"/>
      <c r="AA5314" s="15"/>
    </row>
    <row r="5315">
      <c r="A5315" s="15" t="s">
        <v>20325</v>
      </c>
      <c r="B5315" s="15" t="s">
        <v>20418</v>
      </c>
      <c r="C5315" s="432" t="s">
        <v>20419</v>
      </c>
      <c r="D5315" s="14"/>
      <c r="E5315" s="14" t="s">
        <v>167</v>
      </c>
      <c r="F5315" s="433" t="s">
        <v>20398</v>
      </c>
      <c r="G5315" s="434"/>
      <c r="H5315" s="14"/>
      <c r="I5315" s="423"/>
      <c r="J5315" s="14"/>
      <c r="K5315" s="13"/>
      <c r="L5315" s="13"/>
      <c r="M5315" s="14"/>
      <c r="N5315" s="15"/>
      <c r="O5315" s="15"/>
      <c r="P5315" s="15"/>
      <c r="Q5315" s="15"/>
      <c r="R5315" s="422"/>
      <c r="S5315" s="15"/>
      <c r="T5315" s="15"/>
      <c r="U5315" s="15"/>
      <c r="V5315" s="15"/>
      <c r="W5315" s="15"/>
      <c r="X5315" s="15"/>
      <c r="Y5315" s="15"/>
      <c r="Z5315" s="15"/>
      <c r="AA5315" s="15"/>
    </row>
    <row r="5316">
      <c r="A5316" s="15" t="s">
        <v>20325</v>
      </c>
      <c r="B5316" s="15" t="s">
        <v>20420</v>
      </c>
      <c r="C5316" s="464" t="s">
        <v>20421</v>
      </c>
      <c r="D5316" s="14"/>
      <c r="E5316" s="14" t="s">
        <v>20422</v>
      </c>
      <c r="F5316" s="433" t="s">
        <v>20284</v>
      </c>
      <c r="G5316" s="465"/>
      <c r="H5316" s="466" t="s">
        <v>20423</v>
      </c>
      <c r="I5316" s="423"/>
      <c r="J5316" s="14"/>
      <c r="K5316" s="13"/>
      <c r="L5316" s="13"/>
      <c r="M5316" s="14"/>
      <c r="N5316" s="15"/>
      <c r="O5316" s="15" t="s">
        <v>10708</v>
      </c>
      <c r="P5316" s="15"/>
      <c r="Q5316" s="15"/>
      <c r="R5316" s="422"/>
      <c r="S5316" s="15"/>
      <c r="T5316" s="15"/>
      <c r="U5316" s="15"/>
      <c r="V5316" s="15"/>
      <c r="W5316" s="15"/>
      <c r="X5316" s="15"/>
      <c r="Y5316" s="15"/>
      <c r="Z5316" s="15"/>
      <c r="AA5316" s="15"/>
    </row>
    <row r="5317">
      <c r="A5317" s="15" t="s">
        <v>20325</v>
      </c>
      <c r="B5317" s="15" t="s">
        <v>20424</v>
      </c>
      <c r="C5317" s="464" t="s">
        <v>7625</v>
      </c>
      <c r="D5317" s="14"/>
      <c r="E5317" s="14" t="s">
        <v>20425</v>
      </c>
      <c r="F5317" s="433" t="s">
        <v>19206</v>
      </c>
      <c r="G5317" s="434"/>
      <c r="H5317" s="14" t="s">
        <v>507</v>
      </c>
      <c r="I5317" s="423"/>
      <c r="J5317" s="14"/>
      <c r="K5317" s="12"/>
      <c r="L5317" s="12"/>
      <c r="M5317" s="11" t="s">
        <v>7718</v>
      </c>
      <c r="N5317" s="5" t="s">
        <v>20426</v>
      </c>
      <c r="O5317" s="15" t="s">
        <v>10708</v>
      </c>
      <c r="P5317" s="15"/>
      <c r="Q5317" s="15"/>
      <c r="R5317" s="422"/>
      <c r="S5317" s="15"/>
      <c r="T5317" s="15"/>
      <c r="U5317" s="15"/>
      <c r="V5317" s="15"/>
      <c r="W5317" s="15"/>
      <c r="X5317" s="15"/>
      <c r="Y5317" s="15"/>
      <c r="Z5317" s="15"/>
      <c r="AA5317" s="15"/>
    </row>
    <row r="5318">
      <c r="A5318" s="15" t="s">
        <v>20325</v>
      </c>
      <c r="B5318" s="15" t="s">
        <v>20427</v>
      </c>
      <c r="C5318" s="464" t="s">
        <v>20428</v>
      </c>
      <c r="D5318" s="14"/>
      <c r="E5318" s="14" t="s">
        <v>2482</v>
      </c>
      <c r="F5318" s="433" t="s">
        <v>20429</v>
      </c>
      <c r="G5318" s="434"/>
      <c r="H5318" s="14" t="s">
        <v>906</v>
      </c>
      <c r="I5318" s="423"/>
      <c r="J5318" s="14"/>
      <c r="K5318" s="12"/>
      <c r="L5318" s="12"/>
      <c r="M5318" s="11" t="s">
        <v>13938</v>
      </c>
      <c r="N5318" s="5" t="s">
        <v>20430</v>
      </c>
      <c r="O5318" s="15" t="s">
        <v>10708</v>
      </c>
      <c r="P5318" s="15"/>
      <c r="Q5318" s="15"/>
      <c r="R5318" s="422"/>
      <c r="S5318" s="15"/>
      <c r="T5318" s="15"/>
      <c r="U5318" s="15"/>
      <c r="V5318" s="15"/>
      <c r="W5318" s="15"/>
      <c r="X5318" s="15"/>
      <c r="Y5318" s="15"/>
      <c r="Z5318" s="15"/>
      <c r="AA5318" s="15"/>
    </row>
    <row r="5319">
      <c r="A5319" s="15" t="s">
        <v>20325</v>
      </c>
      <c r="B5319" s="15" t="s">
        <v>20431</v>
      </c>
      <c r="C5319" s="432" t="s">
        <v>20432</v>
      </c>
      <c r="D5319" s="14"/>
      <c r="E5319" s="14" t="s">
        <v>5774</v>
      </c>
      <c r="F5319" s="433" t="s">
        <v>20294</v>
      </c>
      <c r="G5319" s="463"/>
      <c r="H5319" s="432" t="s">
        <v>20433</v>
      </c>
      <c r="I5319" s="423"/>
      <c r="J5319" s="14" t="s">
        <v>18788</v>
      </c>
      <c r="K5319" s="13"/>
      <c r="L5319" s="13"/>
      <c r="M5319" s="14"/>
      <c r="N5319" s="15"/>
      <c r="O5319" s="15" t="s">
        <v>19985</v>
      </c>
      <c r="P5319" s="15"/>
      <c r="Q5319" s="15"/>
      <c r="R5319" s="422"/>
      <c r="S5319" s="15"/>
      <c r="T5319" s="15"/>
      <c r="U5319" s="15"/>
      <c r="V5319" s="15"/>
      <c r="W5319" s="15"/>
      <c r="X5319" s="15"/>
      <c r="Y5319" s="15"/>
      <c r="Z5319" s="15"/>
      <c r="AA5319" s="15"/>
    </row>
    <row r="5320">
      <c r="A5320" s="15" t="s">
        <v>20325</v>
      </c>
      <c r="B5320" s="15" t="s">
        <v>20434</v>
      </c>
      <c r="C5320" s="432" t="s">
        <v>20435</v>
      </c>
      <c r="D5320" s="14"/>
      <c r="E5320" s="14" t="s">
        <v>130</v>
      </c>
      <c r="F5320" s="433" t="s">
        <v>20436</v>
      </c>
      <c r="G5320" s="434"/>
      <c r="H5320" s="14" t="s">
        <v>20437</v>
      </c>
      <c r="I5320" s="423"/>
      <c r="J5320" s="14" t="s">
        <v>20438</v>
      </c>
      <c r="K5320" s="13"/>
      <c r="L5320" s="13"/>
      <c r="M5320" s="14" t="s">
        <v>20336</v>
      </c>
      <c r="N5320" s="15" t="s">
        <v>20439</v>
      </c>
      <c r="O5320" s="15" t="s">
        <v>564</v>
      </c>
      <c r="P5320" s="15"/>
      <c r="Q5320" s="15"/>
      <c r="R5320" s="422"/>
      <c r="S5320" s="15"/>
      <c r="T5320" s="15"/>
      <c r="U5320" s="15"/>
      <c r="V5320" s="15"/>
      <c r="W5320" s="15"/>
      <c r="X5320" s="15"/>
      <c r="Y5320" s="15"/>
      <c r="Z5320" s="15"/>
      <c r="AA5320" s="15"/>
    </row>
    <row r="5321">
      <c r="A5321" s="15" t="s">
        <v>20325</v>
      </c>
      <c r="B5321" s="15" t="s">
        <v>20440</v>
      </c>
      <c r="C5321" s="432" t="s">
        <v>20441</v>
      </c>
      <c r="D5321" s="14"/>
      <c r="E5321" s="14" t="s">
        <v>20442</v>
      </c>
      <c r="F5321" s="433" t="s">
        <v>20294</v>
      </c>
      <c r="G5321" s="463"/>
      <c r="H5321" s="432" t="s">
        <v>20443</v>
      </c>
      <c r="I5321" s="423"/>
      <c r="J5321" s="14" t="s">
        <v>17976</v>
      </c>
      <c r="K5321" s="13"/>
      <c r="L5321" s="13"/>
      <c r="M5321" s="14"/>
      <c r="N5321" s="15"/>
      <c r="O5321" s="15" t="s">
        <v>19985</v>
      </c>
      <c r="P5321" s="15"/>
      <c r="Q5321" s="15"/>
      <c r="R5321" s="422"/>
      <c r="S5321" s="15"/>
      <c r="T5321" s="15"/>
      <c r="U5321" s="15"/>
      <c r="V5321" s="15"/>
      <c r="W5321" s="15"/>
      <c r="X5321" s="15"/>
      <c r="Y5321" s="15"/>
      <c r="Z5321" s="15"/>
      <c r="AA5321" s="15"/>
    </row>
    <row r="5322">
      <c r="A5322" s="15" t="s">
        <v>20325</v>
      </c>
      <c r="B5322" s="15" t="s">
        <v>20444</v>
      </c>
      <c r="C5322" s="454" t="s">
        <v>20445</v>
      </c>
      <c r="D5322" s="14"/>
      <c r="E5322" s="14" t="s">
        <v>5774</v>
      </c>
      <c r="F5322" s="433"/>
      <c r="G5322" s="434"/>
      <c r="H5322" s="14"/>
      <c r="I5322" s="423"/>
      <c r="J5322" s="14"/>
      <c r="K5322" s="13"/>
      <c r="L5322" s="13"/>
      <c r="M5322" s="14"/>
      <c r="N5322" s="15"/>
      <c r="O5322" s="15" t="s">
        <v>13963</v>
      </c>
      <c r="P5322" s="15"/>
      <c r="Q5322" s="15"/>
      <c r="R5322" s="422"/>
      <c r="S5322" s="15"/>
      <c r="T5322" s="15"/>
      <c r="U5322" s="15"/>
      <c r="V5322" s="15"/>
      <c r="W5322" s="15"/>
      <c r="X5322" s="15"/>
      <c r="Y5322" s="15"/>
      <c r="Z5322" s="15"/>
      <c r="AA5322" s="15"/>
    </row>
    <row r="5323">
      <c r="A5323" s="15" t="s">
        <v>20325</v>
      </c>
      <c r="B5323" s="15" t="s">
        <v>20446</v>
      </c>
      <c r="C5323" s="432" t="s">
        <v>20447</v>
      </c>
      <c r="D5323" s="14"/>
      <c r="E5323" s="14" t="s">
        <v>130</v>
      </c>
      <c r="F5323" s="433" t="s">
        <v>20284</v>
      </c>
      <c r="G5323" s="434"/>
      <c r="H5323" s="14" t="s">
        <v>7664</v>
      </c>
      <c r="I5323" s="423"/>
      <c r="J5323" s="14" t="s">
        <v>25</v>
      </c>
      <c r="K5323" s="13"/>
      <c r="L5323" s="13"/>
      <c r="M5323" s="14" t="s">
        <v>20448</v>
      </c>
      <c r="N5323" s="15" t="s">
        <v>20449</v>
      </c>
      <c r="O5323" s="15" t="s">
        <v>564</v>
      </c>
      <c r="P5323" s="15"/>
      <c r="Q5323" s="15"/>
      <c r="R5323" s="422"/>
      <c r="S5323" s="15"/>
      <c r="T5323" s="15"/>
      <c r="U5323" s="15"/>
      <c r="V5323" s="15"/>
      <c r="W5323" s="15"/>
      <c r="X5323" s="15"/>
      <c r="Y5323" s="15"/>
      <c r="Z5323" s="15"/>
      <c r="AA5323" s="15"/>
    </row>
    <row r="5324">
      <c r="A5324" s="15" t="s">
        <v>20325</v>
      </c>
      <c r="B5324" s="15" t="s">
        <v>20450</v>
      </c>
      <c r="C5324" s="432" t="s">
        <v>20451</v>
      </c>
      <c r="D5324" s="14"/>
      <c r="E5324" s="14" t="s">
        <v>1836</v>
      </c>
      <c r="F5324" s="433"/>
      <c r="G5324" s="434"/>
      <c r="H5324" s="14" t="s">
        <v>20360</v>
      </c>
      <c r="I5324" s="423"/>
      <c r="J5324" s="14"/>
      <c r="K5324" s="13"/>
      <c r="L5324" s="13"/>
      <c r="M5324" s="14"/>
      <c r="N5324" s="15"/>
      <c r="O5324" s="15"/>
      <c r="P5324" s="15"/>
      <c r="Q5324" s="15"/>
      <c r="R5324" s="422"/>
      <c r="S5324" s="15"/>
      <c r="T5324" s="15"/>
      <c r="U5324" s="15"/>
      <c r="V5324" s="15"/>
      <c r="W5324" s="15"/>
      <c r="X5324" s="15"/>
      <c r="Y5324" s="15"/>
      <c r="Z5324" s="15"/>
      <c r="AA5324" s="15"/>
    </row>
    <row r="5325">
      <c r="A5325" s="15" t="s">
        <v>20325</v>
      </c>
      <c r="B5325" s="15" t="s">
        <v>20452</v>
      </c>
      <c r="C5325" s="432" t="s">
        <v>20453</v>
      </c>
      <c r="D5325" s="14"/>
      <c r="E5325" s="14" t="s">
        <v>10293</v>
      </c>
      <c r="F5325" s="433"/>
      <c r="G5325" s="434"/>
      <c r="H5325" s="14" t="s">
        <v>20454</v>
      </c>
      <c r="I5325" s="423"/>
      <c r="J5325" s="14"/>
      <c r="K5325" s="13"/>
      <c r="L5325" s="13"/>
      <c r="M5325" s="14"/>
      <c r="N5325" s="15"/>
      <c r="O5325" s="15"/>
      <c r="P5325" s="15"/>
      <c r="Q5325" s="15"/>
      <c r="R5325" s="422"/>
      <c r="S5325" s="15"/>
      <c r="T5325" s="15"/>
      <c r="U5325" s="15"/>
      <c r="V5325" s="15"/>
      <c r="W5325" s="15"/>
      <c r="X5325" s="15"/>
      <c r="Y5325" s="15"/>
      <c r="Z5325" s="15"/>
      <c r="AA5325" s="15"/>
    </row>
    <row r="5326">
      <c r="A5326" s="15" t="s">
        <v>20325</v>
      </c>
      <c r="B5326" s="15" t="s">
        <v>20455</v>
      </c>
      <c r="C5326" s="432" t="s">
        <v>20456</v>
      </c>
      <c r="D5326" s="14"/>
      <c r="E5326" s="14" t="s">
        <v>167</v>
      </c>
      <c r="F5326" s="433" t="s">
        <v>20329</v>
      </c>
      <c r="G5326" s="463"/>
      <c r="H5326" s="432" t="s">
        <v>20457</v>
      </c>
      <c r="I5326" s="423"/>
      <c r="J5326" s="14" t="s">
        <v>14563</v>
      </c>
      <c r="K5326" s="13"/>
      <c r="L5326" s="13"/>
      <c r="M5326" s="14"/>
      <c r="N5326" s="15"/>
      <c r="O5326" s="15" t="s">
        <v>19985</v>
      </c>
      <c r="P5326" s="15"/>
      <c r="Q5326" s="15"/>
      <c r="R5326" s="422"/>
      <c r="S5326" s="15"/>
      <c r="T5326" s="15"/>
      <c r="U5326" s="15"/>
      <c r="V5326" s="15"/>
      <c r="W5326" s="15"/>
      <c r="X5326" s="15"/>
      <c r="Y5326" s="15"/>
      <c r="Z5326" s="15"/>
      <c r="AA5326" s="15"/>
    </row>
    <row r="5327">
      <c r="A5327" s="15" t="s">
        <v>20325</v>
      </c>
      <c r="B5327" s="15" t="s">
        <v>20458</v>
      </c>
      <c r="C5327" s="467" t="s">
        <v>20459</v>
      </c>
      <c r="D5327" s="14"/>
      <c r="E5327" s="14" t="s">
        <v>20460</v>
      </c>
      <c r="F5327" s="433"/>
      <c r="G5327" s="434"/>
      <c r="H5327" s="14" t="s">
        <v>19859</v>
      </c>
      <c r="I5327" s="423"/>
      <c r="J5327" s="14"/>
      <c r="K5327" s="13"/>
      <c r="L5327" s="13"/>
      <c r="M5327" s="14"/>
      <c r="N5327" s="15"/>
      <c r="O5327" s="15"/>
      <c r="P5327" s="15"/>
      <c r="Q5327" s="15"/>
      <c r="R5327" s="422"/>
      <c r="S5327" s="15"/>
      <c r="T5327" s="15"/>
      <c r="U5327" s="15"/>
      <c r="V5327" s="15"/>
      <c r="W5327" s="15"/>
      <c r="X5327" s="15"/>
      <c r="Y5327" s="15"/>
      <c r="Z5327" s="15"/>
      <c r="AA5327" s="15"/>
    </row>
    <row r="5328">
      <c r="A5328" s="15" t="s">
        <v>20325</v>
      </c>
      <c r="B5328" s="15" t="s">
        <v>20461</v>
      </c>
      <c r="C5328" s="467" t="s">
        <v>20462</v>
      </c>
      <c r="D5328" s="14"/>
      <c r="E5328" s="14" t="s">
        <v>5502</v>
      </c>
      <c r="F5328" s="433" t="s">
        <v>20463</v>
      </c>
      <c r="G5328" s="434"/>
      <c r="H5328" s="14" t="s">
        <v>20464</v>
      </c>
      <c r="I5328" s="423"/>
      <c r="J5328" s="14" t="s">
        <v>18941</v>
      </c>
      <c r="K5328" s="13"/>
      <c r="L5328" s="13"/>
      <c r="M5328" s="14"/>
      <c r="N5328" s="15"/>
      <c r="O5328" s="15" t="s">
        <v>13963</v>
      </c>
      <c r="P5328" s="15"/>
      <c r="Q5328" s="15"/>
      <c r="R5328" s="422"/>
      <c r="S5328" s="15"/>
      <c r="T5328" s="15"/>
      <c r="U5328" s="15"/>
      <c r="V5328" s="15"/>
      <c r="W5328" s="15"/>
      <c r="X5328" s="15"/>
      <c r="Y5328" s="15"/>
      <c r="Z5328" s="15"/>
      <c r="AA5328" s="15"/>
    </row>
    <row r="5329">
      <c r="A5329" s="15" t="s">
        <v>20465</v>
      </c>
      <c r="B5329" s="15" t="s">
        <v>20466</v>
      </c>
      <c r="C5329" s="432" t="s">
        <v>20467</v>
      </c>
      <c r="D5329" s="14"/>
      <c r="E5329" s="14" t="s">
        <v>15040</v>
      </c>
      <c r="F5329" s="433" t="s">
        <v>20318</v>
      </c>
      <c r="G5329" s="434"/>
      <c r="H5329" s="14" t="s">
        <v>18358</v>
      </c>
      <c r="I5329" s="423"/>
      <c r="J5329" s="14" t="s">
        <v>9772</v>
      </c>
      <c r="K5329" s="13"/>
      <c r="L5329" s="13"/>
      <c r="M5329" s="14"/>
      <c r="N5329" s="15"/>
      <c r="O5329" s="15" t="s">
        <v>564</v>
      </c>
      <c r="P5329" s="15"/>
      <c r="Q5329" s="15"/>
      <c r="R5329" s="422"/>
      <c r="S5329" s="15"/>
      <c r="T5329" s="15"/>
      <c r="U5329" s="15"/>
      <c r="V5329" s="15"/>
      <c r="W5329" s="15"/>
      <c r="X5329" s="15"/>
      <c r="Y5329" s="15"/>
      <c r="Z5329" s="15"/>
      <c r="AA5329" s="15"/>
    </row>
    <row r="5330">
      <c r="A5330" s="15" t="s">
        <v>20465</v>
      </c>
      <c r="B5330" s="15" t="s">
        <v>20468</v>
      </c>
      <c r="C5330" s="432" t="s">
        <v>20469</v>
      </c>
      <c r="D5330" s="14"/>
      <c r="E5330" s="14" t="s">
        <v>5172</v>
      </c>
      <c r="F5330" s="433" t="s">
        <v>20303</v>
      </c>
      <c r="G5330" s="434"/>
      <c r="H5330" s="14" t="s">
        <v>44</v>
      </c>
      <c r="I5330" s="423"/>
      <c r="J5330" s="14" t="s">
        <v>17976</v>
      </c>
      <c r="K5330" s="13"/>
      <c r="L5330" s="13"/>
      <c r="M5330" s="14" t="s">
        <v>20470</v>
      </c>
      <c r="N5330" s="15" t="s">
        <v>20471</v>
      </c>
      <c r="O5330" s="15" t="s">
        <v>564</v>
      </c>
      <c r="P5330" s="15"/>
      <c r="Q5330" s="15"/>
      <c r="R5330" s="422"/>
      <c r="S5330" s="15"/>
      <c r="T5330" s="15"/>
      <c r="U5330" s="15"/>
      <c r="V5330" s="15"/>
      <c r="W5330" s="15"/>
      <c r="X5330" s="15"/>
      <c r="Y5330" s="15"/>
      <c r="Z5330" s="15"/>
      <c r="AA5330" s="15"/>
    </row>
    <row r="5331">
      <c r="A5331" s="15" t="s">
        <v>20465</v>
      </c>
      <c r="B5331" s="15" t="s">
        <v>20472</v>
      </c>
      <c r="C5331" s="464" t="s">
        <v>20473</v>
      </c>
      <c r="D5331" s="14"/>
      <c r="E5331" s="14" t="s">
        <v>14285</v>
      </c>
      <c r="F5331" s="433" t="s">
        <v>20303</v>
      </c>
      <c r="G5331" s="434"/>
      <c r="H5331" s="14" t="s">
        <v>906</v>
      </c>
      <c r="I5331" s="423"/>
      <c r="J5331" s="14" t="s">
        <v>19137</v>
      </c>
      <c r="K5331" s="13"/>
      <c r="L5331" s="13"/>
      <c r="M5331" s="14"/>
      <c r="N5331" s="15"/>
      <c r="O5331" s="15" t="s">
        <v>564</v>
      </c>
      <c r="P5331" s="15"/>
      <c r="Q5331" s="15"/>
      <c r="R5331" s="422"/>
      <c r="S5331" s="15"/>
      <c r="T5331" s="15"/>
      <c r="U5331" s="15"/>
      <c r="V5331" s="15"/>
      <c r="W5331" s="15"/>
      <c r="X5331" s="15"/>
      <c r="Y5331" s="15"/>
      <c r="Z5331" s="15"/>
      <c r="AA5331" s="15"/>
    </row>
    <row r="5332">
      <c r="A5332" s="15" t="s">
        <v>20465</v>
      </c>
      <c r="B5332" s="15" t="s">
        <v>20474</v>
      </c>
      <c r="C5332" s="464" t="s">
        <v>20475</v>
      </c>
      <c r="D5332" s="14"/>
      <c r="E5332" s="14" t="s">
        <v>20476</v>
      </c>
      <c r="F5332" s="433" t="s">
        <v>20334</v>
      </c>
      <c r="G5332" s="434"/>
      <c r="H5332" s="14" t="s">
        <v>14765</v>
      </c>
      <c r="I5332" s="423"/>
      <c r="J5332" s="14"/>
      <c r="K5332" s="12"/>
      <c r="L5332" s="12"/>
      <c r="M5332" s="11" t="s">
        <v>20477</v>
      </c>
      <c r="N5332" s="5" t="s">
        <v>20478</v>
      </c>
      <c r="O5332" s="15" t="s">
        <v>13963</v>
      </c>
      <c r="P5332" s="15"/>
      <c r="Q5332" s="15"/>
      <c r="R5332" s="422"/>
      <c r="S5332" s="15"/>
      <c r="T5332" s="15"/>
      <c r="U5332" s="15"/>
      <c r="V5332" s="15"/>
      <c r="W5332" s="15"/>
      <c r="X5332" s="15"/>
      <c r="Y5332" s="15"/>
      <c r="Z5332" s="15"/>
      <c r="AA5332" s="15"/>
    </row>
    <row r="5333">
      <c r="A5333" s="15" t="s">
        <v>20465</v>
      </c>
      <c r="B5333" s="15" t="s">
        <v>20479</v>
      </c>
      <c r="C5333" s="464" t="s">
        <v>20428</v>
      </c>
      <c r="D5333" s="14"/>
      <c r="E5333" s="14" t="s">
        <v>20480</v>
      </c>
      <c r="F5333" s="433" t="s">
        <v>20481</v>
      </c>
      <c r="G5333" s="434"/>
      <c r="H5333" s="14" t="s">
        <v>906</v>
      </c>
      <c r="I5333" s="423"/>
      <c r="J5333" s="14"/>
      <c r="K5333" s="13"/>
      <c r="L5333" s="13"/>
      <c r="M5333" s="14"/>
      <c r="N5333" s="15"/>
      <c r="O5333" s="15" t="s">
        <v>564</v>
      </c>
      <c r="P5333" s="15"/>
      <c r="Q5333" s="15"/>
      <c r="R5333" s="422"/>
      <c r="S5333" s="15"/>
      <c r="T5333" s="15"/>
      <c r="U5333" s="15"/>
      <c r="V5333" s="15"/>
      <c r="W5333" s="15"/>
      <c r="X5333" s="15"/>
      <c r="Y5333" s="15"/>
      <c r="Z5333" s="15"/>
      <c r="AA5333" s="15"/>
    </row>
    <row r="5334">
      <c r="A5334" s="15" t="s">
        <v>20465</v>
      </c>
      <c r="B5334" s="15" t="s">
        <v>20482</v>
      </c>
      <c r="C5334" s="4" t="s">
        <v>20483</v>
      </c>
      <c r="D5334" s="14"/>
      <c r="E5334" s="14" t="s">
        <v>20484</v>
      </c>
      <c r="F5334" s="433" t="s">
        <v>20485</v>
      </c>
      <c r="G5334" s="434"/>
      <c r="H5334" s="14" t="s">
        <v>519</v>
      </c>
      <c r="I5334" s="423"/>
      <c r="J5334" s="14"/>
      <c r="K5334" s="12"/>
      <c r="L5334" s="12"/>
      <c r="M5334" s="11" t="s">
        <v>20486</v>
      </c>
      <c r="N5334" s="5" t="s">
        <v>20487</v>
      </c>
      <c r="O5334" s="15" t="s">
        <v>564</v>
      </c>
      <c r="P5334" s="15"/>
      <c r="Q5334" s="15"/>
      <c r="R5334" s="422"/>
      <c r="S5334" s="15"/>
      <c r="T5334" s="15"/>
      <c r="U5334" s="15"/>
      <c r="V5334" s="15"/>
      <c r="W5334" s="15"/>
      <c r="X5334" s="15"/>
      <c r="Y5334" s="15"/>
      <c r="Z5334" s="15"/>
      <c r="AA5334" s="15"/>
    </row>
    <row r="5335">
      <c r="A5335" s="15" t="s">
        <v>20465</v>
      </c>
      <c r="B5335" s="15" t="s">
        <v>20488</v>
      </c>
      <c r="C5335" s="14" t="s">
        <v>10325</v>
      </c>
      <c r="D5335" s="14"/>
      <c r="E5335" s="14" t="s">
        <v>130</v>
      </c>
      <c r="F5335" s="433" t="s">
        <v>20489</v>
      </c>
      <c r="G5335" s="463"/>
      <c r="H5335" s="432" t="s">
        <v>20490</v>
      </c>
      <c r="I5335" s="423"/>
      <c r="J5335" s="14" t="s">
        <v>17976</v>
      </c>
      <c r="K5335" s="13"/>
      <c r="L5335" s="13"/>
      <c r="M5335" s="14" t="s">
        <v>20491</v>
      </c>
      <c r="N5335" s="15" t="s">
        <v>20492</v>
      </c>
      <c r="O5335" s="15" t="s">
        <v>564</v>
      </c>
      <c r="P5335" s="15"/>
      <c r="Q5335" s="15"/>
      <c r="R5335" s="422"/>
      <c r="S5335" s="15"/>
      <c r="T5335" s="15"/>
      <c r="U5335" s="15"/>
      <c r="V5335" s="15"/>
      <c r="W5335" s="15"/>
      <c r="X5335" s="15"/>
      <c r="Y5335" s="15"/>
      <c r="Z5335" s="15"/>
      <c r="AA5335" s="15"/>
    </row>
    <row r="5336">
      <c r="A5336" s="15" t="s">
        <v>20465</v>
      </c>
      <c r="B5336" s="15" t="s">
        <v>20493</v>
      </c>
      <c r="C5336" s="432" t="s">
        <v>20494</v>
      </c>
      <c r="D5336" s="432"/>
      <c r="E5336" s="432" t="s">
        <v>213</v>
      </c>
      <c r="F5336" s="433" t="s">
        <v>20303</v>
      </c>
      <c r="G5336" s="434"/>
      <c r="H5336" s="14" t="s">
        <v>507</v>
      </c>
      <c r="I5336" s="423"/>
      <c r="J5336" s="14" t="s">
        <v>9814</v>
      </c>
      <c r="K5336" s="13"/>
      <c r="L5336" s="13"/>
      <c r="M5336" s="14" t="s">
        <v>20495</v>
      </c>
      <c r="N5336" s="15" t="s">
        <v>20496</v>
      </c>
      <c r="O5336" s="15" t="s">
        <v>564</v>
      </c>
      <c r="P5336" s="15"/>
      <c r="Q5336" s="15"/>
      <c r="R5336" s="422"/>
      <c r="S5336" s="15"/>
      <c r="T5336" s="15"/>
      <c r="U5336" s="15"/>
      <c r="V5336" s="15"/>
      <c r="W5336" s="15"/>
      <c r="X5336" s="15"/>
      <c r="Y5336" s="15"/>
      <c r="Z5336" s="15"/>
      <c r="AA5336" s="15"/>
    </row>
    <row r="5337">
      <c r="A5337" s="15" t="s">
        <v>20465</v>
      </c>
      <c r="B5337" s="15" t="s">
        <v>20497</v>
      </c>
      <c r="C5337" s="432" t="s">
        <v>20498</v>
      </c>
      <c r="D5337" s="14"/>
      <c r="E5337" s="14" t="s">
        <v>152</v>
      </c>
      <c r="F5337" s="433" t="s">
        <v>20340</v>
      </c>
      <c r="G5337" s="434"/>
      <c r="H5337" s="14" t="s">
        <v>20499</v>
      </c>
      <c r="I5337" s="423"/>
      <c r="J5337" s="14" t="s">
        <v>20500</v>
      </c>
      <c r="K5337" s="13"/>
      <c r="L5337" s="13"/>
      <c r="M5337" s="14"/>
      <c r="N5337" s="15"/>
      <c r="O5337" s="15" t="s">
        <v>564</v>
      </c>
      <c r="P5337" s="15"/>
      <c r="Q5337" s="15"/>
      <c r="R5337" s="422"/>
      <c r="S5337" s="15"/>
      <c r="T5337" s="15"/>
      <c r="U5337" s="15"/>
      <c r="V5337" s="15"/>
      <c r="W5337" s="15"/>
      <c r="X5337" s="15"/>
      <c r="Y5337" s="15"/>
      <c r="Z5337" s="15"/>
      <c r="AA5337" s="15"/>
    </row>
    <row r="5338">
      <c r="A5338" s="15" t="s">
        <v>20501</v>
      </c>
      <c r="B5338" s="15" t="s">
        <v>20502</v>
      </c>
      <c r="C5338" s="432" t="s">
        <v>20503</v>
      </c>
      <c r="D5338" s="14"/>
      <c r="E5338" s="14" t="s">
        <v>130</v>
      </c>
      <c r="F5338" s="433" t="s">
        <v>20504</v>
      </c>
      <c r="G5338" s="434"/>
      <c r="H5338" s="14" t="s">
        <v>507</v>
      </c>
      <c r="I5338" s="423"/>
      <c r="J5338" s="14" t="s">
        <v>17976</v>
      </c>
      <c r="K5338" s="13"/>
      <c r="L5338" s="13"/>
      <c r="M5338" s="14" t="s">
        <v>20505</v>
      </c>
      <c r="N5338" s="15" t="s">
        <v>20506</v>
      </c>
      <c r="O5338" s="15" t="s">
        <v>564</v>
      </c>
      <c r="P5338" s="15"/>
      <c r="Q5338" s="15"/>
      <c r="R5338" s="422"/>
      <c r="S5338" s="15"/>
      <c r="T5338" s="15"/>
      <c r="U5338" s="15"/>
      <c r="V5338" s="15"/>
      <c r="W5338" s="15"/>
      <c r="X5338" s="15"/>
      <c r="Y5338" s="15"/>
      <c r="Z5338" s="15"/>
      <c r="AA5338" s="15"/>
    </row>
    <row r="5339">
      <c r="A5339" s="15" t="s">
        <v>20465</v>
      </c>
      <c r="B5339" s="15" t="s">
        <v>20507</v>
      </c>
      <c r="C5339" s="464" t="s">
        <v>20508</v>
      </c>
      <c r="D5339" s="14"/>
      <c r="E5339" s="14" t="s">
        <v>20509</v>
      </c>
      <c r="F5339" s="433"/>
      <c r="G5339" s="434"/>
      <c r="H5339" s="14" t="s">
        <v>20510</v>
      </c>
      <c r="I5339" s="423"/>
      <c r="J5339" s="14"/>
      <c r="K5339" s="13"/>
      <c r="L5339" s="13"/>
      <c r="M5339" s="14" t="s">
        <v>20511</v>
      </c>
      <c r="N5339" s="15" t="s">
        <v>20512</v>
      </c>
      <c r="O5339" s="15" t="s">
        <v>564</v>
      </c>
      <c r="P5339" s="15"/>
      <c r="Q5339" s="15"/>
      <c r="R5339" s="422"/>
      <c r="S5339" s="15"/>
      <c r="T5339" s="15"/>
      <c r="U5339" s="15"/>
      <c r="V5339" s="15"/>
      <c r="W5339" s="15"/>
      <c r="X5339" s="15"/>
      <c r="Y5339" s="15"/>
      <c r="Z5339" s="15"/>
      <c r="AA5339" s="15"/>
    </row>
    <row r="5340">
      <c r="A5340" s="15" t="s">
        <v>20465</v>
      </c>
      <c r="B5340" s="15" t="s">
        <v>20513</v>
      </c>
      <c r="C5340" s="4" t="s">
        <v>20514</v>
      </c>
      <c r="D5340" s="14"/>
      <c r="E5340" s="14" t="s">
        <v>20515</v>
      </c>
      <c r="F5340" s="433" t="s">
        <v>20284</v>
      </c>
      <c r="G5340" s="434"/>
      <c r="H5340" s="14" t="s">
        <v>519</v>
      </c>
      <c r="I5340" s="423"/>
      <c r="J5340" s="14"/>
      <c r="K5340" s="13"/>
      <c r="L5340" s="13"/>
      <c r="M5340" s="14"/>
      <c r="N5340" s="15"/>
      <c r="O5340" s="15" t="s">
        <v>564</v>
      </c>
      <c r="P5340" s="15"/>
      <c r="Q5340" s="15"/>
      <c r="R5340" s="422"/>
      <c r="S5340" s="15"/>
      <c r="T5340" s="15"/>
      <c r="U5340" s="15"/>
      <c r="V5340" s="15"/>
      <c r="W5340" s="15"/>
      <c r="X5340" s="15"/>
      <c r="Y5340" s="15"/>
      <c r="Z5340" s="15"/>
      <c r="AA5340" s="15"/>
    </row>
    <row r="5341">
      <c r="A5341" s="15" t="s">
        <v>20465</v>
      </c>
      <c r="B5341" s="15" t="s">
        <v>20516</v>
      </c>
      <c r="C5341" s="432" t="s">
        <v>20517</v>
      </c>
      <c r="D5341" s="14"/>
      <c r="E5341" s="14" t="s">
        <v>12756</v>
      </c>
      <c r="F5341" s="433" t="s">
        <v>20322</v>
      </c>
      <c r="G5341" s="434"/>
      <c r="H5341" s="14" t="s">
        <v>44</v>
      </c>
      <c r="I5341" s="423"/>
      <c r="J5341" s="14" t="s">
        <v>25</v>
      </c>
      <c r="K5341" s="13"/>
      <c r="L5341" s="13"/>
      <c r="M5341" s="14" t="s">
        <v>20518</v>
      </c>
      <c r="N5341" s="15" t="s">
        <v>20519</v>
      </c>
      <c r="O5341" s="15" t="s">
        <v>13963</v>
      </c>
      <c r="P5341" s="15"/>
      <c r="Q5341" s="15"/>
      <c r="R5341" s="422"/>
      <c r="S5341" s="15"/>
      <c r="T5341" s="15"/>
      <c r="U5341" s="15"/>
      <c r="V5341" s="15"/>
      <c r="W5341" s="15"/>
      <c r="X5341" s="15"/>
      <c r="Y5341" s="15"/>
      <c r="Z5341" s="15"/>
      <c r="AA5341" s="15"/>
    </row>
    <row r="5342">
      <c r="A5342" s="15" t="s">
        <v>20465</v>
      </c>
      <c r="B5342" s="15" t="s">
        <v>20520</v>
      </c>
      <c r="C5342" s="468" t="s">
        <v>20521</v>
      </c>
      <c r="D5342" s="14"/>
      <c r="E5342" s="14" t="s">
        <v>20522</v>
      </c>
      <c r="F5342" s="433" t="s">
        <v>20436</v>
      </c>
      <c r="G5342" s="434"/>
      <c r="H5342" s="14" t="s">
        <v>19963</v>
      </c>
      <c r="I5342" s="423"/>
      <c r="J5342" s="14"/>
      <c r="K5342" s="13"/>
      <c r="L5342" s="13"/>
      <c r="M5342" s="14"/>
      <c r="N5342" s="15"/>
      <c r="O5342" s="15" t="s">
        <v>564</v>
      </c>
      <c r="P5342" s="15"/>
      <c r="Q5342" s="15"/>
      <c r="R5342" s="422"/>
      <c r="S5342" s="15"/>
      <c r="T5342" s="15"/>
      <c r="U5342" s="15"/>
      <c r="V5342" s="15"/>
      <c r="W5342" s="15"/>
      <c r="X5342" s="15"/>
      <c r="Y5342" s="15"/>
      <c r="Z5342" s="15"/>
      <c r="AA5342" s="15"/>
    </row>
    <row r="5343">
      <c r="A5343" s="15" t="s">
        <v>20465</v>
      </c>
      <c r="B5343" s="15" t="s">
        <v>20523</v>
      </c>
      <c r="C5343" s="432" t="s">
        <v>20524</v>
      </c>
      <c r="D5343" s="14"/>
      <c r="E5343" s="14" t="s">
        <v>2813</v>
      </c>
      <c r="F5343" s="433" t="s">
        <v>18673</v>
      </c>
      <c r="G5343" s="434"/>
      <c r="H5343" s="14" t="s">
        <v>2662</v>
      </c>
      <c r="I5343" s="423"/>
      <c r="J5343" s="14" t="s">
        <v>20525</v>
      </c>
      <c r="K5343" s="13"/>
      <c r="L5343" s="13"/>
      <c r="M5343" s="14"/>
      <c r="N5343" s="15"/>
      <c r="O5343" s="15" t="s">
        <v>13963</v>
      </c>
      <c r="P5343" s="15"/>
      <c r="Q5343" s="15"/>
      <c r="R5343" s="422"/>
      <c r="S5343" s="15"/>
      <c r="T5343" s="15"/>
      <c r="U5343" s="15"/>
      <c r="V5343" s="15"/>
      <c r="W5343" s="15"/>
      <c r="X5343" s="15"/>
      <c r="Y5343" s="15"/>
      <c r="Z5343" s="15"/>
      <c r="AA5343" s="15"/>
    </row>
    <row r="5344">
      <c r="A5344" s="15" t="s">
        <v>20465</v>
      </c>
      <c r="B5344" s="15" t="s">
        <v>20526</v>
      </c>
      <c r="C5344" s="432" t="s">
        <v>20527</v>
      </c>
      <c r="D5344" s="432"/>
      <c r="E5344" s="432" t="s">
        <v>20528</v>
      </c>
      <c r="F5344" s="433"/>
      <c r="G5344" s="434"/>
      <c r="H5344" s="14"/>
      <c r="I5344" s="423"/>
      <c r="J5344" s="14"/>
      <c r="K5344" s="13"/>
      <c r="L5344" s="13"/>
      <c r="M5344" s="14"/>
      <c r="N5344" s="15"/>
      <c r="O5344" s="15" t="s">
        <v>13963</v>
      </c>
      <c r="P5344" s="15"/>
      <c r="Q5344" s="15"/>
      <c r="R5344" s="422"/>
      <c r="S5344" s="15"/>
      <c r="T5344" s="15"/>
      <c r="U5344" s="15"/>
      <c r="V5344" s="15"/>
      <c r="W5344" s="15"/>
      <c r="X5344" s="15"/>
      <c r="Y5344" s="15"/>
      <c r="Z5344" s="15"/>
      <c r="AA5344" s="15"/>
    </row>
    <row r="5345">
      <c r="A5345" s="15" t="s">
        <v>20465</v>
      </c>
      <c r="B5345" s="15" t="s">
        <v>20529</v>
      </c>
      <c r="C5345" s="467" t="s">
        <v>20530</v>
      </c>
      <c r="D5345" s="14"/>
      <c r="E5345" s="14" t="s">
        <v>20531</v>
      </c>
      <c r="F5345" s="433" t="s">
        <v>20284</v>
      </c>
      <c r="G5345" s="434"/>
      <c r="H5345" s="14" t="s">
        <v>3836</v>
      </c>
      <c r="I5345" s="423"/>
      <c r="J5345" s="14" t="s">
        <v>17976</v>
      </c>
      <c r="K5345" s="13"/>
      <c r="L5345" s="13"/>
      <c r="M5345" s="14"/>
      <c r="N5345" s="15"/>
      <c r="O5345" s="15" t="s">
        <v>564</v>
      </c>
      <c r="P5345" s="15"/>
      <c r="Q5345" s="15"/>
      <c r="R5345" s="422"/>
      <c r="S5345" s="15"/>
      <c r="T5345" s="15"/>
      <c r="U5345" s="15"/>
      <c r="V5345" s="15"/>
      <c r="W5345" s="15"/>
      <c r="X5345" s="15"/>
      <c r="Y5345" s="15"/>
      <c r="Z5345" s="15"/>
      <c r="AA5345" s="15"/>
    </row>
    <row r="5346">
      <c r="A5346" s="15" t="s">
        <v>20532</v>
      </c>
      <c r="B5346" s="15" t="s">
        <v>20533</v>
      </c>
      <c r="C5346" s="432" t="s">
        <v>20534</v>
      </c>
      <c r="D5346" s="14"/>
      <c r="E5346" s="14" t="s">
        <v>20535</v>
      </c>
      <c r="F5346" s="433" t="s">
        <v>20284</v>
      </c>
      <c r="G5346" s="434"/>
      <c r="H5346" s="14" t="s">
        <v>507</v>
      </c>
      <c r="I5346" s="423"/>
      <c r="J5346" s="14" t="s">
        <v>25</v>
      </c>
      <c r="K5346" s="13"/>
      <c r="L5346" s="13"/>
      <c r="M5346" s="14"/>
      <c r="N5346" s="15"/>
      <c r="O5346" s="15" t="s">
        <v>564</v>
      </c>
      <c r="P5346" s="15"/>
      <c r="Q5346" s="15"/>
      <c r="R5346" s="422"/>
      <c r="S5346" s="15"/>
      <c r="T5346" s="15"/>
      <c r="U5346" s="15"/>
      <c r="V5346" s="15"/>
      <c r="W5346" s="15"/>
      <c r="X5346" s="15"/>
      <c r="Y5346" s="15"/>
      <c r="Z5346" s="15"/>
      <c r="AA5346" s="15"/>
    </row>
    <row r="5347">
      <c r="A5347" s="15" t="s">
        <v>20532</v>
      </c>
      <c r="B5347" s="15" t="s">
        <v>20536</v>
      </c>
      <c r="C5347" s="4" t="s">
        <v>20537</v>
      </c>
      <c r="D5347" s="14"/>
      <c r="E5347" s="14" t="s">
        <v>18248</v>
      </c>
      <c r="F5347" s="433" t="s">
        <v>20348</v>
      </c>
      <c r="G5347" s="434"/>
      <c r="H5347" s="14"/>
      <c r="I5347" s="423"/>
      <c r="J5347" s="14"/>
      <c r="K5347" s="13"/>
      <c r="L5347" s="13"/>
      <c r="M5347" s="14"/>
      <c r="N5347" s="15"/>
      <c r="O5347" s="15" t="s">
        <v>564</v>
      </c>
      <c r="P5347" s="15"/>
      <c r="Q5347" s="15"/>
      <c r="R5347" s="422"/>
      <c r="S5347" s="15"/>
      <c r="T5347" s="15"/>
      <c r="U5347" s="15"/>
      <c r="V5347" s="15"/>
      <c r="W5347" s="15"/>
      <c r="X5347" s="15"/>
      <c r="Y5347" s="15"/>
      <c r="Z5347" s="15"/>
      <c r="AA5347" s="15"/>
    </row>
    <row r="5348">
      <c r="A5348" s="15" t="s">
        <v>20532</v>
      </c>
      <c r="B5348" s="15" t="s">
        <v>20538</v>
      </c>
      <c r="C5348" s="14" t="s">
        <v>20539</v>
      </c>
      <c r="D5348" s="14"/>
      <c r="E5348" s="14" t="s">
        <v>10377</v>
      </c>
      <c r="F5348" s="433" t="s">
        <v>20540</v>
      </c>
      <c r="G5348" s="434"/>
      <c r="H5348" s="14" t="s">
        <v>44</v>
      </c>
      <c r="I5348" s="423"/>
      <c r="J5348" s="14" t="s">
        <v>25</v>
      </c>
      <c r="K5348" s="13"/>
      <c r="L5348" s="13"/>
      <c r="M5348" s="14"/>
      <c r="N5348" s="15"/>
      <c r="O5348" s="15" t="s">
        <v>564</v>
      </c>
      <c r="P5348" s="15"/>
      <c r="Q5348" s="15"/>
      <c r="R5348" s="422"/>
      <c r="S5348" s="15"/>
      <c r="T5348" s="15"/>
      <c r="U5348" s="15"/>
      <c r="V5348" s="15"/>
      <c r="W5348" s="15"/>
      <c r="X5348" s="15"/>
      <c r="Y5348" s="15"/>
      <c r="Z5348" s="15"/>
      <c r="AA5348" s="15"/>
    </row>
    <row r="5349">
      <c r="A5349" s="15" t="s">
        <v>20541</v>
      </c>
      <c r="B5349" s="15" t="s">
        <v>20542</v>
      </c>
      <c r="C5349" s="14" t="s">
        <v>19110</v>
      </c>
      <c r="D5349" s="14"/>
      <c r="E5349" s="14" t="s">
        <v>523</v>
      </c>
      <c r="F5349" s="433" t="s">
        <v>18673</v>
      </c>
      <c r="G5349" s="434"/>
      <c r="H5349" s="14" t="s">
        <v>44</v>
      </c>
      <c r="I5349" s="423"/>
      <c r="J5349" s="14" t="s">
        <v>25</v>
      </c>
      <c r="K5349" s="13"/>
      <c r="L5349" s="13"/>
      <c r="M5349" s="14" t="s">
        <v>20543</v>
      </c>
      <c r="N5349" s="15" t="s">
        <v>20544</v>
      </c>
      <c r="O5349" s="15" t="s">
        <v>564</v>
      </c>
      <c r="P5349" s="15"/>
      <c r="Q5349" s="15"/>
      <c r="R5349" s="422"/>
      <c r="S5349" s="15"/>
      <c r="T5349" s="15"/>
      <c r="U5349" s="15"/>
      <c r="V5349" s="15"/>
      <c r="W5349" s="15"/>
      <c r="X5349" s="15"/>
      <c r="Y5349" s="15"/>
      <c r="Z5349" s="15"/>
      <c r="AA5349" s="15"/>
    </row>
    <row r="5350">
      <c r="A5350" s="15" t="s">
        <v>20532</v>
      </c>
      <c r="B5350" s="15" t="s">
        <v>20545</v>
      </c>
      <c r="C5350" s="14" t="s">
        <v>20546</v>
      </c>
      <c r="D5350" s="14"/>
      <c r="E5350" s="14" t="s">
        <v>20547</v>
      </c>
      <c r="F5350" s="433" t="s">
        <v>19676</v>
      </c>
      <c r="G5350" s="434"/>
      <c r="H5350" s="14" t="s">
        <v>268</v>
      </c>
      <c r="I5350" s="423"/>
      <c r="J5350" s="14"/>
      <c r="K5350" s="12"/>
      <c r="L5350" s="12"/>
      <c r="M5350" s="11" t="s">
        <v>14345</v>
      </c>
      <c r="N5350" s="5" t="s">
        <v>20548</v>
      </c>
      <c r="O5350" s="15" t="s">
        <v>564</v>
      </c>
      <c r="P5350" s="15"/>
      <c r="Q5350" s="15"/>
      <c r="R5350" s="422"/>
      <c r="S5350" s="15"/>
      <c r="T5350" s="15"/>
      <c r="U5350" s="15"/>
      <c r="V5350" s="15"/>
      <c r="W5350" s="15"/>
      <c r="X5350" s="15"/>
      <c r="Y5350" s="15"/>
      <c r="Z5350" s="15"/>
      <c r="AA5350" s="15"/>
    </row>
    <row r="5351">
      <c r="A5351" s="15" t="s">
        <v>20532</v>
      </c>
      <c r="B5351" s="15" t="s">
        <v>20549</v>
      </c>
      <c r="C5351" s="14" t="s">
        <v>13963</v>
      </c>
      <c r="D5351" s="14"/>
      <c r="E5351" s="14" t="s">
        <v>130</v>
      </c>
      <c r="F5351" s="433" t="s">
        <v>20436</v>
      </c>
      <c r="G5351" s="465"/>
      <c r="H5351" s="469" t="s">
        <v>20510</v>
      </c>
      <c r="I5351" s="423"/>
      <c r="J5351" s="14" t="s">
        <v>17976</v>
      </c>
      <c r="K5351" s="13"/>
      <c r="L5351" s="13"/>
      <c r="M5351" s="14" t="s">
        <v>20336</v>
      </c>
      <c r="N5351" s="15" t="s">
        <v>20550</v>
      </c>
      <c r="O5351" s="15" t="s">
        <v>564</v>
      </c>
      <c r="P5351" s="15"/>
      <c r="Q5351" s="15"/>
      <c r="R5351" s="422"/>
      <c r="S5351" s="15"/>
      <c r="T5351" s="15"/>
      <c r="U5351" s="15"/>
      <c r="V5351" s="15"/>
      <c r="W5351" s="15"/>
      <c r="X5351" s="15"/>
      <c r="Y5351" s="15"/>
      <c r="Z5351" s="15"/>
      <c r="AA5351" s="15"/>
    </row>
    <row r="5352">
      <c r="A5352" s="15" t="s">
        <v>20532</v>
      </c>
      <c r="B5352" s="15" t="s">
        <v>20551</v>
      </c>
      <c r="C5352" s="14" t="s">
        <v>20552</v>
      </c>
      <c r="D5352" s="14"/>
      <c r="E5352" s="14" t="s">
        <v>20553</v>
      </c>
      <c r="F5352" s="433"/>
      <c r="G5352" s="434"/>
      <c r="H5352" s="14" t="s">
        <v>20510</v>
      </c>
      <c r="I5352" s="423"/>
      <c r="J5352" s="14"/>
      <c r="K5352" s="13"/>
      <c r="L5352" s="13"/>
      <c r="M5352" s="14"/>
      <c r="N5352" s="15"/>
      <c r="O5352" s="15" t="s">
        <v>564</v>
      </c>
      <c r="P5352" s="15"/>
      <c r="Q5352" s="15"/>
      <c r="R5352" s="422"/>
      <c r="S5352" s="15"/>
      <c r="T5352" s="15"/>
      <c r="U5352" s="15"/>
      <c r="V5352" s="15"/>
      <c r="W5352" s="15"/>
      <c r="X5352" s="15"/>
      <c r="Y5352" s="15"/>
      <c r="Z5352" s="15"/>
      <c r="AA5352" s="15"/>
    </row>
    <row r="5353">
      <c r="A5353" s="15" t="s">
        <v>20532</v>
      </c>
      <c r="B5353" s="15" t="s">
        <v>20554</v>
      </c>
      <c r="C5353" s="14" t="s">
        <v>1694</v>
      </c>
      <c r="D5353" s="14"/>
      <c r="E5353" s="14" t="s">
        <v>3571</v>
      </c>
      <c r="F5353" s="433" t="s">
        <v>20284</v>
      </c>
      <c r="G5353" s="434"/>
      <c r="H5353" s="14" t="s">
        <v>20555</v>
      </c>
      <c r="I5353" s="423"/>
      <c r="J5353" s="14" t="s">
        <v>17976</v>
      </c>
      <c r="K5353" s="13"/>
      <c r="L5353" s="13"/>
      <c r="M5353" s="14" t="s">
        <v>20556</v>
      </c>
      <c r="N5353" s="15" t="s">
        <v>20557</v>
      </c>
      <c r="O5353" s="15" t="s">
        <v>564</v>
      </c>
      <c r="P5353" s="15"/>
      <c r="Q5353" s="15"/>
      <c r="R5353" s="422"/>
      <c r="S5353" s="15"/>
      <c r="T5353" s="15"/>
      <c r="U5353" s="15"/>
      <c r="V5353" s="15"/>
      <c r="W5353" s="15"/>
      <c r="X5353" s="15"/>
      <c r="Y5353" s="15"/>
      <c r="Z5353" s="15"/>
      <c r="AA5353" s="15"/>
    </row>
    <row r="5354">
      <c r="A5354" s="15" t="s">
        <v>20532</v>
      </c>
      <c r="B5354" s="15" t="s">
        <v>20558</v>
      </c>
      <c r="C5354" s="432" t="s">
        <v>19839</v>
      </c>
      <c r="D5354" s="14"/>
      <c r="E5354" s="14" t="s">
        <v>4123</v>
      </c>
      <c r="F5354" s="433" t="s">
        <v>20559</v>
      </c>
      <c r="G5354" s="434"/>
      <c r="H5354" s="14" t="s">
        <v>20560</v>
      </c>
      <c r="I5354" s="423"/>
      <c r="J5354" s="14" t="s">
        <v>17976</v>
      </c>
      <c r="K5354" s="13"/>
      <c r="L5354" s="13"/>
      <c r="M5354" s="14"/>
      <c r="N5354" s="15"/>
      <c r="O5354" s="15" t="s">
        <v>564</v>
      </c>
      <c r="P5354" s="15"/>
      <c r="Q5354" s="15"/>
      <c r="R5354" s="422"/>
      <c r="S5354" s="15"/>
      <c r="T5354" s="15"/>
      <c r="U5354" s="15"/>
      <c r="V5354" s="15"/>
      <c r="W5354" s="15"/>
      <c r="X5354" s="15"/>
      <c r="Y5354" s="15"/>
      <c r="Z5354" s="15"/>
      <c r="AA5354" s="15"/>
    </row>
    <row r="5355">
      <c r="A5355" s="15" t="s">
        <v>20532</v>
      </c>
      <c r="B5355" s="15" t="s">
        <v>20561</v>
      </c>
      <c r="C5355" s="14" t="s">
        <v>20562</v>
      </c>
      <c r="D5355" s="14"/>
      <c r="E5355" s="14" t="s">
        <v>20563</v>
      </c>
      <c r="F5355" s="433" t="s">
        <v>20564</v>
      </c>
      <c r="G5355" s="434"/>
      <c r="H5355" s="14" t="s">
        <v>20565</v>
      </c>
      <c r="I5355" s="423"/>
      <c r="J5355" s="14" t="s">
        <v>20566</v>
      </c>
      <c r="K5355" s="12"/>
      <c r="L5355" s="12"/>
      <c r="M5355" s="11" t="s">
        <v>9742</v>
      </c>
      <c r="N5355" s="5" t="s">
        <v>20567</v>
      </c>
      <c r="O5355" s="15" t="s">
        <v>564</v>
      </c>
      <c r="P5355" s="15"/>
      <c r="Q5355" s="15"/>
      <c r="R5355" s="422"/>
      <c r="S5355" s="15"/>
      <c r="T5355" s="15"/>
      <c r="U5355" s="15"/>
      <c r="V5355" s="15"/>
      <c r="W5355" s="15"/>
      <c r="X5355" s="15"/>
      <c r="Y5355" s="15"/>
      <c r="Z5355" s="15"/>
      <c r="AA5355" s="15"/>
    </row>
    <row r="5356">
      <c r="A5356" s="15" t="s">
        <v>20532</v>
      </c>
      <c r="B5356" s="15" t="s">
        <v>20568</v>
      </c>
      <c r="C5356" s="14" t="s">
        <v>19524</v>
      </c>
      <c r="D5356" s="14"/>
      <c r="E5356" s="14" t="s">
        <v>130</v>
      </c>
      <c r="F5356" s="433" t="s">
        <v>20559</v>
      </c>
      <c r="G5356" s="434"/>
      <c r="H5356" s="14" t="s">
        <v>19755</v>
      </c>
      <c r="I5356" s="423"/>
      <c r="J5356" s="14" t="s">
        <v>17976</v>
      </c>
      <c r="K5356" s="13"/>
      <c r="L5356" s="13"/>
      <c r="M5356" s="14" t="s">
        <v>20569</v>
      </c>
      <c r="N5356" s="15" t="s">
        <v>20570</v>
      </c>
      <c r="O5356" s="15" t="s">
        <v>564</v>
      </c>
      <c r="P5356" s="15"/>
      <c r="Q5356" s="15"/>
      <c r="R5356" s="422"/>
      <c r="S5356" s="15"/>
      <c r="T5356" s="15"/>
      <c r="U5356" s="15"/>
      <c r="V5356" s="15"/>
      <c r="W5356" s="15"/>
      <c r="X5356" s="15"/>
      <c r="Y5356" s="15"/>
      <c r="Z5356" s="15"/>
      <c r="AA5356" s="15"/>
    </row>
    <row r="5357">
      <c r="A5357" s="15" t="s">
        <v>20532</v>
      </c>
      <c r="B5357" s="15" t="s">
        <v>20571</v>
      </c>
      <c r="C5357" s="4" t="s">
        <v>20572</v>
      </c>
      <c r="D5357" s="14"/>
      <c r="E5357" s="14" t="s">
        <v>20573</v>
      </c>
      <c r="F5357" s="433" t="s">
        <v>20322</v>
      </c>
      <c r="G5357" s="434"/>
      <c r="H5357" s="14" t="s">
        <v>20574</v>
      </c>
      <c r="I5357" s="423"/>
      <c r="J5357" s="14"/>
      <c r="K5357" s="13"/>
      <c r="L5357" s="13"/>
      <c r="M5357" s="14"/>
      <c r="N5357" s="15"/>
      <c r="O5357" s="15" t="s">
        <v>13963</v>
      </c>
      <c r="P5357" s="15"/>
      <c r="Q5357" s="15"/>
      <c r="R5357" s="422"/>
      <c r="S5357" s="15"/>
      <c r="T5357" s="15"/>
      <c r="U5357" s="15"/>
      <c r="V5357" s="15"/>
      <c r="W5357" s="15"/>
      <c r="X5357" s="15"/>
      <c r="Y5357" s="15"/>
      <c r="Z5357" s="15"/>
      <c r="AA5357" s="15"/>
    </row>
    <row r="5358">
      <c r="A5358" s="15" t="s">
        <v>20532</v>
      </c>
      <c r="B5358" s="15" t="s">
        <v>20575</v>
      </c>
      <c r="C5358" s="432" t="s">
        <v>20576</v>
      </c>
      <c r="D5358" s="14"/>
      <c r="E5358" s="14" t="s">
        <v>130</v>
      </c>
      <c r="F5358" s="433" t="s">
        <v>20577</v>
      </c>
      <c r="G5358" s="434"/>
      <c r="H5358" s="14" t="s">
        <v>507</v>
      </c>
      <c r="I5358" s="423"/>
      <c r="J5358" s="14" t="s">
        <v>25</v>
      </c>
      <c r="K5358" s="13"/>
      <c r="L5358" s="13"/>
      <c r="M5358" s="14" t="s">
        <v>20578</v>
      </c>
      <c r="N5358" s="15" t="s">
        <v>20579</v>
      </c>
      <c r="O5358" s="15" t="s">
        <v>564</v>
      </c>
      <c r="P5358" s="15"/>
      <c r="Q5358" s="15"/>
      <c r="R5358" s="422"/>
      <c r="S5358" s="15"/>
      <c r="T5358" s="15"/>
      <c r="U5358" s="15"/>
      <c r="V5358" s="15"/>
      <c r="W5358" s="15"/>
      <c r="X5358" s="15"/>
      <c r="Y5358" s="15"/>
      <c r="Z5358" s="15"/>
      <c r="AA5358" s="15"/>
    </row>
    <row r="5359">
      <c r="A5359" s="15" t="s">
        <v>20532</v>
      </c>
      <c r="B5359" s="15" t="s">
        <v>20580</v>
      </c>
      <c r="C5359" s="4" t="s">
        <v>20581</v>
      </c>
      <c r="D5359" s="14"/>
      <c r="E5359" s="14" t="s">
        <v>20582</v>
      </c>
      <c r="F5359" s="433" t="s">
        <v>20340</v>
      </c>
      <c r="G5359" s="434"/>
      <c r="H5359" s="14" t="s">
        <v>20583</v>
      </c>
      <c r="I5359" s="423"/>
      <c r="J5359" s="14"/>
      <c r="K5359" s="13"/>
      <c r="L5359" s="13"/>
      <c r="M5359" s="14" t="s">
        <v>10476</v>
      </c>
      <c r="N5359" s="15" t="s">
        <v>20584</v>
      </c>
      <c r="O5359" s="15" t="s">
        <v>564</v>
      </c>
      <c r="P5359" s="15"/>
      <c r="Q5359" s="15"/>
      <c r="R5359" s="422"/>
      <c r="S5359" s="15"/>
      <c r="T5359" s="15"/>
      <c r="U5359" s="15"/>
      <c r="V5359" s="15"/>
      <c r="W5359" s="15"/>
      <c r="X5359" s="15"/>
      <c r="Y5359" s="15"/>
      <c r="Z5359" s="15"/>
      <c r="AA5359" s="15"/>
    </row>
    <row r="5360">
      <c r="A5360" s="15" t="s">
        <v>20532</v>
      </c>
      <c r="B5360" s="15" t="s">
        <v>20585</v>
      </c>
      <c r="C5360" s="14" t="s">
        <v>6464</v>
      </c>
      <c r="D5360" s="14"/>
      <c r="E5360" s="14" t="s">
        <v>130</v>
      </c>
      <c r="F5360" s="433" t="s">
        <v>20322</v>
      </c>
      <c r="G5360" s="434"/>
      <c r="H5360" s="14" t="s">
        <v>1414</v>
      </c>
      <c r="I5360" s="423"/>
      <c r="J5360" s="14" t="s">
        <v>12978</v>
      </c>
      <c r="K5360" s="13"/>
      <c r="L5360" s="13"/>
      <c r="M5360" s="14" t="s">
        <v>20586</v>
      </c>
      <c r="N5360" s="15" t="s">
        <v>20587</v>
      </c>
      <c r="O5360" s="15" t="s">
        <v>564</v>
      </c>
      <c r="P5360" s="15"/>
      <c r="Q5360" s="15"/>
      <c r="R5360" s="422"/>
      <c r="S5360" s="15"/>
      <c r="T5360" s="15"/>
      <c r="U5360" s="15"/>
      <c r="V5360" s="15"/>
      <c r="W5360" s="15"/>
      <c r="X5360" s="15"/>
      <c r="Y5360" s="15"/>
      <c r="Z5360" s="15"/>
      <c r="AA5360" s="15"/>
    </row>
    <row r="5361">
      <c r="A5361" s="15" t="s">
        <v>20532</v>
      </c>
      <c r="B5361" s="15" t="s">
        <v>20588</v>
      </c>
      <c r="C5361" s="432" t="s">
        <v>18796</v>
      </c>
      <c r="D5361" s="14"/>
      <c r="E5361" s="14" t="s">
        <v>213</v>
      </c>
      <c r="F5361" s="433" t="s">
        <v>20348</v>
      </c>
      <c r="G5361" s="434"/>
      <c r="H5361" s="14" t="s">
        <v>507</v>
      </c>
      <c r="I5361" s="423"/>
      <c r="J5361" s="14" t="s">
        <v>25</v>
      </c>
      <c r="K5361" s="13"/>
      <c r="L5361" s="13"/>
      <c r="M5361" s="14" t="s">
        <v>20491</v>
      </c>
      <c r="N5361" s="15" t="s">
        <v>20589</v>
      </c>
      <c r="O5361" s="15" t="s">
        <v>564</v>
      </c>
      <c r="P5361" s="15"/>
      <c r="Q5361" s="15"/>
      <c r="R5361" s="422"/>
      <c r="S5361" s="15"/>
      <c r="T5361" s="15"/>
      <c r="U5361" s="15"/>
      <c r="V5361" s="15"/>
      <c r="W5361" s="15"/>
      <c r="X5361" s="15"/>
      <c r="Y5361" s="15"/>
      <c r="Z5361" s="15"/>
      <c r="AA5361" s="15"/>
    </row>
    <row r="5362">
      <c r="A5362" s="15" t="s">
        <v>20532</v>
      </c>
      <c r="B5362" s="15" t="s">
        <v>20590</v>
      </c>
      <c r="C5362" s="432" t="s">
        <v>20591</v>
      </c>
      <c r="D5362" s="14"/>
      <c r="E5362" s="14" t="s">
        <v>20592</v>
      </c>
      <c r="F5362" s="433" t="s">
        <v>20593</v>
      </c>
      <c r="G5362" s="434"/>
      <c r="H5362" s="14" t="s">
        <v>398</v>
      </c>
      <c r="I5362" s="423"/>
      <c r="J5362" s="14" t="s">
        <v>17976</v>
      </c>
      <c r="K5362" s="13"/>
      <c r="L5362" s="13"/>
      <c r="M5362" s="14"/>
      <c r="N5362" s="15"/>
      <c r="O5362" s="15" t="s">
        <v>564</v>
      </c>
      <c r="P5362" s="15"/>
      <c r="Q5362" s="15"/>
      <c r="R5362" s="422"/>
      <c r="S5362" s="15"/>
      <c r="T5362" s="15"/>
      <c r="U5362" s="15"/>
      <c r="V5362" s="15"/>
      <c r="W5362" s="15"/>
      <c r="X5362" s="15"/>
      <c r="Y5362" s="15"/>
      <c r="Z5362" s="15"/>
      <c r="AA5362" s="15"/>
    </row>
    <row r="5363">
      <c r="A5363" s="15" t="s">
        <v>20532</v>
      </c>
      <c r="B5363" s="15" t="s">
        <v>20594</v>
      </c>
      <c r="C5363" s="432" t="s">
        <v>20595</v>
      </c>
      <c r="D5363" s="14"/>
      <c r="E5363" s="14" t="s">
        <v>147</v>
      </c>
      <c r="F5363" s="433" t="s">
        <v>20375</v>
      </c>
      <c r="G5363" s="434"/>
      <c r="H5363" s="14" t="s">
        <v>20596</v>
      </c>
      <c r="I5363" s="423"/>
      <c r="J5363" s="14" t="s">
        <v>20597</v>
      </c>
      <c r="K5363" s="13"/>
      <c r="L5363" s="13"/>
      <c r="M5363" s="14"/>
      <c r="N5363" s="15"/>
      <c r="O5363" s="15" t="s">
        <v>564</v>
      </c>
      <c r="P5363" s="15"/>
      <c r="Q5363" s="15"/>
      <c r="R5363" s="422"/>
      <c r="S5363" s="15"/>
      <c r="T5363" s="15"/>
      <c r="U5363" s="15"/>
      <c r="V5363" s="15"/>
      <c r="W5363" s="15"/>
      <c r="X5363" s="15"/>
      <c r="Y5363" s="15"/>
      <c r="Z5363" s="15"/>
      <c r="AA5363" s="15"/>
    </row>
    <row r="5364">
      <c r="A5364" s="15" t="s">
        <v>20598</v>
      </c>
      <c r="B5364" s="15" t="s">
        <v>20599</v>
      </c>
      <c r="C5364" s="14" t="s">
        <v>17687</v>
      </c>
      <c r="D5364" s="14"/>
      <c r="E5364" s="14" t="s">
        <v>2476</v>
      </c>
      <c r="F5364" s="433" t="s">
        <v>20340</v>
      </c>
      <c r="G5364" s="434"/>
      <c r="H5364" s="14" t="s">
        <v>10805</v>
      </c>
      <c r="I5364" s="423"/>
      <c r="J5364" s="14"/>
      <c r="K5364" s="13"/>
      <c r="L5364" s="13"/>
      <c r="M5364" s="14" t="s">
        <v>14514</v>
      </c>
      <c r="N5364" s="15" t="s">
        <v>20600</v>
      </c>
      <c r="O5364" s="15" t="s">
        <v>17993</v>
      </c>
      <c r="P5364" s="15"/>
      <c r="Q5364" s="15"/>
      <c r="R5364" s="422"/>
      <c r="S5364" s="15"/>
      <c r="T5364" s="15"/>
      <c r="U5364" s="15"/>
      <c r="V5364" s="15"/>
      <c r="W5364" s="15"/>
      <c r="X5364" s="15"/>
      <c r="Y5364" s="15"/>
      <c r="Z5364" s="15"/>
      <c r="AA5364" s="15"/>
    </row>
    <row r="5365">
      <c r="A5365" s="15" t="s">
        <v>20598</v>
      </c>
      <c r="B5365" s="15" t="s">
        <v>20601</v>
      </c>
      <c r="C5365" s="14" t="s">
        <v>20602</v>
      </c>
      <c r="D5365" s="14"/>
      <c r="E5365" s="14" t="s">
        <v>147</v>
      </c>
      <c r="F5365" s="433" t="s">
        <v>20322</v>
      </c>
      <c r="G5365" s="465"/>
      <c r="H5365" s="466" t="s">
        <v>20603</v>
      </c>
      <c r="I5365" s="423"/>
      <c r="J5365" s="14"/>
      <c r="K5365" s="13"/>
      <c r="L5365" s="13"/>
      <c r="M5365" s="14"/>
      <c r="N5365" s="15"/>
      <c r="O5365" s="15" t="s">
        <v>564</v>
      </c>
      <c r="P5365" s="15"/>
      <c r="Q5365" s="15"/>
      <c r="R5365" s="422"/>
      <c r="S5365" s="15"/>
      <c r="T5365" s="15"/>
      <c r="U5365" s="15"/>
      <c r="V5365" s="15"/>
      <c r="W5365" s="15"/>
      <c r="X5365" s="15"/>
      <c r="Y5365" s="15"/>
      <c r="Z5365" s="15"/>
      <c r="AA5365" s="15"/>
    </row>
    <row r="5366">
      <c r="A5366" s="15" t="s">
        <v>20598</v>
      </c>
      <c r="B5366" s="15" t="s">
        <v>20604</v>
      </c>
      <c r="C5366" s="14" t="s">
        <v>17111</v>
      </c>
      <c r="D5366" s="14"/>
      <c r="E5366" s="14" t="s">
        <v>130</v>
      </c>
      <c r="F5366" s="433" t="s">
        <v>20284</v>
      </c>
      <c r="G5366" s="434"/>
      <c r="H5366" s="14" t="s">
        <v>1100</v>
      </c>
      <c r="I5366" s="423"/>
      <c r="J5366" s="14"/>
      <c r="K5366" s="13"/>
      <c r="L5366" s="13"/>
      <c r="M5366" s="14"/>
      <c r="N5366" s="15"/>
      <c r="O5366" s="15" t="s">
        <v>564</v>
      </c>
      <c r="P5366" s="15"/>
      <c r="Q5366" s="15"/>
      <c r="R5366" s="422"/>
      <c r="S5366" s="15"/>
      <c r="T5366" s="15"/>
      <c r="U5366" s="15"/>
      <c r="V5366" s="15"/>
      <c r="W5366" s="15"/>
      <c r="X5366" s="15"/>
      <c r="Y5366" s="15"/>
      <c r="Z5366" s="15"/>
      <c r="AA5366" s="15"/>
    </row>
    <row r="5367">
      <c r="A5367" s="15" t="s">
        <v>20598</v>
      </c>
      <c r="B5367" s="15" t="s">
        <v>20605</v>
      </c>
      <c r="C5367" s="432" t="s">
        <v>20606</v>
      </c>
      <c r="D5367" s="14"/>
      <c r="E5367" s="14" t="s">
        <v>18248</v>
      </c>
      <c r="F5367" s="433" t="s">
        <v>20559</v>
      </c>
      <c r="G5367" s="434"/>
      <c r="H5367" s="14" t="s">
        <v>507</v>
      </c>
      <c r="I5367" s="423"/>
      <c r="J5367" s="14" t="s">
        <v>7109</v>
      </c>
      <c r="K5367" s="13"/>
      <c r="L5367" s="13"/>
      <c r="M5367" s="14"/>
      <c r="N5367" s="15"/>
      <c r="O5367" s="15" t="s">
        <v>564</v>
      </c>
      <c r="P5367" s="15"/>
      <c r="Q5367" s="15"/>
      <c r="R5367" s="422"/>
      <c r="S5367" s="15"/>
      <c r="T5367" s="15"/>
      <c r="U5367" s="15"/>
      <c r="V5367" s="15"/>
      <c r="W5367" s="15"/>
      <c r="X5367" s="15"/>
      <c r="Y5367" s="15"/>
      <c r="Z5367" s="15"/>
      <c r="AA5367" s="15"/>
    </row>
    <row r="5368">
      <c r="A5368" s="15" t="s">
        <v>20598</v>
      </c>
      <c r="B5368" s="15" t="s">
        <v>20607</v>
      </c>
      <c r="C5368" s="432" t="s">
        <v>20608</v>
      </c>
      <c r="D5368" s="14"/>
      <c r="E5368" s="14" t="s">
        <v>7897</v>
      </c>
      <c r="F5368" s="433" t="s">
        <v>20340</v>
      </c>
      <c r="G5368" s="434"/>
      <c r="H5368" s="14" t="s">
        <v>2662</v>
      </c>
      <c r="I5368" s="423"/>
      <c r="J5368" s="14" t="s">
        <v>17976</v>
      </c>
      <c r="K5368" s="13"/>
      <c r="L5368" s="13"/>
      <c r="M5368" s="14"/>
      <c r="N5368" s="15"/>
      <c r="O5368" s="15" t="s">
        <v>564</v>
      </c>
      <c r="P5368" s="15"/>
      <c r="Q5368" s="15"/>
      <c r="R5368" s="422"/>
      <c r="S5368" s="15"/>
      <c r="T5368" s="15"/>
      <c r="U5368" s="15"/>
      <c r="V5368" s="15"/>
      <c r="W5368" s="15"/>
      <c r="X5368" s="15"/>
      <c r="Y5368" s="15"/>
      <c r="Z5368" s="15"/>
      <c r="AA5368" s="15"/>
    </row>
    <row r="5369">
      <c r="A5369" s="15" t="s">
        <v>20598</v>
      </c>
      <c r="B5369" s="15" t="s">
        <v>20609</v>
      </c>
      <c r="C5369" s="432" t="s">
        <v>20610</v>
      </c>
      <c r="D5369" s="14"/>
      <c r="E5369" s="14" t="s">
        <v>10409</v>
      </c>
      <c r="F5369" s="433" t="s">
        <v>20303</v>
      </c>
      <c r="G5369" s="463"/>
      <c r="H5369" s="432" t="s">
        <v>20611</v>
      </c>
      <c r="I5369" s="423"/>
      <c r="J5369" s="14"/>
      <c r="K5369" s="13"/>
      <c r="L5369" s="13"/>
      <c r="M5369" s="14"/>
      <c r="N5369" s="15"/>
      <c r="O5369" s="15" t="s">
        <v>564</v>
      </c>
      <c r="P5369" s="15"/>
      <c r="Q5369" s="15"/>
      <c r="R5369" s="422"/>
      <c r="S5369" s="15"/>
      <c r="T5369" s="15"/>
      <c r="U5369" s="15"/>
      <c r="V5369" s="15"/>
      <c r="W5369" s="15"/>
      <c r="X5369" s="15"/>
      <c r="Y5369" s="15"/>
      <c r="Z5369" s="15"/>
      <c r="AA5369" s="15"/>
    </row>
    <row r="5370">
      <c r="A5370" s="15" t="s">
        <v>20598</v>
      </c>
      <c r="B5370" s="15" t="s">
        <v>20612</v>
      </c>
      <c r="C5370" s="454" t="s">
        <v>20613</v>
      </c>
      <c r="D5370" s="14"/>
      <c r="E5370" s="14" t="s">
        <v>5293</v>
      </c>
      <c r="F5370" s="433" t="s">
        <v>18673</v>
      </c>
      <c r="G5370" s="434"/>
      <c r="H5370" s="14" t="s">
        <v>20614</v>
      </c>
      <c r="I5370" s="423"/>
      <c r="J5370" s="14" t="s">
        <v>9814</v>
      </c>
      <c r="K5370" s="13"/>
      <c r="L5370" s="13"/>
      <c r="M5370" s="14" t="s">
        <v>20615</v>
      </c>
      <c r="N5370" s="15" t="s">
        <v>20616</v>
      </c>
      <c r="O5370" s="15" t="s">
        <v>34</v>
      </c>
      <c r="P5370" s="15"/>
      <c r="Q5370" s="15"/>
      <c r="R5370" s="422"/>
      <c r="S5370" s="15"/>
      <c r="T5370" s="15"/>
      <c r="U5370" s="15"/>
      <c r="V5370" s="15"/>
      <c r="W5370" s="15"/>
      <c r="X5370" s="15"/>
      <c r="Y5370" s="15"/>
      <c r="Z5370" s="15"/>
      <c r="AA5370" s="15"/>
    </row>
    <row r="5371">
      <c r="A5371" s="15" t="s">
        <v>20598</v>
      </c>
      <c r="B5371" s="15" t="s">
        <v>20617</v>
      </c>
      <c r="C5371" s="432" t="s">
        <v>20618</v>
      </c>
      <c r="D5371" s="14"/>
      <c r="E5371" s="14" t="s">
        <v>19875</v>
      </c>
      <c r="F5371" s="433" t="s">
        <v>20619</v>
      </c>
      <c r="G5371" s="434"/>
      <c r="H5371" s="14" t="s">
        <v>507</v>
      </c>
      <c r="I5371" s="423"/>
      <c r="J5371" s="14" t="s">
        <v>9814</v>
      </c>
      <c r="K5371" s="13"/>
      <c r="L5371" s="13"/>
      <c r="M5371" s="14"/>
      <c r="N5371" s="15"/>
      <c r="O5371" s="15" t="s">
        <v>564</v>
      </c>
      <c r="P5371" s="15"/>
      <c r="Q5371" s="15"/>
      <c r="R5371" s="422"/>
      <c r="S5371" s="15"/>
      <c r="T5371" s="15"/>
      <c r="U5371" s="15"/>
      <c r="V5371" s="15"/>
      <c r="W5371" s="15"/>
      <c r="X5371" s="15"/>
      <c r="Y5371" s="15"/>
      <c r="Z5371" s="15"/>
      <c r="AA5371" s="15"/>
    </row>
    <row r="5372">
      <c r="A5372" s="15" t="s">
        <v>20598</v>
      </c>
      <c r="B5372" s="15" t="s">
        <v>20620</v>
      </c>
      <c r="C5372" s="4" t="s">
        <v>20621</v>
      </c>
      <c r="D5372" s="14"/>
      <c r="E5372" s="14" t="s">
        <v>20622</v>
      </c>
      <c r="F5372" s="433" t="s">
        <v>20354</v>
      </c>
      <c r="G5372" s="434"/>
      <c r="H5372" s="14" t="s">
        <v>44</v>
      </c>
      <c r="I5372" s="423"/>
      <c r="J5372" s="14" t="s">
        <v>17976</v>
      </c>
      <c r="K5372" s="13"/>
      <c r="L5372" s="13"/>
      <c r="M5372" s="14"/>
      <c r="N5372" s="15"/>
      <c r="O5372" s="15" t="s">
        <v>564</v>
      </c>
      <c r="P5372" s="15"/>
      <c r="Q5372" s="15"/>
      <c r="R5372" s="422"/>
      <c r="S5372" s="15"/>
      <c r="T5372" s="15"/>
      <c r="U5372" s="15"/>
      <c r="V5372" s="15"/>
      <c r="W5372" s="15"/>
      <c r="X5372" s="15"/>
      <c r="Y5372" s="15"/>
      <c r="Z5372" s="15"/>
      <c r="AA5372" s="15"/>
    </row>
    <row r="5373">
      <c r="A5373" s="15" t="s">
        <v>20598</v>
      </c>
      <c r="B5373" s="15" t="s">
        <v>20623</v>
      </c>
      <c r="C5373" s="432" t="s">
        <v>20624</v>
      </c>
      <c r="D5373" s="14"/>
      <c r="E5373" s="14" t="s">
        <v>20625</v>
      </c>
      <c r="F5373" s="433" t="s">
        <v>20626</v>
      </c>
      <c r="G5373" s="434"/>
      <c r="H5373" s="14" t="s">
        <v>44</v>
      </c>
      <c r="I5373" s="423"/>
      <c r="J5373" s="14" t="s">
        <v>20627</v>
      </c>
      <c r="K5373" s="13"/>
      <c r="L5373" s="13"/>
      <c r="M5373" s="14" t="s">
        <v>20628</v>
      </c>
      <c r="N5373" s="15" t="s">
        <v>20629</v>
      </c>
      <c r="O5373" s="15" t="s">
        <v>564</v>
      </c>
      <c r="P5373" s="15"/>
      <c r="Q5373" s="15"/>
      <c r="R5373" s="422"/>
      <c r="S5373" s="15"/>
      <c r="T5373" s="15"/>
      <c r="U5373" s="15"/>
      <c r="V5373" s="15"/>
      <c r="W5373" s="15"/>
      <c r="X5373" s="15"/>
      <c r="Y5373" s="15"/>
      <c r="Z5373" s="15"/>
      <c r="AA5373" s="15"/>
    </row>
    <row r="5374">
      <c r="A5374" s="15" t="s">
        <v>20598</v>
      </c>
      <c r="B5374" s="15" t="s">
        <v>20630</v>
      </c>
      <c r="C5374" s="432" t="s">
        <v>17687</v>
      </c>
      <c r="D5374" s="14"/>
      <c r="E5374" s="14" t="s">
        <v>20631</v>
      </c>
      <c r="F5374" s="433"/>
      <c r="G5374" s="434"/>
      <c r="H5374" s="14" t="s">
        <v>2682</v>
      </c>
      <c r="I5374" s="423"/>
      <c r="J5374" s="14"/>
      <c r="K5374" s="13"/>
      <c r="L5374" s="13"/>
      <c r="M5374" s="14"/>
      <c r="N5374" s="15"/>
      <c r="O5374" s="15" t="s">
        <v>13963</v>
      </c>
      <c r="P5374" s="15"/>
      <c r="Q5374" s="15"/>
      <c r="R5374" s="422"/>
      <c r="S5374" s="15"/>
      <c r="T5374" s="15"/>
      <c r="U5374" s="15"/>
      <c r="V5374" s="15"/>
      <c r="W5374" s="15"/>
      <c r="X5374" s="15"/>
      <c r="Y5374" s="15"/>
      <c r="Z5374" s="15"/>
      <c r="AA5374" s="15"/>
    </row>
    <row r="5375">
      <c r="A5375" s="15" t="s">
        <v>20598</v>
      </c>
      <c r="B5375" s="15" t="s">
        <v>20632</v>
      </c>
      <c r="C5375" s="432" t="s">
        <v>20633</v>
      </c>
      <c r="D5375" s="14"/>
      <c r="E5375" s="14" t="s">
        <v>130</v>
      </c>
      <c r="F5375" s="433"/>
      <c r="G5375" s="434"/>
      <c r="H5375" s="14" t="s">
        <v>507</v>
      </c>
      <c r="I5375" s="423"/>
      <c r="J5375" s="14"/>
      <c r="K5375" s="13"/>
      <c r="L5375" s="13"/>
      <c r="M5375" s="14"/>
      <c r="N5375" s="15"/>
      <c r="O5375" s="15" t="s">
        <v>564</v>
      </c>
      <c r="P5375" s="15"/>
      <c r="Q5375" s="15"/>
      <c r="R5375" s="422"/>
      <c r="S5375" s="15"/>
      <c r="T5375" s="15"/>
      <c r="U5375" s="15"/>
      <c r="V5375" s="15"/>
      <c r="W5375" s="15"/>
      <c r="X5375" s="15"/>
      <c r="Y5375" s="15"/>
      <c r="Z5375" s="15"/>
      <c r="AA5375" s="15"/>
    </row>
    <row r="5376">
      <c r="A5376" s="15" t="s">
        <v>20598</v>
      </c>
      <c r="B5376" s="15" t="s">
        <v>20634</v>
      </c>
      <c r="C5376" s="4" t="s">
        <v>20635</v>
      </c>
      <c r="D5376" s="470"/>
      <c r="E5376" s="470" t="s">
        <v>20636</v>
      </c>
      <c r="F5376" s="433" t="s">
        <v>20637</v>
      </c>
      <c r="G5376" s="434"/>
      <c r="H5376" s="14" t="s">
        <v>20510</v>
      </c>
      <c r="I5376" s="423"/>
      <c r="J5376" s="14"/>
      <c r="K5376" s="13"/>
      <c r="L5376" s="13"/>
      <c r="M5376" s="14"/>
      <c r="N5376" s="15"/>
      <c r="O5376" s="15" t="s">
        <v>564</v>
      </c>
      <c r="P5376" s="15"/>
      <c r="Q5376" s="15"/>
      <c r="R5376" s="422"/>
      <c r="S5376" s="15"/>
      <c r="T5376" s="15"/>
      <c r="U5376" s="15"/>
      <c r="V5376" s="15"/>
      <c r="W5376" s="15"/>
      <c r="X5376" s="15"/>
      <c r="Y5376" s="15"/>
      <c r="Z5376" s="15"/>
      <c r="AA5376" s="15"/>
    </row>
    <row r="5377">
      <c r="A5377" s="15" t="s">
        <v>20598</v>
      </c>
      <c r="B5377" s="15" t="s">
        <v>20638</v>
      </c>
      <c r="C5377" s="432" t="s">
        <v>20639</v>
      </c>
      <c r="D5377" s="14"/>
      <c r="E5377" s="14" t="s">
        <v>20008</v>
      </c>
      <c r="F5377" s="433"/>
      <c r="G5377" s="434"/>
      <c r="H5377" s="14" t="s">
        <v>19903</v>
      </c>
      <c r="I5377" s="423"/>
      <c r="J5377" s="14" t="s">
        <v>20640</v>
      </c>
      <c r="K5377" s="13"/>
      <c r="L5377" s="13"/>
      <c r="M5377" s="14"/>
      <c r="N5377" s="15"/>
      <c r="O5377" s="15" t="s">
        <v>564</v>
      </c>
      <c r="P5377" s="15"/>
      <c r="Q5377" s="15"/>
      <c r="R5377" s="422"/>
      <c r="S5377" s="15"/>
      <c r="T5377" s="15"/>
      <c r="U5377" s="15"/>
      <c r="V5377" s="15"/>
      <c r="W5377" s="15"/>
      <c r="X5377" s="15"/>
      <c r="Y5377" s="15"/>
      <c r="Z5377" s="15"/>
      <c r="AA5377" s="15"/>
    </row>
    <row r="5378">
      <c r="A5378" s="15" t="s">
        <v>20598</v>
      </c>
      <c r="B5378" s="15" t="s">
        <v>20641</v>
      </c>
      <c r="C5378" s="4" t="s">
        <v>20642</v>
      </c>
      <c r="D5378" s="14"/>
      <c r="E5378" s="14" t="s">
        <v>20643</v>
      </c>
      <c r="F5378" s="433"/>
      <c r="G5378" s="434"/>
      <c r="H5378" s="14" t="s">
        <v>20510</v>
      </c>
      <c r="I5378" s="423"/>
      <c r="J5378" s="14"/>
      <c r="K5378" s="13"/>
      <c r="L5378" s="13"/>
      <c r="M5378" s="14" t="s">
        <v>20644</v>
      </c>
      <c r="N5378" s="15" t="s">
        <v>20645</v>
      </c>
      <c r="O5378" s="15" t="s">
        <v>564</v>
      </c>
      <c r="P5378" s="15"/>
      <c r="Q5378" s="15"/>
      <c r="R5378" s="422"/>
      <c r="S5378" s="15"/>
      <c r="T5378" s="15"/>
      <c r="U5378" s="15"/>
      <c r="V5378" s="15"/>
      <c r="W5378" s="15"/>
      <c r="X5378" s="15"/>
      <c r="Y5378" s="15"/>
      <c r="Z5378" s="15"/>
      <c r="AA5378" s="15"/>
    </row>
    <row r="5379">
      <c r="A5379" s="15" t="s">
        <v>20598</v>
      </c>
      <c r="B5379" s="15" t="s">
        <v>20646</v>
      </c>
      <c r="C5379" s="14" t="s">
        <v>20647</v>
      </c>
      <c r="D5379" s="14"/>
      <c r="E5379" s="14" t="s">
        <v>130</v>
      </c>
      <c r="F5379" s="433" t="s">
        <v>20648</v>
      </c>
      <c r="G5379" s="434"/>
      <c r="H5379" s="14" t="s">
        <v>20649</v>
      </c>
      <c r="I5379" s="423"/>
      <c r="J5379" s="14"/>
      <c r="K5379" s="13"/>
      <c r="L5379" s="13"/>
      <c r="M5379" s="14"/>
      <c r="N5379" s="15"/>
      <c r="O5379" s="15" t="s">
        <v>564</v>
      </c>
      <c r="P5379" s="15"/>
      <c r="Q5379" s="15"/>
      <c r="R5379" s="422"/>
      <c r="S5379" s="15"/>
      <c r="T5379" s="15"/>
      <c r="U5379" s="15"/>
      <c r="V5379" s="15"/>
      <c r="W5379" s="15"/>
      <c r="X5379" s="15"/>
      <c r="Y5379" s="15"/>
      <c r="Z5379" s="15"/>
      <c r="AA5379" s="15"/>
    </row>
    <row r="5380">
      <c r="A5380" s="15" t="s">
        <v>20598</v>
      </c>
      <c r="B5380" s="15" t="s">
        <v>20650</v>
      </c>
      <c r="C5380" s="14" t="s">
        <v>20651</v>
      </c>
      <c r="D5380" s="14"/>
      <c r="E5380" s="14" t="s">
        <v>10409</v>
      </c>
      <c r="F5380" s="433" t="s">
        <v>20392</v>
      </c>
      <c r="G5380" s="434"/>
      <c r="H5380" s="14" t="s">
        <v>44</v>
      </c>
      <c r="I5380" s="423"/>
      <c r="J5380" s="14"/>
      <c r="K5380" s="13"/>
      <c r="L5380" s="13"/>
      <c r="M5380" s="14"/>
      <c r="N5380" s="15"/>
      <c r="O5380" s="15" t="s">
        <v>564</v>
      </c>
      <c r="P5380" s="15"/>
      <c r="Q5380" s="15"/>
      <c r="R5380" s="422"/>
      <c r="S5380" s="15"/>
      <c r="T5380" s="15"/>
      <c r="U5380" s="15"/>
      <c r="V5380" s="15"/>
      <c r="W5380" s="15"/>
      <c r="X5380" s="15"/>
      <c r="Y5380" s="15"/>
      <c r="Z5380" s="15"/>
      <c r="AA5380" s="15"/>
    </row>
    <row r="5381">
      <c r="A5381" s="15" t="s">
        <v>20598</v>
      </c>
      <c r="B5381" s="15" t="s">
        <v>20652</v>
      </c>
      <c r="C5381" s="14" t="s">
        <v>20653</v>
      </c>
      <c r="D5381" s="14"/>
      <c r="E5381" s="14" t="s">
        <v>22</v>
      </c>
      <c r="F5381" s="433" t="s">
        <v>20322</v>
      </c>
      <c r="G5381" s="434"/>
      <c r="H5381" s="14" t="s">
        <v>20654</v>
      </c>
      <c r="I5381" s="423"/>
      <c r="J5381" s="14" t="s">
        <v>17976</v>
      </c>
      <c r="K5381" s="13"/>
      <c r="L5381" s="13"/>
      <c r="M5381" s="14"/>
      <c r="N5381" s="15"/>
      <c r="O5381" s="15" t="s">
        <v>564</v>
      </c>
      <c r="P5381" s="15"/>
      <c r="Q5381" s="15"/>
      <c r="R5381" s="422"/>
      <c r="S5381" s="15"/>
      <c r="T5381" s="15"/>
      <c r="U5381" s="15"/>
      <c r="V5381" s="15"/>
      <c r="W5381" s="15"/>
      <c r="X5381" s="15"/>
      <c r="Y5381" s="15"/>
      <c r="Z5381" s="15"/>
      <c r="AA5381" s="15"/>
    </row>
    <row r="5382">
      <c r="A5382" s="15" t="s">
        <v>20598</v>
      </c>
      <c r="B5382" s="15" t="s">
        <v>20655</v>
      </c>
      <c r="C5382" s="432" t="s">
        <v>20656</v>
      </c>
      <c r="D5382" s="14"/>
      <c r="E5382" s="14" t="s">
        <v>130</v>
      </c>
      <c r="F5382" s="433" t="s">
        <v>20657</v>
      </c>
      <c r="G5382" s="434"/>
      <c r="H5382" s="14" t="s">
        <v>906</v>
      </c>
      <c r="I5382" s="423"/>
      <c r="J5382" s="14" t="s">
        <v>7109</v>
      </c>
      <c r="K5382" s="13"/>
      <c r="L5382" s="13"/>
      <c r="M5382" s="14"/>
      <c r="N5382" s="15"/>
      <c r="O5382" s="15" t="s">
        <v>564</v>
      </c>
      <c r="P5382" s="15"/>
      <c r="Q5382" s="15"/>
      <c r="R5382" s="422"/>
      <c r="S5382" s="15"/>
      <c r="T5382" s="15"/>
      <c r="U5382" s="15"/>
      <c r="V5382" s="15"/>
      <c r="W5382" s="15"/>
      <c r="X5382" s="15"/>
      <c r="Y5382" s="15"/>
      <c r="Z5382" s="15"/>
      <c r="AA5382" s="15"/>
    </row>
    <row r="5383">
      <c r="A5383" s="15" t="s">
        <v>20598</v>
      </c>
      <c r="B5383" s="15" t="s">
        <v>20658</v>
      </c>
      <c r="C5383" s="454" t="s">
        <v>4669</v>
      </c>
      <c r="D5383" s="14"/>
      <c r="E5383" s="14" t="s">
        <v>20659</v>
      </c>
      <c r="F5383" s="433" t="s">
        <v>20660</v>
      </c>
      <c r="G5383" s="434"/>
      <c r="H5383" s="14" t="s">
        <v>20661</v>
      </c>
      <c r="I5383" s="423"/>
      <c r="J5383" s="14" t="s">
        <v>12731</v>
      </c>
      <c r="K5383" s="12"/>
      <c r="L5383" s="12"/>
      <c r="M5383" s="11" t="s">
        <v>20662</v>
      </c>
      <c r="N5383" s="5" t="s">
        <v>20663</v>
      </c>
      <c r="O5383" s="15" t="s">
        <v>564</v>
      </c>
      <c r="P5383" s="15"/>
      <c r="Q5383" s="15"/>
      <c r="R5383" s="422"/>
      <c r="S5383" s="15"/>
      <c r="T5383" s="15"/>
      <c r="U5383" s="15"/>
      <c r="V5383" s="15"/>
      <c r="W5383" s="15"/>
      <c r="X5383" s="15"/>
      <c r="Y5383" s="15"/>
      <c r="Z5383" s="15"/>
      <c r="AA5383" s="15"/>
    </row>
    <row r="5384">
      <c r="A5384" s="15" t="s">
        <v>20598</v>
      </c>
      <c r="B5384" s="15" t="s">
        <v>20664</v>
      </c>
      <c r="C5384" s="454" t="s">
        <v>20665</v>
      </c>
      <c r="D5384" s="14"/>
      <c r="E5384" s="14" t="s">
        <v>116</v>
      </c>
      <c r="F5384" s="433" t="s">
        <v>20313</v>
      </c>
      <c r="G5384" s="434"/>
      <c r="H5384" s="14" t="s">
        <v>158</v>
      </c>
      <c r="I5384" s="423"/>
      <c r="J5384" s="14" t="s">
        <v>17976</v>
      </c>
      <c r="K5384" s="13"/>
      <c r="L5384" s="13"/>
      <c r="M5384" s="14"/>
      <c r="N5384" s="15"/>
      <c r="O5384" s="15" t="s">
        <v>10708</v>
      </c>
      <c r="P5384" s="15"/>
      <c r="Q5384" s="15"/>
      <c r="R5384" s="422"/>
      <c r="S5384" s="15"/>
      <c r="T5384" s="15"/>
      <c r="U5384" s="15"/>
      <c r="V5384" s="15"/>
      <c r="W5384" s="15"/>
      <c r="X5384" s="15"/>
      <c r="Y5384" s="15"/>
      <c r="Z5384" s="15"/>
      <c r="AA5384" s="15"/>
    </row>
    <row r="5385">
      <c r="A5385" s="15" t="s">
        <v>20598</v>
      </c>
      <c r="B5385" s="15" t="s">
        <v>20666</v>
      </c>
      <c r="C5385" s="432" t="s">
        <v>20667</v>
      </c>
      <c r="D5385" s="14"/>
      <c r="E5385" s="14" t="s">
        <v>116</v>
      </c>
      <c r="F5385" s="433" t="s">
        <v>20392</v>
      </c>
      <c r="G5385" s="434"/>
      <c r="H5385" s="14" t="s">
        <v>99</v>
      </c>
      <c r="I5385" s="423"/>
      <c r="J5385" s="14" t="s">
        <v>17976</v>
      </c>
      <c r="K5385" s="13"/>
      <c r="L5385" s="13"/>
      <c r="M5385" s="14"/>
      <c r="N5385" s="15"/>
      <c r="O5385" s="15" t="s">
        <v>10708</v>
      </c>
      <c r="P5385" s="15"/>
      <c r="Q5385" s="15"/>
      <c r="R5385" s="422"/>
      <c r="S5385" s="15"/>
      <c r="T5385" s="15"/>
      <c r="U5385" s="15"/>
      <c r="V5385" s="15"/>
      <c r="W5385" s="15"/>
      <c r="X5385" s="15"/>
      <c r="Y5385" s="15"/>
      <c r="Z5385" s="15"/>
      <c r="AA5385" s="15"/>
    </row>
    <row r="5386">
      <c r="A5386" s="15" t="s">
        <v>20598</v>
      </c>
      <c r="B5386" s="15" t="s">
        <v>20668</v>
      </c>
      <c r="C5386" s="432" t="s">
        <v>20669</v>
      </c>
      <c r="D5386" s="14"/>
      <c r="E5386" s="14" t="s">
        <v>16165</v>
      </c>
      <c r="F5386" s="433" t="s">
        <v>20398</v>
      </c>
      <c r="G5386" s="434"/>
      <c r="H5386" s="14" t="s">
        <v>2227</v>
      </c>
      <c r="I5386" s="423"/>
      <c r="J5386" s="14" t="s">
        <v>20670</v>
      </c>
      <c r="K5386" s="13"/>
      <c r="L5386" s="13"/>
      <c r="M5386" s="14"/>
      <c r="N5386" s="15"/>
      <c r="O5386" s="15" t="s">
        <v>19985</v>
      </c>
      <c r="P5386" s="15"/>
      <c r="Q5386" s="15"/>
      <c r="R5386" s="422"/>
      <c r="S5386" s="15"/>
      <c r="T5386" s="15"/>
      <c r="U5386" s="15"/>
      <c r="V5386" s="15"/>
      <c r="W5386" s="15"/>
      <c r="X5386" s="15"/>
      <c r="Y5386" s="15"/>
      <c r="Z5386" s="15"/>
      <c r="AA5386" s="15"/>
    </row>
    <row r="5387">
      <c r="A5387" s="15" t="s">
        <v>20598</v>
      </c>
      <c r="B5387" s="15" t="s">
        <v>20671</v>
      </c>
      <c r="C5387" s="432" t="s">
        <v>20672</v>
      </c>
      <c r="D5387" s="14"/>
      <c r="E5387" s="14" t="s">
        <v>116</v>
      </c>
      <c r="F5387" s="433" t="s">
        <v>18673</v>
      </c>
      <c r="G5387" s="434"/>
      <c r="H5387" s="14" t="s">
        <v>398</v>
      </c>
      <c r="I5387" s="423"/>
      <c r="J5387" s="14"/>
      <c r="K5387" s="13"/>
      <c r="L5387" s="13"/>
      <c r="M5387" s="14"/>
      <c r="N5387" s="15"/>
      <c r="O5387" s="15" t="s">
        <v>10708</v>
      </c>
      <c r="P5387" s="15"/>
      <c r="Q5387" s="15"/>
      <c r="R5387" s="422"/>
      <c r="S5387" s="15"/>
      <c r="T5387" s="15"/>
      <c r="U5387" s="15"/>
      <c r="V5387" s="15"/>
      <c r="W5387" s="15"/>
      <c r="X5387" s="15"/>
      <c r="Y5387" s="15"/>
      <c r="Z5387" s="15"/>
      <c r="AA5387" s="15"/>
    </row>
    <row r="5388">
      <c r="A5388" s="15" t="s">
        <v>20598</v>
      </c>
      <c r="B5388" s="15" t="s">
        <v>20673</v>
      </c>
      <c r="C5388" s="4" t="s">
        <v>20674</v>
      </c>
      <c r="D5388" s="14"/>
      <c r="E5388" s="14" t="s">
        <v>20675</v>
      </c>
      <c r="F5388" s="433" t="s">
        <v>18673</v>
      </c>
      <c r="G5388" s="434"/>
      <c r="H5388" s="14" t="s">
        <v>196</v>
      </c>
      <c r="I5388" s="423"/>
      <c r="J5388" s="14" t="s">
        <v>17976</v>
      </c>
      <c r="K5388" s="12"/>
      <c r="L5388" s="12"/>
      <c r="M5388" s="11" t="s">
        <v>9875</v>
      </c>
      <c r="N5388" s="5" t="s">
        <v>20676</v>
      </c>
      <c r="O5388" s="15" t="s">
        <v>564</v>
      </c>
      <c r="P5388" s="15"/>
      <c r="Q5388" s="15"/>
      <c r="R5388" s="422"/>
      <c r="S5388" s="15"/>
      <c r="T5388" s="15"/>
      <c r="U5388" s="15"/>
      <c r="V5388" s="15"/>
      <c r="W5388" s="15"/>
      <c r="X5388" s="15"/>
      <c r="Y5388" s="15"/>
      <c r="Z5388" s="15"/>
      <c r="AA5388" s="15"/>
    </row>
    <row r="5389">
      <c r="A5389" s="15" t="s">
        <v>20598</v>
      </c>
      <c r="B5389" s="15" t="s">
        <v>20677</v>
      </c>
      <c r="C5389" s="432" t="s">
        <v>20678</v>
      </c>
      <c r="D5389" s="14"/>
      <c r="E5389" s="14" t="s">
        <v>20679</v>
      </c>
      <c r="F5389" s="433" t="s">
        <v>20680</v>
      </c>
      <c r="G5389" s="434"/>
      <c r="H5389" s="14" t="s">
        <v>20681</v>
      </c>
      <c r="I5389" s="423"/>
      <c r="J5389" s="14"/>
      <c r="K5389" s="13"/>
      <c r="L5389" s="13"/>
      <c r="M5389" s="14" t="s">
        <v>20682</v>
      </c>
      <c r="N5389" s="15" t="s">
        <v>20683</v>
      </c>
      <c r="O5389" s="15" t="s">
        <v>564</v>
      </c>
      <c r="P5389" s="15"/>
      <c r="Q5389" s="15"/>
      <c r="R5389" s="422"/>
      <c r="S5389" s="15"/>
      <c r="T5389" s="15"/>
      <c r="U5389" s="15"/>
      <c r="V5389" s="15"/>
      <c r="W5389" s="15"/>
      <c r="X5389" s="15"/>
      <c r="Y5389" s="15"/>
      <c r="Z5389" s="15"/>
      <c r="AA5389" s="15"/>
    </row>
    <row r="5390">
      <c r="A5390" s="15" t="s">
        <v>20598</v>
      </c>
      <c r="B5390" s="15" t="s">
        <v>20684</v>
      </c>
      <c r="C5390" s="432" t="s">
        <v>20685</v>
      </c>
      <c r="D5390" s="14"/>
      <c r="E5390" s="14" t="s">
        <v>20686</v>
      </c>
      <c r="F5390" s="433"/>
      <c r="G5390" s="434"/>
      <c r="H5390" s="14" t="s">
        <v>2662</v>
      </c>
      <c r="I5390" s="423"/>
      <c r="J5390" s="14"/>
      <c r="K5390" s="13"/>
      <c r="L5390" s="13"/>
      <c r="M5390" s="14"/>
      <c r="N5390" s="15"/>
      <c r="O5390" s="15" t="s">
        <v>19985</v>
      </c>
      <c r="P5390" s="15"/>
      <c r="Q5390" s="15"/>
      <c r="R5390" s="422"/>
      <c r="S5390" s="15"/>
      <c r="T5390" s="15"/>
      <c r="U5390" s="15"/>
      <c r="V5390" s="15"/>
      <c r="W5390" s="15"/>
      <c r="X5390" s="15"/>
      <c r="Y5390" s="15"/>
      <c r="Z5390" s="15"/>
      <c r="AA5390" s="15"/>
    </row>
    <row r="5391">
      <c r="A5391" s="15" t="s">
        <v>20598</v>
      </c>
      <c r="B5391" s="15" t="s">
        <v>20687</v>
      </c>
      <c r="C5391" s="14" t="s">
        <v>20688</v>
      </c>
      <c r="D5391" s="14"/>
      <c r="E5391" s="14" t="s">
        <v>20689</v>
      </c>
      <c r="F5391" s="433"/>
      <c r="G5391" s="434"/>
      <c r="H5391" s="14"/>
      <c r="I5391" s="423"/>
      <c r="J5391" s="14"/>
      <c r="K5391" s="13"/>
      <c r="L5391" s="13"/>
      <c r="M5391" s="14"/>
      <c r="N5391" s="15"/>
      <c r="O5391" s="15"/>
      <c r="P5391" s="15"/>
      <c r="Q5391" s="15"/>
      <c r="R5391" s="422"/>
      <c r="S5391" s="15"/>
      <c r="T5391" s="15"/>
      <c r="U5391" s="15"/>
      <c r="V5391" s="15"/>
      <c r="W5391" s="15"/>
      <c r="X5391" s="15"/>
      <c r="Y5391" s="15"/>
      <c r="Z5391" s="15"/>
      <c r="AA5391" s="15"/>
    </row>
    <row r="5392">
      <c r="A5392" s="15" t="s">
        <v>20598</v>
      </c>
      <c r="B5392" s="15" t="s">
        <v>20690</v>
      </c>
      <c r="C5392" s="4" t="s">
        <v>16963</v>
      </c>
      <c r="D5392" s="14"/>
      <c r="E5392" s="14" t="s">
        <v>130</v>
      </c>
      <c r="F5392" s="433"/>
      <c r="G5392" s="434"/>
      <c r="H5392" s="14" t="s">
        <v>507</v>
      </c>
      <c r="I5392" s="423"/>
      <c r="J5392" s="14"/>
      <c r="K5392" s="13"/>
      <c r="L5392" s="13"/>
      <c r="M5392" s="14"/>
      <c r="N5392" s="15"/>
      <c r="O5392" s="15" t="s">
        <v>564</v>
      </c>
      <c r="P5392" s="15"/>
      <c r="Q5392" s="15"/>
      <c r="R5392" s="422"/>
      <c r="S5392" s="15"/>
      <c r="T5392" s="15"/>
      <c r="U5392" s="15"/>
      <c r="V5392" s="15"/>
      <c r="W5392" s="15"/>
      <c r="X5392" s="15"/>
      <c r="Y5392" s="15"/>
      <c r="Z5392" s="15"/>
      <c r="AA5392" s="15"/>
    </row>
    <row r="5393">
      <c r="A5393" s="15" t="s">
        <v>20598</v>
      </c>
      <c r="B5393" s="15" t="s">
        <v>20691</v>
      </c>
      <c r="C5393" s="14" t="s">
        <v>20692</v>
      </c>
      <c r="D5393" s="14"/>
      <c r="E5393" s="14" t="s">
        <v>167</v>
      </c>
      <c r="F5393" s="433" t="s">
        <v>20693</v>
      </c>
      <c r="G5393" s="434"/>
      <c r="H5393" s="14" t="s">
        <v>2662</v>
      </c>
      <c r="I5393" s="423"/>
      <c r="J5393" s="14"/>
      <c r="K5393" s="13"/>
      <c r="L5393" s="13"/>
      <c r="M5393" s="14"/>
      <c r="N5393" s="15"/>
      <c r="O5393" s="15" t="s">
        <v>19985</v>
      </c>
      <c r="P5393" s="15"/>
      <c r="Q5393" s="15"/>
      <c r="R5393" s="422"/>
      <c r="S5393" s="15"/>
      <c r="T5393" s="15"/>
      <c r="U5393" s="15"/>
      <c r="V5393" s="15"/>
      <c r="W5393" s="15"/>
      <c r="X5393" s="15"/>
      <c r="Y5393" s="15"/>
      <c r="Z5393" s="15"/>
      <c r="AA5393" s="15"/>
    </row>
    <row r="5394">
      <c r="A5394" s="15" t="s">
        <v>20598</v>
      </c>
      <c r="B5394" s="15" t="s">
        <v>20694</v>
      </c>
      <c r="C5394" s="432" t="s">
        <v>16478</v>
      </c>
      <c r="D5394" s="432"/>
      <c r="E5394" s="432" t="s">
        <v>130</v>
      </c>
      <c r="F5394" s="433" t="s">
        <v>20294</v>
      </c>
      <c r="G5394" s="434"/>
      <c r="H5394" s="14" t="s">
        <v>44</v>
      </c>
      <c r="I5394" s="423"/>
      <c r="J5394" s="14"/>
      <c r="K5394" s="13"/>
      <c r="L5394" s="13"/>
      <c r="M5394" s="14"/>
      <c r="N5394" s="15"/>
      <c r="O5394" s="15" t="s">
        <v>564</v>
      </c>
      <c r="P5394" s="15"/>
      <c r="Q5394" s="15"/>
      <c r="R5394" s="422"/>
      <c r="S5394" s="15"/>
      <c r="T5394" s="15"/>
      <c r="U5394" s="15"/>
      <c r="V5394" s="15"/>
      <c r="W5394" s="15"/>
      <c r="X5394" s="15"/>
      <c r="Y5394" s="15"/>
      <c r="Z5394" s="15"/>
      <c r="AA5394" s="15"/>
    </row>
    <row r="5395">
      <c r="A5395" s="15" t="s">
        <v>20695</v>
      </c>
      <c r="B5395" s="15" t="s">
        <v>20696</v>
      </c>
      <c r="C5395" s="14" t="s">
        <v>1048</v>
      </c>
      <c r="D5395" s="14"/>
      <c r="E5395" s="14" t="s">
        <v>10404</v>
      </c>
      <c r="F5395" s="433" t="s">
        <v>20392</v>
      </c>
      <c r="G5395" s="434"/>
      <c r="H5395" s="14" t="s">
        <v>278</v>
      </c>
      <c r="I5395" s="423"/>
      <c r="J5395" s="14" t="s">
        <v>16326</v>
      </c>
      <c r="K5395" s="13"/>
      <c r="L5395" s="13"/>
      <c r="M5395" s="14"/>
      <c r="N5395" s="15"/>
      <c r="O5395" s="15" t="s">
        <v>564</v>
      </c>
      <c r="P5395" s="15"/>
      <c r="Q5395" s="15"/>
      <c r="R5395" s="422"/>
      <c r="S5395" s="15"/>
      <c r="T5395" s="15"/>
      <c r="U5395" s="15"/>
      <c r="V5395" s="15"/>
      <c r="W5395" s="15"/>
      <c r="X5395" s="15"/>
      <c r="Y5395" s="15"/>
      <c r="Z5395" s="15"/>
      <c r="AA5395" s="15"/>
    </row>
    <row r="5396">
      <c r="A5396" s="15" t="s">
        <v>20695</v>
      </c>
      <c r="B5396" s="15" t="s">
        <v>20697</v>
      </c>
      <c r="C5396" s="454" t="s">
        <v>20698</v>
      </c>
      <c r="D5396" s="432"/>
      <c r="E5396" s="432" t="s">
        <v>116</v>
      </c>
      <c r="F5396" s="433" t="s">
        <v>20294</v>
      </c>
      <c r="G5396" s="434"/>
      <c r="H5396" s="14" t="s">
        <v>20699</v>
      </c>
      <c r="I5396" s="423"/>
      <c r="J5396" s="14"/>
      <c r="K5396" s="13"/>
      <c r="L5396" s="13"/>
      <c r="M5396" s="14"/>
      <c r="N5396" s="15"/>
      <c r="O5396" s="15" t="s">
        <v>10708</v>
      </c>
      <c r="P5396" s="15"/>
      <c r="Q5396" s="15"/>
      <c r="R5396" s="422"/>
      <c r="S5396" s="15"/>
      <c r="T5396" s="15"/>
      <c r="U5396" s="15"/>
      <c r="V5396" s="15"/>
      <c r="W5396" s="15"/>
      <c r="X5396" s="15"/>
      <c r="Y5396" s="15"/>
      <c r="Z5396" s="15"/>
      <c r="AA5396" s="15"/>
    </row>
    <row r="5397">
      <c r="A5397" s="15" t="s">
        <v>20695</v>
      </c>
      <c r="B5397" s="15" t="s">
        <v>20700</v>
      </c>
      <c r="C5397" s="432" t="s">
        <v>16750</v>
      </c>
      <c r="D5397" s="14"/>
      <c r="E5397" s="14" t="s">
        <v>43</v>
      </c>
      <c r="F5397" s="433" t="s">
        <v>20701</v>
      </c>
      <c r="G5397" s="434"/>
      <c r="H5397" s="14" t="s">
        <v>507</v>
      </c>
      <c r="I5397" s="423"/>
      <c r="J5397" s="14"/>
      <c r="K5397" s="13"/>
      <c r="L5397" s="13"/>
      <c r="M5397" s="14" t="s">
        <v>9949</v>
      </c>
      <c r="N5397" s="15"/>
      <c r="O5397" s="15" t="s">
        <v>564</v>
      </c>
      <c r="P5397" s="15"/>
      <c r="Q5397" s="15"/>
      <c r="R5397" s="422"/>
      <c r="S5397" s="15"/>
      <c r="T5397" s="15"/>
      <c r="U5397" s="15"/>
      <c r="V5397" s="15"/>
      <c r="W5397" s="15"/>
      <c r="X5397" s="15"/>
      <c r="Y5397" s="15"/>
      <c r="Z5397" s="15"/>
      <c r="AA5397" s="15"/>
    </row>
    <row r="5398">
      <c r="A5398" s="15" t="s">
        <v>20695</v>
      </c>
      <c r="B5398" s="15" t="s">
        <v>20702</v>
      </c>
      <c r="C5398" s="432" t="s">
        <v>20703</v>
      </c>
      <c r="D5398" s="432"/>
      <c r="E5398" s="432" t="s">
        <v>20704</v>
      </c>
      <c r="F5398" s="433" t="s">
        <v>20577</v>
      </c>
      <c r="G5398" s="434"/>
      <c r="H5398" s="14" t="s">
        <v>33</v>
      </c>
      <c r="I5398" s="423"/>
      <c r="J5398" s="14" t="s">
        <v>17976</v>
      </c>
      <c r="K5398" s="13"/>
      <c r="L5398" s="13"/>
      <c r="M5398" s="14" t="s">
        <v>11262</v>
      </c>
      <c r="N5398" s="15" t="s">
        <v>20705</v>
      </c>
      <c r="O5398" s="15" t="s">
        <v>564</v>
      </c>
      <c r="P5398" s="15"/>
      <c r="Q5398" s="15"/>
      <c r="R5398" s="422"/>
      <c r="S5398" s="15"/>
      <c r="T5398" s="15"/>
      <c r="U5398" s="15"/>
      <c r="V5398" s="15"/>
      <c r="W5398" s="15"/>
      <c r="X5398" s="15"/>
      <c r="Y5398" s="15"/>
      <c r="Z5398" s="15"/>
      <c r="AA5398" s="15"/>
    </row>
    <row r="5399">
      <c r="A5399" s="15" t="s">
        <v>20695</v>
      </c>
      <c r="B5399" s="15" t="s">
        <v>20706</v>
      </c>
      <c r="C5399" s="432" t="s">
        <v>20707</v>
      </c>
      <c r="D5399" s="432"/>
      <c r="E5399" s="432" t="s">
        <v>20708</v>
      </c>
      <c r="F5399" s="433" t="s">
        <v>20709</v>
      </c>
      <c r="G5399" s="434"/>
      <c r="H5399" s="14" t="s">
        <v>15263</v>
      </c>
      <c r="I5399" s="423"/>
      <c r="J5399" s="14" t="s">
        <v>18941</v>
      </c>
      <c r="K5399" s="13"/>
      <c r="L5399" s="13"/>
      <c r="M5399" s="14"/>
      <c r="N5399" s="15"/>
      <c r="O5399" s="15" t="s">
        <v>19985</v>
      </c>
      <c r="P5399" s="15"/>
      <c r="Q5399" s="15"/>
      <c r="R5399" s="422"/>
      <c r="S5399" s="15"/>
      <c r="T5399" s="15"/>
      <c r="U5399" s="15"/>
      <c r="V5399" s="15"/>
      <c r="W5399" s="15"/>
      <c r="X5399" s="15"/>
      <c r="Y5399" s="15"/>
      <c r="Z5399" s="15"/>
      <c r="AA5399" s="15"/>
    </row>
    <row r="5400">
      <c r="A5400" s="15" t="s">
        <v>20695</v>
      </c>
      <c r="B5400" s="15" t="s">
        <v>20710</v>
      </c>
      <c r="C5400" s="454" t="s">
        <v>20711</v>
      </c>
      <c r="D5400" s="454"/>
      <c r="E5400" s="454" t="s">
        <v>10426</v>
      </c>
      <c r="F5400" s="433" t="s">
        <v>20303</v>
      </c>
      <c r="G5400" s="434"/>
      <c r="H5400" s="14" t="s">
        <v>507</v>
      </c>
      <c r="I5400" s="423"/>
      <c r="J5400" s="14" t="s">
        <v>20712</v>
      </c>
      <c r="K5400" s="13"/>
      <c r="L5400" s="13"/>
      <c r="M5400" s="14"/>
      <c r="N5400" s="15"/>
      <c r="O5400" s="15" t="s">
        <v>13963</v>
      </c>
      <c r="P5400" s="15"/>
      <c r="Q5400" s="15"/>
      <c r="R5400" s="422"/>
      <c r="S5400" s="15"/>
      <c r="T5400" s="15"/>
      <c r="U5400" s="15"/>
      <c r="V5400" s="15"/>
      <c r="W5400" s="15"/>
      <c r="X5400" s="15"/>
      <c r="Y5400" s="15"/>
      <c r="Z5400" s="15"/>
      <c r="AA5400" s="15"/>
    </row>
    <row r="5401">
      <c r="A5401" s="15" t="s">
        <v>20695</v>
      </c>
      <c r="B5401" s="15" t="s">
        <v>20713</v>
      </c>
      <c r="C5401" s="432" t="s">
        <v>20714</v>
      </c>
      <c r="D5401" s="432"/>
      <c r="E5401" s="432" t="s">
        <v>18564</v>
      </c>
      <c r="F5401" s="433" t="s">
        <v>20715</v>
      </c>
      <c r="G5401" s="434"/>
      <c r="H5401" s="14" t="s">
        <v>398</v>
      </c>
      <c r="I5401" s="423"/>
      <c r="J5401" s="14" t="s">
        <v>17976</v>
      </c>
      <c r="K5401" s="13"/>
      <c r="L5401" s="13"/>
      <c r="M5401" s="14"/>
      <c r="N5401" s="15"/>
      <c r="O5401" s="15" t="s">
        <v>564</v>
      </c>
      <c r="P5401" s="15"/>
      <c r="Q5401" s="15"/>
      <c r="R5401" s="422"/>
      <c r="S5401" s="15"/>
      <c r="T5401" s="15"/>
      <c r="U5401" s="15"/>
      <c r="V5401" s="15"/>
      <c r="W5401" s="15"/>
      <c r="X5401" s="15"/>
      <c r="Y5401" s="15"/>
      <c r="Z5401" s="15"/>
      <c r="AA5401" s="15"/>
    </row>
    <row r="5402">
      <c r="A5402" s="15" t="s">
        <v>20695</v>
      </c>
      <c r="B5402" s="15" t="s">
        <v>20716</v>
      </c>
      <c r="C5402" s="432" t="s">
        <v>20717</v>
      </c>
      <c r="D5402" s="14"/>
      <c r="E5402" s="14" t="s">
        <v>207</v>
      </c>
      <c r="F5402" s="433" t="s">
        <v>20718</v>
      </c>
      <c r="G5402" s="434"/>
      <c r="H5402" s="14" t="s">
        <v>5189</v>
      </c>
      <c r="I5402" s="423"/>
      <c r="J5402" s="14"/>
      <c r="K5402" s="13"/>
      <c r="L5402" s="13"/>
      <c r="M5402" s="14" t="s">
        <v>8638</v>
      </c>
      <c r="N5402" s="15" t="s">
        <v>20719</v>
      </c>
      <c r="O5402" s="15" t="s">
        <v>564</v>
      </c>
      <c r="P5402" s="15"/>
      <c r="Q5402" s="15"/>
      <c r="R5402" s="422"/>
      <c r="S5402" s="15"/>
      <c r="T5402" s="15"/>
      <c r="U5402" s="15"/>
      <c r="V5402" s="15"/>
      <c r="W5402" s="15"/>
      <c r="X5402" s="15"/>
      <c r="Y5402" s="15"/>
      <c r="Z5402" s="15"/>
      <c r="AA5402" s="15"/>
    </row>
    <row r="5403">
      <c r="A5403" s="15" t="s">
        <v>20695</v>
      </c>
      <c r="B5403" s="15" t="s">
        <v>20720</v>
      </c>
      <c r="C5403" s="432" t="s">
        <v>20721</v>
      </c>
      <c r="D5403" s="432"/>
      <c r="E5403" s="432" t="s">
        <v>116</v>
      </c>
      <c r="F5403" s="433"/>
      <c r="G5403" s="434"/>
      <c r="H5403" s="14" t="s">
        <v>99</v>
      </c>
      <c r="I5403" s="423"/>
      <c r="J5403" s="14"/>
      <c r="K5403" s="13"/>
      <c r="L5403" s="13"/>
      <c r="M5403" s="14"/>
      <c r="N5403" s="15"/>
      <c r="O5403" s="15" t="s">
        <v>10708</v>
      </c>
      <c r="P5403" s="15"/>
      <c r="Q5403" s="15"/>
      <c r="R5403" s="422"/>
      <c r="S5403" s="15"/>
      <c r="T5403" s="15"/>
      <c r="U5403" s="15"/>
      <c r="V5403" s="15"/>
      <c r="W5403" s="15"/>
      <c r="X5403" s="15"/>
      <c r="Y5403" s="15"/>
      <c r="Z5403" s="15"/>
      <c r="AA5403" s="15"/>
    </row>
    <row r="5404">
      <c r="A5404" s="15" t="s">
        <v>20695</v>
      </c>
      <c r="B5404" s="15" t="s">
        <v>20722</v>
      </c>
      <c r="C5404" s="4" t="s">
        <v>20723</v>
      </c>
      <c r="D5404" s="14"/>
      <c r="E5404" s="14" t="s">
        <v>20724</v>
      </c>
      <c r="F5404" s="433" t="s">
        <v>20648</v>
      </c>
      <c r="G5404" s="434"/>
      <c r="H5404" s="14" t="s">
        <v>20725</v>
      </c>
      <c r="I5404" s="423"/>
      <c r="J5404" s="14"/>
      <c r="K5404" s="13"/>
      <c r="L5404" s="13"/>
      <c r="M5404" s="14"/>
      <c r="N5404" s="15"/>
      <c r="O5404" s="15" t="s">
        <v>10708</v>
      </c>
      <c r="P5404" s="15"/>
      <c r="Q5404" s="15"/>
      <c r="R5404" s="422"/>
      <c r="S5404" s="15"/>
      <c r="T5404" s="15"/>
      <c r="U5404" s="15"/>
      <c r="V5404" s="15"/>
      <c r="W5404" s="15"/>
      <c r="X5404" s="15"/>
      <c r="Y5404" s="15"/>
      <c r="Z5404" s="15"/>
      <c r="AA5404" s="15"/>
    </row>
    <row r="5405">
      <c r="A5405" s="15" t="s">
        <v>20695</v>
      </c>
      <c r="B5405" s="15" t="s">
        <v>20726</v>
      </c>
      <c r="C5405" s="432" t="s">
        <v>20727</v>
      </c>
      <c r="D5405" s="432"/>
      <c r="E5405" s="432" t="s">
        <v>20728</v>
      </c>
      <c r="F5405" s="433"/>
      <c r="G5405" s="434"/>
      <c r="H5405" s="14"/>
      <c r="I5405" s="423"/>
      <c r="J5405" s="14"/>
      <c r="K5405" s="13"/>
      <c r="L5405" s="13"/>
      <c r="M5405" s="14"/>
      <c r="N5405" s="15"/>
      <c r="O5405" s="15" t="s">
        <v>13963</v>
      </c>
      <c r="P5405" s="15"/>
      <c r="Q5405" s="15"/>
      <c r="R5405" s="422"/>
      <c r="S5405" s="15"/>
      <c r="T5405" s="15"/>
      <c r="U5405" s="15"/>
      <c r="V5405" s="15"/>
      <c r="W5405" s="15"/>
      <c r="X5405" s="15"/>
      <c r="Y5405" s="15"/>
      <c r="Z5405" s="15"/>
      <c r="AA5405" s="15"/>
    </row>
    <row r="5406">
      <c r="A5406" s="15" t="s">
        <v>20695</v>
      </c>
      <c r="B5406" s="15" t="s">
        <v>20729</v>
      </c>
      <c r="C5406" s="4" t="s">
        <v>20730</v>
      </c>
      <c r="D5406" s="14"/>
      <c r="E5406" s="14" t="s">
        <v>3391</v>
      </c>
      <c r="F5406" s="433" t="s">
        <v>20329</v>
      </c>
      <c r="G5406" s="434"/>
      <c r="H5406" s="14" t="s">
        <v>19426</v>
      </c>
      <c r="I5406" s="423"/>
      <c r="J5406" s="14"/>
      <c r="K5406" s="13"/>
      <c r="L5406" s="13"/>
      <c r="M5406" s="14"/>
      <c r="N5406" s="15"/>
      <c r="O5406" s="15" t="s">
        <v>564</v>
      </c>
      <c r="P5406" s="15"/>
      <c r="Q5406" s="15"/>
      <c r="R5406" s="422"/>
      <c r="S5406" s="15"/>
      <c r="T5406" s="15"/>
      <c r="U5406" s="15"/>
      <c r="V5406" s="15"/>
      <c r="W5406" s="15"/>
      <c r="X5406" s="15"/>
      <c r="Y5406" s="15"/>
      <c r="Z5406" s="15"/>
      <c r="AA5406" s="15"/>
    </row>
    <row r="5407">
      <c r="A5407" s="15" t="s">
        <v>20695</v>
      </c>
      <c r="B5407" s="15" t="s">
        <v>20731</v>
      </c>
      <c r="C5407" s="471" t="s">
        <v>20732</v>
      </c>
      <c r="D5407" s="14"/>
      <c r="E5407" s="14" t="s">
        <v>20733</v>
      </c>
      <c r="F5407" s="433" t="s">
        <v>20559</v>
      </c>
      <c r="G5407" s="434"/>
      <c r="H5407" s="14" t="s">
        <v>1315</v>
      </c>
      <c r="I5407" s="423"/>
      <c r="J5407" s="14"/>
      <c r="K5407" s="13"/>
      <c r="L5407" s="13"/>
      <c r="M5407" s="14" t="s">
        <v>9949</v>
      </c>
      <c r="N5407" s="15" t="s">
        <v>20734</v>
      </c>
      <c r="O5407" s="15" t="s">
        <v>564</v>
      </c>
      <c r="P5407" s="15"/>
      <c r="Q5407" s="15"/>
      <c r="R5407" s="422"/>
      <c r="S5407" s="15"/>
      <c r="T5407" s="15"/>
      <c r="U5407" s="15"/>
      <c r="V5407" s="15"/>
      <c r="W5407" s="15"/>
      <c r="X5407" s="15"/>
      <c r="Y5407" s="15"/>
      <c r="Z5407" s="15"/>
      <c r="AA5407" s="15"/>
    </row>
    <row r="5408">
      <c r="A5408" s="15" t="s">
        <v>20695</v>
      </c>
      <c r="B5408" s="15" t="s">
        <v>20735</v>
      </c>
      <c r="C5408" s="432" t="s">
        <v>10003</v>
      </c>
      <c r="D5408" s="462"/>
      <c r="E5408" s="462" t="s">
        <v>20736</v>
      </c>
      <c r="F5408" s="433" t="s">
        <v>20737</v>
      </c>
      <c r="G5408" s="434"/>
      <c r="H5408" s="14" t="s">
        <v>507</v>
      </c>
      <c r="I5408" s="423"/>
      <c r="J5408" s="14"/>
      <c r="K5408" s="13"/>
      <c r="L5408" s="13"/>
      <c r="M5408" s="14" t="s">
        <v>20738</v>
      </c>
      <c r="N5408" s="15" t="s">
        <v>20739</v>
      </c>
      <c r="O5408" s="15" t="s">
        <v>564</v>
      </c>
      <c r="P5408" s="15"/>
      <c r="Q5408" s="15"/>
      <c r="R5408" s="422"/>
      <c r="S5408" s="15"/>
      <c r="T5408" s="15"/>
      <c r="U5408" s="15"/>
      <c r="V5408" s="15"/>
      <c r="W5408" s="15"/>
      <c r="X5408" s="15"/>
      <c r="Y5408" s="15"/>
      <c r="Z5408" s="15"/>
      <c r="AA5408" s="15"/>
    </row>
    <row r="5409">
      <c r="A5409" s="15" t="s">
        <v>20695</v>
      </c>
      <c r="B5409" s="15" t="s">
        <v>20740</v>
      </c>
      <c r="C5409" s="472" t="s">
        <v>3698</v>
      </c>
      <c r="D5409" s="473"/>
      <c r="E5409" s="473" t="s">
        <v>20741</v>
      </c>
      <c r="F5409" s="433" t="s">
        <v>20340</v>
      </c>
      <c r="G5409" s="434"/>
      <c r="H5409" s="14" t="s">
        <v>507</v>
      </c>
      <c r="I5409" s="423"/>
      <c r="J5409" s="14"/>
      <c r="K5409" s="13"/>
      <c r="L5409" s="13"/>
      <c r="M5409" s="14" t="s">
        <v>8399</v>
      </c>
      <c r="N5409" s="15" t="s">
        <v>20742</v>
      </c>
      <c r="O5409" s="15" t="s">
        <v>20743</v>
      </c>
      <c r="P5409" s="15"/>
      <c r="Q5409" s="15"/>
      <c r="R5409" s="422"/>
      <c r="S5409" s="15"/>
      <c r="T5409" s="15"/>
      <c r="U5409" s="15"/>
      <c r="V5409" s="15"/>
      <c r="W5409" s="15"/>
      <c r="X5409" s="15"/>
      <c r="Y5409" s="15"/>
      <c r="Z5409" s="15"/>
      <c r="AA5409" s="15"/>
    </row>
    <row r="5410">
      <c r="A5410" s="15" t="s">
        <v>20695</v>
      </c>
      <c r="B5410" s="15" t="s">
        <v>20744</v>
      </c>
      <c r="C5410" s="432" t="s">
        <v>20745</v>
      </c>
      <c r="D5410" s="14"/>
      <c r="E5410" s="14" t="s">
        <v>5502</v>
      </c>
      <c r="F5410" s="433" t="s">
        <v>20746</v>
      </c>
      <c r="G5410" s="463"/>
      <c r="H5410" s="432" t="s">
        <v>20747</v>
      </c>
      <c r="I5410" s="474"/>
      <c r="J5410" s="432"/>
      <c r="K5410" s="13"/>
      <c r="L5410" s="13"/>
      <c r="M5410" s="14"/>
      <c r="N5410" s="15"/>
      <c r="O5410" s="15" t="s">
        <v>19985</v>
      </c>
      <c r="P5410" s="15"/>
      <c r="Q5410" s="15"/>
      <c r="R5410" s="422"/>
      <c r="S5410" s="15"/>
      <c r="T5410" s="15"/>
      <c r="U5410" s="15"/>
      <c r="V5410" s="15"/>
      <c r="W5410" s="15"/>
      <c r="X5410" s="15"/>
      <c r="Y5410" s="15"/>
      <c r="Z5410" s="15"/>
      <c r="AA5410" s="15"/>
    </row>
    <row r="5411">
      <c r="A5411" s="15" t="s">
        <v>20695</v>
      </c>
      <c r="B5411" s="15" t="s">
        <v>20748</v>
      </c>
      <c r="C5411" s="14" t="s">
        <v>20749</v>
      </c>
      <c r="D5411" s="14"/>
      <c r="E5411" s="14" t="s">
        <v>3682</v>
      </c>
      <c r="F5411" s="433" t="s">
        <v>20284</v>
      </c>
      <c r="G5411" s="434"/>
      <c r="H5411" s="14" t="s">
        <v>20750</v>
      </c>
      <c r="I5411" s="423"/>
      <c r="J5411" s="14" t="s">
        <v>19137</v>
      </c>
      <c r="K5411" s="13"/>
      <c r="L5411" s="13"/>
      <c r="M5411" s="14" t="s">
        <v>7965</v>
      </c>
      <c r="N5411" s="15" t="s">
        <v>20751</v>
      </c>
      <c r="O5411" s="15" t="s">
        <v>13963</v>
      </c>
      <c r="P5411" s="15"/>
      <c r="Q5411" s="15"/>
      <c r="R5411" s="422"/>
      <c r="S5411" s="15"/>
      <c r="T5411" s="15"/>
      <c r="U5411" s="15"/>
      <c r="V5411" s="15"/>
      <c r="W5411" s="15"/>
      <c r="X5411" s="15"/>
      <c r="Y5411" s="15"/>
      <c r="Z5411" s="15"/>
      <c r="AA5411" s="15"/>
    </row>
    <row r="5412">
      <c r="A5412" s="15" t="s">
        <v>20695</v>
      </c>
      <c r="B5412" s="15" t="s">
        <v>20752</v>
      </c>
      <c r="C5412" s="454" t="s">
        <v>20753</v>
      </c>
      <c r="D5412" s="14"/>
      <c r="E5412" s="14" t="s">
        <v>20754</v>
      </c>
      <c r="F5412" s="433" t="s">
        <v>20340</v>
      </c>
      <c r="G5412" s="434"/>
      <c r="H5412" s="14" t="s">
        <v>20755</v>
      </c>
      <c r="I5412" s="423"/>
      <c r="J5412" s="14"/>
      <c r="K5412" s="13"/>
      <c r="L5412" s="13"/>
      <c r="M5412" s="14" t="s">
        <v>9776</v>
      </c>
      <c r="N5412" s="15" t="s">
        <v>20756</v>
      </c>
      <c r="O5412" s="15" t="s">
        <v>564</v>
      </c>
      <c r="P5412" s="15"/>
      <c r="Q5412" s="15"/>
      <c r="R5412" s="422"/>
      <c r="S5412" s="15"/>
      <c r="T5412" s="15"/>
      <c r="U5412" s="15"/>
      <c r="V5412" s="15"/>
      <c r="W5412" s="15"/>
      <c r="X5412" s="15"/>
      <c r="Y5412" s="15"/>
      <c r="Z5412" s="15"/>
      <c r="AA5412" s="15"/>
    </row>
    <row r="5413">
      <c r="A5413" s="15" t="s">
        <v>20695</v>
      </c>
      <c r="B5413" s="15" t="s">
        <v>20757</v>
      </c>
      <c r="C5413" s="432" t="s">
        <v>20758</v>
      </c>
      <c r="D5413" s="14"/>
      <c r="E5413" s="14" t="s">
        <v>130</v>
      </c>
      <c r="F5413" s="433" t="s">
        <v>20284</v>
      </c>
      <c r="G5413" s="463"/>
      <c r="H5413" s="432" t="s">
        <v>20759</v>
      </c>
      <c r="I5413" s="423"/>
      <c r="J5413" s="14"/>
      <c r="K5413" s="13"/>
      <c r="L5413" s="13"/>
      <c r="M5413" s="14" t="s">
        <v>9587</v>
      </c>
      <c r="N5413" s="15" t="s">
        <v>20760</v>
      </c>
      <c r="O5413" s="15" t="s">
        <v>564</v>
      </c>
      <c r="P5413" s="15"/>
      <c r="Q5413" s="15"/>
      <c r="R5413" s="422"/>
      <c r="S5413" s="15"/>
      <c r="T5413" s="15"/>
      <c r="U5413" s="15"/>
      <c r="V5413" s="15"/>
      <c r="W5413" s="15"/>
      <c r="X5413" s="15"/>
      <c r="Y5413" s="15"/>
      <c r="Z5413" s="15"/>
      <c r="AA5413" s="15"/>
    </row>
    <row r="5414">
      <c r="A5414" s="15" t="s">
        <v>20695</v>
      </c>
      <c r="B5414" s="15" t="s">
        <v>20761</v>
      </c>
      <c r="C5414" s="14" t="s">
        <v>20762</v>
      </c>
      <c r="D5414" s="14"/>
      <c r="E5414" s="14" t="s">
        <v>167</v>
      </c>
      <c r="F5414" s="433" t="s">
        <v>20398</v>
      </c>
      <c r="G5414" s="434"/>
      <c r="H5414" s="14" t="s">
        <v>742</v>
      </c>
      <c r="I5414" s="423"/>
      <c r="J5414" s="14" t="s">
        <v>20151</v>
      </c>
      <c r="K5414" s="13"/>
      <c r="L5414" s="13"/>
      <c r="M5414" s="14"/>
      <c r="N5414" s="15"/>
      <c r="O5414" s="15" t="s">
        <v>19985</v>
      </c>
      <c r="P5414" s="15"/>
      <c r="Q5414" s="15"/>
      <c r="R5414" s="422"/>
      <c r="S5414" s="15"/>
      <c r="T5414" s="15"/>
      <c r="U5414" s="15"/>
      <c r="V5414" s="15"/>
      <c r="W5414" s="15"/>
      <c r="X5414" s="15"/>
      <c r="Y5414" s="15"/>
      <c r="Z5414" s="15"/>
      <c r="AA5414" s="15"/>
    </row>
    <row r="5415">
      <c r="A5415" s="15" t="s">
        <v>20695</v>
      </c>
      <c r="B5415" s="15" t="s">
        <v>20763</v>
      </c>
      <c r="C5415" s="14" t="s">
        <v>20764</v>
      </c>
      <c r="D5415" s="14"/>
      <c r="E5415" s="14" t="s">
        <v>207</v>
      </c>
      <c r="F5415" s="433" t="s">
        <v>20284</v>
      </c>
      <c r="G5415" s="434"/>
      <c r="H5415" s="14" t="s">
        <v>20765</v>
      </c>
      <c r="I5415" s="423"/>
      <c r="J5415" s="14" t="s">
        <v>20766</v>
      </c>
      <c r="K5415" s="13"/>
      <c r="L5415" s="13"/>
      <c r="M5415" s="14" t="s">
        <v>9445</v>
      </c>
      <c r="N5415" s="15" t="s">
        <v>20767</v>
      </c>
      <c r="O5415" s="15" t="s">
        <v>564</v>
      </c>
      <c r="P5415" s="15"/>
      <c r="Q5415" s="15"/>
      <c r="R5415" s="422"/>
      <c r="S5415" s="15"/>
      <c r="T5415" s="15"/>
      <c r="U5415" s="15"/>
      <c r="V5415" s="15"/>
      <c r="W5415" s="15"/>
      <c r="X5415" s="15"/>
      <c r="Y5415" s="15"/>
      <c r="Z5415" s="15"/>
      <c r="AA5415" s="15"/>
    </row>
    <row r="5416">
      <c r="A5416" s="15" t="s">
        <v>20695</v>
      </c>
      <c r="B5416" s="15" t="s">
        <v>20768</v>
      </c>
      <c r="C5416" s="454" t="s">
        <v>20769</v>
      </c>
      <c r="D5416" s="14"/>
      <c r="E5416" s="14" t="s">
        <v>20770</v>
      </c>
      <c r="F5416" s="433" t="s">
        <v>20771</v>
      </c>
      <c r="G5416" s="434"/>
      <c r="H5416" s="14" t="s">
        <v>495</v>
      </c>
      <c r="I5416" s="423"/>
      <c r="J5416" s="14"/>
      <c r="K5416" s="13"/>
      <c r="L5416" s="13"/>
      <c r="M5416" s="14" t="s">
        <v>20772</v>
      </c>
      <c r="N5416" s="15" t="s">
        <v>20773</v>
      </c>
      <c r="O5416" s="15" t="s">
        <v>10708</v>
      </c>
      <c r="P5416" s="15"/>
      <c r="Q5416" s="15"/>
      <c r="R5416" s="422"/>
      <c r="S5416" s="15"/>
      <c r="T5416" s="15"/>
      <c r="U5416" s="15"/>
      <c r="V5416" s="15"/>
      <c r="W5416" s="15"/>
      <c r="X5416" s="15"/>
      <c r="Y5416" s="15"/>
      <c r="Z5416" s="15"/>
      <c r="AA5416" s="15"/>
    </row>
    <row r="5417">
      <c r="A5417" s="15" t="s">
        <v>20695</v>
      </c>
      <c r="B5417" s="15" t="s">
        <v>20774</v>
      </c>
      <c r="C5417" s="454" t="s">
        <v>20775</v>
      </c>
      <c r="D5417" s="14"/>
      <c r="E5417" s="14" t="s">
        <v>353</v>
      </c>
      <c r="F5417" s="433" t="s">
        <v>20294</v>
      </c>
      <c r="G5417" s="434"/>
      <c r="H5417" s="14" t="s">
        <v>20360</v>
      </c>
      <c r="I5417" s="423"/>
      <c r="J5417" s="14" t="s">
        <v>20776</v>
      </c>
      <c r="K5417" s="13"/>
      <c r="L5417" s="13"/>
      <c r="M5417" s="14"/>
      <c r="N5417" s="15"/>
      <c r="O5417" s="15" t="s">
        <v>19985</v>
      </c>
      <c r="P5417" s="15"/>
      <c r="Q5417" s="15"/>
      <c r="R5417" s="422"/>
      <c r="S5417" s="15"/>
      <c r="T5417" s="15"/>
      <c r="U5417" s="15"/>
      <c r="V5417" s="15"/>
      <c r="W5417" s="15"/>
      <c r="X5417" s="15"/>
      <c r="Y5417" s="15"/>
      <c r="Z5417" s="15"/>
      <c r="AA5417" s="15"/>
    </row>
    <row r="5418">
      <c r="A5418" s="15" t="s">
        <v>20695</v>
      </c>
      <c r="B5418" s="15" t="s">
        <v>20777</v>
      </c>
      <c r="C5418" s="432" t="s">
        <v>20778</v>
      </c>
      <c r="D5418" s="469"/>
      <c r="E5418" s="469" t="s">
        <v>3686</v>
      </c>
      <c r="F5418" s="433"/>
      <c r="G5418" s="434"/>
      <c r="H5418" s="14" t="s">
        <v>519</v>
      </c>
      <c r="I5418" s="423"/>
      <c r="J5418" s="14" t="s">
        <v>20776</v>
      </c>
      <c r="K5418" s="13"/>
      <c r="L5418" s="13"/>
      <c r="M5418" s="14" t="s">
        <v>20779</v>
      </c>
      <c r="N5418" s="15" t="s">
        <v>20780</v>
      </c>
      <c r="O5418" s="15" t="s">
        <v>13963</v>
      </c>
      <c r="P5418" s="15"/>
      <c r="Q5418" s="15"/>
      <c r="R5418" s="422"/>
      <c r="S5418" s="15"/>
      <c r="T5418" s="15"/>
      <c r="U5418" s="15"/>
      <c r="V5418" s="15"/>
      <c r="W5418" s="15"/>
      <c r="X5418" s="15"/>
      <c r="Y5418" s="15"/>
      <c r="Z5418" s="15"/>
      <c r="AA5418" s="15"/>
    </row>
    <row r="5419">
      <c r="A5419" s="15" t="s">
        <v>20695</v>
      </c>
      <c r="B5419" s="15" t="s">
        <v>20781</v>
      </c>
      <c r="C5419" s="432" t="s">
        <v>20782</v>
      </c>
      <c r="D5419" s="14"/>
      <c r="E5419" s="14" t="s">
        <v>3686</v>
      </c>
      <c r="F5419" s="433" t="s">
        <v>20398</v>
      </c>
      <c r="G5419" s="434"/>
      <c r="H5419" s="14"/>
      <c r="I5419" s="423"/>
      <c r="J5419" s="14"/>
      <c r="K5419" s="13"/>
      <c r="L5419" s="13"/>
      <c r="M5419" s="14"/>
      <c r="N5419" s="15"/>
      <c r="O5419" s="15" t="s">
        <v>19985</v>
      </c>
      <c r="P5419" s="15"/>
      <c r="Q5419" s="15"/>
      <c r="R5419" s="422"/>
      <c r="S5419" s="15"/>
      <c r="T5419" s="15"/>
      <c r="U5419" s="15"/>
      <c r="V5419" s="15"/>
      <c r="W5419" s="15"/>
      <c r="X5419" s="15"/>
      <c r="Y5419" s="15"/>
      <c r="Z5419" s="15"/>
      <c r="AA5419" s="15"/>
    </row>
    <row r="5420">
      <c r="A5420" s="15" t="s">
        <v>20695</v>
      </c>
      <c r="B5420" s="15" t="s">
        <v>20783</v>
      </c>
      <c r="C5420" s="432" t="s">
        <v>20784</v>
      </c>
      <c r="D5420" s="14"/>
      <c r="E5420" s="14" t="s">
        <v>20785</v>
      </c>
      <c r="F5420" s="433" t="s">
        <v>20786</v>
      </c>
      <c r="G5420" s="434"/>
      <c r="H5420" s="14" t="s">
        <v>196</v>
      </c>
      <c r="I5420" s="423"/>
      <c r="J5420" s="14" t="s">
        <v>20787</v>
      </c>
      <c r="K5420" s="13"/>
      <c r="L5420" s="13"/>
      <c r="M5420" s="14" t="s">
        <v>10362</v>
      </c>
      <c r="N5420" s="15" t="s">
        <v>20788</v>
      </c>
      <c r="O5420" s="15" t="s">
        <v>10708</v>
      </c>
      <c r="P5420" s="15"/>
      <c r="Q5420" s="15"/>
      <c r="R5420" s="422"/>
      <c r="S5420" s="15"/>
      <c r="T5420" s="15"/>
      <c r="U5420" s="15"/>
      <c r="V5420" s="15"/>
      <c r="W5420" s="15"/>
      <c r="X5420" s="15"/>
      <c r="Y5420" s="15"/>
      <c r="Z5420" s="15"/>
      <c r="AA5420" s="15"/>
    </row>
    <row r="5421">
      <c r="A5421" s="15" t="s">
        <v>20789</v>
      </c>
      <c r="B5421" s="15" t="s">
        <v>20790</v>
      </c>
      <c r="C5421" s="14" t="s">
        <v>20791</v>
      </c>
      <c r="D5421" s="469"/>
      <c r="E5421" s="469" t="s">
        <v>20792</v>
      </c>
      <c r="F5421" s="433" t="s">
        <v>20284</v>
      </c>
      <c r="G5421" s="434"/>
      <c r="H5421" s="14" t="s">
        <v>495</v>
      </c>
      <c r="I5421" s="423"/>
      <c r="J5421" s="14" t="s">
        <v>17976</v>
      </c>
      <c r="K5421" s="13"/>
      <c r="L5421" s="13"/>
      <c r="M5421" s="14" t="s">
        <v>20793</v>
      </c>
      <c r="N5421" s="15" t="s">
        <v>20794</v>
      </c>
      <c r="O5421" s="15" t="s">
        <v>13963</v>
      </c>
      <c r="P5421" s="15"/>
      <c r="Q5421" s="15"/>
      <c r="R5421" s="422"/>
      <c r="S5421" s="15"/>
      <c r="T5421" s="15"/>
      <c r="U5421" s="15"/>
      <c r="V5421" s="15"/>
      <c r="W5421" s="15"/>
      <c r="X5421" s="15"/>
      <c r="Y5421" s="15"/>
      <c r="Z5421" s="15"/>
      <c r="AA5421" s="15"/>
    </row>
    <row r="5422">
      <c r="A5422" s="15" t="s">
        <v>20789</v>
      </c>
      <c r="B5422" s="15" t="s">
        <v>20795</v>
      </c>
      <c r="C5422" s="4" t="s">
        <v>20796</v>
      </c>
      <c r="D5422" s="14"/>
      <c r="E5422" s="14" t="s">
        <v>20797</v>
      </c>
      <c r="F5422" s="433" t="s">
        <v>20340</v>
      </c>
      <c r="G5422" s="434"/>
      <c r="H5422" s="14" t="s">
        <v>19876</v>
      </c>
      <c r="I5422" s="423"/>
      <c r="J5422" s="14" t="s">
        <v>20798</v>
      </c>
      <c r="K5422" s="13"/>
      <c r="L5422" s="13"/>
      <c r="M5422" s="14" t="s">
        <v>20799</v>
      </c>
      <c r="N5422" s="15" t="s">
        <v>20800</v>
      </c>
      <c r="O5422" s="15" t="s">
        <v>564</v>
      </c>
      <c r="P5422" s="15"/>
      <c r="Q5422" s="15"/>
      <c r="R5422" s="422"/>
      <c r="S5422" s="15"/>
      <c r="T5422" s="15"/>
      <c r="U5422" s="15"/>
      <c r="V5422" s="15"/>
      <c r="W5422" s="15"/>
      <c r="X5422" s="15"/>
      <c r="Y5422" s="15"/>
      <c r="Z5422" s="15"/>
      <c r="AA5422" s="15"/>
    </row>
    <row r="5423">
      <c r="A5423" s="15" t="s">
        <v>20789</v>
      </c>
      <c r="B5423" s="15" t="s">
        <v>20801</v>
      </c>
      <c r="C5423" s="14" t="s">
        <v>20802</v>
      </c>
      <c r="D5423" s="14"/>
      <c r="E5423" s="14" t="s">
        <v>116</v>
      </c>
      <c r="F5423" s="433" t="s">
        <v>20284</v>
      </c>
      <c r="G5423" s="434"/>
      <c r="H5423" s="14" t="s">
        <v>2662</v>
      </c>
      <c r="I5423" s="423"/>
      <c r="J5423" s="14" t="s">
        <v>17976</v>
      </c>
      <c r="K5423" s="13"/>
      <c r="L5423" s="13"/>
      <c r="M5423" s="14" t="s">
        <v>20803</v>
      </c>
      <c r="N5423" s="15" t="s">
        <v>20804</v>
      </c>
      <c r="O5423" s="15" t="s">
        <v>10708</v>
      </c>
      <c r="P5423" s="15"/>
      <c r="Q5423" s="15"/>
      <c r="R5423" s="422"/>
      <c r="S5423" s="15"/>
      <c r="T5423" s="15"/>
      <c r="U5423" s="15"/>
      <c r="V5423" s="15"/>
      <c r="W5423" s="15"/>
      <c r="X5423" s="15"/>
      <c r="Y5423" s="15"/>
      <c r="Z5423" s="15"/>
      <c r="AA5423" s="15"/>
    </row>
    <row r="5424">
      <c r="A5424" s="15" t="s">
        <v>20789</v>
      </c>
      <c r="B5424" s="15" t="s">
        <v>20805</v>
      </c>
      <c r="C5424" s="14" t="s">
        <v>20806</v>
      </c>
      <c r="D5424" s="14"/>
      <c r="E5424" s="14" t="s">
        <v>12095</v>
      </c>
      <c r="F5424" s="433" t="s">
        <v>20807</v>
      </c>
      <c r="G5424" s="434"/>
      <c r="H5424" s="14" t="s">
        <v>422</v>
      </c>
      <c r="I5424" s="423"/>
      <c r="J5424" s="14" t="s">
        <v>20808</v>
      </c>
      <c r="K5424" s="13"/>
      <c r="L5424" s="13"/>
      <c r="M5424" s="14"/>
      <c r="N5424" s="15"/>
      <c r="O5424" s="15" t="s">
        <v>19985</v>
      </c>
      <c r="P5424" s="15"/>
      <c r="Q5424" s="15"/>
      <c r="R5424" s="422"/>
      <c r="S5424" s="15"/>
      <c r="T5424" s="15"/>
      <c r="U5424" s="15"/>
      <c r="V5424" s="15"/>
      <c r="W5424" s="15"/>
      <c r="X5424" s="15"/>
      <c r="Y5424" s="15"/>
      <c r="Z5424" s="15"/>
      <c r="AA5424" s="15"/>
    </row>
    <row r="5425">
      <c r="A5425" s="15" t="s">
        <v>20789</v>
      </c>
      <c r="B5425" s="15" t="s">
        <v>20809</v>
      </c>
      <c r="C5425" s="14" t="s">
        <v>18848</v>
      </c>
      <c r="D5425" s="14"/>
      <c r="E5425" s="14" t="s">
        <v>20810</v>
      </c>
      <c r="F5425" s="433" t="s">
        <v>18673</v>
      </c>
      <c r="G5425" s="434"/>
      <c r="H5425" s="14" t="s">
        <v>107</v>
      </c>
      <c r="I5425" s="423"/>
      <c r="J5425" s="14" t="s">
        <v>20811</v>
      </c>
      <c r="K5425" s="13"/>
      <c r="L5425" s="13"/>
      <c r="M5425" s="14"/>
      <c r="N5425" s="15"/>
      <c r="O5425" s="15" t="s">
        <v>13963</v>
      </c>
      <c r="P5425" s="15"/>
      <c r="Q5425" s="15"/>
      <c r="R5425" s="422"/>
      <c r="S5425" s="15"/>
      <c r="T5425" s="15"/>
      <c r="U5425" s="15"/>
      <c r="V5425" s="15"/>
      <c r="W5425" s="15"/>
      <c r="X5425" s="15"/>
      <c r="Y5425" s="15"/>
      <c r="Z5425" s="15"/>
      <c r="AA5425" s="15"/>
    </row>
    <row r="5426">
      <c r="A5426" s="15" t="s">
        <v>20789</v>
      </c>
      <c r="B5426" s="15" t="s">
        <v>20812</v>
      </c>
      <c r="C5426" s="14" t="s">
        <v>20813</v>
      </c>
      <c r="D5426" s="14"/>
      <c r="E5426" s="14" t="s">
        <v>20814</v>
      </c>
      <c r="F5426" s="433"/>
      <c r="G5426" s="434"/>
      <c r="H5426" s="14" t="s">
        <v>44</v>
      </c>
      <c r="I5426" s="423"/>
      <c r="J5426" s="14"/>
      <c r="K5426" s="13"/>
      <c r="L5426" s="13"/>
      <c r="M5426" s="14"/>
      <c r="N5426" s="15"/>
      <c r="O5426" s="15" t="s">
        <v>13963</v>
      </c>
      <c r="P5426" s="15"/>
      <c r="Q5426" s="15"/>
      <c r="R5426" s="422"/>
      <c r="S5426" s="15"/>
      <c r="T5426" s="15"/>
      <c r="U5426" s="15"/>
      <c r="V5426" s="15"/>
      <c r="W5426" s="15"/>
      <c r="X5426" s="15"/>
      <c r="Y5426" s="15"/>
      <c r="Z5426" s="15"/>
      <c r="AA5426" s="15"/>
    </row>
    <row r="5427">
      <c r="A5427" s="15" t="s">
        <v>20789</v>
      </c>
      <c r="B5427" s="15" t="s">
        <v>20815</v>
      </c>
      <c r="C5427" s="14" t="s">
        <v>20816</v>
      </c>
      <c r="D5427" s="14"/>
      <c r="E5427" s="14" t="s">
        <v>1784</v>
      </c>
      <c r="F5427" s="433" t="s">
        <v>20318</v>
      </c>
      <c r="G5427" s="434"/>
      <c r="H5427" s="14" t="s">
        <v>7815</v>
      </c>
      <c r="I5427" s="423"/>
      <c r="J5427" s="14" t="s">
        <v>17976</v>
      </c>
      <c r="K5427" s="13"/>
      <c r="L5427" s="13"/>
      <c r="M5427" s="14" t="s">
        <v>20817</v>
      </c>
      <c r="N5427" s="15" t="s">
        <v>20818</v>
      </c>
      <c r="O5427" s="15" t="s">
        <v>10708</v>
      </c>
      <c r="P5427" s="15"/>
      <c r="Q5427" s="15"/>
      <c r="R5427" s="422"/>
      <c r="S5427" s="15"/>
      <c r="T5427" s="15"/>
      <c r="U5427" s="15"/>
      <c r="V5427" s="15"/>
      <c r="W5427" s="15"/>
      <c r="X5427" s="15"/>
      <c r="Y5427" s="15"/>
      <c r="Z5427" s="15"/>
      <c r="AA5427" s="15"/>
    </row>
    <row r="5428">
      <c r="A5428" s="15" t="s">
        <v>20789</v>
      </c>
      <c r="B5428" s="15" t="s">
        <v>20819</v>
      </c>
      <c r="C5428" s="14" t="s">
        <v>20820</v>
      </c>
      <c r="D5428" s="14"/>
      <c r="E5428" s="14" t="s">
        <v>2335</v>
      </c>
      <c r="F5428" s="433"/>
      <c r="G5428" s="434"/>
      <c r="H5428" s="14"/>
      <c r="I5428" s="423"/>
      <c r="J5428" s="14"/>
      <c r="K5428" s="13"/>
      <c r="L5428" s="13"/>
      <c r="M5428" s="14"/>
      <c r="N5428" s="15"/>
      <c r="O5428" s="15" t="s">
        <v>10708</v>
      </c>
      <c r="P5428" s="15"/>
      <c r="Q5428" s="15"/>
      <c r="R5428" s="422"/>
      <c r="S5428" s="15"/>
      <c r="T5428" s="15"/>
      <c r="U5428" s="15"/>
      <c r="V5428" s="15"/>
      <c r="W5428" s="15"/>
      <c r="X5428" s="15"/>
      <c r="Y5428" s="15"/>
      <c r="Z5428" s="15"/>
      <c r="AA5428" s="15"/>
    </row>
    <row r="5429">
      <c r="A5429" s="15" t="s">
        <v>20789</v>
      </c>
      <c r="B5429" s="15" t="s">
        <v>20821</v>
      </c>
      <c r="C5429" s="14" t="s">
        <v>20822</v>
      </c>
      <c r="D5429" s="14"/>
      <c r="E5429" s="14" t="s">
        <v>116</v>
      </c>
      <c r="F5429" s="433"/>
      <c r="G5429" s="434"/>
      <c r="H5429" s="14" t="s">
        <v>20823</v>
      </c>
      <c r="I5429" s="423"/>
      <c r="J5429" s="14"/>
      <c r="K5429" s="13"/>
      <c r="L5429" s="13"/>
      <c r="M5429" s="14"/>
      <c r="N5429" s="15"/>
      <c r="O5429" s="15" t="s">
        <v>10708</v>
      </c>
      <c r="P5429" s="15"/>
      <c r="Q5429" s="15"/>
      <c r="R5429" s="422"/>
      <c r="S5429" s="15"/>
      <c r="T5429" s="15"/>
      <c r="U5429" s="15"/>
      <c r="V5429" s="15"/>
      <c r="W5429" s="15"/>
      <c r="X5429" s="15"/>
      <c r="Y5429" s="15"/>
      <c r="Z5429" s="15"/>
      <c r="AA5429" s="15"/>
    </row>
    <row r="5430">
      <c r="A5430" s="15" t="s">
        <v>20789</v>
      </c>
      <c r="B5430" s="15" t="s">
        <v>20824</v>
      </c>
      <c r="C5430" s="14" t="s">
        <v>20825</v>
      </c>
      <c r="D5430" s="14"/>
      <c r="E5430" s="14" t="s">
        <v>116</v>
      </c>
      <c r="F5430" s="433" t="s">
        <v>20398</v>
      </c>
      <c r="G5430" s="434"/>
      <c r="H5430" s="14" t="s">
        <v>507</v>
      </c>
      <c r="I5430" s="423"/>
      <c r="J5430" s="14" t="s">
        <v>20826</v>
      </c>
      <c r="K5430" s="13"/>
      <c r="L5430" s="13"/>
      <c r="M5430" s="14"/>
      <c r="N5430" s="15"/>
      <c r="O5430" s="15" t="s">
        <v>19985</v>
      </c>
      <c r="P5430" s="15"/>
      <c r="Q5430" s="15"/>
      <c r="R5430" s="422"/>
      <c r="S5430" s="15"/>
      <c r="T5430" s="15"/>
      <c r="U5430" s="15"/>
      <c r="V5430" s="15"/>
      <c r="W5430" s="15"/>
      <c r="X5430" s="15"/>
      <c r="Y5430" s="15"/>
      <c r="Z5430" s="15"/>
      <c r="AA5430" s="15"/>
    </row>
    <row r="5431">
      <c r="A5431" s="15" t="s">
        <v>20789</v>
      </c>
      <c r="B5431" s="15" t="s">
        <v>20827</v>
      </c>
      <c r="C5431" s="14" t="s">
        <v>20828</v>
      </c>
      <c r="D5431" s="14"/>
      <c r="E5431" s="14" t="s">
        <v>20829</v>
      </c>
      <c r="F5431" s="433" t="s">
        <v>20830</v>
      </c>
      <c r="G5431" s="434"/>
      <c r="H5431" s="14" t="s">
        <v>20831</v>
      </c>
      <c r="I5431" s="423"/>
      <c r="J5431" s="14" t="s">
        <v>20832</v>
      </c>
      <c r="K5431" s="13"/>
      <c r="L5431" s="13"/>
      <c r="M5431" s="14" t="s">
        <v>20833</v>
      </c>
      <c r="N5431" s="15" t="s">
        <v>20834</v>
      </c>
      <c r="O5431" s="15" t="s">
        <v>564</v>
      </c>
      <c r="P5431" s="15"/>
      <c r="Q5431" s="15"/>
      <c r="R5431" s="422"/>
      <c r="S5431" s="15"/>
      <c r="T5431" s="15"/>
      <c r="U5431" s="15"/>
      <c r="V5431" s="15"/>
      <c r="W5431" s="15"/>
      <c r="X5431" s="15"/>
      <c r="Y5431" s="15"/>
      <c r="Z5431" s="15"/>
      <c r="AA5431" s="15"/>
    </row>
    <row r="5432">
      <c r="A5432" s="15" t="s">
        <v>20789</v>
      </c>
      <c r="B5432" s="15" t="s">
        <v>20835</v>
      </c>
      <c r="C5432" s="4" t="s">
        <v>20836</v>
      </c>
      <c r="D5432" s="14"/>
      <c r="E5432" s="14" t="s">
        <v>20837</v>
      </c>
      <c r="F5432" s="433" t="s">
        <v>20348</v>
      </c>
      <c r="G5432" s="434"/>
      <c r="H5432" s="14" t="s">
        <v>3595</v>
      </c>
      <c r="I5432" s="423"/>
      <c r="J5432" s="14" t="s">
        <v>20838</v>
      </c>
      <c r="K5432" s="13"/>
      <c r="L5432" s="13"/>
      <c r="M5432" s="14" t="s">
        <v>20839</v>
      </c>
      <c r="N5432" s="15" t="s">
        <v>20387</v>
      </c>
      <c r="O5432" s="15" t="s">
        <v>564</v>
      </c>
      <c r="P5432" s="15"/>
      <c r="Q5432" s="15"/>
      <c r="R5432" s="422"/>
      <c r="S5432" s="15"/>
      <c r="T5432" s="15"/>
      <c r="U5432" s="15"/>
      <c r="V5432" s="15"/>
      <c r="W5432" s="15"/>
      <c r="X5432" s="15"/>
      <c r="Y5432" s="15"/>
      <c r="Z5432" s="15"/>
      <c r="AA5432" s="15"/>
    </row>
    <row r="5433">
      <c r="A5433" s="15" t="s">
        <v>20789</v>
      </c>
      <c r="B5433" s="15" t="s">
        <v>20840</v>
      </c>
      <c r="C5433" s="14" t="s">
        <v>20841</v>
      </c>
      <c r="D5433" s="14"/>
      <c r="E5433" s="14" t="s">
        <v>116</v>
      </c>
      <c r="F5433" s="433"/>
      <c r="G5433" s="434"/>
      <c r="H5433" s="14"/>
      <c r="I5433" s="423"/>
      <c r="J5433" s="14"/>
      <c r="K5433" s="13"/>
      <c r="L5433" s="13"/>
      <c r="M5433" s="14"/>
      <c r="N5433" s="15"/>
      <c r="O5433" s="15" t="s">
        <v>10708</v>
      </c>
      <c r="P5433" s="15"/>
      <c r="Q5433" s="15"/>
      <c r="R5433" s="422"/>
      <c r="S5433" s="15"/>
      <c r="T5433" s="15"/>
      <c r="U5433" s="15"/>
      <c r="V5433" s="15"/>
      <c r="W5433" s="15"/>
      <c r="X5433" s="15"/>
      <c r="Y5433" s="15"/>
      <c r="Z5433" s="15"/>
      <c r="AA5433" s="15"/>
    </row>
    <row r="5434">
      <c r="A5434" s="15" t="s">
        <v>20789</v>
      </c>
      <c r="B5434" s="15" t="s">
        <v>20842</v>
      </c>
      <c r="C5434" s="14" t="s">
        <v>20843</v>
      </c>
      <c r="D5434" s="14"/>
      <c r="E5434" s="14" t="s">
        <v>178</v>
      </c>
      <c r="F5434" s="433"/>
      <c r="G5434" s="434"/>
      <c r="H5434" s="14"/>
      <c r="I5434" s="423"/>
      <c r="J5434" s="14"/>
      <c r="K5434" s="13"/>
      <c r="L5434" s="13"/>
      <c r="M5434" s="14"/>
      <c r="N5434" s="15"/>
      <c r="O5434" s="15" t="s">
        <v>564</v>
      </c>
      <c r="P5434" s="15"/>
      <c r="Q5434" s="15"/>
      <c r="R5434" s="422"/>
      <c r="S5434" s="15"/>
      <c r="T5434" s="15"/>
      <c r="U5434" s="15"/>
      <c r="V5434" s="15"/>
      <c r="W5434" s="15"/>
      <c r="X5434" s="15"/>
      <c r="Y5434" s="15"/>
      <c r="Z5434" s="15"/>
      <c r="AA5434" s="15"/>
    </row>
    <row r="5435">
      <c r="A5435" s="15" t="s">
        <v>20789</v>
      </c>
      <c r="B5435" s="15" t="s">
        <v>20844</v>
      </c>
      <c r="C5435" s="14" t="s">
        <v>20845</v>
      </c>
      <c r="D5435" s="14"/>
      <c r="E5435" s="14" t="s">
        <v>9283</v>
      </c>
      <c r="F5435" s="433" t="s">
        <v>20300</v>
      </c>
      <c r="G5435" s="434"/>
      <c r="H5435" s="14" t="s">
        <v>742</v>
      </c>
      <c r="I5435" s="423"/>
      <c r="J5435" s="14"/>
      <c r="K5435" s="13"/>
      <c r="L5435" s="13"/>
      <c r="M5435" s="14" t="s">
        <v>10721</v>
      </c>
      <c r="N5435" s="15" t="s">
        <v>20846</v>
      </c>
      <c r="O5435" s="15" t="s">
        <v>13963</v>
      </c>
      <c r="P5435" s="15"/>
      <c r="Q5435" s="15"/>
      <c r="R5435" s="422"/>
      <c r="S5435" s="15"/>
      <c r="T5435" s="15"/>
      <c r="U5435" s="15"/>
      <c r="V5435" s="15"/>
      <c r="W5435" s="15"/>
      <c r="X5435" s="15"/>
      <c r="Y5435" s="15"/>
      <c r="Z5435" s="15"/>
      <c r="AA5435" s="15"/>
    </row>
    <row r="5436">
      <c r="A5436" s="15" t="s">
        <v>20789</v>
      </c>
      <c r="B5436" s="15" t="s">
        <v>20847</v>
      </c>
      <c r="C5436" s="14" t="s">
        <v>20848</v>
      </c>
      <c r="D5436" s="14"/>
      <c r="E5436" s="14" t="s">
        <v>5014</v>
      </c>
      <c r="F5436" s="433" t="s">
        <v>20284</v>
      </c>
      <c r="G5436" s="434"/>
      <c r="H5436" s="14" t="s">
        <v>20849</v>
      </c>
      <c r="I5436" s="423"/>
      <c r="J5436" s="14" t="s">
        <v>20850</v>
      </c>
      <c r="K5436" s="13"/>
      <c r="L5436" s="13"/>
      <c r="M5436" s="14" t="s">
        <v>9707</v>
      </c>
      <c r="N5436" s="15" t="s">
        <v>20851</v>
      </c>
      <c r="O5436" s="15" t="s">
        <v>20743</v>
      </c>
      <c r="P5436" s="15"/>
      <c r="Q5436" s="15"/>
      <c r="R5436" s="422"/>
      <c r="S5436" s="15"/>
      <c r="T5436" s="15"/>
      <c r="U5436" s="15"/>
      <c r="V5436" s="15"/>
      <c r="W5436" s="15"/>
      <c r="X5436" s="15"/>
      <c r="Y5436" s="15"/>
      <c r="Z5436" s="15"/>
      <c r="AA5436" s="15"/>
    </row>
    <row r="5437">
      <c r="A5437" s="15" t="s">
        <v>20789</v>
      </c>
      <c r="B5437" s="15" t="s">
        <v>20852</v>
      </c>
      <c r="C5437" s="14" t="s">
        <v>20853</v>
      </c>
      <c r="D5437" s="14"/>
      <c r="E5437" s="14" t="s">
        <v>20854</v>
      </c>
      <c r="F5437" s="433" t="s">
        <v>20715</v>
      </c>
      <c r="G5437" s="434"/>
      <c r="H5437" s="14" t="s">
        <v>5632</v>
      </c>
      <c r="I5437" s="423"/>
      <c r="J5437" s="14" t="s">
        <v>17976</v>
      </c>
      <c r="K5437" s="13"/>
      <c r="L5437" s="13"/>
      <c r="M5437" s="14"/>
      <c r="N5437" s="15"/>
      <c r="O5437" s="15" t="s">
        <v>13963</v>
      </c>
      <c r="P5437" s="15"/>
      <c r="Q5437" s="15"/>
      <c r="R5437" s="422"/>
      <c r="S5437" s="15"/>
      <c r="T5437" s="15"/>
      <c r="U5437" s="15"/>
      <c r="V5437" s="15"/>
      <c r="W5437" s="15"/>
      <c r="X5437" s="15"/>
      <c r="Y5437" s="15"/>
      <c r="Z5437" s="15"/>
      <c r="AA5437" s="15"/>
    </row>
    <row r="5438">
      <c r="A5438" s="15" t="s">
        <v>20789</v>
      </c>
      <c r="B5438" s="15" t="s">
        <v>20855</v>
      </c>
      <c r="C5438" s="14" t="s">
        <v>20856</v>
      </c>
      <c r="D5438" s="14"/>
      <c r="E5438" s="14" t="s">
        <v>20857</v>
      </c>
      <c r="F5438" s="433" t="s">
        <v>20693</v>
      </c>
      <c r="G5438" s="434"/>
      <c r="H5438" s="14" t="s">
        <v>44</v>
      </c>
      <c r="I5438" s="423"/>
      <c r="J5438" s="14" t="s">
        <v>20776</v>
      </c>
      <c r="K5438" s="13"/>
      <c r="L5438" s="13"/>
      <c r="M5438" s="14"/>
      <c r="N5438" s="15"/>
      <c r="O5438" s="15" t="s">
        <v>19985</v>
      </c>
      <c r="P5438" s="15"/>
      <c r="Q5438" s="15"/>
      <c r="R5438" s="422"/>
      <c r="S5438" s="15"/>
      <c r="T5438" s="15"/>
      <c r="U5438" s="15"/>
      <c r="V5438" s="15"/>
      <c r="W5438" s="15"/>
      <c r="X5438" s="15"/>
      <c r="Y5438" s="15"/>
      <c r="Z5438" s="15"/>
      <c r="AA5438" s="15"/>
    </row>
    <row r="5439">
      <c r="A5439" s="15" t="s">
        <v>20789</v>
      </c>
      <c r="B5439" s="15" t="s">
        <v>20858</v>
      </c>
      <c r="C5439" s="14" t="s">
        <v>15218</v>
      </c>
      <c r="D5439" s="14"/>
      <c r="E5439" s="14" t="s">
        <v>20859</v>
      </c>
      <c r="F5439" s="433" t="s">
        <v>20318</v>
      </c>
      <c r="G5439" s="434"/>
      <c r="H5439" s="14"/>
      <c r="I5439" s="423"/>
      <c r="J5439" s="14"/>
      <c r="K5439" s="13"/>
      <c r="L5439" s="13"/>
      <c r="M5439" s="14"/>
      <c r="N5439" s="15"/>
      <c r="O5439" s="15" t="s">
        <v>13963</v>
      </c>
      <c r="P5439" s="15"/>
      <c r="Q5439" s="15"/>
      <c r="R5439" s="422"/>
      <c r="S5439" s="15"/>
      <c r="T5439" s="15"/>
      <c r="U5439" s="15"/>
      <c r="V5439" s="15"/>
      <c r="W5439" s="15"/>
      <c r="X5439" s="15"/>
      <c r="Y5439" s="15"/>
      <c r="Z5439" s="15"/>
      <c r="AA5439" s="15"/>
    </row>
    <row r="5440">
      <c r="A5440" s="15" t="s">
        <v>20789</v>
      </c>
      <c r="B5440" s="15" t="s">
        <v>20860</v>
      </c>
      <c r="C5440" s="14" t="s">
        <v>20861</v>
      </c>
      <c r="D5440" s="14"/>
      <c r="E5440" s="14" t="s">
        <v>20862</v>
      </c>
      <c r="F5440" s="433" t="s">
        <v>20577</v>
      </c>
      <c r="G5440" s="434"/>
      <c r="H5440" s="14" t="s">
        <v>19514</v>
      </c>
      <c r="I5440" s="423"/>
      <c r="J5440" s="14" t="s">
        <v>17976</v>
      </c>
      <c r="K5440" s="13"/>
      <c r="L5440" s="13"/>
      <c r="M5440" s="14" t="s">
        <v>20863</v>
      </c>
      <c r="N5440" s="15" t="s">
        <v>20864</v>
      </c>
      <c r="O5440" s="15" t="s">
        <v>564</v>
      </c>
      <c r="P5440" s="15"/>
      <c r="Q5440" s="15"/>
      <c r="R5440" s="422"/>
      <c r="S5440" s="15"/>
      <c r="T5440" s="15"/>
      <c r="U5440" s="15"/>
      <c r="V5440" s="15"/>
      <c r="W5440" s="15"/>
      <c r="X5440" s="15"/>
      <c r="Y5440" s="15"/>
      <c r="Z5440" s="15"/>
      <c r="AA5440" s="15"/>
    </row>
    <row r="5441">
      <c r="A5441" s="15" t="s">
        <v>20789</v>
      </c>
      <c r="B5441" s="15" t="s">
        <v>20865</v>
      </c>
      <c r="C5441" s="14" t="s">
        <v>20866</v>
      </c>
      <c r="D5441" s="14"/>
      <c r="E5441" s="14" t="s">
        <v>167</v>
      </c>
      <c r="F5441" s="433" t="s">
        <v>20867</v>
      </c>
      <c r="G5441" s="434"/>
      <c r="H5441" s="14" t="s">
        <v>742</v>
      </c>
      <c r="I5441" s="423"/>
      <c r="J5441" s="14" t="s">
        <v>20151</v>
      </c>
      <c r="K5441" s="13"/>
      <c r="L5441" s="13"/>
      <c r="M5441" s="14"/>
      <c r="N5441" s="15"/>
      <c r="O5441" s="15" t="s">
        <v>19985</v>
      </c>
      <c r="P5441" s="15"/>
      <c r="Q5441" s="15"/>
      <c r="R5441" s="422"/>
      <c r="S5441" s="15"/>
      <c r="T5441" s="15"/>
      <c r="U5441" s="15"/>
      <c r="V5441" s="15"/>
      <c r="W5441" s="15"/>
      <c r="X5441" s="15"/>
      <c r="Y5441" s="15"/>
      <c r="Z5441" s="15"/>
      <c r="AA5441" s="15"/>
    </row>
    <row r="5442">
      <c r="A5442" s="15" t="s">
        <v>20789</v>
      </c>
      <c r="B5442" s="15" t="s">
        <v>20868</v>
      </c>
      <c r="C5442" s="14" t="s">
        <v>20869</v>
      </c>
      <c r="D5442" s="14"/>
      <c r="E5442" s="14" t="s">
        <v>167</v>
      </c>
      <c r="F5442" s="433" t="s">
        <v>19094</v>
      </c>
      <c r="G5442" s="434"/>
      <c r="H5442" s="14" t="s">
        <v>519</v>
      </c>
      <c r="I5442" s="423"/>
      <c r="J5442" s="14" t="s">
        <v>20870</v>
      </c>
      <c r="K5442" s="13"/>
      <c r="L5442" s="13"/>
      <c r="M5442" s="14" t="s">
        <v>9949</v>
      </c>
      <c r="N5442" s="15" t="s">
        <v>20871</v>
      </c>
      <c r="O5442" s="15" t="s">
        <v>564</v>
      </c>
      <c r="P5442" s="15"/>
      <c r="Q5442" s="15"/>
      <c r="R5442" s="422"/>
      <c r="S5442" s="15"/>
      <c r="T5442" s="15"/>
      <c r="U5442" s="15"/>
      <c r="V5442" s="15"/>
      <c r="W5442" s="15"/>
      <c r="X5442" s="15"/>
      <c r="Y5442" s="15"/>
      <c r="Z5442" s="15"/>
      <c r="AA5442" s="15"/>
    </row>
    <row r="5443">
      <c r="A5443" s="15" t="s">
        <v>20789</v>
      </c>
      <c r="B5443" s="15" t="s">
        <v>20872</v>
      </c>
      <c r="C5443" s="14" t="s">
        <v>20873</v>
      </c>
      <c r="D5443" s="14"/>
      <c r="E5443" s="14" t="s">
        <v>20874</v>
      </c>
      <c r="F5443" s="433" t="s">
        <v>20875</v>
      </c>
      <c r="G5443" s="434"/>
      <c r="H5443" s="14" t="s">
        <v>590</v>
      </c>
      <c r="I5443" s="423"/>
      <c r="J5443" s="14" t="s">
        <v>17976</v>
      </c>
      <c r="K5443" s="13"/>
      <c r="L5443" s="13"/>
      <c r="M5443" s="14" t="s">
        <v>14458</v>
      </c>
      <c r="N5443" s="15" t="s">
        <v>20876</v>
      </c>
      <c r="O5443" s="15" t="s">
        <v>564</v>
      </c>
      <c r="P5443" s="15"/>
      <c r="Q5443" s="15"/>
      <c r="R5443" s="422"/>
      <c r="S5443" s="15"/>
      <c r="T5443" s="15"/>
      <c r="U5443" s="15"/>
      <c r="V5443" s="15"/>
      <c r="W5443" s="15"/>
      <c r="X5443" s="15"/>
      <c r="Y5443" s="15"/>
      <c r="Z5443" s="15"/>
      <c r="AA5443" s="15"/>
    </row>
    <row r="5444">
      <c r="A5444" s="15" t="s">
        <v>20877</v>
      </c>
      <c r="B5444" s="15" t="s">
        <v>20878</v>
      </c>
      <c r="C5444" s="14" t="s">
        <v>20879</v>
      </c>
      <c r="D5444" s="14"/>
      <c r="E5444" s="14" t="s">
        <v>10377</v>
      </c>
      <c r="F5444" s="433"/>
      <c r="G5444" s="434"/>
      <c r="H5444" s="14"/>
      <c r="I5444" s="423"/>
      <c r="J5444" s="14"/>
      <c r="K5444" s="13"/>
      <c r="L5444" s="13"/>
      <c r="M5444" s="14"/>
      <c r="N5444" s="15"/>
      <c r="O5444" s="15"/>
      <c r="P5444" s="15"/>
      <c r="Q5444" s="15"/>
      <c r="R5444" s="422"/>
      <c r="S5444" s="15"/>
      <c r="T5444" s="15"/>
      <c r="U5444" s="15"/>
      <c r="V5444" s="15"/>
      <c r="W5444" s="15"/>
      <c r="X5444" s="15"/>
      <c r="Y5444" s="15"/>
      <c r="Z5444" s="15"/>
      <c r="AA5444" s="15"/>
    </row>
    <row r="5445">
      <c r="A5445" s="15" t="s">
        <v>20877</v>
      </c>
      <c r="B5445" s="15" t="s">
        <v>20880</v>
      </c>
      <c r="C5445" s="14" t="s">
        <v>20881</v>
      </c>
      <c r="D5445" s="14"/>
      <c r="E5445" s="14" t="s">
        <v>9434</v>
      </c>
      <c r="F5445" s="433" t="s">
        <v>20348</v>
      </c>
      <c r="G5445" s="434"/>
      <c r="H5445" s="14"/>
      <c r="I5445" s="423"/>
      <c r="J5445" s="14"/>
      <c r="K5445" s="13"/>
      <c r="L5445" s="13"/>
      <c r="M5445" s="14" t="s">
        <v>20882</v>
      </c>
      <c r="N5445" s="15" t="s">
        <v>20883</v>
      </c>
      <c r="O5445" s="15" t="s">
        <v>564</v>
      </c>
      <c r="P5445" s="15"/>
      <c r="Q5445" s="15"/>
      <c r="R5445" s="422"/>
      <c r="S5445" s="15"/>
      <c r="T5445" s="15"/>
      <c r="U5445" s="15"/>
      <c r="V5445" s="15"/>
      <c r="W5445" s="15"/>
      <c r="X5445" s="15"/>
      <c r="Y5445" s="15"/>
      <c r="Z5445" s="15"/>
      <c r="AA5445" s="15"/>
    </row>
    <row r="5446">
      <c r="A5446" s="15" t="s">
        <v>20877</v>
      </c>
      <c r="B5446" s="15" t="s">
        <v>20884</v>
      </c>
      <c r="C5446" s="14" t="s">
        <v>20885</v>
      </c>
      <c r="D5446" s="14"/>
      <c r="E5446" s="14" t="s">
        <v>17908</v>
      </c>
      <c r="F5446" s="433" t="s">
        <v>20559</v>
      </c>
      <c r="G5446" s="434"/>
      <c r="H5446" s="14" t="s">
        <v>2662</v>
      </c>
      <c r="I5446" s="423"/>
      <c r="J5446" s="14" t="s">
        <v>17976</v>
      </c>
      <c r="K5446" s="13"/>
      <c r="L5446" s="13"/>
      <c r="M5446" s="14" t="s">
        <v>20886</v>
      </c>
      <c r="N5446" s="15" t="s">
        <v>20887</v>
      </c>
      <c r="O5446" s="15" t="s">
        <v>10708</v>
      </c>
      <c r="P5446" s="15"/>
      <c r="Q5446" s="15"/>
      <c r="R5446" s="422"/>
      <c r="S5446" s="15"/>
      <c r="T5446" s="15"/>
      <c r="U5446" s="15"/>
      <c r="V5446" s="15"/>
      <c r="W5446" s="15"/>
      <c r="X5446" s="15"/>
      <c r="Y5446" s="15"/>
      <c r="Z5446" s="15"/>
      <c r="AA5446" s="15"/>
    </row>
    <row r="5447">
      <c r="A5447" s="15" t="s">
        <v>20877</v>
      </c>
      <c r="B5447" s="15" t="s">
        <v>20888</v>
      </c>
      <c r="C5447" s="14" t="s">
        <v>2183</v>
      </c>
      <c r="D5447" s="14"/>
      <c r="E5447" s="14" t="s">
        <v>6360</v>
      </c>
      <c r="F5447" s="433"/>
      <c r="G5447" s="434"/>
      <c r="H5447" s="14"/>
      <c r="I5447" s="423"/>
      <c r="J5447" s="14"/>
      <c r="K5447" s="13"/>
      <c r="L5447" s="13"/>
      <c r="M5447" s="14"/>
      <c r="N5447" s="15"/>
      <c r="O5447" s="15" t="s">
        <v>10708</v>
      </c>
      <c r="P5447" s="15"/>
      <c r="Q5447" s="15"/>
      <c r="R5447" s="422"/>
      <c r="S5447" s="15"/>
      <c r="T5447" s="15"/>
      <c r="U5447" s="15"/>
      <c r="V5447" s="15"/>
      <c r="W5447" s="15"/>
      <c r="X5447" s="15"/>
      <c r="Y5447" s="15"/>
      <c r="Z5447" s="15"/>
      <c r="AA5447" s="15"/>
    </row>
    <row r="5448">
      <c r="A5448" s="15" t="s">
        <v>20877</v>
      </c>
      <c r="B5448" s="15" t="s">
        <v>20889</v>
      </c>
      <c r="C5448" s="14" t="s">
        <v>3366</v>
      </c>
      <c r="D5448" s="14"/>
      <c r="E5448" s="14" t="s">
        <v>20008</v>
      </c>
      <c r="F5448" s="433" t="s">
        <v>20348</v>
      </c>
      <c r="G5448" s="434"/>
      <c r="H5448" s="14" t="s">
        <v>398</v>
      </c>
      <c r="I5448" s="423"/>
      <c r="J5448" s="14"/>
      <c r="K5448" s="13"/>
      <c r="L5448" s="13"/>
      <c r="M5448" s="14"/>
      <c r="N5448" s="15"/>
      <c r="O5448" s="15" t="s">
        <v>564</v>
      </c>
      <c r="P5448" s="15"/>
      <c r="Q5448" s="15"/>
      <c r="R5448" s="422"/>
      <c r="S5448" s="15"/>
      <c r="T5448" s="15"/>
      <c r="U5448" s="15"/>
      <c r="V5448" s="15"/>
      <c r="W5448" s="15"/>
      <c r="X5448" s="15"/>
      <c r="Y5448" s="15"/>
      <c r="Z5448" s="15"/>
      <c r="AA5448" s="15"/>
    </row>
    <row r="5449">
      <c r="A5449" s="15" t="s">
        <v>20877</v>
      </c>
      <c r="B5449" s="15" t="s">
        <v>20890</v>
      </c>
      <c r="C5449" s="14" t="s">
        <v>20891</v>
      </c>
      <c r="D5449" s="14"/>
      <c r="E5449" s="14" t="s">
        <v>116</v>
      </c>
      <c r="F5449" s="433" t="s">
        <v>18673</v>
      </c>
      <c r="G5449" s="434"/>
      <c r="H5449" s="14" t="s">
        <v>9094</v>
      </c>
      <c r="I5449" s="423"/>
      <c r="J5449" s="14" t="s">
        <v>20892</v>
      </c>
      <c r="K5449" s="13"/>
      <c r="L5449" s="13"/>
      <c r="M5449" s="14" t="s">
        <v>18214</v>
      </c>
      <c r="N5449" s="15" t="s">
        <v>20893</v>
      </c>
      <c r="O5449" s="15" t="s">
        <v>10708</v>
      </c>
      <c r="P5449" s="15"/>
      <c r="Q5449" s="15"/>
      <c r="R5449" s="422"/>
      <c r="S5449" s="15"/>
      <c r="T5449" s="15"/>
      <c r="U5449" s="15"/>
      <c r="V5449" s="15"/>
      <c r="W5449" s="15"/>
      <c r="X5449" s="15"/>
      <c r="Y5449" s="15"/>
      <c r="Z5449" s="15"/>
      <c r="AA5449" s="15"/>
    </row>
    <row r="5450">
      <c r="A5450" s="15" t="s">
        <v>20877</v>
      </c>
      <c r="B5450" s="15" t="s">
        <v>20894</v>
      </c>
      <c r="C5450" s="14" t="s">
        <v>20895</v>
      </c>
      <c r="D5450" s="14"/>
      <c r="E5450" s="14" t="s">
        <v>152</v>
      </c>
      <c r="F5450" s="433" t="s">
        <v>20303</v>
      </c>
      <c r="G5450" s="434"/>
      <c r="H5450" s="14" t="s">
        <v>495</v>
      </c>
      <c r="I5450" s="423"/>
      <c r="J5450" s="14" t="s">
        <v>20896</v>
      </c>
      <c r="K5450" s="13"/>
      <c r="L5450" s="13"/>
      <c r="M5450" s="14" t="s">
        <v>10171</v>
      </c>
      <c r="N5450" s="15" t="s">
        <v>20897</v>
      </c>
      <c r="O5450" s="15" t="s">
        <v>564</v>
      </c>
      <c r="P5450" s="15"/>
      <c r="Q5450" s="15"/>
      <c r="R5450" s="422"/>
      <c r="S5450" s="15"/>
      <c r="T5450" s="15"/>
      <c r="U5450" s="15"/>
      <c r="V5450" s="15"/>
      <c r="W5450" s="15"/>
      <c r="X5450" s="15"/>
      <c r="Y5450" s="15"/>
      <c r="Z5450" s="15"/>
      <c r="AA5450" s="15"/>
    </row>
    <row r="5451">
      <c r="A5451" s="15" t="s">
        <v>20877</v>
      </c>
      <c r="B5451" s="15" t="s">
        <v>20898</v>
      </c>
      <c r="C5451" s="14" t="s">
        <v>20899</v>
      </c>
      <c r="D5451" s="14"/>
      <c r="E5451" s="14" t="s">
        <v>3682</v>
      </c>
      <c r="F5451" s="433" t="s">
        <v>20322</v>
      </c>
      <c r="G5451" s="434"/>
      <c r="H5451" s="14" t="s">
        <v>2682</v>
      </c>
      <c r="I5451" s="423"/>
      <c r="J5451" s="14" t="s">
        <v>17976</v>
      </c>
      <c r="K5451" s="13"/>
      <c r="L5451" s="13"/>
      <c r="M5451" s="14" t="s">
        <v>7965</v>
      </c>
      <c r="N5451" s="15" t="s">
        <v>20900</v>
      </c>
      <c r="O5451" s="15" t="s">
        <v>13963</v>
      </c>
      <c r="P5451" s="15"/>
      <c r="Q5451" s="15"/>
      <c r="R5451" s="422"/>
      <c r="S5451" s="15"/>
      <c r="T5451" s="15"/>
      <c r="U5451" s="15"/>
      <c r="V5451" s="15"/>
      <c r="W5451" s="15"/>
      <c r="X5451" s="15"/>
      <c r="Y5451" s="15"/>
      <c r="Z5451" s="15"/>
      <c r="AA5451" s="15"/>
    </row>
    <row r="5452">
      <c r="A5452" s="15" t="s">
        <v>20877</v>
      </c>
      <c r="B5452" s="15" t="s">
        <v>20901</v>
      </c>
      <c r="C5452" s="14" t="s">
        <v>20902</v>
      </c>
      <c r="D5452" s="14"/>
      <c r="E5452" s="14" t="s">
        <v>20903</v>
      </c>
      <c r="F5452" s="433"/>
      <c r="G5452" s="434"/>
      <c r="H5452" s="14"/>
      <c r="I5452" s="423"/>
      <c r="J5452" s="14"/>
      <c r="K5452" s="13"/>
      <c r="L5452" s="13"/>
      <c r="M5452" s="14"/>
      <c r="N5452" s="15"/>
      <c r="O5452" s="15"/>
      <c r="P5452" s="15"/>
      <c r="Q5452" s="15"/>
      <c r="R5452" s="422"/>
      <c r="S5452" s="15"/>
      <c r="T5452" s="15"/>
      <c r="U5452" s="15"/>
      <c r="V5452" s="15"/>
      <c r="W5452" s="15"/>
      <c r="X5452" s="15"/>
      <c r="Y5452" s="15"/>
      <c r="Z5452" s="15"/>
      <c r="AA5452" s="15"/>
    </row>
    <row r="5453">
      <c r="A5453" s="15" t="s">
        <v>20877</v>
      </c>
      <c r="B5453" s="15" t="s">
        <v>20904</v>
      </c>
      <c r="C5453" s="4" t="s">
        <v>20905</v>
      </c>
      <c r="D5453" s="14"/>
      <c r="E5453" s="14" t="s">
        <v>20906</v>
      </c>
      <c r="F5453" s="433" t="s">
        <v>20907</v>
      </c>
      <c r="G5453" s="434"/>
      <c r="H5453" s="14" t="s">
        <v>2649</v>
      </c>
      <c r="I5453" s="423"/>
      <c r="J5453" s="14" t="s">
        <v>17976</v>
      </c>
      <c r="K5453" s="13"/>
      <c r="L5453" s="13"/>
      <c r="M5453" s="14"/>
      <c r="N5453" s="15"/>
      <c r="O5453" s="15" t="s">
        <v>10708</v>
      </c>
      <c r="P5453" s="15"/>
      <c r="Q5453" s="15"/>
      <c r="R5453" s="422"/>
      <c r="S5453" s="15"/>
      <c r="T5453" s="15"/>
      <c r="U5453" s="15"/>
      <c r="V5453" s="15"/>
      <c r="W5453" s="15"/>
      <c r="X5453" s="15"/>
      <c r="Y5453" s="15"/>
      <c r="Z5453" s="15"/>
      <c r="AA5453" s="15"/>
    </row>
    <row r="5454">
      <c r="A5454" s="15" t="s">
        <v>20877</v>
      </c>
      <c r="B5454" s="15" t="s">
        <v>20908</v>
      </c>
      <c r="C5454" s="14" t="s">
        <v>20909</v>
      </c>
      <c r="D5454" s="14"/>
      <c r="E5454" s="14" t="s">
        <v>20910</v>
      </c>
      <c r="F5454" s="433"/>
      <c r="G5454" s="434"/>
      <c r="H5454" s="14"/>
      <c r="I5454" s="423"/>
      <c r="J5454" s="14"/>
      <c r="K5454" s="13"/>
      <c r="L5454" s="13"/>
      <c r="M5454" s="14"/>
      <c r="N5454" s="15"/>
      <c r="O5454" s="15" t="s">
        <v>13963</v>
      </c>
      <c r="P5454" s="15"/>
      <c r="Q5454" s="15"/>
      <c r="R5454" s="422"/>
      <c r="S5454" s="15"/>
      <c r="T5454" s="15"/>
      <c r="U5454" s="15"/>
      <c r="V5454" s="15"/>
      <c r="W5454" s="15"/>
      <c r="X5454" s="15"/>
      <c r="Y5454" s="15"/>
      <c r="Z5454" s="15"/>
      <c r="AA5454" s="15"/>
    </row>
    <row r="5455">
      <c r="A5455" s="15" t="s">
        <v>20877</v>
      </c>
      <c r="B5455" s="15" t="s">
        <v>20911</v>
      </c>
      <c r="C5455" s="14" t="s">
        <v>20912</v>
      </c>
      <c r="D5455" s="14"/>
      <c r="E5455" s="14" t="s">
        <v>20913</v>
      </c>
      <c r="F5455" s="433"/>
      <c r="G5455" s="434"/>
      <c r="H5455" s="14"/>
      <c r="I5455" s="423"/>
      <c r="J5455" s="14"/>
      <c r="K5455" s="13"/>
      <c r="L5455" s="13"/>
      <c r="M5455" s="14"/>
      <c r="N5455" s="15"/>
      <c r="O5455" s="15" t="s">
        <v>10708</v>
      </c>
      <c r="P5455" s="15"/>
      <c r="Q5455" s="15"/>
      <c r="R5455" s="422"/>
      <c r="S5455" s="15"/>
      <c r="T5455" s="15"/>
      <c r="U5455" s="15"/>
      <c r="V5455" s="15"/>
      <c r="W5455" s="15"/>
      <c r="X5455" s="15"/>
      <c r="Y5455" s="15"/>
      <c r="Z5455" s="15"/>
      <c r="AA5455" s="15"/>
    </row>
    <row r="5456">
      <c r="A5456" s="15" t="s">
        <v>20877</v>
      </c>
      <c r="B5456" s="15" t="s">
        <v>20914</v>
      </c>
      <c r="C5456" s="14" t="s">
        <v>20915</v>
      </c>
      <c r="D5456" s="14"/>
      <c r="E5456" s="14" t="s">
        <v>20916</v>
      </c>
      <c r="F5456" s="433" t="s">
        <v>20917</v>
      </c>
      <c r="G5456" s="434"/>
      <c r="H5456" s="14" t="s">
        <v>158</v>
      </c>
      <c r="I5456" s="423"/>
      <c r="J5456" s="14" t="s">
        <v>20918</v>
      </c>
      <c r="K5456" s="13"/>
      <c r="L5456" s="13"/>
      <c r="M5456" s="14" t="s">
        <v>20919</v>
      </c>
      <c r="N5456" s="15" t="s">
        <v>20920</v>
      </c>
      <c r="O5456" s="15" t="s">
        <v>564</v>
      </c>
      <c r="P5456" s="15"/>
      <c r="Q5456" s="15"/>
      <c r="R5456" s="422"/>
      <c r="S5456" s="15"/>
      <c r="T5456" s="15"/>
      <c r="U5456" s="15"/>
      <c r="V5456" s="15"/>
      <c r="W5456" s="15"/>
      <c r="X5456" s="15"/>
      <c r="Y5456" s="15"/>
      <c r="Z5456" s="15"/>
      <c r="AA5456" s="15"/>
    </row>
    <row r="5457">
      <c r="A5457" s="15" t="s">
        <v>20877</v>
      </c>
      <c r="B5457" s="15" t="s">
        <v>20921</v>
      </c>
      <c r="C5457" s="14" t="s">
        <v>20922</v>
      </c>
      <c r="D5457" s="14"/>
      <c r="E5457" s="14" t="s">
        <v>20923</v>
      </c>
      <c r="F5457" s="433" t="s">
        <v>20924</v>
      </c>
      <c r="G5457" s="434"/>
      <c r="H5457" s="14" t="s">
        <v>18149</v>
      </c>
      <c r="I5457" s="423"/>
      <c r="J5457" s="14" t="s">
        <v>20918</v>
      </c>
      <c r="K5457" s="13"/>
      <c r="L5457" s="13"/>
      <c r="M5457" s="14" t="s">
        <v>20925</v>
      </c>
      <c r="N5457" s="15" t="s">
        <v>20926</v>
      </c>
      <c r="O5457" s="15" t="s">
        <v>564</v>
      </c>
      <c r="P5457" s="15"/>
      <c r="Q5457" s="15"/>
      <c r="R5457" s="422"/>
      <c r="S5457" s="15"/>
      <c r="T5457" s="15"/>
      <c r="U5457" s="15"/>
      <c r="V5457" s="15"/>
      <c r="W5457" s="15"/>
      <c r="X5457" s="15"/>
      <c r="Y5457" s="15"/>
      <c r="Z5457" s="15"/>
      <c r="AA5457" s="15"/>
    </row>
    <row r="5458">
      <c r="A5458" s="15" t="s">
        <v>20877</v>
      </c>
      <c r="B5458" s="15" t="s">
        <v>20927</v>
      </c>
      <c r="C5458" s="14" t="s">
        <v>15850</v>
      </c>
      <c r="D5458" s="14"/>
      <c r="E5458" s="14" t="s">
        <v>20928</v>
      </c>
      <c r="F5458" s="433" t="s">
        <v>20929</v>
      </c>
      <c r="G5458" s="434"/>
      <c r="H5458" s="14" t="s">
        <v>2662</v>
      </c>
      <c r="I5458" s="423"/>
      <c r="J5458" s="14" t="s">
        <v>17976</v>
      </c>
      <c r="K5458" s="13"/>
      <c r="L5458" s="13"/>
      <c r="M5458" s="14" t="s">
        <v>20930</v>
      </c>
      <c r="N5458" s="15" t="s">
        <v>20931</v>
      </c>
      <c r="O5458" s="15" t="s">
        <v>564</v>
      </c>
      <c r="P5458" s="15"/>
      <c r="Q5458" s="15"/>
      <c r="R5458" s="422"/>
      <c r="S5458" s="15"/>
      <c r="T5458" s="15"/>
      <c r="U5458" s="15"/>
      <c r="V5458" s="15"/>
      <c r="W5458" s="15"/>
      <c r="X5458" s="15"/>
      <c r="Y5458" s="15"/>
      <c r="Z5458" s="15"/>
      <c r="AA5458" s="15"/>
    </row>
    <row r="5459">
      <c r="A5459" s="15" t="s">
        <v>20932</v>
      </c>
      <c r="B5459" s="15" t="s">
        <v>20933</v>
      </c>
      <c r="C5459" s="14" t="s">
        <v>20934</v>
      </c>
      <c r="D5459" s="14"/>
      <c r="E5459" s="14" t="s">
        <v>10913</v>
      </c>
      <c r="F5459" s="433" t="s">
        <v>20935</v>
      </c>
      <c r="G5459" s="434"/>
      <c r="H5459" s="14"/>
      <c r="I5459" s="423"/>
      <c r="J5459" s="14" t="s">
        <v>20918</v>
      </c>
      <c r="K5459" s="13"/>
      <c r="L5459" s="13"/>
      <c r="M5459" s="14" t="s">
        <v>20936</v>
      </c>
      <c r="N5459" s="15" t="s">
        <v>20937</v>
      </c>
      <c r="O5459" s="15" t="s">
        <v>564</v>
      </c>
      <c r="P5459" s="15"/>
      <c r="Q5459" s="15"/>
      <c r="R5459" s="422"/>
      <c r="S5459" s="15"/>
      <c r="T5459" s="15"/>
      <c r="U5459" s="15"/>
      <c r="V5459" s="15"/>
      <c r="W5459" s="15"/>
      <c r="X5459" s="15"/>
      <c r="Y5459" s="15"/>
      <c r="Z5459" s="15"/>
      <c r="AA5459" s="15"/>
    </row>
    <row r="5460">
      <c r="A5460" s="15" t="s">
        <v>20932</v>
      </c>
      <c r="B5460" s="15" t="s">
        <v>20938</v>
      </c>
      <c r="C5460" s="14" t="s">
        <v>20939</v>
      </c>
      <c r="D5460" s="14"/>
      <c r="E5460" s="14" t="s">
        <v>1320</v>
      </c>
      <c r="F5460" s="433" t="s">
        <v>20559</v>
      </c>
      <c r="G5460" s="434"/>
      <c r="H5460" s="14" t="s">
        <v>44</v>
      </c>
      <c r="I5460" s="423"/>
      <c r="J5460" s="14" t="s">
        <v>17976</v>
      </c>
      <c r="K5460" s="13"/>
      <c r="L5460" s="13"/>
      <c r="M5460" s="14" t="s">
        <v>8782</v>
      </c>
      <c r="N5460" s="15" t="s">
        <v>20940</v>
      </c>
      <c r="O5460" s="15" t="s">
        <v>10708</v>
      </c>
      <c r="P5460" s="15"/>
      <c r="Q5460" s="15"/>
      <c r="R5460" s="422"/>
      <c r="S5460" s="15"/>
      <c r="T5460" s="15"/>
      <c r="U5460" s="15"/>
      <c r="V5460" s="15"/>
      <c r="W5460" s="15"/>
      <c r="X5460" s="15"/>
      <c r="Y5460" s="15"/>
      <c r="Z5460" s="15"/>
      <c r="AA5460" s="15"/>
    </row>
    <row r="5461">
      <c r="A5461" s="15" t="s">
        <v>20932</v>
      </c>
      <c r="B5461" s="15" t="s">
        <v>20941</v>
      </c>
      <c r="C5461" s="14" t="s">
        <v>20942</v>
      </c>
      <c r="D5461" s="14"/>
      <c r="E5461" s="14" t="s">
        <v>116</v>
      </c>
      <c r="F5461" s="433" t="s">
        <v>20284</v>
      </c>
      <c r="G5461" s="434"/>
      <c r="H5461" s="14" t="s">
        <v>1461</v>
      </c>
      <c r="I5461" s="423"/>
      <c r="J5461" s="14" t="s">
        <v>17976</v>
      </c>
      <c r="K5461" s="13"/>
      <c r="L5461" s="13"/>
      <c r="M5461" s="14" t="s">
        <v>20943</v>
      </c>
      <c r="N5461" s="15" t="s">
        <v>20944</v>
      </c>
      <c r="O5461" s="15" t="s">
        <v>10708</v>
      </c>
      <c r="P5461" s="15"/>
      <c r="Q5461" s="15"/>
      <c r="R5461" s="422"/>
      <c r="S5461" s="15"/>
      <c r="T5461" s="15"/>
      <c r="U5461" s="15"/>
      <c r="V5461" s="15"/>
      <c r="W5461" s="15"/>
      <c r="X5461" s="15"/>
      <c r="Y5461" s="15"/>
      <c r="Z5461" s="15"/>
      <c r="AA5461" s="15"/>
    </row>
    <row r="5462">
      <c r="A5462" s="15" t="s">
        <v>20932</v>
      </c>
      <c r="B5462" s="15" t="s">
        <v>20945</v>
      </c>
      <c r="C5462" s="14" t="s">
        <v>20946</v>
      </c>
      <c r="D5462" s="14"/>
      <c r="E5462" s="14" t="s">
        <v>9434</v>
      </c>
      <c r="F5462" s="433"/>
      <c r="G5462" s="434"/>
      <c r="H5462" s="14" t="s">
        <v>44</v>
      </c>
      <c r="I5462" s="423"/>
      <c r="J5462" s="14"/>
      <c r="K5462" s="13"/>
      <c r="L5462" s="13"/>
      <c r="M5462" s="14"/>
      <c r="N5462" s="15"/>
      <c r="O5462" s="15" t="s">
        <v>564</v>
      </c>
      <c r="P5462" s="15"/>
      <c r="Q5462" s="15"/>
      <c r="R5462" s="422"/>
      <c r="S5462" s="15"/>
      <c r="T5462" s="15"/>
      <c r="U5462" s="15"/>
      <c r="V5462" s="15"/>
      <c r="W5462" s="15"/>
      <c r="X5462" s="15"/>
      <c r="Y5462" s="15"/>
      <c r="Z5462" s="15"/>
      <c r="AA5462" s="15"/>
    </row>
    <row r="5463">
      <c r="A5463" s="15" t="s">
        <v>20932</v>
      </c>
      <c r="B5463" s="15" t="s">
        <v>20947</v>
      </c>
      <c r="C5463" s="14" t="s">
        <v>20948</v>
      </c>
      <c r="D5463" s="14"/>
      <c r="E5463" s="14" t="s">
        <v>167</v>
      </c>
      <c r="F5463" s="433" t="s">
        <v>20693</v>
      </c>
      <c r="G5463" s="434"/>
      <c r="H5463" s="14" t="s">
        <v>2662</v>
      </c>
      <c r="I5463" s="423"/>
      <c r="J5463" s="14" t="s">
        <v>25</v>
      </c>
      <c r="K5463" s="13"/>
      <c r="L5463" s="13"/>
      <c r="M5463" s="14"/>
      <c r="N5463" s="15"/>
      <c r="O5463" s="15" t="s">
        <v>564</v>
      </c>
      <c r="P5463" s="15"/>
      <c r="Q5463" s="15"/>
      <c r="R5463" s="422"/>
      <c r="S5463" s="15"/>
      <c r="T5463" s="15"/>
      <c r="U5463" s="15"/>
      <c r="V5463" s="15"/>
      <c r="W5463" s="15"/>
      <c r="X5463" s="15"/>
      <c r="Y5463" s="15"/>
      <c r="Z5463" s="15"/>
      <c r="AA5463" s="15"/>
    </row>
    <row r="5464">
      <c r="A5464" s="15" t="s">
        <v>20932</v>
      </c>
      <c r="B5464" s="15" t="s">
        <v>20949</v>
      </c>
      <c r="C5464" s="14" t="s">
        <v>20950</v>
      </c>
      <c r="D5464" s="14"/>
      <c r="E5464" s="14" t="s">
        <v>11487</v>
      </c>
      <c r="F5464" s="433" t="s">
        <v>20951</v>
      </c>
      <c r="G5464" s="434"/>
      <c r="H5464" s="14"/>
      <c r="I5464" s="423"/>
      <c r="J5464" s="14"/>
      <c r="K5464" s="13"/>
      <c r="L5464" s="13"/>
      <c r="M5464" s="14"/>
      <c r="N5464" s="15"/>
      <c r="O5464" s="15" t="s">
        <v>17993</v>
      </c>
      <c r="P5464" s="15"/>
      <c r="Q5464" s="15"/>
      <c r="R5464" s="422"/>
      <c r="S5464" s="15"/>
      <c r="T5464" s="15"/>
      <c r="U5464" s="15"/>
      <c r="V5464" s="15"/>
      <c r="W5464" s="15"/>
      <c r="X5464" s="15"/>
      <c r="Y5464" s="15"/>
      <c r="Z5464" s="15"/>
      <c r="AA5464" s="15"/>
    </row>
    <row r="5465">
      <c r="A5465" s="15" t="s">
        <v>20932</v>
      </c>
      <c r="B5465" s="15" t="s">
        <v>20952</v>
      </c>
      <c r="C5465" s="14" t="s">
        <v>20953</v>
      </c>
      <c r="D5465" s="14"/>
      <c r="E5465" s="14" t="s">
        <v>18248</v>
      </c>
      <c r="F5465" s="433"/>
      <c r="G5465" s="434"/>
      <c r="H5465" s="14"/>
      <c r="I5465" s="423"/>
      <c r="J5465" s="14"/>
      <c r="K5465" s="13"/>
      <c r="L5465" s="13"/>
      <c r="M5465" s="14"/>
      <c r="N5465" s="15"/>
      <c r="O5465" s="15" t="s">
        <v>564</v>
      </c>
      <c r="P5465" s="15"/>
      <c r="Q5465" s="15"/>
      <c r="R5465" s="422"/>
      <c r="S5465" s="15"/>
      <c r="T5465" s="15"/>
      <c r="U5465" s="15"/>
      <c r="V5465" s="15"/>
      <c r="W5465" s="15"/>
      <c r="X5465" s="15"/>
      <c r="Y5465" s="15"/>
      <c r="Z5465" s="15"/>
      <c r="AA5465" s="15"/>
    </row>
    <row r="5466">
      <c r="A5466" s="15" t="s">
        <v>20932</v>
      </c>
      <c r="B5466" s="15" t="s">
        <v>20954</v>
      </c>
      <c r="C5466" s="4" t="s">
        <v>20955</v>
      </c>
      <c r="D5466" s="14"/>
      <c r="E5466" s="14" t="s">
        <v>63</v>
      </c>
      <c r="F5466" s="433" t="s">
        <v>20559</v>
      </c>
      <c r="G5466" s="434"/>
      <c r="H5466" s="14" t="s">
        <v>398</v>
      </c>
      <c r="I5466" s="423"/>
      <c r="J5466" s="14" t="s">
        <v>19137</v>
      </c>
      <c r="K5466" s="13"/>
      <c r="L5466" s="13"/>
      <c r="M5466" s="14" t="s">
        <v>20956</v>
      </c>
      <c r="N5466" s="15" t="s">
        <v>20957</v>
      </c>
      <c r="O5466" s="15" t="s">
        <v>10708</v>
      </c>
      <c r="P5466" s="15"/>
      <c r="Q5466" s="15"/>
      <c r="R5466" s="422"/>
      <c r="S5466" s="15"/>
      <c r="T5466" s="15"/>
      <c r="U5466" s="15"/>
      <c r="V5466" s="15"/>
      <c r="W5466" s="15"/>
      <c r="X5466" s="15"/>
      <c r="Y5466" s="15"/>
      <c r="Z5466" s="15"/>
      <c r="AA5466" s="15"/>
    </row>
    <row r="5467">
      <c r="A5467" s="15" t="s">
        <v>20932</v>
      </c>
      <c r="B5467" s="15" t="s">
        <v>20958</v>
      </c>
      <c r="C5467" s="14" t="s">
        <v>20959</v>
      </c>
      <c r="D5467" s="14"/>
      <c r="E5467" s="14" t="s">
        <v>130</v>
      </c>
      <c r="F5467" s="433" t="s">
        <v>20960</v>
      </c>
      <c r="G5467" s="434"/>
      <c r="H5467" s="14" t="s">
        <v>2649</v>
      </c>
      <c r="I5467" s="423"/>
      <c r="J5467" s="14" t="s">
        <v>19137</v>
      </c>
      <c r="K5467" s="13"/>
      <c r="L5467" s="13"/>
      <c r="M5467" s="14" t="s">
        <v>20961</v>
      </c>
      <c r="N5467" s="15" t="s">
        <v>20962</v>
      </c>
      <c r="O5467" s="15" t="s">
        <v>564</v>
      </c>
      <c r="P5467" s="15"/>
      <c r="Q5467" s="15"/>
      <c r="R5467" s="422"/>
      <c r="S5467" s="15"/>
      <c r="T5467" s="15"/>
      <c r="U5467" s="15"/>
      <c r="V5467" s="15"/>
      <c r="W5467" s="15"/>
      <c r="X5467" s="15"/>
      <c r="Y5467" s="15"/>
      <c r="Z5467" s="15"/>
      <c r="AA5467" s="15"/>
    </row>
    <row r="5468">
      <c r="A5468" s="15" t="s">
        <v>20932</v>
      </c>
      <c r="B5468" s="15" t="s">
        <v>20963</v>
      </c>
      <c r="C5468" s="4" t="s">
        <v>20964</v>
      </c>
      <c r="D5468" s="14"/>
      <c r="E5468" s="14" t="s">
        <v>2546</v>
      </c>
      <c r="F5468" s="433"/>
      <c r="G5468" s="434"/>
      <c r="H5468" s="14"/>
      <c r="I5468" s="423"/>
      <c r="J5468" s="14"/>
      <c r="K5468" s="13"/>
      <c r="L5468" s="13"/>
      <c r="M5468" s="14" t="s">
        <v>8722</v>
      </c>
      <c r="N5468" s="15" t="s">
        <v>20965</v>
      </c>
      <c r="O5468" s="15" t="s">
        <v>564</v>
      </c>
      <c r="P5468" s="15"/>
      <c r="Q5468" s="15"/>
      <c r="R5468" s="422"/>
      <c r="S5468" s="15"/>
      <c r="T5468" s="15"/>
      <c r="U5468" s="15"/>
      <c r="V5468" s="15"/>
      <c r="W5468" s="15"/>
      <c r="X5468" s="15"/>
      <c r="Y5468" s="15"/>
      <c r="Z5468" s="15"/>
      <c r="AA5468" s="15"/>
    </row>
    <row r="5469">
      <c r="A5469" s="15" t="s">
        <v>20932</v>
      </c>
      <c r="B5469" s="15" t="s">
        <v>20966</v>
      </c>
      <c r="C5469" s="14" t="s">
        <v>20967</v>
      </c>
      <c r="D5469" s="14"/>
      <c r="E5469" s="14" t="s">
        <v>116</v>
      </c>
      <c r="F5469" s="433" t="s">
        <v>18673</v>
      </c>
      <c r="G5469" s="434"/>
      <c r="H5469" s="14" t="s">
        <v>507</v>
      </c>
      <c r="I5469" s="423"/>
      <c r="J5469" s="14" t="s">
        <v>20968</v>
      </c>
      <c r="K5469" s="13"/>
      <c r="L5469" s="13"/>
      <c r="M5469" s="14"/>
      <c r="N5469" s="15"/>
      <c r="O5469" s="15" t="s">
        <v>10708</v>
      </c>
      <c r="P5469" s="15"/>
      <c r="Q5469" s="15"/>
      <c r="R5469" s="422"/>
      <c r="S5469" s="15"/>
      <c r="T5469" s="15"/>
      <c r="U5469" s="15"/>
      <c r="V5469" s="15"/>
      <c r="W5469" s="15"/>
      <c r="X5469" s="15"/>
      <c r="Y5469" s="15"/>
      <c r="Z5469" s="15"/>
      <c r="AA5469" s="15"/>
    </row>
    <row r="5470">
      <c r="A5470" s="15" t="s">
        <v>20932</v>
      </c>
      <c r="B5470" s="15" t="s">
        <v>20969</v>
      </c>
      <c r="C5470" s="14" t="s">
        <v>20970</v>
      </c>
      <c r="D5470" s="14"/>
      <c r="E5470" s="14" t="s">
        <v>167</v>
      </c>
      <c r="F5470" s="433" t="s">
        <v>20971</v>
      </c>
      <c r="G5470" s="434"/>
      <c r="H5470" s="14" t="s">
        <v>507</v>
      </c>
      <c r="I5470" s="423"/>
      <c r="J5470" s="14"/>
      <c r="K5470" s="13"/>
      <c r="L5470" s="13"/>
      <c r="M5470" s="14"/>
      <c r="N5470" s="15"/>
      <c r="O5470" s="15" t="s">
        <v>564</v>
      </c>
      <c r="P5470" s="15"/>
      <c r="Q5470" s="15"/>
      <c r="R5470" s="422"/>
      <c r="S5470" s="15"/>
      <c r="T5470" s="15"/>
      <c r="U5470" s="15"/>
      <c r="V5470" s="15"/>
      <c r="W5470" s="15"/>
      <c r="X5470" s="15"/>
      <c r="Y5470" s="15"/>
      <c r="Z5470" s="15"/>
      <c r="AA5470" s="15"/>
    </row>
    <row r="5471">
      <c r="A5471" s="15" t="s">
        <v>20932</v>
      </c>
      <c r="B5471" s="15" t="s">
        <v>20972</v>
      </c>
      <c r="C5471" s="14" t="s">
        <v>20973</v>
      </c>
      <c r="D5471" s="14"/>
      <c r="E5471" s="14" t="s">
        <v>130</v>
      </c>
      <c r="F5471" s="433" t="s">
        <v>20504</v>
      </c>
      <c r="G5471" s="434"/>
      <c r="H5471" s="14" t="s">
        <v>507</v>
      </c>
      <c r="I5471" s="423"/>
      <c r="J5471" s="14" t="s">
        <v>25</v>
      </c>
      <c r="K5471" s="13"/>
      <c r="L5471" s="13"/>
      <c r="M5471" s="14" t="s">
        <v>20505</v>
      </c>
      <c r="N5471" s="15" t="s">
        <v>20974</v>
      </c>
      <c r="O5471" s="15" t="s">
        <v>564</v>
      </c>
      <c r="P5471" s="15"/>
      <c r="Q5471" s="15"/>
      <c r="R5471" s="422"/>
      <c r="S5471" s="15"/>
      <c r="T5471" s="15"/>
      <c r="U5471" s="15"/>
      <c r="V5471" s="15"/>
      <c r="W5471" s="15"/>
      <c r="X5471" s="15"/>
      <c r="Y5471" s="15"/>
      <c r="Z5471" s="15"/>
      <c r="AA5471" s="15"/>
    </row>
    <row r="5472">
      <c r="A5472" s="15" t="s">
        <v>20932</v>
      </c>
      <c r="B5472" s="15" t="s">
        <v>20975</v>
      </c>
      <c r="C5472" s="14" t="s">
        <v>16060</v>
      </c>
      <c r="D5472" s="14"/>
      <c r="E5472" s="14" t="s">
        <v>20976</v>
      </c>
      <c r="F5472" s="433" t="s">
        <v>20398</v>
      </c>
      <c r="G5472" s="434"/>
      <c r="H5472" s="14" t="s">
        <v>2662</v>
      </c>
      <c r="I5472" s="423"/>
      <c r="J5472" s="14" t="s">
        <v>20977</v>
      </c>
      <c r="K5472" s="13"/>
      <c r="L5472" s="13"/>
      <c r="M5472" s="14"/>
      <c r="N5472" s="15"/>
      <c r="O5472" s="15" t="s">
        <v>19985</v>
      </c>
      <c r="P5472" s="15"/>
      <c r="Q5472" s="15"/>
      <c r="R5472" s="422"/>
      <c r="S5472" s="15"/>
      <c r="T5472" s="15"/>
      <c r="U5472" s="15"/>
      <c r="V5472" s="15"/>
      <c r="W5472" s="15"/>
      <c r="X5472" s="15"/>
      <c r="Y5472" s="15"/>
      <c r="Z5472" s="15"/>
      <c r="AA5472" s="15"/>
    </row>
    <row r="5473">
      <c r="A5473" s="15" t="s">
        <v>20932</v>
      </c>
      <c r="B5473" s="15" t="s">
        <v>20978</v>
      </c>
      <c r="C5473" s="4" t="s">
        <v>20979</v>
      </c>
      <c r="D5473" s="14"/>
      <c r="E5473" s="14" t="s">
        <v>20980</v>
      </c>
      <c r="F5473" s="433" t="s">
        <v>20981</v>
      </c>
      <c r="G5473" s="434"/>
      <c r="H5473" s="14" t="s">
        <v>1315</v>
      </c>
      <c r="I5473" s="423"/>
      <c r="J5473" s="14" t="s">
        <v>20982</v>
      </c>
      <c r="K5473" s="13"/>
      <c r="L5473" s="13"/>
      <c r="M5473" s="14" t="s">
        <v>14925</v>
      </c>
      <c r="N5473" s="15" t="s">
        <v>20983</v>
      </c>
      <c r="O5473" s="15" t="s">
        <v>564</v>
      </c>
      <c r="P5473" s="15"/>
      <c r="Q5473" s="15"/>
      <c r="R5473" s="422"/>
      <c r="S5473" s="15"/>
      <c r="T5473" s="15"/>
      <c r="U5473" s="15"/>
      <c r="V5473" s="15"/>
      <c r="W5473" s="15"/>
      <c r="X5473" s="15"/>
      <c r="Y5473" s="15"/>
      <c r="Z5473" s="15"/>
      <c r="AA5473" s="15"/>
    </row>
    <row r="5474">
      <c r="A5474" s="15" t="s">
        <v>20932</v>
      </c>
      <c r="B5474" s="15" t="s">
        <v>20984</v>
      </c>
      <c r="C5474" s="14" t="s">
        <v>20985</v>
      </c>
      <c r="D5474" s="14"/>
      <c r="E5474" s="14" t="s">
        <v>18086</v>
      </c>
      <c r="F5474" s="433"/>
      <c r="G5474" s="434"/>
      <c r="H5474" s="14"/>
      <c r="I5474" s="423"/>
      <c r="J5474" s="14"/>
      <c r="K5474" s="13"/>
      <c r="L5474" s="13"/>
      <c r="M5474" s="14"/>
      <c r="N5474" s="15"/>
      <c r="O5474" s="15" t="s">
        <v>13963</v>
      </c>
      <c r="P5474" s="15"/>
      <c r="Q5474" s="15"/>
      <c r="R5474" s="422"/>
      <c r="S5474" s="15"/>
      <c r="T5474" s="15"/>
      <c r="U5474" s="15"/>
      <c r="V5474" s="15"/>
      <c r="W5474" s="15"/>
      <c r="X5474" s="15"/>
      <c r="Y5474" s="15"/>
      <c r="Z5474" s="15"/>
      <c r="AA5474" s="15"/>
    </row>
    <row r="5475">
      <c r="A5475" s="15" t="s">
        <v>20932</v>
      </c>
      <c r="B5475" s="15" t="s">
        <v>20986</v>
      </c>
      <c r="C5475" s="14" t="s">
        <v>20987</v>
      </c>
      <c r="D5475" s="14"/>
      <c r="E5475" s="14" t="s">
        <v>19840</v>
      </c>
      <c r="F5475" s="433"/>
      <c r="G5475" s="434"/>
      <c r="H5475" s="14"/>
      <c r="I5475" s="423"/>
      <c r="J5475" s="14"/>
      <c r="K5475" s="13"/>
      <c r="L5475" s="13"/>
      <c r="M5475" s="14"/>
      <c r="N5475" s="15"/>
      <c r="O5475" s="15"/>
      <c r="P5475" s="15"/>
      <c r="Q5475" s="15"/>
      <c r="R5475" s="422"/>
      <c r="S5475" s="15"/>
      <c r="T5475" s="15"/>
      <c r="U5475" s="15"/>
      <c r="V5475" s="15"/>
      <c r="W5475" s="15"/>
      <c r="X5475" s="15"/>
      <c r="Y5475" s="15"/>
      <c r="Z5475" s="15"/>
      <c r="AA5475" s="15"/>
    </row>
    <row r="5476">
      <c r="A5476" s="15" t="s">
        <v>20932</v>
      </c>
      <c r="B5476" s="15" t="s">
        <v>20988</v>
      </c>
      <c r="C5476" s="14" t="s">
        <v>20989</v>
      </c>
      <c r="D5476" s="14"/>
      <c r="E5476" s="14" t="s">
        <v>116</v>
      </c>
      <c r="F5476" s="433" t="s">
        <v>20294</v>
      </c>
      <c r="G5476" s="434"/>
      <c r="H5476" s="14" t="s">
        <v>507</v>
      </c>
      <c r="I5476" s="423"/>
      <c r="J5476" s="14"/>
      <c r="K5476" s="13"/>
      <c r="L5476" s="13"/>
      <c r="M5476" s="14"/>
      <c r="N5476" s="15"/>
      <c r="O5476" s="15" t="s">
        <v>19985</v>
      </c>
      <c r="P5476" s="15"/>
      <c r="Q5476" s="15"/>
      <c r="R5476" s="422"/>
      <c r="S5476" s="15"/>
      <c r="T5476" s="15"/>
      <c r="U5476" s="15"/>
      <c r="V5476" s="15"/>
      <c r="W5476" s="15"/>
      <c r="X5476" s="15"/>
      <c r="Y5476" s="15"/>
      <c r="Z5476" s="15"/>
      <c r="AA5476" s="15"/>
    </row>
    <row r="5477">
      <c r="A5477" s="15" t="s">
        <v>20932</v>
      </c>
      <c r="B5477" s="15" t="s">
        <v>20990</v>
      </c>
      <c r="C5477" s="14" t="s">
        <v>18668</v>
      </c>
      <c r="D5477" s="14"/>
      <c r="E5477" s="14" t="s">
        <v>10754</v>
      </c>
      <c r="F5477" s="433" t="s">
        <v>18673</v>
      </c>
      <c r="G5477" s="434"/>
      <c r="H5477" s="14" t="s">
        <v>590</v>
      </c>
      <c r="I5477" s="423"/>
      <c r="J5477" s="14" t="s">
        <v>17976</v>
      </c>
      <c r="K5477" s="13"/>
      <c r="L5477" s="13"/>
      <c r="M5477" s="14" t="s">
        <v>12601</v>
      </c>
      <c r="N5477" s="15" t="s">
        <v>20991</v>
      </c>
      <c r="O5477" s="15" t="s">
        <v>20743</v>
      </c>
      <c r="P5477" s="15"/>
      <c r="Q5477" s="15"/>
      <c r="R5477" s="422"/>
      <c r="S5477" s="15"/>
      <c r="T5477" s="15"/>
      <c r="U5477" s="15"/>
      <c r="V5477" s="15"/>
      <c r="W5477" s="15"/>
      <c r="X5477" s="15"/>
      <c r="Y5477" s="15"/>
      <c r="Z5477" s="15"/>
      <c r="AA5477" s="15"/>
    </row>
    <row r="5478">
      <c r="A5478" s="15" t="s">
        <v>20992</v>
      </c>
      <c r="B5478" s="15" t="s">
        <v>20993</v>
      </c>
      <c r="C5478" s="4" t="s">
        <v>20994</v>
      </c>
      <c r="D5478" s="14"/>
      <c r="E5478" s="14" t="s">
        <v>18248</v>
      </c>
      <c r="F5478" s="433" t="s">
        <v>20348</v>
      </c>
      <c r="G5478" s="434"/>
      <c r="H5478" s="14" t="s">
        <v>519</v>
      </c>
      <c r="I5478" s="423"/>
      <c r="J5478" s="14" t="s">
        <v>17976</v>
      </c>
      <c r="K5478" s="13"/>
      <c r="L5478" s="13"/>
      <c r="M5478" s="14" t="s">
        <v>16896</v>
      </c>
      <c r="N5478" s="15" t="s">
        <v>20995</v>
      </c>
      <c r="O5478" s="15" t="s">
        <v>564</v>
      </c>
      <c r="P5478" s="15"/>
      <c r="Q5478" s="15"/>
      <c r="R5478" s="422"/>
      <c r="S5478" s="15"/>
      <c r="T5478" s="15"/>
      <c r="U5478" s="15"/>
      <c r="V5478" s="15"/>
      <c r="W5478" s="15"/>
      <c r="X5478" s="15"/>
      <c r="Y5478" s="15"/>
      <c r="Z5478" s="15"/>
      <c r="AA5478" s="15"/>
    </row>
    <row r="5479">
      <c r="A5479" s="15" t="s">
        <v>20992</v>
      </c>
      <c r="B5479" s="15" t="s">
        <v>20996</v>
      </c>
      <c r="C5479" s="14" t="s">
        <v>2610</v>
      </c>
      <c r="D5479" s="14"/>
      <c r="E5479" s="14" t="s">
        <v>152</v>
      </c>
      <c r="F5479" s="433" t="s">
        <v>20577</v>
      </c>
      <c r="G5479" s="434"/>
      <c r="H5479" s="14" t="s">
        <v>2070</v>
      </c>
      <c r="I5479" s="423"/>
      <c r="J5479" s="14" t="s">
        <v>20997</v>
      </c>
      <c r="K5479" s="13"/>
      <c r="L5479" s="13"/>
      <c r="M5479" s="14" t="s">
        <v>7718</v>
      </c>
      <c r="N5479" s="15" t="s">
        <v>20998</v>
      </c>
      <c r="O5479" s="15" t="s">
        <v>564</v>
      </c>
      <c r="P5479" s="15"/>
      <c r="Q5479" s="15"/>
      <c r="R5479" s="422"/>
      <c r="S5479" s="15"/>
      <c r="T5479" s="15"/>
      <c r="U5479" s="15"/>
      <c r="V5479" s="15"/>
      <c r="W5479" s="15"/>
      <c r="X5479" s="15"/>
      <c r="Y5479" s="15"/>
      <c r="Z5479" s="15"/>
      <c r="AA5479" s="15"/>
    </row>
    <row r="5480">
      <c r="A5480" s="15" t="s">
        <v>20992</v>
      </c>
      <c r="B5480" s="15" t="s">
        <v>20999</v>
      </c>
      <c r="C5480" s="4" t="s">
        <v>21000</v>
      </c>
      <c r="D5480" s="14"/>
      <c r="E5480" s="14" t="s">
        <v>21001</v>
      </c>
      <c r="F5480" s="433" t="s">
        <v>21002</v>
      </c>
      <c r="G5480" s="434"/>
      <c r="H5480" s="14" t="s">
        <v>3836</v>
      </c>
      <c r="I5480" s="423"/>
      <c r="J5480" s="14" t="s">
        <v>17976</v>
      </c>
      <c r="K5480" s="13"/>
      <c r="L5480" s="13"/>
      <c r="M5480" s="14" t="s">
        <v>21003</v>
      </c>
      <c r="N5480" s="15" t="s">
        <v>21004</v>
      </c>
      <c r="O5480" s="15" t="s">
        <v>564</v>
      </c>
      <c r="P5480" s="15"/>
      <c r="Q5480" s="15"/>
      <c r="R5480" s="422"/>
      <c r="S5480" s="15"/>
      <c r="T5480" s="15"/>
      <c r="U5480" s="15"/>
      <c r="V5480" s="15"/>
      <c r="W5480" s="15"/>
      <c r="X5480" s="15"/>
      <c r="Y5480" s="15"/>
      <c r="Z5480" s="15"/>
      <c r="AA5480" s="15"/>
    </row>
    <row r="5481">
      <c r="A5481" s="15" t="s">
        <v>20992</v>
      </c>
      <c r="B5481" s="15" t="s">
        <v>21005</v>
      </c>
      <c r="C5481" s="14" t="s">
        <v>21006</v>
      </c>
      <c r="D5481" s="14"/>
      <c r="E5481" s="14" t="s">
        <v>9283</v>
      </c>
      <c r="F5481" s="433" t="s">
        <v>21007</v>
      </c>
      <c r="G5481" s="434"/>
      <c r="H5481" s="14" t="s">
        <v>99</v>
      </c>
      <c r="I5481" s="423"/>
      <c r="J5481" s="14" t="s">
        <v>14563</v>
      </c>
      <c r="K5481" s="13"/>
      <c r="L5481" s="13"/>
      <c r="M5481" s="14"/>
      <c r="N5481" s="15"/>
      <c r="O5481" s="15" t="s">
        <v>19985</v>
      </c>
      <c r="P5481" s="15"/>
      <c r="Q5481" s="15"/>
      <c r="R5481" s="422"/>
      <c r="S5481" s="15"/>
      <c r="T5481" s="15"/>
      <c r="U5481" s="15"/>
      <c r="V5481" s="15"/>
      <c r="W5481" s="15"/>
      <c r="X5481" s="15"/>
      <c r="Y5481" s="15"/>
      <c r="Z5481" s="15"/>
      <c r="AA5481" s="15"/>
    </row>
    <row r="5482">
      <c r="A5482" s="15" t="s">
        <v>20992</v>
      </c>
      <c r="B5482" s="15" t="s">
        <v>21008</v>
      </c>
      <c r="C5482" s="14" t="s">
        <v>21009</v>
      </c>
      <c r="D5482" s="14"/>
      <c r="E5482" s="14" t="s">
        <v>14167</v>
      </c>
      <c r="F5482" s="433" t="s">
        <v>21010</v>
      </c>
      <c r="G5482" s="434"/>
      <c r="H5482" s="14" t="s">
        <v>2734</v>
      </c>
      <c r="I5482" s="423"/>
      <c r="J5482" s="14" t="s">
        <v>21011</v>
      </c>
      <c r="K5482" s="13"/>
      <c r="L5482" s="13"/>
      <c r="M5482" s="14" t="s">
        <v>21012</v>
      </c>
      <c r="N5482" s="15" t="s">
        <v>21013</v>
      </c>
      <c r="O5482" s="15" t="s">
        <v>10708</v>
      </c>
      <c r="P5482" s="15"/>
      <c r="Q5482" s="15"/>
      <c r="R5482" s="422"/>
      <c r="S5482" s="15"/>
      <c r="T5482" s="15"/>
      <c r="U5482" s="15"/>
      <c r="V5482" s="15"/>
      <c r="W5482" s="15"/>
      <c r="X5482" s="15"/>
      <c r="Y5482" s="15"/>
      <c r="Z5482" s="15"/>
      <c r="AA5482" s="15"/>
    </row>
    <row r="5483">
      <c r="A5483" s="15" t="s">
        <v>20992</v>
      </c>
      <c r="B5483" s="15" t="s">
        <v>21014</v>
      </c>
      <c r="C5483" s="14" t="s">
        <v>21015</v>
      </c>
      <c r="D5483" s="14"/>
      <c r="E5483" s="14" t="s">
        <v>20008</v>
      </c>
      <c r="F5483" s="433" t="s">
        <v>20398</v>
      </c>
      <c r="G5483" s="434"/>
      <c r="H5483" s="14" t="s">
        <v>519</v>
      </c>
      <c r="I5483" s="423"/>
      <c r="J5483" s="14" t="s">
        <v>21016</v>
      </c>
      <c r="K5483" s="13"/>
      <c r="L5483" s="13"/>
      <c r="M5483" s="14"/>
      <c r="N5483" s="15"/>
      <c r="O5483" s="15" t="s">
        <v>19985</v>
      </c>
      <c r="P5483" s="15"/>
      <c r="Q5483" s="15"/>
      <c r="R5483" s="422"/>
      <c r="S5483" s="15"/>
      <c r="T5483" s="15"/>
      <c r="U5483" s="15"/>
      <c r="V5483" s="15"/>
      <c r="W5483" s="15"/>
      <c r="X5483" s="15"/>
      <c r="Y5483" s="15"/>
      <c r="Z5483" s="15"/>
      <c r="AA5483" s="15"/>
    </row>
    <row r="5484">
      <c r="A5484" s="15" t="s">
        <v>20992</v>
      </c>
      <c r="B5484" s="15" t="s">
        <v>21017</v>
      </c>
      <c r="C5484" s="14" t="s">
        <v>21018</v>
      </c>
      <c r="D5484" s="14"/>
      <c r="E5484" s="14" t="s">
        <v>21019</v>
      </c>
      <c r="F5484" s="433"/>
      <c r="G5484" s="434"/>
      <c r="H5484" s="14"/>
      <c r="I5484" s="423"/>
      <c r="J5484" s="14" t="s">
        <v>17976</v>
      </c>
      <c r="K5484" s="13"/>
      <c r="L5484" s="13"/>
      <c r="M5484" s="14"/>
      <c r="N5484" s="15"/>
      <c r="O5484" s="15" t="s">
        <v>13963</v>
      </c>
      <c r="P5484" s="15"/>
      <c r="Q5484" s="15"/>
      <c r="R5484" s="422"/>
      <c r="S5484" s="15"/>
      <c r="T5484" s="15"/>
      <c r="U5484" s="15"/>
      <c r="V5484" s="15"/>
      <c r="W5484" s="15"/>
      <c r="X5484" s="15"/>
      <c r="Y5484" s="15"/>
      <c r="Z5484" s="15"/>
      <c r="AA5484" s="15"/>
    </row>
    <row r="5485">
      <c r="A5485" s="15" t="s">
        <v>20992</v>
      </c>
      <c r="B5485" s="15" t="s">
        <v>21020</v>
      </c>
      <c r="C5485" s="14" t="s">
        <v>21021</v>
      </c>
      <c r="D5485" s="14"/>
      <c r="E5485" s="14" t="s">
        <v>21022</v>
      </c>
      <c r="F5485" s="433" t="s">
        <v>21023</v>
      </c>
      <c r="G5485" s="434"/>
      <c r="H5485" s="14" t="s">
        <v>20437</v>
      </c>
      <c r="I5485" s="423"/>
      <c r="J5485" s="14" t="s">
        <v>9814</v>
      </c>
      <c r="K5485" s="13"/>
      <c r="L5485" s="13"/>
      <c r="M5485" s="14"/>
      <c r="N5485" s="15"/>
      <c r="O5485" s="15" t="s">
        <v>19985</v>
      </c>
      <c r="P5485" s="15"/>
      <c r="Q5485" s="15"/>
      <c r="R5485" s="422"/>
      <c r="S5485" s="15"/>
      <c r="T5485" s="15"/>
      <c r="U5485" s="15"/>
      <c r="V5485" s="15"/>
      <c r="W5485" s="15"/>
      <c r="X5485" s="15"/>
      <c r="Y5485" s="15"/>
      <c r="Z5485" s="15"/>
      <c r="AA5485" s="15"/>
    </row>
    <row r="5486">
      <c r="A5486" s="15" t="s">
        <v>20992</v>
      </c>
      <c r="B5486" s="15" t="s">
        <v>21024</v>
      </c>
      <c r="C5486" s="14" t="s">
        <v>21025</v>
      </c>
      <c r="D5486" s="14"/>
      <c r="E5486" s="14" t="s">
        <v>21026</v>
      </c>
      <c r="F5486" s="433" t="s">
        <v>21027</v>
      </c>
      <c r="G5486" s="434"/>
      <c r="H5486" s="14" t="s">
        <v>1445</v>
      </c>
      <c r="I5486" s="423"/>
      <c r="J5486" s="14" t="s">
        <v>21011</v>
      </c>
      <c r="K5486" s="13"/>
      <c r="L5486" s="13"/>
      <c r="M5486" s="14"/>
      <c r="N5486" s="15"/>
      <c r="O5486" s="15" t="s">
        <v>10708</v>
      </c>
      <c r="P5486" s="15"/>
      <c r="Q5486" s="15"/>
      <c r="R5486" s="422"/>
      <c r="S5486" s="15"/>
      <c r="T5486" s="15"/>
      <c r="U5486" s="15"/>
      <c r="V5486" s="15"/>
      <c r="W5486" s="15"/>
      <c r="X5486" s="15"/>
      <c r="Y5486" s="15"/>
      <c r="Z5486" s="15"/>
      <c r="AA5486" s="15"/>
    </row>
    <row r="5487">
      <c r="A5487" s="15" t="s">
        <v>20992</v>
      </c>
      <c r="B5487" s="15" t="s">
        <v>21028</v>
      </c>
      <c r="C5487" s="14" t="s">
        <v>21029</v>
      </c>
      <c r="D5487" s="14"/>
      <c r="E5487" s="14" t="s">
        <v>4567</v>
      </c>
      <c r="F5487" s="433" t="s">
        <v>20436</v>
      </c>
      <c r="G5487" s="434"/>
      <c r="H5487" s="14" t="s">
        <v>742</v>
      </c>
      <c r="I5487" s="423"/>
      <c r="J5487" s="14" t="s">
        <v>17976</v>
      </c>
      <c r="K5487" s="13"/>
      <c r="L5487" s="13"/>
      <c r="M5487" s="14" t="s">
        <v>11020</v>
      </c>
      <c r="N5487" s="15" t="s">
        <v>21030</v>
      </c>
      <c r="O5487" s="15" t="s">
        <v>10708</v>
      </c>
      <c r="P5487" s="15"/>
      <c r="Q5487" s="15"/>
      <c r="R5487" s="422"/>
      <c r="S5487" s="15"/>
      <c r="T5487" s="15"/>
      <c r="U5487" s="15"/>
      <c r="V5487" s="15"/>
      <c r="W5487" s="15"/>
      <c r="X5487" s="15"/>
      <c r="Y5487" s="15"/>
      <c r="Z5487" s="15"/>
      <c r="AA5487" s="15"/>
    </row>
    <row r="5488">
      <c r="A5488" s="15" t="s">
        <v>20992</v>
      </c>
      <c r="B5488" s="15" t="s">
        <v>21031</v>
      </c>
      <c r="C5488" s="14" t="s">
        <v>21032</v>
      </c>
      <c r="D5488" s="14"/>
      <c r="E5488" s="14" t="s">
        <v>10836</v>
      </c>
      <c r="F5488" s="433" t="s">
        <v>20284</v>
      </c>
      <c r="G5488" s="434"/>
      <c r="H5488" s="14" t="s">
        <v>2070</v>
      </c>
      <c r="I5488" s="423"/>
      <c r="J5488" s="14" t="s">
        <v>17976</v>
      </c>
      <c r="K5488" s="13"/>
      <c r="L5488" s="13"/>
      <c r="M5488" s="14" t="s">
        <v>14458</v>
      </c>
      <c r="N5488" s="15" t="s">
        <v>21033</v>
      </c>
      <c r="O5488" s="15" t="s">
        <v>564</v>
      </c>
      <c r="P5488" s="15"/>
      <c r="Q5488" s="15"/>
      <c r="R5488" s="422"/>
      <c r="S5488" s="15"/>
      <c r="T5488" s="15"/>
      <c r="U5488" s="15"/>
      <c r="V5488" s="15"/>
      <c r="W5488" s="15"/>
      <c r="X5488" s="15"/>
      <c r="Y5488" s="15"/>
      <c r="Z5488" s="15"/>
      <c r="AA5488" s="15"/>
    </row>
    <row r="5489">
      <c r="A5489" s="15" t="s">
        <v>20992</v>
      </c>
      <c r="B5489" s="15" t="s">
        <v>21034</v>
      </c>
      <c r="C5489" s="14" t="s">
        <v>21035</v>
      </c>
      <c r="D5489" s="14"/>
      <c r="E5489" s="14" t="s">
        <v>21036</v>
      </c>
      <c r="F5489" s="433" t="s">
        <v>21037</v>
      </c>
      <c r="G5489" s="434"/>
      <c r="H5489" s="14" t="s">
        <v>21038</v>
      </c>
      <c r="I5489" s="423"/>
      <c r="J5489" s="14"/>
      <c r="K5489" s="13"/>
      <c r="L5489" s="13"/>
      <c r="M5489" s="14"/>
      <c r="N5489" s="15"/>
      <c r="O5489" s="15" t="s">
        <v>564</v>
      </c>
      <c r="P5489" s="15"/>
      <c r="Q5489" s="15"/>
      <c r="R5489" s="422"/>
      <c r="S5489" s="15"/>
      <c r="T5489" s="15"/>
      <c r="U5489" s="15"/>
      <c r="V5489" s="15"/>
      <c r="W5489" s="15"/>
      <c r="X5489" s="15"/>
      <c r="Y5489" s="15"/>
      <c r="Z5489" s="15"/>
      <c r="AA5489" s="15"/>
    </row>
    <row r="5490">
      <c r="A5490" s="15" t="s">
        <v>20992</v>
      </c>
      <c r="B5490" s="15" t="s">
        <v>21039</v>
      </c>
      <c r="C5490" s="14" t="s">
        <v>21040</v>
      </c>
      <c r="D5490" s="14"/>
      <c r="E5490" s="14" t="s">
        <v>21041</v>
      </c>
      <c r="F5490" s="433"/>
      <c r="G5490" s="434"/>
      <c r="H5490" s="14"/>
      <c r="I5490" s="423"/>
      <c r="J5490" s="14"/>
      <c r="K5490" s="13"/>
      <c r="L5490" s="13"/>
      <c r="M5490" s="14"/>
      <c r="N5490" s="15"/>
      <c r="O5490" s="15" t="s">
        <v>564</v>
      </c>
      <c r="P5490" s="15"/>
      <c r="Q5490" s="15"/>
      <c r="R5490" s="422"/>
      <c r="S5490" s="15"/>
      <c r="T5490" s="15"/>
      <c r="U5490" s="15"/>
      <c r="V5490" s="15"/>
      <c r="W5490" s="15"/>
      <c r="X5490" s="15"/>
      <c r="Y5490" s="15"/>
      <c r="Z5490" s="15"/>
      <c r="AA5490" s="15"/>
    </row>
    <row r="5491">
      <c r="A5491" s="15" t="s">
        <v>20992</v>
      </c>
      <c r="B5491" s="15" t="s">
        <v>21042</v>
      </c>
      <c r="C5491" s="4" t="s">
        <v>21043</v>
      </c>
      <c r="D5491" s="14"/>
      <c r="E5491" s="14" t="s">
        <v>21044</v>
      </c>
      <c r="F5491" s="433" t="s">
        <v>21045</v>
      </c>
      <c r="G5491" s="434"/>
      <c r="H5491" s="14" t="s">
        <v>5667</v>
      </c>
      <c r="I5491" s="423"/>
      <c r="J5491" s="14" t="s">
        <v>17976</v>
      </c>
      <c r="K5491" s="13"/>
      <c r="L5491" s="13"/>
      <c r="M5491" s="14"/>
      <c r="N5491" s="15"/>
      <c r="O5491" s="15" t="s">
        <v>10708</v>
      </c>
      <c r="P5491" s="15"/>
      <c r="Q5491" s="15"/>
      <c r="R5491" s="422"/>
      <c r="S5491" s="15"/>
      <c r="T5491" s="15"/>
      <c r="U5491" s="15"/>
      <c r="V5491" s="15"/>
      <c r="W5491" s="15"/>
      <c r="X5491" s="15"/>
      <c r="Y5491" s="15"/>
      <c r="Z5491" s="15"/>
      <c r="AA5491" s="15"/>
    </row>
    <row r="5492">
      <c r="A5492" s="15" t="s">
        <v>20992</v>
      </c>
      <c r="B5492" s="15" t="s">
        <v>21046</v>
      </c>
      <c r="C5492" s="4" t="s">
        <v>20796</v>
      </c>
      <c r="D5492" s="14"/>
      <c r="E5492" s="14" t="s">
        <v>63</v>
      </c>
      <c r="F5492" s="433" t="s">
        <v>21047</v>
      </c>
      <c r="G5492" s="434"/>
      <c r="H5492" s="14" t="s">
        <v>19876</v>
      </c>
      <c r="I5492" s="423"/>
      <c r="J5492" s="14" t="s">
        <v>21048</v>
      </c>
      <c r="K5492" s="13"/>
      <c r="L5492" s="13"/>
      <c r="M5492" s="14" t="s">
        <v>10342</v>
      </c>
      <c r="N5492" s="15" t="s">
        <v>21049</v>
      </c>
      <c r="O5492" s="15" t="s">
        <v>10708</v>
      </c>
      <c r="P5492" s="15"/>
      <c r="Q5492" s="15"/>
      <c r="R5492" s="422"/>
      <c r="S5492" s="15"/>
      <c r="T5492" s="15"/>
      <c r="U5492" s="15"/>
      <c r="V5492" s="15"/>
      <c r="W5492" s="15"/>
      <c r="X5492" s="15"/>
      <c r="Y5492" s="15"/>
      <c r="Z5492" s="15"/>
      <c r="AA5492" s="15"/>
    </row>
    <row r="5493">
      <c r="A5493" s="15" t="s">
        <v>20992</v>
      </c>
      <c r="B5493" s="15" t="s">
        <v>21050</v>
      </c>
      <c r="C5493" s="14" t="s">
        <v>21051</v>
      </c>
      <c r="D5493" s="14"/>
      <c r="E5493" s="14" t="s">
        <v>83</v>
      </c>
      <c r="F5493" s="433" t="s">
        <v>20284</v>
      </c>
      <c r="G5493" s="434"/>
      <c r="H5493" s="14" t="s">
        <v>21052</v>
      </c>
      <c r="I5493" s="423"/>
      <c r="J5493" s="14" t="s">
        <v>21053</v>
      </c>
      <c r="K5493" s="13"/>
      <c r="L5493" s="13"/>
      <c r="M5493" s="14" t="s">
        <v>14925</v>
      </c>
      <c r="N5493" s="15" t="s">
        <v>21054</v>
      </c>
      <c r="O5493" s="15" t="s">
        <v>13963</v>
      </c>
      <c r="P5493" s="15"/>
      <c r="Q5493" s="15"/>
      <c r="R5493" s="422"/>
      <c r="S5493" s="15"/>
      <c r="T5493" s="15"/>
      <c r="U5493" s="15"/>
      <c r="V5493" s="15"/>
      <c r="W5493" s="15"/>
      <c r="X5493" s="15"/>
      <c r="Y5493" s="15"/>
      <c r="Z5493" s="15"/>
      <c r="AA5493" s="15"/>
    </row>
    <row r="5494">
      <c r="A5494" s="15" t="s">
        <v>20992</v>
      </c>
      <c r="B5494" s="15" t="s">
        <v>21055</v>
      </c>
      <c r="C5494" s="14" t="s">
        <v>21056</v>
      </c>
      <c r="D5494" s="14"/>
      <c r="E5494" s="14" t="s">
        <v>63</v>
      </c>
      <c r="F5494" s="433" t="s">
        <v>20284</v>
      </c>
      <c r="G5494" s="434"/>
      <c r="H5494" s="14" t="s">
        <v>507</v>
      </c>
      <c r="I5494" s="423"/>
      <c r="J5494" s="14"/>
      <c r="K5494" s="13"/>
      <c r="L5494" s="13"/>
      <c r="M5494" s="14"/>
      <c r="N5494" s="15"/>
      <c r="O5494" s="15" t="s">
        <v>10708</v>
      </c>
      <c r="P5494" s="15"/>
      <c r="Q5494" s="15"/>
      <c r="R5494" s="422"/>
      <c r="S5494" s="15"/>
      <c r="T5494" s="15"/>
      <c r="U5494" s="15"/>
      <c r="V5494" s="15"/>
      <c r="W5494" s="15"/>
      <c r="X5494" s="15"/>
      <c r="Y5494" s="15"/>
      <c r="Z5494" s="15"/>
      <c r="AA5494" s="15"/>
    </row>
    <row r="5495">
      <c r="A5495" s="15" t="s">
        <v>20992</v>
      </c>
      <c r="B5495" s="15" t="s">
        <v>21057</v>
      </c>
      <c r="C5495" s="14" t="s">
        <v>21058</v>
      </c>
      <c r="D5495" s="14"/>
      <c r="E5495" s="14" t="s">
        <v>116</v>
      </c>
      <c r="F5495" s="433" t="s">
        <v>21059</v>
      </c>
      <c r="G5495" s="434"/>
      <c r="H5495" s="14" t="s">
        <v>507</v>
      </c>
      <c r="I5495" s="423"/>
      <c r="J5495" s="14"/>
      <c r="K5495" s="13"/>
      <c r="L5495" s="13"/>
      <c r="M5495" s="14"/>
      <c r="N5495" s="15"/>
      <c r="O5495" s="15" t="s">
        <v>10708</v>
      </c>
      <c r="P5495" s="15"/>
      <c r="Q5495" s="15"/>
      <c r="R5495" s="422"/>
      <c r="S5495" s="15"/>
      <c r="T5495" s="15"/>
      <c r="U5495" s="15"/>
      <c r="V5495" s="15"/>
      <c r="W5495" s="15"/>
      <c r="X5495" s="15"/>
      <c r="Y5495" s="15"/>
      <c r="Z5495" s="15"/>
      <c r="AA5495" s="15"/>
    </row>
    <row r="5496">
      <c r="A5496" s="15" t="s">
        <v>20992</v>
      </c>
      <c r="B5496" s="15" t="s">
        <v>21060</v>
      </c>
      <c r="C5496" s="4" t="s">
        <v>7625</v>
      </c>
      <c r="D5496" s="14"/>
      <c r="E5496" s="14" t="s">
        <v>21061</v>
      </c>
      <c r="F5496" s="433" t="s">
        <v>21062</v>
      </c>
      <c r="G5496" s="434"/>
      <c r="H5496" s="14" t="s">
        <v>507</v>
      </c>
      <c r="I5496" s="423"/>
      <c r="J5496" s="14" t="s">
        <v>19137</v>
      </c>
      <c r="K5496" s="13"/>
      <c r="L5496" s="13"/>
      <c r="M5496" s="14"/>
      <c r="N5496" s="15"/>
      <c r="O5496" s="15" t="s">
        <v>564</v>
      </c>
      <c r="P5496" s="15"/>
      <c r="Q5496" s="15"/>
      <c r="R5496" s="422"/>
      <c r="S5496" s="15"/>
      <c r="T5496" s="15"/>
      <c r="U5496" s="15"/>
      <c r="V5496" s="15"/>
      <c r="W5496" s="15"/>
      <c r="X5496" s="15"/>
      <c r="Y5496" s="15"/>
      <c r="Z5496" s="15"/>
      <c r="AA5496" s="15"/>
    </row>
    <row r="5497">
      <c r="A5497" s="15" t="s">
        <v>20992</v>
      </c>
      <c r="B5497" s="15" t="s">
        <v>21063</v>
      </c>
      <c r="C5497" s="14" t="s">
        <v>21064</v>
      </c>
      <c r="D5497" s="14"/>
      <c r="E5497" s="14" t="s">
        <v>167</v>
      </c>
      <c r="F5497" s="433" t="s">
        <v>21065</v>
      </c>
      <c r="G5497" s="434"/>
      <c r="H5497" s="14" t="s">
        <v>2662</v>
      </c>
      <c r="I5497" s="423"/>
      <c r="J5497" s="14" t="s">
        <v>18788</v>
      </c>
      <c r="K5497" s="13"/>
      <c r="L5497" s="13"/>
      <c r="M5497" s="14"/>
      <c r="N5497" s="15"/>
      <c r="O5497" s="15" t="s">
        <v>564</v>
      </c>
      <c r="P5497" s="15"/>
      <c r="Q5497" s="15"/>
      <c r="R5497" s="422"/>
      <c r="S5497" s="15"/>
      <c r="T5497" s="15"/>
      <c r="U5497" s="15"/>
      <c r="V5497" s="15"/>
      <c r="W5497" s="15"/>
      <c r="X5497" s="15"/>
      <c r="Y5497" s="15"/>
      <c r="Z5497" s="15"/>
      <c r="AA5497" s="15"/>
    </row>
    <row r="5498">
      <c r="A5498" s="15" t="s">
        <v>21066</v>
      </c>
      <c r="B5498" s="15" t="s">
        <v>21067</v>
      </c>
      <c r="C5498" s="14" t="s">
        <v>21068</v>
      </c>
      <c r="D5498" s="14"/>
      <c r="E5498" s="14" t="s">
        <v>465</v>
      </c>
      <c r="F5498" s="433" t="s">
        <v>18673</v>
      </c>
      <c r="G5498" s="434"/>
      <c r="H5498" s="14" t="s">
        <v>44</v>
      </c>
      <c r="I5498" s="423"/>
      <c r="J5498" s="14" t="s">
        <v>21069</v>
      </c>
      <c r="K5498" s="13"/>
      <c r="L5498" s="13"/>
      <c r="M5498" s="14" t="s">
        <v>13099</v>
      </c>
      <c r="N5498" s="15" t="s">
        <v>21070</v>
      </c>
      <c r="O5498" s="15" t="s">
        <v>10708</v>
      </c>
      <c r="P5498" s="15"/>
      <c r="Q5498" s="15"/>
      <c r="R5498" s="422"/>
      <c r="S5498" s="15"/>
      <c r="T5498" s="15"/>
      <c r="U5498" s="15"/>
      <c r="V5498" s="15"/>
      <c r="W5498" s="15"/>
      <c r="X5498" s="15"/>
      <c r="Y5498" s="15"/>
      <c r="Z5498" s="15"/>
      <c r="AA5498" s="15"/>
    </row>
    <row r="5499">
      <c r="A5499" s="15" t="s">
        <v>21066</v>
      </c>
      <c r="B5499" s="15" t="s">
        <v>21071</v>
      </c>
      <c r="C5499" s="14" t="s">
        <v>4438</v>
      </c>
      <c r="D5499" s="14"/>
      <c r="E5499" s="14" t="s">
        <v>116</v>
      </c>
      <c r="F5499" s="433"/>
      <c r="G5499" s="434"/>
      <c r="H5499" s="14"/>
      <c r="I5499" s="423"/>
      <c r="J5499" s="14"/>
      <c r="K5499" s="13"/>
      <c r="L5499" s="13"/>
      <c r="M5499" s="14"/>
      <c r="N5499" s="15"/>
      <c r="O5499" s="15" t="s">
        <v>10708</v>
      </c>
      <c r="P5499" s="15"/>
      <c r="Q5499" s="15"/>
      <c r="R5499" s="422"/>
      <c r="S5499" s="15"/>
      <c r="T5499" s="15"/>
      <c r="U5499" s="15"/>
      <c r="V5499" s="15"/>
      <c r="W5499" s="15"/>
      <c r="X5499" s="15"/>
      <c r="Y5499" s="15"/>
      <c r="Z5499" s="15"/>
      <c r="AA5499" s="15"/>
    </row>
    <row r="5500">
      <c r="A5500" s="15" t="s">
        <v>21066</v>
      </c>
      <c r="B5500" s="15" t="s">
        <v>21072</v>
      </c>
      <c r="C5500" s="14" t="s">
        <v>10215</v>
      </c>
      <c r="D5500" s="14"/>
      <c r="E5500" s="14" t="s">
        <v>21073</v>
      </c>
      <c r="F5500" s="433" t="s">
        <v>20559</v>
      </c>
      <c r="G5500" s="434"/>
      <c r="H5500" s="14" t="s">
        <v>268</v>
      </c>
      <c r="I5500" s="423"/>
      <c r="J5500" s="14" t="s">
        <v>17976</v>
      </c>
      <c r="K5500" s="13"/>
      <c r="L5500" s="13"/>
      <c r="M5500" s="14" t="s">
        <v>21074</v>
      </c>
      <c r="N5500" s="15" t="s">
        <v>21075</v>
      </c>
      <c r="O5500" s="15" t="s">
        <v>13963</v>
      </c>
      <c r="P5500" s="15"/>
      <c r="Q5500" s="15"/>
      <c r="R5500" s="422"/>
      <c r="S5500" s="15"/>
      <c r="T5500" s="15"/>
      <c r="U5500" s="15"/>
      <c r="V5500" s="15"/>
      <c r="W5500" s="15"/>
      <c r="X5500" s="15"/>
      <c r="Y5500" s="15"/>
      <c r="Z5500" s="15"/>
      <c r="AA5500" s="15"/>
    </row>
    <row r="5501">
      <c r="A5501" s="15" t="s">
        <v>21066</v>
      </c>
      <c r="B5501" s="15" t="s">
        <v>21076</v>
      </c>
      <c r="C5501" s="4" t="s">
        <v>21077</v>
      </c>
      <c r="D5501" s="14"/>
      <c r="E5501" s="14" t="s">
        <v>21078</v>
      </c>
      <c r="F5501" s="433" t="s">
        <v>21079</v>
      </c>
      <c r="G5501" s="434"/>
      <c r="H5501" s="14" t="s">
        <v>20725</v>
      </c>
      <c r="I5501" s="423"/>
      <c r="J5501" s="14" t="s">
        <v>17976</v>
      </c>
      <c r="K5501" s="13"/>
      <c r="L5501" s="13"/>
      <c r="M5501" s="14"/>
      <c r="N5501" s="15"/>
      <c r="O5501" s="15" t="s">
        <v>564</v>
      </c>
      <c r="P5501" s="15"/>
      <c r="Q5501" s="15"/>
      <c r="R5501" s="422"/>
      <c r="S5501" s="15"/>
      <c r="T5501" s="15"/>
      <c r="U5501" s="15"/>
      <c r="V5501" s="15"/>
      <c r="W5501" s="15"/>
      <c r="X5501" s="15"/>
      <c r="Y5501" s="15"/>
      <c r="Z5501" s="15"/>
      <c r="AA5501" s="15"/>
    </row>
    <row r="5502">
      <c r="A5502" s="15" t="s">
        <v>21066</v>
      </c>
      <c r="B5502" s="15" t="s">
        <v>21080</v>
      </c>
      <c r="C5502" s="14" t="s">
        <v>21081</v>
      </c>
      <c r="D5502" s="14"/>
      <c r="E5502" s="14" t="s">
        <v>9283</v>
      </c>
      <c r="F5502" s="433" t="s">
        <v>21082</v>
      </c>
      <c r="G5502" s="434"/>
      <c r="H5502" s="14" t="s">
        <v>467</v>
      </c>
      <c r="I5502" s="423"/>
      <c r="J5502" s="14" t="s">
        <v>17976</v>
      </c>
      <c r="K5502" s="13"/>
      <c r="L5502" s="13"/>
      <c r="M5502" s="14"/>
      <c r="N5502" s="15"/>
      <c r="O5502" s="15" t="s">
        <v>13963</v>
      </c>
      <c r="P5502" s="15"/>
      <c r="Q5502" s="15"/>
      <c r="R5502" s="422"/>
      <c r="S5502" s="15"/>
      <c r="T5502" s="15"/>
      <c r="U5502" s="15"/>
      <c r="V5502" s="15"/>
      <c r="W5502" s="15"/>
      <c r="X5502" s="15"/>
      <c r="Y5502" s="15"/>
      <c r="Z5502" s="15"/>
      <c r="AA5502" s="15"/>
    </row>
    <row r="5503">
      <c r="A5503" s="15" t="s">
        <v>21066</v>
      </c>
      <c r="B5503" s="15" t="s">
        <v>21083</v>
      </c>
      <c r="C5503" s="14" t="s">
        <v>21084</v>
      </c>
      <c r="D5503" s="14"/>
      <c r="E5503" s="14" t="s">
        <v>21085</v>
      </c>
      <c r="F5503" s="433" t="s">
        <v>21086</v>
      </c>
      <c r="G5503" s="434"/>
      <c r="H5503" s="14" t="s">
        <v>507</v>
      </c>
      <c r="I5503" s="423"/>
      <c r="J5503" s="14"/>
      <c r="K5503" s="13"/>
      <c r="L5503" s="13"/>
      <c r="M5503" s="14"/>
      <c r="N5503" s="15"/>
      <c r="O5503" s="15" t="s">
        <v>13963</v>
      </c>
      <c r="P5503" s="15"/>
      <c r="Q5503" s="15"/>
      <c r="R5503" s="422"/>
      <c r="S5503" s="15"/>
      <c r="T5503" s="15"/>
      <c r="U5503" s="15"/>
      <c r="V5503" s="15"/>
      <c r="W5503" s="15"/>
      <c r="X5503" s="15"/>
      <c r="Y5503" s="15"/>
      <c r="Z5503" s="15"/>
      <c r="AA5503" s="15"/>
    </row>
    <row r="5504">
      <c r="A5504" s="15" t="s">
        <v>21066</v>
      </c>
      <c r="B5504" s="15" t="s">
        <v>21087</v>
      </c>
      <c r="C5504" s="4" t="s">
        <v>21088</v>
      </c>
      <c r="D5504" s="14"/>
      <c r="E5504" s="14" t="s">
        <v>21089</v>
      </c>
      <c r="F5504" s="433" t="s">
        <v>21090</v>
      </c>
      <c r="G5504" s="434"/>
      <c r="H5504" s="14" t="s">
        <v>519</v>
      </c>
      <c r="I5504" s="423"/>
      <c r="J5504" s="14"/>
      <c r="K5504" s="13"/>
      <c r="L5504" s="13"/>
      <c r="M5504" s="14"/>
      <c r="N5504" s="15"/>
      <c r="O5504" s="15" t="s">
        <v>564</v>
      </c>
      <c r="P5504" s="15"/>
      <c r="Q5504" s="15"/>
      <c r="R5504" s="422"/>
      <c r="S5504" s="15"/>
      <c r="T5504" s="15"/>
      <c r="U5504" s="15"/>
      <c r="V5504" s="15"/>
      <c r="W5504" s="15"/>
      <c r="X5504" s="15"/>
      <c r="Y5504" s="15"/>
      <c r="Z5504" s="15"/>
      <c r="AA5504" s="15"/>
    </row>
    <row r="5505">
      <c r="A5505" s="15" t="s">
        <v>21066</v>
      </c>
      <c r="B5505" s="15" t="s">
        <v>21091</v>
      </c>
      <c r="C5505" s="14" t="s">
        <v>21092</v>
      </c>
      <c r="D5505" s="14"/>
      <c r="E5505" s="14" t="s">
        <v>21093</v>
      </c>
      <c r="F5505" s="433"/>
      <c r="G5505" s="434"/>
      <c r="H5505" s="14"/>
      <c r="I5505" s="423"/>
      <c r="J5505" s="14"/>
      <c r="K5505" s="13"/>
      <c r="L5505" s="13"/>
      <c r="M5505" s="14"/>
      <c r="N5505" s="15"/>
      <c r="O5505" s="15" t="s">
        <v>13963</v>
      </c>
      <c r="P5505" s="15"/>
      <c r="Q5505" s="15"/>
      <c r="R5505" s="422"/>
      <c r="S5505" s="15"/>
      <c r="T5505" s="15"/>
      <c r="U5505" s="15"/>
      <c r="V5505" s="15"/>
      <c r="W5505" s="15"/>
      <c r="X5505" s="15"/>
      <c r="Y5505" s="15"/>
      <c r="Z5505" s="15"/>
      <c r="AA5505" s="15"/>
    </row>
    <row r="5506">
      <c r="A5506" s="15" t="s">
        <v>21066</v>
      </c>
      <c r="B5506" s="15" t="s">
        <v>21094</v>
      </c>
      <c r="C5506" s="14" t="s">
        <v>21095</v>
      </c>
      <c r="D5506" s="14"/>
      <c r="E5506" s="14" t="s">
        <v>152</v>
      </c>
      <c r="F5506" s="433" t="s">
        <v>20398</v>
      </c>
      <c r="G5506" s="434"/>
      <c r="H5506" s="14" t="s">
        <v>2682</v>
      </c>
      <c r="I5506" s="423"/>
      <c r="J5506" s="14" t="s">
        <v>9814</v>
      </c>
      <c r="K5506" s="13"/>
      <c r="L5506" s="13"/>
      <c r="M5506" s="14"/>
      <c r="N5506" s="15"/>
      <c r="O5506" s="15" t="s">
        <v>564</v>
      </c>
      <c r="P5506" s="15"/>
      <c r="Q5506" s="15"/>
      <c r="R5506" s="422"/>
      <c r="S5506" s="15"/>
      <c r="T5506" s="15"/>
      <c r="U5506" s="15"/>
      <c r="V5506" s="15"/>
      <c r="W5506" s="15"/>
      <c r="X5506" s="15"/>
      <c r="Y5506" s="15"/>
      <c r="Z5506" s="15"/>
      <c r="AA5506" s="15"/>
    </row>
    <row r="5507">
      <c r="A5507" s="15" t="s">
        <v>21066</v>
      </c>
      <c r="B5507" s="15" t="s">
        <v>21096</v>
      </c>
      <c r="C5507" s="14" t="s">
        <v>21097</v>
      </c>
      <c r="D5507" s="14"/>
      <c r="E5507" s="14" t="s">
        <v>167</v>
      </c>
      <c r="F5507" s="433" t="s">
        <v>21098</v>
      </c>
      <c r="G5507" s="434"/>
      <c r="H5507" s="14" t="s">
        <v>507</v>
      </c>
      <c r="I5507" s="423"/>
      <c r="J5507" s="14" t="s">
        <v>21099</v>
      </c>
      <c r="K5507" s="13"/>
      <c r="L5507" s="13"/>
      <c r="M5507" s="14" t="s">
        <v>21100</v>
      </c>
      <c r="N5507" s="15" t="s">
        <v>21101</v>
      </c>
      <c r="O5507" s="15" t="s">
        <v>564</v>
      </c>
      <c r="P5507" s="15"/>
      <c r="Q5507" s="15"/>
      <c r="R5507" s="422"/>
      <c r="S5507" s="15"/>
      <c r="T5507" s="15"/>
      <c r="U5507" s="15"/>
      <c r="V5507" s="15"/>
      <c r="W5507" s="15"/>
      <c r="X5507" s="15"/>
      <c r="Y5507" s="15"/>
      <c r="Z5507" s="15"/>
      <c r="AA5507" s="15"/>
    </row>
    <row r="5508">
      <c r="A5508" s="15" t="s">
        <v>21066</v>
      </c>
      <c r="B5508" s="15" t="s">
        <v>21102</v>
      </c>
      <c r="C5508" s="4" t="s">
        <v>21103</v>
      </c>
      <c r="D5508" s="14"/>
      <c r="E5508" s="14" t="s">
        <v>21104</v>
      </c>
      <c r="F5508" s="433" t="s">
        <v>20436</v>
      </c>
      <c r="G5508" s="434"/>
      <c r="H5508" s="14" t="s">
        <v>519</v>
      </c>
      <c r="I5508" s="423"/>
      <c r="J5508" s="14" t="s">
        <v>17976</v>
      </c>
      <c r="K5508" s="13"/>
      <c r="L5508" s="13"/>
      <c r="M5508" s="14" t="s">
        <v>9147</v>
      </c>
      <c r="N5508" s="15" t="s">
        <v>21105</v>
      </c>
      <c r="O5508" s="15" t="s">
        <v>10708</v>
      </c>
      <c r="P5508" s="15"/>
      <c r="Q5508" s="15"/>
      <c r="R5508" s="422"/>
      <c r="S5508" s="15"/>
      <c r="T5508" s="15"/>
      <c r="U5508" s="15"/>
      <c r="V5508" s="15"/>
      <c r="W5508" s="15"/>
      <c r="X5508" s="15"/>
      <c r="Y5508" s="15"/>
      <c r="Z5508" s="15"/>
      <c r="AA5508" s="15"/>
    </row>
    <row r="5509">
      <c r="A5509" s="15" t="s">
        <v>21066</v>
      </c>
      <c r="B5509" s="15" t="s">
        <v>21106</v>
      </c>
      <c r="C5509" s="14" t="s">
        <v>21107</v>
      </c>
      <c r="D5509" s="14"/>
      <c r="E5509" s="14" t="s">
        <v>21108</v>
      </c>
      <c r="F5509" s="433" t="s">
        <v>21109</v>
      </c>
      <c r="G5509" s="434"/>
      <c r="H5509" s="14" t="s">
        <v>5189</v>
      </c>
      <c r="I5509" s="423"/>
      <c r="J5509" s="14" t="s">
        <v>21110</v>
      </c>
      <c r="K5509" s="13"/>
      <c r="L5509" s="13"/>
      <c r="M5509" s="14" t="s">
        <v>21111</v>
      </c>
      <c r="N5509" s="15" t="s">
        <v>21112</v>
      </c>
      <c r="O5509" s="15" t="s">
        <v>10708</v>
      </c>
      <c r="P5509" s="15"/>
      <c r="Q5509" s="15"/>
      <c r="R5509" s="422"/>
      <c r="S5509" s="15"/>
      <c r="T5509" s="15"/>
      <c r="U5509" s="15"/>
      <c r="V5509" s="15"/>
      <c r="W5509" s="15"/>
      <c r="X5509" s="15"/>
      <c r="Y5509" s="15"/>
      <c r="Z5509" s="15"/>
      <c r="AA5509" s="15"/>
    </row>
    <row r="5510">
      <c r="A5510" s="15" t="s">
        <v>21066</v>
      </c>
      <c r="B5510" s="15" t="s">
        <v>21113</v>
      </c>
      <c r="C5510" s="14" t="s">
        <v>20451</v>
      </c>
      <c r="D5510" s="14"/>
      <c r="E5510" s="14" t="s">
        <v>17618</v>
      </c>
      <c r="F5510" s="433" t="s">
        <v>20660</v>
      </c>
      <c r="G5510" s="434"/>
      <c r="H5510" s="14" t="s">
        <v>8569</v>
      </c>
      <c r="I5510" s="423"/>
      <c r="J5510" s="14" t="s">
        <v>25</v>
      </c>
      <c r="K5510" s="13"/>
      <c r="L5510" s="13"/>
      <c r="M5510" s="14" t="s">
        <v>21114</v>
      </c>
      <c r="N5510" s="15" t="s">
        <v>21115</v>
      </c>
      <c r="O5510" s="15" t="s">
        <v>10708</v>
      </c>
      <c r="P5510" s="15"/>
      <c r="Q5510" s="15"/>
      <c r="R5510" s="422"/>
      <c r="S5510" s="15"/>
      <c r="T5510" s="15"/>
      <c r="U5510" s="15"/>
      <c r="V5510" s="15"/>
      <c r="W5510" s="15"/>
      <c r="X5510" s="15"/>
      <c r="Y5510" s="15"/>
      <c r="Z5510" s="15"/>
      <c r="AA5510" s="15"/>
    </row>
    <row r="5511">
      <c r="A5511" s="15" t="s">
        <v>21066</v>
      </c>
      <c r="B5511" s="15" t="s">
        <v>21116</v>
      </c>
      <c r="C5511" s="14" t="s">
        <v>21117</v>
      </c>
      <c r="D5511" s="469"/>
      <c r="E5511" s="469" t="s">
        <v>21118</v>
      </c>
      <c r="F5511" s="433"/>
      <c r="G5511" s="434"/>
      <c r="H5511" s="14" t="s">
        <v>507</v>
      </c>
      <c r="I5511" s="423"/>
      <c r="J5511" s="14"/>
      <c r="K5511" s="13"/>
      <c r="L5511" s="13"/>
      <c r="M5511" s="14"/>
      <c r="N5511" s="15"/>
      <c r="O5511" s="15" t="s">
        <v>564</v>
      </c>
      <c r="P5511" s="15"/>
      <c r="Q5511" s="15"/>
      <c r="R5511" s="422"/>
      <c r="S5511" s="15"/>
      <c r="T5511" s="15"/>
      <c r="U5511" s="15"/>
      <c r="V5511" s="15"/>
      <c r="W5511" s="15"/>
      <c r="X5511" s="15"/>
      <c r="Y5511" s="15"/>
      <c r="Z5511" s="15"/>
      <c r="AA5511" s="15"/>
    </row>
    <row r="5512">
      <c r="A5512" s="15" t="s">
        <v>21066</v>
      </c>
      <c r="B5512" s="15" t="s">
        <v>21119</v>
      </c>
      <c r="C5512" s="14" t="s">
        <v>21120</v>
      </c>
      <c r="D5512" s="14"/>
      <c r="E5512" s="14" t="s">
        <v>19723</v>
      </c>
      <c r="F5512" s="433" t="s">
        <v>20660</v>
      </c>
      <c r="G5512" s="434"/>
      <c r="H5512" s="14" t="s">
        <v>184</v>
      </c>
      <c r="I5512" s="423"/>
      <c r="J5512" s="14" t="s">
        <v>21121</v>
      </c>
      <c r="K5512" s="13"/>
      <c r="L5512" s="13"/>
      <c r="M5512" s="14" t="s">
        <v>21003</v>
      </c>
      <c r="N5512" s="15" t="s">
        <v>21122</v>
      </c>
      <c r="O5512" s="15" t="s">
        <v>13963</v>
      </c>
      <c r="P5512" s="15"/>
      <c r="Q5512" s="15"/>
      <c r="R5512" s="422"/>
      <c r="S5512" s="15"/>
      <c r="T5512" s="15"/>
      <c r="U5512" s="15"/>
      <c r="V5512" s="15"/>
      <c r="W5512" s="15"/>
      <c r="X5512" s="15"/>
      <c r="Y5512" s="15"/>
      <c r="Z5512" s="15"/>
      <c r="AA5512" s="15"/>
    </row>
    <row r="5513">
      <c r="A5513" s="15" t="s">
        <v>21123</v>
      </c>
      <c r="B5513" s="15" t="s">
        <v>21124</v>
      </c>
      <c r="C5513" s="14" t="s">
        <v>3768</v>
      </c>
      <c r="D5513" s="14"/>
      <c r="E5513" s="14" t="s">
        <v>412</v>
      </c>
      <c r="F5513" s="433" t="s">
        <v>20715</v>
      </c>
      <c r="G5513" s="434"/>
      <c r="H5513" s="14" t="s">
        <v>107</v>
      </c>
      <c r="I5513" s="423"/>
      <c r="J5513" s="14" t="s">
        <v>25</v>
      </c>
      <c r="K5513" s="13"/>
      <c r="L5513" s="13"/>
      <c r="M5513" s="14" t="s">
        <v>21125</v>
      </c>
      <c r="N5513" s="15" t="s">
        <v>21126</v>
      </c>
      <c r="O5513" s="15" t="s">
        <v>10708</v>
      </c>
      <c r="P5513" s="15"/>
      <c r="Q5513" s="15"/>
      <c r="R5513" s="422"/>
      <c r="S5513" s="15"/>
      <c r="T5513" s="15"/>
      <c r="U5513" s="15"/>
      <c r="V5513" s="15"/>
      <c r="W5513" s="15"/>
      <c r="X5513" s="15"/>
      <c r="Y5513" s="15"/>
      <c r="Z5513" s="15"/>
      <c r="AA5513" s="15"/>
    </row>
    <row r="5514">
      <c r="A5514" s="15" t="s">
        <v>21123</v>
      </c>
      <c r="B5514" s="15" t="s">
        <v>21127</v>
      </c>
      <c r="C5514" s="14" t="s">
        <v>21128</v>
      </c>
      <c r="D5514" s="14"/>
      <c r="E5514" s="14" t="s">
        <v>3705</v>
      </c>
      <c r="F5514" s="433" t="s">
        <v>20392</v>
      </c>
      <c r="G5514" s="434"/>
      <c r="H5514" s="14" t="s">
        <v>21129</v>
      </c>
      <c r="I5514" s="423"/>
      <c r="J5514" s="14" t="s">
        <v>25</v>
      </c>
      <c r="K5514" s="13"/>
      <c r="L5514" s="13"/>
      <c r="M5514" s="14" t="s">
        <v>21130</v>
      </c>
      <c r="N5514" s="15" t="s">
        <v>21131</v>
      </c>
      <c r="O5514" s="15" t="s">
        <v>10708</v>
      </c>
      <c r="P5514" s="15"/>
      <c r="Q5514" s="15"/>
      <c r="R5514" s="422"/>
      <c r="S5514" s="15"/>
      <c r="T5514" s="15"/>
      <c r="U5514" s="15"/>
      <c r="V5514" s="15"/>
      <c r="W5514" s="15"/>
      <c r="X5514" s="15"/>
      <c r="Y5514" s="15"/>
      <c r="Z5514" s="15"/>
      <c r="AA5514" s="15"/>
    </row>
    <row r="5515">
      <c r="A5515" s="15" t="s">
        <v>21123</v>
      </c>
      <c r="B5515" s="15" t="s">
        <v>21132</v>
      </c>
      <c r="C5515" s="4" t="s">
        <v>21133</v>
      </c>
      <c r="D5515" s="14"/>
      <c r="E5515" s="14" t="s">
        <v>21134</v>
      </c>
      <c r="F5515" s="433" t="s">
        <v>21135</v>
      </c>
      <c r="G5515" s="434"/>
      <c r="H5515" s="14" t="s">
        <v>3078</v>
      </c>
      <c r="I5515" s="423"/>
      <c r="J5515" s="14" t="s">
        <v>17976</v>
      </c>
      <c r="K5515" s="13"/>
      <c r="L5515" s="13"/>
      <c r="M5515" s="14" t="s">
        <v>21136</v>
      </c>
      <c r="N5515" s="15" t="s">
        <v>21137</v>
      </c>
      <c r="O5515" s="15" t="s">
        <v>564</v>
      </c>
      <c r="P5515" s="15"/>
      <c r="Q5515" s="15"/>
      <c r="R5515" s="422"/>
      <c r="S5515" s="15"/>
      <c r="T5515" s="15"/>
      <c r="U5515" s="15"/>
      <c r="V5515" s="15"/>
      <c r="W5515" s="15"/>
      <c r="X5515" s="15"/>
      <c r="Y5515" s="15"/>
      <c r="Z5515" s="15"/>
      <c r="AA5515" s="15"/>
    </row>
    <row r="5516">
      <c r="A5516" s="15" t="s">
        <v>21123</v>
      </c>
      <c r="B5516" s="15" t="s">
        <v>21138</v>
      </c>
      <c r="C5516" s="4" t="s">
        <v>21139</v>
      </c>
      <c r="D5516" s="14"/>
      <c r="E5516" s="14" t="s">
        <v>21140</v>
      </c>
      <c r="F5516" s="433" t="s">
        <v>21141</v>
      </c>
      <c r="G5516" s="434"/>
      <c r="H5516" s="14" t="s">
        <v>3836</v>
      </c>
      <c r="I5516" s="423"/>
      <c r="J5516" s="14" t="s">
        <v>21142</v>
      </c>
      <c r="K5516" s="13"/>
      <c r="L5516" s="13"/>
      <c r="M5516" s="14" t="s">
        <v>21143</v>
      </c>
      <c r="N5516" s="15" t="s">
        <v>21144</v>
      </c>
      <c r="O5516" s="15" t="s">
        <v>10708</v>
      </c>
      <c r="P5516" s="15"/>
      <c r="Q5516" s="15"/>
      <c r="R5516" s="422"/>
      <c r="S5516" s="15"/>
      <c r="T5516" s="15"/>
      <c r="U5516" s="15"/>
      <c r="V5516" s="15"/>
      <c r="W5516" s="15"/>
      <c r="X5516" s="15"/>
      <c r="Y5516" s="15"/>
      <c r="Z5516" s="15"/>
      <c r="AA5516" s="15"/>
    </row>
    <row r="5517">
      <c r="A5517" s="15" t="s">
        <v>21123</v>
      </c>
      <c r="B5517" s="15" t="s">
        <v>21145</v>
      </c>
      <c r="C5517" s="14" t="s">
        <v>11278</v>
      </c>
      <c r="D5517" s="14"/>
      <c r="E5517" s="14" t="s">
        <v>116</v>
      </c>
      <c r="F5517" s="433" t="s">
        <v>20322</v>
      </c>
      <c r="G5517" s="434"/>
      <c r="H5517" s="14" t="s">
        <v>15169</v>
      </c>
      <c r="I5517" s="423"/>
      <c r="J5517" s="14" t="s">
        <v>17976</v>
      </c>
      <c r="K5517" s="13"/>
      <c r="L5517" s="13"/>
      <c r="M5517" s="14" t="s">
        <v>19981</v>
      </c>
      <c r="N5517" s="15" t="s">
        <v>21146</v>
      </c>
      <c r="O5517" s="15" t="s">
        <v>10708</v>
      </c>
      <c r="P5517" s="15"/>
      <c r="Q5517" s="15"/>
      <c r="R5517" s="422"/>
      <c r="S5517" s="15"/>
      <c r="T5517" s="15"/>
      <c r="U5517" s="15"/>
      <c r="V5517" s="15"/>
      <c r="W5517" s="15"/>
      <c r="X5517" s="15"/>
      <c r="Y5517" s="15"/>
      <c r="Z5517" s="15"/>
      <c r="AA5517" s="15"/>
    </row>
    <row r="5518">
      <c r="A5518" s="15" t="s">
        <v>21123</v>
      </c>
      <c r="B5518" s="15" t="s">
        <v>21147</v>
      </c>
      <c r="C5518" s="14" t="s">
        <v>21148</v>
      </c>
      <c r="D5518" s="14"/>
      <c r="E5518" s="14" t="s">
        <v>5014</v>
      </c>
      <c r="F5518" s="433"/>
      <c r="G5518" s="434"/>
      <c r="H5518" s="14"/>
      <c r="I5518" s="423"/>
      <c r="J5518" s="14"/>
      <c r="K5518" s="13"/>
      <c r="L5518" s="13"/>
      <c r="M5518" s="14"/>
      <c r="N5518" s="15"/>
      <c r="O5518" s="15" t="s">
        <v>20743</v>
      </c>
      <c r="P5518" s="15"/>
      <c r="Q5518" s="15"/>
      <c r="R5518" s="422"/>
      <c r="S5518" s="15"/>
      <c r="T5518" s="15"/>
      <c r="U5518" s="15"/>
      <c r="V5518" s="15"/>
      <c r="W5518" s="15"/>
      <c r="X5518" s="15"/>
      <c r="Y5518" s="15"/>
      <c r="Z5518" s="15"/>
      <c r="AA5518" s="15"/>
    </row>
    <row r="5519">
      <c r="A5519" s="15" t="s">
        <v>21123</v>
      </c>
      <c r="B5519" s="15" t="s">
        <v>21149</v>
      </c>
      <c r="C5519" s="14" t="s">
        <v>21150</v>
      </c>
      <c r="D5519" s="14"/>
      <c r="E5519" s="14" t="s">
        <v>92</v>
      </c>
      <c r="F5519" s="433" t="s">
        <v>20329</v>
      </c>
      <c r="G5519" s="434"/>
      <c r="H5519" s="14" t="s">
        <v>2662</v>
      </c>
      <c r="I5519" s="423"/>
      <c r="J5519" s="14"/>
      <c r="K5519" s="13"/>
      <c r="L5519" s="13"/>
      <c r="M5519" s="14"/>
      <c r="N5519" s="15"/>
      <c r="O5519" s="15" t="s">
        <v>20743</v>
      </c>
      <c r="P5519" s="15"/>
      <c r="Q5519" s="15"/>
      <c r="R5519" s="422"/>
      <c r="S5519" s="15"/>
      <c r="T5519" s="15"/>
      <c r="U5519" s="15"/>
      <c r="V5519" s="15"/>
      <c r="W5519" s="15"/>
      <c r="X5519" s="15"/>
      <c r="Y5519" s="15"/>
      <c r="Z5519" s="15"/>
      <c r="AA5519" s="15"/>
    </row>
    <row r="5520">
      <c r="A5520" s="15" t="s">
        <v>21123</v>
      </c>
      <c r="B5520" s="15" t="s">
        <v>21151</v>
      </c>
      <c r="C5520" s="14" t="s">
        <v>21152</v>
      </c>
      <c r="D5520" s="14"/>
      <c r="E5520" s="14" t="s">
        <v>1749</v>
      </c>
      <c r="F5520" s="433" t="s">
        <v>20398</v>
      </c>
      <c r="G5520" s="434"/>
      <c r="H5520" s="14" t="s">
        <v>4645</v>
      </c>
      <c r="I5520" s="423"/>
      <c r="J5520" s="14" t="s">
        <v>17976</v>
      </c>
      <c r="K5520" s="13"/>
      <c r="L5520" s="13"/>
      <c r="M5520" s="14"/>
      <c r="N5520" s="15"/>
      <c r="O5520" s="15" t="s">
        <v>13963</v>
      </c>
      <c r="P5520" s="15"/>
      <c r="Q5520" s="15"/>
      <c r="R5520" s="422"/>
      <c r="S5520" s="15"/>
      <c r="T5520" s="15"/>
      <c r="U5520" s="15"/>
      <c r="V5520" s="15"/>
      <c r="W5520" s="15"/>
      <c r="X5520" s="15"/>
      <c r="Y5520" s="15"/>
      <c r="Z5520" s="15"/>
      <c r="AA5520" s="15"/>
    </row>
    <row r="5521">
      <c r="A5521" s="15" t="s">
        <v>21123</v>
      </c>
      <c r="B5521" s="15" t="s">
        <v>21153</v>
      </c>
      <c r="C5521" s="14" t="s">
        <v>21154</v>
      </c>
      <c r="D5521" s="14"/>
      <c r="E5521" s="14" t="s">
        <v>116</v>
      </c>
      <c r="F5521" s="433" t="s">
        <v>21059</v>
      </c>
      <c r="G5521" s="434"/>
      <c r="H5521" s="14" t="s">
        <v>1461</v>
      </c>
      <c r="I5521" s="423"/>
      <c r="J5521" s="14" t="s">
        <v>9536</v>
      </c>
      <c r="K5521" s="13"/>
      <c r="L5521" s="13"/>
      <c r="M5521" s="14"/>
      <c r="N5521" s="15"/>
      <c r="O5521" s="15" t="s">
        <v>10708</v>
      </c>
      <c r="P5521" s="15"/>
      <c r="Q5521" s="15"/>
      <c r="R5521" s="422"/>
      <c r="S5521" s="15"/>
      <c r="T5521" s="15"/>
      <c r="U5521" s="15"/>
      <c r="V5521" s="15"/>
      <c r="W5521" s="15"/>
      <c r="X5521" s="15"/>
      <c r="Y5521" s="15"/>
      <c r="Z5521" s="15"/>
      <c r="AA5521" s="15"/>
    </row>
    <row r="5522">
      <c r="A5522" s="15" t="s">
        <v>21123</v>
      </c>
      <c r="B5522" s="15" t="s">
        <v>21155</v>
      </c>
      <c r="C5522" s="14" t="s">
        <v>21156</v>
      </c>
      <c r="D5522" s="14"/>
      <c r="E5522" s="14" t="s">
        <v>18806</v>
      </c>
      <c r="F5522" s="433" t="s">
        <v>20348</v>
      </c>
      <c r="G5522" s="434"/>
      <c r="H5522" s="14" t="s">
        <v>107</v>
      </c>
      <c r="I5522" s="423"/>
      <c r="J5522" s="14" t="s">
        <v>17976</v>
      </c>
      <c r="K5522" s="13"/>
      <c r="L5522" s="13"/>
      <c r="M5522" s="14" t="s">
        <v>21157</v>
      </c>
      <c r="N5522" s="15" t="s">
        <v>21158</v>
      </c>
      <c r="O5522" s="15" t="s">
        <v>13963</v>
      </c>
      <c r="P5522" s="15"/>
      <c r="Q5522" s="15"/>
      <c r="R5522" s="422"/>
      <c r="S5522" s="15"/>
      <c r="T5522" s="15"/>
      <c r="U5522" s="15"/>
      <c r="V5522" s="15"/>
      <c r="W5522" s="15"/>
      <c r="X5522" s="15"/>
      <c r="Y5522" s="15"/>
      <c r="Z5522" s="15"/>
      <c r="AA5522" s="15"/>
    </row>
    <row r="5523">
      <c r="A5523" s="15" t="s">
        <v>21123</v>
      </c>
      <c r="B5523" s="15" t="s">
        <v>21159</v>
      </c>
      <c r="C5523" s="14" t="s">
        <v>14988</v>
      </c>
      <c r="D5523" s="14"/>
      <c r="E5523" s="14" t="s">
        <v>167</v>
      </c>
      <c r="F5523" s="433" t="s">
        <v>21160</v>
      </c>
      <c r="G5523" s="434"/>
      <c r="H5523" s="14" t="s">
        <v>2682</v>
      </c>
      <c r="I5523" s="423"/>
      <c r="J5523" s="14" t="s">
        <v>20151</v>
      </c>
      <c r="K5523" s="13"/>
      <c r="L5523" s="13"/>
      <c r="M5523" s="14" t="s">
        <v>6155</v>
      </c>
      <c r="N5523" s="15" t="s">
        <v>21161</v>
      </c>
      <c r="O5523" s="15" t="s">
        <v>564</v>
      </c>
      <c r="P5523" s="15"/>
      <c r="Q5523" s="15"/>
      <c r="R5523" s="422"/>
      <c r="S5523" s="15"/>
      <c r="T5523" s="15"/>
      <c r="U5523" s="15"/>
      <c r="V5523" s="15"/>
      <c r="W5523" s="15"/>
      <c r="X5523" s="15"/>
      <c r="Y5523" s="15"/>
      <c r="Z5523" s="15"/>
      <c r="AA5523" s="15"/>
    </row>
    <row r="5524">
      <c r="A5524" s="15" t="s">
        <v>21123</v>
      </c>
      <c r="B5524" s="15" t="s">
        <v>21162</v>
      </c>
      <c r="C5524" s="14" t="s">
        <v>21163</v>
      </c>
      <c r="D5524" s="14"/>
      <c r="E5524" s="14" t="s">
        <v>4567</v>
      </c>
      <c r="F5524" s="433" t="s">
        <v>20398</v>
      </c>
      <c r="G5524" s="434"/>
      <c r="H5524" s="14" t="s">
        <v>107</v>
      </c>
      <c r="I5524" s="423"/>
      <c r="J5524" s="14" t="s">
        <v>25</v>
      </c>
      <c r="K5524" s="13"/>
      <c r="L5524" s="13"/>
      <c r="M5524" s="14"/>
      <c r="N5524" s="15"/>
      <c r="O5524" s="15" t="s">
        <v>10708</v>
      </c>
      <c r="P5524" s="15"/>
      <c r="Q5524" s="15"/>
      <c r="R5524" s="422"/>
      <c r="S5524" s="15"/>
      <c r="T5524" s="15"/>
      <c r="U5524" s="15"/>
      <c r="V5524" s="15"/>
      <c r="W5524" s="15"/>
      <c r="X5524" s="15"/>
      <c r="Y5524" s="15"/>
      <c r="Z5524" s="15"/>
      <c r="AA5524" s="15"/>
    </row>
    <row r="5525">
      <c r="A5525" s="15" t="s">
        <v>21123</v>
      </c>
      <c r="B5525" s="15" t="s">
        <v>21164</v>
      </c>
      <c r="C5525" s="14" t="s">
        <v>18802</v>
      </c>
      <c r="D5525" s="14"/>
      <c r="E5525" s="14" t="s">
        <v>9434</v>
      </c>
      <c r="F5525" s="433" t="s">
        <v>20334</v>
      </c>
      <c r="G5525" s="434"/>
      <c r="H5525" s="14" t="s">
        <v>21165</v>
      </c>
      <c r="I5525" s="423"/>
      <c r="J5525" s="14" t="s">
        <v>17976</v>
      </c>
      <c r="K5525" s="13"/>
      <c r="L5525" s="13"/>
      <c r="M5525" s="14" t="s">
        <v>21166</v>
      </c>
      <c r="N5525" s="15" t="s">
        <v>21167</v>
      </c>
      <c r="O5525" s="15" t="s">
        <v>564</v>
      </c>
      <c r="P5525" s="15"/>
      <c r="Q5525" s="15"/>
      <c r="R5525" s="422"/>
      <c r="S5525" s="15"/>
      <c r="T5525" s="15"/>
      <c r="U5525" s="15"/>
      <c r="V5525" s="15"/>
      <c r="W5525" s="15"/>
      <c r="X5525" s="15"/>
      <c r="Y5525" s="15"/>
      <c r="Z5525" s="15"/>
      <c r="AA5525" s="15"/>
    </row>
    <row r="5526">
      <c r="A5526" s="15" t="s">
        <v>21123</v>
      </c>
      <c r="B5526" s="15" t="s">
        <v>21168</v>
      </c>
      <c r="C5526" s="4" t="s">
        <v>21169</v>
      </c>
      <c r="D5526" s="14"/>
      <c r="E5526" s="14" t="s">
        <v>21170</v>
      </c>
      <c r="F5526" s="433" t="s">
        <v>20340</v>
      </c>
      <c r="G5526" s="434"/>
      <c r="H5526" s="14" t="s">
        <v>1315</v>
      </c>
      <c r="I5526" s="423"/>
      <c r="J5526" s="14" t="s">
        <v>17976</v>
      </c>
      <c r="K5526" s="13"/>
      <c r="L5526" s="13"/>
      <c r="M5526" s="14" t="s">
        <v>17154</v>
      </c>
      <c r="N5526" s="15" t="s">
        <v>21171</v>
      </c>
      <c r="O5526" s="15" t="s">
        <v>564</v>
      </c>
      <c r="P5526" s="15"/>
      <c r="Q5526" s="15"/>
      <c r="R5526" s="422"/>
      <c r="S5526" s="15"/>
      <c r="T5526" s="15"/>
      <c r="U5526" s="15"/>
      <c r="V5526" s="15"/>
      <c r="W5526" s="15"/>
      <c r="X5526" s="15"/>
      <c r="Y5526" s="15"/>
      <c r="Z5526" s="15"/>
      <c r="AA5526" s="15"/>
    </row>
    <row r="5527">
      <c r="A5527" s="15" t="s">
        <v>21123</v>
      </c>
      <c r="B5527" s="15" t="s">
        <v>21172</v>
      </c>
      <c r="C5527" s="14" t="s">
        <v>21173</v>
      </c>
      <c r="D5527" s="14"/>
      <c r="E5527" s="14" t="s">
        <v>47</v>
      </c>
      <c r="F5527" s="433" t="s">
        <v>20693</v>
      </c>
      <c r="G5527" s="434"/>
      <c r="H5527" s="14" t="s">
        <v>507</v>
      </c>
      <c r="I5527" s="423"/>
      <c r="J5527" s="14" t="s">
        <v>25</v>
      </c>
      <c r="K5527" s="13"/>
      <c r="L5527" s="13"/>
      <c r="M5527" s="14"/>
      <c r="N5527" s="15"/>
      <c r="O5527" s="15" t="s">
        <v>13963</v>
      </c>
      <c r="P5527" s="15"/>
      <c r="Q5527" s="15"/>
      <c r="R5527" s="422"/>
      <c r="S5527" s="15"/>
      <c r="T5527" s="15"/>
      <c r="U5527" s="15"/>
      <c r="V5527" s="15"/>
      <c r="W5527" s="15"/>
      <c r="X5527" s="15"/>
      <c r="Y5527" s="15"/>
      <c r="Z5527" s="15"/>
      <c r="AA5527" s="15"/>
    </row>
    <row r="5528">
      <c r="A5528" s="15" t="s">
        <v>21123</v>
      </c>
      <c r="B5528" s="15" t="s">
        <v>21174</v>
      </c>
      <c r="C5528" s="14" t="s">
        <v>21175</v>
      </c>
      <c r="D5528" s="14"/>
      <c r="E5528" s="14" t="s">
        <v>22</v>
      </c>
      <c r="F5528" s="433" t="s">
        <v>21176</v>
      </c>
      <c r="G5528" s="434"/>
      <c r="H5528" s="14" t="s">
        <v>21177</v>
      </c>
      <c r="I5528" s="423"/>
      <c r="J5528" s="14" t="s">
        <v>21178</v>
      </c>
      <c r="K5528" s="13"/>
      <c r="L5528" s="13"/>
      <c r="M5528" s="14"/>
      <c r="N5528" s="15"/>
      <c r="O5528" s="15" t="s">
        <v>564</v>
      </c>
      <c r="P5528" s="15"/>
      <c r="Q5528" s="15"/>
      <c r="R5528" s="422"/>
      <c r="S5528" s="15"/>
      <c r="T5528" s="15"/>
      <c r="U5528" s="15"/>
      <c r="V5528" s="15"/>
      <c r="W5528" s="15"/>
      <c r="X5528" s="15"/>
      <c r="Y5528" s="15"/>
      <c r="Z5528" s="15"/>
      <c r="AA5528" s="15"/>
    </row>
    <row r="5529">
      <c r="A5529" s="15" t="s">
        <v>21123</v>
      </c>
      <c r="B5529" s="15" t="s">
        <v>21179</v>
      </c>
      <c r="C5529" s="14" t="s">
        <v>21180</v>
      </c>
      <c r="D5529" s="14"/>
      <c r="E5529" s="14" t="s">
        <v>11907</v>
      </c>
      <c r="F5529" s="433" t="s">
        <v>21181</v>
      </c>
      <c r="G5529" s="434"/>
      <c r="H5529" s="14" t="s">
        <v>44</v>
      </c>
      <c r="I5529" s="423"/>
      <c r="J5529" s="14" t="s">
        <v>17976</v>
      </c>
      <c r="K5529" s="13"/>
      <c r="L5529" s="13"/>
      <c r="M5529" s="14"/>
      <c r="N5529" s="15"/>
      <c r="O5529" s="15" t="s">
        <v>13963</v>
      </c>
      <c r="P5529" s="15"/>
      <c r="Q5529" s="15"/>
      <c r="R5529" s="422"/>
      <c r="S5529" s="15"/>
      <c r="T5529" s="15"/>
      <c r="U5529" s="15"/>
      <c r="V5529" s="15"/>
      <c r="W5529" s="15"/>
      <c r="X5529" s="15"/>
      <c r="Y5529" s="15"/>
      <c r="Z5529" s="15"/>
      <c r="AA5529" s="15"/>
    </row>
    <row r="5530">
      <c r="A5530" s="475" t="s">
        <v>21123</v>
      </c>
      <c r="B5530" s="475" t="s">
        <v>21182</v>
      </c>
      <c r="C5530" s="476" t="s">
        <v>21183</v>
      </c>
      <c r="D5530" s="476"/>
      <c r="E5530" s="476" t="s">
        <v>16415</v>
      </c>
      <c r="F5530" s="477" t="s">
        <v>20284</v>
      </c>
      <c r="G5530" s="478"/>
      <c r="H5530" s="476" t="s">
        <v>3161</v>
      </c>
      <c r="I5530" s="479"/>
      <c r="J5530" s="476" t="s">
        <v>16415</v>
      </c>
      <c r="K5530" s="13"/>
      <c r="L5530" s="13"/>
      <c r="M5530" s="14" t="s">
        <v>10460</v>
      </c>
      <c r="N5530" s="15" t="s">
        <v>21184</v>
      </c>
      <c r="O5530" s="15" t="s">
        <v>10708</v>
      </c>
      <c r="P5530" s="15"/>
      <c r="Q5530" s="15"/>
      <c r="R5530" s="422"/>
      <c r="S5530" s="15"/>
      <c r="T5530" s="15"/>
      <c r="U5530" s="15"/>
      <c r="V5530" s="15"/>
      <c r="W5530" s="15"/>
      <c r="X5530" s="15"/>
      <c r="Y5530" s="15"/>
      <c r="Z5530" s="15"/>
      <c r="AA5530" s="15"/>
    </row>
    <row r="5531">
      <c r="A5531" s="15" t="s">
        <v>21123</v>
      </c>
      <c r="B5531" s="15" t="s">
        <v>21185</v>
      </c>
      <c r="C5531" s="14" t="s">
        <v>21186</v>
      </c>
      <c r="D5531" s="14"/>
      <c r="E5531" s="14" t="s">
        <v>21187</v>
      </c>
      <c r="F5531" s="433" t="s">
        <v>20392</v>
      </c>
      <c r="G5531" s="434"/>
      <c r="H5531" s="14" t="s">
        <v>21188</v>
      </c>
      <c r="I5531" s="423"/>
      <c r="J5531" s="14" t="s">
        <v>21189</v>
      </c>
      <c r="K5531" s="13"/>
      <c r="L5531" s="13"/>
      <c r="M5531" s="14"/>
      <c r="N5531" s="15"/>
      <c r="O5531" s="15" t="s">
        <v>10708</v>
      </c>
      <c r="P5531" s="15"/>
      <c r="Q5531" s="15"/>
      <c r="R5531" s="422"/>
      <c r="S5531" s="15"/>
      <c r="T5531" s="15"/>
      <c r="U5531" s="15"/>
      <c r="V5531" s="15"/>
      <c r="W5531" s="15"/>
      <c r="X5531" s="15"/>
      <c r="Y5531" s="15"/>
      <c r="Z5531" s="15"/>
      <c r="AA5531" s="15"/>
    </row>
    <row r="5532">
      <c r="A5532" s="15" t="s">
        <v>21123</v>
      </c>
      <c r="B5532" s="15" t="s">
        <v>21190</v>
      </c>
      <c r="C5532" s="14" t="s">
        <v>21191</v>
      </c>
      <c r="D5532" s="14"/>
      <c r="E5532" s="14" t="s">
        <v>13848</v>
      </c>
      <c r="F5532" s="433" t="s">
        <v>20329</v>
      </c>
      <c r="G5532" s="434"/>
      <c r="H5532" s="14" t="s">
        <v>906</v>
      </c>
      <c r="I5532" s="423"/>
      <c r="J5532" s="14" t="s">
        <v>21192</v>
      </c>
      <c r="K5532" s="13"/>
      <c r="L5532" s="13"/>
      <c r="M5532" s="14"/>
      <c r="N5532" s="15"/>
      <c r="O5532" s="15" t="s">
        <v>20743</v>
      </c>
      <c r="P5532" s="15"/>
      <c r="Q5532" s="15"/>
      <c r="R5532" s="422"/>
      <c r="S5532" s="15"/>
      <c r="T5532" s="15"/>
      <c r="U5532" s="15"/>
      <c r="V5532" s="15"/>
      <c r="W5532" s="15"/>
      <c r="X5532" s="15"/>
      <c r="Y5532" s="15"/>
      <c r="Z5532" s="15"/>
      <c r="AA5532" s="15"/>
    </row>
    <row r="5533">
      <c r="A5533" s="15" t="s">
        <v>21123</v>
      </c>
      <c r="B5533" s="15" t="s">
        <v>21193</v>
      </c>
      <c r="C5533" s="14" t="s">
        <v>21194</v>
      </c>
      <c r="D5533" s="14"/>
      <c r="E5533" s="14" t="s">
        <v>16165</v>
      </c>
      <c r="F5533" s="433" t="s">
        <v>20398</v>
      </c>
      <c r="G5533" s="434"/>
      <c r="H5533" s="14" t="s">
        <v>4841</v>
      </c>
      <c r="I5533" s="423"/>
      <c r="J5533" s="14" t="s">
        <v>9772</v>
      </c>
      <c r="K5533" s="13"/>
      <c r="L5533" s="13"/>
      <c r="M5533" s="14"/>
      <c r="N5533" s="15"/>
      <c r="O5533" s="15" t="s">
        <v>564</v>
      </c>
      <c r="P5533" s="15"/>
      <c r="Q5533" s="15"/>
      <c r="R5533" s="422"/>
      <c r="S5533" s="15"/>
      <c r="T5533" s="15"/>
      <c r="U5533" s="15"/>
      <c r="V5533" s="15"/>
      <c r="W5533" s="15"/>
      <c r="X5533" s="15"/>
      <c r="Y5533" s="15"/>
      <c r="Z5533" s="15"/>
      <c r="AA5533" s="15"/>
    </row>
    <row r="5534">
      <c r="A5534" s="15" t="s">
        <v>21195</v>
      </c>
      <c r="B5534" s="15" t="s">
        <v>21196</v>
      </c>
      <c r="C5534" s="14" t="s">
        <v>21197</v>
      </c>
      <c r="D5534" s="14"/>
      <c r="E5534" s="14" t="s">
        <v>152</v>
      </c>
      <c r="F5534" s="433" t="s">
        <v>20318</v>
      </c>
      <c r="G5534" s="434"/>
      <c r="H5534" s="14" t="s">
        <v>21198</v>
      </c>
      <c r="I5534" s="423"/>
      <c r="J5534" s="14" t="s">
        <v>21199</v>
      </c>
      <c r="K5534" s="13"/>
      <c r="L5534" s="13"/>
      <c r="M5534" s="14" t="s">
        <v>9742</v>
      </c>
      <c r="N5534" s="15" t="s">
        <v>21200</v>
      </c>
      <c r="O5534" s="15" t="s">
        <v>564</v>
      </c>
      <c r="P5534" s="15"/>
      <c r="Q5534" s="15"/>
      <c r="R5534" s="422"/>
      <c r="S5534" s="15"/>
      <c r="T5534" s="15"/>
      <c r="U5534" s="15"/>
      <c r="V5534" s="15"/>
      <c r="W5534" s="15"/>
      <c r="X5534" s="15"/>
      <c r="Y5534" s="15"/>
      <c r="Z5534" s="15"/>
      <c r="AA5534" s="15"/>
    </row>
    <row r="5535">
      <c r="A5535" s="15" t="s">
        <v>21195</v>
      </c>
      <c r="B5535" s="15" t="s">
        <v>21201</v>
      </c>
      <c r="C5535" s="14" t="s">
        <v>19661</v>
      </c>
      <c r="D5535" s="14"/>
      <c r="E5535" s="14" t="s">
        <v>21202</v>
      </c>
      <c r="F5535" s="433" t="s">
        <v>21203</v>
      </c>
      <c r="G5535" s="434"/>
      <c r="H5535" s="14" t="s">
        <v>507</v>
      </c>
      <c r="I5535" s="423"/>
      <c r="J5535" s="14" t="s">
        <v>18182</v>
      </c>
      <c r="K5535" s="13"/>
      <c r="L5535" s="13"/>
      <c r="M5535" s="14"/>
      <c r="N5535" s="15"/>
      <c r="O5535" s="15" t="s">
        <v>13963</v>
      </c>
      <c r="P5535" s="15"/>
      <c r="Q5535" s="15"/>
      <c r="R5535" s="422"/>
      <c r="S5535" s="15"/>
      <c r="T5535" s="15"/>
      <c r="U5535" s="15"/>
      <c r="V5535" s="15"/>
      <c r="W5535" s="15"/>
      <c r="X5535" s="15"/>
      <c r="Y5535" s="15"/>
      <c r="Z5535" s="15"/>
      <c r="AA5535" s="15"/>
    </row>
    <row r="5536">
      <c r="A5536" s="15" t="s">
        <v>21195</v>
      </c>
      <c r="B5536" s="15" t="s">
        <v>21204</v>
      </c>
      <c r="C5536" s="14" t="s">
        <v>21205</v>
      </c>
      <c r="D5536" s="14"/>
      <c r="E5536" s="14" t="s">
        <v>13331</v>
      </c>
      <c r="F5536" s="433" t="s">
        <v>20322</v>
      </c>
      <c r="G5536" s="434"/>
      <c r="H5536" s="14" t="s">
        <v>21206</v>
      </c>
      <c r="I5536" s="423"/>
      <c r="J5536" s="14" t="s">
        <v>21207</v>
      </c>
      <c r="K5536" s="13"/>
      <c r="L5536" s="13"/>
      <c r="M5536" s="14"/>
      <c r="N5536" s="15"/>
      <c r="O5536" s="15" t="s">
        <v>20743</v>
      </c>
      <c r="P5536" s="15"/>
      <c r="Q5536" s="15"/>
      <c r="R5536" s="422"/>
      <c r="S5536" s="15"/>
      <c r="T5536" s="15"/>
      <c r="U5536" s="15"/>
      <c r="V5536" s="15"/>
      <c r="W5536" s="15"/>
      <c r="X5536" s="15"/>
      <c r="Y5536" s="15"/>
      <c r="Z5536" s="15"/>
      <c r="AA5536" s="15"/>
    </row>
    <row r="5537">
      <c r="A5537" s="15" t="s">
        <v>21195</v>
      </c>
      <c r="B5537" s="15" t="s">
        <v>21208</v>
      </c>
      <c r="C5537" s="14" t="s">
        <v>21209</v>
      </c>
      <c r="D5537" s="14"/>
      <c r="E5537" s="14" t="s">
        <v>167</v>
      </c>
      <c r="F5537" s="433"/>
      <c r="G5537" s="434"/>
      <c r="H5537" s="14"/>
      <c r="I5537" s="423"/>
      <c r="J5537" s="14"/>
      <c r="K5537" s="13"/>
      <c r="L5537" s="13"/>
      <c r="M5537" s="14"/>
      <c r="N5537" s="15"/>
      <c r="O5537" s="15" t="s">
        <v>564</v>
      </c>
      <c r="P5537" s="15"/>
      <c r="Q5537" s="15"/>
      <c r="R5537" s="422"/>
      <c r="S5537" s="15"/>
      <c r="T5537" s="15"/>
      <c r="U5537" s="15"/>
      <c r="V5537" s="15"/>
      <c r="W5537" s="15"/>
      <c r="X5537" s="15"/>
      <c r="Y5537" s="15"/>
      <c r="Z5537" s="15"/>
      <c r="AA5537" s="15"/>
    </row>
    <row r="5538">
      <c r="A5538" s="15" t="s">
        <v>21195</v>
      </c>
      <c r="B5538" s="15" t="s">
        <v>21210</v>
      </c>
      <c r="C5538" s="14" t="s">
        <v>21211</v>
      </c>
      <c r="D5538" s="14"/>
      <c r="E5538" s="14" t="s">
        <v>167</v>
      </c>
      <c r="F5538" s="433" t="s">
        <v>20294</v>
      </c>
      <c r="G5538" s="434"/>
      <c r="H5538" s="14" t="s">
        <v>9094</v>
      </c>
      <c r="I5538" s="423"/>
      <c r="J5538" s="14" t="s">
        <v>20151</v>
      </c>
      <c r="K5538" s="13"/>
      <c r="L5538" s="13"/>
      <c r="M5538" s="14"/>
      <c r="N5538" s="15"/>
      <c r="O5538" s="15" t="s">
        <v>564</v>
      </c>
      <c r="P5538" s="15"/>
      <c r="Q5538" s="15"/>
      <c r="R5538" s="422"/>
      <c r="S5538" s="15"/>
      <c r="T5538" s="15"/>
      <c r="U5538" s="15"/>
      <c r="V5538" s="15"/>
      <c r="W5538" s="15"/>
      <c r="X5538" s="15"/>
      <c r="Y5538" s="15"/>
      <c r="Z5538" s="15"/>
      <c r="AA5538" s="15"/>
    </row>
    <row r="5539">
      <c r="A5539" s="15" t="s">
        <v>21195</v>
      </c>
      <c r="B5539" s="15" t="s">
        <v>21212</v>
      </c>
      <c r="C5539" s="14" t="s">
        <v>19075</v>
      </c>
      <c r="D5539" s="14"/>
      <c r="E5539" s="14" t="s">
        <v>167</v>
      </c>
      <c r="F5539" s="433" t="s">
        <v>20398</v>
      </c>
      <c r="G5539" s="434"/>
      <c r="H5539" s="14" t="s">
        <v>507</v>
      </c>
      <c r="I5539" s="423"/>
      <c r="J5539" s="14" t="s">
        <v>20151</v>
      </c>
      <c r="K5539" s="13"/>
      <c r="L5539" s="13"/>
      <c r="M5539" s="14"/>
      <c r="N5539" s="15"/>
      <c r="O5539" s="15" t="s">
        <v>564</v>
      </c>
      <c r="P5539" s="15"/>
      <c r="Q5539" s="15"/>
      <c r="R5539" s="422"/>
      <c r="S5539" s="15"/>
      <c r="T5539" s="15"/>
      <c r="U5539" s="15"/>
      <c r="V5539" s="15"/>
      <c r="W5539" s="15"/>
      <c r="X5539" s="15"/>
      <c r="Y5539" s="15"/>
      <c r="Z5539" s="15"/>
      <c r="AA5539" s="15"/>
    </row>
    <row r="5540">
      <c r="A5540" s="15" t="s">
        <v>21195</v>
      </c>
      <c r="B5540" s="15" t="s">
        <v>21213</v>
      </c>
      <c r="C5540" s="14" t="s">
        <v>21214</v>
      </c>
      <c r="D5540" s="14"/>
      <c r="E5540" s="14" t="s">
        <v>43</v>
      </c>
      <c r="F5540" s="433"/>
      <c r="G5540" s="434"/>
      <c r="H5540" s="14"/>
      <c r="I5540" s="423"/>
      <c r="J5540" s="14"/>
      <c r="K5540" s="13"/>
      <c r="L5540" s="13"/>
      <c r="M5540" s="14"/>
      <c r="N5540" s="15"/>
      <c r="O5540" s="15" t="s">
        <v>564</v>
      </c>
      <c r="P5540" s="15"/>
      <c r="Q5540" s="15"/>
      <c r="R5540" s="422"/>
      <c r="S5540" s="15"/>
      <c r="T5540" s="15"/>
      <c r="U5540" s="15"/>
      <c r="V5540" s="15"/>
      <c r="W5540" s="15"/>
      <c r="X5540" s="15"/>
      <c r="Y5540" s="15"/>
      <c r="Z5540" s="15"/>
      <c r="AA5540" s="15"/>
    </row>
    <row r="5541">
      <c r="A5541" s="15" t="s">
        <v>21195</v>
      </c>
      <c r="B5541" s="15" t="s">
        <v>21215</v>
      </c>
      <c r="C5541" s="14" t="s">
        <v>21216</v>
      </c>
      <c r="D5541" s="14"/>
      <c r="E5541" s="14" t="s">
        <v>5774</v>
      </c>
      <c r="F5541" s="433" t="s">
        <v>20348</v>
      </c>
      <c r="G5541" s="434"/>
      <c r="H5541" s="14" t="s">
        <v>10901</v>
      </c>
      <c r="I5541" s="423"/>
      <c r="J5541" s="14" t="s">
        <v>17976</v>
      </c>
      <c r="K5541" s="13"/>
      <c r="L5541" s="13"/>
      <c r="M5541" s="14" t="s">
        <v>21217</v>
      </c>
      <c r="N5541" s="15" t="s">
        <v>21218</v>
      </c>
      <c r="O5541" s="15" t="s">
        <v>13963</v>
      </c>
      <c r="P5541" s="15"/>
      <c r="Q5541" s="15"/>
      <c r="R5541" s="422"/>
      <c r="S5541" s="15"/>
      <c r="T5541" s="15"/>
      <c r="U5541" s="15"/>
      <c r="V5541" s="15"/>
      <c r="W5541" s="15"/>
      <c r="X5541" s="15"/>
      <c r="Y5541" s="15"/>
      <c r="Z5541" s="15"/>
      <c r="AA5541" s="15"/>
    </row>
    <row r="5542">
      <c r="A5542" s="15" t="s">
        <v>21195</v>
      </c>
      <c r="B5542" s="15" t="s">
        <v>21219</v>
      </c>
      <c r="C5542" s="14" t="s">
        <v>9728</v>
      </c>
      <c r="D5542" s="14"/>
      <c r="E5542" s="14" t="s">
        <v>5293</v>
      </c>
      <c r="F5542" s="433"/>
      <c r="G5542" s="434"/>
      <c r="H5542" s="14" t="s">
        <v>44</v>
      </c>
      <c r="I5542" s="423"/>
      <c r="J5542" s="14" t="s">
        <v>9874</v>
      </c>
      <c r="K5542" s="13"/>
      <c r="L5542" s="13"/>
      <c r="M5542" s="14"/>
      <c r="N5542" s="15"/>
      <c r="O5542" s="15" t="s">
        <v>20743</v>
      </c>
      <c r="P5542" s="15"/>
      <c r="Q5542" s="15"/>
      <c r="R5542" s="422"/>
      <c r="S5542" s="15"/>
      <c r="T5542" s="15"/>
      <c r="U5542" s="15"/>
      <c r="V5542" s="15"/>
      <c r="W5542" s="15"/>
      <c r="X5542" s="15"/>
      <c r="Y5542" s="15"/>
      <c r="Z5542" s="15"/>
      <c r="AA5542" s="15"/>
    </row>
    <row r="5543">
      <c r="A5543" s="15" t="s">
        <v>21195</v>
      </c>
      <c r="B5543" s="15" t="s">
        <v>21220</v>
      </c>
      <c r="C5543" s="4" t="s">
        <v>21221</v>
      </c>
      <c r="D5543" s="14"/>
      <c r="E5543" s="14" t="s">
        <v>21222</v>
      </c>
      <c r="F5543" s="433" t="s">
        <v>19206</v>
      </c>
      <c r="G5543" s="434"/>
      <c r="H5543" s="14" t="s">
        <v>906</v>
      </c>
      <c r="I5543" s="423"/>
      <c r="J5543" s="14" t="s">
        <v>25</v>
      </c>
      <c r="K5543" s="13"/>
      <c r="L5543" s="13"/>
      <c r="M5543" s="14" t="s">
        <v>21223</v>
      </c>
      <c r="N5543" s="15" t="s">
        <v>21224</v>
      </c>
      <c r="O5543" s="15" t="s">
        <v>564</v>
      </c>
      <c r="P5543" s="15"/>
      <c r="Q5543" s="15"/>
      <c r="R5543" s="422"/>
      <c r="S5543" s="15"/>
      <c r="T5543" s="15"/>
      <c r="U5543" s="15"/>
      <c r="V5543" s="15"/>
      <c r="W5543" s="15"/>
      <c r="X5543" s="15"/>
      <c r="Y5543" s="15"/>
      <c r="Z5543" s="15"/>
      <c r="AA5543" s="15"/>
    </row>
    <row r="5544">
      <c r="A5544" s="15" t="s">
        <v>21195</v>
      </c>
      <c r="B5544" s="15" t="s">
        <v>21225</v>
      </c>
      <c r="C5544" s="14" t="s">
        <v>14690</v>
      </c>
      <c r="D5544" s="14"/>
      <c r="E5544" s="14" t="s">
        <v>21226</v>
      </c>
      <c r="F5544" s="433" t="s">
        <v>18673</v>
      </c>
      <c r="G5544" s="434"/>
      <c r="H5544" s="14" t="s">
        <v>906</v>
      </c>
      <c r="I5544" s="423"/>
      <c r="J5544" s="14" t="s">
        <v>7221</v>
      </c>
      <c r="K5544" s="13"/>
      <c r="L5544" s="13"/>
      <c r="M5544" s="14"/>
      <c r="N5544" s="15"/>
      <c r="O5544" s="15" t="s">
        <v>564</v>
      </c>
      <c r="P5544" s="15"/>
      <c r="Q5544" s="15"/>
      <c r="R5544" s="422"/>
      <c r="S5544" s="15"/>
      <c r="T5544" s="15"/>
      <c r="U5544" s="15"/>
      <c r="V5544" s="15"/>
      <c r="W5544" s="15"/>
      <c r="X5544" s="15"/>
      <c r="Y5544" s="15"/>
      <c r="Z5544" s="15"/>
      <c r="AA5544" s="15"/>
    </row>
    <row r="5545">
      <c r="A5545" s="15" t="s">
        <v>21195</v>
      </c>
      <c r="B5545" s="15" t="s">
        <v>21227</v>
      </c>
      <c r="C5545" s="14" t="s">
        <v>21228</v>
      </c>
      <c r="D5545" s="14"/>
      <c r="E5545" s="14" t="s">
        <v>17535</v>
      </c>
      <c r="F5545" s="433" t="s">
        <v>20436</v>
      </c>
      <c r="G5545" s="434"/>
      <c r="H5545" s="14" t="s">
        <v>507</v>
      </c>
      <c r="I5545" s="423"/>
      <c r="J5545" s="14" t="s">
        <v>17976</v>
      </c>
      <c r="K5545" s="13"/>
      <c r="L5545" s="13"/>
      <c r="M5545" s="14" t="s">
        <v>18489</v>
      </c>
      <c r="N5545" s="15" t="s">
        <v>21229</v>
      </c>
      <c r="O5545" s="15" t="s">
        <v>564</v>
      </c>
      <c r="P5545" s="15"/>
      <c r="Q5545" s="15"/>
      <c r="R5545" s="422"/>
      <c r="S5545" s="15"/>
      <c r="T5545" s="15"/>
      <c r="U5545" s="15"/>
      <c r="V5545" s="15"/>
      <c r="W5545" s="15"/>
      <c r="X5545" s="15"/>
      <c r="Y5545" s="15"/>
      <c r="Z5545" s="15"/>
      <c r="AA5545" s="15"/>
    </row>
    <row r="5546">
      <c r="A5546" s="15" t="s">
        <v>21195</v>
      </c>
      <c r="B5546" s="15" t="s">
        <v>21230</v>
      </c>
      <c r="C5546" s="14" t="s">
        <v>21231</v>
      </c>
      <c r="D5546" s="14"/>
      <c r="E5546" s="14" t="s">
        <v>10433</v>
      </c>
      <c r="F5546" s="433" t="s">
        <v>21232</v>
      </c>
      <c r="G5546" s="434"/>
      <c r="H5546" s="14" t="s">
        <v>507</v>
      </c>
      <c r="I5546" s="423"/>
      <c r="J5546" s="14"/>
      <c r="K5546" s="13"/>
      <c r="L5546" s="13"/>
      <c r="M5546" s="14"/>
      <c r="N5546" s="15"/>
      <c r="O5546" s="15" t="s">
        <v>20743</v>
      </c>
      <c r="P5546" s="15"/>
      <c r="Q5546" s="15"/>
      <c r="R5546" s="422"/>
      <c r="S5546" s="15"/>
      <c r="T5546" s="15"/>
      <c r="U5546" s="15"/>
      <c r="V5546" s="15"/>
      <c r="W5546" s="15"/>
      <c r="X5546" s="15"/>
      <c r="Y5546" s="15"/>
      <c r="Z5546" s="15"/>
      <c r="AA5546" s="15"/>
    </row>
    <row r="5547">
      <c r="A5547" s="15" t="s">
        <v>21195</v>
      </c>
      <c r="B5547" s="15" t="s">
        <v>21233</v>
      </c>
      <c r="C5547" s="14" t="s">
        <v>21234</v>
      </c>
      <c r="D5547" s="14"/>
      <c r="E5547" s="14" t="s">
        <v>152</v>
      </c>
      <c r="F5547" s="433" t="s">
        <v>20294</v>
      </c>
      <c r="G5547" s="434"/>
      <c r="H5547" s="14" t="s">
        <v>422</v>
      </c>
      <c r="I5547" s="423"/>
      <c r="J5547" s="14" t="s">
        <v>21235</v>
      </c>
      <c r="K5547" s="13"/>
      <c r="L5547" s="13"/>
      <c r="M5547" s="14"/>
      <c r="N5547" s="15"/>
      <c r="O5547" s="15" t="s">
        <v>564</v>
      </c>
      <c r="P5547" s="15"/>
      <c r="Q5547" s="15"/>
      <c r="R5547" s="422"/>
      <c r="S5547" s="15"/>
      <c r="T5547" s="15"/>
      <c r="U5547" s="15"/>
      <c r="V5547" s="15"/>
      <c r="W5547" s="15"/>
      <c r="X5547" s="15"/>
      <c r="Y5547" s="15"/>
      <c r="Z5547" s="15"/>
      <c r="AA5547" s="15"/>
    </row>
    <row r="5548">
      <c r="A5548" s="15" t="s">
        <v>21195</v>
      </c>
      <c r="B5548" s="15" t="s">
        <v>21236</v>
      </c>
      <c r="C5548" s="14" t="s">
        <v>18021</v>
      </c>
      <c r="D5548" s="14"/>
      <c r="E5548" s="14" t="s">
        <v>21237</v>
      </c>
      <c r="F5548" s="433"/>
      <c r="G5548" s="434"/>
      <c r="H5548" s="14" t="s">
        <v>507</v>
      </c>
      <c r="I5548" s="423"/>
      <c r="J5548" s="14"/>
      <c r="K5548" s="13"/>
      <c r="L5548" s="13"/>
      <c r="M5548" s="14"/>
      <c r="N5548" s="15"/>
      <c r="O5548" s="15" t="s">
        <v>13963</v>
      </c>
      <c r="P5548" s="15"/>
      <c r="Q5548" s="15"/>
      <c r="R5548" s="422"/>
      <c r="S5548" s="15"/>
      <c r="T5548" s="15"/>
      <c r="U5548" s="15"/>
      <c r="V5548" s="15"/>
      <c r="W5548" s="15"/>
      <c r="X5548" s="15"/>
      <c r="Y5548" s="15"/>
      <c r="Z5548" s="15"/>
      <c r="AA5548" s="15"/>
    </row>
    <row r="5549">
      <c r="A5549" s="15" t="s">
        <v>21195</v>
      </c>
      <c r="B5549" s="15" t="s">
        <v>21238</v>
      </c>
      <c r="C5549" s="14" t="s">
        <v>14614</v>
      </c>
      <c r="D5549" s="14"/>
      <c r="E5549" s="14" t="s">
        <v>47</v>
      </c>
      <c r="F5549" s="433" t="s">
        <v>20392</v>
      </c>
      <c r="G5549" s="434"/>
      <c r="H5549" s="14" t="s">
        <v>14616</v>
      </c>
      <c r="I5549" s="423"/>
      <c r="J5549" s="14" t="s">
        <v>21239</v>
      </c>
      <c r="K5549" s="13"/>
      <c r="L5549" s="13"/>
      <c r="M5549" s="14"/>
      <c r="N5549" s="15"/>
      <c r="O5549" s="15" t="s">
        <v>13963</v>
      </c>
      <c r="P5549" s="15"/>
      <c r="Q5549" s="15"/>
      <c r="R5549" s="422"/>
      <c r="S5549" s="15"/>
      <c r="T5549" s="15"/>
      <c r="U5549" s="15"/>
      <c r="V5549" s="15"/>
      <c r="W5549" s="15"/>
      <c r="X5549" s="15"/>
      <c r="Y5549" s="15"/>
      <c r="Z5549" s="15"/>
      <c r="AA5549" s="15"/>
    </row>
    <row r="5550">
      <c r="A5550" s="15" t="s">
        <v>21195</v>
      </c>
      <c r="B5550" s="15" t="s">
        <v>21240</v>
      </c>
      <c r="C5550" s="14" t="s">
        <v>21241</v>
      </c>
      <c r="D5550" s="14"/>
      <c r="E5550" s="14" t="s">
        <v>17934</v>
      </c>
      <c r="F5550" s="433" t="s">
        <v>21007</v>
      </c>
      <c r="G5550" s="434"/>
      <c r="H5550" s="14" t="s">
        <v>44</v>
      </c>
      <c r="I5550" s="423"/>
      <c r="J5550" s="14" t="s">
        <v>21242</v>
      </c>
      <c r="K5550" s="13"/>
      <c r="L5550" s="13"/>
      <c r="M5550" s="14"/>
      <c r="N5550" s="15"/>
      <c r="O5550" s="15" t="s">
        <v>10708</v>
      </c>
      <c r="P5550" s="15"/>
      <c r="Q5550" s="15"/>
      <c r="R5550" s="422"/>
      <c r="S5550" s="15"/>
      <c r="T5550" s="15"/>
      <c r="U5550" s="15"/>
      <c r="V5550" s="15"/>
      <c r="W5550" s="15"/>
      <c r="X5550" s="15"/>
      <c r="Y5550" s="15"/>
      <c r="Z5550" s="15"/>
      <c r="AA5550" s="15"/>
    </row>
    <row r="5551">
      <c r="A5551" s="15" t="s">
        <v>21195</v>
      </c>
      <c r="B5551" s="15" t="s">
        <v>21243</v>
      </c>
      <c r="C5551" s="14" t="s">
        <v>21244</v>
      </c>
      <c r="D5551" s="14"/>
      <c r="E5551" s="14" t="s">
        <v>167</v>
      </c>
      <c r="F5551" s="433" t="s">
        <v>20398</v>
      </c>
      <c r="G5551" s="434"/>
      <c r="H5551" s="14" t="s">
        <v>2662</v>
      </c>
      <c r="I5551" s="423"/>
      <c r="J5551" s="14" t="s">
        <v>21245</v>
      </c>
      <c r="K5551" s="13"/>
      <c r="L5551" s="13"/>
      <c r="M5551" s="14"/>
      <c r="N5551" s="15"/>
      <c r="O5551" s="15" t="s">
        <v>564</v>
      </c>
      <c r="P5551" s="15"/>
      <c r="Q5551" s="15"/>
      <c r="R5551" s="422"/>
      <c r="S5551" s="15"/>
      <c r="T5551" s="15"/>
      <c r="U5551" s="15"/>
      <c r="V5551" s="15"/>
      <c r="W5551" s="15"/>
      <c r="X5551" s="15"/>
      <c r="Y5551" s="15"/>
      <c r="Z5551" s="15"/>
      <c r="AA5551" s="15"/>
    </row>
    <row r="5552">
      <c r="A5552" s="15" t="s">
        <v>21246</v>
      </c>
      <c r="B5552" s="15" t="s">
        <v>21247</v>
      </c>
      <c r="C5552" s="14" t="s">
        <v>21248</v>
      </c>
      <c r="D5552" s="14"/>
      <c r="E5552" s="14" t="s">
        <v>116</v>
      </c>
      <c r="F5552" s="433" t="s">
        <v>20303</v>
      </c>
      <c r="G5552" s="434"/>
      <c r="H5552" s="14" t="s">
        <v>519</v>
      </c>
      <c r="I5552" s="423"/>
      <c r="J5552" s="14" t="s">
        <v>17976</v>
      </c>
      <c r="K5552" s="13"/>
      <c r="L5552" s="13"/>
      <c r="M5552" s="14" t="s">
        <v>14365</v>
      </c>
      <c r="N5552" s="15" t="s">
        <v>21249</v>
      </c>
      <c r="O5552" s="15" t="s">
        <v>564</v>
      </c>
      <c r="P5552" s="15"/>
      <c r="Q5552" s="15"/>
      <c r="R5552" s="422"/>
      <c r="S5552" s="15"/>
      <c r="T5552" s="15"/>
      <c r="U5552" s="15"/>
      <c r="V5552" s="15"/>
      <c r="W5552" s="15"/>
      <c r="X5552" s="15"/>
      <c r="Y5552" s="15"/>
      <c r="Z5552" s="15"/>
      <c r="AA5552" s="15"/>
    </row>
    <row r="5553">
      <c r="A5553" s="15" t="s">
        <v>21246</v>
      </c>
      <c r="B5553" s="15" t="s">
        <v>21250</v>
      </c>
      <c r="C5553" s="14" t="s">
        <v>21251</v>
      </c>
      <c r="D5553" s="14"/>
      <c r="E5553" s="14" t="s">
        <v>10433</v>
      </c>
      <c r="F5553" s="433"/>
      <c r="G5553" s="434"/>
      <c r="H5553" s="14"/>
      <c r="I5553" s="423"/>
      <c r="J5553" s="14"/>
      <c r="K5553" s="13"/>
      <c r="L5553" s="13"/>
      <c r="M5553" s="14"/>
      <c r="N5553" s="15"/>
      <c r="O5553" s="15" t="s">
        <v>20743</v>
      </c>
      <c r="P5553" s="15"/>
      <c r="Q5553" s="15"/>
      <c r="R5553" s="422"/>
      <c r="S5553" s="15"/>
      <c r="T5553" s="15"/>
      <c r="U5553" s="15"/>
      <c r="V5553" s="15"/>
      <c r="W5553" s="15"/>
      <c r="X5553" s="15"/>
      <c r="Y5553" s="15"/>
      <c r="Z5553" s="15"/>
      <c r="AA5553" s="15"/>
    </row>
    <row r="5554">
      <c r="A5554" s="15" t="s">
        <v>21246</v>
      </c>
      <c r="B5554" s="15" t="s">
        <v>21252</v>
      </c>
      <c r="C5554" s="14" t="s">
        <v>21253</v>
      </c>
      <c r="D5554" s="14"/>
      <c r="E5554" s="14" t="s">
        <v>5502</v>
      </c>
      <c r="F5554" s="433" t="s">
        <v>21254</v>
      </c>
      <c r="G5554" s="434"/>
      <c r="H5554" s="14" t="s">
        <v>1053</v>
      </c>
      <c r="I5554" s="423"/>
      <c r="J5554" s="14" t="s">
        <v>21255</v>
      </c>
      <c r="K5554" s="12"/>
      <c r="L5554" s="12"/>
      <c r="M5554" s="11" t="s">
        <v>21256</v>
      </c>
      <c r="N5554" s="5" t="s">
        <v>21257</v>
      </c>
      <c r="O5554" s="15" t="s">
        <v>13963</v>
      </c>
      <c r="P5554" s="15"/>
      <c r="Q5554" s="15"/>
      <c r="R5554" s="422"/>
      <c r="S5554" s="15"/>
      <c r="T5554" s="15"/>
      <c r="U5554" s="15"/>
      <c r="V5554" s="15"/>
      <c r="W5554" s="15"/>
      <c r="X5554" s="15"/>
      <c r="Y5554" s="15"/>
      <c r="Z5554" s="15"/>
      <c r="AA5554" s="15"/>
    </row>
    <row r="5555">
      <c r="A5555" s="15" t="s">
        <v>21246</v>
      </c>
      <c r="B5555" s="15" t="s">
        <v>21258</v>
      </c>
      <c r="C5555" s="14" t="s">
        <v>21259</v>
      </c>
      <c r="D5555" s="14"/>
      <c r="E5555" s="14" t="s">
        <v>4240</v>
      </c>
      <c r="F5555" s="433" t="s">
        <v>20322</v>
      </c>
      <c r="G5555" s="434"/>
      <c r="H5555" s="14" t="s">
        <v>519</v>
      </c>
      <c r="I5555" s="423"/>
      <c r="J5555" s="14" t="s">
        <v>17976</v>
      </c>
      <c r="K5555" s="13"/>
      <c r="L5555" s="13"/>
      <c r="M5555" s="14" t="s">
        <v>21260</v>
      </c>
      <c r="N5555" s="15" t="s">
        <v>21261</v>
      </c>
      <c r="O5555" s="15" t="s">
        <v>564</v>
      </c>
      <c r="P5555" s="15"/>
      <c r="Q5555" s="15"/>
      <c r="R5555" s="422"/>
      <c r="S5555" s="15"/>
      <c r="T5555" s="15"/>
      <c r="U5555" s="15"/>
      <c r="V5555" s="15"/>
      <c r="W5555" s="15"/>
      <c r="X5555" s="15"/>
      <c r="Y5555" s="15"/>
      <c r="Z5555" s="15"/>
      <c r="AA5555" s="15"/>
    </row>
    <row r="5556">
      <c r="A5556" s="15" t="s">
        <v>21246</v>
      </c>
      <c r="B5556" s="15" t="s">
        <v>21262</v>
      </c>
      <c r="C5556" s="14" t="s">
        <v>21263</v>
      </c>
      <c r="D5556" s="14"/>
      <c r="E5556" s="14" t="s">
        <v>21264</v>
      </c>
      <c r="F5556" s="433"/>
      <c r="G5556" s="434"/>
      <c r="H5556" s="14" t="s">
        <v>1461</v>
      </c>
      <c r="I5556" s="423"/>
      <c r="J5556" s="14"/>
      <c r="K5556" s="13"/>
      <c r="L5556" s="13"/>
      <c r="M5556" s="14"/>
      <c r="N5556" s="15"/>
      <c r="O5556" s="15"/>
      <c r="P5556" s="15"/>
      <c r="Q5556" s="15"/>
      <c r="R5556" s="422"/>
      <c r="S5556" s="15"/>
      <c r="T5556" s="15"/>
      <c r="U5556" s="15"/>
      <c r="V5556" s="15"/>
      <c r="W5556" s="15"/>
      <c r="X5556" s="15"/>
      <c r="Y5556" s="15"/>
      <c r="Z5556" s="15"/>
      <c r="AA5556" s="15"/>
    </row>
    <row r="5557">
      <c r="A5557" s="15" t="s">
        <v>21246</v>
      </c>
      <c r="B5557" s="15" t="s">
        <v>21265</v>
      </c>
      <c r="C5557" s="14" t="s">
        <v>21266</v>
      </c>
      <c r="D5557" s="14"/>
      <c r="E5557" s="14" t="s">
        <v>21267</v>
      </c>
      <c r="F5557" s="433" t="s">
        <v>21268</v>
      </c>
      <c r="G5557" s="434"/>
      <c r="H5557" s="14"/>
      <c r="I5557" s="423"/>
      <c r="J5557" s="14"/>
      <c r="K5557" s="13"/>
      <c r="L5557" s="13"/>
      <c r="M5557" s="14"/>
      <c r="N5557" s="15"/>
      <c r="O5557" s="15"/>
      <c r="P5557" s="15"/>
      <c r="Q5557" s="15"/>
      <c r="R5557" s="422"/>
      <c r="S5557" s="15"/>
      <c r="T5557" s="15"/>
      <c r="U5557" s="15"/>
      <c r="V5557" s="15"/>
      <c r="W5557" s="15"/>
      <c r="X5557" s="15"/>
      <c r="Y5557" s="15"/>
      <c r="Z5557" s="15"/>
      <c r="AA5557" s="15"/>
    </row>
    <row r="5558">
      <c r="A5558" s="15" t="s">
        <v>21246</v>
      </c>
      <c r="B5558" s="15" t="s">
        <v>21269</v>
      </c>
      <c r="C5558" s="14" t="s">
        <v>21270</v>
      </c>
      <c r="D5558" s="14"/>
      <c r="E5558" s="14" t="s">
        <v>21271</v>
      </c>
      <c r="F5558" s="433"/>
      <c r="G5558" s="434"/>
      <c r="H5558" s="14"/>
      <c r="I5558" s="423"/>
      <c r="J5558" s="14"/>
      <c r="K5558" s="13"/>
      <c r="L5558" s="13"/>
      <c r="M5558" s="14"/>
      <c r="N5558" s="15"/>
      <c r="O5558" s="15"/>
      <c r="P5558" s="15"/>
      <c r="Q5558" s="15"/>
      <c r="R5558" s="422"/>
      <c r="S5558" s="15"/>
      <c r="T5558" s="15"/>
      <c r="U5558" s="15"/>
      <c r="V5558" s="15"/>
      <c r="W5558" s="15"/>
      <c r="X5558" s="15"/>
      <c r="Y5558" s="15"/>
      <c r="Z5558" s="15"/>
      <c r="AA5558" s="15"/>
    </row>
    <row r="5559">
      <c r="A5559" s="15" t="s">
        <v>21246</v>
      </c>
      <c r="B5559" s="15" t="s">
        <v>21272</v>
      </c>
      <c r="C5559" s="14" t="s">
        <v>21273</v>
      </c>
      <c r="D5559" s="14"/>
      <c r="E5559" s="14" t="s">
        <v>18806</v>
      </c>
      <c r="F5559" s="433" t="s">
        <v>20737</v>
      </c>
      <c r="G5559" s="434"/>
      <c r="H5559" s="14" t="s">
        <v>107</v>
      </c>
      <c r="I5559" s="423"/>
      <c r="J5559" s="14" t="s">
        <v>21274</v>
      </c>
      <c r="K5559" s="13"/>
      <c r="L5559" s="13"/>
      <c r="M5559" s="14" t="s">
        <v>9298</v>
      </c>
      <c r="N5559" s="15" t="s">
        <v>21275</v>
      </c>
      <c r="O5559" s="15" t="s">
        <v>13963</v>
      </c>
      <c r="P5559" s="15"/>
      <c r="Q5559" s="15"/>
      <c r="R5559" s="422"/>
      <c r="S5559" s="15"/>
      <c r="T5559" s="15"/>
      <c r="U5559" s="15"/>
      <c r="V5559" s="15"/>
      <c r="W5559" s="15"/>
      <c r="X5559" s="15"/>
      <c r="Y5559" s="15"/>
      <c r="Z5559" s="15"/>
      <c r="AA5559" s="15"/>
    </row>
    <row r="5560">
      <c r="A5560" s="15" t="s">
        <v>21246</v>
      </c>
      <c r="B5560" s="15" t="s">
        <v>21276</v>
      </c>
      <c r="C5560" s="14" t="s">
        <v>21277</v>
      </c>
      <c r="D5560" s="14"/>
      <c r="E5560" s="14" t="s">
        <v>116</v>
      </c>
      <c r="F5560" s="433" t="s">
        <v>21059</v>
      </c>
      <c r="G5560" s="434"/>
      <c r="H5560" s="14" t="s">
        <v>15578</v>
      </c>
      <c r="I5560" s="423"/>
      <c r="J5560" s="14" t="s">
        <v>20776</v>
      </c>
      <c r="K5560" s="13"/>
      <c r="L5560" s="13"/>
      <c r="M5560" s="14"/>
      <c r="N5560" s="15"/>
      <c r="O5560" s="15" t="s">
        <v>10708</v>
      </c>
      <c r="P5560" s="15"/>
      <c r="Q5560" s="15"/>
      <c r="R5560" s="422"/>
      <c r="S5560" s="15"/>
      <c r="T5560" s="15"/>
      <c r="U5560" s="15"/>
      <c r="V5560" s="15"/>
      <c r="W5560" s="15"/>
      <c r="X5560" s="15"/>
      <c r="Y5560" s="15"/>
      <c r="Z5560" s="15"/>
      <c r="AA5560" s="15"/>
    </row>
    <row r="5561">
      <c r="A5561" s="15" t="s">
        <v>21246</v>
      </c>
      <c r="B5561" s="15" t="s">
        <v>21278</v>
      </c>
      <c r="C5561" s="14" t="s">
        <v>21279</v>
      </c>
      <c r="D5561" s="14"/>
      <c r="E5561" s="14" t="s">
        <v>21280</v>
      </c>
      <c r="F5561" s="433" t="s">
        <v>19206</v>
      </c>
      <c r="G5561" s="434"/>
      <c r="H5561" s="14" t="s">
        <v>906</v>
      </c>
      <c r="I5561" s="423"/>
      <c r="J5561" s="14" t="s">
        <v>17976</v>
      </c>
      <c r="K5561" s="13"/>
      <c r="L5561" s="13"/>
      <c r="M5561" s="14" t="s">
        <v>9776</v>
      </c>
      <c r="N5561" s="15" t="s">
        <v>21281</v>
      </c>
      <c r="O5561" s="15" t="s">
        <v>13963</v>
      </c>
      <c r="P5561" s="15"/>
      <c r="Q5561" s="15"/>
      <c r="R5561" s="422"/>
      <c r="S5561" s="15"/>
      <c r="T5561" s="15"/>
      <c r="U5561" s="15"/>
      <c r="V5561" s="15"/>
      <c r="W5561" s="15"/>
      <c r="X5561" s="15"/>
      <c r="Y5561" s="15"/>
      <c r="Z5561" s="15"/>
      <c r="AA5561" s="15"/>
    </row>
    <row r="5562">
      <c r="A5562" s="15" t="s">
        <v>21246</v>
      </c>
      <c r="B5562" s="15" t="s">
        <v>21282</v>
      </c>
      <c r="C5562" s="14" t="s">
        <v>21283</v>
      </c>
      <c r="D5562" s="14"/>
      <c r="E5562" s="14" t="s">
        <v>116</v>
      </c>
      <c r="F5562" s="433"/>
      <c r="G5562" s="434"/>
      <c r="H5562" s="14"/>
      <c r="I5562" s="423"/>
      <c r="J5562" s="14"/>
      <c r="K5562" s="13"/>
      <c r="L5562" s="13"/>
      <c r="M5562" s="14"/>
      <c r="N5562" s="15"/>
      <c r="O5562" s="15" t="s">
        <v>10708</v>
      </c>
      <c r="P5562" s="15"/>
      <c r="Q5562" s="15"/>
      <c r="R5562" s="422"/>
      <c r="S5562" s="15"/>
      <c r="T5562" s="15"/>
      <c r="U5562" s="15"/>
      <c r="V5562" s="15"/>
      <c r="W5562" s="15"/>
      <c r="X5562" s="15"/>
      <c r="Y5562" s="15"/>
      <c r="Z5562" s="15"/>
      <c r="AA5562" s="15"/>
    </row>
    <row r="5563">
      <c r="A5563" s="15" t="s">
        <v>21246</v>
      </c>
      <c r="B5563" s="15" t="s">
        <v>21284</v>
      </c>
      <c r="C5563" s="14" t="s">
        <v>14690</v>
      </c>
      <c r="D5563" s="14"/>
      <c r="E5563" s="14" t="s">
        <v>20230</v>
      </c>
      <c r="F5563" s="433" t="s">
        <v>18673</v>
      </c>
      <c r="G5563" s="434"/>
      <c r="H5563" s="14" t="s">
        <v>906</v>
      </c>
      <c r="I5563" s="423"/>
      <c r="J5563" s="14" t="s">
        <v>21178</v>
      </c>
      <c r="K5563" s="13"/>
      <c r="L5563" s="13"/>
      <c r="M5563" s="14"/>
      <c r="N5563" s="15"/>
      <c r="O5563" s="15" t="s">
        <v>564</v>
      </c>
      <c r="P5563" s="15"/>
      <c r="Q5563" s="15"/>
      <c r="R5563" s="422"/>
      <c r="S5563" s="15"/>
      <c r="T5563" s="15"/>
      <c r="U5563" s="15"/>
      <c r="V5563" s="15"/>
      <c r="W5563" s="15"/>
      <c r="X5563" s="15"/>
      <c r="Y5563" s="15"/>
      <c r="Z5563" s="15"/>
      <c r="AA5563" s="15"/>
    </row>
    <row r="5564">
      <c r="A5564" s="15" t="s">
        <v>21246</v>
      </c>
      <c r="B5564" s="15" t="s">
        <v>21285</v>
      </c>
      <c r="C5564" s="14" t="s">
        <v>21286</v>
      </c>
      <c r="D5564" s="14"/>
      <c r="E5564" s="14" t="s">
        <v>21287</v>
      </c>
      <c r="F5564" s="433" t="s">
        <v>20436</v>
      </c>
      <c r="G5564" s="434"/>
      <c r="H5564" s="14" t="s">
        <v>1053</v>
      </c>
      <c r="I5564" s="423"/>
      <c r="J5564" s="14" t="s">
        <v>17976</v>
      </c>
      <c r="K5564" s="13"/>
      <c r="L5564" s="13"/>
      <c r="M5564" s="14" t="s">
        <v>16649</v>
      </c>
      <c r="N5564" s="15" t="s">
        <v>21288</v>
      </c>
      <c r="O5564" s="15" t="s">
        <v>10708</v>
      </c>
      <c r="P5564" s="15"/>
      <c r="Q5564" s="15"/>
      <c r="R5564" s="422"/>
      <c r="S5564" s="15"/>
      <c r="T5564" s="15"/>
      <c r="U5564" s="15"/>
      <c r="V5564" s="15"/>
      <c r="W5564" s="15"/>
      <c r="X5564" s="15"/>
      <c r="Y5564" s="15"/>
      <c r="Z5564" s="15"/>
      <c r="AA5564" s="15"/>
    </row>
    <row r="5565">
      <c r="A5565" s="15" t="s">
        <v>21246</v>
      </c>
      <c r="B5565" s="15" t="s">
        <v>21289</v>
      </c>
      <c r="C5565" s="14" t="s">
        <v>21290</v>
      </c>
      <c r="D5565" s="14"/>
      <c r="E5565" s="14" t="s">
        <v>21291</v>
      </c>
      <c r="F5565" s="433" t="s">
        <v>20392</v>
      </c>
      <c r="G5565" s="434"/>
      <c r="H5565" s="14" t="s">
        <v>21292</v>
      </c>
      <c r="I5565" s="423"/>
      <c r="J5565" s="14" t="s">
        <v>21293</v>
      </c>
      <c r="K5565" s="13"/>
      <c r="L5565" s="13"/>
      <c r="M5565" s="14" t="s">
        <v>14641</v>
      </c>
      <c r="N5565" s="15" t="s">
        <v>21294</v>
      </c>
      <c r="O5565" s="15" t="s">
        <v>13963</v>
      </c>
      <c r="P5565" s="15"/>
      <c r="Q5565" s="15"/>
      <c r="R5565" s="422"/>
      <c r="S5565" s="15"/>
      <c r="T5565" s="15"/>
      <c r="U5565" s="15"/>
      <c r="V5565" s="15"/>
      <c r="W5565" s="15"/>
      <c r="X5565" s="15"/>
      <c r="Y5565" s="15"/>
      <c r="Z5565" s="15"/>
      <c r="AA5565" s="15"/>
    </row>
    <row r="5566">
      <c r="A5566" s="15" t="s">
        <v>21246</v>
      </c>
      <c r="B5566" s="15" t="s">
        <v>21295</v>
      </c>
      <c r="C5566" s="14" t="s">
        <v>21296</v>
      </c>
      <c r="D5566" s="14"/>
      <c r="E5566" s="14" t="s">
        <v>152</v>
      </c>
      <c r="F5566" s="433"/>
      <c r="G5566" s="434"/>
      <c r="H5566" s="14"/>
      <c r="I5566" s="423"/>
      <c r="J5566" s="14"/>
      <c r="K5566" s="13"/>
      <c r="L5566" s="13"/>
      <c r="M5566" s="14"/>
      <c r="N5566" s="15"/>
      <c r="O5566" s="15" t="s">
        <v>564</v>
      </c>
      <c r="P5566" s="15"/>
      <c r="Q5566" s="15"/>
      <c r="R5566" s="422"/>
      <c r="S5566" s="15"/>
      <c r="T5566" s="15"/>
      <c r="U5566" s="15"/>
      <c r="V5566" s="15"/>
      <c r="W5566" s="15"/>
      <c r="X5566" s="15"/>
      <c r="Y5566" s="15"/>
      <c r="Z5566" s="15"/>
      <c r="AA5566" s="15"/>
    </row>
    <row r="5567">
      <c r="A5567" s="15" t="s">
        <v>21297</v>
      </c>
      <c r="B5567" s="15" t="s">
        <v>21298</v>
      </c>
      <c r="C5567" s="14" t="s">
        <v>21299</v>
      </c>
      <c r="D5567" s="14"/>
      <c r="E5567" s="14" t="s">
        <v>21300</v>
      </c>
      <c r="F5567" s="433" t="s">
        <v>19676</v>
      </c>
      <c r="G5567" s="434"/>
      <c r="H5567" s="14" t="s">
        <v>21301</v>
      </c>
      <c r="I5567" s="423"/>
      <c r="J5567" s="14" t="s">
        <v>19628</v>
      </c>
      <c r="K5567" s="13"/>
      <c r="L5567" s="13"/>
      <c r="M5567" s="14" t="s">
        <v>21302</v>
      </c>
      <c r="N5567" s="15" t="s">
        <v>21303</v>
      </c>
      <c r="O5567" s="15" t="s">
        <v>10708</v>
      </c>
      <c r="P5567" s="15"/>
      <c r="Q5567" s="15"/>
      <c r="R5567" s="422"/>
      <c r="S5567" s="15"/>
      <c r="T5567" s="15"/>
      <c r="U5567" s="15"/>
      <c r="V5567" s="15"/>
      <c r="W5567" s="15"/>
      <c r="X5567" s="15"/>
      <c r="Y5567" s="15"/>
      <c r="Z5567" s="15"/>
      <c r="AA5567" s="15"/>
    </row>
    <row r="5568">
      <c r="A5568" s="15" t="s">
        <v>21246</v>
      </c>
      <c r="B5568" s="15" t="s">
        <v>21304</v>
      </c>
      <c r="C5568" s="14" t="s">
        <v>21305</v>
      </c>
      <c r="D5568" s="14"/>
      <c r="E5568" s="14" t="s">
        <v>141</v>
      </c>
      <c r="F5568" s="433" t="s">
        <v>20416</v>
      </c>
      <c r="G5568" s="434"/>
      <c r="H5568" s="14" t="s">
        <v>985</v>
      </c>
      <c r="I5568" s="423"/>
      <c r="J5568" s="14" t="s">
        <v>21306</v>
      </c>
      <c r="K5568" s="13"/>
      <c r="L5568" s="13"/>
      <c r="M5568" s="14"/>
      <c r="N5568" s="15"/>
      <c r="O5568" s="15" t="s">
        <v>564</v>
      </c>
      <c r="P5568" s="15"/>
      <c r="Q5568" s="15"/>
      <c r="R5568" s="422"/>
      <c r="S5568" s="15"/>
      <c r="T5568" s="15"/>
      <c r="U5568" s="15"/>
      <c r="V5568" s="15"/>
      <c r="W5568" s="15"/>
      <c r="X5568" s="15"/>
      <c r="Y5568" s="15"/>
      <c r="Z5568" s="15"/>
      <c r="AA5568" s="15"/>
    </row>
    <row r="5569">
      <c r="A5569" s="15" t="s">
        <v>21246</v>
      </c>
      <c r="B5569" s="15" t="s">
        <v>21307</v>
      </c>
      <c r="C5569" s="14" t="s">
        <v>18794</v>
      </c>
      <c r="D5569" s="14"/>
      <c r="E5569" s="14" t="s">
        <v>152</v>
      </c>
      <c r="F5569" s="433" t="s">
        <v>20392</v>
      </c>
      <c r="G5569" s="434"/>
      <c r="H5569" s="14" t="s">
        <v>2612</v>
      </c>
      <c r="I5569" s="423"/>
      <c r="J5569" s="14" t="s">
        <v>21199</v>
      </c>
      <c r="K5569" s="13"/>
      <c r="L5569" s="13"/>
      <c r="M5569" s="14"/>
      <c r="N5569" s="15"/>
      <c r="O5569" s="15" t="s">
        <v>564</v>
      </c>
      <c r="P5569" s="15"/>
      <c r="Q5569" s="15"/>
      <c r="R5569" s="422"/>
      <c r="S5569" s="15"/>
      <c r="T5569" s="15"/>
      <c r="U5569" s="15"/>
      <c r="V5569" s="15"/>
      <c r="W5569" s="15"/>
      <c r="X5569" s="15"/>
      <c r="Y5569" s="15"/>
      <c r="Z5569" s="15"/>
      <c r="AA5569" s="15"/>
    </row>
    <row r="5570">
      <c r="A5570" s="15" t="s">
        <v>21246</v>
      </c>
      <c r="B5570" s="15" t="s">
        <v>21308</v>
      </c>
      <c r="C5570" s="14" t="s">
        <v>21309</v>
      </c>
      <c r="D5570" s="14"/>
      <c r="E5570" s="14" t="s">
        <v>21310</v>
      </c>
      <c r="F5570" s="433" t="s">
        <v>20284</v>
      </c>
      <c r="G5570" s="434"/>
      <c r="H5570" s="14" t="s">
        <v>507</v>
      </c>
      <c r="I5570" s="423"/>
      <c r="J5570" s="14" t="s">
        <v>21311</v>
      </c>
      <c r="K5570" s="13"/>
      <c r="L5570" s="13"/>
      <c r="M5570" s="14" t="s">
        <v>9776</v>
      </c>
      <c r="N5570" s="15" t="s">
        <v>21312</v>
      </c>
      <c r="O5570" s="15" t="s">
        <v>564</v>
      </c>
      <c r="P5570" s="15"/>
      <c r="Q5570" s="15"/>
      <c r="R5570" s="422"/>
      <c r="S5570" s="15"/>
      <c r="T5570" s="15"/>
      <c r="U5570" s="15"/>
      <c r="V5570" s="15"/>
      <c r="W5570" s="15"/>
      <c r="X5570" s="15"/>
      <c r="Y5570" s="15"/>
      <c r="Z5570" s="15"/>
      <c r="AA5570" s="15"/>
    </row>
    <row r="5571">
      <c r="A5571" s="15" t="s">
        <v>21313</v>
      </c>
      <c r="B5571" s="15" t="s">
        <v>21314</v>
      </c>
      <c r="C5571" s="14" t="s">
        <v>21315</v>
      </c>
      <c r="D5571" s="14"/>
      <c r="E5571" s="14" t="s">
        <v>8247</v>
      </c>
      <c r="F5571" s="433" t="s">
        <v>21316</v>
      </c>
      <c r="G5571" s="434"/>
      <c r="H5571" s="14" t="s">
        <v>196</v>
      </c>
      <c r="I5571" s="423"/>
      <c r="J5571" s="14" t="s">
        <v>21317</v>
      </c>
      <c r="K5571" s="13"/>
      <c r="L5571" s="13"/>
      <c r="M5571" s="14"/>
      <c r="N5571" s="15"/>
      <c r="O5571" s="15"/>
      <c r="P5571" s="15"/>
      <c r="Q5571" s="15"/>
      <c r="R5571" s="422"/>
      <c r="S5571" s="15"/>
      <c r="T5571" s="15"/>
      <c r="U5571" s="15"/>
      <c r="V5571" s="15"/>
      <c r="W5571" s="15"/>
      <c r="X5571" s="15"/>
      <c r="Y5571" s="15"/>
      <c r="Z5571" s="15"/>
      <c r="AA5571" s="15"/>
    </row>
    <row r="5572">
      <c r="A5572" s="15" t="s">
        <v>21313</v>
      </c>
      <c r="B5572" s="15" t="s">
        <v>21318</v>
      </c>
      <c r="C5572" s="14" t="s">
        <v>21319</v>
      </c>
      <c r="D5572" s="14"/>
      <c r="E5572" s="14" t="s">
        <v>794</v>
      </c>
      <c r="F5572" s="433" t="s">
        <v>20340</v>
      </c>
      <c r="G5572" s="434"/>
      <c r="H5572" s="14" t="s">
        <v>184</v>
      </c>
      <c r="I5572" s="423"/>
      <c r="J5572" s="14" t="s">
        <v>21320</v>
      </c>
      <c r="K5572" s="13"/>
      <c r="L5572" s="13"/>
      <c r="M5572" s="14" t="s">
        <v>9901</v>
      </c>
      <c r="N5572" s="15" t="s">
        <v>21321</v>
      </c>
      <c r="O5572" s="15"/>
      <c r="P5572" s="15"/>
      <c r="Q5572" s="15"/>
      <c r="R5572" s="422"/>
      <c r="S5572" s="15"/>
      <c r="T5572" s="15"/>
      <c r="U5572" s="15"/>
      <c r="V5572" s="15"/>
      <c r="W5572" s="15"/>
      <c r="X5572" s="15"/>
      <c r="Y5572" s="15"/>
      <c r="Z5572" s="15"/>
      <c r="AA5572" s="15"/>
    </row>
    <row r="5573">
      <c r="A5573" s="15" t="s">
        <v>21313</v>
      </c>
      <c r="B5573" s="15" t="s">
        <v>21322</v>
      </c>
      <c r="C5573" s="14" t="s">
        <v>21323</v>
      </c>
      <c r="D5573" s="14"/>
      <c r="E5573" s="14" t="s">
        <v>21267</v>
      </c>
      <c r="F5573" s="433"/>
      <c r="G5573" s="434"/>
      <c r="H5573" s="14"/>
      <c r="I5573" s="423"/>
      <c r="J5573" s="14"/>
      <c r="K5573" s="13"/>
      <c r="L5573" s="13"/>
      <c r="M5573" s="14"/>
      <c r="N5573" s="15"/>
      <c r="O5573" s="15"/>
      <c r="P5573" s="15"/>
      <c r="Q5573" s="15"/>
      <c r="R5573" s="422"/>
      <c r="S5573" s="15"/>
      <c r="T5573" s="15"/>
      <c r="U5573" s="15"/>
      <c r="V5573" s="15"/>
      <c r="W5573" s="15"/>
      <c r="X5573" s="15"/>
      <c r="Y5573" s="15"/>
      <c r="Z5573" s="15"/>
      <c r="AA5573" s="15"/>
    </row>
    <row r="5574">
      <c r="A5574" s="15" t="s">
        <v>21313</v>
      </c>
      <c r="B5574" s="15" t="s">
        <v>21324</v>
      </c>
      <c r="C5574" s="14" t="s">
        <v>21325</v>
      </c>
      <c r="D5574" s="14"/>
      <c r="E5574" s="14" t="s">
        <v>5293</v>
      </c>
      <c r="F5574" s="433" t="s">
        <v>20284</v>
      </c>
      <c r="G5574" s="434"/>
      <c r="H5574" s="14" t="s">
        <v>49</v>
      </c>
      <c r="I5574" s="423"/>
      <c r="J5574" s="14" t="s">
        <v>21326</v>
      </c>
      <c r="K5574" s="13"/>
      <c r="L5574" s="13"/>
      <c r="M5574" s="14" t="s">
        <v>13381</v>
      </c>
      <c r="N5574" s="15" t="s">
        <v>21327</v>
      </c>
      <c r="O5574" s="15" t="s">
        <v>20743</v>
      </c>
      <c r="P5574" s="15"/>
      <c r="Q5574" s="15"/>
      <c r="R5574" s="422"/>
      <c r="S5574" s="15"/>
      <c r="T5574" s="15"/>
      <c r="U5574" s="15"/>
      <c r="V5574" s="15"/>
      <c r="W5574" s="15"/>
      <c r="X5574" s="15"/>
      <c r="Y5574" s="15"/>
      <c r="Z5574" s="15"/>
      <c r="AA5574" s="15"/>
    </row>
    <row r="5575">
      <c r="A5575" s="15" t="s">
        <v>21313</v>
      </c>
      <c r="B5575" s="15" t="s">
        <v>21328</v>
      </c>
      <c r="C5575" s="14" t="s">
        <v>15274</v>
      </c>
      <c r="D5575" s="14"/>
      <c r="E5575" s="14" t="s">
        <v>116</v>
      </c>
      <c r="F5575" s="433" t="s">
        <v>20284</v>
      </c>
      <c r="G5575" s="434"/>
      <c r="H5575" s="14" t="s">
        <v>507</v>
      </c>
      <c r="I5575" s="423"/>
      <c r="J5575" s="14" t="s">
        <v>17976</v>
      </c>
      <c r="K5575" s="13"/>
      <c r="L5575" s="13"/>
      <c r="M5575" s="14" t="s">
        <v>12184</v>
      </c>
      <c r="N5575" s="15" t="s">
        <v>21329</v>
      </c>
      <c r="O5575" s="15" t="s">
        <v>17993</v>
      </c>
      <c r="P5575" s="15"/>
      <c r="Q5575" s="15"/>
      <c r="R5575" s="422"/>
      <c r="S5575" s="15"/>
      <c r="T5575" s="15"/>
      <c r="U5575" s="15"/>
      <c r="V5575" s="15"/>
      <c r="W5575" s="15"/>
      <c r="X5575" s="15"/>
      <c r="Y5575" s="15"/>
      <c r="Z5575" s="15"/>
      <c r="AA5575" s="15"/>
    </row>
    <row r="5576">
      <c r="A5576" s="15" t="s">
        <v>21313</v>
      </c>
      <c r="B5576" s="15" t="s">
        <v>21330</v>
      </c>
      <c r="C5576" s="14" t="s">
        <v>21331</v>
      </c>
      <c r="D5576" s="14"/>
      <c r="E5576" s="14" t="s">
        <v>21332</v>
      </c>
      <c r="F5576" s="433" t="s">
        <v>21333</v>
      </c>
      <c r="G5576" s="434"/>
      <c r="H5576" s="14" t="s">
        <v>742</v>
      </c>
      <c r="I5576" s="423"/>
      <c r="J5576" s="14" t="s">
        <v>20151</v>
      </c>
      <c r="K5576" s="13"/>
      <c r="L5576" s="13"/>
      <c r="M5576" s="14"/>
      <c r="N5576" s="15"/>
      <c r="O5576" s="15"/>
      <c r="P5576" s="15"/>
      <c r="Q5576" s="15"/>
      <c r="R5576" s="422"/>
      <c r="S5576" s="15"/>
      <c r="T5576" s="15"/>
      <c r="U5576" s="15"/>
      <c r="V5576" s="15"/>
      <c r="W5576" s="15"/>
      <c r="X5576" s="15"/>
      <c r="Y5576" s="15"/>
      <c r="Z5576" s="15"/>
      <c r="AA5576" s="15"/>
    </row>
    <row r="5577">
      <c r="A5577" s="15" t="s">
        <v>21313</v>
      </c>
      <c r="B5577" s="15" t="s">
        <v>21334</v>
      </c>
      <c r="C5577" s="14" t="s">
        <v>21335</v>
      </c>
      <c r="D5577" s="14"/>
      <c r="E5577" s="14" t="s">
        <v>21336</v>
      </c>
      <c r="F5577" s="433" t="s">
        <v>19509</v>
      </c>
      <c r="G5577" s="434"/>
      <c r="H5577" s="14"/>
      <c r="I5577" s="423"/>
      <c r="J5577" s="14" t="s">
        <v>12745</v>
      </c>
      <c r="K5577" s="13"/>
      <c r="L5577" s="13"/>
      <c r="M5577" s="14"/>
      <c r="N5577" s="15"/>
      <c r="O5577" s="15"/>
      <c r="P5577" s="15"/>
      <c r="Q5577" s="15"/>
      <c r="R5577" s="422"/>
      <c r="S5577" s="15"/>
      <c r="T5577" s="15"/>
      <c r="U5577" s="15"/>
      <c r="V5577" s="15"/>
      <c r="W5577" s="15"/>
      <c r="X5577" s="15"/>
      <c r="Y5577" s="15"/>
      <c r="Z5577" s="15"/>
      <c r="AA5577" s="15"/>
    </row>
    <row r="5578">
      <c r="A5578" s="15" t="s">
        <v>21313</v>
      </c>
      <c r="B5578" s="15" t="s">
        <v>21337</v>
      </c>
      <c r="C5578" s="14" t="s">
        <v>21338</v>
      </c>
      <c r="D5578" s="14"/>
      <c r="E5578" s="14" t="s">
        <v>21339</v>
      </c>
      <c r="F5578" s="433"/>
      <c r="G5578" s="434"/>
      <c r="H5578" s="14" t="s">
        <v>507</v>
      </c>
      <c r="I5578" s="423"/>
      <c r="J5578" s="14"/>
      <c r="K5578" s="13"/>
      <c r="L5578" s="13"/>
      <c r="M5578" s="14"/>
      <c r="N5578" s="15"/>
      <c r="O5578" s="15"/>
      <c r="P5578" s="15"/>
      <c r="Q5578" s="15"/>
      <c r="R5578" s="422"/>
      <c r="S5578" s="15"/>
      <c r="T5578" s="15"/>
      <c r="U5578" s="15"/>
      <c r="V5578" s="15"/>
      <c r="W5578" s="15"/>
      <c r="X5578" s="15"/>
      <c r="Y5578" s="15"/>
      <c r="Z5578" s="15"/>
      <c r="AA5578" s="15"/>
    </row>
    <row r="5579">
      <c r="A5579" s="15" t="s">
        <v>21340</v>
      </c>
      <c r="B5579" s="15" t="s">
        <v>21341</v>
      </c>
      <c r="C5579" s="14" t="s">
        <v>21342</v>
      </c>
      <c r="D5579" s="14"/>
      <c r="E5579" s="14" t="s">
        <v>21343</v>
      </c>
      <c r="F5579" s="433" t="s">
        <v>20284</v>
      </c>
      <c r="G5579" s="434"/>
      <c r="H5579" s="14" t="s">
        <v>507</v>
      </c>
      <c r="I5579" s="423"/>
      <c r="J5579" s="14" t="s">
        <v>9814</v>
      </c>
      <c r="K5579" s="13"/>
      <c r="L5579" s="13"/>
      <c r="M5579" s="14"/>
      <c r="N5579" s="15"/>
      <c r="O5579" s="15"/>
      <c r="P5579" s="15"/>
      <c r="Q5579" s="15"/>
      <c r="R5579" s="422"/>
      <c r="S5579" s="15"/>
      <c r="T5579" s="15"/>
      <c r="U5579" s="15"/>
      <c r="V5579" s="15"/>
      <c r="W5579" s="15"/>
      <c r="X5579" s="15"/>
      <c r="Y5579" s="15"/>
      <c r="Z5579" s="15"/>
      <c r="AA5579" s="15"/>
    </row>
    <row r="5580">
      <c r="A5580" s="15" t="s">
        <v>21313</v>
      </c>
      <c r="B5580" s="15" t="s">
        <v>21344</v>
      </c>
      <c r="C5580" s="14" t="s">
        <v>21345</v>
      </c>
      <c r="D5580" s="14"/>
      <c r="E5580" s="14" t="s">
        <v>116</v>
      </c>
      <c r="F5580" s="433" t="s">
        <v>20398</v>
      </c>
      <c r="G5580" s="434"/>
      <c r="H5580" s="14" t="s">
        <v>9359</v>
      </c>
      <c r="I5580" s="423"/>
      <c r="J5580" s="14" t="s">
        <v>9814</v>
      </c>
      <c r="K5580" s="13"/>
      <c r="L5580" s="13"/>
      <c r="M5580" s="14"/>
      <c r="N5580" s="15"/>
      <c r="O5580" s="15"/>
      <c r="P5580" s="15"/>
      <c r="Q5580" s="15"/>
      <c r="R5580" s="422"/>
      <c r="S5580" s="15"/>
      <c r="T5580" s="15"/>
      <c r="U5580" s="15"/>
      <c r="V5580" s="15"/>
      <c r="W5580" s="15"/>
      <c r="X5580" s="15"/>
      <c r="Y5580" s="15"/>
      <c r="Z5580" s="15"/>
      <c r="AA5580" s="15"/>
    </row>
    <row r="5581">
      <c r="A5581" s="15" t="s">
        <v>21313</v>
      </c>
      <c r="B5581" s="15" t="s">
        <v>21346</v>
      </c>
      <c r="C5581" s="14" t="s">
        <v>21347</v>
      </c>
      <c r="D5581" s="14"/>
      <c r="E5581" s="14" t="s">
        <v>116</v>
      </c>
      <c r="F5581" s="433" t="s">
        <v>20398</v>
      </c>
      <c r="G5581" s="434"/>
      <c r="H5581" s="14" t="s">
        <v>467</v>
      </c>
      <c r="I5581" s="423"/>
      <c r="J5581" s="14" t="s">
        <v>21348</v>
      </c>
      <c r="K5581" s="13"/>
      <c r="L5581" s="13"/>
      <c r="M5581" s="14"/>
      <c r="N5581" s="15"/>
      <c r="O5581" s="15"/>
      <c r="P5581" s="15"/>
      <c r="Q5581" s="15"/>
      <c r="R5581" s="422"/>
      <c r="S5581" s="15"/>
      <c r="T5581" s="15"/>
      <c r="U5581" s="15"/>
      <c r="V5581" s="15"/>
      <c r="W5581" s="15"/>
      <c r="X5581" s="15"/>
      <c r="Y5581" s="15"/>
      <c r="Z5581" s="15"/>
      <c r="AA5581" s="15"/>
    </row>
    <row r="5582">
      <c r="A5582" s="15" t="s">
        <v>21313</v>
      </c>
      <c r="B5582" s="15" t="s">
        <v>21349</v>
      </c>
      <c r="C5582" s="14" t="s">
        <v>21350</v>
      </c>
      <c r="D5582" s="14"/>
      <c r="E5582" s="14" t="s">
        <v>21351</v>
      </c>
      <c r="F5582" s="433" t="s">
        <v>21352</v>
      </c>
      <c r="G5582" s="434"/>
      <c r="H5582" s="14" t="s">
        <v>9266</v>
      </c>
      <c r="I5582" s="423"/>
      <c r="J5582" s="14" t="s">
        <v>20151</v>
      </c>
      <c r="K5582" s="13"/>
      <c r="L5582" s="13"/>
      <c r="M5582" s="14"/>
      <c r="N5582" s="15"/>
      <c r="O5582" s="15"/>
      <c r="P5582" s="15"/>
      <c r="Q5582" s="15"/>
      <c r="R5582" s="422"/>
      <c r="S5582" s="15"/>
      <c r="T5582" s="15"/>
      <c r="U5582" s="15"/>
      <c r="V5582" s="15"/>
      <c r="W5582" s="15"/>
      <c r="X5582" s="15"/>
      <c r="Y5582" s="15"/>
      <c r="Z5582" s="15"/>
      <c r="AA5582" s="15"/>
    </row>
    <row r="5583">
      <c r="A5583" s="15" t="s">
        <v>21353</v>
      </c>
      <c r="B5583" s="15" t="s">
        <v>21354</v>
      </c>
      <c r="C5583" s="14" t="s">
        <v>17687</v>
      </c>
      <c r="D5583" s="14"/>
      <c r="E5583" s="14" t="s">
        <v>9283</v>
      </c>
      <c r="F5583" s="433" t="s">
        <v>21007</v>
      </c>
      <c r="G5583" s="434"/>
      <c r="H5583" s="14" t="s">
        <v>507</v>
      </c>
      <c r="I5583" s="423"/>
      <c r="J5583" s="14" t="s">
        <v>21355</v>
      </c>
      <c r="K5583" s="13"/>
      <c r="L5583" s="13"/>
      <c r="M5583" s="14"/>
      <c r="N5583" s="15"/>
      <c r="O5583" s="15"/>
      <c r="P5583" s="15"/>
      <c r="Q5583" s="15"/>
      <c r="R5583" s="422"/>
      <c r="S5583" s="15"/>
      <c r="T5583" s="15"/>
      <c r="U5583" s="15"/>
      <c r="V5583" s="15"/>
      <c r="W5583" s="15"/>
      <c r="X5583" s="15"/>
      <c r="Y5583" s="15"/>
      <c r="Z5583" s="15"/>
      <c r="AA5583" s="15"/>
    </row>
    <row r="5584">
      <c r="A5584" s="15" t="s">
        <v>21353</v>
      </c>
      <c r="B5584" s="15" t="s">
        <v>21356</v>
      </c>
      <c r="C5584" s="14" t="s">
        <v>6560</v>
      </c>
      <c r="D5584" s="14"/>
      <c r="E5584" s="14" t="s">
        <v>576</v>
      </c>
      <c r="F5584" s="433" t="s">
        <v>20284</v>
      </c>
      <c r="G5584" s="434"/>
      <c r="H5584" s="14" t="s">
        <v>283</v>
      </c>
      <c r="I5584" s="423"/>
      <c r="J5584" s="14" t="s">
        <v>17976</v>
      </c>
      <c r="K5584" s="13"/>
      <c r="L5584" s="13"/>
      <c r="M5584" s="14"/>
      <c r="N5584" s="15"/>
      <c r="O5584" s="15"/>
      <c r="P5584" s="15"/>
      <c r="Q5584" s="15"/>
      <c r="R5584" s="422"/>
      <c r="S5584" s="15"/>
      <c r="T5584" s="15"/>
      <c r="U5584" s="15"/>
      <c r="V5584" s="15"/>
      <c r="W5584" s="15"/>
      <c r="X5584" s="15"/>
      <c r="Y5584" s="15"/>
      <c r="Z5584" s="15"/>
      <c r="AA5584" s="15"/>
    </row>
    <row r="5585">
      <c r="A5585" s="15" t="s">
        <v>21353</v>
      </c>
      <c r="B5585" s="15" t="s">
        <v>21357</v>
      </c>
      <c r="C5585" s="14" t="s">
        <v>21358</v>
      </c>
      <c r="D5585" s="14"/>
      <c r="E5585" s="14" t="s">
        <v>21359</v>
      </c>
      <c r="F5585" s="433"/>
      <c r="G5585" s="434"/>
      <c r="H5585" s="14"/>
      <c r="I5585" s="423"/>
      <c r="J5585" s="14"/>
      <c r="K5585" s="13"/>
      <c r="L5585" s="13"/>
      <c r="M5585" s="14"/>
      <c r="N5585" s="15"/>
      <c r="O5585" s="15"/>
      <c r="P5585" s="15"/>
      <c r="Q5585" s="15"/>
      <c r="R5585" s="422"/>
      <c r="S5585" s="15"/>
      <c r="T5585" s="15"/>
      <c r="U5585" s="15"/>
      <c r="V5585" s="15"/>
      <c r="W5585" s="15"/>
      <c r="X5585" s="15"/>
      <c r="Y5585" s="15"/>
      <c r="Z5585" s="15"/>
      <c r="AA5585" s="15"/>
    </row>
    <row r="5586">
      <c r="A5586" s="15" t="s">
        <v>21353</v>
      </c>
      <c r="B5586" s="15" t="s">
        <v>21360</v>
      </c>
      <c r="C5586" s="14" t="s">
        <v>4438</v>
      </c>
      <c r="D5586" s="14"/>
      <c r="E5586" s="14" t="s">
        <v>1749</v>
      </c>
      <c r="F5586" s="433" t="s">
        <v>18673</v>
      </c>
      <c r="G5586" s="434"/>
      <c r="H5586" s="14" t="s">
        <v>44</v>
      </c>
      <c r="I5586" s="423"/>
      <c r="J5586" s="14" t="s">
        <v>19628</v>
      </c>
      <c r="K5586" s="13"/>
      <c r="L5586" s="13"/>
      <c r="M5586" s="14" t="s">
        <v>10609</v>
      </c>
      <c r="N5586" s="15" t="s">
        <v>21361</v>
      </c>
      <c r="O5586" s="15" t="s">
        <v>13963</v>
      </c>
      <c r="P5586" s="15"/>
      <c r="Q5586" s="15"/>
      <c r="R5586" s="422"/>
      <c r="S5586" s="15"/>
      <c r="T5586" s="15"/>
      <c r="U5586" s="15"/>
      <c r="V5586" s="15"/>
      <c r="W5586" s="15"/>
      <c r="X5586" s="15"/>
      <c r="Y5586" s="15"/>
      <c r="Z5586" s="15"/>
      <c r="AA5586" s="15"/>
    </row>
    <row r="5587">
      <c r="A5587" s="15" t="s">
        <v>21353</v>
      </c>
      <c r="B5587" s="15" t="s">
        <v>21362</v>
      </c>
      <c r="C5587" s="14" t="s">
        <v>21363</v>
      </c>
      <c r="D5587" s="14"/>
      <c r="E5587" s="14" t="s">
        <v>116</v>
      </c>
      <c r="F5587" s="433" t="s">
        <v>20436</v>
      </c>
      <c r="G5587" s="434"/>
      <c r="H5587" s="14" t="s">
        <v>965</v>
      </c>
      <c r="I5587" s="423"/>
      <c r="J5587" s="14" t="s">
        <v>17976</v>
      </c>
      <c r="K5587" s="13"/>
      <c r="L5587" s="13"/>
      <c r="M5587" s="14" t="s">
        <v>16649</v>
      </c>
      <c r="N5587" s="15" t="s">
        <v>21364</v>
      </c>
      <c r="O5587" s="15" t="s">
        <v>10708</v>
      </c>
      <c r="P5587" s="15"/>
      <c r="Q5587" s="15"/>
      <c r="R5587" s="422"/>
      <c r="S5587" s="15"/>
      <c r="T5587" s="15"/>
      <c r="U5587" s="15"/>
      <c r="V5587" s="15"/>
      <c r="W5587" s="15"/>
      <c r="X5587" s="15"/>
      <c r="Y5587" s="15"/>
      <c r="Z5587" s="15"/>
      <c r="AA5587" s="15"/>
    </row>
    <row r="5588">
      <c r="A5588" s="15" t="s">
        <v>21353</v>
      </c>
      <c r="B5588" s="15" t="s">
        <v>21365</v>
      </c>
      <c r="C5588" s="14" t="s">
        <v>21366</v>
      </c>
      <c r="D5588" s="14"/>
      <c r="E5588" s="14" t="s">
        <v>21367</v>
      </c>
      <c r="F5588" s="433" t="s">
        <v>18673</v>
      </c>
      <c r="G5588" s="434"/>
      <c r="H5588" s="14" t="s">
        <v>472</v>
      </c>
      <c r="I5588" s="423"/>
      <c r="J5588" s="14" t="s">
        <v>21368</v>
      </c>
      <c r="K5588" s="13"/>
      <c r="L5588" s="13"/>
      <c r="M5588" s="14" t="s">
        <v>9983</v>
      </c>
      <c r="N5588" s="15" t="s">
        <v>21369</v>
      </c>
      <c r="O5588" s="15" t="s">
        <v>564</v>
      </c>
      <c r="P5588" s="15"/>
      <c r="Q5588" s="15"/>
      <c r="R5588" s="422"/>
      <c r="S5588" s="15"/>
      <c r="T5588" s="15"/>
      <c r="U5588" s="15"/>
      <c r="V5588" s="15"/>
      <c r="W5588" s="15"/>
      <c r="X5588" s="15"/>
      <c r="Y5588" s="15"/>
      <c r="Z5588" s="15"/>
      <c r="AA5588" s="15"/>
    </row>
    <row r="5589">
      <c r="A5589" s="15" t="s">
        <v>21353</v>
      </c>
      <c r="B5589" s="15" t="s">
        <v>21370</v>
      </c>
      <c r="C5589" s="14" t="s">
        <v>21371</v>
      </c>
      <c r="D5589" s="14"/>
      <c r="E5589" s="14" t="s">
        <v>167</v>
      </c>
      <c r="F5589" s="433" t="s">
        <v>21372</v>
      </c>
      <c r="G5589" s="434"/>
      <c r="H5589" s="14" t="s">
        <v>742</v>
      </c>
      <c r="I5589" s="423"/>
      <c r="J5589" s="14" t="s">
        <v>25</v>
      </c>
      <c r="K5589" s="13"/>
      <c r="L5589" s="13"/>
      <c r="M5589" s="14"/>
      <c r="N5589" s="15"/>
      <c r="O5589" s="15"/>
      <c r="P5589" s="15"/>
      <c r="Q5589" s="15"/>
      <c r="R5589" s="422"/>
      <c r="S5589" s="15"/>
      <c r="T5589" s="15"/>
      <c r="U5589" s="15"/>
      <c r="V5589" s="15"/>
      <c r="W5589" s="15"/>
      <c r="X5589" s="15"/>
      <c r="Y5589" s="15"/>
      <c r="Z5589" s="15"/>
      <c r="AA5589" s="15"/>
    </row>
    <row r="5590">
      <c r="A5590" s="15" t="s">
        <v>21353</v>
      </c>
      <c r="B5590" s="15" t="s">
        <v>21373</v>
      </c>
      <c r="C5590" s="14" t="s">
        <v>21374</v>
      </c>
      <c r="D5590" s="14"/>
      <c r="E5590" s="14" t="s">
        <v>130</v>
      </c>
      <c r="F5590" s="433" t="s">
        <v>20577</v>
      </c>
      <c r="G5590" s="434"/>
      <c r="H5590" s="14" t="s">
        <v>519</v>
      </c>
      <c r="I5590" s="423"/>
      <c r="J5590" s="14" t="s">
        <v>25</v>
      </c>
      <c r="K5590" s="13"/>
      <c r="L5590" s="13"/>
      <c r="M5590" s="14"/>
      <c r="N5590" s="15"/>
      <c r="O5590" s="15"/>
      <c r="P5590" s="15"/>
      <c r="Q5590" s="15"/>
      <c r="R5590" s="422"/>
      <c r="S5590" s="15"/>
      <c r="T5590" s="15"/>
      <c r="U5590" s="15"/>
      <c r="V5590" s="15"/>
      <c r="W5590" s="15"/>
      <c r="X5590" s="15"/>
      <c r="Y5590" s="15"/>
      <c r="Z5590" s="15"/>
      <c r="AA5590" s="15"/>
    </row>
    <row r="5591">
      <c r="A5591" s="15" t="s">
        <v>21353</v>
      </c>
      <c r="B5591" s="15" t="s">
        <v>21375</v>
      </c>
      <c r="C5591" s="14" t="s">
        <v>21376</v>
      </c>
      <c r="D5591" s="14"/>
      <c r="E5591" s="14" t="s">
        <v>344</v>
      </c>
      <c r="F5591" s="433"/>
      <c r="G5591" s="434"/>
      <c r="H5591" s="14"/>
      <c r="I5591" s="423"/>
      <c r="J5591" s="14"/>
      <c r="K5591" s="13"/>
      <c r="L5591" s="13"/>
      <c r="M5591" s="14"/>
      <c r="N5591" s="15"/>
      <c r="O5591" s="15"/>
      <c r="P5591" s="15"/>
      <c r="Q5591" s="15"/>
      <c r="R5591" s="422"/>
      <c r="S5591" s="15"/>
      <c r="T5591" s="15"/>
      <c r="U5591" s="15"/>
      <c r="V5591" s="15"/>
      <c r="W5591" s="15"/>
      <c r="X5591" s="15"/>
      <c r="Y5591" s="15"/>
      <c r="Z5591" s="15"/>
      <c r="AA5591" s="15"/>
    </row>
    <row r="5592">
      <c r="A5592" s="15" t="s">
        <v>21353</v>
      </c>
      <c r="B5592" s="15" t="s">
        <v>21377</v>
      </c>
      <c r="C5592" s="14" t="s">
        <v>21378</v>
      </c>
      <c r="D5592" s="14"/>
      <c r="E5592" s="14" t="s">
        <v>20370</v>
      </c>
      <c r="F5592" s="433" t="s">
        <v>20284</v>
      </c>
      <c r="G5592" s="434"/>
      <c r="H5592" s="14" t="s">
        <v>3844</v>
      </c>
      <c r="I5592" s="423"/>
      <c r="J5592" s="14" t="s">
        <v>21379</v>
      </c>
      <c r="K5592" s="13"/>
      <c r="L5592" s="13"/>
      <c r="M5592" s="14" t="s">
        <v>21380</v>
      </c>
      <c r="N5592" s="15" t="s">
        <v>21381</v>
      </c>
      <c r="O5592" s="15" t="s">
        <v>564</v>
      </c>
      <c r="P5592" s="15"/>
      <c r="Q5592" s="15"/>
      <c r="R5592" s="422"/>
      <c r="S5592" s="15"/>
      <c r="T5592" s="15"/>
      <c r="U5592" s="15"/>
      <c r="V5592" s="15"/>
      <c r="W5592" s="15"/>
      <c r="X5592" s="15"/>
      <c r="Y5592" s="15"/>
      <c r="Z5592" s="15"/>
      <c r="AA5592" s="15"/>
    </row>
    <row r="5593">
      <c r="A5593" s="15" t="s">
        <v>21353</v>
      </c>
      <c r="B5593" s="15" t="s">
        <v>21382</v>
      </c>
      <c r="C5593" s="14" t="s">
        <v>21383</v>
      </c>
      <c r="D5593" s="14"/>
      <c r="E5593" s="14" t="s">
        <v>841</v>
      </c>
      <c r="F5593" s="433" t="s">
        <v>21384</v>
      </c>
      <c r="G5593" s="434"/>
      <c r="H5593" s="14" t="s">
        <v>507</v>
      </c>
      <c r="I5593" s="423"/>
      <c r="J5593" s="14" t="s">
        <v>17976</v>
      </c>
      <c r="K5593" s="13"/>
      <c r="L5593" s="13"/>
      <c r="M5593" s="14" t="s">
        <v>20044</v>
      </c>
      <c r="N5593" s="15" t="s">
        <v>21385</v>
      </c>
      <c r="O5593" s="15"/>
      <c r="P5593" s="15"/>
      <c r="Q5593" s="15"/>
      <c r="R5593" s="422"/>
      <c r="S5593" s="15"/>
      <c r="T5593" s="15"/>
      <c r="U5593" s="15"/>
      <c r="V5593" s="15"/>
      <c r="W5593" s="15"/>
      <c r="X5593" s="15"/>
      <c r="Y5593" s="15"/>
      <c r="Z5593" s="15"/>
      <c r="AA5593" s="15"/>
    </row>
    <row r="5594">
      <c r="A5594" s="15" t="s">
        <v>21353</v>
      </c>
      <c r="B5594" s="15" t="s">
        <v>21386</v>
      </c>
      <c r="C5594" s="14" t="s">
        <v>21387</v>
      </c>
      <c r="D5594" s="14"/>
      <c r="E5594" s="14" t="s">
        <v>10433</v>
      </c>
      <c r="F5594" s="433"/>
      <c r="G5594" s="434"/>
      <c r="H5594" s="14"/>
      <c r="I5594" s="423"/>
      <c r="J5594" s="14"/>
      <c r="K5594" s="13"/>
      <c r="L5594" s="13"/>
      <c r="M5594" s="14"/>
      <c r="N5594" s="15"/>
      <c r="O5594" s="15"/>
      <c r="P5594" s="15"/>
      <c r="Q5594" s="15"/>
      <c r="R5594" s="422"/>
      <c r="S5594" s="15"/>
      <c r="T5594" s="15"/>
      <c r="U5594" s="15"/>
      <c r="V5594" s="15"/>
      <c r="W5594" s="15"/>
      <c r="X5594" s="15"/>
      <c r="Y5594" s="15"/>
      <c r="Z5594" s="15"/>
      <c r="AA5594" s="15"/>
    </row>
    <row r="5595">
      <c r="A5595" s="15" t="s">
        <v>21353</v>
      </c>
      <c r="B5595" s="15" t="s">
        <v>21388</v>
      </c>
      <c r="C5595" s="14" t="s">
        <v>21389</v>
      </c>
      <c r="D5595" s="14"/>
      <c r="E5595" s="14" t="s">
        <v>2429</v>
      </c>
      <c r="F5595" s="433" t="s">
        <v>20322</v>
      </c>
      <c r="G5595" s="434"/>
      <c r="H5595" s="14" t="s">
        <v>2682</v>
      </c>
      <c r="I5595" s="423"/>
      <c r="J5595" s="14" t="s">
        <v>21390</v>
      </c>
      <c r="K5595" s="13"/>
      <c r="L5595" s="13"/>
      <c r="M5595" s="14" t="s">
        <v>21391</v>
      </c>
      <c r="N5595" s="15" t="s">
        <v>21392</v>
      </c>
      <c r="O5595" s="15"/>
      <c r="P5595" s="15"/>
      <c r="Q5595" s="15"/>
      <c r="R5595" s="422"/>
      <c r="S5595" s="15"/>
      <c r="T5595" s="15"/>
      <c r="U5595" s="15"/>
      <c r="V5595" s="15"/>
      <c r="W5595" s="15"/>
      <c r="X5595" s="15"/>
      <c r="Y5595" s="15"/>
      <c r="Z5595" s="15"/>
      <c r="AA5595" s="15"/>
    </row>
    <row r="5596">
      <c r="A5596" s="15" t="s">
        <v>21353</v>
      </c>
      <c r="B5596" s="15" t="s">
        <v>21393</v>
      </c>
      <c r="C5596" s="14" t="s">
        <v>21394</v>
      </c>
      <c r="D5596" s="14"/>
      <c r="E5596" s="14" t="s">
        <v>20233</v>
      </c>
      <c r="F5596" s="433"/>
      <c r="G5596" s="434"/>
      <c r="H5596" s="14"/>
      <c r="I5596" s="423"/>
      <c r="J5596" s="14"/>
      <c r="K5596" s="13"/>
      <c r="L5596" s="13"/>
      <c r="M5596" s="14"/>
      <c r="N5596" s="15"/>
      <c r="O5596" s="15"/>
      <c r="P5596" s="15"/>
      <c r="Q5596" s="15"/>
      <c r="R5596" s="422"/>
      <c r="S5596" s="15"/>
      <c r="T5596" s="15"/>
      <c r="U5596" s="15"/>
      <c r="V5596" s="15"/>
      <c r="W5596" s="15"/>
      <c r="X5596" s="15"/>
      <c r="Y5596" s="15"/>
      <c r="Z5596" s="15"/>
      <c r="AA5596" s="15"/>
    </row>
    <row r="5597">
      <c r="A5597" s="15" t="s">
        <v>21353</v>
      </c>
      <c r="B5597" s="15" t="s">
        <v>21395</v>
      </c>
      <c r="C5597" s="14" t="s">
        <v>21396</v>
      </c>
      <c r="D5597" s="14"/>
      <c r="E5597" s="14" t="s">
        <v>21397</v>
      </c>
      <c r="F5597" s="433"/>
      <c r="G5597" s="434"/>
      <c r="H5597" s="14"/>
      <c r="I5597" s="423"/>
      <c r="J5597" s="14"/>
      <c r="K5597" s="13"/>
      <c r="L5597" s="13"/>
      <c r="M5597" s="14"/>
      <c r="N5597" s="15"/>
      <c r="O5597" s="15"/>
      <c r="P5597" s="15"/>
      <c r="Q5597" s="15"/>
      <c r="R5597" s="422"/>
      <c r="S5597" s="15"/>
      <c r="T5597" s="15"/>
      <c r="U5597" s="15"/>
      <c r="V5597" s="15"/>
      <c r="W5597" s="15"/>
      <c r="X5597" s="15"/>
      <c r="Y5597" s="15"/>
      <c r="Z5597" s="15"/>
      <c r="AA5597" s="15"/>
    </row>
    <row r="5598">
      <c r="A5598" s="15" t="s">
        <v>21353</v>
      </c>
      <c r="B5598" s="15" t="s">
        <v>21398</v>
      </c>
      <c r="C5598" s="14" t="s">
        <v>21399</v>
      </c>
      <c r="D5598" s="14"/>
      <c r="E5598" s="14" t="s">
        <v>10433</v>
      </c>
      <c r="F5598" s="433" t="s">
        <v>20294</v>
      </c>
      <c r="G5598" s="434"/>
      <c r="H5598" s="14" t="s">
        <v>1100</v>
      </c>
      <c r="I5598" s="423"/>
      <c r="J5598" s="14" t="s">
        <v>21400</v>
      </c>
      <c r="K5598" s="13"/>
      <c r="L5598" s="13"/>
      <c r="M5598" s="14" t="s">
        <v>21401</v>
      </c>
      <c r="N5598" s="15" t="s">
        <v>21402</v>
      </c>
      <c r="O5598" s="15"/>
      <c r="P5598" s="15"/>
      <c r="Q5598" s="15"/>
      <c r="R5598" s="422"/>
      <c r="S5598" s="15"/>
      <c r="T5598" s="15"/>
      <c r="U5598" s="15"/>
      <c r="V5598" s="15"/>
      <c r="W5598" s="15"/>
      <c r="X5598" s="15"/>
      <c r="Y5598" s="15"/>
      <c r="Z5598" s="15"/>
      <c r="AA5598" s="15"/>
    </row>
    <row r="5599">
      <c r="A5599" s="15" t="s">
        <v>21353</v>
      </c>
      <c r="B5599" s="15" t="s">
        <v>21403</v>
      </c>
      <c r="C5599" s="14" t="s">
        <v>21404</v>
      </c>
      <c r="D5599" s="14"/>
      <c r="E5599" s="14" t="s">
        <v>357</v>
      </c>
      <c r="F5599" s="433" t="s">
        <v>20436</v>
      </c>
      <c r="G5599" s="434"/>
      <c r="H5599" s="14" t="s">
        <v>21405</v>
      </c>
      <c r="I5599" s="423"/>
      <c r="J5599" s="14" t="s">
        <v>17976</v>
      </c>
      <c r="K5599" s="13"/>
      <c r="L5599" s="13"/>
      <c r="M5599" s="14" t="s">
        <v>7884</v>
      </c>
      <c r="N5599" s="15" t="s">
        <v>21406</v>
      </c>
      <c r="O5599" s="15"/>
      <c r="P5599" s="15"/>
      <c r="Q5599" s="15"/>
      <c r="R5599" s="422"/>
      <c r="S5599" s="15"/>
      <c r="T5599" s="15"/>
      <c r="U5599" s="15"/>
      <c r="V5599" s="15"/>
      <c r="W5599" s="15"/>
      <c r="X5599" s="15"/>
      <c r="Y5599" s="15"/>
      <c r="Z5599" s="15"/>
      <c r="AA5599" s="15"/>
    </row>
    <row r="5600">
      <c r="A5600" s="15" t="s">
        <v>21353</v>
      </c>
      <c r="B5600" s="15" t="s">
        <v>21407</v>
      </c>
      <c r="C5600" s="14" t="s">
        <v>21408</v>
      </c>
      <c r="D5600" s="14"/>
      <c r="E5600" s="14" t="s">
        <v>501</v>
      </c>
      <c r="F5600" s="433"/>
      <c r="G5600" s="434"/>
      <c r="H5600" s="14"/>
      <c r="I5600" s="423"/>
      <c r="J5600" s="14"/>
      <c r="K5600" s="13"/>
      <c r="L5600" s="13"/>
      <c r="M5600" s="14"/>
      <c r="N5600" s="15"/>
      <c r="O5600" s="15"/>
      <c r="P5600" s="15"/>
      <c r="Q5600" s="15"/>
      <c r="R5600" s="422"/>
      <c r="S5600" s="15"/>
      <c r="T5600" s="15"/>
      <c r="U5600" s="15"/>
      <c r="V5600" s="15"/>
      <c r="W5600" s="15"/>
      <c r="X5600" s="15"/>
      <c r="Y5600" s="15"/>
      <c r="Z5600" s="15"/>
      <c r="AA5600" s="15"/>
    </row>
    <row r="5601">
      <c r="A5601" s="15" t="s">
        <v>21353</v>
      </c>
      <c r="B5601" s="15" t="s">
        <v>21409</v>
      </c>
      <c r="C5601" s="14" t="s">
        <v>21410</v>
      </c>
      <c r="D5601" s="14"/>
      <c r="E5601" s="14" t="s">
        <v>116</v>
      </c>
      <c r="F5601" s="433" t="s">
        <v>20392</v>
      </c>
      <c r="G5601" s="434"/>
      <c r="H5601" s="14" t="s">
        <v>184</v>
      </c>
      <c r="I5601" s="423"/>
      <c r="J5601" s="14" t="s">
        <v>20151</v>
      </c>
      <c r="K5601" s="13"/>
      <c r="L5601" s="13"/>
      <c r="M5601" s="14"/>
      <c r="N5601" s="15"/>
      <c r="O5601" s="15"/>
      <c r="P5601" s="15"/>
      <c r="Q5601" s="15"/>
      <c r="R5601" s="422"/>
      <c r="S5601" s="15"/>
      <c r="T5601" s="15"/>
      <c r="U5601" s="15"/>
      <c r="V5601" s="15"/>
      <c r="W5601" s="15"/>
      <c r="X5601" s="15"/>
      <c r="Y5601" s="15"/>
      <c r="Z5601" s="15"/>
      <c r="AA5601" s="15"/>
    </row>
    <row r="5602">
      <c r="A5602" s="15" t="s">
        <v>21411</v>
      </c>
      <c r="B5602" s="15" t="s">
        <v>21412</v>
      </c>
      <c r="C5602" s="14" t="s">
        <v>21413</v>
      </c>
      <c r="D5602" s="14"/>
      <c r="E5602" s="14" t="s">
        <v>77</v>
      </c>
      <c r="F5602" s="433"/>
      <c r="G5602" s="434"/>
      <c r="H5602" s="14" t="s">
        <v>21414</v>
      </c>
      <c r="I5602" s="423"/>
      <c r="J5602" s="14" t="s">
        <v>25</v>
      </c>
      <c r="K5602" s="13"/>
      <c r="L5602" s="13"/>
      <c r="M5602" s="14"/>
      <c r="N5602" s="15"/>
      <c r="O5602" s="15"/>
      <c r="P5602" s="15"/>
      <c r="Q5602" s="15"/>
      <c r="R5602" s="422"/>
      <c r="S5602" s="15"/>
      <c r="T5602" s="15"/>
      <c r="U5602" s="15"/>
      <c r="V5602" s="15"/>
      <c r="W5602" s="15"/>
      <c r="X5602" s="15"/>
      <c r="Y5602" s="15"/>
      <c r="Z5602" s="15"/>
      <c r="AA5602" s="15"/>
    </row>
    <row r="5603">
      <c r="A5603" s="15" t="s">
        <v>21411</v>
      </c>
      <c r="B5603" s="15" t="s">
        <v>21415</v>
      </c>
      <c r="C5603" s="14" t="s">
        <v>21416</v>
      </c>
      <c r="D5603" s="14"/>
      <c r="E5603" s="14" t="s">
        <v>3165</v>
      </c>
      <c r="F5603" s="433" t="s">
        <v>20398</v>
      </c>
      <c r="G5603" s="434"/>
      <c r="H5603" s="14" t="s">
        <v>985</v>
      </c>
      <c r="I5603" s="423"/>
      <c r="J5603" s="14"/>
      <c r="K5603" s="13"/>
      <c r="L5603" s="13"/>
      <c r="M5603" s="14"/>
      <c r="N5603" s="15"/>
      <c r="O5603" s="15"/>
      <c r="P5603" s="15"/>
      <c r="Q5603" s="15"/>
      <c r="R5603" s="422"/>
      <c r="S5603" s="15"/>
      <c r="T5603" s="15"/>
      <c r="U5603" s="15"/>
      <c r="V5603" s="15"/>
      <c r="W5603" s="15"/>
      <c r="X5603" s="15"/>
      <c r="Y5603" s="15"/>
      <c r="Z5603" s="15"/>
      <c r="AA5603" s="15"/>
    </row>
    <row r="5604">
      <c r="A5604" s="15" t="s">
        <v>21411</v>
      </c>
      <c r="B5604" s="15" t="s">
        <v>21417</v>
      </c>
      <c r="C5604" s="14" t="s">
        <v>21418</v>
      </c>
      <c r="D5604" s="14"/>
      <c r="E5604" s="14" t="s">
        <v>5502</v>
      </c>
      <c r="F5604" s="433" t="s">
        <v>21419</v>
      </c>
      <c r="G5604" s="434"/>
      <c r="H5604" s="14" t="s">
        <v>2662</v>
      </c>
      <c r="I5604" s="423"/>
      <c r="J5604" s="14" t="s">
        <v>9814</v>
      </c>
      <c r="K5604" s="13"/>
      <c r="L5604" s="13"/>
      <c r="M5604" s="14"/>
      <c r="N5604" s="15"/>
      <c r="O5604" s="15"/>
      <c r="P5604" s="15"/>
      <c r="Q5604" s="15"/>
      <c r="R5604" s="422"/>
      <c r="S5604" s="15"/>
      <c r="T5604" s="15"/>
      <c r="U5604" s="15"/>
      <c r="V5604" s="15"/>
      <c r="W5604" s="15"/>
      <c r="X5604" s="15"/>
      <c r="Y5604" s="15"/>
      <c r="Z5604" s="15"/>
      <c r="AA5604" s="15"/>
    </row>
    <row r="5605">
      <c r="A5605" s="15" t="s">
        <v>21411</v>
      </c>
      <c r="B5605" s="15" t="s">
        <v>21420</v>
      </c>
      <c r="C5605" s="14" t="s">
        <v>21421</v>
      </c>
      <c r="D5605" s="14"/>
      <c r="E5605" s="14" t="s">
        <v>116</v>
      </c>
      <c r="F5605" s="433"/>
      <c r="G5605" s="434"/>
      <c r="H5605" s="14"/>
      <c r="I5605" s="423"/>
      <c r="J5605" s="14"/>
      <c r="K5605" s="13"/>
      <c r="L5605" s="13"/>
      <c r="M5605" s="14"/>
      <c r="N5605" s="15"/>
      <c r="O5605" s="15"/>
      <c r="P5605" s="15"/>
      <c r="Q5605" s="15"/>
      <c r="R5605" s="422"/>
      <c r="S5605" s="15"/>
      <c r="T5605" s="15"/>
      <c r="U5605" s="15"/>
      <c r="V5605" s="15"/>
      <c r="W5605" s="15"/>
      <c r="X5605" s="15"/>
      <c r="Y5605" s="15"/>
      <c r="Z5605" s="15"/>
      <c r="AA5605" s="15"/>
    </row>
    <row r="5606">
      <c r="A5606" s="15" t="s">
        <v>21411</v>
      </c>
      <c r="B5606" s="15" t="s">
        <v>21422</v>
      </c>
      <c r="C5606" s="14" t="s">
        <v>21423</v>
      </c>
      <c r="D5606" s="14"/>
      <c r="E5606" s="14" t="s">
        <v>412</v>
      </c>
      <c r="F5606" s="433"/>
      <c r="G5606" s="434"/>
      <c r="H5606" s="14"/>
      <c r="I5606" s="423"/>
      <c r="J5606" s="14"/>
      <c r="K5606" s="13"/>
      <c r="L5606" s="13"/>
      <c r="M5606" s="14"/>
      <c r="N5606" s="15"/>
      <c r="O5606" s="15"/>
      <c r="P5606" s="15"/>
      <c r="Q5606" s="15"/>
      <c r="R5606" s="422"/>
      <c r="S5606" s="15"/>
      <c r="T5606" s="15"/>
      <c r="U5606" s="15"/>
      <c r="V5606" s="15"/>
      <c r="W5606" s="15"/>
      <c r="X5606" s="15"/>
      <c r="Y5606" s="15"/>
      <c r="Z5606" s="15"/>
      <c r="AA5606" s="15"/>
    </row>
    <row r="5607">
      <c r="A5607" s="15" t="s">
        <v>21424</v>
      </c>
      <c r="B5607" s="15" t="s">
        <v>21425</v>
      </c>
      <c r="C5607" s="14" t="s">
        <v>21426</v>
      </c>
      <c r="D5607" s="14"/>
      <c r="E5607" s="14" t="s">
        <v>10913</v>
      </c>
      <c r="F5607" s="433" t="s">
        <v>21059</v>
      </c>
      <c r="G5607" s="434"/>
      <c r="H5607" s="14"/>
      <c r="I5607" s="423"/>
      <c r="J5607" s="14"/>
      <c r="K5607" s="13"/>
      <c r="L5607" s="13"/>
      <c r="M5607" s="14"/>
      <c r="N5607" s="15"/>
      <c r="O5607" s="15"/>
      <c r="P5607" s="15"/>
      <c r="Q5607" s="15"/>
      <c r="R5607" s="422"/>
      <c r="S5607" s="15"/>
      <c r="T5607" s="15"/>
      <c r="U5607" s="15"/>
      <c r="V5607" s="15"/>
      <c r="W5607" s="15"/>
      <c r="X5607" s="15"/>
      <c r="Y5607" s="15"/>
      <c r="Z5607" s="15"/>
      <c r="AA5607" s="15"/>
    </row>
    <row r="5608">
      <c r="A5608" s="15" t="s">
        <v>21411</v>
      </c>
      <c r="B5608" s="15" t="s">
        <v>21427</v>
      </c>
      <c r="C5608" s="14" t="s">
        <v>21428</v>
      </c>
      <c r="D5608" s="13"/>
      <c r="E5608" s="13" t="s">
        <v>21429</v>
      </c>
      <c r="F5608" s="433" t="s">
        <v>21430</v>
      </c>
      <c r="G5608" s="434"/>
      <c r="H5608" s="14" t="s">
        <v>6402</v>
      </c>
      <c r="I5608" s="423"/>
      <c r="J5608" s="14" t="s">
        <v>17976</v>
      </c>
      <c r="K5608" s="13"/>
      <c r="L5608" s="13"/>
      <c r="M5608" s="14"/>
      <c r="N5608" s="15"/>
      <c r="O5608" s="15"/>
      <c r="P5608" s="15"/>
      <c r="Q5608" s="15"/>
      <c r="R5608" s="422"/>
      <c r="S5608" s="15"/>
      <c r="T5608" s="15"/>
      <c r="U5608" s="15"/>
      <c r="V5608" s="15"/>
      <c r="W5608" s="15"/>
      <c r="X5608" s="15"/>
      <c r="Y5608" s="15"/>
      <c r="Z5608" s="15"/>
      <c r="AA5608" s="15"/>
    </row>
    <row r="5609">
      <c r="A5609" s="15" t="s">
        <v>21411</v>
      </c>
      <c r="B5609" s="15" t="s">
        <v>21431</v>
      </c>
      <c r="C5609" s="14" t="s">
        <v>21432</v>
      </c>
      <c r="D5609" s="14"/>
      <c r="E5609" s="14" t="s">
        <v>21433</v>
      </c>
      <c r="F5609" s="433"/>
      <c r="G5609" s="434"/>
      <c r="H5609" s="14"/>
      <c r="I5609" s="423"/>
      <c r="J5609" s="14"/>
      <c r="K5609" s="13"/>
      <c r="L5609" s="13"/>
      <c r="M5609" s="14"/>
      <c r="N5609" s="15"/>
      <c r="O5609" s="15"/>
      <c r="P5609" s="15"/>
      <c r="Q5609" s="15"/>
      <c r="R5609" s="422"/>
      <c r="S5609" s="15"/>
      <c r="T5609" s="15"/>
      <c r="U5609" s="15"/>
      <c r="V5609" s="15"/>
      <c r="W5609" s="15"/>
      <c r="X5609" s="15"/>
      <c r="Y5609" s="15"/>
      <c r="Z5609" s="15"/>
      <c r="AA5609" s="15"/>
    </row>
    <row r="5610">
      <c r="A5610" s="15" t="s">
        <v>21411</v>
      </c>
      <c r="B5610" s="15" t="s">
        <v>21434</v>
      </c>
      <c r="C5610" s="14" t="s">
        <v>21435</v>
      </c>
      <c r="D5610" s="14"/>
      <c r="E5610" s="14" t="s">
        <v>4240</v>
      </c>
      <c r="F5610" s="433" t="s">
        <v>20398</v>
      </c>
      <c r="G5610" s="434"/>
      <c r="H5610" s="14"/>
      <c r="I5610" s="423"/>
      <c r="J5610" s="14"/>
      <c r="K5610" s="13"/>
      <c r="L5610" s="13"/>
      <c r="M5610" s="14"/>
      <c r="N5610" s="15"/>
      <c r="O5610" s="15"/>
      <c r="P5610" s="15"/>
      <c r="Q5610" s="15"/>
      <c r="R5610" s="422"/>
      <c r="S5610" s="15"/>
      <c r="T5610" s="15"/>
      <c r="U5610" s="15"/>
      <c r="V5610" s="15"/>
      <c r="W5610" s="15"/>
      <c r="X5610" s="15"/>
      <c r="Y5610" s="15"/>
      <c r="Z5610" s="15"/>
      <c r="AA5610" s="15"/>
    </row>
    <row r="5611">
      <c r="A5611" s="15" t="s">
        <v>21411</v>
      </c>
      <c r="B5611" s="15" t="s">
        <v>21436</v>
      </c>
      <c r="C5611" s="14" t="s">
        <v>21437</v>
      </c>
      <c r="D5611" s="14"/>
      <c r="E5611" s="14" t="s">
        <v>21438</v>
      </c>
      <c r="F5611" s="433" t="s">
        <v>20313</v>
      </c>
      <c r="G5611" s="434"/>
      <c r="H5611" s="14" t="s">
        <v>1461</v>
      </c>
      <c r="I5611" s="423"/>
      <c r="J5611" s="14" t="s">
        <v>17976</v>
      </c>
      <c r="K5611" s="13"/>
      <c r="L5611" s="13"/>
      <c r="M5611" s="14" t="s">
        <v>21439</v>
      </c>
      <c r="N5611" s="15" t="s">
        <v>21440</v>
      </c>
      <c r="O5611" s="15"/>
      <c r="P5611" s="15"/>
      <c r="Q5611" s="15"/>
      <c r="R5611" s="422"/>
      <c r="S5611" s="15"/>
      <c r="T5611" s="15"/>
      <c r="U5611" s="15"/>
      <c r="V5611" s="15"/>
      <c r="W5611" s="15"/>
      <c r="X5611" s="15"/>
      <c r="Y5611" s="15"/>
      <c r="Z5611" s="15"/>
      <c r="AA5611" s="15"/>
    </row>
    <row r="5612">
      <c r="A5612" s="15" t="s">
        <v>21411</v>
      </c>
      <c r="B5612" s="15" t="s">
        <v>21441</v>
      </c>
      <c r="C5612" s="14" t="s">
        <v>21442</v>
      </c>
      <c r="D5612" s="14"/>
      <c r="E5612" s="14" t="s">
        <v>2402</v>
      </c>
      <c r="F5612" s="433" t="s">
        <v>18673</v>
      </c>
      <c r="G5612" s="434"/>
      <c r="H5612" s="14" t="s">
        <v>44</v>
      </c>
      <c r="I5612" s="423"/>
      <c r="J5612" s="14" t="s">
        <v>21443</v>
      </c>
      <c r="K5612" s="13"/>
      <c r="L5612" s="13"/>
      <c r="M5612" s="14" t="s">
        <v>10609</v>
      </c>
      <c r="N5612" s="15" t="s">
        <v>21444</v>
      </c>
      <c r="O5612" s="15"/>
      <c r="P5612" s="15"/>
      <c r="Q5612" s="15"/>
      <c r="R5612" s="422"/>
      <c r="S5612" s="15"/>
      <c r="T5612" s="15"/>
      <c r="U5612" s="15"/>
      <c r="V5612" s="15"/>
      <c r="W5612" s="15"/>
      <c r="X5612" s="15"/>
      <c r="Y5612" s="15"/>
      <c r="Z5612" s="15"/>
      <c r="AA5612" s="15"/>
    </row>
    <row r="5613">
      <c r="A5613" s="15" t="s">
        <v>21411</v>
      </c>
      <c r="B5613" s="15" t="s">
        <v>21445</v>
      </c>
      <c r="C5613" s="14" t="s">
        <v>21446</v>
      </c>
      <c r="D5613" s="14"/>
      <c r="E5613" s="14" t="s">
        <v>116</v>
      </c>
      <c r="F5613" s="433"/>
      <c r="G5613" s="434"/>
      <c r="H5613" s="14"/>
      <c r="I5613" s="423"/>
      <c r="J5613" s="14"/>
      <c r="K5613" s="13"/>
      <c r="L5613" s="13"/>
      <c r="M5613" s="14" t="s">
        <v>20803</v>
      </c>
      <c r="N5613" s="15" t="s">
        <v>21447</v>
      </c>
      <c r="O5613" s="15"/>
      <c r="P5613" s="15"/>
      <c r="Q5613" s="15"/>
      <c r="R5613" s="422"/>
      <c r="S5613" s="15"/>
      <c r="T5613" s="15"/>
      <c r="U5613" s="15"/>
      <c r="V5613" s="15"/>
      <c r="W5613" s="15"/>
      <c r="X5613" s="15"/>
      <c r="Y5613" s="15"/>
      <c r="Z5613" s="15"/>
      <c r="AA5613" s="15"/>
    </row>
    <row r="5614">
      <c r="A5614" s="15" t="s">
        <v>21411</v>
      </c>
      <c r="B5614" s="15" t="s">
        <v>21448</v>
      </c>
      <c r="C5614" s="14" t="s">
        <v>21449</v>
      </c>
      <c r="D5614" s="14"/>
      <c r="E5614" s="14" t="s">
        <v>798</v>
      </c>
      <c r="F5614" s="433"/>
      <c r="G5614" s="434"/>
      <c r="H5614" s="14"/>
      <c r="I5614" s="423"/>
      <c r="J5614" s="14"/>
      <c r="K5614" s="13"/>
      <c r="L5614" s="13"/>
      <c r="M5614" s="14"/>
      <c r="N5614" s="15"/>
      <c r="O5614" s="15"/>
      <c r="P5614" s="15"/>
      <c r="Q5614" s="15"/>
      <c r="R5614" s="422"/>
      <c r="S5614" s="15"/>
      <c r="T5614" s="15"/>
      <c r="U5614" s="15"/>
      <c r="V5614" s="15"/>
      <c r="W5614" s="15"/>
      <c r="X5614" s="15"/>
      <c r="Y5614" s="15"/>
      <c r="Z5614" s="15"/>
      <c r="AA5614" s="15"/>
    </row>
    <row r="5615">
      <c r="A5615" s="15" t="s">
        <v>21411</v>
      </c>
      <c r="B5615" s="15" t="s">
        <v>21450</v>
      </c>
      <c r="C5615" s="14" t="s">
        <v>21451</v>
      </c>
      <c r="D5615" s="14"/>
      <c r="E5615" s="14" t="s">
        <v>21452</v>
      </c>
      <c r="F5615" s="433" t="s">
        <v>21453</v>
      </c>
      <c r="G5615" s="434"/>
      <c r="H5615" s="14" t="s">
        <v>507</v>
      </c>
      <c r="I5615" s="423"/>
      <c r="J5615" s="14" t="s">
        <v>21454</v>
      </c>
      <c r="K5615" s="13"/>
      <c r="L5615" s="13"/>
      <c r="M5615" s="14" t="s">
        <v>21455</v>
      </c>
      <c r="N5615" s="15" t="s">
        <v>21456</v>
      </c>
      <c r="O5615" s="15"/>
      <c r="P5615" s="15"/>
      <c r="Q5615" s="15"/>
      <c r="R5615" s="422"/>
      <c r="S5615" s="15"/>
      <c r="T5615" s="15"/>
      <c r="U5615" s="15"/>
      <c r="V5615" s="15"/>
      <c r="W5615" s="15"/>
      <c r="X5615" s="15"/>
      <c r="Y5615" s="15"/>
      <c r="Z5615" s="15"/>
      <c r="AA5615" s="15"/>
    </row>
    <row r="5616">
      <c r="A5616" s="15" t="s">
        <v>21411</v>
      </c>
      <c r="B5616" s="15" t="s">
        <v>21457</v>
      </c>
      <c r="C5616" s="14" t="s">
        <v>21458</v>
      </c>
      <c r="D5616" s="14"/>
      <c r="E5616" s="14" t="s">
        <v>841</v>
      </c>
      <c r="F5616" s="433"/>
      <c r="G5616" s="434"/>
      <c r="H5616" s="14"/>
      <c r="I5616" s="423"/>
      <c r="J5616" s="14"/>
      <c r="K5616" s="13"/>
      <c r="L5616" s="13"/>
      <c r="M5616" s="14"/>
      <c r="N5616" s="15"/>
      <c r="O5616" s="15"/>
      <c r="P5616" s="15"/>
      <c r="Q5616" s="15"/>
      <c r="R5616" s="422"/>
      <c r="S5616" s="15"/>
      <c r="T5616" s="15"/>
      <c r="U5616" s="15"/>
      <c r="V5616" s="15"/>
      <c r="W5616" s="15"/>
      <c r="X5616" s="15"/>
      <c r="Y5616" s="15"/>
      <c r="Z5616" s="15"/>
      <c r="AA5616" s="15"/>
    </row>
    <row r="5617">
      <c r="A5617" s="15" t="s">
        <v>21411</v>
      </c>
      <c r="B5617" s="15" t="s">
        <v>21459</v>
      </c>
      <c r="C5617" s="14" t="s">
        <v>21460</v>
      </c>
      <c r="D5617" s="14"/>
      <c r="E5617" s="14" t="s">
        <v>152</v>
      </c>
      <c r="F5617" s="433" t="s">
        <v>20348</v>
      </c>
      <c r="G5617" s="434"/>
      <c r="H5617" s="14" t="s">
        <v>519</v>
      </c>
      <c r="I5617" s="423"/>
      <c r="J5617" s="14" t="s">
        <v>21461</v>
      </c>
      <c r="K5617" s="13"/>
      <c r="L5617" s="13"/>
      <c r="M5617" s="14" t="s">
        <v>9983</v>
      </c>
      <c r="N5617" s="15" t="s">
        <v>21462</v>
      </c>
      <c r="O5617" s="15"/>
      <c r="P5617" s="15"/>
      <c r="Q5617" s="15"/>
      <c r="R5617" s="422"/>
      <c r="S5617" s="15"/>
      <c r="T5617" s="15"/>
      <c r="U5617" s="15"/>
      <c r="V5617" s="15"/>
      <c r="W5617" s="15"/>
      <c r="X5617" s="15"/>
      <c r="Y5617" s="15"/>
      <c r="Z5617" s="15"/>
      <c r="AA5617" s="15"/>
    </row>
    <row r="5618">
      <c r="A5618" s="15" t="s">
        <v>21411</v>
      </c>
      <c r="B5618" s="15" t="s">
        <v>21463</v>
      </c>
      <c r="C5618" s="14" t="s">
        <v>21464</v>
      </c>
      <c r="D5618" s="14"/>
      <c r="E5618" s="14" t="s">
        <v>63</v>
      </c>
      <c r="F5618" s="433" t="s">
        <v>20392</v>
      </c>
      <c r="G5618" s="434"/>
      <c r="H5618" s="14" t="s">
        <v>2662</v>
      </c>
      <c r="I5618" s="423"/>
      <c r="J5618" s="14" t="s">
        <v>21465</v>
      </c>
      <c r="K5618" s="13"/>
      <c r="L5618" s="13"/>
      <c r="M5618" s="14" t="s">
        <v>14386</v>
      </c>
      <c r="N5618" s="15" t="s">
        <v>21466</v>
      </c>
      <c r="O5618" s="15" t="s">
        <v>10708</v>
      </c>
      <c r="P5618" s="15"/>
      <c r="Q5618" s="15"/>
      <c r="R5618" s="422"/>
      <c r="S5618" s="15"/>
      <c r="T5618" s="15"/>
      <c r="U5618" s="15"/>
      <c r="V5618" s="15"/>
      <c r="W5618" s="15"/>
      <c r="X5618" s="15"/>
      <c r="Y5618" s="15"/>
      <c r="Z5618" s="15"/>
      <c r="AA5618" s="15"/>
    </row>
    <row r="5619">
      <c r="A5619" s="15" t="s">
        <v>21411</v>
      </c>
      <c r="B5619" s="15" t="s">
        <v>21467</v>
      </c>
      <c r="C5619" s="14" t="s">
        <v>9827</v>
      </c>
      <c r="D5619" s="14"/>
      <c r="E5619" s="14" t="s">
        <v>872</v>
      </c>
      <c r="F5619" s="433" t="s">
        <v>20284</v>
      </c>
      <c r="G5619" s="434"/>
      <c r="H5619" s="14" t="s">
        <v>2662</v>
      </c>
      <c r="I5619" s="423"/>
      <c r="J5619" s="14" t="s">
        <v>19925</v>
      </c>
      <c r="K5619" s="13"/>
      <c r="L5619" s="13"/>
      <c r="M5619" s="14"/>
      <c r="N5619" s="15"/>
      <c r="O5619" s="15"/>
      <c r="P5619" s="15"/>
      <c r="Q5619" s="15"/>
      <c r="R5619" s="422"/>
      <c r="S5619" s="15"/>
      <c r="T5619" s="15"/>
      <c r="U5619" s="15"/>
      <c r="V5619" s="15"/>
      <c r="W5619" s="15"/>
      <c r="X5619" s="15"/>
      <c r="Y5619" s="15"/>
      <c r="Z5619" s="15"/>
      <c r="AA5619" s="15"/>
    </row>
    <row r="5620">
      <c r="A5620" s="15" t="s">
        <v>21411</v>
      </c>
      <c r="B5620" s="15" t="s">
        <v>21468</v>
      </c>
      <c r="C5620" s="14" t="s">
        <v>21469</v>
      </c>
      <c r="D5620" s="14"/>
      <c r="E5620" s="14" t="s">
        <v>21470</v>
      </c>
      <c r="F5620" s="433" t="s">
        <v>20322</v>
      </c>
      <c r="G5620" s="434"/>
      <c r="H5620" s="14" t="s">
        <v>21471</v>
      </c>
      <c r="I5620" s="423"/>
      <c r="J5620" s="14" t="s">
        <v>14144</v>
      </c>
      <c r="K5620" s="13"/>
      <c r="L5620" s="13"/>
      <c r="M5620" s="14" t="s">
        <v>14458</v>
      </c>
      <c r="N5620" s="15" t="s">
        <v>21472</v>
      </c>
      <c r="O5620" s="15"/>
      <c r="P5620" s="15"/>
      <c r="Q5620" s="15"/>
      <c r="R5620" s="422"/>
      <c r="S5620" s="15"/>
      <c r="T5620" s="15"/>
      <c r="U5620" s="15"/>
      <c r="V5620" s="15"/>
      <c r="W5620" s="15"/>
      <c r="X5620" s="15"/>
      <c r="Y5620" s="15"/>
      <c r="Z5620" s="15"/>
      <c r="AA5620" s="15"/>
    </row>
    <row r="5621">
      <c r="A5621" s="15" t="s">
        <v>21411</v>
      </c>
      <c r="B5621" s="15" t="s">
        <v>21473</v>
      </c>
      <c r="C5621" s="14" t="s">
        <v>21474</v>
      </c>
      <c r="D5621" s="14"/>
      <c r="E5621" s="14" t="s">
        <v>412</v>
      </c>
      <c r="F5621" s="433"/>
      <c r="G5621" s="434"/>
      <c r="H5621" s="14"/>
      <c r="I5621" s="423"/>
      <c r="J5621" s="14"/>
      <c r="K5621" s="13"/>
      <c r="L5621" s="13"/>
      <c r="M5621" s="14"/>
      <c r="N5621" s="15"/>
      <c r="O5621" s="15"/>
      <c r="P5621" s="15"/>
      <c r="Q5621" s="15"/>
      <c r="R5621" s="422"/>
      <c r="S5621" s="15"/>
      <c r="T5621" s="15"/>
      <c r="U5621" s="15"/>
      <c r="V5621" s="15"/>
      <c r="W5621" s="15"/>
      <c r="X5621" s="15"/>
      <c r="Y5621" s="15"/>
      <c r="Z5621" s="15"/>
      <c r="AA5621" s="15"/>
    </row>
    <row r="5622">
      <c r="A5622" s="15" t="s">
        <v>21411</v>
      </c>
      <c r="B5622" s="15" t="s">
        <v>21475</v>
      </c>
      <c r="C5622" s="14" t="s">
        <v>21476</v>
      </c>
      <c r="D5622" s="14"/>
      <c r="E5622" s="14" t="s">
        <v>21477</v>
      </c>
      <c r="F5622" s="433" t="s">
        <v>20693</v>
      </c>
      <c r="G5622" s="434"/>
      <c r="H5622" s="14" t="s">
        <v>467</v>
      </c>
      <c r="I5622" s="423"/>
      <c r="J5622" s="14" t="s">
        <v>13956</v>
      </c>
      <c r="K5622" s="13"/>
      <c r="L5622" s="13"/>
      <c r="M5622" s="14"/>
      <c r="N5622" s="15"/>
      <c r="O5622" s="15"/>
      <c r="P5622" s="15"/>
      <c r="Q5622" s="15"/>
      <c r="R5622" s="422"/>
      <c r="S5622" s="15"/>
      <c r="T5622" s="15"/>
      <c r="U5622" s="15"/>
      <c r="V5622" s="15"/>
      <c r="W5622" s="15"/>
      <c r="X5622" s="15"/>
      <c r="Y5622" s="15"/>
      <c r="Z5622" s="15"/>
      <c r="AA5622" s="15"/>
    </row>
    <row r="5623">
      <c r="A5623" s="15" t="s">
        <v>21411</v>
      </c>
      <c r="B5623" s="15" t="s">
        <v>21478</v>
      </c>
      <c r="C5623" s="14" t="s">
        <v>21479</v>
      </c>
      <c r="D5623" s="14"/>
      <c r="E5623" s="14" t="s">
        <v>501</v>
      </c>
      <c r="F5623" s="433"/>
      <c r="G5623" s="434"/>
      <c r="H5623" s="14"/>
      <c r="I5623" s="423"/>
      <c r="J5623" s="14"/>
      <c r="K5623" s="13"/>
      <c r="L5623" s="13"/>
      <c r="M5623" s="14"/>
      <c r="N5623" s="15"/>
      <c r="O5623" s="15"/>
      <c r="P5623" s="15"/>
      <c r="Q5623" s="15"/>
      <c r="R5623" s="422"/>
      <c r="S5623" s="15"/>
      <c r="T5623" s="15"/>
      <c r="U5623" s="15"/>
      <c r="V5623" s="15"/>
      <c r="W5623" s="15"/>
      <c r="X5623" s="15"/>
      <c r="Y5623" s="15"/>
      <c r="Z5623" s="15"/>
      <c r="AA5623" s="15"/>
    </row>
    <row r="5624">
      <c r="A5624" s="15" t="s">
        <v>21411</v>
      </c>
      <c r="B5624" s="15" t="s">
        <v>21480</v>
      </c>
      <c r="C5624" s="14" t="s">
        <v>21481</v>
      </c>
      <c r="D5624" s="14"/>
      <c r="E5624" s="14" t="s">
        <v>47</v>
      </c>
      <c r="F5624" s="433" t="s">
        <v>18673</v>
      </c>
      <c r="G5624" s="434"/>
      <c r="H5624" s="14" t="s">
        <v>14616</v>
      </c>
      <c r="I5624" s="423"/>
      <c r="J5624" s="14" t="s">
        <v>21482</v>
      </c>
      <c r="K5624" s="13"/>
      <c r="L5624" s="13"/>
      <c r="M5624" s="14" t="s">
        <v>6155</v>
      </c>
      <c r="N5624" s="15" t="s">
        <v>21483</v>
      </c>
      <c r="O5624" s="15"/>
      <c r="P5624" s="15"/>
      <c r="Q5624" s="15"/>
      <c r="R5624" s="422"/>
      <c r="S5624" s="15"/>
      <c r="T5624" s="15"/>
      <c r="U5624" s="15"/>
      <c r="V5624" s="15"/>
      <c r="W5624" s="15"/>
      <c r="X5624" s="15"/>
      <c r="Y5624" s="15"/>
      <c r="Z5624" s="15"/>
      <c r="AA5624" s="15"/>
    </row>
    <row r="5625">
      <c r="A5625" s="15" t="s">
        <v>21411</v>
      </c>
      <c r="B5625" s="15" t="s">
        <v>21484</v>
      </c>
      <c r="C5625" s="14" t="s">
        <v>1343</v>
      </c>
      <c r="D5625" s="14"/>
      <c r="E5625" s="14" t="s">
        <v>213</v>
      </c>
      <c r="F5625" s="433"/>
      <c r="G5625" s="434"/>
      <c r="H5625" s="14" t="s">
        <v>44</v>
      </c>
      <c r="I5625" s="423"/>
      <c r="J5625" s="14" t="s">
        <v>17976</v>
      </c>
      <c r="K5625" s="13"/>
      <c r="L5625" s="13"/>
      <c r="M5625" s="14"/>
      <c r="N5625" s="15"/>
      <c r="O5625" s="15"/>
      <c r="P5625" s="15"/>
      <c r="Q5625" s="15"/>
      <c r="R5625" s="422"/>
      <c r="S5625" s="15"/>
      <c r="T5625" s="15"/>
      <c r="U5625" s="15"/>
      <c r="V5625" s="15"/>
      <c r="W5625" s="15"/>
      <c r="X5625" s="15"/>
      <c r="Y5625" s="15"/>
      <c r="Z5625" s="15"/>
      <c r="AA5625" s="15"/>
    </row>
    <row r="5626">
      <c r="A5626" s="480">
        <v>44136.0</v>
      </c>
      <c r="B5626" s="15" t="s">
        <v>21485</v>
      </c>
      <c r="C5626" s="14" t="s">
        <v>21486</v>
      </c>
      <c r="D5626" s="14"/>
      <c r="E5626" s="14" t="s">
        <v>21487</v>
      </c>
      <c r="F5626" s="433" t="s">
        <v>18673</v>
      </c>
      <c r="G5626" s="434"/>
      <c r="H5626" s="14"/>
      <c r="I5626" s="423"/>
      <c r="J5626" s="14" t="s">
        <v>21488</v>
      </c>
      <c r="K5626" s="13"/>
      <c r="L5626" s="13"/>
      <c r="M5626" s="14"/>
      <c r="N5626" s="15"/>
      <c r="O5626" s="15"/>
      <c r="P5626" s="15"/>
      <c r="Q5626" s="15"/>
      <c r="R5626" s="422"/>
      <c r="S5626" s="15"/>
      <c r="T5626" s="15"/>
      <c r="U5626" s="15"/>
      <c r="V5626" s="15"/>
      <c r="W5626" s="15"/>
      <c r="X5626" s="15"/>
      <c r="Y5626" s="15"/>
      <c r="Z5626" s="15"/>
      <c r="AA5626" s="15"/>
    </row>
    <row r="5627">
      <c r="A5627" s="480">
        <v>44136.0</v>
      </c>
      <c r="B5627" s="15" t="s">
        <v>21489</v>
      </c>
      <c r="C5627" s="14" t="s">
        <v>21490</v>
      </c>
      <c r="D5627" s="14"/>
      <c r="E5627" s="14" t="s">
        <v>21491</v>
      </c>
      <c r="F5627" s="433"/>
      <c r="G5627" s="434"/>
      <c r="H5627" s="14"/>
      <c r="I5627" s="423"/>
      <c r="J5627" s="14"/>
      <c r="K5627" s="13"/>
      <c r="L5627" s="13"/>
      <c r="M5627" s="14"/>
      <c r="N5627" s="15"/>
      <c r="O5627" s="15"/>
      <c r="P5627" s="15"/>
      <c r="Q5627" s="15"/>
      <c r="R5627" s="422"/>
      <c r="S5627" s="15"/>
      <c r="T5627" s="15"/>
      <c r="U5627" s="15"/>
      <c r="V5627" s="15"/>
      <c r="W5627" s="15"/>
      <c r="X5627" s="15"/>
      <c r="Y5627" s="15"/>
      <c r="Z5627" s="15"/>
      <c r="AA5627" s="15"/>
    </row>
    <row r="5628">
      <c r="A5628" s="480">
        <v>44136.0</v>
      </c>
      <c r="B5628" s="15" t="s">
        <v>21492</v>
      </c>
      <c r="C5628" s="14" t="s">
        <v>21493</v>
      </c>
      <c r="D5628" s="14"/>
      <c r="E5628" s="14" t="s">
        <v>523</v>
      </c>
      <c r="F5628" s="433" t="s">
        <v>20577</v>
      </c>
      <c r="G5628" s="434"/>
      <c r="H5628" s="14" t="s">
        <v>21494</v>
      </c>
      <c r="I5628" s="423"/>
      <c r="J5628" s="14" t="s">
        <v>17976</v>
      </c>
      <c r="K5628" s="13"/>
      <c r="L5628" s="13"/>
      <c r="M5628" s="14" t="s">
        <v>11202</v>
      </c>
      <c r="N5628" s="15" t="s">
        <v>21495</v>
      </c>
      <c r="O5628" s="15"/>
      <c r="P5628" s="15"/>
      <c r="Q5628" s="15"/>
      <c r="R5628" s="422"/>
      <c r="S5628" s="15"/>
      <c r="T5628" s="15"/>
      <c r="U5628" s="15"/>
      <c r="V5628" s="15"/>
      <c r="W5628" s="15"/>
      <c r="X5628" s="15"/>
      <c r="Y5628" s="15"/>
      <c r="Z5628" s="15"/>
      <c r="AA5628" s="15"/>
    </row>
    <row r="5629">
      <c r="A5629" s="480">
        <v>44136.0</v>
      </c>
      <c r="B5629" s="15" t="s">
        <v>21496</v>
      </c>
      <c r="C5629" s="14" t="s">
        <v>21497</v>
      </c>
      <c r="D5629" s="14"/>
      <c r="E5629" s="14" t="s">
        <v>116</v>
      </c>
      <c r="F5629" s="433" t="s">
        <v>20340</v>
      </c>
      <c r="G5629" s="434"/>
      <c r="H5629" s="14" t="s">
        <v>21498</v>
      </c>
      <c r="I5629" s="423"/>
      <c r="J5629" s="14" t="s">
        <v>17976</v>
      </c>
      <c r="K5629" s="13"/>
      <c r="L5629" s="13"/>
      <c r="M5629" s="14" t="s">
        <v>19981</v>
      </c>
      <c r="N5629" s="15" t="s">
        <v>21499</v>
      </c>
      <c r="O5629" s="15"/>
      <c r="P5629" s="15"/>
      <c r="Q5629" s="15"/>
      <c r="R5629" s="422"/>
      <c r="S5629" s="15"/>
      <c r="T5629" s="15"/>
      <c r="U5629" s="15"/>
      <c r="V5629" s="15"/>
      <c r="W5629" s="15"/>
      <c r="X5629" s="15"/>
      <c r="Y5629" s="15"/>
      <c r="Z5629" s="15"/>
      <c r="AA5629" s="15"/>
    </row>
    <row r="5630">
      <c r="A5630" s="480">
        <v>44136.0</v>
      </c>
      <c r="B5630" s="15" t="s">
        <v>21500</v>
      </c>
      <c r="C5630" s="14" t="s">
        <v>21501</v>
      </c>
      <c r="D5630" s="14"/>
      <c r="E5630" s="14" t="s">
        <v>7672</v>
      </c>
      <c r="F5630" s="433" t="s">
        <v>20284</v>
      </c>
      <c r="G5630" s="434"/>
      <c r="H5630" s="14" t="s">
        <v>507</v>
      </c>
      <c r="I5630" s="423"/>
      <c r="J5630" s="14" t="s">
        <v>9814</v>
      </c>
      <c r="K5630" s="13"/>
      <c r="L5630" s="13"/>
      <c r="M5630" s="14" t="s">
        <v>19981</v>
      </c>
      <c r="N5630" s="15" t="s">
        <v>21502</v>
      </c>
      <c r="O5630" s="15" t="s">
        <v>17993</v>
      </c>
      <c r="P5630" s="15"/>
      <c r="Q5630" s="15"/>
      <c r="R5630" s="422"/>
      <c r="S5630" s="15"/>
      <c r="T5630" s="15"/>
      <c r="U5630" s="15"/>
      <c r="V5630" s="15"/>
      <c r="W5630" s="15"/>
      <c r="X5630" s="15"/>
      <c r="Y5630" s="15"/>
      <c r="Z5630" s="15"/>
      <c r="AA5630" s="15"/>
    </row>
    <row r="5631">
      <c r="A5631" s="480">
        <v>44136.0</v>
      </c>
      <c r="B5631" s="15" t="s">
        <v>21503</v>
      </c>
      <c r="C5631" s="4" t="s">
        <v>21504</v>
      </c>
      <c r="D5631" s="14"/>
      <c r="E5631" s="14" t="s">
        <v>2546</v>
      </c>
      <c r="F5631" s="433" t="s">
        <v>20340</v>
      </c>
      <c r="G5631" s="434"/>
      <c r="H5631" s="14" t="s">
        <v>3861</v>
      </c>
      <c r="I5631" s="423"/>
      <c r="J5631" s="14" t="s">
        <v>17976</v>
      </c>
      <c r="K5631" s="13"/>
      <c r="L5631" s="13"/>
      <c r="M5631" s="14" t="s">
        <v>10090</v>
      </c>
      <c r="N5631" s="15" t="s">
        <v>21505</v>
      </c>
      <c r="O5631" s="15" t="s">
        <v>17993</v>
      </c>
      <c r="P5631" s="15"/>
      <c r="Q5631" s="15"/>
      <c r="R5631" s="422"/>
      <c r="S5631" s="15"/>
      <c r="T5631" s="15"/>
      <c r="U5631" s="15"/>
      <c r="V5631" s="15"/>
      <c r="W5631" s="15"/>
      <c r="X5631" s="15"/>
      <c r="Y5631" s="15"/>
      <c r="Z5631" s="15"/>
      <c r="AA5631" s="15"/>
    </row>
    <row r="5632">
      <c r="A5632" s="480">
        <v>44136.0</v>
      </c>
      <c r="B5632" s="15" t="s">
        <v>21506</v>
      </c>
      <c r="C5632" s="4" t="s">
        <v>21507</v>
      </c>
      <c r="D5632" s="14"/>
      <c r="E5632" s="14" t="s">
        <v>21508</v>
      </c>
      <c r="F5632" s="433" t="s">
        <v>21509</v>
      </c>
      <c r="G5632" s="434"/>
      <c r="H5632" s="14" t="s">
        <v>3836</v>
      </c>
      <c r="I5632" s="423"/>
      <c r="J5632" s="14" t="s">
        <v>21510</v>
      </c>
      <c r="K5632" s="13"/>
      <c r="L5632" s="13"/>
      <c r="M5632" s="14" t="s">
        <v>21511</v>
      </c>
      <c r="N5632" s="15"/>
      <c r="O5632" s="15"/>
      <c r="P5632" s="15"/>
      <c r="Q5632" s="15"/>
      <c r="R5632" s="422"/>
      <c r="S5632" s="15"/>
      <c r="T5632" s="15"/>
      <c r="U5632" s="15"/>
      <c r="V5632" s="15"/>
      <c r="W5632" s="15"/>
      <c r="X5632" s="15"/>
      <c r="Y5632" s="15"/>
      <c r="Z5632" s="15"/>
      <c r="AA5632" s="15"/>
    </row>
    <row r="5633">
      <c r="A5633" s="480">
        <v>44136.0</v>
      </c>
      <c r="B5633" s="15" t="s">
        <v>21512</v>
      </c>
      <c r="C5633" s="14" t="s">
        <v>1274</v>
      </c>
      <c r="D5633" s="14"/>
      <c r="E5633" s="14" t="s">
        <v>130</v>
      </c>
      <c r="F5633" s="433" t="s">
        <v>18673</v>
      </c>
      <c r="G5633" s="434"/>
      <c r="H5633" s="14" t="s">
        <v>19611</v>
      </c>
      <c r="I5633" s="423"/>
      <c r="J5633" s="14" t="s">
        <v>17976</v>
      </c>
      <c r="K5633" s="13"/>
      <c r="L5633" s="13"/>
      <c r="M5633" s="14"/>
      <c r="N5633" s="15"/>
      <c r="O5633" s="15"/>
      <c r="P5633" s="15"/>
      <c r="Q5633" s="15"/>
      <c r="R5633" s="422"/>
      <c r="S5633" s="15"/>
      <c r="T5633" s="15"/>
      <c r="U5633" s="15"/>
      <c r="V5633" s="15"/>
      <c r="W5633" s="15"/>
      <c r="X5633" s="15"/>
      <c r="Y5633" s="15"/>
      <c r="Z5633" s="15"/>
      <c r="AA5633" s="15"/>
    </row>
    <row r="5634">
      <c r="A5634" s="480">
        <v>44136.0</v>
      </c>
      <c r="B5634" s="15" t="s">
        <v>21513</v>
      </c>
      <c r="C5634" s="14" t="s">
        <v>21514</v>
      </c>
      <c r="D5634" s="14"/>
      <c r="E5634" s="14" t="s">
        <v>21515</v>
      </c>
      <c r="F5634" s="433"/>
      <c r="G5634" s="434"/>
      <c r="H5634" s="14"/>
      <c r="I5634" s="423"/>
      <c r="J5634" s="14"/>
      <c r="K5634" s="13"/>
      <c r="L5634" s="13"/>
      <c r="M5634" s="14"/>
      <c r="N5634" s="15"/>
      <c r="O5634" s="15"/>
      <c r="P5634" s="15"/>
      <c r="Q5634" s="15"/>
      <c r="R5634" s="422"/>
      <c r="S5634" s="15"/>
      <c r="T5634" s="15"/>
      <c r="U5634" s="15"/>
      <c r="V5634" s="15"/>
      <c r="W5634" s="15"/>
      <c r="X5634" s="15"/>
      <c r="Y5634" s="15"/>
      <c r="Z5634" s="15"/>
      <c r="AA5634" s="15"/>
    </row>
    <row r="5635">
      <c r="A5635" s="480">
        <v>44136.0</v>
      </c>
      <c r="B5635" s="15" t="s">
        <v>21516</v>
      </c>
      <c r="C5635" s="14" t="s">
        <v>21517</v>
      </c>
      <c r="D5635" s="14"/>
      <c r="E5635" s="14" t="s">
        <v>63</v>
      </c>
      <c r="F5635" s="433" t="s">
        <v>20436</v>
      </c>
      <c r="G5635" s="434"/>
      <c r="H5635" s="14" t="s">
        <v>3836</v>
      </c>
      <c r="I5635" s="423"/>
      <c r="J5635" s="14" t="s">
        <v>17976</v>
      </c>
      <c r="K5635" s="13"/>
      <c r="L5635" s="13"/>
      <c r="M5635" s="14" t="s">
        <v>9983</v>
      </c>
      <c r="N5635" s="15" t="s">
        <v>21518</v>
      </c>
      <c r="O5635" s="15"/>
      <c r="P5635" s="15"/>
      <c r="Q5635" s="15"/>
      <c r="R5635" s="422"/>
      <c r="S5635" s="15"/>
      <c r="T5635" s="15"/>
      <c r="U5635" s="15"/>
      <c r="V5635" s="15"/>
      <c r="W5635" s="15"/>
      <c r="X5635" s="15"/>
      <c r="Y5635" s="15"/>
      <c r="Z5635" s="15"/>
      <c r="AA5635" s="15"/>
    </row>
    <row r="5636">
      <c r="A5636" s="480">
        <v>44136.0</v>
      </c>
      <c r="B5636" s="15" t="s">
        <v>21519</v>
      </c>
      <c r="C5636" s="14" t="s">
        <v>21520</v>
      </c>
      <c r="D5636" s="14"/>
      <c r="E5636" s="14" t="s">
        <v>130</v>
      </c>
      <c r="F5636" s="433" t="s">
        <v>20648</v>
      </c>
      <c r="G5636" s="434"/>
      <c r="H5636" s="14" t="s">
        <v>44</v>
      </c>
      <c r="I5636" s="423"/>
      <c r="J5636" s="14" t="s">
        <v>17976</v>
      </c>
      <c r="K5636" s="13"/>
      <c r="L5636" s="13"/>
      <c r="M5636" s="14"/>
      <c r="N5636" s="15"/>
      <c r="O5636" s="15"/>
      <c r="P5636" s="15"/>
      <c r="Q5636" s="15"/>
      <c r="R5636" s="422"/>
      <c r="S5636" s="15"/>
      <c r="T5636" s="15"/>
      <c r="U5636" s="15"/>
      <c r="V5636" s="15"/>
      <c r="W5636" s="15"/>
      <c r="X5636" s="15"/>
      <c r="Y5636" s="15"/>
      <c r="Z5636" s="15"/>
      <c r="AA5636" s="15"/>
    </row>
    <row r="5637">
      <c r="A5637" s="480">
        <v>44136.0</v>
      </c>
      <c r="B5637" s="15" t="s">
        <v>21521</v>
      </c>
      <c r="C5637" s="14" t="s">
        <v>2125</v>
      </c>
      <c r="D5637" s="14"/>
      <c r="E5637" s="14" t="s">
        <v>167</v>
      </c>
      <c r="F5637" s="433" t="s">
        <v>18673</v>
      </c>
      <c r="G5637" s="434"/>
      <c r="H5637" s="14" t="s">
        <v>507</v>
      </c>
      <c r="I5637" s="423"/>
      <c r="J5637" s="14" t="s">
        <v>21522</v>
      </c>
      <c r="K5637" s="13"/>
      <c r="L5637" s="13"/>
      <c r="M5637" s="14" t="s">
        <v>21523</v>
      </c>
      <c r="N5637" s="15" t="s">
        <v>21524</v>
      </c>
      <c r="O5637" s="15"/>
      <c r="P5637" s="15"/>
      <c r="Q5637" s="15"/>
      <c r="R5637" s="422"/>
      <c r="S5637" s="15"/>
      <c r="T5637" s="15"/>
      <c r="U5637" s="15"/>
      <c r="V5637" s="15"/>
      <c r="W5637" s="15"/>
      <c r="X5637" s="15"/>
      <c r="Y5637" s="15"/>
      <c r="Z5637" s="15"/>
      <c r="AA5637" s="15"/>
    </row>
    <row r="5638">
      <c r="A5638" s="480">
        <v>44136.0</v>
      </c>
      <c r="B5638" s="15" t="s">
        <v>21525</v>
      </c>
      <c r="C5638" s="14" t="s">
        <v>21526</v>
      </c>
      <c r="D5638" s="14"/>
      <c r="E5638" s="14" t="s">
        <v>21527</v>
      </c>
      <c r="F5638" s="433" t="s">
        <v>20559</v>
      </c>
      <c r="G5638" s="434"/>
      <c r="H5638" s="14" t="s">
        <v>11725</v>
      </c>
      <c r="I5638" s="423"/>
      <c r="J5638" s="14" t="s">
        <v>17976</v>
      </c>
      <c r="K5638" s="13"/>
      <c r="L5638" s="13"/>
      <c r="M5638" s="14" t="s">
        <v>9901</v>
      </c>
      <c r="N5638" s="15" t="s">
        <v>5461</v>
      </c>
      <c r="O5638" s="15"/>
      <c r="P5638" s="15"/>
      <c r="Q5638" s="15"/>
      <c r="R5638" s="422"/>
      <c r="S5638" s="15"/>
      <c r="T5638" s="15"/>
      <c r="U5638" s="15"/>
      <c r="V5638" s="15"/>
      <c r="W5638" s="15"/>
      <c r="X5638" s="15"/>
      <c r="Y5638" s="15"/>
      <c r="Z5638" s="15"/>
      <c r="AA5638" s="15"/>
    </row>
    <row r="5639">
      <c r="A5639" s="480">
        <v>44136.0</v>
      </c>
      <c r="B5639" s="15" t="s">
        <v>21528</v>
      </c>
      <c r="C5639" s="4" t="s">
        <v>21529</v>
      </c>
      <c r="D5639" s="14"/>
      <c r="E5639" s="14" t="s">
        <v>1579</v>
      </c>
      <c r="F5639" s="433" t="s">
        <v>20401</v>
      </c>
      <c r="G5639" s="434"/>
      <c r="H5639" s="14" t="s">
        <v>3836</v>
      </c>
      <c r="I5639" s="423"/>
      <c r="J5639" s="14" t="s">
        <v>17976</v>
      </c>
      <c r="K5639" s="13"/>
      <c r="L5639" s="13"/>
      <c r="M5639" s="14" t="s">
        <v>21530</v>
      </c>
      <c r="N5639" s="15" t="s">
        <v>21531</v>
      </c>
      <c r="O5639" s="15"/>
      <c r="P5639" s="15"/>
      <c r="Q5639" s="15"/>
      <c r="R5639" s="422"/>
      <c r="S5639" s="15"/>
      <c r="T5639" s="15"/>
      <c r="U5639" s="15"/>
      <c r="V5639" s="15"/>
      <c r="W5639" s="15"/>
      <c r="X5639" s="15"/>
      <c r="Y5639" s="15"/>
      <c r="Z5639" s="15"/>
      <c r="AA5639" s="15"/>
    </row>
    <row r="5640">
      <c r="A5640" s="480">
        <v>44136.0</v>
      </c>
      <c r="B5640" s="15" t="s">
        <v>21532</v>
      </c>
      <c r="C5640" s="4" t="s">
        <v>21533</v>
      </c>
      <c r="D5640" s="14"/>
      <c r="E5640" s="14" t="s">
        <v>21534</v>
      </c>
      <c r="F5640" s="433"/>
      <c r="G5640" s="434"/>
      <c r="H5640" s="14" t="s">
        <v>21535</v>
      </c>
      <c r="I5640" s="423"/>
      <c r="J5640" s="14"/>
      <c r="K5640" s="13"/>
      <c r="L5640" s="13"/>
      <c r="M5640" s="14" t="s">
        <v>21536</v>
      </c>
      <c r="N5640" s="15" t="s">
        <v>21537</v>
      </c>
      <c r="O5640" s="15"/>
      <c r="P5640" s="15"/>
      <c r="Q5640" s="15"/>
      <c r="R5640" s="422"/>
      <c r="S5640" s="15"/>
      <c r="T5640" s="15"/>
      <c r="U5640" s="15"/>
      <c r="V5640" s="15"/>
      <c r="W5640" s="15"/>
      <c r="X5640" s="15"/>
      <c r="Y5640" s="15"/>
      <c r="Z5640" s="15"/>
      <c r="AA5640" s="15"/>
    </row>
    <row r="5641">
      <c r="A5641" s="480">
        <v>44136.0</v>
      </c>
      <c r="B5641" s="15" t="s">
        <v>21538</v>
      </c>
      <c r="C5641" s="14" t="s">
        <v>21539</v>
      </c>
      <c r="D5641" s="14"/>
      <c r="E5641" s="14" t="s">
        <v>21540</v>
      </c>
      <c r="F5641" s="433" t="s">
        <v>21541</v>
      </c>
      <c r="G5641" s="434"/>
      <c r="H5641" s="14" t="s">
        <v>3836</v>
      </c>
      <c r="I5641" s="423"/>
      <c r="J5641" s="14" t="s">
        <v>17976</v>
      </c>
      <c r="K5641" s="13"/>
      <c r="L5641" s="13"/>
      <c r="M5641" s="14" t="s">
        <v>9606</v>
      </c>
      <c r="N5641" s="15" t="s">
        <v>21542</v>
      </c>
      <c r="O5641" s="15"/>
      <c r="P5641" s="15"/>
      <c r="Q5641" s="15"/>
      <c r="R5641" s="422"/>
      <c r="S5641" s="15"/>
      <c r="T5641" s="15"/>
      <c r="U5641" s="15"/>
      <c r="V5641" s="15"/>
      <c r="W5641" s="15"/>
      <c r="X5641" s="15"/>
      <c r="Y5641" s="15"/>
      <c r="Z5641" s="15"/>
      <c r="AA5641" s="15"/>
    </row>
    <row r="5642">
      <c r="A5642" s="480">
        <v>44136.0</v>
      </c>
      <c r="B5642" s="15" t="s">
        <v>21543</v>
      </c>
      <c r="C5642" s="14" t="s">
        <v>21544</v>
      </c>
      <c r="D5642" s="14"/>
      <c r="E5642" s="14" t="s">
        <v>16616</v>
      </c>
      <c r="F5642" s="433" t="s">
        <v>20392</v>
      </c>
      <c r="G5642" s="434"/>
      <c r="H5642" s="14" t="s">
        <v>1315</v>
      </c>
      <c r="I5642" s="423"/>
      <c r="J5642" s="14" t="s">
        <v>21545</v>
      </c>
      <c r="K5642" s="13"/>
      <c r="L5642" s="13"/>
      <c r="M5642" s="14" t="s">
        <v>21546</v>
      </c>
      <c r="N5642" s="15" t="s">
        <v>21547</v>
      </c>
      <c r="O5642" s="15"/>
      <c r="P5642" s="15"/>
      <c r="Q5642" s="15"/>
      <c r="R5642" s="422"/>
      <c r="S5642" s="15"/>
      <c r="T5642" s="15"/>
      <c r="U5642" s="15"/>
      <c r="V5642" s="15"/>
      <c r="W5642" s="15"/>
      <c r="X5642" s="15"/>
      <c r="Y5642" s="15"/>
      <c r="Z5642" s="15"/>
      <c r="AA5642" s="15"/>
    </row>
    <row r="5643">
      <c r="A5643" s="480">
        <v>44136.0</v>
      </c>
      <c r="B5643" s="15" t="s">
        <v>21548</v>
      </c>
      <c r="C5643" s="4" t="s">
        <v>21549</v>
      </c>
      <c r="D5643" s="14"/>
      <c r="E5643" s="14" t="s">
        <v>21550</v>
      </c>
      <c r="F5643" s="433" t="s">
        <v>20436</v>
      </c>
      <c r="G5643" s="434"/>
      <c r="H5643" s="14" t="s">
        <v>3836</v>
      </c>
      <c r="I5643" s="423"/>
      <c r="J5643" s="14" t="s">
        <v>17976</v>
      </c>
      <c r="K5643" s="13"/>
      <c r="L5643" s="13"/>
      <c r="M5643" s="14" t="s">
        <v>21551</v>
      </c>
      <c r="N5643" s="15" t="s">
        <v>21552</v>
      </c>
      <c r="O5643" s="15"/>
      <c r="P5643" s="15"/>
      <c r="Q5643" s="15"/>
      <c r="R5643" s="422"/>
      <c r="S5643" s="15"/>
      <c r="T5643" s="15"/>
      <c r="U5643" s="15"/>
      <c r="V5643" s="15"/>
      <c r="W5643" s="15"/>
      <c r="X5643" s="15"/>
      <c r="Y5643" s="15"/>
      <c r="Z5643" s="15"/>
      <c r="AA5643" s="15"/>
    </row>
    <row r="5644">
      <c r="A5644" s="480">
        <v>44136.0</v>
      </c>
      <c r="B5644" s="15" t="s">
        <v>21553</v>
      </c>
      <c r="C5644" s="14" t="s">
        <v>21554</v>
      </c>
      <c r="D5644" s="14"/>
      <c r="E5644" s="14" t="s">
        <v>21555</v>
      </c>
      <c r="F5644" s="433"/>
      <c r="G5644" s="434"/>
      <c r="H5644" s="14"/>
      <c r="I5644" s="423"/>
      <c r="J5644" s="14"/>
      <c r="K5644" s="13"/>
      <c r="L5644" s="13"/>
      <c r="M5644" s="14"/>
      <c r="N5644" s="15"/>
      <c r="O5644" s="15"/>
      <c r="P5644" s="15"/>
      <c r="Q5644" s="15"/>
      <c r="R5644" s="422"/>
      <c r="S5644" s="15"/>
      <c r="T5644" s="15"/>
      <c r="U5644" s="15"/>
      <c r="V5644" s="15"/>
      <c r="W5644" s="15"/>
      <c r="X5644" s="15"/>
      <c r="Y5644" s="15"/>
      <c r="Z5644" s="15"/>
      <c r="AA5644" s="15"/>
    </row>
    <row r="5645">
      <c r="A5645" s="480">
        <v>44136.0</v>
      </c>
      <c r="B5645" s="15" t="s">
        <v>21556</v>
      </c>
      <c r="C5645" s="4" t="s">
        <v>5931</v>
      </c>
      <c r="D5645" s="14"/>
      <c r="E5645" s="14" t="s">
        <v>21557</v>
      </c>
      <c r="F5645" s="433" t="s">
        <v>19206</v>
      </c>
      <c r="G5645" s="434"/>
      <c r="H5645" s="14" t="s">
        <v>21558</v>
      </c>
      <c r="I5645" s="423"/>
      <c r="J5645" s="14" t="s">
        <v>17976</v>
      </c>
      <c r="K5645" s="13"/>
      <c r="L5645" s="13"/>
      <c r="M5645" s="14" t="s">
        <v>21559</v>
      </c>
      <c r="N5645" s="15" t="s">
        <v>21560</v>
      </c>
      <c r="O5645" s="15"/>
      <c r="P5645" s="15"/>
      <c r="Q5645" s="15"/>
      <c r="R5645" s="422"/>
      <c r="S5645" s="15"/>
      <c r="T5645" s="15"/>
      <c r="U5645" s="15"/>
      <c r="V5645" s="15"/>
      <c r="W5645" s="15"/>
      <c r="X5645" s="15"/>
      <c r="Y5645" s="15"/>
      <c r="Z5645" s="15"/>
      <c r="AA5645" s="15"/>
    </row>
    <row r="5646">
      <c r="A5646" s="480">
        <v>44136.0</v>
      </c>
      <c r="B5646" s="15" t="s">
        <v>21561</v>
      </c>
      <c r="C5646" s="4" t="s">
        <v>21562</v>
      </c>
      <c r="D5646" s="14"/>
      <c r="E5646" s="14" t="s">
        <v>5014</v>
      </c>
      <c r="F5646" s="433" t="s">
        <v>18673</v>
      </c>
      <c r="G5646" s="434"/>
      <c r="H5646" s="14" t="s">
        <v>3861</v>
      </c>
      <c r="I5646" s="423"/>
      <c r="J5646" s="14" t="s">
        <v>21178</v>
      </c>
      <c r="K5646" s="13"/>
      <c r="L5646" s="13"/>
      <c r="M5646" s="14" t="s">
        <v>8782</v>
      </c>
      <c r="N5646" s="15" t="s">
        <v>21563</v>
      </c>
      <c r="O5646" s="15"/>
      <c r="P5646" s="15"/>
      <c r="Q5646" s="15"/>
      <c r="R5646" s="422"/>
      <c r="S5646" s="15"/>
      <c r="T5646" s="15"/>
      <c r="U5646" s="15"/>
      <c r="V5646" s="15"/>
      <c r="W5646" s="15"/>
      <c r="X5646" s="15"/>
      <c r="Y5646" s="15"/>
      <c r="Z5646" s="15"/>
      <c r="AA5646" s="15"/>
    </row>
    <row r="5647">
      <c r="A5647" s="480">
        <v>44105.0</v>
      </c>
      <c r="B5647" s="15" t="s">
        <v>21564</v>
      </c>
      <c r="C5647" s="4" t="s">
        <v>21565</v>
      </c>
      <c r="D5647" s="14"/>
      <c r="E5647" s="14" t="s">
        <v>167</v>
      </c>
      <c r="F5647" s="433"/>
      <c r="G5647" s="434"/>
      <c r="H5647" s="14" t="s">
        <v>2882</v>
      </c>
      <c r="I5647" s="423"/>
      <c r="J5647" s="14"/>
      <c r="K5647" s="13"/>
      <c r="L5647" s="13"/>
      <c r="M5647" s="14"/>
      <c r="N5647" s="15"/>
      <c r="O5647" s="15"/>
      <c r="P5647" s="15"/>
      <c r="Q5647" s="15"/>
      <c r="R5647" s="422"/>
      <c r="S5647" s="15"/>
      <c r="T5647" s="15"/>
      <c r="U5647" s="15"/>
      <c r="V5647" s="15"/>
      <c r="W5647" s="15"/>
      <c r="X5647" s="15"/>
      <c r="Y5647" s="15"/>
      <c r="Z5647" s="15"/>
      <c r="AA5647" s="15"/>
    </row>
    <row r="5648">
      <c r="A5648" s="480">
        <v>44105.0</v>
      </c>
      <c r="B5648" s="15" t="s">
        <v>21566</v>
      </c>
      <c r="C5648" s="14" t="s">
        <v>21567</v>
      </c>
      <c r="D5648" s="14"/>
      <c r="E5648" s="14" t="s">
        <v>167</v>
      </c>
      <c r="F5648" s="433" t="s">
        <v>20416</v>
      </c>
      <c r="G5648" s="434"/>
      <c r="H5648" s="14" t="s">
        <v>2682</v>
      </c>
      <c r="I5648" s="423"/>
      <c r="J5648" s="14" t="s">
        <v>20151</v>
      </c>
      <c r="K5648" s="13"/>
      <c r="L5648" s="13"/>
      <c r="M5648" s="14"/>
      <c r="N5648" s="15"/>
      <c r="O5648" s="15"/>
      <c r="P5648" s="15"/>
      <c r="Q5648" s="15"/>
      <c r="R5648" s="422"/>
      <c r="S5648" s="15"/>
      <c r="T5648" s="15"/>
      <c r="U5648" s="15"/>
      <c r="V5648" s="15"/>
      <c r="W5648" s="15"/>
      <c r="X5648" s="15"/>
      <c r="Y5648" s="15"/>
      <c r="Z5648" s="15"/>
      <c r="AA5648" s="15"/>
    </row>
    <row r="5649">
      <c r="A5649" s="480">
        <v>44105.0</v>
      </c>
      <c r="B5649" s="15" t="s">
        <v>21568</v>
      </c>
      <c r="C5649" s="14" t="s">
        <v>21569</v>
      </c>
      <c r="D5649" s="14"/>
      <c r="E5649" s="14" t="s">
        <v>116</v>
      </c>
      <c r="F5649" s="433"/>
      <c r="G5649" s="434"/>
      <c r="H5649" s="14" t="s">
        <v>99</v>
      </c>
      <c r="I5649" s="423"/>
      <c r="J5649" s="14"/>
      <c r="K5649" s="13"/>
      <c r="L5649" s="13"/>
      <c r="M5649" s="14"/>
      <c r="N5649" s="15"/>
      <c r="O5649" s="15"/>
      <c r="P5649" s="15"/>
      <c r="Q5649" s="15"/>
      <c r="R5649" s="422"/>
      <c r="S5649" s="15"/>
      <c r="T5649" s="15"/>
      <c r="U5649" s="15"/>
      <c r="V5649" s="15"/>
      <c r="W5649" s="15"/>
      <c r="X5649" s="15"/>
      <c r="Y5649" s="15"/>
      <c r="Z5649" s="15"/>
      <c r="AA5649" s="15"/>
    </row>
    <row r="5650">
      <c r="A5650" s="480">
        <v>44105.0</v>
      </c>
      <c r="B5650" s="15" t="s">
        <v>21570</v>
      </c>
      <c r="C5650" s="14" t="s">
        <v>21571</v>
      </c>
      <c r="D5650" s="14"/>
      <c r="E5650" s="14" t="s">
        <v>21572</v>
      </c>
      <c r="F5650" s="433" t="s">
        <v>20436</v>
      </c>
      <c r="G5650" s="434"/>
      <c r="H5650" s="14" t="s">
        <v>519</v>
      </c>
      <c r="I5650" s="423"/>
      <c r="J5650" s="14" t="s">
        <v>25</v>
      </c>
      <c r="K5650" s="13"/>
      <c r="L5650" s="13"/>
      <c r="M5650" s="14" t="s">
        <v>12184</v>
      </c>
      <c r="N5650" s="15" t="s">
        <v>21573</v>
      </c>
      <c r="O5650" s="15"/>
      <c r="P5650" s="15"/>
      <c r="Q5650" s="15"/>
      <c r="R5650" s="422"/>
      <c r="S5650" s="15"/>
      <c r="T5650" s="15"/>
      <c r="U5650" s="15"/>
      <c r="V5650" s="15"/>
      <c r="W5650" s="15"/>
      <c r="X5650" s="15"/>
      <c r="Y5650" s="15"/>
      <c r="Z5650" s="15"/>
      <c r="AA5650" s="15"/>
    </row>
    <row r="5651">
      <c r="A5651" s="480">
        <v>44105.0</v>
      </c>
      <c r="B5651" s="15" t="s">
        <v>21574</v>
      </c>
      <c r="C5651" s="14" t="s">
        <v>21575</v>
      </c>
      <c r="D5651" s="14"/>
      <c r="E5651" s="14" t="s">
        <v>152</v>
      </c>
      <c r="F5651" s="433" t="s">
        <v>20284</v>
      </c>
      <c r="G5651" s="434"/>
      <c r="H5651" s="14" t="s">
        <v>17213</v>
      </c>
      <c r="I5651" s="423"/>
      <c r="J5651" s="14" t="s">
        <v>21461</v>
      </c>
      <c r="K5651" s="13"/>
      <c r="L5651" s="13"/>
      <c r="M5651" s="14" t="s">
        <v>9776</v>
      </c>
      <c r="N5651" s="15" t="s">
        <v>21576</v>
      </c>
      <c r="O5651" s="15"/>
      <c r="P5651" s="15"/>
      <c r="Q5651" s="15"/>
      <c r="R5651" s="422"/>
      <c r="S5651" s="15"/>
      <c r="T5651" s="15"/>
      <c r="U5651" s="15"/>
      <c r="V5651" s="15"/>
      <c r="W5651" s="15"/>
      <c r="X5651" s="15"/>
      <c r="Y5651" s="15"/>
      <c r="Z5651" s="15"/>
      <c r="AA5651" s="15"/>
    </row>
    <row r="5652">
      <c r="A5652" s="480">
        <v>44105.0</v>
      </c>
      <c r="B5652" s="15" t="s">
        <v>21577</v>
      </c>
      <c r="C5652" s="14" t="s">
        <v>15700</v>
      </c>
      <c r="D5652" s="14"/>
      <c r="E5652" s="14" t="s">
        <v>21578</v>
      </c>
      <c r="F5652" s="433" t="s">
        <v>20284</v>
      </c>
      <c r="G5652" s="434"/>
      <c r="H5652" s="14" t="s">
        <v>519</v>
      </c>
      <c r="I5652" s="423"/>
      <c r="J5652" s="14" t="s">
        <v>17976</v>
      </c>
      <c r="K5652" s="13"/>
      <c r="L5652" s="13"/>
      <c r="M5652" s="14"/>
      <c r="N5652" s="15"/>
      <c r="O5652" s="15"/>
      <c r="P5652" s="15"/>
      <c r="Q5652" s="15"/>
      <c r="R5652" s="422"/>
      <c r="S5652" s="15"/>
      <c r="T5652" s="15"/>
      <c r="U5652" s="15"/>
      <c r="V5652" s="15"/>
      <c r="W5652" s="15"/>
      <c r="X5652" s="15"/>
      <c r="Y5652" s="15"/>
      <c r="Z5652" s="15"/>
      <c r="AA5652" s="15"/>
    </row>
    <row r="5653">
      <c r="A5653" s="480">
        <v>44105.0</v>
      </c>
      <c r="B5653" s="15" t="s">
        <v>21579</v>
      </c>
      <c r="C5653" s="14" t="s">
        <v>21580</v>
      </c>
      <c r="D5653" s="14"/>
      <c r="E5653" s="14" t="s">
        <v>106</v>
      </c>
      <c r="F5653" s="433"/>
      <c r="G5653" s="434"/>
      <c r="H5653" s="14"/>
      <c r="I5653" s="423"/>
      <c r="J5653" s="14"/>
      <c r="K5653" s="13"/>
      <c r="L5653" s="13"/>
      <c r="M5653" s="14"/>
      <c r="N5653" s="15"/>
      <c r="O5653" s="15"/>
      <c r="P5653" s="15"/>
      <c r="Q5653" s="15"/>
      <c r="R5653" s="422"/>
      <c r="S5653" s="15"/>
      <c r="T5653" s="15"/>
      <c r="U5653" s="15"/>
      <c r="V5653" s="15"/>
      <c r="W5653" s="15"/>
      <c r="X5653" s="15"/>
      <c r="Y5653" s="15"/>
      <c r="Z5653" s="15"/>
      <c r="AA5653" s="15"/>
    </row>
    <row r="5654">
      <c r="A5654" s="480">
        <v>44105.0</v>
      </c>
      <c r="B5654" s="15" t="s">
        <v>21581</v>
      </c>
      <c r="C5654" s="14" t="s">
        <v>21582</v>
      </c>
      <c r="D5654" s="14"/>
      <c r="E5654" s="14" t="s">
        <v>152</v>
      </c>
      <c r="F5654" s="433" t="s">
        <v>20398</v>
      </c>
      <c r="G5654" s="434"/>
      <c r="H5654" s="14" t="s">
        <v>7922</v>
      </c>
      <c r="I5654" s="423"/>
      <c r="J5654" s="14"/>
      <c r="K5654" s="13"/>
      <c r="L5654" s="13"/>
      <c r="M5654" s="14"/>
      <c r="N5654" s="15"/>
      <c r="O5654" s="15"/>
      <c r="P5654" s="15"/>
      <c r="Q5654" s="15"/>
      <c r="R5654" s="422"/>
      <c r="S5654" s="15"/>
      <c r="T5654" s="15"/>
      <c r="U5654" s="15"/>
      <c r="V5654" s="15"/>
      <c r="W5654" s="15"/>
      <c r="X5654" s="15"/>
      <c r="Y5654" s="15"/>
      <c r="Z5654" s="15"/>
      <c r="AA5654" s="15"/>
    </row>
    <row r="5655">
      <c r="A5655" s="480">
        <v>44105.0</v>
      </c>
      <c r="B5655" s="15" t="s">
        <v>21583</v>
      </c>
      <c r="C5655" s="14" t="s">
        <v>21584</v>
      </c>
      <c r="D5655" s="14"/>
      <c r="E5655" s="14" t="s">
        <v>4085</v>
      </c>
      <c r="F5655" s="433" t="s">
        <v>20648</v>
      </c>
      <c r="G5655" s="434"/>
      <c r="H5655" s="14"/>
      <c r="I5655" s="423"/>
      <c r="J5655" s="14" t="s">
        <v>17976</v>
      </c>
      <c r="K5655" s="13"/>
      <c r="L5655" s="13"/>
      <c r="M5655" s="14"/>
      <c r="N5655" s="15"/>
      <c r="O5655" s="15"/>
      <c r="P5655" s="15"/>
      <c r="Q5655" s="15"/>
      <c r="R5655" s="422"/>
      <c r="S5655" s="15"/>
      <c r="T5655" s="15"/>
      <c r="U5655" s="15"/>
      <c r="V5655" s="15"/>
      <c r="W5655" s="15"/>
      <c r="X5655" s="15"/>
      <c r="Y5655" s="15"/>
      <c r="Z5655" s="15"/>
      <c r="AA5655" s="15"/>
    </row>
    <row r="5656">
      <c r="A5656" s="480">
        <v>44105.0</v>
      </c>
      <c r="B5656" s="15" t="s">
        <v>21585</v>
      </c>
      <c r="C5656" s="14" t="s">
        <v>21586</v>
      </c>
      <c r="D5656" s="14"/>
      <c r="E5656" s="14" t="s">
        <v>10622</v>
      </c>
      <c r="F5656" s="433" t="s">
        <v>20284</v>
      </c>
      <c r="G5656" s="434"/>
      <c r="H5656" s="14" t="s">
        <v>7280</v>
      </c>
      <c r="I5656" s="423"/>
      <c r="J5656" s="14" t="s">
        <v>17976</v>
      </c>
      <c r="K5656" s="13"/>
      <c r="L5656" s="13"/>
      <c r="M5656" s="14" t="s">
        <v>16808</v>
      </c>
      <c r="N5656" s="15" t="s">
        <v>21587</v>
      </c>
      <c r="O5656" s="15"/>
      <c r="P5656" s="15"/>
      <c r="Q5656" s="15"/>
      <c r="R5656" s="422"/>
      <c r="S5656" s="15"/>
      <c r="T5656" s="15"/>
      <c r="U5656" s="15"/>
      <c r="V5656" s="15"/>
      <c r="W5656" s="15"/>
      <c r="X5656" s="15"/>
      <c r="Y5656" s="15"/>
      <c r="Z5656" s="15"/>
      <c r="AA5656" s="15"/>
    </row>
    <row r="5657">
      <c r="A5657" s="480">
        <v>44105.0</v>
      </c>
      <c r="B5657" s="15" t="s">
        <v>21588</v>
      </c>
      <c r="C5657" s="14" t="s">
        <v>18642</v>
      </c>
      <c r="D5657" s="14"/>
      <c r="E5657" s="14" t="s">
        <v>21589</v>
      </c>
      <c r="F5657" s="433" t="s">
        <v>18673</v>
      </c>
      <c r="G5657" s="434"/>
      <c r="H5657" s="14"/>
      <c r="I5657" s="423"/>
      <c r="J5657" s="14"/>
      <c r="K5657" s="13"/>
      <c r="L5657" s="13"/>
      <c r="M5657" s="14"/>
      <c r="N5657" s="15"/>
      <c r="O5657" s="15"/>
      <c r="P5657" s="15"/>
      <c r="Q5657" s="15"/>
      <c r="R5657" s="422"/>
      <c r="S5657" s="15"/>
      <c r="T5657" s="15"/>
      <c r="U5657" s="15"/>
      <c r="V5657" s="15"/>
      <c r="W5657" s="15"/>
      <c r="X5657" s="15"/>
      <c r="Y5657" s="15"/>
      <c r="Z5657" s="15"/>
      <c r="AA5657" s="15"/>
    </row>
    <row r="5658">
      <c r="A5658" s="480">
        <v>44105.0</v>
      </c>
      <c r="B5658" s="15" t="s">
        <v>21590</v>
      </c>
      <c r="C5658" s="14" t="s">
        <v>21591</v>
      </c>
      <c r="D5658" s="14"/>
      <c r="E5658" s="14" t="s">
        <v>17393</v>
      </c>
      <c r="F5658" s="433" t="s">
        <v>20329</v>
      </c>
      <c r="G5658" s="434"/>
      <c r="H5658" s="14" t="s">
        <v>507</v>
      </c>
      <c r="I5658" s="423"/>
      <c r="J5658" s="14"/>
      <c r="K5658" s="13"/>
      <c r="L5658" s="13"/>
      <c r="M5658" s="14"/>
      <c r="N5658" s="15"/>
      <c r="O5658" s="15"/>
      <c r="P5658" s="15"/>
      <c r="Q5658" s="15"/>
      <c r="R5658" s="422"/>
      <c r="S5658" s="15"/>
      <c r="T5658" s="15"/>
      <c r="U5658" s="15"/>
      <c r="V5658" s="15"/>
      <c r="W5658" s="15"/>
      <c r="X5658" s="15"/>
      <c r="Y5658" s="15"/>
      <c r="Z5658" s="15"/>
      <c r="AA5658" s="15"/>
    </row>
    <row r="5659">
      <c r="A5659" s="480">
        <v>44105.0</v>
      </c>
      <c r="B5659" s="15" t="s">
        <v>21592</v>
      </c>
      <c r="C5659" s="14" t="s">
        <v>21593</v>
      </c>
      <c r="D5659" s="14"/>
      <c r="E5659" s="14" t="s">
        <v>9486</v>
      </c>
      <c r="F5659" s="433" t="s">
        <v>20392</v>
      </c>
      <c r="G5659" s="434"/>
      <c r="H5659" s="14" t="s">
        <v>99</v>
      </c>
      <c r="I5659" s="423"/>
      <c r="J5659" s="14" t="s">
        <v>25</v>
      </c>
      <c r="K5659" s="13"/>
      <c r="L5659" s="13"/>
      <c r="M5659" s="14" t="s">
        <v>13290</v>
      </c>
      <c r="N5659" s="15" t="s">
        <v>21594</v>
      </c>
      <c r="O5659" s="15"/>
      <c r="P5659" s="15"/>
      <c r="Q5659" s="15"/>
      <c r="R5659" s="422"/>
      <c r="S5659" s="15"/>
      <c r="T5659" s="15"/>
      <c r="U5659" s="15"/>
      <c r="V5659" s="15"/>
      <c r="W5659" s="15"/>
      <c r="X5659" s="15"/>
      <c r="Y5659" s="15"/>
      <c r="Z5659" s="15"/>
      <c r="AA5659" s="15"/>
    </row>
    <row r="5660">
      <c r="A5660" s="480">
        <v>44105.0</v>
      </c>
      <c r="B5660" s="15" t="s">
        <v>21595</v>
      </c>
      <c r="C5660" s="14" t="s">
        <v>21596</v>
      </c>
      <c r="D5660" s="14"/>
      <c r="E5660" s="14" t="s">
        <v>130</v>
      </c>
      <c r="F5660" s="433" t="s">
        <v>20429</v>
      </c>
      <c r="G5660" s="434"/>
      <c r="H5660" s="14" t="s">
        <v>184</v>
      </c>
      <c r="I5660" s="423"/>
      <c r="J5660" s="14" t="s">
        <v>25</v>
      </c>
      <c r="K5660" s="13"/>
      <c r="L5660" s="13"/>
      <c r="M5660" s="14"/>
      <c r="N5660" s="15"/>
      <c r="O5660" s="15"/>
      <c r="P5660" s="15"/>
      <c r="Q5660" s="15"/>
      <c r="R5660" s="422"/>
      <c r="S5660" s="15"/>
      <c r="T5660" s="15"/>
      <c r="U5660" s="15"/>
      <c r="V5660" s="15"/>
      <c r="W5660" s="15"/>
      <c r="X5660" s="15"/>
      <c r="Y5660" s="15"/>
      <c r="Z5660" s="15"/>
      <c r="AA5660" s="15"/>
    </row>
    <row r="5661">
      <c r="A5661" s="480">
        <v>44105.0</v>
      </c>
      <c r="B5661" s="15" t="s">
        <v>21597</v>
      </c>
      <c r="C5661" s="14" t="s">
        <v>21598</v>
      </c>
      <c r="D5661" s="14"/>
      <c r="E5661" s="14" t="s">
        <v>167</v>
      </c>
      <c r="F5661" s="433" t="s">
        <v>20416</v>
      </c>
      <c r="G5661" s="434"/>
      <c r="H5661" s="14" t="s">
        <v>2662</v>
      </c>
      <c r="I5661" s="423"/>
      <c r="J5661" s="14" t="s">
        <v>20151</v>
      </c>
      <c r="K5661" s="13"/>
      <c r="L5661" s="13"/>
      <c r="M5661" s="14"/>
      <c r="N5661" s="15"/>
      <c r="O5661" s="15"/>
      <c r="P5661" s="15"/>
      <c r="Q5661" s="15"/>
      <c r="R5661" s="422"/>
      <c r="S5661" s="15"/>
      <c r="T5661" s="15"/>
      <c r="U5661" s="15"/>
      <c r="V5661" s="15"/>
      <c r="W5661" s="15"/>
      <c r="X5661" s="15"/>
      <c r="Y5661" s="15"/>
      <c r="Z5661" s="15"/>
      <c r="AA5661" s="15"/>
    </row>
    <row r="5662">
      <c r="A5662" s="480">
        <v>44105.0</v>
      </c>
      <c r="B5662" s="15" t="s">
        <v>21599</v>
      </c>
      <c r="C5662" s="14" t="s">
        <v>2223</v>
      </c>
      <c r="D5662" s="14"/>
      <c r="E5662" s="14" t="s">
        <v>130</v>
      </c>
      <c r="F5662" s="433" t="s">
        <v>20392</v>
      </c>
      <c r="G5662" s="434"/>
      <c r="H5662" s="14" t="s">
        <v>507</v>
      </c>
      <c r="I5662" s="423"/>
      <c r="J5662" s="14" t="s">
        <v>25</v>
      </c>
      <c r="K5662" s="13"/>
      <c r="L5662" s="13"/>
      <c r="M5662" s="14"/>
      <c r="N5662" s="15"/>
      <c r="O5662" s="15"/>
      <c r="P5662" s="15"/>
      <c r="Q5662" s="15"/>
      <c r="R5662" s="422"/>
      <c r="S5662" s="15"/>
      <c r="T5662" s="15"/>
      <c r="U5662" s="15"/>
      <c r="V5662" s="15"/>
      <c r="W5662" s="15"/>
      <c r="X5662" s="15"/>
      <c r="Y5662" s="15"/>
      <c r="Z5662" s="15"/>
      <c r="AA5662" s="15"/>
    </row>
    <row r="5663">
      <c r="A5663" s="480">
        <v>44105.0</v>
      </c>
      <c r="B5663" s="15" t="s">
        <v>21600</v>
      </c>
      <c r="C5663" s="14" t="s">
        <v>21601</v>
      </c>
      <c r="D5663" s="14"/>
      <c r="E5663" s="14" t="s">
        <v>21602</v>
      </c>
      <c r="F5663" s="433" t="s">
        <v>21603</v>
      </c>
      <c r="G5663" s="434"/>
      <c r="H5663" s="14" t="s">
        <v>44</v>
      </c>
      <c r="I5663" s="423"/>
      <c r="J5663" s="14" t="s">
        <v>19137</v>
      </c>
      <c r="K5663" s="13"/>
      <c r="L5663" s="13"/>
      <c r="M5663" s="14" t="s">
        <v>9685</v>
      </c>
      <c r="N5663" s="15" t="s">
        <v>21604</v>
      </c>
      <c r="O5663" s="15"/>
      <c r="P5663" s="15"/>
      <c r="Q5663" s="15"/>
      <c r="R5663" s="422"/>
      <c r="S5663" s="15"/>
      <c r="T5663" s="15"/>
      <c r="U5663" s="15"/>
      <c r="V5663" s="15"/>
      <c r="W5663" s="15"/>
      <c r="X5663" s="15"/>
      <c r="Y5663" s="15"/>
      <c r="Z5663" s="15"/>
      <c r="AA5663" s="15"/>
    </row>
    <row r="5664">
      <c r="A5664" s="480">
        <v>44105.0</v>
      </c>
      <c r="B5664" s="15" t="s">
        <v>21605</v>
      </c>
      <c r="C5664" s="4" t="s">
        <v>21606</v>
      </c>
      <c r="D5664" s="14"/>
      <c r="E5664" s="14" t="s">
        <v>21607</v>
      </c>
      <c r="F5664" s="433"/>
      <c r="G5664" s="434"/>
      <c r="H5664" s="14"/>
      <c r="I5664" s="423"/>
      <c r="J5664" s="14"/>
      <c r="K5664" s="13"/>
      <c r="L5664" s="13"/>
      <c r="M5664" s="14"/>
      <c r="N5664" s="15"/>
      <c r="O5664" s="15"/>
      <c r="P5664" s="15"/>
      <c r="Q5664" s="15"/>
      <c r="R5664" s="422"/>
      <c r="S5664" s="15"/>
      <c r="T5664" s="15"/>
      <c r="U5664" s="15"/>
      <c r="V5664" s="15"/>
      <c r="W5664" s="15"/>
      <c r="X5664" s="15"/>
      <c r="Y5664" s="15"/>
      <c r="Z5664" s="15"/>
      <c r="AA5664" s="15"/>
    </row>
    <row r="5665">
      <c r="A5665" s="480">
        <v>44105.0</v>
      </c>
      <c r="B5665" s="15" t="s">
        <v>21608</v>
      </c>
      <c r="C5665" s="14" t="s">
        <v>21154</v>
      </c>
      <c r="D5665" s="14"/>
      <c r="E5665" s="14" t="s">
        <v>11636</v>
      </c>
      <c r="F5665" s="433"/>
      <c r="G5665" s="434"/>
      <c r="H5665" s="14"/>
      <c r="I5665" s="423"/>
      <c r="J5665" s="14"/>
      <c r="K5665" s="13"/>
      <c r="L5665" s="13"/>
      <c r="M5665" s="14"/>
      <c r="N5665" s="15"/>
      <c r="O5665" s="15"/>
      <c r="P5665" s="15"/>
      <c r="Q5665" s="15"/>
      <c r="R5665" s="422"/>
      <c r="S5665" s="15"/>
      <c r="T5665" s="15"/>
      <c r="U5665" s="15"/>
      <c r="V5665" s="15"/>
      <c r="W5665" s="15"/>
      <c r="X5665" s="15"/>
      <c r="Y5665" s="15"/>
      <c r="Z5665" s="15"/>
      <c r="AA5665" s="15"/>
    </row>
    <row r="5666">
      <c r="A5666" s="480">
        <v>44105.0</v>
      </c>
      <c r="B5666" s="15" t="s">
        <v>21609</v>
      </c>
      <c r="C5666" s="14"/>
      <c r="D5666" s="14"/>
      <c r="E5666" s="14" t="s">
        <v>167</v>
      </c>
      <c r="F5666" s="433" t="s">
        <v>21059</v>
      </c>
      <c r="G5666" s="434"/>
      <c r="H5666" s="14"/>
      <c r="I5666" s="423"/>
      <c r="J5666" s="14"/>
      <c r="K5666" s="13"/>
      <c r="L5666" s="13"/>
      <c r="M5666" s="14"/>
      <c r="N5666" s="15"/>
      <c r="O5666" s="15"/>
      <c r="P5666" s="15"/>
      <c r="Q5666" s="15"/>
      <c r="R5666" s="422"/>
      <c r="S5666" s="15"/>
      <c r="T5666" s="15"/>
      <c r="U5666" s="15"/>
      <c r="V5666" s="15"/>
      <c r="W5666" s="15"/>
      <c r="X5666" s="15"/>
      <c r="Y5666" s="15"/>
      <c r="Z5666" s="15"/>
      <c r="AA5666" s="15"/>
    </row>
    <row r="5667">
      <c r="A5667" s="480">
        <v>44105.0</v>
      </c>
      <c r="B5667" s="15" t="s">
        <v>21610</v>
      </c>
      <c r="C5667" s="14" t="s">
        <v>21611</v>
      </c>
      <c r="D5667" s="14"/>
      <c r="E5667" s="14" t="s">
        <v>130</v>
      </c>
      <c r="F5667" s="433" t="s">
        <v>18673</v>
      </c>
      <c r="G5667" s="434"/>
      <c r="H5667" s="14" t="s">
        <v>507</v>
      </c>
      <c r="I5667" s="423"/>
      <c r="J5667" s="14" t="s">
        <v>9814</v>
      </c>
      <c r="K5667" s="13"/>
      <c r="L5667" s="13"/>
      <c r="M5667" s="14"/>
      <c r="N5667" s="15"/>
      <c r="O5667" s="15"/>
      <c r="P5667" s="15"/>
      <c r="Q5667" s="15"/>
      <c r="R5667" s="422"/>
      <c r="S5667" s="15"/>
      <c r="T5667" s="15"/>
      <c r="U5667" s="15"/>
      <c r="V5667" s="15"/>
      <c r="W5667" s="15"/>
      <c r="X5667" s="15"/>
      <c r="Y5667" s="15"/>
      <c r="Z5667" s="15"/>
      <c r="AA5667" s="15"/>
    </row>
    <row r="5668">
      <c r="A5668" s="480">
        <v>44105.0</v>
      </c>
      <c r="B5668" s="15" t="s">
        <v>21612</v>
      </c>
      <c r="C5668" s="14" t="s">
        <v>4438</v>
      </c>
      <c r="D5668" s="14"/>
      <c r="E5668" s="14" t="s">
        <v>130</v>
      </c>
      <c r="F5668" s="433" t="s">
        <v>18673</v>
      </c>
      <c r="G5668" s="434"/>
      <c r="H5668" s="14" t="s">
        <v>14534</v>
      </c>
      <c r="I5668" s="423"/>
      <c r="J5668" s="14" t="s">
        <v>25</v>
      </c>
      <c r="K5668" s="13"/>
      <c r="L5668" s="13"/>
      <c r="M5668" s="14"/>
      <c r="N5668" s="15"/>
      <c r="O5668" s="15"/>
      <c r="P5668" s="15"/>
      <c r="Q5668" s="15"/>
      <c r="R5668" s="422"/>
      <c r="S5668" s="15"/>
      <c r="T5668" s="15"/>
      <c r="U5668" s="15"/>
      <c r="V5668" s="15"/>
      <c r="W5668" s="15"/>
      <c r="X5668" s="15"/>
      <c r="Y5668" s="15"/>
      <c r="Z5668" s="15"/>
      <c r="AA5668" s="15"/>
    </row>
    <row r="5669">
      <c r="A5669" s="480">
        <v>44105.0</v>
      </c>
      <c r="B5669" s="15" t="s">
        <v>21613</v>
      </c>
      <c r="C5669" s="14" t="s">
        <v>21614</v>
      </c>
      <c r="D5669" s="14"/>
      <c r="E5669" s="14" t="s">
        <v>21615</v>
      </c>
      <c r="F5669" s="433" t="s">
        <v>20329</v>
      </c>
      <c r="G5669" s="434"/>
      <c r="H5669" s="14" t="s">
        <v>2682</v>
      </c>
      <c r="I5669" s="423"/>
      <c r="J5669" s="14" t="s">
        <v>21616</v>
      </c>
      <c r="K5669" s="13"/>
      <c r="L5669" s="13"/>
      <c r="M5669" s="14" t="s">
        <v>13290</v>
      </c>
      <c r="N5669" s="15" t="s">
        <v>21617</v>
      </c>
      <c r="O5669" s="15"/>
      <c r="P5669" s="15"/>
      <c r="Q5669" s="15"/>
      <c r="R5669" s="422"/>
      <c r="S5669" s="15"/>
      <c r="T5669" s="15"/>
      <c r="U5669" s="15"/>
      <c r="V5669" s="15"/>
      <c r="W5669" s="15"/>
      <c r="X5669" s="15"/>
      <c r="Y5669" s="15"/>
      <c r="Z5669" s="15"/>
      <c r="AA5669" s="15"/>
    </row>
    <row r="5670">
      <c r="A5670" s="480">
        <v>44105.0</v>
      </c>
      <c r="B5670" s="15" t="s">
        <v>21618</v>
      </c>
      <c r="C5670" s="4" t="s">
        <v>21619</v>
      </c>
      <c r="D5670" s="14"/>
      <c r="E5670" s="14" t="s">
        <v>21620</v>
      </c>
      <c r="F5670" s="433" t="s">
        <v>21621</v>
      </c>
      <c r="G5670" s="434"/>
      <c r="H5670" s="14" t="s">
        <v>507</v>
      </c>
      <c r="I5670" s="423"/>
      <c r="J5670" s="14" t="s">
        <v>21048</v>
      </c>
      <c r="K5670" s="13"/>
      <c r="L5670" s="13"/>
      <c r="M5670" s="14"/>
      <c r="N5670" s="15"/>
      <c r="O5670" s="15"/>
      <c r="P5670" s="15"/>
      <c r="Q5670" s="15"/>
      <c r="R5670" s="422"/>
      <c r="S5670" s="15"/>
      <c r="T5670" s="15"/>
      <c r="U5670" s="15"/>
      <c r="V5670" s="15"/>
      <c r="W5670" s="15"/>
      <c r="X5670" s="15"/>
      <c r="Y5670" s="15"/>
      <c r="Z5670" s="15"/>
      <c r="AA5670" s="15"/>
    </row>
    <row r="5671">
      <c r="A5671" s="480">
        <v>44105.0</v>
      </c>
      <c r="B5671" s="15" t="s">
        <v>21622</v>
      </c>
      <c r="C5671" s="14" t="s">
        <v>21623</v>
      </c>
      <c r="D5671" s="14"/>
      <c r="E5671" s="14" t="s">
        <v>21624</v>
      </c>
      <c r="F5671" s="433" t="s">
        <v>21625</v>
      </c>
      <c r="G5671" s="434"/>
      <c r="H5671" s="14" t="s">
        <v>495</v>
      </c>
      <c r="I5671" s="423"/>
      <c r="J5671" s="14" t="s">
        <v>17976</v>
      </c>
      <c r="K5671" s="13"/>
      <c r="L5671" s="13"/>
      <c r="M5671" s="14" t="s">
        <v>21626</v>
      </c>
      <c r="N5671" s="15" t="s">
        <v>21627</v>
      </c>
      <c r="O5671" s="15"/>
      <c r="P5671" s="15"/>
      <c r="Q5671" s="15"/>
      <c r="R5671" s="422"/>
      <c r="S5671" s="15"/>
      <c r="T5671" s="15"/>
      <c r="U5671" s="15"/>
      <c r="V5671" s="15"/>
      <c r="W5671" s="15"/>
      <c r="X5671" s="15"/>
      <c r="Y5671" s="15"/>
      <c r="Z5671" s="15"/>
      <c r="AA5671" s="15"/>
    </row>
    <row r="5672">
      <c r="A5672" s="480">
        <v>44105.0</v>
      </c>
      <c r="B5672" s="15" t="s">
        <v>21628</v>
      </c>
      <c r="C5672" s="481" t="s">
        <v>21629</v>
      </c>
      <c r="D5672" s="14"/>
      <c r="E5672" s="14" t="s">
        <v>3533</v>
      </c>
      <c r="F5672" s="433" t="s">
        <v>20348</v>
      </c>
      <c r="G5672" s="434"/>
      <c r="H5672" s="14" t="s">
        <v>519</v>
      </c>
      <c r="I5672" s="423"/>
      <c r="J5672" s="14" t="s">
        <v>17976</v>
      </c>
      <c r="K5672" s="13"/>
      <c r="L5672" s="13"/>
      <c r="M5672" s="14" t="s">
        <v>14386</v>
      </c>
      <c r="N5672" s="15" t="s">
        <v>21630</v>
      </c>
      <c r="O5672" s="15"/>
      <c r="P5672" s="15"/>
      <c r="Q5672" s="15"/>
      <c r="R5672" s="422"/>
      <c r="S5672" s="15"/>
      <c r="T5672" s="15"/>
      <c r="U5672" s="15"/>
      <c r="V5672" s="15"/>
      <c r="W5672" s="15"/>
      <c r="X5672" s="15"/>
      <c r="Y5672" s="15"/>
      <c r="Z5672" s="15"/>
      <c r="AA5672" s="15"/>
    </row>
    <row r="5673">
      <c r="A5673" s="480">
        <v>44105.0</v>
      </c>
      <c r="B5673" s="15" t="s">
        <v>21631</v>
      </c>
      <c r="C5673" s="14" t="s">
        <v>2880</v>
      </c>
      <c r="D5673" s="14"/>
      <c r="E5673" s="14" t="s">
        <v>167</v>
      </c>
      <c r="F5673" s="433" t="s">
        <v>20392</v>
      </c>
      <c r="G5673" s="434"/>
      <c r="H5673" s="14" t="s">
        <v>2682</v>
      </c>
      <c r="I5673" s="423"/>
      <c r="J5673" s="14" t="s">
        <v>18788</v>
      </c>
      <c r="K5673" s="13"/>
      <c r="L5673" s="13"/>
      <c r="M5673" s="14" t="s">
        <v>11329</v>
      </c>
      <c r="N5673" s="15" t="s">
        <v>21632</v>
      </c>
      <c r="O5673" s="15"/>
      <c r="P5673" s="15"/>
      <c r="Q5673" s="15"/>
      <c r="R5673" s="422"/>
      <c r="S5673" s="15"/>
      <c r="T5673" s="15"/>
      <c r="U5673" s="15"/>
      <c r="V5673" s="15"/>
      <c r="W5673" s="15"/>
      <c r="X5673" s="15"/>
      <c r="Y5673" s="15"/>
      <c r="Z5673" s="15"/>
      <c r="AA5673" s="15"/>
    </row>
    <row r="5674">
      <c r="A5674" s="480">
        <v>44105.0</v>
      </c>
      <c r="B5674" s="15" t="s">
        <v>21633</v>
      </c>
      <c r="C5674" s="14" t="s">
        <v>21634</v>
      </c>
      <c r="D5674" s="14"/>
      <c r="E5674" s="14" t="s">
        <v>10426</v>
      </c>
      <c r="F5674" s="433" t="s">
        <v>20737</v>
      </c>
      <c r="G5674" s="434"/>
      <c r="H5674" s="14" t="s">
        <v>519</v>
      </c>
      <c r="I5674" s="423"/>
      <c r="J5674" s="14" t="s">
        <v>17976</v>
      </c>
      <c r="K5674" s="13"/>
      <c r="L5674" s="13"/>
      <c r="M5674" s="14" t="s">
        <v>16671</v>
      </c>
      <c r="N5674" s="15" t="s">
        <v>21635</v>
      </c>
      <c r="O5674" s="15"/>
      <c r="P5674" s="15"/>
      <c r="Q5674" s="15"/>
      <c r="R5674" s="422"/>
      <c r="S5674" s="15"/>
      <c r="T5674" s="15"/>
      <c r="U5674" s="15"/>
      <c r="V5674" s="15"/>
      <c r="W5674" s="15"/>
      <c r="X5674" s="15"/>
      <c r="Y5674" s="15"/>
      <c r="Z5674" s="15"/>
      <c r="AA5674" s="15"/>
    </row>
    <row r="5675">
      <c r="A5675" s="480">
        <v>44105.0</v>
      </c>
      <c r="B5675" s="15" t="s">
        <v>21636</v>
      </c>
      <c r="C5675" s="14" t="s">
        <v>21637</v>
      </c>
      <c r="D5675" s="14"/>
      <c r="E5675" s="14" t="s">
        <v>87</v>
      </c>
      <c r="F5675" s="433" t="s">
        <v>20348</v>
      </c>
      <c r="G5675" s="434"/>
      <c r="H5675" s="14" t="s">
        <v>472</v>
      </c>
      <c r="I5675" s="423"/>
      <c r="J5675" s="14" t="s">
        <v>21638</v>
      </c>
      <c r="K5675" s="13"/>
      <c r="L5675" s="13"/>
      <c r="M5675" s="14"/>
      <c r="N5675" s="15"/>
      <c r="O5675" s="15"/>
      <c r="P5675" s="15"/>
      <c r="Q5675" s="15"/>
      <c r="R5675" s="422"/>
      <c r="S5675" s="15"/>
      <c r="T5675" s="15"/>
      <c r="U5675" s="15"/>
      <c r="V5675" s="15"/>
      <c r="W5675" s="15"/>
      <c r="X5675" s="15"/>
      <c r="Y5675" s="15"/>
      <c r="Z5675" s="15"/>
      <c r="AA5675" s="15"/>
    </row>
    <row r="5676">
      <c r="A5676" s="480">
        <v>44075.0</v>
      </c>
      <c r="B5676" s="15" t="s">
        <v>21639</v>
      </c>
      <c r="C5676" s="14" t="s">
        <v>21640</v>
      </c>
      <c r="D5676" s="14"/>
      <c r="E5676" s="14" t="s">
        <v>130</v>
      </c>
      <c r="F5676" s="433" t="s">
        <v>21641</v>
      </c>
      <c r="G5676" s="434"/>
      <c r="H5676" s="14" t="s">
        <v>519</v>
      </c>
      <c r="I5676" s="423"/>
      <c r="J5676" s="14" t="s">
        <v>9814</v>
      </c>
      <c r="K5676" s="13"/>
      <c r="L5676" s="13"/>
      <c r="M5676" s="14"/>
      <c r="N5676" s="15"/>
      <c r="O5676" s="15"/>
      <c r="P5676" s="15"/>
      <c r="Q5676" s="15"/>
      <c r="R5676" s="422"/>
      <c r="S5676" s="15"/>
      <c r="T5676" s="15"/>
      <c r="U5676" s="15"/>
      <c r="V5676" s="15"/>
      <c r="W5676" s="15"/>
      <c r="X5676" s="15"/>
      <c r="Y5676" s="15"/>
      <c r="Z5676" s="15"/>
      <c r="AA5676" s="15"/>
    </row>
    <row r="5677">
      <c r="A5677" s="480">
        <v>44075.0</v>
      </c>
      <c r="B5677" s="15" t="s">
        <v>21642</v>
      </c>
      <c r="C5677" s="14" t="s">
        <v>21643</v>
      </c>
      <c r="D5677" s="14"/>
      <c r="E5677" s="14" t="s">
        <v>21644</v>
      </c>
      <c r="F5677" s="433" t="s">
        <v>20318</v>
      </c>
      <c r="G5677" s="434"/>
      <c r="H5677" s="14" t="s">
        <v>21645</v>
      </c>
      <c r="I5677" s="423"/>
      <c r="J5677" s="14" t="s">
        <v>17976</v>
      </c>
      <c r="K5677" s="13"/>
      <c r="L5677" s="13"/>
      <c r="M5677" s="14" t="s">
        <v>21646</v>
      </c>
      <c r="N5677" s="15" t="s">
        <v>21647</v>
      </c>
      <c r="O5677" s="15"/>
      <c r="P5677" s="15"/>
      <c r="Q5677" s="15"/>
      <c r="R5677" s="422"/>
      <c r="S5677" s="15"/>
      <c r="T5677" s="15"/>
      <c r="U5677" s="15"/>
      <c r="V5677" s="15"/>
      <c r="W5677" s="15"/>
      <c r="X5677" s="15"/>
      <c r="Y5677" s="15"/>
      <c r="Z5677" s="15"/>
      <c r="AA5677" s="15"/>
    </row>
    <row r="5678">
      <c r="A5678" s="480">
        <v>44075.0</v>
      </c>
      <c r="B5678" s="15" t="s">
        <v>21648</v>
      </c>
      <c r="C5678" s="14" t="s">
        <v>21649</v>
      </c>
      <c r="D5678" s="14"/>
      <c r="E5678" s="14" t="s">
        <v>130</v>
      </c>
      <c r="F5678" s="433" t="s">
        <v>20401</v>
      </c>
      <c r="G5678" s="434"/>
      <c r="H5678" s="14" t="s">
        <v>519</v>
      </c>
      <c r="I5678" s="423"/>
      <c r="J5678" s="14" t="s">
        <v>17976</v>
      </c>
      <c r="K5678" s="13"/>
      <c r="L5678" s="13"/>
      <c r="M5678" s="14"/>
      <c r="N5678" s="15"/>
      <c r="O5678" s="15"/>
      <c r="P5678" s="15"/>
      <c r="Q5678" s="15"/>
      <c r="R5678" s="422"/>
      <c r="S5678" s="15"/>
      <c r="T5678" s="15"/>
      <c r="U5678" s="15"/>
      <c r="V5678" s="15"/>
      <c r="W5678" s="15"/>
      <c r="X5678" s="15"/>
      <c r="Y5678" s="15"/>
      <c r="Z5678" s="15"/>
      <c r="AA5678" s="15"/>
    </row>
    <row r="5679">
      <c r="A5679" s="480">
        <v>44075.0</v>
      </c>
      <c r="B5679" s="15" t="s">
        <v>21650</v>
      </c>
      <c r="C5679" s="14" t="s">
        <v>10017</v>
      </c>
      <c r="D5679" s="14"/>
      <c r="E5679" s="14" t="s">
        <v>116</v>
      </c>
      <c r="F5679" s="433" t="s">
        <v>21651</v>
      </c>
      <c r="G5679" s="434"/>
      <c r="H5679" s="14" t="s">
        <v>3861</v>
      </c>
      <c r="I5679" s="423"/>
      <c r="J5679" s="14" t="s">
        <v>18788</v>
      </c>
      <c r="K5679" s="13"/>
      <c r="L5679" s="13"/>
      <c r="M5679" s="14"/>
      <c r="N5679" s="15"/>
      <c r="O5679" s="15"/>
      <c r="P5679" s="15"/>
      <c r="Q5679" s="15"/>
      <c r="R5679" s="422"/>
      <c r="S5679" s="15"/>
      <c r="T5679" s="15"/>
      <c r="U5679" s="15"/>
      <c r="V5679" s="15"/>
      <c r="W5679" s="15"/>
      <c r="X5679" s="15"/>
      <c r="Y5679" s="15"/>
      <c r="Z5679" s="15"/>
      <c r="AA5679" s="15"/>
    </row>
    <row r="5680">
      <c r="A5680" s="480">
        <v>44075.0</v>
      </c>
      <c r="B5680" s="15" t="s">
        <v>21652</v>
      </c>
      <c r="C5680" s="14" t="s">
        <v>21653</v>
      </c>
      <c r="D5680" s="14"/>
      <c r="E5680" s="14" t="s">
        <v>21654</v>
      </c>
      <c r="F5680" s="433" t="s">
        <v>20322</v>
      </c>
      <c r="G5680" s="434"/>
      <c r="H5680" s="14" t="s">
        <v>507</v>
      </c>
      <c r="I5680" s="423"/>
      <c r="J5680" s="14" t="s">
        <v>17976</v>
      </c>
      <c r="K5680" s="13"/>
      <c r="L5680" s="13"/>
      <c r="M5680" s="14" t="s">
        <v>14641</v>
      </c>
      <c r="N5680" s="15" t="s">
        <v>21655</v>
      </c>
      <c r="O5680" s="15"/>
      <c r="P5680" s="15"/>
      <c r="Q5680" s="15"/>
      <c r="R5680" s="422"/>
      <c r="S5680" s="15"/>
      <c r="T5680" s="15"/>
      <c r="U5680" s="15"/>
      <c r="V5680" s="15"/>
      <c r="W5680" s="15"/>
      <c r="X5680" s="15"/>
      <c r="Y5680" s="15"/>
      <c r="Z5680" s="15"/>
      <c r="AA5680" s="15"/>
    </row>
    <row r="5681">
      <c r="A5681" s="480">
        <v>44075.0</v>
      </c>
      <c r="B5681" s="15" t="s">
        <v>21656</v>
      </c>
      <c r="C5681" s="14" t="s">
        <v>21657</v>
      </c>
      <c r="D5681" s="14"/>
      <c r="E5681" s="14" t="s">
        <v>21658</v>
      </c>
      <c r="F5681" s="433" t="s">
        <v>20303</v>
      </c>
      <c r="G5681" s="434"/>
      <c r="H5681" s="14" t="s">
        <v>507</v>
      </c>
      <c r="I5681" s="423"/>
      <c r="J5681" s="14"/>
      <c r="K5681" s="13"/>
      <c r="L5681" s="13"/>
      <c r="M5681" s="14"/>
      <c r="N5681" s="15"/>
      <c r="O5681" s="15"/>
      <c r="P5681" s="15"/>
      <c r="Q5681" s="15"/>
      <c r="R5681" s="422"/>
      <c r="S5681" s="15"/>
      <c r="T5681" s="15"/>
      <c r="U5681" s="15"/>
      <c r="V5681" s="15"/>
      <c r="W5681" s="15"/>
      <c r="X5681" s="15"/>
      <c r="Y5681" s="15"/>
      <c r="Z5681" s="15"/>
      <c r="AA5681" s="15"/>
    </row>
    <row r="5682">
      <c r="A5682" s="480">
        <v>44075.0</v>
      </c>
      <c r="B5682" s="15" t="s">
        <v>21659</v>
      </c>
      <c r="C5682" s="14" t="s">
        <v>21660</v>
      </c>
      <c r="D5682" s="14"/>
      <c r="E5682" s="14" t="s">
        <v>960</v>
      </c>
      <c r="F5682" s="433" t="s">
        <v>18673</v>
      </c>
      <c r="G5682" s="434"/>
      <c r="H5682" s="14" t="s">
        <v>507</v>
      </c>
      <c r="I5682" s="423"/>
      <c r="J5682" s="14" t="s">
        <v>21661</v>
      </c>
      <c r="K5682" s="13"/>
      <c r="L5682" s="13"/>
      <c r="M5682" s="14" t="s">
        <v>9298</v>
      </c>
      <c r="N5682" s="15" t="s">
        <v>21662</v>
      </c>
      <c r="O5682" s="15"/>
      <c r="P5682" s="15"/>
      <c r="Q5682" s="15"/>
      <c r="R5682" s="422"/>
      <c r="S5682" s="15"/>
      <c r="T5682" s="15"/>
      <c r="U5682" s="15"/>
      <c r="V5682" s="15"/>
      <c r="W5682" s="15"/>
      <c r="X5682" s="15"/>
      <c r="Y5682" s="15"/>
      <c r="Z5682" s="15"/>
      <c r="AA5682" s="15"/>
    </row>
    <row r="5683">
      <c r="A5683" s="480">
        <v>44075.0</v>
      </c>
      <c r="B5683" s="15" t="s">
        <v>21663</v>
      </c>
      <c r="C5683" s="14" t="s">
        <v>21664</v>
      </c>
      <c r="D5683" s="14"/>
      <c r="E5683" s="14" t="s">
        <v>21665</v>
      </c>
      <c r="F5683" s="433" t="s">
        <v>20715</v>
      </c>
      <c r="G5683" s="434"/>
      <c r="H5683" s="14" t="s">
        <v>9266</v>
      </c>
      <c r="I5683" s="423"/>
      <c r="J5683" s="14" t="s">
        <v>21199</v>
      </c>
      <c r="K5683" s="13"/>
      <c r="L5683" s="13"/>
      <c r="M5683" s="14" t="s">
        <v>9983</v>
      </c>
      <c r="N5683" s="15" t="s">
        <v>21666</v>
      </c>
      <c r="O5683" s="15"/>
      <c r="P5683" s="15"/>
      <c r="Q5683" s="15"/>
      <c r="R5683" s="422"/>
      <c r="S5683" s="15"/>
      <c r="T5683" s="15"/>
      <c r="U5683" s="15"/>
      <c r="V5683" s="15"/>
      <c r="W5683" s="15"/>
      <c r="X5683" s="15"/>
      <c r="Y5683" s="15"/>
      <c r="Z5683" s="15"/>
      <c r="AA5683" s="15"/>
    </row>
    <row r="5684">
      <c r="A5684" s="480">
        <v>44075.0</v>
      </c>
      <c r="B5684" s="15" t="s">
        <v>21667</v>
      </c>
      <c r="C5684" s="14" t="s">
        <v>21668</v>
      </c>
      <c r="D5684" s="14"/>
      <c r="E5684" s="14" t="s">
        <v>12255</v>
      </c>
      <c r="F5684" s="433" t="s">
        <v>20334</v>
      </c>
      <c r="G5684" s="434"/>
      <c r="H5684" s="14" t="s">
        <v>21669</v>
      </c>
      <c r="I5684" s="423"/>
      <c r="J5684" s="14" t="s">
        <v>21670</v>
      </c>
      <c r="K5684" s="13"/>
      <c r="L5684" s="13"/>
      <c r="M5684" s="14" t="s">
        <v>14458</v>
      </c>
      <c r="N5684" s="15" t="s">
        <v>21671</v>
      </c>
      <c r="O5684" s="15"/>
      <c r="P5684" s="15"/>
      <c r="Q5684" s="15"/>
      <c r="R5684" s="422"/>
      <c r="S5684" s="15"/>
      <c r="T5684" s="15"/>
      <c r="U5684" s="15"/>
      <c r="V5684" s="15"/>
      <c r="W5684" s="15"/>
      <c r="X5684" s="15"/>
      <c r="Y5684" s="15"/>
      <c r="Z5684" s="15"/>
      <c r="AA5684" s="15"/>
    </row>
    <row r="5685">
      <c r="A5685" s="480">
        <v>44075.0</v>
      </c>
      <c r="B5685" s="15" t="s">
        <v>21672</v>
      </c>
      <c r="C5685" s="14" t="s">
        <v>21673</v>
      </c>
      <c r="D5685" s="14"/>
      <c r="E5685" s="14" t="s">
        <v>1023</v>
      </c>
      <c r="F5685" s="433" t="s">
        <v>21176</v>
      </c>
      <c r="G5685" s="434"/>
      <c r="H5685" s="14"/>
      <c r="I5685" s="423"/>
      <c r="J5685" s="14"/>
      <c r="K5685" s="13"/>
      <c r="L5685" s="13"/>
      <c r="M5685" s="14" t="s">
        <v>9742</v>
      </c>
      <c r="N5685" s="15" t="s">
        <v>21674</v>
      </c>
      <c r="O5685" s="15"/>
      <c r="P5685" s="15"/>
      <c r="Q5685" s="15"/>
      <c r="R5685" s="422"/>
      <c r="S5685" s="15"/>
      <c r="T5685" s="15"/>
      <c r="U5685" s="15"/>
      <c r="V5685" s="15"/>
      <c r="W5685" s="15"/>
      <c r="X5685" s="15"/>
      <c r="Y5685" s="15"/>
      <c r="Z5685" s="15"/>
      <c r="AA5685" s="15"/>
    </row>
    <row r="5686">
      <c r="A5686" s="480">
        <v>44075.0</v>
      </c>
      <c r="B5686" s="15" t="s">
        <v>21675</v>
      </c>
      <c r="C5686" s="14" t="s">
        <v>21676</v>
      </c>
      <c r="D5686" s="14"/>
      <c r="E5686" s="14" t="s">
        <v>21677</v>
      </c>
      <c r="F5686" s="433" t="s">
        <v>20322</v>
      </c>
      <c r="G5686" s="434"/>
      <c r="H5686" s="14" t="s">
        <v>1315</v>
      </c>
      <c r="I5686" s="423"/>
      <c r="J5686" s="14" t="s">
        <v>21678</v>
      </c>
      <c r="K5686" s="13"/>
      <c r="L5686" s="13"/>
      <c r="M5686" s="14" t="s">
        <v>10609</v>
      </c>
      <c r="N5686" s="15" t="s">
        <v>21679</v>
      </c>
      <c r="O5686" s="15"/>
      <c r="P5686" s="15"/>
      <c r="Q5686" s="15"/>
      <c r="R5686" s="422"/>
      <c r="S5686" s="15"/>
      <c r="T5686" s="15"/>
      <c r="U5686" s="15"/>
      <c r="V5686" s="15"/>
      <c r="W5686" s="15"/>
      <c r="X5686" s="15"/>
      <c r="Y5686" s="15"/>
      <c r="Z5686" s="15"/>
      <c r="AA5686" s="15"/>
    </row>
    <row r="5687">
      <c r="A5687" s="480">
        <v>44075.0</v>
      </c>
      <c r="B5687" s="15" t="s">
        <v>21680</v>
      </c>
      <c r="C5687" s="14" t="s">
        <v>18355</v>
      </c>
      <c r="D5687" s="14"/>
      <c r="E5687" s="14" t="s">
        <v>21681</v>
      </c>
      <c r="F5687" s="433"/>
      <c r="G5687" s="434"/>
      <c r="H5687" s="14"/>
      <c r="I5687" s="423"/>
      <c r="J5687" s="14"/>
      <c r="K5687" s="13"/>
      <c r="L5687" s="13"/>
      <c r="M5687" s="14"/>
      <c r="N5687" s="15"/>
      <c r="O5687" s="15"/>
      <c r="P5687" s="15"/>
      <c r="Q5687" s="15"/>
      <c r="R5687" s="422"/>
      <c r="S5687" s="15"/>
      <c r="T5687" s="15"/>
      <c r="U5687" s="15"/>
      <c r="V5687" s="15"/>
      <c r="W5687" s="15"/>
      <c r="X5687" s="15"/>
      <c r="Y5687" s="15"/>
      <c r="Z5687" s="15"/>
      <c r="AA5687" s="15"/>
    </row>
    <row r="5688">
      <c r="A5688" s="480">
        <v>44075.0</v>
      </c>
      <c r="B5688" s="15" t="s">
        <v>21682</v>
      </c>
      <c r="C5688" s="14" t="s">
        <v>21683</v>
      </c>
      <c r="D5688" s="14"/>
      <c r="E5688" s="14" t="s">
        <v>10433</v>
      </c>
      <c r="F5688" s="433" t="s">
        <v>20284</v>
      </c>
      <c r="G5688" s="434"/>
      <c r="H5688" s="14" t="s">
        <v>507</v>
      </c>
      <c r="I5688" s="423"/>
      <c r="J5688" s="14" t="s">
        <v>17976</v>
      </c>
      <c r="K5688" s="13"/>
      <c r="L5688" s="13"/>
      <c r="M5688" s="14" t="s">
        <v>7928</v>
      </c>
      <c r="N5688" s="15" t="s">
        <v>21684</v>
      </c>
      <c r="O5688" s="15"/>
      <c r="P5688" s="15"/>
      <c r="Q5688" s="15"/>
      <c r="R5688" s="422"/>
      <c r="S5688" s="15"/>
      <c r="T5688" s="15"/>
      <c r="U5688" s="15"/>
      <c r="V5688" s="15"/>
      <c r="W5688" s="15"/>
      <c r="X5688" s="15"/>
      <c r="Y5688" s="15"/>
      <c r="Z5688" s="15"/>
      <c r="AA5688" s="15"/>
    </row>
    <row r="5689">
      <c r="A5689" s="480">
        <v>44075.0</v>
      </c>
      <c r="B5689" s="15" t="s">
        <v>21685</v>
      </c>
      <c r="C5689" s="14" t="s">
        <v>21686</v>
      </c>
      <c r="D5689" s="14"/>
      <c r="E5689" s="14" t="s">
        <v>167</v>
      </c>
      <c r="F5689" s="433" t="s">
        <v>20392</v>
      </c>
      <c r="G5689" s="434"/>
      <c r="H5689" s="14" t="s">
        <v>1663</v>
      </c>
      <c r="I5689" s="423"/>
      <c r="J5689" s="14" t="s">
        <v>21687</v>
      </c>
      <c r="K5689" s="13"/>
      <c r="L5689" s="13"/>
      <c r="M5689" s="14" t="s">
        <v>12862</v>
      </c>
      <c r="N5689" s="15" t="s">
        <v>21688</v>
      </c>
      <c r="O5689" s="15"/>
      <c r="P5689" s="15"/>
      <c r="Q5689" s="15"/>
      <c r="R5689" s="422"/>
      <c r="S5689" s="15"/>
      <c r="T5689" s="15"/>
      <c r="U5689" s="15"/>
      <c r="V5689" s="15"/>
      <c r="W5689" s="15"/>
      <c r="X5689" s="15"/>
      <c r="Y5689" s="15"/>
      <c r="Z5689" s="15"/>
      <c r="AA5689" s="15"/>
    </row>
    <row r="5690">
      <c r="A5690" s="480">
        <v>44075.0</v>
      </c>
      <c r="B5690" s="15" t="s">
        <v>21689</v>
      </c>
      <c r="C5690" s="14" t="s">
        <v>21690</v>
      </c>
      <c r="D5690" s="14"/>
      <c r="E5690" s="14" t="s">
        <v>2622</v>
      </c>
      <c r="F5690" s="433" t="s">
        <v>21181</v>
      </c>
      <c r="G5690" s="434"/>
      <c r="H5690" s="14" t="s">
        <v>19127</v>
      </c>
      <c r="I5690" s="423"/>
      <c r="J5690" s="14" t="s">
        <v>17976</v>
      </c>
      <c r="K5690" s="13"/>
      <c r="L5690" s="13"/>
      <c r="M5690" s="14" t="s">
        <v>9742</v>
      </c>
      <c r="N5690" s="15" t="s">
        <v>21691</v>
      </c>
      <c r="O5690" s="15"/>
      <c r="P5690" s="15"/>
      <c r="Q5690" s="15"/>
      <c r="R5690" s="422"/>
      <c r="S5690" s="15"/>
      <c r="T5690" s="15"/>
      <c r="U5690" s="15"/>
      <c r="V5690" s="15"/>
      <c r="W5690" s="15"/>
      <c r="X5690" s="15"/>
      <c r="Y5690" s="15"/>
      <c r="Z5690" s="15"/>
      <c r="AA5690" s="15"/>
    </row>
    <row r="5691">
      <c r="A5691" s="480">
        <v>44075.0</v>
      </c>
      <c r="B5691" s="15" t="s">
        <v>21692</v>
      </c>
      <c r="C5691" s="14" t="s">
        <v>21693</v>
      </c>
      <c r="D5691" s="14"/>
      <c r="E5691" s="14" t="s">
        <v>412</v>
      </c>
      <c r="F5691" s="433" t="s">
        <v>20398</v>
      </c>
      <c r="G5691" s="434"/>
      <c r="H5691" s="14" t="s">
        <v>21694</v>
      </c>
      <c r="I5691" s="423"/>
      <c r="J5691" s="14"/>
      <c r="K5691" s="13"/>
      <c r="L5691" s="13"/>
      <c r="M5691" s="14"/>
      <c r="N5691" s="15"/>
      <c r="O5691" s="15"/>
      <c r="P5691" s="15"/>
      <c r="Q5691" s="15"/>
      <c r="R5691" s="422"/>
      <c r="S5691" s="15"/>
      <c r="T5691" s="15"/>
      <c r="U5691" s="15"/>
      <c r="V5691" s="15"/>
      <c r="W5691" s="15"/>
      <c r="X5691" s="15"/>
      <c r="Y5691" s="15"/>
      <c r="Z5691" s="15"/>
      <c r="AA5691" s="15"/>
    </row>
    <row r="5692">
      <c r="A5692" s="482">
        <v>44075.0</v>
      </c>
      <c r="B5692" s="483" t="s">
        <v>21695</v>
      </c>
      <c r="C5692" s="484" t="s">
        <v>17829</v>
      </c>
      <c r="D5692" s="484"/>
      <c r="E5692" s="484" t="s">
        <v>3634</v>
      </c>
      <c r="F5692" s="433"/>
      <c r="G5692" s="434"/>
      <c r="H5692" s="14"/>
      <c r="I5692" s="423"/>
      <c r="J5692" s="14"/>
      <c r="K5692" s="277"/>
      <c r="L5692" s="277"/>
      <c r="M5692" s="484" t="s">
        <v>9742</v>
      </c>
      <c r="N5692" s="483" t="s">
        <v>21696</v>
      </c>
      <c r="O5692" s="15"/>
      <c r="P5692" s="15"/>
      <c r="Q5692" s="15"/>
      <c r="R5692" s="422"/>
      <c r="S5692" s="15"/>
      <c r="T5692" s="15"/>
      <c r="U5692" s="15"/>
      <c r="V5692" s="15"/>
      <c r="W5692" s="15"/>
      <c r="X5692" s="15"/>
      <c r="Y5692" s="15"/>
      <c r="Z5692" s="15"/>
      <c r="AA5692" s="15"/>
    </row>
    <row r="5693">
      <c r="A5693" s="480">
        <v>44075.0</v>
      </c>
      <c r="B5693" s="15" t="s">
        <v>21697</v>
      </c>
      <c r="C5693" s="14" t="s">
        <v>21698</v>
      </c>
      <c r="D5693" s="14"/>
      <c r="E5693" s="14" t="s">
        <v>116</v>
      </c>
      <c r="F5693" s="433"/>
      <c r="G5693" s="434"/>
      <c r="H5693" s="14"/>
      <c r="I5693" s="423"/>
      <c r="J5693" s="14"/>
      <c r="K5693" s="13"/>
      <c r="L5693" s="13"/>
      <c r="M5693" s="14"/>
      <c r="N5693" s="15"/>
      <c r="O5693" s="15"/>
      <c r="P5693" s="15"/>
      <c r="Q5693" s="15"/>
      <c r="R5693" s="422"/>
      <c r="S5693" s="15"/>
      <c r="T5693" s="15"/>
      <c r="U5693" s="15"/>
      <c r="V5693" s="15"/>
      <c r="W5693" s="15"/>
      <c r="X5693" s="15"/>
      <c r="Y5693" s="15"/>
      <c r="Z5693" s="15"/>
      <c r="AA5693" s="15"/>
    </row>
    <row r="5694">
      <c r="A5694" s="480">
        <v>44075.0</v>
      </c>
      <c r="B5694" s="15" t="s">
        <v>21699</v>
      </c>
      <c r="C5694" s="14" t="s">
        <v>7196</v>
      </c>
      <c r="D5694" s="14"/>
      <c r="E5694" s="14" t="s">
        <v>116</v>
      </c>
      <c r="F5694" s="433" t="s">
        <v>20398</v>
      </c>
      <c r="G5694" s="434"/>
      <c r="H5694" s="14" t="s">
        <v>398</v>
      </c>
      <c r="I5694" s="423"/>
      <c r="J5694" s="14" t="s">
        <v>9814</v>
      </c>
      <c r="K5694" s="13"/>
      <c r="L5694" s="13"/>
      <c r="M5694" s="14"/>
      <c r="N5694" s="15"/>
      <c r="O5694" s="15"/>
      <c r="P5694" s="15"/>
      <c r="Q5694" s="15"/>
      <c r="R5694" s="422"/>
      <c r="S5694" s="15"/>
      <c r="T5694" s="15"/>
      <c r="U5694" s="15"/>
      <c r="V5694" s="15"/>
      <c r="W5694" s="15"/>
      <c r="X5694" s="15"/>
      <c r="Y5694" s="15"/>
      <c r="Z5694" s="15"/>
      <c r="AA5694" s="15"/>
    </row>
    <row r="5695">
      <c r="A5695" s="480">
        <v>44075.0</v>
      </c>
      <c r="B5695" s="15" t="s">
        <v>21700</v>
      </c>
      <c r="C5695" s="14" t="s">
        <v>21701</v>
      </c>
      <c r="D5695" s="14"/>
      <c r="E5695" s="14" t="s">
        <v>21702</v>
      </c>
      <c r="F5695" s="433" t="s">
        <v>21703</v>
      </c>
      <c r="G5695" s="434"/>
      <c r="H5695" s="14" t="s">
        <v>44</v>
      </c>
      <c r="I5695" s="423"/>
      <c r="J5695" s="14" t="s">
        <v>7109</v>
      </c>
      <c r="K5695" s="13"/>
      <c r="L5695" s="13"/>
      <c r="M5695" s="14" t="s">
        <v>21704</v>
      </c>
      <c r="N5695" s="15" t="s">
        <v>21705</v>
      </c>
      <c r="O5695" s="15"/>
      <c r="P5695" s="15"/>
      <c r="Q5695" s="15"/>
      <c r="R5695" s="422"/>
      <c r="S5695" s="15"/>
      <c r="T5695" s="15"/>
      <c r="U5695" s="15"/>
      <c r="V5695" s="15"/>
      <c r="W5695" s="15"/>
      <c r="X5695" s="15"/>
      <c r="Y5695" s="15"/>
      <c r="Z5695" s="15"/>
      <c r="AA5695" s="15"/>
    </row>
    <row r="5696">
      <c r="A5696" s="480">
        <v>44075.0</v>
      </c>
      <c r="B5696" s="15" t="s">
        <v>21706</v>
      </c>
      <c r="C5696" s="14" t="s">
        <v>21707</v>
      </c>
      <c r="D5696" s="14"/>
      <c r="E5696" s="14" t="s">
        <v>960</v>
      </c>
      <c r="F5696" s="433" t="s">
        <v>20392</v>
      </c>
      <c r="G5696" s="434"/>
      <c r="H5696" s="14" t="s">
        <v>507</v>
      </c>
      <c r="I5696" s="423"/>
      <c r="J5696" s="14" t="s">
        <v>17976</v>
      </c>
      <c r="K5696" s="13"/>
      <c r="L5696" s="13"/>
      <c r="M5696" s="14" t="s">
        <v>21708</v>
      </c>
      <c r="N5696" s="15" t="s">
        <v>21709</v>
      </c>
      <c r="O5696" s="15"/>
      <c r="P5696" s="15"/>
      <c r="Q5696" s="15"/>
      <c r="R5696" s="422"/>
      <c r="S5696" s="15"/>
      <c r="T5696" s="15"/>
      <c r="U5696" s="15"/>
      <c r="V5696" s="15"/>
      <c r="W5696" s="15"/>
      <c r="X5696" s="15"/>
      <c r="Y5696" s="15"/>
      <c r="Z5696" s="15"/>
      <c r="AA5696" s="15"/>
    </row>
    <row r="5697">
      <c r="A5697" s="480">
        <v>44075.0</v>
      </c>
      <c r="B5697" s="15" t="s">
        <v>21710</v>
      </c>
      <c r="C5697" s="14" t="s">
        <v>21514</v>
      </c>
      <c r="D5697" s="14"/>
      <c r="E5697" s="14" t="s">
        <v>21711</v>
      </c>
      <c r="F5697" s="433" t="s">
        <v>21712</v>
      </c>
      <c r="G5697" s="434"/>
      <c r="H5697" s="14" t="s">
        <v>5667</v>
      </c>
      <c r="I5697" s="423"/>
      <c r="J5697" s="14" t="s">
        <v>9814</v>
      </c>
      <c r="K5697" s="13"/>
      <c r="L5697" s="13"/>
      <c r="M5697" s="14" t="s">
        <v>21713</v>
      </c>
      <c r="N5697" s="15" t="s">
        <v>21714</v>
      </c>
      <c r="O5697" s="15"/>
      <c r="P5697" s="15"/>
      <c r="Q5697" s="15"/>
      <c r="R5697" s="422"/>
      <c r="S5697" s="15"/>
      <c r="T5697" s="15"/>
      <c r="U5697" s="15"/>
      <c r="V5697" s="15"/>
      <c r="W5697" s="15"/>
      <c r="X5697" s="15"/>
      <c r="Y5697" s="15"/>
      <c r="Z5697" s="15"/>
      <c r="AA5697" s="15"/>
    </row>
    <row r="5698">
      <c r="A5698" s="480">
        <v>44075.0</v>
      </c>
      <c r="B5698" s="15" t="s">
        <v>21715</v>
      </c>
      <c r="C5698" s="14" t="s">
        <v>21716</v>
      </c>
      <c r="D5698" s="14"/>
      <c r="E5698" s="14" t="s">
        <v>21717</v>
      </c>
      <c r="F5698" s="433" t="s">
        <v>21176</v>
      </c>
      <c r="G5698" s="434"/>
      <c r="H5698" s="14" t="s">
        <v>131</v>
      </c>
      <c r="I5698" s="423"/>
      <c r="J5698" s="14" t="s">
        <v>17976</v>
      </c>
      <c r="K5698" s="13"/>
      <c r="L5698" s="13"/>
      <c r="M5698" s="14" t="s">
        <v>7965</v>
      </c>
      <c r="N5698" s="15" t="s">
        <v>21718</v>
      </c>
      <c r="O5698" s="15"/>
      <c r="P5698" s="15"/>
      <c r="Q5698" s="15"/>
      <c r="R5698" s="422"/>
      <c r="S5698" s="15"/>
      <c r="T5698" s="15"/>
      <c r="U5698" s="15"/>
      <c r="V5698" s="15"/>
      <c r="W5698" s="15"/>
      <c r="X5698" s="15"/>
      <c r="Y5698" s="15"/>
      <c r="Z5698" s="15"/>
      <c r="AA5698" s="15"/>
    </row>
    <row r="5699">
      <c r="A5699" s="480">
        <v>44075.0</v>
      </c>
      <c r="B5699" s="15" t="s">
        <v>21719</v>
      </c>
      <c r="C5699" s="14" t="s">
        <v>21720</v>
      </c>
      <c r="D5699" s="14"/>
      <c r="E5699" s="14" t="s">
        <v>2821</v>
      </c>
      <c r="F5699" s="433" t="s">
        <v>20392</v>
      </c>
      <c r="G5699" s="434"/>
      <c r="H5699" s="14" t="s">
        <v>78</v>
      </c>
      <c r="I5699" s="423"/>
      <c r="J5699" s="14" t="s">
        <v>21207</v>
      </c>
      <c r="K5699" s="13"/>
      <c r="L5699" s="13"/>
      <c r="M5699" s="14" t="s">
        <v>13099</v>
      </c>
      <c r="N5699" s="15" t="s">
        <v>21721</v>
      </c>
      <c r="O5699" s="15"/>
      <c r="P5699" s="15"/>
      <c r="Q5699" s="15"/>
      <c r="R5699" s="422"/>
      <c r="S5699" s="15"/>
      <c r="T5699" s="15"/>
      <c r="U5699" s="15"/>
      <c r="V5699" s="15"/>
      <c r="W5699" s="15"/>
      <c r="X5699" s="15"/>
      <c r="Y5699" s="15"/>
      <c r="Z5699" s="15"/>
      <c r="AA5699" s="15"/>
    </row>
    <row r="5700">
      <c r="A5700" s="480">
        <v>44075.0</v>
      </c>
      <c r="B5700" s="15" t="s">
        <v>21722</v>
      </c>
      <c r="C5700" s="14" t="s">
        <v>21723</v>
      </c>
      <c r="D5700" s="14"/>
      <c r="E5700" s="14" t="s">
        <v>15040</v>
      </c>
      <c r="F5700" s="433" t="s">
        <v>20577</v>
      </c>
      <c r="G5700" s="434"/>
      <c r="H5700" s="14" t="s">
        <v>184</v>
      </c>
      <c r="I5700" s="423"/>
      <c r="J5700" s="14" t="s">
        <v>17976</v>
      </c>
      <c r="K5700" s="13"/>
      <c r="L5700" s="13"/>
      <c r="M5700" s="14" t="s">
        <v>9104</v>
      </c>
      <c r="N5700" s="15" t="s">
        <v>21724</v>
      </c>
      <c r="O5700" s="15"/>
      <c r="P5700" s="15"/>
      <c r="Q5700" s="15"/>
      <c r="R5700" s="422"/>
      <c r="S5700" s="15"/>
      <c r="T5700" s="15"/>
      <c r="U5700" s="15"/>
      <c r="V5700" s="15"/>
      <c r="W5700" s="15"/>
      <c r="X5700" s="15"/>
      <c r="Y5700" s="15"/>
      <c r="Z5700" s="15"/>
      <c r="AA5700" s="15"/>
    </row>
    <row r="5701">
      <c r="A5701" s="480">
        <v>44075.0</v>
      </c>
      <c r="B5701" s="15" t="s">
        <v>21725</v>
      </c>
      <c r="C5701" s="14" t="s">
        <v>21726</v>
      </c>
      <c r="D5701" s="14"/>
      <c r="E5701" s="14" t="s">
        <v>222</v>
      </c>
      <c r="F5701" s="433" t="s">
        <v>20436</v>
      </c>
      <c r="G5701" s="434"/>
      <c r="H5701" s="14" t="s">
        <v>1414</v>
      </c>
      <c r="I5701" s="423"/>
      <c r="J5701" s="14" t="s">
        <v>21727</v>
      </c>
      <c r="K5701" s="13"/>
      <c r="L5701" s="13"/>
      <c r="M5701" s="14" t="s">
        <v>21728</v>
      </c>
      <c r="N5701" s="15" t="s">
        <v>21729</v>
      </c>
      <c r="O5701" s="15"/>
      <c r="P5701" s="15"/>
      <c r="Q5701" s="15"/>
      <c r="R5701" s="422"/>
      <c r="S5701" s="15"/>
      <c r="T5701" s="15"/>
      <c r="U5701" s="15"/>
      <c r="V5701" s="15"/>
      <c r="W5701" s="15"/>
      <c r="X5701" s="15"/>
      <c r="Y5701" s="15"/>
      <c r="Z5701" s="15"/>
      <c r="AA5701" s="15"/>
    </row>
    <row r="5702">
      <c r="A5702" s="480">
        <v>44013.0</v>
      </c>
      <c r="B5702" s="15" t="s">
        <v>21730</v>
      </c>
      <c r="C5702" s="14" t="s">
        <v>21731</v>
      </c>
      <c r="D5702" s="14"/>
      <c r="E5702" s="14" t="s">
        <v>116</v>
      </c>
      <c r="F5702" s="433" t="s">
        <v>20935</v>
      </c>
      <c r="G5702" s="434"/>
      <c r="H5702" s="14" t="s">
        <v>507</v>
      </c>
      <c r="I5702" s="423"/>
      <c r="J5702" s="14" t="s">
        <v>20776</v>
      </c>
      <c r="K5702" s="13"/>
      <c r="L5702" s="13"/>
      <c r="M5702" s="14"/>
      <c r="N5702" s="15"/>
      <c r="O5702" s="15"/>
      <c r="P5702" s="15"/>
      <c r="Q5702" s="15"/>
      <c r="R5702" s="422"/>
      <c r="S5702" s="15"/>
      <c r="T5702" s="15"/>
      <c r="U5702" s="15"/>
      <c r="V5702" s="15"/>
      <c r="W5702" s="15"/>
      <c r="X5702" s="15"/>
      <c r="Y5702" s="15"/>
      <c r="Z5702" s="15"/>
      <c r="AA5702" s="15"/>
    </row>
    <row r="5703">
      <c r="A5703" s="480">
        <v>44013.0</v>
      </c>
      <c r="B5703" s="15" t="s">
        <v>21732</v>
      </c>
      <c r="C5703" s="14" t="s">
        <v>16364</v>
      </c>
      <c r="D5703" s="14"/>
      <c r="E5703" s="14" t="s">
        <v>116</v>
      </c>
      <c r="F5703" s="433"/>
      <c r="G5703" s="434"/>
      <c r="H5703" s="14"/>
      <c r="I5703" s="423"/>
      <c r="J5703" s="14"/>
      <c r="K5703" s="13"/>
      <c r="L5703" s="13"/>
      <c r="M5703" s="14"/>
      <c r="N5703" s="15"/>
      <c r="O5703" s="15"/>
      <c r="P5703" s="15"/>
      <c r="Q5703" s="15"/>
      <c r="R5703" s="422"/>
      <c r="S5703" s="15"/>
      <c r="T5703" s="15"/>
      <c r="U5703" s="15"/>
      <c r="V5703" s="15"/>
      <c r="W5703" s="15"/>
      <c r="X5703" s="15"/>
      <c r="Y5703" s="15"/>
      <c r="Z5703" s="15"/>
      <c r="AA5703" s="15"/>
    </row>
    <row r="5704">
      <c r="A5704" s="480">
        <v>44013.0</v>
      </c>
      <c r="B5704" s="15" t="s">
        <v>21733</v>
      </c>
      <c r="C5704" s="14" t="s">
        <v>21734</v>
      </c>
      <c r="D5704" s="14"/>
      <c r="E5704" s="14" t="s">
        <v>116</v>
      </c>
      <c r="F5704" s="433" t="s">
        <v>20436</v>
      </c>
      <c r="G5704" s="434"/>
      <c r="H5704" s="14" t="s">
        <v>519</v>
      </c>
      <c r="I5704" s="423"/>
      <c r="J5704" s="14" t="s">
        <v>21735</v>
      </c>
      <c r="K5704" s="13"/>
      <c r="L5704" s="13"/>
      <c r="M5704" s="14" t="s">
        <v>20803</v>
      </c>
      <c r="N5704" s="15" t="s">
        <v>21736</v>
      </c>
      <c r="O5704" s="15"/>
      <c r="P5704" s="15"/>
      <c r="Q5704" s="15"/>
      <c r="R5704" s="422"/>
      <c r="S5704" s="15"/>
      <c r="T5704" s="15"/>
      <c r="U5704" s="15"/>
      <c r="V5704" s="15"/>
      <c r="W5704" s="15"/>
      <c r="X5704" s="15"/>
      <c r="Y5704" s="15"/>
      <c r="Z5704" s="15"/>
      <c r="AA5704" s="15"/>
    </row>
    <row r="5705">
      <c r="A5705" s="485">
        <v>44013.0</v>
      </c>
      <c r="B5705" s="486" t="s">
        <v>21737</v>
      </c>
      <c r="C5705" s="487" t="s">
        <v>21738</v>
      </c>
      <c r="D5705" s="487"/>
      <c r="E5705" s="487" t="s">
        <v>3686</v>
      </c>
      <c r="F5705" s="488" t="s">
        <v>20303</v>
      </c>
      <c r="G5705" s="489"/>
      <c r="H5705" s="487" t="s">
        <v>906</v>
      </c>
      <c r="I5705" s="490"/>
      <c r="J5705" s="487" t="s">
        <v>21739</v>
      </c>
      <c r="K5705" s="491"/>
      <c r="L5705" s="491"/>
      <c r="M5705" s="487" t="s">
        <v>21740</v>
      </c>
      <c r="N5705" s="486" t="s">
        <v>21741</v>
      </c>
      <c r="O5705" s="15"/>
      <c r="P5705" s="15"/>
      <c r="Q5705" s="15"/>
      <c r="R5705" s="422"/>
      <c r="S5705" s="15"/>
      <c r="T5705" s="15"/>
      <c r="U5705" s="15"/>
      <c r="V5705" s="15"/>
      <c r="W5705" s="15"/>
      <c r="X5705" s="15"/>
      <c r="Y5705" s="15"/>
      <c r="Z5705" s="15"/>
      <c r="AA5705" s="15"/>
    </row>
    <row r="5706">
      <c r="A5706" s="480">
        <v>44013.0</v>
      </c>
      <c r="B5706" s="15" t="s">
        <v>21742</v>
      </c>
      <c r="C5706" s="14" t="s">
        <v>21743</v>
      </c>
      <c r="D5706" s="14"/>
      <c r="E5706" s="14" t="s">
        <v>9237</v>
      </c>
      <c r="F5706" s="433" t="s">
        <v>18673</v>
      </c>
      <c r="G5706" s="434"/>
      <c r="H5706" s="14" t="s">
        <v>2682</v>
      </c>
      <c r="I5706" s="423"/>
      <c r="J5706" s="14" t="s">
        <v>20892</v>
      </c>
      <c r="K5706" s="13"/>
      <c r="L5706" s="13"/>
      <c r="M5706" s="14" t="s">
        <v>18214</v>
      </c>
      <c r="N5706" s="15" t="s">
        <v>21744</v>
      </c>
      <c r="O5706" s="15"/>
      <c r="P5706" s="15"/>
      <c r="Q5706" s="15"/>
      <c r="R5706" s="422"/>
      <c r="S5706" s="15"/>
      <c r="T5706" s="15"/>
      <c r="U5706" s="15"/>
      <c r="V5706" s="15"/>
      <c r="W5706" s="15"/>
      <c r="X5706" s="15"/>
      <c r="Y5706" s="15"/>
      <c r="Z5706" s="15"/>
      <c r="AA5706" s="15"/>
    </row>
    <row r="5707">
      <c r="A5707" s="480">
        <v>44013.0</v>
      </c>
      <c r="B5707" s="15" t="s">
        <v>21745</v>
      </c>
      <c r="C5707" s="14" t="s">
        <v>21746</v>
      </c>
      <c r="D5707" s="14"/>
      <c r="E5707" s="14" t="s">
        <v>152</v>
      </c>
      <c r="F5707" s="433" t="s">
        <v>21065</v>
      </c>
      <c r="G5707" s="434"/>
      <c r="H5707" s="14" t="s">
        <v>21747</v>
      </c>
      <c r="I5707" s="423"/>
      <c r="J5707" s="14" t="s">
        <v>21199</v>
      </c>
      <c r="K5707" s="13"/>
      <c r="L5707" s="13"/>
      <c r="M5707" s="14" t="s">
        <v>13381</v>
      </c>
      <c r="N5707" s="15" t="s">
        <v>21748</v>
      </c>
      <c r="O5707" s="15"/>
      <c r="P5707" s="15"/>
      <c r="Q5707" s="15"/>
      <c r="R5707" s="422"/>
      <c r="S5707" s="15"/>
      <c r="T5707" s="15"/>
      <c r="U5707" s="15"/>
      <c r="V5707" s="15"/>
      <c r="W5707" s="15"/>
      <c r="X5707" s="15"/>
      <c r="Y5707" s="15"/>
      <c r="Z5707" s="15"/>
      <c r="AA5707" s="15"/>
    </row>
    <row r="5708">
      <c r="A5708" s="480">
        <v>44013.0</v>
      </c>
      <c r="B5708" s="15" t="s">
        <v>21749</v>
      </c>
      <c r="C5708" s="14" t="s">
        <v>21750</v>
      </c>
      <c r="D5708" s="14"/>
      <c r="E5708" s="14" t="s">
        <v>19092</v>
      </c>
      <c r="F5708" s="433" t="s">
        <v>20300</v>
      </c>
      <c r="G5708" s="434"/>
      <c r="H5708" s="14" t="s">
        <v>742</v>
      </c>
      <c r="I5708" s="423"/>
      <c r="J5708" s="14" t="s">
        <v>21751</v>
      </c>
      <c r="K5708" s="13"/>
      <c r="L5708" s="13"/>
      <c r="M5708" s="14" t="s">
        <v>11262</v>
      </c>
      <c r="N5708" s="15" t="s">
        <v>21752</v>
      </c>
      <c r="O5708" s="15"/>
      <c r="P5708" s="15"/>
      <c r="Q5708" s="15"/>
      <c r="R5708" s="422"/>
      <c r="S5708" s="15"/>
      <c r="T5708" s="15"/>
      <c r="U5708" s="15"/>
      <c r="V5708" s="15"/>
      <c r="W5708" s="15"/>
      <c r="X5708" s="15"/>
      <c r="Y5708" s="15"/>
      <c r="Z5708" s="15"/>
      <c r="AA5708" s="15"/>
    </row>
    <row r="5709">
      <c r="A5709" s="480">
        <v>44013.0</v>
      </c>
      <c r="B5709" s="15" t="s">
        <v>21753</v>
      </c>
      <c r="C5709" s="14" t="s">
        <v>21754</v>
      </c>
      <c r="D5709" s="14"/>
      <c r="E5709" s="14" t="s">
        <v>21755</v>
      </c>
      <c r="F5709" s="433"/>
      <c r="G5709" s="434"/>
      <c r="H5709" s="14"/>
      <c r="I5709" s="423"/>
      <c r="J5709" s="14"/>
      <c r="K5709" s="13"/>
      <c r="L5709" s="13"/>
      <c r="M5709" s="14"/>
      <c r="N5709" s="15"/>
      <c r="O5709" s="15"/>
      <c r="P5709" s="15"/>
      <c r="Q5709" s="15"/>
      <c r="R5709" s="422"/>
      <c r="S5709" s="15"/>
      <c r="T5709" s="15"/>
      <c r="U5709" s="15"/>
      <c r="V5709" s="15"/>
      <c r="W5709" s="15"/>
      <c r="X5709" s="15"/>
      <c r="Y5709" s="15"/>
      <c r="Z5709" s="15"/>
      <c r="AA5709" s="15"/>
    </row>
    <row r="5710">
      <c r="A5710" s="480">
        <v>44013.0</v>
      </c>
      <c r="B5710" s="15" t="s">
        <v>21756</v>
      </c>
      <c r="C5710" s="14" t="s">
        <v>20869</v>
      </c>
      <c r="D5710" s="14"/>
      <c r="E5710" s="14" t="s">
        <v>167</v>
      </c>
      <c r="F5710" s="433" t="s">
        <v>20436</v>
      </c>
      <c r="G5710" s="434"/>
      <c r="H5710" s="14" t="s">
        <v>7280</v>
      </c>
      <c r="I5710" s="423"/>
      <c r="J5710" s="14" t="s">
        <v>21757</v>
      </c>
      <c r="K5710" s="13"/>
      <c r="L5710" s="13"/>
      <c r="M5710" s="14" t="s">
        <v>9034</v>
      </c>
      <c r="N5710" s="15" t="s">
        <v>21758</v>
      </c>
      <c r="O5710" s="15"/>
      <c r="P5710" s="15"/>
      <c r="Q5710" s="15"/>
      <c r="R5710" s="422"/>
      <c r="S5710" s="15"/>
      <c r="T5710" s="15"/>
      <c r="U5710" s="15"/>
      <c r="V5710" s="15"/>
      <c r="W5710" s="15"/>
      <c r="X5710" s="15"/>
      <c r="Y5710" s="15"/>
      <c r="Z5710" s="15"/>
      <c r="AA5710" s="15"/>
    </row>
    <row r="5711">
      <c r="A5711" s="480">
        <v>44013.0</v>
      </c>
      <c r="B5711" s="15" t="s">
        <v>21759</v>
      </c>
      <c r="C5711" s="14" t="s">
        <v>21760</v>
      </c>
      <c r="D5711" s="14"/>
      <c r="E5711" s="14" t="s">
        <v>189</v>
      </c>
      <c r="F5711" s="433" t="s">
        <v>20348</v>
      </c>
      <c r="G5711" s="434"/>
      <c r="H5711" s="14" t="s">
        <v>519</v>
      </c>
      <c r="I5711" s="423"/>
      <c r="J5711" s="14" t="s">
        <v>17976</v>
      </c>
      <c r="K5711" s="13"/>
      <c r="L5711" s="13"/>
      <c r="M5711" s="14" t="s">
        <v>9034</v>
      </c>
      <c r="N5711" s="15" t="s">
        <v>21761</v>
      </c>
      <c r="O5711" s="15"/>
      <c r="P5711" s="15"/>
      <c r="Q5711" s="15"/>
      <c r="R5711" s="422"/>
      <c r="S5711" s="15"/>
      <c r="T5711" s="15"/>
      <c r="U5711" s="15"/>
      <c r="V5711" s="15"/>
      <c r="W5711" s="15"/>
      <c r="X5711" s="15"/>
      <c r="Y5711" s="15"/>
      <c r="Z5711" s="15"/>
      <c r="AA5711" s="15"/>
    </row>
    <row r="5712">
      <c r="A5712" s="480">
        <v>44013.0</v>
      </c>
      <c r="B5712" s="15" t="s">
        <v>21762</v>
      </c>
      <c r="C5712" s="14" t="s">
        <v>21763</v>
      </c>
      <c r="D5712" s="14"/>
      <c r="E5712" s="14" t="s">
        <v>12509</v>
      </c>
      <c r="F5712" s="433" t="s">
        <v>21764</v>
      </c>
      <c r="G5712" s="434"/>
      <c r="H5712" s="14" t="s">
        <v>99</v>
      </c>
      <c r="I5712" s="423"/>
      <c r="J5712" s="14" t="s">
        <v>7717</v>
      </c>
      <c r="K5712" s="13"/>
      <c r="L5712" s="13"/>
      <c r="M5712" s="14" t="s">
        <v>9875</v>
      </c>
      <c r="N5712" s="15" t="s">
        <v>5941</v>
      </c>
      <c r="O5712" s="15"/>
      <c r="P5712" s="15"/>
      <c r="Q5712" s="15"/>
      <c r="R5712" s="422"/>
      <c r="S5712" s="15"/>
      <c r="T5712" s="15"/>
      <c r="U5712" s="15"/>
      <c r="V5712" s="15"/>
      <c r="W5712" s="15"/>
      <c r="X5712" s="15"/>
      <c r="Y5712" s="15"/>
      <c r="Z5712" s="15"/>
      <c r="AA5712" s="15"/>
    </row>
    <row r="5713">
      <c r="A5713" s="480">
        <v>44013.0</v>
      </c>
      <c r="B5713" s="15" t="s">
        <v>21765</v>
      </c>
      <c r="C5713" s="14" t="s">
        <v>21766</v>
      </c>
      <c r="D5713" s="14"/>
      <c r="E5713" s="14" t="s">
        <v>18248</v>
      </c>
      <c r="F5713" s="433" t="s">
        <v>20559</v>
      </c>
      <c r="G5713" s="434"/>
      <c r="H5713" s="14"/>
      <c r="I5713" s="423"/>
      <c r="J5713" s="14"/>
      <c r="K5713" s="13"/>
      <c r="L5713" s="13"/>
      <c r="M5713" s="14"/>
      <c r="N5713" s="15"/>
      <c r="O5713" s="15"/>
      <c r="P5713" s="15"/>
      <c r="Q5713" s="15"/>
      <c r="R5713" s="422"/>
      <c r="S5713" s="15"/>
      <c r="T5713" s="15"/>
      <c r="U5713" s="15"/>
      <c r="V5713" s="15"/>
      <c r="W5713" s="15"/>
      <c r="X5713" s="15"/>
      <c r="Y5713" s="15"/>
      <c r="Z5713" s="15"/>
      <c r="AA5713" s="15"/>
    </row>
    <row r="5714">
      <c r="A5714" s="480">
        <v>44013.0</v>
      </c>
      <c r="B5714" s="15" t="s">
        <v>21767</v>
      </c>
      <c r="C5714" s="14" t="s">
        <v>21768</v>
      </c>
      <c r="D5714" s="14"/>
      <c r="E5714" s="14" t="s">
        <v>130</v>
      </c>
      <c r="F5714" s="433" t="s">
        <v>20559</v>
      </c>
      <c r="G5714" s="434"/>
      <c r="H5714" s="14" t="s">
        <v>2682</v>
      </c>
      <c r="I5714" s="423"/>
      <c r="J5714" s="14" t="s">
        <v>17976</v>
      </c>
      <c r="K5714" s="13"/>
      <c r="L5714" s="13"/>
      <c r="M5714" s="14"/>
      <c r="N5714" s="15"/>
      <c r="O5714" s="15"/>
      <c r="P5714" s="15"/>
      <c r="Q5714" s="15"/>
      <c r="R5714" s="422"/>
      <c r="S5714" s="15"/>
      <c r="T5714" s="15"/>
      <c r="U5714" s="15"/>
      <c r="V5714" s="15"/>
      <c r="W5714" s="15"/>
      <c r="X5714" s="15"/>
      <c r="Y5714" s="15"/>
      <c r="Z5714" s="15"/>
      <c r="AA5714" s="15"/>
    </row>
    <row r="5715">
      <c r="A5715" s="480">
        <v>44013.0</v>
      </c>
      <c r="B5715" s="15" t="s">
        <v>21769</v>
      </c>
      <c r="C5715" s="492" t="s">
        <v>21770</v>
      </c>
      <c r="D5715" s="492"/>
      <c r="E5715" s="492" t="s">
        <v>130</v>
      </c>
      <c r="F5715" s="433" t="s">
        <v>20303</v>
      </c>
      <c r="G5715" s="434"/>
      <c r="H5715" s="14" t="s">
        <v>21771</v>
      </c>
      <c r="I5715" s="423"/>
      <c r="J5715" s="14" t="s">
        <v>21772</v>
      </c>
      <c r="K5715" s="13"/>
      <c r="L5715" s="13"/>
      <c r="M5715" s="14" t="s">
        <v>9707</v>
      </c>
      <c r="N5715" s="15" t="s">
        <v>21773</v>
      </c>
      <c r="O5715" s="493"/>
      <c r="P5715" s="15">
        <v>2.0</v>
      </c>
      <c r="Q5715" s="15"/>
      <c r="R5715" s="422"/>
      <c r="S5715" s="15"/>
      <c r="T5715" s="15"/>
      <c r="U5715" s="15"/>
      <c r="V5715" s="15"/>
      <c r="W5715" s="15"/>
      <c r="X5715" s="15"/>
      <c r="Y5715" s="15"/>
      <c r="Z5715" s="15"/>
      <c r="AA5715" s="15"/>
    </row>
    <row r="5716">
      <c r="A5716" s="480">
        <v>44013.0</v>
      </c>
      <c r="B5716" s="15" t="s">
        <v>21774</v>
      </c>
      <c r="C5716" s="14" t="s">
        <v>21775</v>
      </c>
      <c r="D5716" s="14"/>
      <c r="E5716" s="14" t="s">
        <v>4240</v>
      </c>
      <c r="F5716" s="433"/>
      <c r="G5716" s="434"/>
      <c r="H5716" s="14"/>
      <c r="I5716" s="423"/>
      <c r="J5716" s="14"/>
      <c r="K5716" s="13"/>
      <c r="L5716" s="13"/>
      <c r="M5716" s="14"/>
      <c r="N5716" s="15"/>
      <c r="O5716" s="15"/>
      <c r="P5716" s="15"/>
      <c r="Q5716" s="15"/>
      <c r="R5716" s="422"/>
      <c r="S5716" s="15"/>
      <c r="T5716" s="15"/>
      <c r="U5716" s="15"/>
      <c r="V5716" s="15"/>
      <c r="W5716" s="15"/>
      <c r="X5716" s="15"/>
      <c r="Y5716" s="15"/>
      <c r="Z5716" s="15"/>
      <c r="AA5716" s="15"/>
    </row>
    <row r="5717">
      <c r="A5717" s="480">
        <v>44013.0</v>
      </c>
      <c r="B5717" s="15" t="s">
        <v>21776</v>
      </c>
      <c r="C5717" s="14" t="s">
        <v>5400</v>
      </c>
      <c r="D5717" s="14"/>
      <c r="E5717" s="14" t="s">
        <v>1230</v>
      </c>
      <c r="F5717" s="433"/>
      <c r="G5717" s="434"/>
      <c r="H5717" s="14"/>
      <c r="I5717" s="423"/>
      <c r="J5717" s="14"/>
      <c r="K5717" s="13"/>
      <c r="L5717" s="13"/>
      <c r="M5717" s="14"/>
      <c r="N5717" s="15"/>
      <c r="O5717" s="15"/>
      <c r="P5717" s="15"/>
      <c r="Q5717" s="15"/>
      <c r="R5717" s="422"/>
      <c r="S5717" s="15"/>
      <c r="T5717" s="15"/>
      <c r="U5717" s="15"/>
      <c r="V5717" s="15"/>
      <c r="W5717" s="15"/>
      <c r="X5717" s="15"/>
      <c r="Y5717" s="15"/>
      <c r="Z5717" s="15"/>
      <c r="AA5717" s="15"/>
    </row>
    <row r="5718">
      <c r="A5718" s="480">
        <v>44013.0</v>
      </c>
      <c r="B5718" s="15" t="s">
        <v>21777</v>
      </c>
      <c r="C5718" s="14" t="s">
        <v>21778</v>
      </c>
      <c r="D5718" s="14"/>
      <c r="E5718" s="14" t="s">
        <v>77</v>
      </c>
      <c r="F5718" s="433" t="s">
        <v>21779</v>
      </c>
      <c r="G5718" s="434"/>
      <c r="H5718" s="14" t="s">
        <v>21780</v>
      </c>
      <c r="I5718" s="423"/>
      <c r="J5718" s="14" t="s">
        <v>25</v>
      </c>
      <c r="K5718" s="13"/>
      <c r="L5718" s="13"/>
      <c r="M5718" s="14" t="s">
        <v>11202</v>
      </c>
      <c r="N5718" s="15" t="s">
        <v>21781</v>
      </c>
      <c r="O5718" s="15"/>
      <c r="P5718" s="15"/>
      <c r="Q5718" s="15"/>
      <c r="R5718" s="422"/>
      <c r="S5718" s="15"/>
      <c r="T5718" s="15"/>
      <c r="U5718" s="15"/>
      <c r="V5718" s="15"/>
      <c r="W5718" s="15"/>
      <c r="X5718" s="15"/>
      <c r="Y5718" s="15"/>
      <c r="Z5718" s="15"/>
      <c r="AA5718" s="15"/>
    </row>
    <row r="5719">
      <c r="A5719" s="480">
        <v>44013.0</v>
      </c>
      <c r="B5719" s="15" t="s">
        <v>21782</v>
      </c>
      <c r="C5719" s="14" t="s">
        <v>21783</v>
      </c>
      <c r="D5719" s="14"/>
      <c r="E5719" s="14" t="s">
        <v>130</v>
      </c>
      <c r="F5719" s="433"/>
      <c r="G5719" s="434"/>
      <c r="H5719" s="14"/>
      <c r="I5719" s="423"/>
      <c r="J5719" s="14"/>
      <c r="K5719" s="13"/>
      <c r="L5719" s="13"/>
      <c r="M5719" s="14"/>
      <c r="N5719" s="15"/>
      <c r="O5719" s="15"/>
      <c r="P5719" s="15"/>
      <c r="Q5719" s="15"/>
      <c r="R5719" s="422"/>
      <c r="S5719" s="15"/>
      <c r="T5719" s="15"/>
      <c r="U5719" s="15"/>
      <c r="V5719" s="15"/>
      <c r="W5719" s="15"/>
      <c r="X5719" s="15"/>
      <c r="Y5719" s="15"/>
      <c r="Z5719" s="15"/>
      <c r="AA5719" s="15"/>
    </row>
    <row r="5720">
      <c r="A5720" s="480">
        <v>44013.0</v>
      </c>
      <c r="B5720" s="15" t="s">
        <v>21784</v>
      </c>
      <c r="C5720" s="14" t="s">
        <v>21785</v>
      </c>
      <c r="D5720" s="14"/>
      <c r="E5720" s="14" t="s">
        <v>5619</v>
      </c>
      <c r="F5720" s="433"/>
      <c r="G5720" s="434"/>
      <c r="H5720" s="14"/>
      <c r="I5720" s="423"/>
      <c r="J5720" s="14"/>
      <c r="K5720" s="13"/>
      <c r="L5720" s="13"/>
      <c r="M5720" s="14"/>
      <c r="N5720" s="15"/>
      <c r="O5720" s="15"/>
      <c r="P5720" s="15"/>
      <c r="Q5720" s="15"/>
      <c r="R5720" s="422"/>
      <c r="S5720" s="15"/>
      <c r="T5720" s="15"/>
      <c r="U5720" s="15"/>
      <c r="V5720" s="15"/>
      <c r="W5720" s="15"/>
      <c r="X5720" s="15"/>
      <c r="Y5720" s="15"/>
      <c r="Z5720" s="15"/>
      <c r="AA5720" s="15"/>
    </row>
    <row r="5721">
      <c r="A5721" s="480">
        <v>44013.0</v>
      </c>
      <c r="B5721" s="15" t="s">
        <v>21786</v>
      </c>
      <c r="C5721" s="14" t="s">
        <v>21787</v>
      </c>
      <c r="D5721" s="14"/>
      <c r="E5721" s="14" t="s">
        <v>21788</v>
      </c>
      <c r="F5721" s="433" t="s">
        <v>20348</v>
      </c>
      <c r="G5721" s="434"/>
      <c r="H5721" s="14" t="s">
        <v>1315</v>
      </c>
      <c r="I5721" s="423"/>
      <c r="J5721" s="14" t="s">
        <v>17976</v>
      </c>
      <c r="K5721" s="13"/>
      <c r="L5721" s="13"/>
      <c r="M5721" s="14"/>
      <c r="N5721" s="15"/>
      <c r="O5721" s="15"/>
      <c r="P5721" s="15"/>
      <c r="Q5721" s="15"/>
      <c r="R5721" s="422"/>
      <c r="S5721" s="15"/>
      <c r="T5721" s="15"/>
      <c r="U5721" s="15"/>
      <c r="V5721" s="15"/>
      <c r="W5721" s="15"/>
      <c r="X5721" s="15"/>
      <c r="Y5721" s="15"/>
      <c r="Z5721" s="15"/>
      <c r="AA5721" s="15"/>
    </row>
    <row r="5722">
      <c r="A5722" s="480">
        <v>44013.0</v>
      </c>
      <c r="B5722" s="15" t="s">
        <v>21789</v>
      </c>
      <c r="C5722" s="14" t="s">
        <v>21790</v>
      </c>
      <c r="D5722" s="14"/>
      <c r="E5722" s="14" t="s">
        <v>152</v>
      </c>
      <c r="F5722" s="433" t="s">
        <v>20436</v>
      </c>
      <c r="G5722" s="434"/>
      <c r="H5722" s="14" t="s">
        <v>20437</v>
      </c>
      <c r="I5722" s="423"/>
      <c r="J5722" s="14" t="s">
        <v>21461</v>
      </c>
      <c r="K5722" s="13"/>
      <c r="L5722" s="13"/>
      <c r="M5722" s="14" t="s">
        <v>9104</v>
      </c>
      <c r="N5722" s="15" t="s">
        <v>21791</v>
      </c>
      <c r="O5722" s="15"/>
      <c r="P5722" s="15"/>
      <c r="Q5722" s="15"/>
      <c r="R5722" s="422"/>
      <c r="S5722" s="15"/>
      <c r="T5722" s="15"/>
      <c r="U5722" s="15"/>
      <c r="V5722" s="15"/>
      <c r="W5722" s="15"/>
      <c r="X5722" s="15"/>
      <c r="Y5722" s="15"/>
      <c r="Z5722" s="15"/>
      <c r="AA5722" s="15"/>
    </row>
    <row r="5723">
      <c r="A5723" s="480">
        <v>44013.0</v>
      </c>
      <c r="B5723" s="15" t="s">
        <v>21792</v>
      </c>
      <c r="C5723" s="14" t="s">
        <v>21793</v>
      </c>
      <c r="D5723" s="14"/>
      <c r="E5723" s="14" t="s">
        <v>3555</v>
      </c>
      <c r="F5723" s="433" t="s">
        <v>20348</v>
      </c>
      <c r="G5723" s="434"/>
      <c r="H5723" s="14" t="s">
        <v>3836</v>
      </c>
      <c r="I5723" s="423"/>
      <c r="J5723" s="14" t="s">
        <v>17976</v>
      </c>
      <c r="K5723" s="13"/>
      <c r="L5723" s="13"/>
      <c r="M5723" s="14"/>
      <c r="N5723" s="15"/>
      <c r="O5723" s="15"/>
      <c r="P5723" s="15"/>
      <c r="Q5723" s="15"/>
      <c r="R5723" s="422"/>
      <c r="S5723" s="15"/>
      <c r="T5723" s="15"/>
      <c r="U5723" s="15"/>
      <c r="V5723" s="15"/>
      <c r="W5723" s="15"/>
      <c r="X5723" s="15"/>
      <c r="Y5723" s="15"/>
      <c r="Z5723" s="15"/>
      <c r="AA5723" s="15"/>
    </row>
    <row r="5724">
      <c r="A5724" s="480">
        <v>44013.0</v>
      </c>
      <c r="B5724" s="15" t="s">
        <v>21794</v>
      </c>
      <c r="C5724" s="14" t="s">
        <v>21795</v>
      </c>
      <c r="D5724" s="14"/>
      <c r="E5724" s="14" t="s">
        <v>21796</v>
      </c>
      <c r="F5724" s="433"/>
      <c r="G5724" s="434"/>
      <c r="H5724" s="14"/>
      <c r="I5724" s="423"/>
      <c r="J5724" s="14"/>
      <c r="K5724" s="13"/>
      <c r="L5724" s="13"/>
      <c r="M5724" s="14"/>
      <c r="N5724" s="15"/>
      <c r="O5724" s="15"/>
      <c r="P5724" s="15"/>
      <c r="Q5724" s="15"/>
      <c r="R5724" s="422"/>
      <c r="S5724" s="15"/>
      <c r="T5724" s="15"/>
      <c r="U5724" s="15"/>
      <c r="V5724" s="15"/>
      <c r="W5724" s="15"/>
      <c r="X5724" s="15"/>
      <c r="Y5724" s="15"/>
      <c r="Z5724" s="15"/>
      <c r="AA5724" s="15"/>
    </row>
    <row r="5725">
      <c r="A5725" s="480">
        <v>43983.0</v>
      </c>
      <c r="B5725" s="15" t="s">
        <v>21797</v>
      </c>
      <c r="C5725" s="14" t="s">
        <v>21798</v>
      </c>
      <c r="D5725" s="14"/>
      <c r="E5725" s="14" t="s">
        <v>19567</v>
      </c>
      <c r="F5725" s="433"/>
      <c r="G5725" s="434"/>
      <c r="H5725" s="14"/>
      <c r="I5725" s="423"/>
      <c r="J5725" s="14"/>
      <c r="K5725" s="13"/>
      <c r="L5725" s="13"/>
      <c r="M5725" s="14"/>
      <c r="N5725" s="15"/>
      <c r="O5725" s="15"/>
      <c r="P5725" s="15"/>
      <c r="Q5725" s="15"/>
      <c r="R5725" s="422"/>
      <c r="S5725" s="15"/>
      <c r="T5725" s="15"/>
      <c r="U5725" s="15"/>
      <c r="V5725" s="15"/>
      <c r="W5725" s="15"/>
      <c r="X5725" s="15"/>
      <c r="Y5725" s="15"/>
      <c r="Z5725" s="15"/>
      <c r="AA5725" s="15"/>
    </row>
    <row r="5726">
      <c r="A5726" s="480">
        <v>43983.0</v>
      </c>
      <c r="B5726" s="15" t="s">
        <v>21799</v>
      </c>
      <c r="C5726" s="14" t="s">
        <v>21800</v>
      </c>
      <c r="D5726" s="14"/>
      <c r="E5726" s="14" t="s">
        <v>92</v>
      </c>
      <c r="F5726" s="433" t="s">
        <v>21203</v>
      </c>
      <c r="G5726" s="434"/>
      <c r="H5726" s="14"/>
      <c r="I5726" s="423"/>
      <c r="J5726" s="14"/>
      <c r="K5726" s="13"/>
      <c r="L5726" s="13"/>
      <c r="M5726" s="14"/>
      <c r="N5726" s="15"/>
      <c r="O5726" s="15"/>
      <c r="P5726" s="15"/>
      <c r="Q5726" s="15"/>
      <c r="R5726" s="422"/>
      <c r="S5726" s="15"/>
      <c r="T5726" s="15"/>
      <c r="U5726" s="15"/>
      <c r="V5726" s="15"/>
      <c r="W5726" s="15"/>
      <c r="X5726" s="15"/>
      <c r="Y5726" s="15"/>
      <c r="Z5726" s="15"/>
      <c r="AA5726" s="15"/>
    </row>
    <row r="5727">
      <c r="A5727" s="480">
        <v>43983.0</v>
      </c>
      <c r="B5727" s="15" t="s">
        <v>21801</v>
      </c>
      <c r="C5727" s="14" t="s">
        <v>21802</v>
      </c>
      <c r="D5727" s="14"/>
      <c r="E5727" s="14" t="s">
        <v>6323</v>
      </c>
      <c r="F5727" s="433" t="s">
        <v>20322</v>
      </c>
      <c r="G5727" s="434"/>
      <c r="H5727" s="14" t="s">
        <v>44</v>
      </c>
      <c r="I5727" s="423"/>
      <c r="J5727" s="14" t="s">
        <v>21803</v>
      </c>
      <c r="K5727" s="13"/>
      <c r="L5727" s="13"/>
      <c r="M5727" s="14" t="s">
        <v>9823</v>
      </c>
      <c r="N5727" s="15" t="s">
        <v>21804</v>
      </c>
      <c r="O5727" s="15"/>
      <c r="P5727" s="15"/>
      <c r="Q5727" s="15"/>
      <c r="R5727" s="422"/>
      <c r="S5727" s="15"/>
      <c r="T5727" s="15"/>
      <c r="U5727" s="15"/>
      <c r="V5727" s="15"/>
      <c r="W5727" s="15"/>
      <c r="X5727" s="15"/>
      <c r="Y5727" s="15"/>
      <c r="Z5727" s="15"/>
      <c r="AA5727" s="15"/>
    </row>
    <row r="5728">
      <c r="A5728" s="480">
        <v>43983.0</v>
      </c>
      <c r="B5728" s="15" t="s">
        <v>21805</v>
      </c>
      <c r="C5728" s="14" t="s">
        <v>21806</v>
      </c>
      <c r="D5728" s="14"/>
      <c r="E5728" s="14" t="s">
        <v>412</v>
      </c>
      <c r="F5728" s="433" t="s">
        <v>20935</v>
      </c>
      <c r="G5728" s="434"/>
      <c r="H5728" s="14" t="s">
        <v>99</v>
      </c>
      <c r="I5728" s="423"/>
      <c r="J5728" s="14" t="s">
        <v>20151</v>
      </c>
      <c r="K5728" s="13"/>
      <c r="L5728" s="13"/>
      <c r="M5728" s="14"/>
      <c r="N5728" s="15"/>
      <c r="O5728" s="15"/>
      <c r="P5728" s="15"/>
      <c r="Q5728" s="15"/>
      <c r="R5728" s="422"/>
      <c r="S5728" s="15"/>
      <c r="T5728" s="15"/>
      <c r="U5728" s="15"/>
      <c r="V5728" s="15"/>
      <c r="W5728" s="15"/>
      <c r="X5728" s="15"/>
      <c r="Y5728" s="15"/>
      <c r="Z5728" s="15"/>
      <c r="AA5728" s="15"/>
    </row>
    <row r="5729">
      <c r="A5729" s="480">
        <v>43983.0</v>
      </c>
      <c r="B5729" s="15" t="s">
        <v>21807</v>
      </c>
      <c r="C5729" s="14" t="s">
        <v>21808</v>
      </c>
      <c r="D5729" s="14"/>
      <c r="E5729" s="14" t="s">
        <v>21809</v>
      </c>
      <c r="F5729" s="433" t="s">
        <v>20577</v>
      </c>
      <c r="G5729" s="434"/>
      <c r="H5729" s="14" t="s">
        <v>21810</v>
      </c>
      <c r="I5729" s="423"/>
      <c r="J5729" s="14" t="s">
        <v>17976</v>
      </c>
      <c r="K5729" s="13"/>
      <c r="L5729" s="13"/>
      <c r="M5729" s="14" t="s">
        <v>9901</v>
      </c>
      <c r="N5729" s="15" t="s">
        <v>21811</v>
      </c>
      <c r="O5729" s="15"/>
      <c r="P5729" s="15"/>
      <c r="Q5729" s="15"/>
      <c r="R5729" s="422"/>
      <c r="S5729" s="15"/>
      <c r="T5729" s="15"/>
      <c r="U5729" s="15"/>
      <c r="V5729" s="15"/>
      <c r="W5729" s="15"/>
      <c r="X5729" s="15"/>
      <c r="Y5729" s="15"/>
      <c r="Z5729" s="15"/>
      <c r="AA5729" s="15"/>
    </row>
    <row r="5730">
      <c r="A5730" s="480">
        <v>43983.0</v>
      </c>
      <c r="B5730" s="15" t="s">
        <v>21812</v>
      </c>
      <c r="C5730" s="14" t="s">
        <v>21813</v>
      </c>
      <c r="D5730" s="14"/>
      <c r="E5730" s="14" t="s">
        <v>152</v>
      </c>
      <c r="F5730" s="433" t="s">
        <v>20354</v>
      </c>
      <c r="G5730" s="434"/>
      <c r="H5730" s="14" t="s">
        <v>21814</v>
      </c>
      <c r="I5730" s="423"/>
      <c r="J5730" s="14" t="s">
        <v>13644</v>
      </c>
      <c r="K5730" s="13"/>
      <c r="L5730" s="13"/>
      <c r="M5730" s="14" t="s">
        <v>9147</v>
      </c>
      <c r="N5730" s="15" t="s">
        <v>21815</v>
      </c>
      <c r="O5730" s="15"/>
      <c r="P5730" s="15"/>
      <c r="Q5730" s="15"/>
      <c r="R5730" s="422"/>
      <c r="S5730" s="15"/>
      <c r="T5730" s="15"/>
      <c r="U5730" s="15"/>
      <c r="V5730" s="15"/>
      <c r="W5730" s="15"/>
      <c r="X5730" s="15"/>
      <c r="Y5730" s="15"/>
      <c r="Z5730" s="15"/>
      <c r="AA5730" s="15"/>
    </row>
    <row r="5731">
      <c r="A5731" s="480">
        <v>43983.0</v>
      </c>
      <c r="B5731" s="15" t="s">
        <v>21816</v>
      </c>
      <c r="C5731" s="14" t="s">
        <v>21817</v>
      </c>
      <c r="D5731" s="14"/>
      <c r="E5731" s="14" t="s">
        <v>21818</v>
      </c>
      <c r="F5731" s="433" t="s">
        <v>18673</v>
      </c>
      <c r="G5731" s="434"/>
      <c r="H5731" s="14" t="s">
        <v>21819</v>
      </c>
      <c r="I5731" s="423"/>
      <c r="J5731" s="14" t="s">
        <v>21820</v>
      </c>
      <c r="K5731" s="13"/>
      <c r="L5731" s="13"/>
      <c r="M5731" s="14" t="s">
        <v>18214</v>
      </c>
      <c r="N5731" s="15" t="s">
        <v>21821</v>
      </c>
      <c r="O5731" s="15"/>
      <c r="P5731" s="15"/>
      <c r="Q5731" s="15"/>
      <c r="R5731" s="422"/>
      <c r="S5731" s="15"/>
      <c r="T5731" s="15"/>
      <c r="U5731" s="15"/>
      <c r="V5731" s="15"/>
      <c r="W5731" s="15"/>
      <c r="X5731" s="15"/>
      <c r="Y5731" s="15"/>
      <c r="Z5731" s="15"/>
      <c r="AA5731" s="15"/>
    </row>
    <row r="5732">
      <c r="A5732" s="480">
        <v>43983.0</v>
      </c>
      <c r="B5732" s="15" t="s">
        <v>21822</v>
      </c>
      <c r="C5732" s="14" t="s">
        <v>21823</v>
      </c>
      <c r="D5732" s="14"/>
      <c r="E5732" s="14" t="s">
        <v>7917</v>
      </c>
      <c r="F5732" s="433" t="s">
        <v>20284</v>
      </c>
      <c r="G5732" s="434"/>
      <c r="H5732" s="14" t="s">
        <v>930</v>
      </c>
      <c r="I5732" s="423"/>
      <c r="J5732" s="14" t="s">
        <v>9814</v>
      </c>
      <c r="K5732" s="13"/>
      <c r="L5732" s="13"/>
      <c r="M5732" s="14" t="s">
        <v>10809</v>
      </c>
      <c r="N5732" s="15" t="s">
        <v>21824</v>
      </c>
      <c r="O5732" s="15"/>
      <c r="P5732" s="15"/>
      <c r="Q5732" s="15"/>
      <c r="R5732" s="422"/>
      <c r="S5732" s="15"/>
      <c r="T5732" s="15"/>
      <c r="U5732" s="15"/>
      <c r="V5732" s="15"/>
      <c r="W5732" s="15"/>
      <c r="X5732" s="15"/>
      <c r="Y5732" s="15"/>
      <c r="Z5732" s="15"/>
      <c r="AA5732" s="15"/>
    </row>
    <row r="5733">
      <c r="A5733" s="480">
        <v>43983.0</v>
      </c>
      <c r="B5733" s="15" t="s">
        <v>21825</v>
      </c>
      <c r="C5733" s="14" t="s">
        <v>18974</v>
      </c>
      <c r="D5733" s="14"/>
      <c r="E5733" s="14" t="s">
        <v>9434</v>
      </c>
      <c r="F5733" s="433" t="s">
        <v>20436</v>
      </c>
      <c r="G5733" s="434"/>
      <c r="H5733" s="14" t="s">
        <v>507</v>
      </c>
      <c r="I5733" s="423"/>
      <c r="J5733" s="14" t="s">
        <v>17976</v>
      </c>
      <c r="K5733" s="13"/>
      <c r="L5733" s="13"/>
      <c r="M5733" s="14" t="s">
        <v>9949</v>
      </c>
      <c r="N5733" s="15" t="s">
        <v>21826</v>
      </c>
      <c r="O5733" s="15"/>
      <c r="P5733" s="15"/>
      <c r="Q5733" s="15"/>
      <c r="R5733" s="422"/>
      <c r="S5733" s="15"/>
      <c r="T5733" s="15"/>
      <c r="U5733" s="15"/>
      <c r="V5733" s="15"/>
      <c r="W5733" s="15"/>
      <c r="X5733" s="15"/>
      <c r="Y5733" s="15"/>
      <c r="Z5733" s="15"/>
      <c r="AA5733" s="15"/>
    </row>
    <row r="5734">
      <c r="A5734" s="480">
        <v>43983.0</v>
      </c>
      <c r="B5734" s="15" t="s">
        <v>21827</v>
      </c>
      <c r="C5734" s="14" t="s">
        <v>21828</v>
      </c>
      <c r="D5734" s="14"/>
      <c r="E5734" s="14" t="s">
        <v>576</v>
      </c>
      <c r="F5734" s="433" t="s">
        <v>20348</v>
      </c>
      <c r="G5734" s="434"/>
      <c r="H5734" s="14" t="s">
        <v>472</v>
      </c>
      <c r="I5734" s="423"/>
      <c r="J5734" s="14" t="s">
        <v>17976</v>
      </c>
      <c r="K5734" s="13"/>
      <c r="L5734" s="13"/>
      <c r="M5734" s="14" t="s">
        <v>7904</v>
      </c>
      <c r="N5734" s="15" t="s">
        <v>21829</v>
      </c>
      <c r="O5734" s="15"/>
      <c r="P5734" s="15"/>
      <c r="Q5734" s="15"/>
      <c r="R5734" s="422"/>
      <c r="S5734" s="15"/>
      <c r="T5734" s="15"/>
      <c r="U5734" s="15"/>
      <c r="V5734" s="15"/>
      <c r="W5734" s="15"/>
      <c r="X5734" s="15"/>
      <c r="Y5734" s="15"/>
      <c r="Z5734" s="15"/>
      <c r="AA5734" s="15"/>
    </row>
    <row r="5735">
      <c r="A5735" s="480">
        <v>43983.0</v>
      </c>
      <c r="B5735" s="15" t="s">
        <v>21830</v>
      </c>
      <c r="C5735" s="14" t="s">
        <v>18405</v>
      </c>
      <c r="D5735" s="14"/>
      <c r="E5735" s="14" t="s">
        <v>17630</v>
      </c>
      <c r="F5735" s="433" t="s">
        <v>21203</v>
      </c>
      <c r="G5735" s="434"/>
      <c r="H5735" s="14" t="s">
        <v>15041</v>
      </c>
      <c r="I5735" s="423"/>
      <c r="J5735" s="14" t="s">
        <v>20151</v>
      </c>
      <c r="K5735" s="13"/>
      <c r="L5735" s="13"/>
      <c r="M5735" s="14"/>
      <c r="N5735" s="15"/>
      <c r="O5735" s="15"/>
      <c r="P5735" s="15"/>
      <c r="Q5735" s="15"/>
      <c r="R5735" s="422"/>
      <c r="S5735" s="15"/>
      <c r="T5735" s="15"/>
      <c r="U5735" s="15"/>
      <c r="V5735" s="15"/>
      <c r="W5735" s="15"/>
      <c r="X5735" s="15"/>
      <c r="Y5735" s="15"/>
      <c r="Z5735" s="15"/>
      <c r="AA5735" s="15"/>
    </row>
    <row r="5736">
      <c r="A5736" s="480">
        <v>43983.0</v>
      </c>
      <c r="B5736" s="15" t="s">
        <v>21831</v>
      </c>
      <c r="C5736" s="14" t="s">
        <v>21832</v>
      </c>
      <c r="D5736" s="14"/>
      <c r="E5736" s="14" t="s">
        <v>9283</v>
      </c>
      <c r="F5736" s="433" t="s">
        <v>21109</v>
      </c>
      <c r="G5736" s="434"/>
      <c r="H5736" s="14" t="s">
        <v>507</v>
      </c>
      <c r="I5736" s="423"/>
      <c r="J5736" s="14" t="s">
        <v>9814</v>
      </c>
      <c r="K5736" s="13"/>
      <c r="L5736" s="13"/>
      <c r="M5736" s="14" t="s">
        <v>9104</v>
      </c>
      <c r="N5736" s="15" t="s">
        <v>21833</v>
      </c>
      <c r="O5736" s="15"/>
      <c r="P5736" s="15"/>
      <c r="Q5736" s="15"/>
      <c r="R5736" s="422"/>
      <c r="S5736" s="15"/>
      <c r="T5736" s="15"/>
      <c r="U5736" s="15"/>
      <c r="V5736" s="15"/>
      <c r="W5736" s="15"/>
      <c r="X5736" s="15"/>
      <c r="Y5736" s="15"/>
      <c r="Z5736" s="15"/>
      <c r="AA5736" s="15"/>
    </row>
    <row r="5737">
      <c r="A5737" s="480">
        <v>43983.0</v>
      </c>
      <c r="B5737" s="15" t="s">
        <v>21834</v>
      </c>
      <c r="C5737" s="14" t="s">
        <v>21835</v>
      </c>
      <c r="D5737" s="14"/>
      <c r="E5737" s="14" t="s">
        <v>19567</v>
      </c>
      <c r="F5737" s="433" t="s">
        <v>20392</v>
      </c>
      <c r="G5737" s="434"/>
      <c r="H5737" s="14" t="s">
        <v>742</v>
      </c>
      <c r="I5737" s="423"/>
      <c r="J5737" s="14" t="s">
        <v>20151</v>
      </c>
      <c r="K5737" s="13"/>
      <c r="L5737" s="13"/>
      <c r="M5737" s="14" t="s">
        <v>14925</v>
      </c>
      <c r="N5737" s="15" t="s">
        <v>21836</v>
      </c>
      <c r="O5737" s="15"/>
      <c r="P5737" s="15"/>
      <c r="Q5737" s="15"/>
      <c r="R5737" s="422"/>
      <c r="S5737" s="15"/>
      <c r="T5737" s="15"/>
      <c r="U5737" s="15"/>
      <c r="V5737" s="15"/>
      <c r="W5737" s="15"/>
      <c r="X5737" s="15"/>
      <c r="Y5737" s="15"/>
      <c r="Z5737" s="15"/>
      <c r="AA5737" s="15"/>
    </row>
    <row r="5738">
      <c r="A5738" s="480">
        <v>43983.0</v>
      </c>
      <c r="B5738" s="15" t="s">
        <v>21837</v>
      </c>
      <c r="C5738" s="14" t="s">
        <v>21838</v>
      </c>
      <c r="D5738" s="14"/>
      <c r="E5738" s="14" t="s">
        <v>21839</v>
      </c>
      <c r="F5738" s="433"/>
      <c r="G5738" s="434"/>
      <c r="H5738" s="14"/>
      <c r="I5738" s="423"/>
      <c r="J5738" s="14"/>
      <c r="K5738" s="13"/>
      <c r="L5738" s="13"/>
      <c r="M5738" s="14"/>
      <c r="N5738" s="15"/>
      <c r="O5738" s="15"/>
      <c r="P5738" s="15"/>
      <c r="Q5738" s="15"/>
      <c r="R5738" s="422"/>
      <c r="S5738" s="15"/>
      <c r="T5738" s="15"/>
      <c r="U5738" s="15"/>
      <c r="V5738" s="15"/>
      <c r="W5738" s="15"/>
      <c r="X5738" s="15"/>
      <c r="Y5738" s="15"/>
      <c r="Z5738" s="15"/>
      <c r="AA5738" s="15"/>
    </row>
    <row r="5739">
      <c r="A5739" s="480">
        <v>43983.0</v>
      </c>
      <c r="B5739" s="15" t="s">
        <v>21840</v>
      </c>
      <c r="C5739" s="14" t="s">
        <v>21841</v>
      </c>
      <c r="D5739" s="14"/>
      <c r="E5739" s="14" t="s">
        <v>47</v>
      </c>
      <c r="F5739" s="433" t="s">
        <v>21842</v>
      </c>
      <c r="G5739" s="434"/>
      <c r="H5739" s="14" t="s">
        <v>507</v>
      </c>
      <c r="I5739" s="423"/>
      <c r="J5739" s="14" t="s">
        <v>17976</v>
      </c>
      <c r="K5739" s="13"/>
      <c r="L5739" s="13"/>
      <c r="M5739" s="14" t="s">
        <v>7965</v>
      </c>
      <c r="N5739" s="15" t="s">
        <v>21843</v>
      </c>
      <c r="O5739" s="15"/>
      <c r="P5739" s="15"/>
      <c r="Q5739" s="15"/>
      <c r="R5739" s="422"/>
      <c r="S5739" s="15"/>
      <c r="T5739" s="15"/>
      <c r="U5739" s="15"/>
      <c r="V5739" s="15"/>
      <c r="W5739" s="15"/>
      <c r="X5739" s="15"/>
      <c r="Y5739" s="15"/>
      <c r="Z5739" s="15"/>
      <c r="AA5739" s="15"/>
    </row>
    <row r="5740">
      <c r="A5740" s="480">
        <v>43983.0</v>
      </c>
      <c r="B5740" s="15" t="s">
        <v>21844</v>
      </c>
      <c r="C5740" s="14" t="s">
        <v>21845</v>
      </c>
      <c r="D5740" s="14"/>
      <c r="E5740" s="14" t="s">
        <v>19567</v>
      </c>
      <c r="F5740" s="433" t="s">
        <v>20392</v>
      </c>
      <c r="G5740" s="434"/>
      <c r="H5740" s="14" t="s">
        <v>742</v>
      </c>
      <c r="I5740" s="423"/>
      <c r="J5740" s="14" t="s">
        <v>20151</v>
      </c>
      <c r="K5740" s="13"/>
      <c r="L5740" s="13"/>
      <c r="M5740" s="14" t="s">
        <v>14925</v>
      </c>
      <c r="N5740" s="15" t="s">
        <v>21846</v>
      </c>
      <c r="O5740" s="15"/>
      <c r="P5740" s="15"/>
      <c r="Q5740" s="15"/>
      <c r="R5740" s="422"/>
      <c r="S5740" s="15"/>
      <c r="T5740" s="15"/>
      <c r="U5740" s="15"/>
      <c r="V5740" s="15"/>
      <c r="W5740" s="15"/>
      <c r="X5740" s="15"/>
      <c r="Y5740" s="15"/>
      <c r="Z5740" s="15"/>
      <c r="AA5740" s="15"/>
    </row>
    <row r="5741">
      <c r="A5741" s="480">
        <v>43983.0</v>
      </c>
      <c r="B5741" s="15" t="s">
        <v>21847</v>
      </c>
      <c r="C5741" s="14" t="s">
        <v>21848</v>
      </c>
      <c r="D5741" s="14"/>
      <c r="E5741" s="14" t="s">
        <v>189</v>
      </c>
      <c r="F5741" s="433" t="s">
        <v>21849</v>
      </c>
      <c r="G5741" s="434"/>
      <c r="H5741" s="14" t="s">
        <v>3861</v>
      </c>
      <c r="I5741" s="423"/>
      <c r="J5741" s="14" t="s">
        <v>17976</v>
      </c>
      <c r="K5741" s="13"/>
      <c r="L5741" s="13"/>
      <c r="M5741" s="14" t="s">
        <v>9949</v>
      </c>
      <c r="N5741" s="15" t="s">
        <v>21850</v>
      </c>
      <c r="O5741" s="15"/>
      <c r="P5741" s="15"/>
      <c r="Q5741" s="15"/>
      <c r="R5741" s="422"/>
      <c r="S5741" s="15"/>
      <c r="T5741" s="15"/>
      <c r="U5741" s="15"/>
      <c r="V5741" s="15"/>
      <c r="W5741" s="15"/>
      <c r="X5741" s="15"/>
      <c r="Y5741" s="15"/>
      <c r="Z5741" s="15"/>
      <c r="AA5741" s="15"/>
    </row>
    <row r="5742">
      <c r="A5742" s="480">
        <v>43983.0</v>
      </c>
      <c r="B5742" s="15" t="s">
        <v>21851</v>
      </c>
      <c r="C5742" s="14" t="s">
        <v>21852</v>
      </c>
      <c r="D5742" s="14"/>
      <c r="E5742" s="14" t="s">
        <v>21853</v>
      </c>
      <c r="F5742" s="433" t="s">
        <v>20375</v>
      </c>
      <c r="G5742" s="434"/>
      <c r="H5742" s="14"/>
      <c r="I5742" s="423"/>
      <c r="J5742" s="14"/>
      <c r="K5742" s="13"/>
      <c r="L5742" s="13"/>
      <c r="M5742" s="14"/>
      <c r="N5742" s="15"/>
      <c r="O5742" s="15"/>
      <c r="P5742" s="15"/>
      <c r="Q5742" s="15"/>
      <c r="R5742" s="422"/>
      <c r="S5742" s="15"/>
      <c r="T5742" s="15"/>
      <c r="U5742" s="15"/>
      <c r="V5742" s="15"/>
      <c r="W5742" s="15"/>
      <c r="X5742" s="15"/>
      <c r="Y5742" s="15"/>
      <c r="Z5742" s="15"/>
      <c r="AA5742" s="15"/>
    </row>
    <row r="5743">
      <c r="A5743" s="480">
        <v>43983.0</v>
      </c>
      <c r="B5743" s="15" t="s">
        <v>21854</v>
      </c>
      <c r="C5743" s="14" t="s">
        <v>21855</v>
      </c>
      <c r="D5743" s="14"/>
      <c r="E5743" s="14" t="s">
        <v>116</v>
      </c>
      <c r="F5743" s="433" t="s">
        <v>20340</v>
      </c>
      <c r="G5743" s="434"/>
      <c r="H5743" s="14" t="s">
        <v>1919</v>
      </c>
      <c r="I5743" s="423"/>
      <c r="J5743" s="14" t="s">
        <v>21856</v>
      </c>
      <c r="K5743" s="13"/>
      <c r="L5743" s="13"/>
      <c r="M5743" s="14" t="s">
        <v>10483</v>
      </c>
      <c r="N5743" s="15" t="s">
        <v>21857</v>
      </c>
      <c r="O5743" s="15"/>
      <c r="P5743" s="15"/>
      <c r="Q5743" s="15"/>
      <c r="R5743" s="422"/>
      <c r="S5743" s="15"/>
      <c r="T5743" s="15"/>
      <c r="U5743" s="15"/>
      <c r="V5743" s="15"/>
      <c r="W5743" s="15"/>
      <c r="X5743" s="15"/>
      <c r="Y5743" s="15"/>
      <c r="Z5743" s="15"/>
      <c r="AA5743" s="15"/>
    </row>
    <row r="5744">
      <c r="A5744" s="480">
        <v>43983.0</v>
      </c>
      <c r="B5744" s="15" t="s">
        <v>21858</v>
      </c>
      <c r="C5744" s="14" t="s">
        <v>16756</v>
      </c>
      <c r="D5744" s="14"/>
      <c r="E5744" s="14" t="s">
        <v>21859</v>
      </c>
      <c r="F5744" s="433" t="s">
        <v>20322</v>
      </c>
      <c r="G5744" s="434"/>
      <c r="H5744" s="14" t="s">
        <v>930</v>
      </c>
      <c r="I5744" s="423"/>
      <c r="J5744" s="14" t="s">
        <v>9814</v>
      </c>
      <c r="K5744" s="13"/>
      <c r="L5744" s="13"/>
      <c r="M5744" s="14" t="s">
        <v>15101</v>
      </c>
      <c r="N5744" s="15" t="s">
        <v>21860</v>
      </c>
      <c r="O5744" s="15"/>
      <c r="P5744" s="15"/>
      <c r="Q5744" s="15"/>
      <c r="R5744" s="422"/>
      <c r="S5744" s="15"/>
      <c r="T5744" s="15"/>
      <c r="U5744" s="15"/>
      <c r="V5744" s="15"/>
      <c r="W5744" s="15"/>
      <c r="X5744" s="15"/>
      <c r="Y5744" s="15"/>
      <c r="Z5744" s="15"/>
      <c r="AA5744" s="15"/>
    </row>
    <row r="5745">
      <c r="A5745" s="480">
        <v>43983.0</v>
      </c>
      <c r="B5745" s="15" t="s">
        <v>21861</v>
      </c>
      <c r="C5745" s="14" t="s">
        <v>21862</v>
      </c>
      <c r="D5745" s="14"/>
      <c r="E5745" s="14" t="s">
        <v>152</v>
      </c>
      <c r="F5745" s="433" t="s">
        <v>20313</v>
      </c>
      <c r="G5745" s="434"/>
      <c r="H5745" s="14" t="s">
        <v>1445</v>
      </c>
      <c r="I5745" s="423"/>
      <c r="J5745" s="14" t="s">
        <v>21461</v>
      </c>
      <c r="K5745" s="13"/>
      <c r="L5745" s="13"/>
      <c r="M5745" s="14" t="s">
        <v>9104</v>
      </c>
      <c r="N5745" s="15" t="s">
        <v>21863</v>
      </c>
      <c r="O5745" s="15"/>
      <c r="P5745" s="15"/>
      <c r="Q5745" s="15"/>
      <c r="R5745" s="422"/>
      <c r="S5745" s="15"/>
      <c r="T5745" s="15"/>
      <c r="U5745" s="15"/>
      <c r="V5745" s="15"/>
      <c r="W5745" s="15"/>
      <c r="X5745" s="15"/>
      <c r="Y5745" s="15"/>
      <c r="Z5745" s="15"/>
      <c r="AA5745" s="15"/>
    </row>
    <row r="5746">
      <c r="A5746" s="480">
        <v>43983.0</v>
      </c>
      <c r="B5746" s="15" t="s">
        <v>21864</v>
      </c>
      <c r="C5746" s="14" t="s">
        <v>21865</v>
      </c>
      <c r="D5746" s="14"/>
      <c r="E5746" s="14" t="s">
        <v>167</v>
      </c>
      <c r="F5746" s="433"/>
      <c r="G5746" s="434"/>
      <c r="H5746" s="14"/>
      <c r="I5746" s="423"/>
      <c r="J5746" s="14"/>
      <c r="K5746" s="13"/>
      <c r="L5746" s="13"/>
      <c r="M5746" s="14" t="s">
        <v>9949</v>
      </c>
      <c r="N5746" s="15" t="s">
        <v>21866</v>
      </c>
      <c r="O5746" s="15"/>
      <c r="P5746" s="15"/>
      <c r="Q5746" s="15"/>
      <c r="R5746" s="422"/>
      <c r="S5746" s="15"/>
      <c r="T5746" s="15"/>
      <c r="U5746" s="15"/>
      <c r="V5746" s="15"/>
      <c r="W5746" s="15"/>
      <c r="X5746" s="15"/>
      <c r="Y5746" s="15"/>
      <c r="Z5746" s="15"/>
      <c r="AA5746" s="15"/>
    </row>
    <row r="5747">
      <c r="A5747" s="480">
        <v>43983.0</v>
      </c>
      <c r="B5747" s="15" t="s">
        <v>21867</v>
      </c>
      <c r="C5747" s="14" t="s">
        <v>11231</v>
      </c>
      <c r="D5747" s="14"/>
      <c r="E5747" s="14" t="s">
        <v>914</v>
      </c>
      <c r="F5747" s="433" t="s">
        <v>21868</v>
      </c>
      <c r="G5747" s="434"/>
      <c r="H5747" s="14" t="s">
        <v>930</v>
      </c>
      <c r="I5747" s="423"/>
      <c r="J5747" s="14" t="s">
        <v>21869</v>
      </c>
      <c r="K5747" s="13"/>
      <c r="L5747" s="13"/>
      <c r="M5747" s="14" t="s">
        <v>7904</v>
      </c>
      <c r="N5747" s="15" t="s">
        <v>21870</v>
      </c>
      <c r="O5747" s="15"/>
      <c r="P5747" s="15"/>
      <c r="Q5747" s="15"/>
      <c r="R5747" s="422"/>
      <c r="S5747" s="15"/>
      <c r="T5747" s="15"/>
      <c r="U5747" s="15"/>
      <c r="V5747" s="15"/>
      <c r="W5747" s="15"/>
      <c r="X5747" s="15"/>
      <c r="Y5747" s="15"/>
      <c r="Z5747" s="15"/>
      <c r="AA5747" s="15"/>
    </row>
    <row r="5748">
      <c r="A5748" s="480">
        <v>43983.0</v>
      </c>
      <c r="B5748" s="15" t="s">
        <v>21871</v>
      </c>
      <c r="C5748" s="494" t="s">
        <v>21872</v>
      </c>
      <c r="D5748" s="494"/>
      <c r="E5748" s="494" t="s">
        <v>15040</v>
      </c>
      <c r="F5748" s="433" t="s">
        <v>20392</v>
      </c>
      <c r="G5748" s="434"/>
      <c r="H5748" s="14" t="s">
        <v>44</v>
      </c>
      <c r="I5748" s="423"/>
      <c r="J5748" s="14" t="s">
        <v>21873</v>
      </c>
      <c r="K5748" s="13"/>
      <c r="L5748" s="13"/>
      <c r="M5748" s="14" t="s">
        <v>10515</v>
      </c>
      <c r="N5748" s="15" t="s">
        <v>21874</v>
      </c>
      <c r="O5748" s="15"/>
      <c r="P5748" s="15"/>
      <c r="Q5748" s="15"/>
      <c r="R5748" s="422"/>
      <c r="S5748" s="15"/>
      <c r="T5748" s="15"/>
      <c r="U5748" s="15"/>
      <c r="V5748" s="15"/>
      <c r="W5748" s="15"/>
      <c r="X5748" s="15"/>
      <c r="Y5748" s="15"/>
      <c r="Z5748" s="15"/>
      <c r="AA5748" s="15"/>
    </row>
    <row r="5749">
      <c r="A5749" s="480">
        <v>43983.0</v>
      </c>
      <c r="B5749" s="15" t="s">
        <v>21875</v>
      </c>
      <c r="C5749" s="14" t="s">
        <v>21876</v>
      </c>
      <c r="D5749" s="14"/>
      <c r="E5749" s="14" t="s">
        <v>152</v>
      </c>
      <c r="F5749" s="433" t="s">
        <v>20398</v>
      </c>
      <c r="G5749" s="434"/>
      <c r="H5749" s="14"/>
      <c r="I5749" s="423"/>
      <c r="J5749" s="14"/>
      <c r="K5749" s="13"/>
      <c r="L5749" s="13"/>
      <c r="M5749" s="14"/>
      <c r="N5749" s="15"/>
      <c r="O5749" s="15"/>
      <c r="P5749" s="15"/>
      <c r="Q5749" s="15"/>
      <c r="R5749" s="422"/>
      <c r="S5749" s="15"/>
      <c r="T5749" s="15"/>
      <c r="U5749" s="15"/>
      <c r="V5749" s="15"/>
      <c r="W5749" s="15"/>
      <c r="X5749" s="15"/>
      <c r="Y5749" s="15"/>
      <c r="Z5749" s="15"/>
      <c r="AA5749" s="15"/>
    </row>
    <row r="5750">
      <c r="A5750" s="480">
        <v>43983.0</v>
      </c>
      <c r="B5750" s="15" t="s">
        <v>21877</v>
      </c>
      <c r="C5750" s="14" t="s">
        <v>21876</v>
      </c>
      <c r="D5750" s="14"/>
      <c r="E5750" s="14" t="s">
        <v>152</v>
      </c>
      <c r="F5750" s="433" t="s">
        <v>20398</v>
      </c>
      <c r="G5750" s="434"/>
      <c r="H5750" s="14"/>
      <c r="I5750" s="423"/>
      <c r="J5750" s="14"/>
      <c r="K5750" s="13"/>
      <c r="L5750" s="13"/>
      <c r="M5750" s="14"/>
      <c r="N5750" s="15"/>
      <c r="O5750" s="15"/>
      <c r="P5750" s="15"/>
      <c r="Q5750" s="15"/>
      <c r="R5750" s="422"/>
      <c r="S5750" s="15"/>
      <c r="T5750" s="15"/>
      <c r="U5750" s="15"/>
      <c r="V5750" s="15"/>
      <c r="W5750" s="15"/>
      <c r="X5750" s="15"/>
      <c r="Y5750" s="15"/>
      <c r="Z5750" s="15"/>
      <c r="AA5750" s="15"/>
    </row>
    <row r="5751">
      <c r="A5751" s="480">
        <v>43983.0</v>
      </c>
      <c r="B5751" s="15" t="s">
        <v>21878</v>
      </c>
      <c r="C5751" s="14" t="s">
        <v>21879</v>
      </c>
      <c r="D5751" s="14"/>
      <c r="E5751" s="14" t="s">
        <v>152</v>
      </c>
      <c r="F5751" s="433" t="s">
        <v>20398</v>
      </c>
      <c r="G5751" s="434"/>
      <c r="H5751" s="14"/>
      <c r="I5751" s="423"/>
      <c r="J5751" s="14"/>
      <c r="K5751" s="13"/>
      <c r="L5751" s="13"/>
      <c r="M5751" s="14"/>
      <c r="N5751" s="15"/>
      <c r="O5751" s="15"/>
      <c r="P5751" s="15"/>
      <c r="Q5751" s="15"/>
      <c r="R5751" s="422"/>
      <c r="S5751" s="15"/>
      <c r="T5751" s="15"/>
      <c r="U5751" s="15"/>
      <c r="V5751" s="15"/>
      <c r="W5751" s="15"/>
      <c r="X5751" s="15"/>
      <c r="Y5751" s="15"/>
      <c r="Z5751" s="15"/>
      <c r="AA5751" s="15"/>
    </row>
    <row r="5752">
      <c r="A5752" s="480">
        <v>43983.0</v>
      </c>
      <c r="B5752" s="15" t="s">
        <v>21880</v>
      </c>
      <c r="C5752" s="14" t="s">
        <v>21881</v>
      </c>
      <c r="D5752" s="14"/>
      <c r="E5752" s="14" t="s">
        <v>189</v>
      </c>
      <c r="F5752" s="433" t="s">
        <v>20504</v>
      </c>
      <c r="G5752" s="434"/>
      <c r="H5752" s="14" t="s">
        <v>2682</v>
      </c>
      <c r="I5752" s="423"/>
      <c r="J5752" s="14" t="s">
        <v>17976</v>
      </c>
      <c r="K5752" s="13"/>
      <c r="L5752" s="13"/>
      <c r="M5752" s="14" t="s">
        <v>9034</v>
      </c>
      <c r="N5752" s="15" t="s">
        <v>21882</v>
      </c>
      <c r="O5752" s="15"/>
      <c r="P5752" s="15"/>
      <c r="Q5752" s="15"/>
      <c r="R5752" s="422"/>
      <c r="S5752" s="15"/>
      <c r="T5752" s="15"/>
      <c r="U5752" s="15"/>
      <c r="V5752" s="15"/>
      <c r="W5752" s="15"/>
      <c r="X5752" s="15"/>
      <c r="Y5752" s="15"/>
      <c r="Z5752" s="15"/>
      <c r="AA5752" s="15"/>
    </row>
    <row r="5753">
      <c r="A5753" s="480">
        <v>43983.0</v>
      </c>
      <c r="B5753" s="15" t="s">
        <v>21883</v>
      </c>
      <c r="C5753" s="14" t="s">
        <v>19109</v>
      </c>
      <c r="D5753" s="14"/>
      <c r="E5753" s="14" t="s">
        <v>501</v>
      </c>
      <c r="F5753" s="433" t="s">
        <v>21065</v>
      </c>
      <c r="G5753" s="434"/>
      <c r="H5753" s="14" t="s">
        <v>44</v>
      </c>
      <c r="I5753" s="423"/>
      <c r="J5753" s="14" t="s">
        <v>21884</v>
      </c>
      <c r="K5753" s="13"/>
      <c r="L5753" s="13"/>
      <c r="M5753" s="14" t="s">
        <v>11935</v>
      </c>
      <c r="N5753" s="15" t="s">
        <v>21885</v>
      </c>
      <c r="O5753" s="15"/>
      <c r="P5753" s="15"/>
      <c r="Q5753" s="15"/>
      <c r="R5753" s="422"/>
      <c r="S5753" s="15"/>
      <c r="T5753" s="15"/>
      <c r="U5753" s="15"/>
      <c r="V5753" s="15"/>
      <c r="W5753" s="15"/>
      <c r="X5753" s="15"/>
      <c r="Y5753" s="15"/>
      <c r="Z5753" s="15"/>
      <c r="AA5753" s="15"/>
    </row>
    <row r="5754">
      <c r="A5754" s="480">
        <v>43983.0</v>
      </c>
      <c r="B5754" s="15" t="s">
        <v>21886</v>
      </c>
      <c r="C5754" s="14" t="s">
        <v>21887</v>
      </c>
      <c r="D5754" s="14"/>
      <c r="E5754" s="14" t="s">
        <v>21888</v>
      </c>
      <c r="F5754" s="433"/>
      <c r="G5754" s="434"/>
      <c r="H5754" s="14"/>
      <c r="I5754" s="423"/>
      <c r="J5754" s="14"/>
      <c r="K5754" s="13"/>
      <c r="L5754" s="13"/>
      <c r="M5754" s="14"/>
      <c r="N5754" s="15"/>
      <c r="O5754" s="15"/>
      <c r="P5754" s="15"/>
      <c r="Q5754" s="15"/>
      <c r="R5754" s="422"/>
      <c r="S5754" s="15"/>
      <c r="T5754" s="15"/>
      <c r="U5754" s="15"/>
      <c r="V5754" s="15"/>
      <c r="W5754" s="15"/>
      <c r="X5754" s="15"/>
      <c r="Y5754" s="15"/>
      <c r="Z5754" s="15"/>
      <c r="AA5754" s="15"/>
    </row>
    <row r="5755">
      <c r="A5755" s="480">
        <v>43983.0</v>
      </c>
      <c r="B5755" s="15" t="s">
        <v>21889</v>
      </c>
      <c r="C5755" s="14" t="s">
        <v>21890</v>
      </c>
      <c r="D5755" s="14"/>
      <c r="E5755" s="14" t="s">
        <v>7040</v>
      </c>
      <c r="F5755" s="433" t="s">
        <v>20436</v>
      </c>
      <c r="G5755" s="434"/>
      <c r="H5755" s="14" t="s">
        <v>15332</v>
      </c>
      <c r="I5755" s="423"/>
      <c r="J5755" s="14" t="s">
        <v>21891</v>
      </c>
      <c r="K5755" s="13"/>
      <c r="L5755" s="13"/>
      <c r="M5755" s="14" t="s">
        <v>9445</v>
      </c>
      <c r="N5755" s="15" t="s">
        <v>21892</v>
      </c>
      <c r="O5755" s="15"/>
      <c r="P5755" s="15"/>
      <c r="Q5755" s="15"/>
      <c r="R5755" s="422"/>
      <c r="S5755" s="15"/>
      <c r="T5755" s="15"/>
      <c r="U5755" s="15"/>
      <c r="V5755" s="15"/>
      <c r="W5755" s="15"/>
      <c r="X5755" s="15"/>
      <c r="Y5755" s="15"/>
      <c r="Z5755" s="15"/>
      <c r="AA5755" s="15"/>
    </row>
    <row r="5756">
      <c r="A5756" s="480">
        <v>43983.0</v>
      </c>
      <c r="B5756" s="15" t="s">
        <v>21893</v>
      </c>
      <c r="C5756" s="14" t="s">
        <v>21894</v>
      </c>
      <c r="D5756" s="14"/>
      <c r="E5756" s="14" t="s">
        <v>116</v>
      </c>
      <c r="F5756" s="433" t="s">
        <v>20398</v>
      </c>
      <c r="G5756" s="434"/>
      <c r="H5756" s="14" t="s">
        <v>21895</v>
      </c>
      <c r="I5756" s="423"/>
      <c r="J5756" s="14" t="s">
        <v>20151</v>
      </c>
      <c r="K5756" s="13"/>
      <c r="L5756" s="13"/>
      <c r="M5756" s="14"/>
      <c r="N5756" s="15"/>
      <c r="O5756" s="15"/>
      <c r="P5756" s="15"/>
      <c r="Q5756" s="15"/>
      <c r="R5756" s="422"/>
      <c r="S5756" s="15"/>
      <c r="T5756" s="15"/>
      <c r="U5756" s="15"/>
      <c r="V5756" s="15"/>
      <c r="W5756" s="15"/>
      <c r="X5756" s="15"/>
      <c r="Y5756" s="15"/>
      <c r="Z5756" s="15"/>
      <c r="AA5756" s="15"/>
    </row>
    <row r="5757">
      <c r="A5757" s="480">
        <v>43922.0</v>
      </c>
      <c r="B5757" s="15" t="s">
        <v>21896</v>
      </c>
      <c r="C5757" s="14" t="s">
        <v>21897</v>
      </c>
      <c r="D5757" s="14"/>
      <c r="E5757" s="14" t="s">
        <v>21898</v>
      </c>
      <c r="F5757" s="433" t="s">
        <v>20322</v>
      </c>
      <c r="G5757" s="434"/>
      <c r="H5757" s="14" t="s">
        <v>398</v>
      </c>
      <c r="I5757" s="423"/>
      <c r="J5757" s="14" t="s">
        <v>17976</v>
      </c>
      <c r="K5757" s="13"/>
      <c r="L5757" s="13"/>
      <c r="M5757" s="14"/>
      <c r="N5757" s="15"/>
      <c r="O5757" s="15"/>
      <c r="P5757" s="15"/>
      <c r="Q5757" s="15"/>
      <c r="R5757" s="422"/>
      <c r="S5757" s="15"/>
      <c r="T5757" s="15"/>
      <c r="U5757" s="15"/>
      <c r="V5757" s="15"/>
      <c r="W5757" s="15"/>
      <c r="X5757" s="15"/>
      <c r="Y5757" s="15"/>
      <c r="Z5757" s="15"/>
      <c r="AA5757" s="15"/>
    </row>
    <row r="5758">
      <c r="A5758" s="480">
        <v>43922.0</v>
      </c>
      <c r="B5758" s="15" t="s">
        <v>21899</v>
      </c>
      <c r="C5758" s="14" t="s">
        <v>21900</v>
      </c>
      <c r="D5758" s="14"/>
      <c r="E5758" s="14" t="s">
        <v>9611</v>
      </c>
      <c r="F5758" s="433" t="s">
        <v>20318</v>
      </c>
      <c r="G5758" s="434"/>
      <c r="H5758" s="14" t="s">
        <v>21901</v>
      </c>
      <c r="I5758" s="423"/>
      <c r="J5758" s="14" t="s">
        <v>21207</v>
      </c>
      <c r="K5758" s="13"/>
      <c r="L5758" s="13"/>
      <c r="M5758" s="14" t="s">
        <v>21902</v>
      </c>
      <c r="N5758" s="15" t="s">
        <v>21903</v>
      </c>
      <c r="O5758" s="15"/>
      <c r="P5758" s="15"/>
      <c r="Q5758" s="15"/>
      <c r="R5758" s="422"/>
      <c r="S5758" s="15"/>
      <c r="T5758" s="15"/>
      <c r="U5758" s="15"/>
      <c r="V5758" s="15"/>
      <c r="W5758" s="15"/>
      <c r="X5758" s="15"/>
      <c r="Y5758" s="15"/>
      <c r="Z5758" s="15"/>
      <c r="AA5758" s="15"/>
    </row>
    <row r="5759">
      <c r="A5759" s="480">
        <v>43922.0</v>
      </c>
      <c r="B5759" s="15" t="s">
        <v>21904</v>
      </c>
      <c r="C5759" s="14" t="s">
        <v>21905</v>
      </c>
      <c r="D5759" s="14"/>
      <c r="E5759" s="14" t="s">
        <v>21906</v>
      </c>
      <c r="F5759" s="433" t="s">
        <v>20693</v>
      </c>
      <c r="G5759" s="434"/>
      <c r="H5759" s="14" t="s">
        <v>268</v>
      </c>
      <c r="I5759" s="423"/>
      <c r="J5759" s="14" t="s">
        <v>21907</v>
      </c>
      <c r="K5759" s="13"/>
      <c r="L5759" s="13"/>
      <c r="M5759" s="14" t="s">
        <v>21908</v>
      </c>
      <c r="N5759" s="15" t="s">
        <v>21909</v>
      </c>
      <c r="O5759" s="15"/>
      <c r="P5759" s="15"/>
      <c r="Q5759" s="15"/>
      <c r="R5759" s="422"/>
      <c r="S5759" s="15"/>
      <c r="T5759" s="15"/>
      <c r="U5759" s="15"/>
      <c r="V5759" s="15"/>
      <c r="W5759" s="15"/>
      <c r="X5759" s="15"/>
      <c r="Y5759" s="15"/>
      <c r="Z5759" s="15"/>
      <c r="AA5759" s="15"/>
    </row>
    <row r="5760">
      <c r="A5760" s="480">
        <v>43922.0</v>
      </c>
      <c r="B5760" s="15" t="s">
        <v>21910</v>
      </c>
      <c r="C5760" s="14" t="s">
        <v>21911</v>
      </c>
      <c r="D5760" s="14"/>
      <c r="E5760" s="14" t="s">
        <v>116</v>
      </c>
      <c r="F5760" s="433" t="s">
        <v>18673</v>
      </c>
      <c r="G5760" s="434"/>
      <c r="H5760" s="14" t="s">
        <v>519</v>
      </c>
      <c r="I5760" s="423"/>
      <c r="J5760" s="14" t="s">
        <v>21912</v>
      </c>
      <c r="K5760" s="13"/>
      <c r="L5760" s="13"/>
      <c r="M5760" s="14" t="s">
        <v>18214</v>
      </c>
      <c r="N5760" s="15" t="s">
        <v>21913</v>
      </c>
      <c r="O5760" s="15"/>
      <c r="P5760" s="15"/>
      <c r="Q5760" s="15"/>
      <c r="R5760" s="422"/>
      <c r="S5760" s="15"/>
      <c r="T5760" s="15"/>
      <c r="U5760" s="15"/>
      <c r="V5760" s="15"/>
      <c r="W5760" s="15"/>
      <c r="X5760" s="15"/>
      <c r="Y5760" s="15"/>
      <c r="Z5760" s="15"/>
      <c r="AA5760" s="15"/>
    </row>
    <row r="5761">
      <c r="A5761" s="480">
        <v>43922.0</v>
      </c>
      <c r="B5761" s="15" t="s">
        <v>21914</v>
      </c>
      <c r="C5761" s="14" t="s">
        <v>17770</v>
      </c>
      <c r="D5761" s="14"/>
      <c r="E5761" s="14" t="s">
        <v>3165</v>
      </c>
      <c r="F5761" s="433" t="s">
        <v>20318</v>
      </c>
      <c r="G5761" s="434"/>
      <c r="H5761" s="14" t="s">
        <v>449</v>
      </c>
      <c r="I5761" s="423"/>
      <c r="J5761" s="14" t="s">
        <v>20832</v>
      </c>
      <c r="K5761" s="13"/>
      <c r="L5761" s="13"/>
      <c r="M5761" s="14" t="s">
        <v>7928</v>
      </c>
      <c r="N5761" s="15" t="s">
        <v>21915</v>
      </c>
      <c r="O5761" s="15"/>
      <c r="P5761" s="15"/>
      <c r="Q5761" s="15"/>
      <c r="R5761" s="422"/>
      <c r="S5761" s="15"/>
      <c r="T5761" s="15"/>
      <c r="U5761" s="15"/>
      <c r="V5761" s="15"/>
      <c r="W5761" s="15"/>
      <c r="X5761" s="15"/>
      <c r="Y5761" s="15"/>
      <c r="Z5761" s="15"/>
      <c r="AA5761" s="15"/>
    </row>
    <row r="5762">
      <c r="A5762" s="480">
        <v>43922.0</v>
      </c>
      <c r="B5762" s="15" t="s">
        <v>21916</v>
      </c>
      <c r="C5762" s="14" t="s">
        <v>21917</v>
      </c>
      <c r="D5762" s="14"/>
      <c r="E5762" s="14" t="s">
        <v>152</v>
      </c>
      <c r="F5762" s="433" t="s">
        <v>18673</v>
      </c>
      <c r="G5762" s="434"/>
      <c r="H5762" s="14" t="s">
        <v>472</v>
      </c>
      <c r="I5762" s="423"/>
      <c r="J5762" s="14" t="s">
        <v>21918</v>
      </c>
      <c r="K5762" s="13"/>
      <c r="L5762" s="13"/>
      <c r="M5762" s="14" t="s">
        <v>10809</v>
      </c>
      <c r="N5762" s="15" t="s">
        <v>21919</v>
      </c>
      <c r="O5762" s="15"/>
      <c r="P5762" s="15"/>
      <c r="Q5762" s="15"/>
      <c r="R5762" s="422"/>
      <c r="S5762" s="15"/>
      <c r="T5762" s="15"/>
      <c r="U5762" s="15"/>
      <c r="V5762" s="15"/>
      <c r="W5762" s="15"/>
      <c r="X5762" s="15"/>
      <c r="Y5762" s="15"/>
      <c r="Z5762" s="15"/>
      <c r="AA5762" s="15"/>
    </row>
    <row r="5763">
      <c r="A5763" s="480">
        <v>43922.0</v>
      </c>
      <c r="B5763" s="15" t="s">
        <v>21920</v>
      </c>
      <c r="C5763" s="14" t="s">
        <v>21921</v>
      </c>
      <c r="D5763" s="14"/>
      <c r="E5763" s="14" t="s">
        <v>167</v>
      </c>
      <c r="F5763" s="433" t="s">
        <v>20284</v>
      </c>
      <c r="G5763" s="434"/>
      <c r="H5763" s="14" t="s">
        <v>507</v>
      </c>
      <c r="I5763" s="423"/>
      <c r="J5763" s="14" t="s">
        <v>17976</v>
      </c>
      <c r="K5763" s="13"/>
      <c r="L5763" s="13"/>
      <c r="M5763" s="14" t="s">
        <v>9949</v>
      </c>
      <c r="N5763" s="15" t="s">
        <v>21922</v>
      </c>
      <c r="O5763" s="15"/>
      <c r="P5763" s="15"/>
      <c r="Q5763" s="15"/>
      <c r="R5763" s="422"/>
      <c r="S5763" s="15"/>
      <c r="T5763" s="15"/>
      <c r="U5763" s="15"/>
      <c r="V5763" s="15"/>
      <c r="W5763" s="15"/>
      <c r="X5763" s="15"/>
      <c r="Y5763" s="15"/>
      <c r="Z5763" s="15"/>
      <c r="AA5763" s="15"/>
    </row>
    <row r="5764">
      <c r="A5764" s="480">
        <v>43922.0</v>
      </c>
      <c r="B5764" s="15" t="s">
        <v>21923</v>
      </c>
      <c r="C5764" s="14" t="s">
        <v>21924</v>
      </c>
      <c r="D5764" s="14"/>
      <c r="E5764" s="14" t="s">
        <v>21925</v>
      </c>
      <c r="F5764" s="433" t="s">
        <v>21926</v>
      </c>
      <c r="G5764" s="434"/>
      <c r="H5764" s="14"/>
      <c r="I5764" s="423"/>
      <c r="J5764" s="14" t="s">
        <v>9814</v>
      </c>
      <c r="K5764" s="13"/>
      <c r="L5764" s="13"/>
      <c r="M5764" s="14" t="s">
        <v>21927</v>
      </c>
      <c r="N5764" s="15" t="s">
        <v>21928</v>
      </c>
      <c r="O5764" s="15"/>
      <c r="P5764" s="15"/>
      <c r="Q5764" s="15"/>
      <c r="R5764" s="422"/>
      <c r="S5764" s="15"/>
      <c r="T5764" s="15"/>
      <c r="U5764" s="15"/>
      <c r="V5764" s="15"/>
      <c r="W5764" s="15"/>
      <c r="X5764" s="15"/>
      <c r="Y5764" s="15"/>
      <c r="Z5764" s="15"/>
      <c r="AA5764" s="15"/>
    </row>
    <row r="5765">
      <c r="A5765" s="480">
        <v>43922.0</v>
      </c>
      <c r="B5765" s="15" t="s">
        <v>21929</v>
      </c>
      <c r="C5765" s="14" t="s">
        <v>21930</v>
      </c>
      <c r="D5765" s="14"/>
      <c r="E5765" s="14" t="s">
        <v>6760</v>
      </c>
      <c r="F5765" s="433" t="s">
        <v>20329</v>
      </c>
      <c r="G5765" s="434"/>
      <c r="H5765" s="14" t="s">
        <v>21931</v>
      </c>
      <c r="I5765" s="423"/>
      <c r="J5765" s="14" t="s">
        <v>9814</v>
      </c>
      <c r="K5765" s="13"/>
      <c r="L5765" s="13"/>
      <c r="M5765" s="14" t="s">
        <v>21932</v>
      </c>
      <c r="N5765" s="15" t="s">
        <v>21933</v>
      </c>
      <c r="O5765" s="15"/>
      <c r="P5765" s="15"/>
      <c r="Q5765" s="15"/>
      <c r="R5765" s="422"/>
      <c r="S5765" s="15"/>
      <c r="T5765" s="15"/>
      <c r="U5765" s="15"/>
      <c r="V5765" s="15"/>
      <c r="W5765" s="15"/>
      <c r="X5765" s="15"/>
      <c r="Y5765" s="15"/>
      <c r="Z5765" s="15"/>
      <c r="AA5765" s="15"/>
    </row>
    <row r="5766">
      <c r="A5766" s="480">
        <v>43922.0</v>
      </c>
      <c r="B5766" s="15" t="s">
        <v>21934</v>
      </c>
      <c r="C5766" s="14" t="s">
        <v>21935</v>
      </c>
      <c r="D5766" s="14"/>
      <c r="E5766" s="14" t="s">
        <v>21936</v>
      </c>
      <c r="F5766" s="433" t="s">
        <v>20303</v>
      </c>
      <c r="G5766" s="434"/>
      <c r="H5766" s="14" t="s">
        <v>19941</v>
      </c>
      <c r="I5766" s="423"/>
      <c r="J5766" s="14" t="s">
        <v>21937</v>
      </c>
      <c r="K5766" s="13"/>
      <c r="L5766" s="13"/>
      <c r="M5766" s="14"/>
      <c r="N5766" s="15"/>
      <c r="O5766" s="15"/>
      <c r="P5766" s="15"/>
      <c r="Q5766" s="15"/>
      <c r="R5766" s="422"/>
      <c r="S5766" s="15"/>
      <c r="T5766" s="15"/>
      <c r="U5766" s="15"/>
      <c r="V5766" s="15"/>
      <c r="W5766" s="15"/>
      <c r="X5766" s="15"/>
      <c r="Y5766" s="15"/>
      <c r="Z5766" s="15"/>
      <c r="AA5766" s="15"/>
    </row>
    <row r="5767">
      <c r="A5767" s="480">
        <v>43922.0</v>
      </c>
      <c r="B5767" s="15" t="s">
        <v>21938</v>
      </c>
      <c r="C5767" s="14" t="s">
        <v>21939</v>
      </c>
      <c r="D5767" s="14"/>
      <c r="E5767" s="14" t="s">
        <v>21339</v>
      </c>
      <c r="F5767" s="433" t="s">
        <v>20334</v>
      </c>
      <c r="G5767" s="434"/>
      <c r="H5767" s="14" t="s">
        <v>19127</v>
      </c>
      <c r="I5767" s="423"/>
      <c r="J5767" s="14" t="s">
        <v>17976</v>
      </c>
      <c r="K5767" s="13"/>
      <c r="L5767" s="13"/>
      <c r="M5767" s="14"/>
      <c r="N5767" s="15"/>
      <c r="O5767" s="15"/>
      <c r="P5767" s="15"/>
      <c r="Q5767" s="15"/>
      <c r="R5767" s="422"/>
      <c r="S5767" s="15"/>
      <c r="T5767" s="15"/>
      <c r="U5767" s="15"/>
      <c r="V5767" s="15"/>
      <c r="W5767" s="15"/>
      <c r="X5767" s="15"/>
      <c r="Y5767" s="15"/>
      <c r="Z5767" s="15"/>
      <c r="AA5767" s="15"/>
    </row>
    <row r="5768">
      <c r="A5768" s="480">
        <v>43922.0</v>
      </c>
      <c r="B5768" s="15" t="s">
        <v>21940</v>
      </c>
      <c r="C5768" s="14" t="s">
        <v>21941</v>
      </c>
      <c r="D5768" s="14"/>
      <c r="E5768" s="14" t="s">
        <v>152</v>
      </c>
      <c r="F5768" s="433" t="s">
        <v>20284</v>
      </c>
      <c r="G5768" s="434"/>
      <c r="H5768" s="14" t="s">
        <v>2682</v>
      </c>
      <c r="I5768" s="423"/>
      <c r="J5768" s="14" t="s">
        <v>21461</v>
      </c>
      <c r="K5768" s="13"/>
      <c r="L5768" s="13"/>
      <c r="M5768" s="14" t="s">
        <v>9983</v>
      </c>
      <c r="N5768" s="15" t="s">
        <v>21942</v>
      </c>
      <c r="O5768" s="15"/>
      <c r="P5768" s="15"/>
      <c r="Q5768" s="15"/>
      <c r="R5768" s="422"/>
      <c r="S5768" s="15"/>
      <c r="T5768" s="15"/>
      <c r="U5768" s="15"/>
      <c r="V5768" s="15"/>
      <c r="W5768" s="15"/>
      <c r="X5768" s="15"/>
      <c r="Y5768" s="15"/>
      <c r="Z5768" s="15"/>
      <c r="AA5768" s="15"/>
    </row>
    <row r="5769">
      <c r="A5769" s="480">
        <v>43922.0</v>
      </c>
      <c r="B5769" s="15" t="s">
        <v>21943</v>
      </c>
      <c r="C5769" s="14" t="s">
        <v>21944</v>
      </c>
      <c r="D5769" s="14"/>
      <c r="E5769" s="14" t="s">
        <v>3555</v>
      </c>
      <c r="F5769" s="433" t="s">
        <v>20436</v>
      </c>
      <c r="G5769" s="434"/>
      <c r="H5769" s="14" t="s">
        <v>3861</v>
      </c>
      <c r="I5769" s="423"/>
      <c r="J5769" s="14" t="s">
        <v>17976</v>
      </c>
      <c r="K5769" s="13"/>
      <c r="L5769" s="13"/>
      <c r="M5769" s="14" t="s">
        <v>9983</v>
      </c>
      <c r="N5769" s="15" t="s">
        <v>21945</v>
      </c>
      <c r="O5769" s="15"/>
      <c r="P5769" s="15"/>
      <c r="Q5769" s="15"/>
      <c r="R5769" s="422"/>
      <c r="S5769" s="15"/>
      <c r="T5769" s="15"/>
      <c r="U5769" s="15"/>
      <c r="V5769" s="15"/>
      <c r="W5769" s="15"/>
      <c r="X5769" s="15"/>
      <c r="Y5769" s="15"/>
      <c r="Z5769" s="15"/>
      <c r="AA5769" s="15"/>
    </row>
    <row r="5770">
      <c r="A5770" s="480">
        <v>43922.0</v>
      </c>
      <c r="B5770" s="15" t="s">
        <v>21946</v>
      </c>
      <c r="C5770" s="14" t="s">
        <v>21947</v>
      </c>
      <c r="D5770" s="14"/>
      <c r="E5770" s="14" t="s">
        <v>6760</v>
      </c>
      <c r="F5770" s="433" t="s">
        <v>20375</v>
      </c>
      <c r="G5770" s="434"/>
      <c r="H5770" s="14" t="s">
        <v>507</v>
      </c>
      <c r="I5770" s="423"/>
      <c r="J5770" s="14" t="s">
        <v>21948</v>
      </c>
      <c r="K5770" s="13"/>
      <c r="L5770" s="13"/>
      <c r="M5770" s="14" t="s">
        <v>21949</v>
      </c>
      <c r="N5770" s="15" t="s">
        <v>21950</v>
      </c>
      <c r="O5770" s="15"/>
      <c r="P5770" s="15"/>
      <c r="Q5770" s="15"/>
      <c r="R5770" s="422"/>
      <c r="S5770" s="15"/>
      <c r="T5770" s="15"/>
      <c r="U5770" s="15"/>
      <c r="V5770" s="15"/>
      <c r="W5770" s="15"/>
      <c r="X5770" s="15"/>
      <c r="Y5770" s="15"/>
      <c r="Z5770" s="15"/>
      <c r="AA5770" s="15"/>
    </row>
    <row r="5771">
      <c r="A5771" s="480">
        <v>43922.0</v>
      </c>
      <c r="B5771" s="15" t="s">
        <v>21951</v>
      </c>
      <c r="C5771" s="14" t="s">
        <v>21952</v>
      </c>
      <c r="D5771" s="14"/>
      <c r="E5771" s="14" t="s">
        <v>189</v>
      </c>
      <c r="F5771" s="433" t="s">
        <v>21953</v>
      </c>
      <c r="G5771" s="434"/>
      <c r="H5771" s="14" t="s">
        <v>507</v>
      </c>
      <c r="I5771" s="423"/>
      <c r="J5771" s="14" t="s">
        <v>17976</v>
      </c>
      <c r="K5771" s="13"/>
      <c r="L5771" s="13"/>
      <c r="M5771" s="14" t="s">
        <v>9034</v>
      </c>
      <c r="N5771" s="15" t="s">
        <v>21954</v>
      </c>
      <c r="O5771" s="15"/>
      <c r="P5771" s="15"/>
      <c r="Q5771" s="15"/>
      <c r="R5771" s="422"/>
      <c r="S5771" s="15"/>
      <c r="T5771" s="15"/>
      <c r="U5771" s="15"/>
      <c r="V5771" s="15"/>
      <c r="W5771" s="15"/>
      <c r="X5771" s="15"/>
      <c r="Y5771" s="15"/>
      <c r="Z5771" s="15"/>
      <c r="AA5771" s="15"/>
    </row>
    <row r="5772">
      <c r="A5772" s="480">
        <v>43922.0</v>
      </c>
      <c r="B5772" s="15" t="s">
        <v>21955</v>
      </c>
      <c r="C5772" s="14" t="s">
        <v>21956</v>
      </c>
      <c r="D5772" s="14"/>
      <c r="E5772" s="14" t="s">
        <v>21957</v>
      </c>
      <c r="F5772" s="433" t="s">
        <v>20340</v>
      </c>
      <c r="G5772" s="434"/>
      <c r="H5772" s="14" t="s">
        <v>107</v>
      </c>
      <c r="I5772" s="423"/>
      <c r="J5772" s="14" t="s">
        <v>17976</v>
      </c>
      <c r="K5772" s="13"/>
      <c r="L5772" s="13"/>
      <c r="M5772" s="14" t="s">
        <v>14386</v>
      </c>
      <c r="N5772" s="15" t="s">
        <v>21958</v>
      </c>
      <c r="O5772" s="15"/>
      <c r="P5772" s="15"/>
      <c r="Q5772" s="15"/>
      <c r="R5772" s="422"/>
      <c r="S5772" s="15"/>
      <c r="T5772" s="15"/>
      <c r="U5772" s="15"/>
      <c r="V5772" s="15"/>
      <c r="W5772" s="15"/>
      <c r="X5772" s="15"/>
      <c r="Y5772" s="15"/>
      <c r="Z5772" s="15"/>
      <c r="AA5772" s="15"/>
    </row>
    <row r="5773">
      <c r="A5773" s="480">
        <v>43922.0</v>
      </c>
      <c r="B5773" s="15" t="s">
        <v>21959</v>
      </c>
      <c r="C5773" s="14" t="s">
        <v>21960</v>
      </c>
      <c r="D5773" s="14"/>
      <c r="E5773" s="14" t="s">
        <v>21961</v>
      </c>
      <c r="F5773" s="433" t="s">
        <v>20935</v>
      </c>
      <c r="G5773" s="434"/>
      <c r="H5773" s="14" t="s">
        <v>44</v>
      </c>
      <c r="I5773" s="423"/>
      <c r="J5773" s="14" t="s">
        <v>21962</v>
      </c>
      <c r="K5773" s="13"/>
      <c r="L5773" s="13"/>
      <c r="M5773" s="14"/>
      <c r="N5773" s="15"/>
      <c r="O5773" s="15"/>
      <c r="P5773" s="15"/>
      <c r="Q5773" s="15"/>
      <c r="R5773" s="422"/>
      <c r="S5773" s="15"/>
      <c r="T5773" s="15"/>
      <c r="U5773" s="15"/>
      <c r="V5773" s="15"/>
      <c r="W5773" s="15"/>
      <c r="X5773" s="15"/>
      <c r="Y5773" s="15"/>
      <c r="Z5773" s="15"/>
      <c r="AA5773" s="15"/>
    </row>
    <row r="5774">
      <c r="A5774" s="480">
        <v>43922.0</v>
      </c>
      <c r="B5774" s="15" t="s">
        <v>21963</v>
      </c>
      <c r="C5774" s="14" t="s">
        <v>21964</v>
      </c>
      <c r="D5774" s="14"/>
      <c r="E5774" s="14" t="s">
        <v>4567</v>
      </c>
      <c r="F5774" s="433" t="s">
        <v>20416</v>
      </c>
      <c r="G5774" s="434"/>
      <c r="H5774" s="14"/>
      <c r="I5774" s="423"/>
      <c r="J5774" s="14"/>
      <c r="K5774" s="13"/>
      <c r="L5774" s="13"/>
      <c r="M5774" s="14" t="s">
        <v>21965</v>
      </c>
      <c r="N5774" s="15" t="s">
        <v>21966</v>
      </c>
      <c r="O5774" s="15"/>
      <c r="P5774" s="15"/>
      <c r="Q5774" s="15"/>
      <c r="R5774" s="422"/>
      <c r="S5774" s="15"/>
      <c r="T5774" s="15"/>
      <c r="U5774" s="15"/>
      <c r="V5774" s="15"/>
      <c r="W5774" s="15"/>
      <c r="X5774" s="15"/>
      <c r="Y5774" s="15"/>
      <c r="Z5774" s="15"/>
      <c r="AA5774" s="15"/>
    </row>
    <row r="5775">
      <c r="A5775" s="480">
        <v>43922.0</v>
      </c>
      <c r="B5775" s="15" t="s">
        <v>21967</v>
      </c>
      <c r="C5775" s="14" t="s">
        <v>21968</v>
      </c>
      <c r="D5775" s="14"/>
      <c r="E5775" s="14" t="s">
        <v>5598</v>
      </c>
      <c r="F5775" s="433" t="s">
        <v>20436</v>
      </c>
      <c r="G5775" s="434"/>
      <c r="H5775" s="14" t="s">
        <v>16313</v>
      </c>
      <c r="I5775" s="423"/>
      <c r="J5775" s="14" t="s">
        <v>21969</v>
      </c>
      <c r="K5775" s="13"/>
      <c r="L5775" s="13"/>
      <c r="M5775" s="14" t="s">
        <v>10342</v>
      </c>
      <c r="N5775" s="15" t="s">
        <v>21970</v>
      </c>
      <c r="O5775" s="15"/>
      <c r="P5775" s="15"/>
      <c r="Q5775" s="15"/>
      <c r="R5775" s="422"/>
      <c r="S5775" s="15"/>
      <c r="T5775" s="15"/>
      <c r="U5775" s="15"/>
      <c r="V5775" s="15"/>
      <c r="W5775" s="15"/>
      <c r="X5775" s="15"/>
      <c r="Y5775" s="15"/>
      <c r="Z5775" s="15"/>
      <c r="AA5775" s="15"/>
    </row>
    <row r="5776">
      <c r="A5776" s="480">
        <v>43922.0</v>
      </c>
      <c r="B5776" s="15" t="s">
        <v>21971</v>
      </c>
      <c r="C5776" s="14" t="s">
        <v>21972</v>
      </c>
      <c r="D5776" s="14"/>
      <c r="E5776" s="14" t="s">
        <v>21973</v>
      </c>
      <c r="F5776" s="433"/>
      <c r="G5776" s="434"/>
      <c r="H5776" s="14"/>
      <c r="I5776" s="423"/>
      <c r="J5776" s="14"/>
      <c r="K5776" s="13"/>
      <c r="L5776" s="13"/>
      <c r="M5776" s="14"/>
      <c r="N5776" s="15"/>
      <c r="O5776" s="15"/>
      <c r="P5776" s="15"/>
      <c r="Q5776" s="15"/>
      <c r="R5776" s="422"/>
      <c r="S5776" s="15"/>
      <c r="T5776" s="15"/>
      <c r="U5776" s="15"/>
      <c r="V5776" s="15"/>
      <c r="W5776" s="15"/>
      <c r="X5776" s="15"/>
      <c r="Y5776" s="15"/>
      <c r="Z5776" s="15"/>
      <c r="AA5776" s="15"/>
    </row>
    <row r="5777">
      <c r="A5777" s="480">
        <v>43922.0</v>
      </c>
      <c r="B5777" s="15" t="s">
        <v>21974</v>
      </c>
      <c r="C5777" s="14" t="s">
        <v>21975</v>
      </c>
      <c r="D5777" s="14"/>
      <c r="E5777" s="14" t="s">
        <v>5502</v>
      </c>
      <c r="F5777" s="433"/>
      <c r="G5777" s="434"/>
      <c r="H5777" s="14"/>
      <c r="I5777" s="423"/>
      <c r="J5777" s="14"/>
      <c r="K5777" s="13"/>
      <c r="L5777" s="13"/>
      <c r="M5777" s="14"/>
      <c r="N5777" s="15"/>
      <c r="O5777" s="15"/>
      <c r="P5777" s="15"/>
      <c r="Q5777" s="15"/>
      <c r="R5777" s="422"/>
      <c r="S5777" s="15"/>
      <c r="T5777" s="15"/>
      <c r="U5777" s="15"/>
      <c r="V5777" s="15"/>
      <c r="W5777" s="15"/>
      <c r="X5777" s="15"/>
      <c r="Y5777" s="15"/>
      <c r="Z5777" s="15"/>
      <c r="AA5777" s="15"/>
    </row>
    <row r="5778">
      <c r="A5778" s="480">
        <v>43922.0</v>
      </c>
      <c r="B5778" s="15" t="s">
        <v>21976</v>
      </c>
      <c r="C5778" s="14" t="s">
        <v>21977</v>
      </c>
      <c r="D5778" s="14"/>
      <c r="E5778" s="14" t="s">
        <v>16553</v>
      </c>
      <c r="F5778" s="433" t="s">
        <v>20284</v>
      </c>
      <c r="G5778" s="434"/>
      <c r="H5778" s="14" t="s">
        <v>507</v>
      </c>
      <c r="I5778" s="423"/>
      <c r="J5778" s="14" t="s">
        <v>21907</v>
      </c>
      <c r="K5778" s="13"/>
      <c r="L5778" s="13"/>
      <c r="M5778" s="14" t="s">
        <v>14386</v>
      </c>
      <c r="N5778" s="15" t="s">
        <v>21978</v>
      </c>
      <c r="O5778" s="15"/>
      <c r="P5778" s="15"/>
      <c r="Q5778" s="15"/>
      <c r="R5778" s="422"/>
      <c r="S5778" s="15"/>
      <c r="T5778" s="15"/>
      <c r="U5778" s="15"/>
      <c r="V5778" s="15"/>
      <c r="W5778" s="15"/>
      <c r="X5778" s="15"/>
      <c r="Y5778" s="15"/>
      <c r="Z5778" s="15"/>
      <c r="AA5778" s="15"/>
    </row>
    <row r="5779">
      <c r="A5779" s="480">
        <v>43922.0</v>
      </c>
      <c r="B5779" s="15" t="s">
        <v>21979</v>
      </c>
      <c r="C5779" s="14" t="s">
        <v>21980</v>
      </c>
      <c r="D5779" s="14"/>
      <c r="E5779" s="14" t="s">
        <v>21981</v>
      </c>
      <c r="F5779" s="433" t="s">
        <v>21982</v>
      </c>
      <c r="G5779" s="434"/>
      <c r="H5779" s="14" t="s">
        <v>18598</v>
      </c>
      <c r="I5779" s="423"/>
      <c r="J5779" s="14" t="s">
        <v>9814</v>
      </c>
      <c r="K5779" s="13"/>
      <c r="L5779" s="13"/>
      <c r="M5779" s="14" t="s">
        <v>21983</v>
      </c>
      <c r="N5779" s="15" t="s">
        <v>21984</v>
      </c>
      <c r="O5779" s="15"/>
      <c r="P5779" s="15"/>
      <c r="Q5779" s="15"/>
      <c r="R5779" s="422"/>
      <c r="S5779" s="15"/>
      <c r="T5779" s="15"/>
      <c r="U5779" s="15"/>
      <c r="V5779" s="15"/>
      <c r="W5779" s="15"/>
      <c r="X5779" s="15"/>
      <c r="Y5779" s="15"/>
      <c r="Z5779" s="15"/>
      <c r="AA5779" s="15"/>
    </row>
    <row r="5780">
      <c r="A5780" s="480">
        <v>43891.0</v>
      </c>
      <c r="B5780" s="15" t="s">
        <v>21985</v>
      </c>
      <c r="C5780" s="14" t="s">
        <v>21975</v>
      </c>
      <c r="D5780" s="14"/>
      <c r="E5780" s="14" t="s">
        <v>5502</v>
      </c>
      <c r="F5780" s="433" t="s">
        <v>20318</v>
      </c>
      <c r="G5780" s="434"/>
      <c r="H5780" s="14" t="s">
        <v>21986</v>
      </c>
      <c r="I5780" s="423"/>
      <c r="J5780" s="14" t="s">
        <v>17976</v>
      </c>
      <c r="K5780" s="13"/>
      <c r="L5780" s="13"/>
      <c r="M5780" s="14"/>
      <c r="N5780" s="15"/>
      <c r="O5780" s="15"/>
      <c r="P5780" s="15"/>
      <c r="Q5780" s="15"/>
      <c r="R5780" s="422"/>
      <c r="S5780" s="15"/>
      <c r="T5780" s="15"/>
      <c r="U5780" s="15"/>
      <c r="V5780" s="15"/>
      <c r="W5780" s="15"/>
      <c r="X5780" s="15"/>
      <c r="Y5780" s="15"/>
      <c r="Z5780" s="15"/>
      <c r="AA5780" s="15"/>
    </row>
    <row r="5781">
      <c r="A5781" s="480">
        <v>43891.0</v>
      </c>
      <c r="B5781" s="15" t="s">
        <v>21987</v>
      </c>
      <c r="C5781" s="14" t="s">
        <v>21988</v>
      </c>
      <c r="D5781" s="14"/>
      <c r="E5781" s="14" t="s">
        <v>21989</v>
      </c>
      <c r="F5781" s="433" t="s">
        <v>20318</v>
      </c>
      <c r="G5781" s="434"/>
      <c r="H5781" s="14" t="s">
        <v>21990</v>
      </c>
      <c r="I5781" s="423"/>
      <c r="J5781" s="14" t="s">
        <v>21991</v>
      </c>
      <c r="K5781" s="13"/>
      <c r="L5781" s="13"/>
      <c r="M5781" s="14" t="s">
        <v>9298</v>
      </c>
      <c r="N5781" s="15" t="s">
        <v>21992</v>
      </c>
      <c r="O5781" s="15"/>
      <c r="P5781" s="15"/>
      <c r="Q5781" s="15"/>
      <c r="R5781" s="422"/>
      <c r="S5781" s="15"/>
      <c r="T5781" s="15"/>
      <c r="U5781" s="15"/>
      <c r="V5781" s="15"/>
      <c r="W5781" s="15"/>
      <c r="X5781" s="15"/>
      <c r="Y5781" s="15"/>
      <c r="Z5781" s="15"/>
      <c r="AA5781" s="15"/>
    </row>
    <row r="5782">
      <c r="A5782" s="480">
        <v>43891.0</v>
      </c>
      <c r="B5782" s="15" t="s">
        <v>21993</v>
      </c>
      <c r="C5782" s="14" t="s">
        <v>21994</v>
      </c>
      <c r="D5782" s="14"/>
      <c r="E5782" s="14" t="s">
        <v>5774</v>
      </c>
      <c r="F5782" s="433" t="s">
        <v>20284</v>
      </c>
      <c r="G5782" s="434"/>
      <c r="H5782" s="14" t="s">
        <v>467</v>
      </c>
      <c r="I5782" s="423"/>
      <c r="J5782" s="14" t="s">
        <v>21400</v>
      </c>
      <c r="K5782" s="13"/>
      <c r="L5782" s="13"/>
      <c r="M5782" s="14" t="s">
        <v>7718</v>
      </c>
      <c r="N5782" s="15" t="s">
        <v>21995</v>
      </c>
      <c r="O5782" s="15"/>
      <c r="P5782" s="15"/>
      <c r="Q5782" s="15"/>
      <c r="R5782" s="422"/>
      <c r="S5782" s="15"/>
      <c r="T5782" s="15"/>
      <c r="U5782" s="15"/>
      <c r="V5782" s="15"/>
      <c r="W5782" s="15"/>
      <c r="X5782" s="15"/>
      <c r="Y5782" s="15"/>
      <c r="Z5782" s="15"/>
      <c r="AA5782" s="15"/>
    </row>
    <row r="5783">
      <c r="A5783" s="480">
        <v>43891.0</v>
      </c>
      <c r="B5783" s="15" t="s">
        <v>21996</v>
      </c>
      <c r="C5783" s="14" t="s">
        <v>21997</v>
      </c>
      <c r="D5783" s="14"/>
      <c r="E5783" s="14" t="s">
        <v>8247</v>
      </c>
      <c r="F5783" s="433" t="s">
        <v>18673</v>
      </c>
      <c r="G5783" s="434"/>
      <c r="H5783" s="14" t="s">
        <v>638</v>
      </c>
      <c r="I5783" s="423"/>
      <c r="J5783" s="14"/>
      <c r="K5783" s="13"/>
      <c r="L5783" s="13"/>
      <c r="M5783" s="14" t="s">
        <v>13381</v>
      </c>
      <c r="N5783" s="15" t="s">
        <v>21998</v>
      </c>
      <c r="O5783" s="15"/>
      <c r="P5783" s="15"/>
      <c r="Q5783" s="15"/>
      <c r="R5783" s="422"/>
      <c r="S5783" s="15"/>
      <c r="T5783" s="15"/>
      <c r="U5783" s="15"/>
      <c r="V5783" s="15"/>
      <c r="W5783" s="15"/>
      <c r="X5783" s="15"/>
      <c r="Y5783" s="15"/>
      <c r="Z5783" s="15"/>
      <c r="AA5783" s="15"/>
    </row>
    <row r="5784">
      <c r="A5784" s="480">
        <v>43891.0</v>
      </c>
      <c r="B5784" s="15" t="s">
        <v>21999</v>
      </c>
      <c r="C5784" s="14" t="s">
        <v>22000</v>
      </c>
      <c r="D5784" s="14"/>
      <c r="E5784" s="14" t="s">
        <v>11692</v>
      </c>
      <c r="F5784" s="433" t="s">
        <v>22001</v>
      </c>
      <c r="G5784" s="434"/>
      <c r="H5784" s="14" t="s">
        <v>44</v>
      </c>
      <c r="I5784" s="423"/>
      <c r="J5784" s="14"/>
      <c r="K5784" s="13"/>
      <c r="L5784" s="13"/>
      <c r="M5784" s="14"/>
      <c r="N5784" s="15"/>
      <c r="O5784" s="15"/>
      <c r="P5784" s="15"/>
      <c r="Q5784" s="15"/>
      <c r="R5784" s="422"/>
      <c r="S5784" s="15"/>
      <c r="T5784" s="15"/>
      <c r="U5784" s="15"/>
      <c r="V5784" s="15"/>
      <c r="W5784" s="15"/>
      <c r="X5784" s="15"/>
      <c r="Y5784" s="15"/>
      <c r="Z5784" s="15"/>
      <c r="AA5784" s="15"/>
    </row>
    <row r="5785">
      <c r="A5785" s="480">
        <v>43891.0</v>
      </c>
      <c r="B5785" s="15" t="s">
        <v>22002</v>
      </c>
      <c r="C5785" s="14" t="s">
        <v>22003</v>
      </c>
      <c r="D5785" s="14"/>
      <c r="E5785" s="14" t="s">
        <v>116</v>
      </c>
      <c r="F5785" s="433" t="s">
        <v>20436</v>
      </c>
      <c r="G5785" s="434"/>
      <c r="H5785" s="14" t="s">
        <v>22004</v>
      </c>
      <c r="I5785" s="423"/>
      <c r="J5785" s="14" t="s">
        <v>17976</v>
      </c>
      <c r="K5785" s="13"/>
      <c r="L5785" s="13"/>
      <c r="M5785" s="14" t="s">
        <v>20803</v>
      </c>
      <c r="N5785" s="15" t="s">
        <v>22005</v>
      </c>
      <c r="O5785" s="15"/>
      <c r="P5785" s="15"/>
      <c r="Q5785" s="15"/>
      <c r="R5785" s="422"/>
      <c r="S5785" s="15"/>
      <c r="T5785" s="15"/>
      <c r="U5785" s="15"/>
      <c r="V5785" s="15"/>
      <c r="W5785" s="15"/>
      <c r="X5785" s="15"/>
      <c r="Y5785" s="15"/>
      <c r="Z5785" s="15"/>
      <c r="AA5785" s="15"/>
    </row>
    <row r="5786">
      <c r="A5786" s="480">
        <v>43891.0</v>
      </c>
      <c r="B5786" s="15" t="s">
        <v>22006</v>
      </c>
      <c r="C5786" s="14" t="s">
        <v>22007</v>
      </c>
      <c r="D5786" s="14"/>
      <c r="E5786" s="14" t="s">
        <v>3971</v>
      </c>
      <c r="F5786" s="433"/>
      <c r="G5786" s="434"/>
      <c r="H5786" s="14"/>
      <c r="I5786" s="423"/>
      <c r="J5786" s="14"/>
      <c r="K5786" s="13"/>
      <c r="L5786" s="13"/>
      <c r="M5786" s="14"/>
      <c r="N5786" s="15"/>
      <c r="O5786" s="15"/>
      <c r="P5786" s="15"/>
      <c r="Q5786" s="15"/>
      <c r="R5786" s="422"/>
      <c r="S5786" s="15"/>
      <c r="T5786" s="15"/>
      <c r="U5786" s="15"/>
      <c r="V5786" s="15"/>
      <c r="W5786" s="15"/>
      <c r="X5786" s="15"/>
      <c r="Y5786" s="15"/>
      <c r="Z5786" s="15"/>
      <c r="AA5786" s="15"/>
    </row>
    <row r="5787">
      <c r="A5787" s="480">
        <v>43891.0</v>
      </c>
      <c r="B5787" s="15" t="s">
        <v>22008</v>
      </c>
      <c r="C5787" s="14" t="s">
        <v>22009</v>
      </c>
      <c r="D5787" s="14"/>
      <c r="E5787" s="14" t="s">
        <v>3555</v>
      </c>
      <c r="F5787" s="433"/>
      <c r="G5787" s="434"/>
      <c r="H5787" s="14"/>
      <c r="I5787" s="423"/>
      <c r="J5787" s="14"/>
      <c r="K5787" s="13"/>
      <c r="L5787" s="13"/>
      <c r="M5787" s="14"/>
      <c r="N5787" s="15"/>
      <c r="O5787" s="15"/>
      <c r="P5787" s="15"/>
      <c r="Q5787" s="15"/>
      <c r="R5787" s="422"/>
      <c r="S5787" s="15"/>
      <c r="T5787" s="15"/>
      <c r="U5787" s="15"/>
      <c r="V5787" s="15"/>
      <c r="W5787" s="15"/>
      <c r="X5787" s="15"/>
      <c r="Y5787" s="15"/>
      <c r="Z5787" s="15"/>
      <c r="AA5787" s="15"/>
    </row>
    <row r="5788">
      <c r="A5788" s="480">
        <v>43891.0</v>
      </c>
      <c r="B5788" s="15" t="s">
        <v>22010</v>
      </c>
      <c r="C5788" s="14" t="s">
        <v>22011</v>
      </c>
      <c r="D5788" s="14"/>
      <c r="E5788" s="14" t="s">
        <v>22012</v>
      </c>
      <c r="F5788" s="433" t="s">
        <v>22013</v>
      </c>
      <c r="G5788" s="434"/>
      <c r="H5788" s="14" t="s">
        <v>191</v>
      </c>
      <c r="I5788" s="423"/>
      <c r="J5788" s="14" t="s">
        <v>20870</v>
      </c>
      <c r="K5788" s="13"/>
      <c r="L5788" s="13"/>
      <c r="M5788" s="14" t="s">
        <v>22014</v>
      </c>
      <c r="N5788" s="15" t="s">
        <v>22015</v>
      </c>
      <c r="O5788" s="15"/>
      <c r="P5788" s="15"/>
      <c r="Q5788" s="15"/>
      <c r="R5788" s="422"/>
      <c r="S5788" s="15"/>
      <c r="T5788" s="15"/>
      <c r="U5788" s="15"/>
      <c r="V5788" s="15"/>
      <c r="W5788" s="15"/>
      <c r="X5788" s="15"/>
      <c r="Y5788" s="15"/>
      <c r="Z5788" s="15"/>
      <c r="AA5788" s="15"/>
    </row>
    <row r="5789">
      <c r="A5789" s="480">
        <v>43891.0</v>
      </c>
      <c r="B5789" s="15" t="s">
        <v>22016</v>
      </c>
      <c r="C5789" s="14" t="s">
        <v>22017</v>
      </c>
      <c r="D5789" s="14"/>
      <c r="E5789" s="14" t="s">
        <v>6760</v>
      </c>
      <c r="F5789" s="433"/>
      <c r="G5789" s="434"/>
      <c r="H5789" s="14"/>
      <c r="I5789" s="423"/>
      <c r="J5789" s="14"/>
      <c r="K5789" s="13"/>
      <c r="L5789" s="13"/>
      <c r="M5789" s="14" t="s">
        <v>22018</v>
      </c>
      <c r="N5789" s="15" t="s">
        <v>22019</v>
      </c>
      <c r="O5789" s="15"/>
      <c r="P5789" s="15"/>
      <c r="Q5789" s="15"/>
      <c r="R5789" s="422"/>
      <c r="S5789" s="15"/>
      <c r="T5789" s="15"/>
      <c r="U5789" s="15"/>
      <c r="V5789" s="15"/>
      <c r="W5789" s="15"/>
      <c r="X5789" s="15"/>
      <c r="Y5789" s="15"/>
      <c r="Z5789" s="15"/>
      <c r="AA5789" s="15"/>
    </row>
    <row r="5790">
      <c r="A5790" s="480">
        <v>43891.0</v>
      </c>
      <c r="B5790" s="15" t="s">
        <v>22020</v>
      </c>
      <c r="C5790" s="14" t="s">
        <v>18946</v>
      </c>
      <c r="D5790" s="14"/>
      <c r="E5790" s="14" t="s">
        <v>130</v>
      </c>
      <c r="F5790" s="433" t="s">
        <v>21065</v>
      </c>
      <c r="G5790" s="434"/>
      <c r="H5790" s="14" t="s">
        <v>507</v>
      </c>
      <c r="I5790" s="423"/>
      <c r="J5790" s="14" t="s">
        <v>7109</v>
      </c>
      <c r="K5790" s="13"/>
      <c r="L5790" s="13"/>
      <c r="M5790" s="14"/>
      <c r="N5790" s="15"/>
      <c r="O5790" s="15"/>
      <c r="P5790" s="15"/>
      <c r="Q5790" s="15"/>
      <c r="R5790" s="422"/>
      <c r="S5790" s="15"/>
      <c r="T5790" s="15"/>
      <c r="U5790" s="15"/>
      <c r="V5790" s="15"/>
      <c r="W5790" s="15"/>
      <c r="X5790" s="15"/>
      <c r="Y5790" s="15"/>
      <c r="Z5790" s="15"/>
      <c r="AA5790" s="15"/>
    </row>
    <row r="5791">
      <c r="A5791" s="480">
        <v>43891.0</v>
      </c>
      <c r="B5791" s="15" t="s">
        <v>22021</v>
      </c>
      <c r="C5791" s="14" t="s">
        <v>22022</v>
      </c>
      <c r="D5791" s="14"/>
      <c r="E5791" s="14" t="s">
        <v>344</v>
      </c>
      <c r="F5791" s="433" t="s">
        <v>21953</v>
      </c>
      <c r="G5791" s="434"/>
      <c r="H5791" s="14" t="s">
        <v>22023</v>
      </c>
      <c r="I5791" s="423"/>
      <c r="J5791" s="14" t="s">
        <v>22024</v>
      </c>
      <c r="K5791" s="13"/>
      <c r="L5791" s="13"/>
      <c r="M5791" s="14" t="s">
        <v>15702</v>
      </c>
      <c r="N5791" s="15" t="s">
        <v>22025</v>
      </c>
      <c r="O5791" s="15"/>
      <c r="P5791" s="15"/>
      <c r="Q5791" s="15"/>
      <c r="R5791" s="422"/>
      <c r="S5791" s="15"/>
      <c r="T5791" s="15"/>
      <c r="U5791" s="15"/>
      <c r="V5791" s="15"/>
      <c r="W5791" s="15"/>
      <c r="X5791" s="15"/>
      <c r="Y5791" s="15"/>
      <c r="Z5791" s="15"/>
      <c r="AA5791" s="15"/>
    </row>
    <row r="5792">
      <c r="A5792" s="480">
        <v>43891.0</v>
      </c>
      <c r="B5792" s="15" t="s">
        <v>22026</v>
      </c>
      <c r="C5792" s="14" t="s">
        <v>22027</v>
      </c>
      <c r="D5792" s="14"/>
      <c r="E5792" s="14" t="s">
        <v>17805</v>
      </c>
      <c r="F5792" s="433" t="s">
        <v>22028</v>
      </c>
      <c r="G5792" s="434"/>
      <c r="H5792" s="14" t="s">
        <v>985</v>
      </c>
      <c r="I5792" s="423"/>
      <c r="J5792" s="14" t="s">
        <v>21178</v>
      </c>
      <c r="K5792" s="13"/>
      <c r="L5792" s="13"/>
      <c r="M5792" s="14" t="s">
        <v>22029</v>
      </c>
      <c r="N5792" s="15" t="s">
        <v>22030</v>
      </c>
      <c r="O5792" s="15"/>
      <c r="P5792" s="15"/>
      <c r="Q5792" s="15"/>
      <c r="R5792" s="422"/>
      <c r="S5792" s="15"/>
      <c r="T5792" s="15"/>
      <c r="U5792" s="15"/>
      <c r="V5792" s="15"/>
      <c r="W5792" s="15"/>
      <c r="X5792" s="15"/>
      <c r="Y5792" s="15"/>
      <c r="Z5792" s="15"/>
      <c r="AA5792" s="15"/>
    </row>
    <row r="5793">
      <c r="A5793" s="480">
        <v>43891.0</v>
      </c>
      <c r="B5793" s="15" t="s">
        <v>22031</v>
      </c>
      <c r="C5793" s="14" t="s">
        <v>22032</v>
      </c>
      <c r="D5793" s="14"/>
      <c r="E5793" s="14" t="s">
        <v>19092</v>
      </c>
      <c r="F5793" s="433" t="s">
        <v>20693</v>
      </c>
      <c r="G5793" s="434"/>
      <c r="H5793" s="14" t="s">
        <v>519</v>
      </c>
      <c r="I5793" s="423"/>
      <c r="J5793" s="14" t="s">
        <v>22033</v>
      </c>
      <c r="K5793" s="13"/>
      <c r="L5793" s="13"/>
      <c r="M5793" s="14" t="s">
        <v>22034</v>
      </c>
      <c r="N5793" s="15" t="s">
        <v>22035</v>
      </c>
      <c r="O5793" s="15"/>
      <c r="P5793" s="15"/>
      <c r="Q5793" s="15"/>
      <c r="R5793" s="422"/>
      <c r="S5793" s="15"/>
      <c r="T5793" s="15"/>
      <c r="U5793" s="15"/>
      <c r="V5793" s="15"/>
      <c r="W5793" s="15"/>
      <c r="X5793" s="15"/>
      <c r="Y5793" s="15"/>
      <c r="Z5793" s="15"/>
      <c r="AA5793" s="15"/>
    </row>
    <row r="5794">
      <c r="A5794" s="480">
        <v>43891.0</v>
      </c>
      <c r="B5794" s="15" t="s">
        <v>22036</v>
      </c>
      <c r="C5794" s="14" t="s">
        <v>22037</v>
      </c>
      <c r="D5794" s="14"/>
      <c r="E5794" s="14" t="s">
        <v>10433</v>
      </c>
      <c r="F5794" s="433" t="s">
        <v>20693</v>
      </c>
      <c r="G5794" s="434"/>
      <c r="H5794" s="14" t="s">
        <v>44</v>
      </c>
      <c r="I5794" s="423"/>
      <c r="J5794" s="14" t="s">
        <v>9814</v>
      </c>
      <c r="K5794" s="13"/>
      <c r="L5794" s="13"/>
      <c r="M5794" s="14"/>
      <c r="N5794" s="15"/>
      <c r="O5794" s="15"/>
      <c r="P5794" s="15"/>
      <c r="Q5794" s="15"/>
      <c r="R5794" s="422"/>
      <c r="S5794" s="15"/>
      <c r="T5794" s="15"/>
      <c r="U5794" s="15"/>
      <c r="V5794" s="15"/>
      <c r="W5794" s="15"/>
      <c r="X5794" s="15"/>
      <c r="Y5794" s="15"/>
      <c r="Z5794" s="15"/>
      <c r="AA5794" s="15"/>
    </row>
    <row r="5795">
      <c r="A5795" s="480">
        <v>43891.0</v>
      </c>
      <c r="B5795" s="15" t="s">
        <v>22038</v>
      </c>
      <c r="C5795" s="14" t="s">
        <v>10929</v>
      </c>
      <c r="D5795" s="14"/>
      <c r="E5795" s="14" t="s">
        <v>152</v>
      </c>
      <c r="F5795" s="433" t="s">
        <v>20318</v>
      </c>
      <c r="G5795" s="434"/>
      <c r="H5795" s="14" t="s">
        <v>7280</v>
      </c>
      <c r="I5795" s="423"/>
      <c r="J5795" s="14" t="s">
        <v>22039</v>
      </c>
      <c r="K5795" s="13"/>
      <c r="L5795" s="13"/>
      <c r="M5795" s="14" t="s">
        <v>9298</v>
      </c>
      <c r="N5795" s="15" t="s">
        <v>22040</v>
      </c>
      <c r="O5795" s="15"/>
      <c r="P5795" s="15"/>
      <c r="Q5795" s="15"/>
      <c r="R5795" s="422"/>
      <c r="S5795" s="15"/>
      <c r="T5795" s="15"/>
      <c r="U5795" s="15"/>
      <c r="V5795" s="15"/>
      <c r="W5795" s="15"/>
      <c r="X5795" s="15"/>
      <c r="Y5795" s="15"/>
      <c r="Z5795" s="15"/>
      <c r="AA5795" s="15"/>
    </row>
    <row r="5796">
      <c r="A5796" s="480">
        <v>43891.0</v>
      </c>
      <c r="B5796" s="15" t="s">
        <v>22041</v>
      </c>
      <c r="C5796" s="14" t="s">
        <v>22042</v>
      </c>
      <c r="D5796" s="14"/>
      <c r="E5796" s="14" t="s">
        <v>9634</v>
      </c>
      <c r="F5796" s="433" t="s">
        <v>22043</v>
      </c>
      <c r="G5796" s="434"/>
      <c r="H5796" s="14" t="s">
        <v>3304</v>
      </c>
      <c r="I5796" s="423"/>
      <c r="J5796" s="14" t="s">
        <v>17976</v>
      </c>
      <c r="K5796" s="13"/>
      <c r="L5796" s="13"/>
      <c r="M5796" s="14" t="s">
        <v>10768</v>
      </c>
      <c r="N5796" s="15" t="s">
        <v>22044</v>
      </c>
      <c r="O5796" s="15"/>
      <c r="P5796" s="15"/>
      <c r="Q5796" s="15"/>
      <c r="R5796" s="422"/>
      <c r="S5796" s="15"/>
      <c r="T5796" s="15"/>
      <c r="U5796" s="15"/>
      <c r="V5796" s="15"/>
      <c r="W5796" s="15"/>
      <c r="X5796" s="15"/>
      <c r="Y5796" s="15"/>
      <c r="Z5796" s="15"/>
      <c r="AA5796" s="15"/>
    </row>
    <row r="5797">
      <c r="A5797" s="480">
        <v>43891.0</v>
      </c>
      <c r="B5797" s="15" t="s">
        <v>22045</v>
      </c>
      <c r="C5797" s="14" t="s">
        <v>22046</v>
      </c>
      <c r="D5797" s="14"/>
      <c r="E5797" s="14" t="s">
        <v>1910</v>
      </c>
      <c r="F5797" s="433" t="s">
        <v>20392</v>
      </c>
      <c r="G5797" s="434"/>
      <c r="H5797" s="14" t="s">
        <v>22047</v>
      </c>
      <c r="I5797" s="423"/>
      <c r="J5797" s="14" t="s">
        <v>14608</v>
      </c>
      <c r="K5797" s="13"/>
      <c r="L5797" s="13"/>
      <c r="M5797" s="14" t="s">
        <v>16896</v>
      </c>
      <c r="N5797" s="15" t="s">
        <v>22048</v>
      </c>
      <c r="O5797" s="15"/>
      <c r="P5797" s="15"/>
      <c r="Q5797" s="15"/>
      <c r="R5797" s="422"/>
      <c r="S5797" s="15"/>
      <c r="T5797" s="15"/>
      <c r="U5797" s="15"/>
      <c r="V5797" s="15"/>
      <c r="W5797" s="15"/>
      <c r="X5797" s="15"/>
      <c r="Y5797" s="15"/>
      <c r="Z5797" s="15"/>
      <c r="AA5797" s="15"/>
    </row>
    <row r="5798">
      <c r="A5798" s="480">
        <v>43891.0</v>
      </c>
      <c r="B5798" s="15" t="s">
        <v>22049</v>
      </c>
      <c r="C5798" s="14" t="s">
        <v>22050</v>
      </c>
      <c r="D5798" s="14"/>
      <c r="E5798" s="14" t="s">
        <v>19319</v>
      </c>
      <c r="F5798" s="433" t="s">
        <v>20375</v>
      </c>
      <c r="G5798" s="434"/>
      <c r="H5798" s="14" t="s">
        <v>2662</v>
      </c>
      <c r="I5798" s="423"/>
      <c r="J5798" s="14" t="s">
        <v>13956</v>
      </c>
      <c r="K5798" s="13"/>
      <c r="L5798" s="13"/>
      <c r="M5798" s="14"/>
      <c r="N5798" s="15"/>
      <c r="O5798" s="15"/>
      <c r="P5798" s="15"/>
      <c r="Q5798" s="15"/>
      <c r="R5798" s="422"/>
      <c r="S5798" s="15"/>
      <c r="T5798" s="15"/>
      <c r="U5798" s="15"/>
      <c r="V5798" s="15"/>
      <c r="W5798" s="15"/>
      <c r="X5798" s="15"/>
      <c r="Y5798" s="15"/>
      <c r="Z5798" s="15"/>
      <c r="AA5798" s="15"/>
    </row>
    <row r="5799">
      <c r="A5799" s="480">
        <v>43891.0</v>
      </c>
      <c r="B5799" s="15" t="s">
        <v>22051</v>
      </c>
      <c r="C5799" s="14" t="s">
        <v>22052</v>
      </c>
      <c r="D5799" s="14"/>
      <c r="E5799" s="14" t="s">
        <v>22053</v>
      </c>
      <c r="F5799" s="433" t="s">
        <v>20737</v>
      </c>
      <c r="G5799" s="434"/>
      <c r="H5799" s="14" t="s">
        <v>19127</v>
      </c>
      <c r="I5799" s="423"/>
      <c r="J5799" s="14" t="s">
        <v>22054</v>
      </c>
      <c r="K5799" s="13"/>
      <c r="L5799" s="13"/>
      <c r="M5799" s="14" t="s">
        <v>15494</v>
      </c>
      <c r="N5799" s="15" t="s">
        <v>22055</v>
      </c>
      <c r="O5799" s="15"/>
      <c r="P5799" s="15"/>
      <c r="Q5799" s="15"/>
      <c r="R5799" s="422"/>
      <c r="S5799" s="15"/>
      <c r="T5799" s="15"/>
      <c r="U5799" s="15"/>
      <c r="V5799" s="15"/>
      <c r="W5799" s="15"/>
      <c r="X5799" s="15"/>
      <c r="Y5799" s="15"/>
      <c r="Z5799" s="15"/>
      <c r="AA5799" s="15"/>
    </row>
    <row r="5800">
      <c r="A5800" s="480">
        <v>43891.0</v>
      </c>
      <c r="B5800" s="15" t="s">
        <v>22056</v>
      </c>
      <c r="C5800" s="14" t="s">
        <v>22057</v>
      </c>
      <c r="D5800" s="14"/>
      <c r="E5800" s="14" t="s">
        <v>213</v>
      </c>
      <c r="F5800" s="433" t="s">
        <v>19094</v>
      </c>
      <c r="G5800" s="434"/>
      <c r="H5800" s="14" t="s">
        <v>519</v>
      </c>
      <c r="I5800" s="423"/>
      <c r="J5800" s="14" t="s">
        <v>25</v>
      </c>
      <c r="K5800" s="13"/>
      <c r="L5800" s="13"/>
      <c r="M5800" s="14"/>
      <c r="N5800" s="15"/>
      <c r="O5800" s="15"/>
      <c r="P5800" s="15"/>
      <c r="Q5800" s="15"/>
      <c r="R5800" s="422"/>
      <c r="S5800" s="15"/>
      <c r="T5800" s="15"/>
      <c r="U5800" s="15"/>
      <c r="V5800" s="15"/>
      <c r="W5800" s="15"/>
      <c r="X5800" s="15"/>
      <c r="Y5800" s="15"/>
      <c r="Z5800" s="15"/>
      <c r="AA5800" s="15"/>
    </row>
    <row r="5801">
      <c r="A5801" s="480">
        <v>43891.0</v>
      </c>
      <c r="B5801" s="15" t="s">
        <v>22058</v>
      </c>
      <c r="C5801" s="14" t="s">
        <v>22059</v>
      </c>
      <c r="D5801" s="14"/>
      <c r="E5801" s="14" t="s">
        <v>116</v>
      </c>
      <c r="F5801" s="433"/>
      <c r="G5801" s="434"/>
      <c r="H5801" s="14"/>
      <c r="I5801" s="423"/>
      <c r="J5801" s="14"/>
      <c r="K5801" s="13"/>
      <c r="L5801" s="13"/>
      <c r="M5801" s="14"/>
      <c r="N5801" s="15"/>
      <c r="O5801" s="15"/>
      <c r="P5801" s="15"/>
      <c r="Q5801" s="15"/>
      <c r="R5801" s="422"/>
      <c r="S5801" s="15"/>
      <c r="T5801" s="15"/>
      <c r="U5801" s="15"/>
      <c r="V5801" s="15"/>
      <c r="W5801" s="15"/>
      <c r="X5801" s="15"/>
      <c r="Y5801" s="15"/>
      <c r="Z5801" s="15"/>
      <c r="AA5801" s="15"/>
    </row>
    <row r="5802">
      <c r="A5802" s="480">
        <v>43891.0</v>
      </c>
      <c r="B5802" s="15" t="s">
        <v>22060</v>
      </c>
      <c r="C5802" s="14" t="s">
        <v>19296</v>
      </c>
      <c r="D5802" s="14"/>
      <c r="E5802" s="14" t="s">
        <v>152</v>
      </c>
      <c r="F5802" s="433" t="s">
        <v>20303</v>
      </c>
      <c r="G5802" s="434"/>
      <c r="H5802" s="14" t="s">
        <v>906</v>
      </c>
      <c r="I5802" s="423"/>
      <c r="J5802" s="14" t="s">
        <v>21461</v>
      </c>
      <c r="K5802" s="13"/>
      <c r="L5802" s="13"/>
      <c r="M5802" s="14" t="s">
        <v>10768</v>
      </c>
      <c r="N5802" s="15" t="s">
        <v>22061</v>
      </c>
      <c r="O5802" s="15"/>
      <c r="P5802" s="15"/>
      <c r="Q5802" s="15"/>
      <c r="R5802" s="422"/>
      <c r="S5802" s="15"/>
      <c r="T5802" s="15"/>
      <c r="U5802" s="15"/>
      <c r="V5802" s="15"/>
      <c r="W5802" s="15"/>
      <c r="X5802" s="15"/>
      <c r="Y5802" s="15"/>
      <c r="Z5802" s="15"/>
      <c r="AA5802" s="15"/>
    </row>
    <row r="5803">
      <c r="A5803" s="480">
        <v>43862.0</v>
      </c>
      <c r="B5803" s="15" t="s">
        <v>22062</v>
      </c>
      <c r="C5803" s="14" t="s">
        <v>22063</v>
      </c>
      <c r="D5803" s="14"/>
      <c r="E5803" s="14" t="s">
        <v>152</v>
      </c>
      <c r="F5803" s="433"/>
      <c r="G5803" s="434"/>
      <c r="H5803" s="14"/>
      <c r="I5803" s="423"/>
      <c r="J5803" s="14"/>
      <c r="K5803" s="13"/>
      <c r="L5803" s="13"/>
      <c r="M5803" s="14"/>
      <c r="N5803" s="15"/>
      <c r="O5803" s="15"/>
      <c r="P5803" s="15"/>
      <c r="Q5803" s="15"/>
      <c r="R5803" s="422"/>
      <c r="S5803" s="15"/>
      <c r="T5803" s="15"/>
      <c r="U5803" s="15"/>
      <c r="V5803" s="15"/>
      <c r="W5803" s="15"/>
      <c r="X5803" s="15"/>
      <c r="Y5803" s="15"/>
      <c r="Z5803" s="15"/>
      <c r="AA5803" s="15"/>
    </row>
    <row r="5804">
      <c r="A5804" s="480">
        <v>43862.0</v>
      </c>
      <c r="B5804" s="15" t="s">
        <v>22064</v>
      </c>
      <c r="C5804" s="14" t="s">
        <v>22065</v>
      </c>
      <c r="D5804" s="14"/>
      <c r="E5804" s="14" t="s">
        <v>22066</v>
      </c>
      <c r="F5804" s="433" t="s">
        <v>22067</v>
      </c>
      <c r="G5804" s="434"/>
      <c r="H5804" s="14" t="s">
        <v>22068</v>
      </c>
      <c r="I5804" s="423"/>
      <c r="J5804" s="14" t="s">
        <v>17976</v>
      </c>
      <c r="K5804" s="13"/>
      <c r="L5804" s="13"/>
      <c r="M5804" s="14" t="s">
        <v>7965</v>
      </c>
      <c r="N5804" s="15" t="s">
        <v>22069</v>
      </c>
      <c r="O5804" s="15"/>
      <c r="P5804" s="15"/>
      <c r="Q5804" s="15"/>
      <c r="R5804" s="422"/>
      <c r="S5804" s="15"/>
      <c r="T5804" s="15"/>
      <c r="U5804" s="15"/>
      <c r="V5804" s="15"/>
      <c r="W5804" s="15"/>
      <c r="X5804" s="15"/>
      <c r="Y5804" s="15"/>
      <c r="Z5804" s="15"/>
      <c r="AA5804" s="15"/>
    </row>
    <row r="5805">
      <c r="A5805" s="480">
        <v>43862.0</v>
      </c>
      <c r="B5805" s="15" t="s">
        <v>22070</v>
      </c>
      <c r="C5805" s="14" t="s">
        <v>22071</v>
      </c>
      <c r="D5805" s="14"/>
      <c r="E5805" s="14" t="s">
        <v>22072</v>
      </c>
      <c r="F5805" s="433" t="s">
        <v>22073</v>
      </c>
      <c r="G5805" s="434"/>
      <c r="H5805" s="14" t="s">
        <v>1663</v>
      </c>
      <c r="I5805" s="423"/>
      <c r="J5805" s="14" t="s">
        <v>17976</v>
      </c>
      <c r="K5805" s="13"/>
      <c r="L5805" s="13"/>
      <c r="M5805" s="14" t="s">
        <v>22074</v>
      </c>
      <c r="N5805" s="15" t="s">
        <v>22075</v>
      </c>
      <c r="O5805" s="15"/>
      <c r="P5805" s="15"/>
      <c r="Q5805" s="15"/>
      <c r="R5805" s="422"/>
      <c r="S5805" s="15"/>
      <c r="T5805" s="15"/>
      <c r="U5805" s="15"/>
      <c r="V5805" s="15"/>
      <c r="W5805" s="15"/>
      <c r="X5805" s="15"/>
      <c r="Y5805" s="15"/>
      <c r="Z5805" s="15"/>
      <c r="AA5805" s="15"/>
    </row>
    <row r="5806">
      <c r="A5806" s="480">
        <v>43862.0</v>
      </c>
      <c r="B5806" s="15" t="s">
        <v>22076</v>
      </c>
      <c r="C5806" s="14" t="s">
        <v>4438</v>
      </c>
      <c r="D5806" s="14"/>
      <c r="E5806" s="14" t="s">
        <v>22077</v>
      </c>
      <c r="F5806" s="433" t="s">
        <v>22078</v>
      </c>
      <c r="G5806" s="434"/>
      <c r="H5806" s="14" t="s">
        <v>22079</v>
      </c>
      <c r="I5806" s="423"/>
      <c r="J5806" s="14"/>
      <c r="K5806" s="13"/>
      <c r="L5806" s="13"/>
      <c r="M5806" s="14" t="s">
        <v>22080</v>
      </c>
      <c r="N5806" s="15" t="s">
        <v>22081</v>
      </c>
      <c r="O5806" s="15"/>
      <c r="P5806" s="15"/>
      <c r="Q5806" s="15"/>
      <c r="R5806" s="422"/>
      <c r="S5806" s="15"/>
      <c r="T5806" s="15"/>
      <c r="U5806" s="15"/>
      <c r="V5806" s="15"/>
      <c r="W5806" s="15"/>
      <c r="X5806" s="15"/>
      <c r="Y5806" s="15"/>
      <c r="Z5806" s="15"/>
      <c r="AA5806" s="15"/>
    </row>
    <row r="5807">
      <c r="A5807" s="480">
        <v>43862.0</v>
      </c>
      <c r="B5807" s="15" t="s">
        <v>22082</v>
      </c>
      <c r="C5807" s="14" t="s">
        <v>22083</v>
      </c>
      <c r="D5807" s="14"/>
      <c r="E5807" s="14" t="s">
        <v>167</v>
      </c>
      <c r="F5807" s="433"/>
      <c r="G5807" s="434"/>
      <c r="H5807" s="14"/>
      <c r="I5807" s="423"/>
      <c r="J5807" s="14"/>
      <c r="K5807" s="13"/>
      <c r="L5807" s="13"/>
      <c r="M5807" s="14"/>
      <c r="N5807" s="15"/>
      <c r="O5807" s="15"/>
      <c r="P5807" s="15"/>
      <c r="Q5807" s="15"/>
      <c r="R5807" s="422"/>
      <c r="S5807" s="15"/>
      <c r="T5807" s="15"/>
      <c r="U5807" s="15"/>
      <c r="V5807" s="15"/>
      <c r="W5807" s="15"/>
      <c r="X5807" s="15"/>
      <c r="Y5807" s="15"/>
      <c r="Z5807" s="15"/>
      <c r="AA5807" s="15"/>
    </row>
    <row r="5808">
      <c r="A5808" s="480">
        <v>43862.0</v>
      </c>
      <c r="B5808" s="15" t="s">
        <v>22084</v>
      </c>
      <c r="C5808" s="14" t="s">
        <v>22085</v>
      </c>
      <c r="D5808" s="14"/>
      <c r="E5808" s="14" t="s">
        <v>19601</v>
      </c>
      <c r="F5808" s="433" t="s">
        <v>20303</v>
      </c>
      <c r="G5808" s="434"/>
      <c r="H5808" s="14" t="s">
        <v>107</v>
      </c>
      <c r="I5808" s="423"/>
      <c r="J5808" s="14" t="s">
        <v>22086</v>
      </c>
      <c r="K5808" s="13"/>
      <c r="L5808" s="13"/>
      <c r="M5808" s="14" t="s">
        <v>22087</v>
      </c>
      <c r="N5808" s="15" t="s">
        <v>22088</v>
      </c>
      <c r="O5808" s="15"/>
      <c r="P5808" s="15"/>
      <c r="Q5808" s="15"/>
      <c r="R5808" s="422"/>
      <c r="S5808" s="15"/>
      <c r="T5808" s="15"/>
      <c r="U5808" s="15"/>
      <c r="V5808" s="15"/>
      <c r="W5808" s="15"/>
      <c r="X5808" s="15"/>
      <c r="Y5808" s="15"/>
      <c r="Z5808" s="15"/>
      <c r="AA5808" s="15"/>
    </row>
    <row r="5809">
      <c r="A5809" s="480">
        <v>43862.0</v>
      </c>
      <c r="B5809" s="15" t="s">
        <v>22089</v>
      </c>
      <c r="C5809" s="14" t="s">
        <v>22090</v>
      </c>
      <c r="D5809" s="14"/>
      <c r="E5809" s="14" t="s">
        <v>22091</v>
      </c>
      <c r="F5809" s="433"/>
      <c r="G5809" s="434"/>
      <c r="H5809" s="14"/>
      <c r="I5809" s="423"/>
      <c r="J5809" s="14"/>
      <c r="K5809" s="13"/>
      <c r="L5809" s="13"/>
      <c r="M5809" s="14"/>
      <c r="N5809" s="15"/>
      <c r="O5809" s="15"/>
      <c r="P5809" s="15"/>
      <c r="Q5809" s="15"/>
      <c r="R5809" s="422"/>
      <c r="S5809" s="15"/>
      <c r="T5809" s="15"/>
      <c r="U5809" s="15"/>
      <c r="V5809" s="15"/>
      <c r="W5809" s="15"/>
      <c r="X5809" s="15"/>
      <c r="Y5809" s="15"/>
      <c r="Z5809" s="15"/>
      <c r="AA5809" s="15"/>
    </row>
    <row r="5810">
      <c r="A5810" s="480">
        <v>43862.0</v>
      </c>
      <c r="B5810" s="15" t="s">
        <v>22092</v>
      </c>
      <c r="C5810" s="14" t="s">
        <v>22093</v>
      </c>
      <c r="D5810" s="14"/>
      <c r="E5810" s="14" t="s">
        <v>3555</v>
      </c>
      <c r="F5810" s="433" t="s">
        <v>20340</v>
      </c>
      <c r="G5810" s="434"/>
      <c r="H5810" s="14" t="s">
        <v>507</v>
      </c>
      <c r="I5810" s="423"/>
      <c r="J5810" s="14" t="s">
        <v>25</v>
      </c>
      <c r="K5810" s="13"/>
      <c r="L5810" s="13"/>
      <c r="M5810" s="14" t="s">
        <v>9983</v>
      </c>
      <c r="N5810" s="15" t="s">
        <v>22094</v>
      </c>
      <c r="O5810" s="15"/>
      <c r="P5810" s="15"/>
      <c r="Q5810" s="15"/>
      <c r="R5810" s="422"/>
      <c r="S5810" s="15"/>
      <c r="T5810" s="15"/>
      <c r="U5810" s="15"/>
      <c r="V5810" s="15"/>
      <c r="W5810" s="15"/>
      <c r="X5810" s="15"/>
      <c r="Y5810" s="15"/>
      <c r="Z5810" s="15"/>
      <c r="AA5810" s="15"/>
    </row>
    <row r="5811">
      <c r="A5811" s="480">
        <v>43862.0</v>
      </c>
      <c r="B5811" s="15" t="s">
        <v>22095</v>
      </c>
      <c r="C5811" s="14" t="s">
        <v>21095</v>
      </c>
      <c r="D5811" s="14"/>
      <c r="E5811" s="14" t="s">
        <v>152</v>
      </c>
      <c r="F5811" s="433" t="s">
        <v>22096</v>
      </c>
      <c r="G5811" s="434"/>
      <c r="H5811" s="14"/>
      <c r="I5811" s="423"/>
      <c r="J5811" s="14"/>
      <c r="K5811" s="13"/>
      <c r="L5811" s="13"/>
      <c r="M5811" s="14"/>
      <c r="N5811" s="15"/>
      <c r="O5811" s="15"/>
      <c r="P5811" s="15"/>
      <c r="Q5811" s="15"/>
      <c r="R5811" s="422"/>
      <c r="S5811" s="15"/>
      <c r="T5811" s="15"/>
      <c r="U5811" s="15"/>
      <c r="V5811" s="15"/>
      <c r="W5811" s="15"/>
      <c r="X5811" s="15"/>
      <c r="Y5811" s="15"/>
      <c r="Z5811" s="15"/>
      <c r="AA5811" s="15"/>
    </row>
    <row r="5812">
      <c r="A5812" s="480">
        <v>43862.0</v>
      </c>
      <c r="B5812" s="15" t="s">
        <v>22097</v>
      </c>
      <c r="C5812" s="14" t="s">
        <v>22098</v>
      </c>
      <c r="D5812" s="14"/>
      <c r="E5812" s="14" t="s">
        <v>22099</v>
      </c>
      <c r="F5812" s="433" t="s">
        <v>20318</v>
      </c>
      <c r="G5812" s="434"/>
      <c r="H5812" s="14"/>
      <c r="I5812" s="423"/>
      <c r="J5812" s="14" t="s">
        <v>25</v>
      </c>
      <c r="K5812" s="13"/>
      <c r="L5812" s="13"/>
      <c r="M5812" s="14" t="s">
        <v>12825</v>
      </c>
      <c r="N5812" s="15" t="s">
        <v>22100</v>
      </c>
      <c r="O5812" s="15"/>
      <c r="P5812" s="15"/>
      <c r="Q5812" s="15"/>
      <c r="R5812" s="422"/>
      <c r="S5812" s="15"/>
      <c r="T5812" s="15"/>
      <c r="U5812" s="15"/>
      <c r="V5812" s="15"/>
      <c r="W5812" s="15"/>
      <c r="X5812" s="15"/>
      <c r="Y5812" s="15"/>
      <c r="Z5812" s="15"/>
      <c r="AA5812" s="15"/>
    </row>
    <row r="5813">
      <c r="A5813" s="480">
        <v>43862.0</v>
      </c>
      <c r="B5813" s="15" t="s">
        <v>22101</v>
      </c>
      <c r="C5813" s="14" t="s">
        <v>22102</v>
      </c>
      <c r="D5813" s="14"/>
      <c r="E5813" s="14" t="s">
        <v>10754</v>
      </c>
      <c r="F5813" s="433" t="s">
        <v>20436</v>
      </c>
      <c r="G5813" s="434"/>
      <c r="H5813" s="14" t="s">
        <v>977</v>
      </c>
      <c r="I5813" s="423"/>
      <c r="J5813" s="14" t="s">
        <v>21884</v>
      </c>
      <c r="K5813" s="13"/>
      <c r="L5813" s="13"/>
      <c r="M5813" s="14" t="s">
        <v>10119</v>
      </c>
      <c r="N5813" s="15" t="s">
        <v>22103</v>
      </c>
      <c r="O5813" s="15"/>
      <c r="P5813" s="15"/>
      <c r="Q5813" s="15"/>
      <c r="R5813" s="422"/>
      <c r="S5813" s="15"/>
      <c r="T5813" s="15"/>
      <c r="U5813" s="15"/>
      <c r="V5813" s="15"/>
      <c r="W5813" s="15"/>
      <c r="X5813" s="15"/>
      <c r="Y5813" s="15"/>
      <c r="Z5813" s="15"/>
      <c r="AA5813" s="15"/>
    </row>
    <row r="5814">
      <c r="A5814" s="480">
        <v>43862.0</v>
      </c>
      <c r="B5814" s="15" t="s">
        <v>22104</v>
      </c>
      <c r="C5814" s="14" t="s">
        <v>22105</v>
      </c>
      <c r="D5814" s="14"/>
      <c r="E5814" s="14" t="s">
        <v>20854</v>
      </c>
      <c r="F5814" s="433" t="s">
        <v>20392</v>
      </c>
      <c r="G5814" s="434"/>
      <c r="H5814" s="14"/>
      <c r="I5814" s="423"/>
      <c r="J5814" s="14"/>
      <c r="K5814" s="13"/>
      <c r="L5814" s="13"/>
      <c r="M5814" s="14"/>
      <c r="N5814" s="15"/>
      <c r="O5814" s="15"/>
      <c r="P5814" s="15"/>
      <c r="Q5814" s="15"/>
      <c r="R5814" s="422"/>
      <c r="S5814" s="15"/>
      <c r="T5814" s="15"/>
      <c r="U5814" s="15"/>
      <c r="V5814" s="15"/>
      <c r="W5814" s="15"/>
      <c r="X5814" s="15"/>
      <c r="Y5814" s="15"/>
      <c r="Z5814" s="15"/>
      <c r="AA5814" s="15"/>
    </row>
    <row r="5815">
      <c r="A5815" s="480">
        <v>43862.0</v>
      </c>
      <c r="B5815" s="15" t="s">
        <v>22106</v>
      </c>
      <c r="C5815" s="14" t="s">
        <v>22107</v>
      </c>
      <c r="D5815" s="14"/>
      <c r="E5815" s="14" t="s">
        <v>2546</v>
      </c>
      <c r="F5815" s="433" t="s">
        <v>20303</v>
      </c>
      <c r="G5815" s="434"/>
      <c r="H5815" s="14" t="s">
        <v>1029</v>
      </c>
      <c r="I5815" s="423"/>
      <c r="J5815" s="14" t="s">
        <v>17976</v>
      </c>
      <c r="K5815" s="13"/>
      <c r="L5815" s="13"/>
      <c r="M5815" s="14" t="s">
        <v>22108</v>
      </c>
      <c r="N5815" s="15" t="s">
        <v>22109</v>
      </c>
      <c r="O5815" s="15"/>
      <c r="P5815" s="15"/>
      <c r="Q5815" s="15"/>
      <c r="R5815" s="422"/>
      <c r="S5815" s="15"/>
      <c r="T5815" s="15"/>
      <c r="U5815" s="15"/>
      <c r="V5815" s="15"/>
      <c r="W5815" s="15"/>
      <c r="X5815" s="15"/>
      <c r="Y5815" s="15"/>
      <c r="Z5815" s="15"/>
      <c r="AA5815" s="15"/>
    </row>
    <row r="5816">
      <c r="A5816" s="480">
        <v>43862.0</v>
      </c>
      <c r="B5816" s="15" t="s">
        <v>22110</v>
      </c>
      <c r="C5816" s="14" t="s">
        <v>22111</v>
      </c>
      <c r="D5816" s="14"/>
      <c r="E5816" s="14" t="s">
        <v>167</v>
      </c>
      <c r="F5816" s="433" t="s">
        <v>20340</v>
      </c>
      <c r="G5816" s="434"/>
      <c r="H5816" s="14" t="s">
        <v>1919</v>
      </c>
      <c r="I5816" s="423"/>
      <c r="J5816" s="14" t="s">
        <v>20870</v>
      </c>
      <c r="K5816" s="13"/>
      <c r="L5816" s="13"/>
      <c r="M5816" s="14" t="s">
        <v>8348</v>
      </c>
      <c r="N5816" s="15" t="s">
        <v>22112</v>
      </c>
      <c r="O5816" s="15"/>
      <c r="P5816" s="15"/>
      <c r="Q5816" s="15"/>
      <c r="R5816" s="422"/>
      <c r="S5816" s="15"/>
      <c r="T5816" s="15"/>
      <c r="U5816" s="15"/>
      <c r="V5816" s="15"/>
      <c r="W5816" s="15"/>
      <c r="X5816" s="15"/>
      <c r="Y5816" s="15"/>
      <c r="Z5816" s="15"/>
      <c r="AA5816" s="15"/>
    </row>
    <row r="5817">
      <c r="A5817" s="480">
        <v>43862.0</v>
      </c>
      <c r="B5817" s="15" t="s">
        <v>22113</v>
      </c>
      <c r="C5817" s="14" t="s">
        <v>22114</v>
      </c>
      <c r="D5817" s="14"/>
      <c r="E5817" s="14" t="s">
        <v>116</v>
      </c>
      <c r="F5817" s="433" t="s">
        <v>20340</v>
      </c>
      <c r="G5817" s="434"/>
      <c r="H5817" s="14" t="s">
        <v>2662</v>
      </c>
      <c r="I5817" s="423"/>
      <c r="J5817" s="14" t="s">
        <v>17976</v>
      </c>
      <c r="K5817" s="13"/>
      <c r="L5817" s="13"/>
      <c r="M5817" s="14" t="s">
        <v>9719</v>
      </c>
      <c r="N5817" s="15" t="s">
        <v>22115</v>
      </c>
      <c r="O5817" s="15"/>
      <c r="P5817" s="15"/>
      <c r="Q5817" s="15"/>
      <c r="R5817" s="422"/>
      <c r="S5817" s="15"/>
      <c r="T5817" s="15"/>
      <c r="U5817" s="15"/>
      <c r="V5817" s="15"/>
      <c r="W5817" s="15"/>
      <c r="X5817" s="15"/>
      <c r="Y5817" s="15"/>
      <c r="Z5817" s="15"/>
      <c r="AA5817" s="15"/>
    </row>
    <row r="5818">
      <c r="A5818" s="480">
        <v>43862.0</v>
      </c>
      <c r="B5818" s="15" t="s">
        <v>22116</v>
      </c>
      <c r="C5818" s="14" t="s">
        <v>22117</v>
      </c>
      <c r="D5818" s="14"/>
      <c r="E5818" s="14" t="s">
        <v>167</v>
      </c>
      <c r="F5818" s="433" t="s">
        <v>20392</v>
      </c>
      <c r="G5818" s="434"/>
      <c r="H5818" s="14" t="s">
        <v>22118</v>
      </c>
      <c r="I5818" s="423"/>
      <c r="J5818" s="14" t="s">
        <v>22119</v>
      </c>
      <c r="K5818" s="13"/>
      <c r="L5818" s="13"/>
      <c r="M5818" s="14" t="s">
        <v>14925</v>
      </c>
      <c r="N5818" s="15" t="s">
        <v>22120</v>
      </c>
      <c r="O5818" s="15"/>
      <c r="P5818" s="15"/>
      <c r="Q5818" s="15"/>
      <c r="R5818" s="422"/>
      <c r="S5818" s="15"/>
      <c r="T5818" s="15"/>
      <c r="U5818" s="15"/>
      <c r="V5818" s="15"/>
      <c r="W5818" s="15"/>
      <c r="X5818" s="15"/>
      <c r="Y5818" s="15"/>
      <c r="Z5818" s="15"/>
      <c r="AA5818" s="15"/>
    </row>
    <row r="5819">
      <c r="A5819" s="480">
        <v>43862.0</v>
      </c>
      <c r="B5819" s="15" t="s">
        <v>22121</v>
      </c>
      <c r="C5819" s="14" t="s">
        <v>22122</v>
      </c>
      <c r="D5819" s="14"/>
      <c r="E5819" s="14" t="s">
        <v>2546</v>
      </c>
      <c r="F5819" s="433" t="s">
        <v>20626</v>
      </c>
      <c r="G5819" s="434"/>
      <c r="H5819" s="14" t="s">
        <v>519</v>
      </c>
      <c r="I5819" s="423"/>
      <c r="J5819" s="14" t="s">
        <v>17976</v>
      </c>
      <c r="K5819" s="13"/>
      <c r="L5819" s="13"/>
      <c r="M5819" s="14" t="s">
        <v>22108</v>
      </c>
      <c r="N5819" s="15" t="s">
        <v>22123</v>
      </c>
      <c r="O5819" s="15"/>
      <c r="P5819" s="15"/>
      <c r="Q5819" s="15"/>
      <c r="R5819" s="422"/>
      <c r="S5819" s="15"/>
      <c r="T5819" s="15"/>
      <c r="U5819" s="15"/>
      <c r="V5819" s="15"/>
      <c r="W5819" s="15"/>
      <c r="X5819" s="15"/>
      <c r="Y5819" s="15"/>
      <c r="Z5819" s="15"/>
      <c r="AA5819" s="15"/>
    </row>
    <row r="5820">
      <c r="A5820" s="480">
        <v>43862.0</v>
      </c>
      <c r="B5820" s="15" t="s">
        <v>22124</v>
      </c>
      <c r="C5820" s="14" t="s">
        <v>22125</v>
      </c>
      <c r="D5820" s="14"/>
      <c r="E5820" s="14" t="s">
        <v>130</v>
      </c>
      <c r="F5820" s="433"/>
      <c r="G5820" s="434"/>
      <c r="H5820" s="14"/>
      <c r="I5820" s="423"/>
      <c r="J5820" s="14"/>
      <c r="K5820" s="13"/>
      <c r="L5820" s="13"/>
      <c r="M5820" s="14"/>
      <c r="N5820" s="15"/>
      <c r="O5820" s="15"/>
      <c r="P5820" s="15"/>
      <c r="Q5820" s="15"/>
      <c r="R5820" s="422"/>
      <c r="S5820" s="15"/>
      <c r="T5820" s="15"/>
      <c r="U5820" s="15"/>
      <c r="V5820" s="15"/>
      <c r="W5820" s="15"/>
      <c r="X5820" s="15"/>
      <c r="Y5820" s="15"/>
      <c r="Z5820" s="15"/>
      <c r="AA5820" s="15"/>
    </row>
    <row r="5821">
      <c r="A5821" s="480">
        <v>43862.0</v>
      </c>
      <c r="B5821" s="15" t="s">
        <v>22126</v>
      </c>
      <c r="C5821" s="14" t="s">
        <v>22127</v>
      </c>
      <c r="D5821" s="14"/>
      <c r="E5821" s="14" t="s">
        <v>22128</v>
      </c>
      <c r="F5821" s="433" t="s">
        <v>20303</v>
      </c>
      <c r="G5821" s="434"/>
      <c r="H5821" s="14" t="s">
        <v>49</v>
      </c>
      <c r="I5821" s="423"/>
      <c r="J5821" s="14" t="s">
        <v>17976</v>
      </c>
      <c r="K5821" s="13"/>
      <c r="L5821" s="13"/>
      <c r="M5821" s="14" t="s">
        <v>22129</v>
      </c>
      <c r="N5821" s="15" t="s">
        <v>22130</v>
      </c>
      <c r="O5821" s="15"/>
      <c r="P5821" s="15"/>
      <c r="Q5821" s="15"/>
      <c r="R5821" s="422"/>
      <c r="S5821" s="15"/>
      <c r="T5821" s="15"/>
      <c r="U5821" s="15"/>
      <c r="V5821" s="15"/>
      <c r="W5821" s="15"/>
      <c r="X5821" s="15"/>
      <c r="Y5821" s="15"/>
      <c r="Z5821" s="15"/>
      <c r="AA5821" s="15"/>
    </row>
    <row r="5822">
      <c r="A5822" s="480">
        <v>43862.0</v>
      </c>
      <c r="B5822" s="15" t="s">
        <v>22131</v>
      </c>
      <c r="C5822" s="14" t="s">
        <v>18753</v>
      </c>
      <c r="D5822" s="14"/>
      <c r="E5822" s="14" t="s">
        <v>1230</v>
      </c>
      <c r="F5822" s="433" t="s">
        <v>19339</v>
      </c>
      <c r="G5822" s="434"/>
      <c r="H5822" s="14" t="s">
        <v>20661</v>
      </c>
      <c r="I5822" s="423"/>
      <c r="J5822" s="14" t="s">
        <v>9814</v>
      </c>
      <c r="K5822" s="13"/>
      <c r="L5822" s="13"/>
      <c r="M5822" s="14" t="s">
        <v>9901</v>
      </c>
      <c r="N5822" s="15" t="s">
        <v>22132</v>
      </c>
      <c r="O5822" s="15"/>
      <c r="P5822" s="15"/>
      <c r="Q5822" s="15"/>
      <c r="R5822" s="422"/>
      <c r="S5822" s="15"/>
      <c r="T5822" s="15"/>
      <c r="U5822" s="15"/>
      <c r="V5822" s="15"/>
      <c r="W5822" s="15"/>
      <c r="X5822" s="15"/>
      <c r="Y5822" s="15"/>
      <c r="Z5822" s="15"/>
      <c r="AA5822" s="15"/>
    </row>
    <row r="5823">
      <c r="A5823" s="480">
        <v>43862.0</v>
      </c>
      <c r="B5823" s="15" t="s">
        <v>22133</v>
      </c>
      <c r="C5823" s="14" t="s">
        <v>22134</v>
      </c>
      <c r="D5823" s="14"/>
      <c r="E5823" s="14" t="s">
        <v>22135</v>
      </c>
      <c r="F5823" s="433" t="s">
        <v>22136</v>
      </c>
      <c r="G5823" s="434"/>
      <c r="H5823" s="14" t="s">
        <v>44</v>
      </c>
      <c r="I5823" s="423"/>
      <c r="J5823" s="14" t="s">
        <v>22137</v>
      </c>
      <c r="K5823" s="13"/>
      <c r="L5823" s="13"/>
      <c r="M5823" s="14" t="s">
        <v>22138</v>
      </c>
      <c r="N5823" s="15" t="s">
        <v>22139</v>
      </c>
      <c r="O5823" s="15"/>
      <c r="P5823" s="15"/>
      <c r="Q5823" s="15"/>
      <c r="R5823" s="422"/>
      <c r="S5823" s="15"/>
      <c r="T5823" s="15"/>
      <c r="U5823" s="15"/>
      <c r="V5823" s="15"/>
      <c r="W5823" s="15"/>
      <c r="X5823" s="15"/>
      <c r="Y5823" s="15"/>
      <c r="Z5823" s="15"/>
      <c r="AA5823" s="15"/>
    </row>
    <row r="5824">
      <c r="A5824" s="480">
        <v>43862.0</v>
      </c>
      <c r="B5824" s="15" t="s">
        <v>22140</v>
      </c>
      <c r="C5824" s="14" t="s">
        <v>22141</v>
      </c>
      <c r="D5824" s="14"/>
      <c r="E5824" s="14" t="s">
        <v>22142</v>
      </c>
      <c r="F5824" s="433" t="s">
        <v>22143</v>
      </c>
      <c r="G5824" s="434"/>
      <c r="H5824" s="14" t="s">
        <v>44</v>
      </c>
      <c r="I5824" s="423"/>
      <c r="J5824" s="14" t="s">
        <v>22144</v>
      </c>
      <c r="K5824" s="13"/>
      <c r="L5824" s="13"/>
      <c r="M5824" s="14"/>
      <c r="N5824" s="15"/>
      <c r="O5824" s="15"/>
      <c r="P5824" s="15"/>
      <c r="Q5824" s="15"/>
      <c r="R5824" s="422"/>
      <c r="S5824" s="15"/>
      <c r="T5824" s="15"/>
      <c r="U5824" s="15"/>
      <c r="V5824" s="15"/>
      <c r="W5824" s="15"/>
      <c r="X5824" s="15"/>
      <c r="Y5824" s="15"/>
      <c r="Z5824" s="15"/>
      <c r="AA5824" s="15"/>
    </row>
    <row r="5825">
      <c r="A5825" s="480">
        <v>43862.0</v>
      </c>
      <c r="B5825" s="15" t="s">
        <v>22145</v>
      </c>
      <c r="C5825" s="14" t="s">
        <v>22146</v>
      </c>
      <c r="D5825" s="14"/>
      <c r="E5825" s="14" t="s">
        <v>10852</v>
      </c>
      <c r="F5825" s="433"/>
      <c r="G5825" s="434"/>
      <c r="H5825" s="14"/>
      <c r="I5825" s="423"/>
      <c r="J5825" s="14"/>
      <c r="K5825" s="13"/>
      <c r="L5825" s="13"/>
      <c r="M5825" s="14"/>
      <c r="N5825" s="15"/>
      <c r="O5825" s="15"/>
      <c r="P5825" s="15"/>
      <c r="Q5825" s="15"/>
      <c r="R5825" s="422"/>
      <c r="S5825" s="15"/>
      <c r="T5825" s="15"/>
      <c r="U5825" s="15"/>
      <c r="V5825" s="15"/>
      <c r="W5825" s="15"/>
      <c r="X5825" s="15"/>
      <c r="Y5825" s="15"/>
      <c r="Z5825" s="15"/>
      <c r="AA5825" s="15"/>
    </row>
    <row r="5826">
      <c r="A5826" s="480">
        <v>43862.0</v>
      </c>
      <c r="B5826" s="15" t="s">
        <v>22147</v>
      </c>
      <c r="C5826" s="14" t="s">
        <v>3768</v>
      </c>
      <c r="D5826" s="14"/>
      <c r="E5826" s="14" t="s">
        <v>92</v>
      </c>
      <c r="F5826" s="433" t="s">
        <v>22148</v>
      </c>
      <c r="G5826" s="434"/>
      <c r="H5826" s="14"/>
      <c r="I5826" s="423"/>
      <c r="J5826" s="14"/>
      <c r="K5826" s="13"/>
      <c r="L5826" s="13"/>
      <c r="M5826" s="14"/>
      <c r="N5826" s="15"/>
      <c r="O5826" s="15"/>
      <c r="P5826" s="15"/>
      <c r="Q5826" s="15"/>
      <c r="R5826" s="422"/>
      <c r="S5826" s="15"/>
      <c r="T5826" s="15"/>
      <c r="U5826" s="15"/>
      <c r="V5826" s="15"/>
      <c r="W5826" s="15"/>
      <c r="X5826" s="15"/>
      <c r="Y5826" s="15"/>
      <c r="Z5826" s="15"/>
      <c r="AA5826" s="15"/>
    </row>
    <row r="5827">
      <c r="A5827" s="480">
        <v>43862.0</v>
      </c>
      <c r="B5827" s="15" t="s">
        <v>22149</v>
      </c>
      <c r="C5827" s="14" t="s">
        <v>22150</v>
      </c>
      <c r="D5827" s="14"/>
      <c r="E5827" s="14" t="s">
        <v>6760</v>
      </c>
      <c r="F5827" s="433" t="s">
        <v>20392</v>
      </c>
      <c r="G5827" s="434"/>
      <c r="H5827" s="14" t="s">
        <v>2662</v>
      </c>
      <c r="I5827" s="423"/>
      <c r="J5827" s="14" t="s">
        <v>20870</v>
      </c>
      <c r="K5827" s="13"/>
      <c r="L5827" s="13"/>
      <c r="M5827" s="14" t="s">
        <v>22151</v>
      </c>
      <c r="N5827" s="15" t="s">
        <v>22152</v>
      </c>
      <c r="O5827" s="15"/>
      <c r="P5827" s="15"/>
      <c r="Q5827" s="15"/>
      <c r="R5827" s="422"/>
      <c r="S5827" s="15"/>
      <c r="T5827" s="15"/>
      <c r="U5827" s="15"/>
      <c r="V5827" s="15"/>
      <c r="W5827" s="15"/>
      <c r="X5827" s="15"/>
      <c r="Y5827" s="15"/>
      <c r="Z5827" s="15"/>
      <c r="AA5827" s="15"/>
    </row>
    <row r="5828">
      <c r="A5828" s="480">
        <v>43862.0</v>
      </c>
      <c r="B5828" s="15" t="s">
        <v>22153</v>
      </c>
      <c r="C5828" s="14" t="s">
        <v>22154</v>
      </c>
      <c r="D5828" s="14"/>
      <c r="E5828" s="14" t="s">
        <v>116</v>
      </c>
      <c r="F5828" s="433"/>
      <c r="G5828" s="434"/>
      <c r="H5828" s="14"/>
      <c r="I5828" s="423"/>
      <c r="J5828" s="14"/>
      <c r="K5828" s="13"/>
      <c r="L5828" s="13"/>
      <c r="M5828" s="14"/>
      <c r="N5828" s="15"/>
      <c r="O5828" s="15"/>
      <c r="P5828" s="15"/>
      <c r="Q5828" s="15"/>
      <c r="R5828" s="422"/>
      <c r="S5828" s="15"/>
      <c r="T5828" s="15"/>
      <c r="U5828" s="15"/>
      <c r="V5828" s="15"/>
      <c r="W5828" s="15"/>
      <c r="X5828" s="15"/>
      <c r="Y5828" s="15"/>
      <c r="Z5828" s="15"/>
      <c r="AA5828" s="15"/>
    </row>
    <row r="5829">
      <c r="A5829" s="480">
        <v>43862.0</v>
      </c>
      <c r="B5829" s="15" t="s">
        <v>22155</v>
      </c>
      <c r="C5829" s="14" t="s">
        <v>22156</v>
      </c>
      <c r="D5829" s="14"/>
      <c r="E5829" s="14" t="s">
        <v>4123</v>
      </c>
      <c r="F5829" s="433" t="s">
        <v>20436</v>
      </c>
      <c r="G5829" s="434"/>
      <c r="H5829" s="14" t="s">
        <v>398</v>
      </c>
      <c r="I5829" s="423"/>
      <c r="J5829" s="14" t="s">
        <v>22157</v>
      </c>
      <c r="K5829" s="13"/>
      <c r="L5829" s="13"/>
      <c r="M5829" s="14"/>
      <c r="N5829" s="15"/>
      <c r="O5829" s="15"/>
      <c r="P5829" s="15"/>
      <c r="Q5829" s="15"/>
      <c r="R5829" s="422"/>
      <c r="S5829" s="15"/>
      <c r="T5829" s="15"/>
      <c r="U5829" s="15"/>
      <c r="V5829" s="15"/>
      <c r="W5829" s="15"/>
      <c r="X5829" s="15"/>
      <c r="Y5829" s="15"/>
      <c r="Z5829" s="15"/>
      <c r="AA5829" s="15"/>
    </row>
    <row r="5830">
      <c r="A5830" s="480">
        <v>43862.0</v>
      </c>
      <c r="B5830" s="15" t="s">
        <v>22158</v>
      </c>
      <c r="C5830" s="14" t="s">
        <v>22159</v>
      </c>
      <c r="D5830" s="14"/>
      <c r="E5830" s="14" t="s">
        <v>7772</v>
      </c>
      <c r="F5830" s="433" t="s">
        <v>18673</v>
      </c>
      <c r="G5830" s="434"/>
      <c r="H5830" s="14" t="s">
        <v>22160</v>
      </c>
      <c r="I5830" s="423"/>
      <c r="J5830" s="14" t="s">
        <v>9814</v>
      </c>
      <c r="K5830" s="13"/>
      <c r="L5830" s="13"/>
      <c r="M5830" s="14" t="s">
        <v>22161</v>
      </c>
      <c r="N5830" s="15" t="s">
        <v>22162</v>
      </c>
      <c r="O5830" s="15"/>
      <c r="P5830" s="15"/>
      <c r="Q5830" s="15"/>
      <c r="R5830" s="422"/>
      <c r="S5830" s="15"/>
      <c r="T5830" s="15"/>
      <c r="U5830" s="15"/>
      <c r="V5830" s="15"/>
      <c r="W5830" s="15"/>
      <c r="X5830" s="15"/>
      <c r="Y5830" s="15"/>
      <c r="Z5830" s="15"/>
      <c r="AA5830" s="15"/>
    </row>
    <row r="5831">
      <c r="A5831" s="480">
        <v>43862.0</v>
      </c>
      <c r="B5831" s="15" t="s">
        <v>22163</v>
      </c>
      <c r="C5831" s="14" t="s">
        <v>22164</v>
      </c>
      <c r="D5831" s="14"/>
      <c r="E5831" s="14" t="s">
        <v>22165</v>
      </c>
      <c r="F5831" s="433" t="s">
        <v>20334</v>
      </c>
      <c r="G5831" s="434"/>
      <c r="H5831" s="14" t="s">
        <v>3078</v>
      </c>
      <c r="I5831" s="423"/>
      <c r="J5831" s="14" t="s">
        <v>17976</v>
      </c>
      <c r="K5831" s="13"/>
      <c r="L5831" s="13"/>
      <c r="M5831" s="14" t="s">
        <v>9742</v>
      </c>
      <c r="N5831" s="15" t="s">
        <v>22166</v>
      </c>
      <c r="O5831" s="15"/>
      <c r="P5831" s="15"/>
      <c r="Q5831" s="15"/>
      <c r="R5831" s="422"/>
      <c r="S5831" s="15"/>
      <c r="T5831" s="15"/>
      <c r="U5831" s="15"/>
      <c r="V5831" s="15"/>
      <c r="W5831" s="15"/>
      <c r="X5831" s="15"/>
      <c r="Y5831" s="15"/>
      <c r="Z5831" s="15"/>
      <c r="AA5831" s="15"/>
    </row>
    <row r="5832">
      <c r="A5832" s="480">
        <v>43862.0</v>
      </c>
      <c r="B5832" s="15" t="s">
        <v>22167</v>
      </c>
      <c r="C5832" s="14" t="s">
        <v>22168</v>
      </c>
      <c r="D5832" s="14"/>
      <c r="E5832" s="14" t="s">
        <v>3533</v>
      </c>
      <c r="F5832" s="433" t="s">
        <v>22169</v>
      </c>
      <c r="G5832" s="434"/>
      <c r="H5832" s="14" t="s">
        <v>519</v>
      </c>
      <c r="I5832" s="423"/>
      <c r="J5832" s="14" t="s">
        <v>17976</v>
      </c>
      <c r="K5832" s="13"/>
      <c r="L5832" s="13"/>
      <c r="M5832" s="14" t="s">
        <v>12809</v>
      </c>
      <c r="N5832" s="15" t="s">
        <v>22170</v>
      </c>
      <c r="O5832" s="15"/>
      <c r="P5832" s="15"/>
      <c r="Q5832" s="15"/>
      <c r="R5832" s="422"/>
      <c r="S5832" s="15"/>
      <c r="T5832" s="15"/>
      <c r="U5832" s="15"/>
      <c r="V5832" s="15"/>
      <c r="W5832" s="15"/>
      <c r="X5832" s="15"/>
      <c r="Y5832" s="15"/>
      <c r="Z5832" s="15"/>
      <c r="AA5832" s="15"/>
    </row>
    <row r="5833">
      <c r="A5833" s="480">
        <v>43862.0</v>
      </c>
      <c r="B5833" s="15" t="s">
        <v>22171</v>
      </c>
      <c r="C5833" s="14" t="s">
        <v>22172</v>
      </c>
      <c r="D5833" s="14"/>
      <c r="E5833" s="14" t="s">
        <v>3533</v>
      </c>
      <c r="F5833" s="433" t="s">
        <v>20348</v>
      </c>
      <c r="G5833" s="434"/>
      <c r="H5833" s="14" t="s">
        <v>507</v>
      </c>
      <c r="I5833" s="423"/>
      <c r="J5833" s="14" t="s">
        <v>9814</v>
      </c>
      <c r="K5833" s="13"/>
      <c r="L5833" s="13"/>
      <c r="M5833" s="14" t="s">
        <v>16808</v>
      </c>
      <c r="N5833" s="15" t="s">
        <v>22173</v>
      </c>
      <c r="O5833" s="15"/>
      <c r="P5833" s="15"/>
      <c r="Q5833" s="15"/>
      <c r="R5833" s="422"/>
      <c r="S5833" s="15"/>
      <c r="T5833" s="15"/>
      <c r="U5833" s="15"/>
      <c r="V5833" s="15"/>
      <c r="W5833" s="15"/>
      <c r="X5833" s="15"/>
      <c r="Y5833" s="15"/>
      <c r="Z5833" s="15"/>
      <c r="AA5833" s="15"/>
    </row>
    <row r="5834">
      <c r="A5834" s="480">
        <v>43862.0</v>
      </c>
      <c r="B5834" s="15" t="s">
        <v>22174</v>
      </c>
      <c r="C5834" s="14" t="s">
        <v>22175</v>
      </c>
      <c r="D5834" s="14"/>
      <c r="E5834" s="14" t="s">
        <v>18086</v>
      </c>
      <c r="F5834" s="433"/>
      <c r="G5834" s="434"/>
      <c r="H5834" s="14"/>
      <c r="I5834" s="423"/>
      <c r="J5834" s="14"/>
      <c r="K5834" s="13"/>
      <c r="L5834" s="13"/>
      <c r="M5834" s="14"/>
      <c r="N5834" s="15"/>
      <c r="O5834" s="15"/>
      <c r="P5834" s="15"/>
      <c r="Q5834" s="15"/>
      <c r="R5834" s="422"/>
      <c r="S5834" s="15"/>
      <c r="T5834" s="15"/>
      <c r="U5834" s="15"/>
      <c r="V5834" s="15"/>
      <c r="W5834" s="15"/>
      <c r="X5834" s="15"/>
      <c r="Y5834" s="15"/>
      <c r="Z5834" s="15"/>
      <c r="AA5834" s="15"/>
    </row>
    <row r="5835">
      <c r="A5835" s="480">
        <v>43862.0</v>
      </c>
      <c r="B5835" s="15" t="s">
        <v>22176</v>
      </c>
      <c r="C5835" s="14" t="s">
        <v>17946</v>
      </c>
      <c r="D5835" s="14"/>
      <c r="E5835" s="14" t="s">
        <v>22177</v>
      </c>
      <c r="F5835" s="433" t="s">
        <v>22143</v>
      </c>
      <c r="G5835" s="434"/>
      <c r="H5835" s="14" t="s">
        <v>22178</v>
      </c>
      <c r="I5835" s="423"/>
      <c r="J5835" s="14" t="s">
        <v>22179</v>
      </c>
      <c r="K5835" s="13"/>
      <c r="L5835" s="13"/>
      <c r="M5835" s="14" t="s">
        <v>22180</v>
      </c>
      <c r="N5835" s="15" t="s">
        <v>22181</v>
      </c>
      <c r="O5835" s="15"/>
      <c r="P5835" s="15"/>
      <c r="Q5835" s="15"/>
      <c r="R5835" s="422"/>
      <c r="S5835" s="15"/>
      <c r="T5835" s="15"/>
      <c r="U5835" s="15"/>
      <c r="V5835" s="15"/>
      <c r="W5835" s="15"/>
      <c r="X5835" s="15"/>
      <c r="Y5835" s="15"/>
      <c r="Z5835" s="15"/>
      <c r="AA5835" s="15"/>
    </row>
    <row r="5836">
      <c r="A5836" s="495">
        <v>43831.0</v>
      </c>
      <c r="B5836" s="14" t="s">
        <v>22182</v>
      </c>
      <c r="C5836" s="14" t="s">
        <v>22183</v>
      </c>
      <c r="D5836" s="14"/>
      <c r="E5836" s="14" t="s">
        <v>22184</v>
      </c>
      <c r="F5836" s="433" t="s">
        <v>22185</v>
      </c>
      <c r="G5836" s="434"/>
      <c r="H5836" s="14" t="s">
        <v>6670</v>
      </c>
      <c r="I5836" s="496"/>
      <c r="J5836" s="14" t="s">
        <v>22186</v>
      </c>
      <c r="K5836" s="13"/>
      <c r="L5836" s="13"/>
      <c r="M5836" s="14" t="s">
        <v>21380</v>
      </c>
      <c r="N5836" s="15" t="s">
        <v>22187</v>
      </c>
      <c r="O5836" s="15"/>
      <c r="P5836" s="15"/>
      <c r="Q5836" s="15"/>
      <c r="R5836" s="422"/>
      <c r="S5836" s="15"/>
      <c r="T5836" s="15"/>
      <c r="U5836" s="15"/>
      <c r="V5836" s="15"/>
      <c r="W5836" s="15"/>
      <c r="X5836" s="15"/>
      <c r="Y5836" s="15"/>
      <c r="Z5836" s="15"/>
      <c r="AA5836" s="15"/>
    </row>
    <row r="5837">
      <c r="A5837" s="495">
        <v>43831.0</v>
      </c>
      <c r="B5837" s="14" t="s">
        <v>22188</v>
      </c>
      <c r="C5837" s="14" t="s">
        <v>22189</v>
      </c>
      <c r="D5837" s="14"/>
      <c r="E5837" s="14" t="s">
        <v>22190</v>
      </c>
      <c r="F5837" s="433" t="s">
        <v>18673</v>
      </c>
      <c r="G5837" s="434"/>
      <c r="H5837" s="14" t="s">
        <v>2478</v>
      </c>
      <c r="I5837" s="496"/>
      <c r="J5837" s="14" t="s">
        <v>17976</v>
      </c>
      <c r="K5837" s="13"/>
      <c r="L5837" s="13"/>
      <c r="M5837" s="14" t="s">
        <v>18873</v>
      </c>
      <c r="N5837" s="15" t="s">
        <v>22191</v>
      </c>
      <c r="O5837" s="15"/>
      <c r="P5837" s="15"/>
      <c r="Q5837" s="15"/>
      <c r="R5837" s="422"/>
      <c r="S5837" s="15"/>
      <c r="T5837" s="15"/>
      <c r="U5837" s="15"/>
      <c r="V5837" s="15"/>
      <c r="W5837" s="15"/>
      <c r="X5837" s="15"/>
      <c r="Y5837" s="15"/>
      <c r="Z5837" s="15"/>
      <c r="AA5837" s="15"/>
    </row>
    <row r="5838">
      <c r="A5838" s="497">
        <v>43831.0</v>
      </c>
      <c r="B5838" s="487" t="s">
        <v>22192</v>
      </c>
      <c r="C5838" s="487" t="s">
        <v>22193</v>
      </c>
      <c r="D5838" s="487"/>
      <c r="E5838" s="487" t="s">
        <v>4085</v>
      </c>
      <c r="F5838" s="488" t="s">
        <v>20334</v>
      </c>
      <c r="G5838" s="489"/>
      <c r="H5838" s="487" t="s">
        <v>930</v>
      </c>
      <c r="I5838" s="498"/>
      <c r="J5838" s="487" t="s">
        <v>17976</v>
      </c>
      <c r="K5838" s="491"/>
      <c r="L5838" s="491"/>
      <c r="M5838" s="487" t="s">
        <v>7718</v>
      </c>
      <c r="N5838" s="486" t="s">
        <v>22194</v>
      </c>
      <c r="O5838" s="15"/>
      <c r="P5838" s="15"/>
      <c r="Q5838" s="15"/>
      <c r="R5838" s="422"/>
      <c r="S5838" s="15"/>
      <c r="T5838" s="15"/>
      <c r="U5838" s="15"/>
      <c r="V5838" s="15"/>
      <c r="W5838" s="15"/>
      <c r="X5838" s="15"/>
      <c r="Y5838" s="15"/>
      <c r="Z5838" s="15"/>
      <c r="AA5838" s="15"/>
    </row>
    <row r="5839">
      <c r="A5839" s="495">
        <v>43831.0</v>
      </c>
      <c r="B5839" s="14" t="s">
        <v>22195</v>
      </c>
      <c r="C5839" s="14" t="s">
        <v>22196</v>
      </c>
      <c r="D5839" s="14"/>
      <c r="E5839" s="14" t="s">
        <v>3073</v>
      </c>
      <c r="F5839" s="433" t="s">
        <v>21059</v>
      </c>
      <c r="G5839" s="434"/>
      <c r="H5839" s="14"/>
      <c r="I5839" s="496"/>
      <c r="J5839" s="14"/>
      <c r="K5839" s="13"/>
      <c r="L5839" s="13"/>
      <c r="M5839" s="14"/>
      <c r="N5839" s="15"/>
      <c r="O5839" s="15"/>
      <c r="P5839" s="15"/>
      <c r="Q5839" s="15"/>
      <c r="R5839" s="422"/>
      <c r="S5839" s="15"/>
      <c r="T5839" s="15"/>
      <c r="U5839" s="15"/>
      <c r="V5839" s="15"/>
      <c r="W5839" s="15"/>
      <c r="X5839" s="15"/>
      <c r="Y5839" s="15"/>
      <c r="Z5839" s="15"/>
      <c r="AA5839" s="15"/>
    </row>
    <row r="5840">
      <c r="A5840" s="495">
        <v>43831.0</v>
      </c>
      <c r="B5840" s="14" t="s">
        <v>22197</v>
      </c>
      <c r="C5840" s="14" t="s">
        <v>8198</v>
      </c>
      <c r="D5840" s="14"/>
      <c r="E5840" s="14" t="s">
        <v>3489</v>
      </c>
      <c r="F5840" s="433" t="s">
        <v>19339</v>
      </c>
      <c r="G5840" s="434"/>
      <c r="H5840" s="14" t="s">
        <v>2026</v>
      </c>
      <c r="I5840" s="496"/>
      <c r="J5840" s="14" t="s">
        <v>22198</v>
      </c>
      <c r="K5840" s="13"/>
      <c r="L5840" s="13"/>
      <c r="M5840" s="14" t="s">
        <v>9879</v>
      </c>
      <c r="N5840" s="15" t="s">
        <v>22199</v>
      </c>
      <c r="O5840" s="15"/>
      <c r="P5840" s="15"/>
      <c r="Q5840" s="15"/>
      <c r="R5840" s="422"/>
      <c r="S5840" s="15"/>
      <c r="T5840" s="15"/>
      <c r="U5840" s="15"/>
      <c r="V5840" s="15"/>
      <c r="W5840" s="15"/>
      <c r="X5840" s="15"/>
      <c r="Y5840" s="15"/>
      <c r="Z5840" s="15"/>
      <c r="AA5840" s="15"/>
    </row>
    <row r="5841">
      <c r="A5841" s="495">
        <v>43831.0</v>
      </c>
      <c r="B5841" s="14" t="s">
        <v>22200</v>
      </c>
      <c r="C5841" s="14" t="s">
        <v>22201</v>
      </c>
      <c r="D5841" s="14"/>
      <c r="E5841" s="14" t="s">
        <v>116</v>
      </c>
      <c r="F5841" s="433" t="s">
        <v>20348</v>
      </c>
      <c r="G5841" s="434"/>
      <c r="H5841" s="14" t="s">
        <v>5667</v>
      </c>
      <c r="I5841" s="496"/>
      <c r="J5841" s="14" t="s">
        <v>17976</v>
      </c>
      <c r="K5841" s="13"/>
      <c r="L5841" s="13"/>
      <c r="M5841" s="14" t="s">
        <v>20803</v>
      </c>
      <c r="N5841" s="15" t="s">
        <v>22202</v>
      </c>
      <c r="O5841" s="15"/>
      <c r="P5841" s="15"/>
      <c r="Q5841" s="15"/>
      <c r="R5841" s="422"/>
      <c r="S5841" s="15"/>
      <c r="T5841" s="15"/>
      <c r="U5841" s="15"/>
      <c r="V5841" s="15"/>
      <c r="W5841" s="15"/>
      <c r="X5841" s="15"/>
      <c r="Y5841" s="15"/>
      <c r="Z5841" s="15"/>
      <c r="AA5841" s="15"/>
    </row>
    <row r="5842">
      <c r="A5842" s="495">
        <v>43831.0</v>
      </c>
      <c r="B5842" s="14" t="s">
        <v>22203</v>
      </c>
      <c r="C5842" s="14" t="s">
        <v>22204</v>
      </c>
      <c r="D5842" s="14"/>
      <c r="E5842" s="14" t="s">
        <v>92</v>
      </c>
      <c r="F5842" s="433" t="s">
        <v>21065</v>
      </c>
      <c r="G5842" s="434"/>
      <c r="H5842" s="14" t="s">
        <v>22205</v>
      </c>
      <c r="I5842" s="496"/>
      <c r="J5842" s="14" t="s">
        <v>17976</v>
      </c>
      <c r="K5842" s="13"/>
      <c r="L5842" s="13"/>
      <c r="M5842" s="14" t="s">
        <v>22206</v>
      </c>
      <c r="N5842" s="15" t="s">
        <v>22207</v>
      </c>
      <c r="O5842" s="15"/>
      <c r="P5842" s="15"/>
      <c r="Q5842" s="15"/>
      <c r="R5842" s="422"/>
      <c r="S5842" s="15"/>
      <c r="T5842" s="15"/>
      <c r="U5842" s="15"/>
      <c r="V5842" s="15"/>
      <c r="W5842" s="15"/>
      <c r="X5842" s="15"/>
      <c r="Y5842" s="15"/>
      <c r="Z5842" s="15"/>
      <c r="AA5842" s="15"/>
    </row>
    <row r="5843">
      <c r="A5843" s="495">
        <v>43831.0</v>
      </c>
      <c r="B5843" s="14" t="s">
        <v>22208</v>
      </c>
      <c r="C5843" s="14" t="s">
        <v>22209</v>
      </c>
      <c r="D5843" s="14"/>
      <c r="E5843" s="14" t="s">
        <v>523</v>
      </c>
      <c r="F5843" s="433" t="s">
        <v>20284</v>
      </c>
      <c r="G5843" s="434"/>
      <c r="H5843" s="14"/>
      <c r="I5843" s="496"/>
      <c r="J5843" s="14"/>
      <c r="K5843" s="13"/>
      <c r="L5843" s="13"/>
      <c r="M5843" s="14" t="s">
        <v>9034</v>
      </c>
      <c r="N5843" s="15" t="s">
        <v>22210</v>
      </c>
      <c r="O5843" s="15"/>
      <c r="P5843" s="15"/>
      <c r="Q5843" s="15"/>
      <c r="R5843" s="422"/>
      <c r="S5843" s="15"/>
      <c r="T5843" s="15"/>
      <c r="U5843" s="15"/>
      <c r="V5843" s="15"/>
      <c r="W5843" s="15"/>
      <c r="X5843" s="15"/>
      <c r="Y5843" s="15"/>
      <c r="Z5843" s="15"/>
      <c r="AA5843" s="15"/>
    </row>
    <row r="5844">
      <c r="A5844" s="495">
        <v>43831.0</v>
      </c>
      <c r="B5844" s="14" t="s">
        <v>22211</v>
      </c>
      <c r="C5844" s="14" t="s">
        <v>22212</v>
      </c>
      <c r="D5844" s="14"/>
      <c r="E5844" s="14" t="s">
        <v>22213</v>
      </c>
      <c r="F5844" s="433" t="s">
        <v>20318</v>
      </c>
      <c r="G5844" s="434"/>
      <c r="H5844" s="14" t="s">
        <v>507</v>
      </c>
      <c r="I5844" s="496"/>
      <c r="J5844" s="14" t="s">
        <v>17976</v>
      </c>
      <c r="K5844" s="13"/>
      <c r="L5844" s="13"/>
      <c r="M5844" s="14" t="s">
        <v>20076</v>
      </c>
      <c r="N5844" s="15" t="s">
        <v>22214</v>
      </c>
      <c r="O5844" s="15"/>
      <c r="P5844" s="15"/>
      <c r="Q5844" s="15"/>
      <c r="R5844" s="422"/>
      <c r="S5844" s="15"/>
      <c r="T5844" s="15"/>
      <c r="U5844" s="15"/>
      <c r="V5844" s="15"/>
      <c r="W5844" s="15"/>
      <c r="X5844" s="15"/>
      <c r="Y5844" s="15"/>
      <c r="Z5844" s="15"/>
      <c r="AA5844" s="15"/>
    </row>
    <row r="5845">
      <c r="A5845" s="495">
        <v>43831.0</v>
      </c>
      <c r="B5845" s="14" t="s">
        <v>22215</v>
      </c>
      <c r="C5845" s="14" t="s">
        <v>22216</v>
      </c>
      <c r="D5845" s="14"/>
      <c r="E5845" s="14" t="s">
        <v>22217</v>
      </c>
      <c r="F5845" s="433"/>
      <c r="G5845" s="434"/>
      <c r="H5845" s="14"/>
      <c r="I5845" s="496"/>
      <c r="J5845" s="14"/>
      <c r="K5845" s="13"/>
      <c r="L5845" s="13"/>
      <c r="M5845" s="14"/>
      <c r="N5845" s="15"/>
      <c r="O5845" s="15"/>
      <c r="P5845" s="15"/>
      <c r="Q5845" s="15"/>
      <c r="R5845" s="422"/>
      <c r="S5845" s="15"/>
      <c r="T5845" s="15"/>
      <c r="U5845" s="15"/>
      <c r="V5845" s="15"/>
      <c r="W5845" s="15"/>
      <c r="X5845" s="15"/>
      <c r="Y5845" s="15"/>
      <c r="Z5845" s="15"/>
      <c r="AA5845" s="15"/>
    </row>
    <row r="5846">
      <c r="A5846" s="495">
        <v>43831.0</v>
      </c>
      <c r="B5846" s="14" t="s">
        <v>22218</v>
      </c>
      <c r="C5846" s="14" t="s">
        <v>2880</v>
      </c>
      <c r="D5846" s="14"/>
      <c r="E5846" s="14" t="s">
        <v>9283</v>
      </c>
      <c r="F5846" s="433"/>
      <c r="G5846" s="434"/>
      <c r="H5846" s="14"/>
      <c r="I5846" s="496"/>
      <c r="J5846" s="14"/>
      <c r="K5846" s="13"/>
      <c r="L5846" s="13"/>
      <c r="M5846" s="14"/>
      <c r="N5846" s="15"/>
      <c r="O5846" s="15"/>
      <c r="P5846" s="15"/>
      <c r="Q5846" s="15"/>
      <c r="R5846" s="422"/>
      <c r="S5846" s="15"/>
      <c r="T5846" s="15"/>
      <c r="U5846" s="15"/>
      <c r="V5846" s="15"/>
      <c r="W5846" s="15"/>
      <c r="X5846" s="15"/>
      <c r="Y5846" s="15"/>
      <c r="Z5846" s="15"/>
      <c r="AA5846" s="15"/>
    </row>
    <row r="5847">
      <c r="A5847" s="495">
        <v>43831.0</v>
      </c>
      <c r="B5847" s="14" t="s">
        <v>22219</v>
      </c>
      <c r="C5847" s="14" t="s">
        <v>22220</v>
      </c>
      <c r="D5847" s="14"/>
      <c r="E5847" s="14" t="s">
        <v>501</v>
      </c>
      <c r="F5847" s="433" t="s">
        <v>20392</v>
      </c>
      <c r="G5847" s="434"/>
      <c r="H5847" s="14" t="s">
        <v>1640</v>
      </c>
      <c r="I5847" s="496"/>
      <c r="J5847" s="14" t="s">
        <v>22033</v>
      </c>
      <c r="K5847" s="13"/>
      <c r="L5847" s="13"/>
      <c r="M5847" s="14" t="s">
        <v>14925</v>
      </c>
      <c r="N5847" s="15" t="s">
        <v>22221</v>
      </c>
      <c r="O5847" s="15"/>
      <c r="P5847" s="15"/>
      <c r="Q5847" s="15"/>
      <c r="R5847" s="422"/>
      <c r="S5847" s="15"/>
      <c r="T5847" s="15"/>
      <c r="U5847" s="15"/>
      <c r="V5847" s="15"/>
      <c r="W5847" s="15"/>
      <c r="X5847" s="15"/>
      <c r="Y5847" s="15"/>
      <c r="Z5847" s="15"/>
      <c r="AA5847" s="15"/>
    </row>
    <row r="5848">
      <c r="A5848" s="495">
        <v>43831.0</v>
      </c>
      <c r="B5848" s="14" t="s">
        <v>22222</v>
      </c>
      <c r="C5848" s="14" t="s">
        <v>22223</v>
      </c>
      <c r="D5848" s="14"/>
      <c r="E5848" s="14" t="s">
        <v>523</v>
      </c>
      <c r="F5848" s="433" t="s">
        <v>20771</v>
      </c>
      <c r="G5848" s="434"/>
      <c r="H5848" s="14"/>
      <c r="I5848" s="496"/>
      <c r="J5848" s="14"/>
      <c r="K5848" s="13"/>
      <c r="L5848" s="13"/>
      <c r="M5848" s="14" t="s">
        <v>7965</v>
      </c>
      <c r="N5848" s="15" t="s">
        <v>22224</v>
      </c>
      <c r="O5848" s="15"/>
      <c r="P5848" s="15"/>
      <c r="Q5848" s="15"/>
      <c r="R5848" s="422"/>
      <c r="S5848" s="15"/>
      <c r="T5848" s="15"/>
      <c r="U5848" s="15"/>
      <c r="V5848" s="15"/>
      <c r="W5848" s="15"/>
      <c r="X5848" s="15"/>
      <c r="Y5848" s="15"/>
      <c r="Z5848" s="15"/>
      <c r="AA5848" s="15"/>
    </row>
    <row r="5849">
      <c r="A5849" s="495">
        <v>43831.0</v>
      </c>
      <c r="B5849" s="14" t="s">
        <v>22225</v>
      </c>
      <c r="C5849" s="14" t="s">
        <v>18012</v>
      </c>
      <c r="D5849" s="14"/>
      <c r="E5849" s="14" t="s">
        <v>152</v>
      </c>
      <c r="F5849" s="433" t="s">
        <v>20322</v>
      </c>
      <c r="G5849" s="434"/>
      <c r="H5849" s="14"/>
      <c r="I5849" s="496"/>
      <c r="J5849" s="14"/>
      <c r="K5849" s="13"/>
      <c r="L5849" s="13"/>
      <c r="M5849" s="14" t="s">
        <v>9983</v>
      </c>
      <c r="N5849" s="15" t="s">
        <v>22226</v>
      </c>
      <c r="O5849" s="15"/>
      <c r="P5849" s="15"/>
      <c r="Q5849" s="15"/>
      <c r="R5849" s="422"/>
      <c r="S5849" s="15"/>
      <c r="T5849" s="15"/>
      <c r="U5849" s="15"/>
      <c r="V5849" s="15"/>
      <c r="W5849" s="15"/>
      <c r="X5849" s="15"/>
      <c r="Y5849" s="15"/>
      <c r="Z5849" s="15"/>
      <c r="AA5849" s="15"/>
    </row>
    <row r="5850">
      <c r="A5850" s="495">
        <v>43831.0</v>
      </c>
      <c r="B5850" s="14" t="s">
        <v>22227</v>
      </c>
      <c r="C5850" s="14" t="s">
        <v>1992</v>
      </c>
      <c r="D5850" s="14"/>
      <c r="E5850" s="14" t="s">
        <v>6760</v>
      </c>
      <c r="F5850" s="433" t="s">
        <v>21059</v>
      </c>
      <c r="G5850" s="434"/>
      <c r="H5850" s="14"/>
      <c r="I5850" s="496"/>
      <c r="J5850" s="14"/>
      <c r="K5850" s="13"/>
      <c r="L5850" s="13"/>
      <c r="M5850" s="14"/>
      <c r="N5850" s="15"/>
      <c r="O5850" s="15"/>
      <c r="P5850" s="15"/>
      <c r="Q5850" s="15"/>
      <c r="R5850" s="422"/>
      <c r="S5850" s="15"/>
      <c r="T5850" s="15"/>
      <c r="U5850" s="15"/>
      <c r="V5850" s="15"/>
      <c r="W5850" s="15"/>
      <c r="X5850" s="15"/>
      <c r="Y5850" s="15"/>
      <c r="Z5850" s="15"/>
      <c r="AA5850" s="15"/>
    </row>
    <row r="5851">
      <c r="A5851" s="495">
        <v>43831.0</v>
      </c>
      <c r="B5851" s="14" t="s">
        <v>22228</v>
      </c>
      <c r="C5851" s="14" t="s">
        <v>22229</v>
      </c>
      <c r="D5851" s="14"/>
      <c r="E5851" s="14" t="s">
        <v>19626</v>
      </c>
      <c r="F5851" s="433" t="s">
        <v>18673</v>
      </c>
      <c r="G5851" s="434"/>
      <c r="H5851" s="14" t="s">
        <v>8263</v>
      </c>
      <c r="I5851" s="496"/>
      <c r="J5851" s="14" t="s">
        <v>17976</v>
      </c>
      <c r="K5851" s="13"/>
      <c r="L5851" s="13"/>
      <c r="M5851" s="14"/>
      <c r="N5851" s="15"/>
      <c r="O5851" s="15"/>
      <c r="P5851" s="15"/>
      <c r="Q5851" s="15"/>
      <c r="R5851" s="422"/>
      <c r="S5851" s="15"/>
      <c r="T5851" s="15"/>
      <c r="U5851" s="15"/>
      <c r="V5851" s="15"/>
      <c r="W5851" s="15"/>
      <c r="X5851" s="15"/>
      <c r="Y5851" s="15"/>
      <c r="Z5851" s="15"/>
      <c r="AA5851" s="15"/>
    </row>
    <row r="5852">
      <c r="A5852" s="495">
        <v>43831.0</v>
      </c>
      <c r="B5852" s="14" t="s">
        <v>22230</v>
      </c>
      <c r="C5852" s="14" t="s">
        <v>22231</v>
      </c>
      <c r="D5852" s="14"/>
      <c r="E5852" s="14" t="s">
        <v>213</v>
      </c>
      <c r="F5852" s="433"/>
      <c r="G5852" s="434"/>
      <c r="H5852" s="14"/>
      <c r="I5852" s="496"/>
      <c r="J5852" s="14"/>
      <c r="K5852" s="13"/>
      <c r="L5852" s="13"/>
      <c r="M5852" s="14"/>
      <c r="N5852" s="15"/>
      <c r="O5852" s="15"/>
      <c r="P5852" s="15"/>
      <c r="Q5852" s="15"/>
      <c r="R5852" s="422"/>
      <c r="S5852" s="15"/>
      <c r="T5852" s="15"/>
      <c r="U5852" s="15"/>
      <c r="V5852" s="15"/>
      <c r="W5852" s="15"/>
      <c r="X5852" s="15"/>
      <c r="Y5852" s="15"/>
      <c r="Z5852" s="15"/>
      <c r="AA5852" s="15"/>
    </row>
    <row r="5853">
      <c r="A5853" s="495">
        <v>43831.0</v>
      </c>
      <c r="B5853" s="14" t="s">
        <v>22232</v>
      </c>
      <c r="C5853" s="14" t="s">
        <v>22233</v>
      </c>
      <c r="D5853" s="14"/>
      <c r="E5853" s="14" t="s">
        <v>22234</v>
      </c>
      <c r="F5853" s="433" t="s">
        <v>21059</v>
      </c>
      <c r="G5853" s="434"/>
      <c r="H5853" s="14"/>
      <c r="I5853" s="496"/>
      <c r="J5853" s="14"/>
      <c r="K5853" s="13"/>
      <c r="L5853" s="13"/>
      <c r="M5853" s="14"/>
      <c r="N5853" s="15"/>
      <c r="O5853" s="15"/>
      <c r="P5853" s="15"/>
      <c r="Q5853" s="15"/>
      <c r="R5853" s="422"/>
      <c r="S5853" s="15"/>
      <c r="T5853" s="15"/>
      <c r="U5853" s="15"/>
      <c r="V5853" s="15"/>
      <c r="W5853" s="15"/>
      <c r="X5853" s="15"/>
      <c r="Y5853" s="15"/>
      <c r="Z5853" s="15"/>
      <c r="AA5853" s="15"/>
    </row>
    <row r="5854">
      <c r="A5854" s="495">
        <v>43831.0</v>
      </c>
      <c r="B5854" s="14" t="s">
        <v>22235</v>
      </c>
      <c r="C5854" s="14" t="s">
        <v>2880</v>
      </c>
      <c r="D5854" s="14"/>
      <c r="E5854" s="14" t="s">
        <v>6760</v>
      </c>
      <c r="F5854" s="433" t="s">
        <v>18673</v>
      </c>
      <c r="G5854" s="434"/>
      <c r="H5854" s="14" t="s">
        <v>2662</v>
      </c>
      <c r="I5854" s="496"/>
      <c r="J5854" s="14" t="s">
        <v>17976</v>
      </c>
      <c r="K5854" s="13"/>
      <c r="L5854" s="13"/>
      <c r="M5854" s="14" t="s">
        <v>22018</v>
      </c>
      <c r="N5854" s="15" t="s">
        <v>22236</v>
      </c>
      <c r="O5854" s="15"/>
      <c r="P5854" s="15"/>
      <c r="Q5854" s="15"/>
      <c r="R5854" s="422"/>
      <c r="S5854" s="15"/>
      <c r="T5854" s="15"/>
      <c r="U5854" s="15"/>
      <c r="V5854" s="15"/>
      <c r="W5854" s="15"/>
      <c r="X5854" s="15"/>
      <c r="Y5854" s="15"/>
      <c r="Z5854" s="15"/>
      <c r="AA5854" s="15"/>
    </row>
    <row r="5855">
      <c r="A5855" s="495">
        <v>43831.0</v>
      </c>
      <c r="B5855" s="14" t="s">
        <v>22237</v>
      </c>
      <c r="C5855" s="14" t="s">
        <v>22238</v>
      </c>
      <c r="D5855" s="14"/>
      <c r="E5855" s="14" t="s">
        <v>22239</v>
      </c>
      <c r="F5855" s="433" t="s">
        <v>20392</v>
      </c>
      <c r="G5855" s="434"/>
      <c r="H5855" s="14" t="s">
        <v>8364</v>
      </c>
      <c r="I5855" s="496"/>
      <c r="J5855" s="14" t="s">
        <v>22240</v>
      </c>
      <c r="K5855" s="13"/>
      <c r="L5855" s="13"/>
      <c r="M5855" s="14"/>
      <c r="N5855" s="15"/>
      <c r="O5855" s="15"/>
      <c r="P5855" s="15"/>
      <c r="Q5855" s="15"/>
      <c r="R5855" s="422"/>
      <c r="S5855" s="15"/>
      <c r="T5855" s="15"/>
      <c r="U5855" s="15"/>
      <c r="V5855" s="15"/>
      <c r="W5855" s="15"/>
      <c r="X5855" s="15"/>
      <c r="Y5855" s="15"/>
      <c r="Z5855" s="15"/>
      <c r="AA5855" s="15"/>
    </row>
    <row r="5856">
      <c r="A5856" s="495">
        <v>43831.0</v>
      </c>
      <c r="B5856" s="14" t="s">
        <v>22241</v>
      </c>
      <c r="C5856" s="14" t="s">
        <v>22242</v>
      </c>
      <c r="D5856" s="14"/>
      <c r="E5856" s="14" t="s">
        <v>7040</v>
      </c>
      <c r="F5856" s="433" t="s">
        <v>22243</v>
      </c>
      <c r="G5856" s="434"/>
      <c r="H5856" s="14" t="s">
        <v>467</v>
      </c>
      <c r="I5856" s="496"/>
      <c r="J5856" s="14" t="s">
        <v>17976</v>
      </c>
      <c r="K5856" s="13"/>
      <c r="L5856" s="13"/>
      <c r="M5856" s="14" t="s">
        <v>9445</v>
      </c>
      <c r="N5856" s="15" t="s">
        <v>22244</v>
      </c>
      <c r="O5856" s="15"/>
      <c r="P5856" s="15"/>
      <c r="Q5856" s="15"/>
      <c r="R5856" s="422"/>
      <c r="S5856" s="15"/>
      <c r="T5856" s="15"/>
      <c r="U5856" s="15"/>
      <c r="V5856" s="15"/>
      <c r="W5856" s="15"/>
      <c r="X5856" s="15"/>
      <c r="Y5856" s="15"/>
      <c r="Z5856" s="15"/>
      <c r="AA5856" s="15"/>
    </row>
    <row r="5857">
      <c r="A5857" s="495">
        <v>43831.0</v>
      </c>
      <c r="B5857" s="14" t="s">
        <v>22245</v>
      </c>
      <c r="C5857" s="14" t="s">
        <v>22246</v>
      </c>
      <c r="D5857" s="14"/>
      <c r="E5857" s="14" t="s">
        <v>5293</v>
      </c>
      <c r="F5857" s="433" t="s">
        <v>20436</v>
      </c>
      <c r="G5857" s="434"/>
      <c r="H5857" s="14" t="s">
        <v>44</v>
      </c>
      <c r="I5857" s="496"/>
      <c r="J5857" s="14" t="s">
        <v>9814</v>
      </c>
      <c r="K5857" s="13"/>
      <c r="L5857" s="13"/>
      <c r="M5857" s="14" t="s">
        <v>22247</v>
      </c>
      <c r="N5857" s="15" t="s">
        <v>22248</v>
      </c>
      <c r="O5857" s="15"/>
      <c r="P5857" s="15"/>
      <c r="Q5857" s="15"/>
      <c r="R5857" s="422"/>
      <c r="S5857" s="15"/>
      <c r="T5857" s="15"/>
      <c r="U5857" s="15"/>
      <c r="V5857" s="15"/>
      <c r="W5857" s="15"/>
      <c r="X5857" s="15"/>
      <c r="Y5857" s="15"/>
      <c r="Z5857" s="15"/>
      <c r="AA5857" s="15"/>
    </row>
    <row r="5858">
      <c r="A5858" s="495">
        <v>43831.0</v>
      </c>
      <c r="B5858" s="14" t="s">
        <v>22249</v>
      </c>
      <c r="C5858" s="14" t="s">
        <v>22250</v>
      </c>
      <c r="D5858" s="14"/>
      <c r="E5858" s="14" t="s">
        <v>412</v>
      </c>
      <c r="F5858" s="433" t="s">
        <v>21352</v>
      </c>
      <c r="G5858" s="434"/>
      <c r="H5858" s="14"/>
      <c r="I5858" s="496"/>
      <c r="J5858" s="14"/>
      <c r="K5858" s="13"/>
      <c r="L5858" s="13"/>
      <c r="M5858" s="14"/>
      <c r="N5858" s="15"/>
      <c r="O5858" s="15"/>
      <c r="P5858" s="15"/>
      <c r="Q5858" s="15"/>
      <c r="R5858" s="422"/>
      <c r="S5858" s="15"/>
      <c r="T5858" s="15"/>
      <c r="U5858" s="15"/>
      <c r="V5858" s="15"/>
      <c r="W5858" s="15"/>
      <c r="X5858" s="15"/>
      <c r="Y5858" s="15"/>
      <c r="Z5858" s="15"/>
      <c r="AA5858" s="15"/>
    </row>
    <row r="5859">
      <c r="A5859" s="495">
        <v>43831.0</v>
      </c>
      <c r="B5859" s="14" t="s">
        <v>22251</v>
      </c>
      <c r="C5859" s="14" t="s">
        <v>22252</v>
      </c>
      <c r="D5859" s="14"/>
      <c r="E5859" s="14" t="s">
        <v>130</v>
      </c>
      <c r="F5859" s="433" t="s">
        <v>20284</v>
      </c>
      <c r="G5859" s="434"/>
      <c r="H5859" s="14" t="s">
        <v>22253</v>
      </c>
      <c r="I5859" s="496"/>
      <c r="J5859" s="14" t="s">
        <v>17976</v>
      </c>
      <c r="K5859" s="13"/>
      <c r="L5859" s="13"/>
      <c r="M5859" s="14" t="s">
        <v>10809</v>
      </c>
      <c r="N5859" s="15" t="s">
        <v>22254</v>
      </c>
      <c r="O5859" s="15"/>
      <c r="P5859" s="15"/>
      <c r="Q5859" s="15"/>
      <c r="R5859" s="422"/>
      <c r="S5859" s="15"/>
      <c r="T5859" s="15"/>
      <c r="U5859" s="15"/>
      <c r="V5859" s="15"/>
      <c r="W5859" s="15"/>
      <c r="X5859" s="15"/>
      <c r="Y5859" s="15"/>
      <c r="Z5859" s="15"/>
      <c r="AA5859" s="15"/>
    </row>
    <row r="5860">
      <c r="A5860" s="495">
        <v>43831.0</v>
      </c>
      <c r="B5860" s="14" t="s">
        <v>22255</v>
      </c>
      <c r="C5860" s="14" t="s">
        <v>22256</v>
      </c>
      <c r="D5860" s="14"/>
      <c r="E5860" s="14" t="s">
        <v>4240</v>
      </c>
      <c r="F5860" s="433" t="s">
        <v>20392</v>
      </c>
      <c r="G5860" s="434"/>
      <c r="H5860" s="14" t="s">
        <v>742</v>
      </c>
      <c r="I5860" s="496"/>
      <c r="J5860" s="14" t="s">
        <v>20977</v>
      </c>
      <c r="K5860" s="13"/>
      <c r="L5860" s="13"/>
      <c r="M5860" s="14" t="s">
        <v>6155</v>
      </c>
      <c r="N5860" s="15" t="s">
        <v>22257</v>
      </c>
      <c r="O5860" s="15"/>
      <c r="P5860" s="15"/>
      <c r="Q5860" s="15"/>
      <c r="R5860" s="422"/>
      <c r="S5860" s="15"/>
      <c r="T5860" s="15"/>
      <c r="U5860" s="15"/>
      <c r="V5860" s="15"/>
      <c r="W5860" s="15"/>
      <c r="X5860" s="15"/>
      <c r="Y5860" s="15"/>
      <c r="Z5860" s="15"/>
      <c r="AA5860" s="15"/>
    </row>
    <row r="5862">
      <c r="A5862" s="15"/>
      <c r="B5862" s="15"/>
      <c r="C5862" s="14"/>
      <c r="D5862" s="14"/>
      <c r="E5862" s="14"/>
      <c r="F5862" s="433"/>
      <c r="G5862" s="434"/>
      <c r="H5862" s="14"/>
      <c r="I5862" s="423"/>
      <c r="J5862" s="14"/>
      <c r="K5862" s="13"/>
      <c r="L5862" s="13"/>
      <c r="M5862" s="14"/>
      <c r="N5862" s="15"/>
      <c r="O5862" s="15"/>
      <c r="P5862" s="15"/>
      <c r="Q5862" s="15"/>
      <c r="R5862" s="422"/>
      <c r="S5862" s="15"/>
      <c r="T5862" s="15"/>
      <c r="U5862" s="15"/>
      <c r="V5862" s="15"/>
      <c r="W5862" s="15"/>
      <c r="X5862" s="15"/>
      <c r="Y5862" s="15"/>
      <c r="Z5862" s="15"/>
      <c r="AA5862" s="15"/>
    </row>
    <row r="5863">
      <c r="A5863" s="15"/>
      <c r="B5863" s="15"/>
      <c r="C5863" s="14"/>
      <c r="D5863" s="14"/>
      <c r="E5863" s="14"/>
      <c r="F5863" s="433"/>
      <c r="G5863" s="434"/>
      <c r="H5863" s="14"/>
      <c r="I5863" s="423"/>
      <c r="J5863" s="14"/>
      <c r="K5863" s="13"/>
      <c r="L5863" s="13"/>
      <c r="M5863" s="14"/>
      <c r="N5863" s="15"/>
      <c r="O5863" s="15"/>
      <c r="P5863" s="15"/>
      <c r="Q5863" s="15"/>
      <c r="R5863" s="422"/>
      <c r="S5863" s="15"/>
      <c r="T5863" s="15"/>
      <c r="U5863" s="15"/>
      <c r="V5863" s="15"/>
      <c r="W5863" s="15"/>
      <c r="X5863" s="15"/>
      <c r="Y5863" s="15"/>
      <c r="Z5863" s="15"/>
      <c r="AA5863" s="15"/>
    </row>
    <row r="5864">
      <c r="A5864" s="15"/>
      <c r="B5864" s="15"/>
      <c r="C5864" s="14"/>
      <c r="D5864" s="14"/>
      <c r="E5864" s="14"/>
      <c r="F5864" s="433"/>
      <c r="G5864" s="434"/>
      <c r="H5864" s="14"/>
      <c r="I5864" s="423"/>
      <c r="J5864" s="14"/>
      <c r="K5864" s="13"/>
      <c r="L5864" s="13"/>
      <c r="M5864" s="14"/>
      <c r="N5864" s="15"/>
      <c r="O5864" s="15"/>
      <c r="P5864" s="15"/>
      <c r="Q5864" s="15"/>
      <c r="R5864" s="422"/>
      <c r="S5864" s="15"/>
      <c r="T5864" s="15"/>
      <c r="U5864" s="15"/>
      <c r="V5864" s="15"/>
      <c r="W5864" s="15"/>
      <c r="X5864" s="15"/>
      <c r="Y5864" s="15"/>
      <c r="Z5864" s="15"/>
      <c r="AA5864" s="15"/>
    </row>
    <row r="5865">
      <c r="A5865" s="15"/>
      <c r="B5865" s="15"/>
      <c r="C5865" s="14"/>
      <c r="D5865" s="14"/>
      <c r="E5865" s="14"/>
      <c r="F5865" s="433"/>
      <c r="G5865" s="434"/>
      <c r="H5865" s="14"/>
      <c r="I5865" s="423"/>
      <c r="J5865" s="14"/>
      <c r="K5865" s="13"/>
      <c r="L5865" s="13"/>
      <c r="M5865" s="14"/>
      <c r="N5865" s="15"/>
      <c r="O5865" s="15"/>
      <c r="P5865" s="15"/>
      <c r="Q5865" s="15"/>
      <c r="R5865" s="422"/>
      <c r="S5865" s="15"/>
      <c r="T5865" s="15"/>
      <c r="U5865" s="15"/>
      <c r="V5865" s="15"/>
      <c r="W5865" s="15"/>
      <c r="X5865" s="15"/>
      <c r="Y5865" s="15"/>
      <c r="Z5865" s="15"/>
      <c r="AA5865" s="15"/>
    </row>
    <row r="5866">
      <c r="A5866" s="15"/>
      <c r="B5866" s="15"/>
      <c r="C5866" s="14"/>
      <c r="D5866" s="14"/>
      <c r="E5866" s="14"/>
      <c r="F5866" s="433"/>
      <c r="G5866" s="434"/>
      <c r="H5866" s="14"/>
      <c r="I5866" s="423"/>
      <c r="J5866" s="14"/>
      <c r="K5866" s="13"/>
      <c r="L5866" s="13"/>
      <c r="M5866" s="14"/>
      <c r="N5866" s="15"/>
      <c r="O5866" s="15"/>
      <c r="P5866" s="15"/>
      <c r="Q5866" s="15"/>
      <c r="R5866" s="422"/>
      <c r="S5866" s="15"/>
      <c r="T5866" s="15"/>
      <c r="U5866" s="15"/>
      <c r="V5866" s="15"/>
      <c r="W5866" s="15"/>
      <c r="X5866" s="15"/>
      <c r="Y5866" s="15"/>
      <c r="Z5866" s="15"/>
      <c r="AA5866" s="15"/>
    </row>
    <row r="5867">
      <c r="A5867" s="15"/>
      <c r="B5867" s="15"/>
      <c r="C5867" s="14"/>
      <c r="D5867" s="14"/>
      <c r="E5867" s="14"/>
      <c r="F5867" s="433"/>
      <c r="G5867" s="434"/>
      <c r="H5867" s="14"/>
      <c r="I5867" s="423"/>
      <c r="J5867" s="14"/>
      <c r="K5867" s="13"/>
      <c r="L5867" s="13"/>
      <c r="M5867" s="14"/>
      <c r="N5867" s="15"/>
      <c r="O5867" s="15"/>
      <c r="P5867" s="15"/>
      <c r="Q5867" s="15"/>
      <c r="R5867" s="422"/>
      <c r="S5867" s="15"/>
      <c r="T5867" s="15"/>
      <c r="U5867" s="15"/>
      <c r="V5867" s="15"/>
      <c r="W5867" s="15"/>
      <c r="X5867" s="15"/>
      <c r="Y5867" s="15"/>
      <c r="Z5867" s="15"/>
      <c r="AA5867" s="15"/>
    </row>
    <row r="5868">
      <c r="A5868" s="15"/>
      <c r="B5868" s="15"/>
      <c r="C5868" s="14"/>
      <c r="D5868" s="14"/>
      <c r="E5868" s="14"/>
      <c r="F5868" s="433"/>
      <c r="G5868" s="434"/>
      <c r="H5868" s="14"/>
      <c r="I5868" s="423"/>
      <c r="J5868" s="14"/>
      <c r="K5868" s="13"/>
      <c r="L5868" s="13"/>
      <c r="M5868" s="14"/>
      <c r="N5868" s="15"/>
      <c r="O5868" s="15"/>
      <c r="P5868" s="15"/>
      <c r="Q5868" s="15"/>
      <c r="R5868" s="422"/>
      <c r="S5868" s="15"/>
      <c r="T5868" s="15"/>
      <c r="U5868" s="15"/>
      <c r="V5868" s="15"/>
      <c r="W5868" s="15"/>
      <c r="X5868" s="15"/>
      <c r="Y5868" s="15"/>
      <c r="Z5868" s="15"/>
      <c r="AA5868" s="15"/>
    </row>
    <row r="5869">
      <c r="A5869" s="15"/>
      <c r="B5869" s="15"/>
      <c r="C5869" s="14"/>
      <c r="D5869" s="14"/>
      <c r="E5869" s="14"/>
      <c r="F5869" s="433"/>
      <c r="G5869" s="434"/>
      <c r="H5869" s="14"/>
      <c r="I5869" s="423"/>
      <c r="J5869" s="14"/>
      <c r="K5869" s="13"/>
      <c r="L5869" s="13"/>
      <c r="M5869" s="14"/>
      <c r="N5869" s="15"/>
      <c r="O5869" s="15"/>
      <c r="P5869" s="15"/>
      <c r="Q5869" s="15"/>
      <c r="R5869" s="422"/>
      <c r="S5869" s="15"/>
      <c r="T5869" s="15"/>
      <c r="U5869" s="15"/>
      <c r="V5869" s="15"/>
      <c r="W5869" s="15"/>
      <c r="X5869" s="15"/>
      <c r="Y5869" s="15"/>
      <c r="Z5869" s="15"/>
      <c r="AA5869" s="15"/>
    </row>
    <row r="5870">
      <c r="A5870" s="15"/>
      <c r="B5870" s="15"/>
      <c r="C5870" s="14"/>
      <c r="D5870" s="14"/>
      <c r="E5870" s="14"/>
      <c r="F5870" s="433"/>
      <c r="G5870" s="434"/>
      <c r="H5870" s="14"/>
      <c r="I5870" s="423"/>
      <c r="J5870" s="14"/>
      <c r="K5870" s="13"/>
      <c r="L5870" s="13"/>
      <c r="M5870" s="14"/>
      <c r="N5870" s="15"/>
      <c r="O5870" s="15"/>
      <c r="P5870" s="15"/>
      <c r="Q5870" s="15"/>
      <c r="R5870" s="422"/>
      <c r="S5870" s="15"/>
      <c r="T5870" s="15"/>
      <c r="U5870" s="15"/>
      <c r="V5870" s="15"/>
      <c r="W5870" s="15"/>
      <c r="X5870" s="15"/>
      <c r="Y5870" s="15"/>
      <c r="Z5870" s="15"/>
      <c r="AA5870" s="15"/>
    </row>
    <row r="5871">
      <c r="A5871" s="15"/>
      <c r="B5871" s="15"/>
      <c r="C5871" s="14"/>
      <c r="D5871" s="14"/>
      <c r="E5871" s="14"/>
      <c r="F5871" s="433"/>
      <c r="G5871" s="434"/>
      <c r="H5871" s="14"/>
      <c r="I5871" s="423"/>
      <c r="J5871" s="14"/>
      <c r="K5871" s="13"/>
      <c r="L5871" s="13"/>
      <c r="M5871" s="14"/>
      <c r="N5871" s="15"/>
      <c r="O5871" s="15"/>
      <c r="P5871" s="15"/>
      <c r="Q5871" s="15"/>
      <c r="R5871" s="422"/>
      <c r="S5871" s="15"/>
      <c r="T5871" s="15"/>
      <c r="U5871" s="15"/>
      <c r="V5871" s="15"/>
      <c r="W5871" s="15"/>
      <c r="X5871" s="15"/>
      <c r="Y5871" s="15"/>
      <c r="Z5871" s="15"/>
      <c r="AA5871" s="15"/>
    </row>
    <row r="5872">
      <c r="A5872" s="15"/>
      <c r="B5872" s="15"/>
      <c r="C5872" s="14"/>
      <c r="D5872" s="14"/>
      <c r="E5872" s="14"/>
      <c r="F5872" s="433"/>
      <c r="G5872" s="434"/>
      <c r="H5872" s="14"/>
      <c r="I5872" s="423"/>
      <c r="J5872" s="14"/>
      <c r="K5872" s="13"/>
      <c r="L5872" s="13"/>
      <c r="M5872" s="14"/>
      <c r="N5872" s="15"/>
      <c r="O5872" s="15"/>
      <c r="P5872" s="15"/>
      <c r="Q5872" s="15"/>
      <c r="R5872" s="422"/>
      <c r="S5872" s="15"/>
      <c r="T5872" s="15"/>
      <c r="U5872" s="15"/>
      <c r="V5872" s="15"/>
      <c r="W5872" s="15"/>
      <c r="X5872" s="15"/>
      <c r="Y5872" s="15"/>
      <c r="Z5872" s="15"/>
      <c r="AA5872" s="15"/>
    </row>
    <row r="5873">
      <c r="A5873" s="15"/>
      <c r="B5873" s="15"/>
      <c r="C5873" s="14"/>
      <c r="D5873" s="14"/>
      <c r="E5873" s="14"/>
      <c r="F5873" s="433"/>
      <c r="G5873" s="434"/>
      <c r="H5873" s="14"/>
      <c r="I5873" s="423"/>
      <c r="J5873" s="14"/>
      <c r="K5873" s="13"/>
      <c r="L5873" s="13"/>
      <c r="M5873" s="14"/>
      <c r="N5873" s="15"/>
      <c r="O5873" s="15"/>
      <c r="P5873" s="15"/>
      <c r="Q5873" s="15"/>
      <c r="R5873" s="422"/>
      <c r="S5873" s="15"/>
      <c r="T5873" s="15"/>
      <c r="U5873" s="15"/>
      <c r="V5873" s="15"/>
      <c r="W5873" s="15"/>
      <c r="X5873" s="15"/>
      <c r="Y5873" s="15"/>
      <c r="Z5873" s="15"/>
      <c r="AA5873" s="15"/>
    </row>
    <row r="5874">
      <c r="A5874" s="15"/>
      <c r="B5874" s="15"/>
      <c r="C5874" s="14"/>
      <c r="D5874" s="14"/>
      <c r="E5874" s="14"/>
      <c r="F5874" s="433"/>
      <c r="G5874" s="434"/>
      <c r="H5874" s="14"/>
      <c r="I5874" s="423"/>
      <c r="J5874" s="14"/>
      <c r="K5874" s="13"/>
      <c r="L5874" s="13"/>
      <c r="M5874" s="14"/>
      <c r="N5874" s="15"/>
      <c r="O5874" s="15"/>
      <c r="P5874" s="15"/>
      <c r="Q5874" s="15"/>
      <c r="R5874" s="422"/>
      <c r="S5874" s="15"/>
      <c r="T5874" s="15"/>
      <c r="U5874" s="15"/>
      <c r="V5874" s="15"/>
      <c r="W5874" s="15"/>
      <c r="X5874" s="15"/>
      <c r="Y5874" s="15"/>
      <c r="Z5874" s="15"/>
      <c r="AA5874" s="15"/>
    </row>
    <row r="5875">
      <c r="A5875" s="15"/>
      <c r="B5875" s="15"/>
      <c r="C5875" s="14"/>
      <c r="D5875" s="14"/>
      <c r="E5875" s="14"/>
      <c r="F5875" s="433"/>
      <c r="G5875" s="434"/>
      <c r="H5875" s="14"/>
      <c r="I5875" s="423"/>
      <c r="J5875" s="14"/>
      <c r="K5875" s="13"/>
      <c r="L5875" s="13"/>
      <c r="M5875" s="14"/>
      <c r="N5875" s="15"/>
      <c r="O5875" s="15"/>
      <c r="P5875" s="15"/>
      <c r="Q5875" s="15"/>
      <c r="R5875" s="422"/>
      <c r="S5875" s="15"/>
      <c r="T5875" s="15"/>
      <c r="U5875" s="15"/>
      <c r="V5875" s="15"/>
      <c r="W5875" s="15"/>
      <c r="X5875" s="15"/>
      <c r="Y5875" s="15"/>
      <c r="Z5875" s="15"/>
      <c r="AA5875" s="15"/>
    </row>
    <row r="5876">
      <c r="A5876" s="15"/>
      <c r="B5876" s="15"/>
      <c r="C5876" s="14"/>
      <c r="D5876" s="14"/>
      <c r="E5876" s="14"/>
      <c r="F5876" s="433"/>
      <c r="G5876" s="434"/>
      <c r="H5876" s="14"/>
      <c r="I5876" s="423"/>
      <c r="J5876" s="14"/>
      <c r="K5876" s="13"/>
      <c r="L5876" s="13"/>
      <c r="M5876" s="14"/>
      <c r="N5876" s="15"/>
      <c r="O5876" s="15"/>
      <c r="P5876" s="15"/>
      <c r="Q5876" s="15"/>
      <c r="R5876" s="422"/>
      <c r="S5876" s="15"/>
      <c r="T5876" s="15"/>
      <c r="U5876" s="15"/>
      <c r="V5876" s="15"/>
      <c r="W5876" s="15"/>
      <c r="X5876" s="15"/>
      <c r="Y5876" s="15"/>
      <c r="Z5876" s="15"/>
      <c r="AA5876" s="15"/>
    </row>
    <row r="5877">
      <c r="A5877" s="15"/>
      <c r="B5877" s="15"/>
      <c r="C5877" s="14"/>
      <c r="D5877" s="14"/>
      <c r="E5877" s="14"/>
      <c r="F5877" s="433"/>
      <c r="G5877" s="434"/>
      <c r="H5877" s="14"/>
      <c r="I5877" s="423"/>
      <c r="J5877" s="14"/>
      <c r="K5877" s="13"/>
      <c r="L5877" s="13"/>
      <c r="M5877" s="14"/>
      <c r="N5877" s="15"/>
      <c r="O5877" s="15"/>
      <c r="P5877" s="15"/>
      <c r="Q5877" s="15"/>
      <c r="R5877" s="422"/>
      <c r="S5877" s="15"/>
      <c r="T5877" s="15"/>
      <c r="U5877" s="15"/>
      <c r="V5877" s="15"/>
      <c r="W5877" s="15"/>
      <c r="X5877" s="15"/>
      <c r="Y5877" s="15"/>
      <c r="Z5877" s="15"/>
      <c r="AA5877" s="15"/>
    </row>
    <row r="5878">
      <c r="A5878" s="15"/>
      <c r="B5878" s="15"/>
      <c r="C5878" s="14"/>
      <c r="D5878" s="14"/>
      <c r="E5878" s="14"/>
      <c r="F5878" s="433"/>
      <c r="G5878" s="434"/>
      <c r="H5878" s="14"/>
      <c r="I5878" s="423"/>
      <c r="J5878" s="14"/>
      <c r="K5878" s="13"/>
      <c r="L5878" s="13"/>
      <c r="M5878" s="14"/>
      <c r="N5878" s="15"/>
      <c r="O5878" s="15"/>
      <c r="P5878" s="15"/>
      <c r="Q5878" s="15"/>
      <c r="R5878" s="422"/>
      <c r="S5878" s="15"/>
      <c r="T5878" s="15"/>
      <c r="U5878" s="15"/>
      <c r="V5878" s="15"/>
      <c r="W5878" s="15"/>
      <c r="X5878" s="15"/>
      <c r="Y5878" s="15"/>
      <c r="Z5878" s="15"/>
      <c r="AA5878" s="15"/>
    </row>
    <row r="5879">
      <c r="A5879" s="15"/>
      <c r="B5879" s="15"/>
      <c r="C5879" s="14"/>
      <c r="D5879" s="14"/>
      <c r="E5879" s="14"/>
      <c r="F5879" s="433"/>
      <c r="G5879" s="434"/>
      <c r="H5879" s="14"/>
      <c r="I5879" s="423"/>
      <c r="J5879" s="14"/>
      <c r="K5879" s="13"/>
      <c r="L5879" s="13"/>
      <c r="M5879" s="14"/>
      <c r="N5879" s="15"/>
      <c r="O5879" s="15"/>
      <c r="P5879" s="15"/>
      <c r="Q5879" s="15"/>
      <c r="R5879" s="422"/>
      <c r="S5879" s="15"/>
      <c r="T5879" s="15"/>
      <c r="U5879" s="15"/>
      <c r="V5879" s="15"/>
      <c r="W5879" s="15"/>
      <c r="X5879" s="15"/>
      <c r="Y5879" s="15"/>
      <c r="Z5879" s="15"/>
      <c r="AA5879" s="15"/>
    </row>
    <row r="5880">
      <c r="A5880" s="15"/>
      <c r="B5880" s="15"/>
      <c r="C5880" s="14"/>
      <c r="D5880" s="14"/>
      <c r="E5880" s="14"/>
      <c r="F5880" s="433"/>
      <c r="G5880" s="434"/>
      <c r="H5880" s="14"/>
      <c r="I5880" s="423"/>
      <c r="J5880" s="14"/>
      <c r="K5880" s="13"/>
      <c r="L5880" s="13"/>
      <c r="M5880" s="14"/>
      <c r="N5880" s="15"/>
      <c r="O5880" s="15"/>
      <c r="P5880" s="15"/>
      <c r="Q5880" s="15"/>
      <c r="R5880" s="422"/>
      <c r="S5880" s="15"/>
      <c r="T5880" s="15"/>
      <c r="U5880" s="15"/>
      <c r="V5880" s="15"/>
      <c r="W5880" s="15"/>
      <c r="X5880" s="15"/>
      <c r="Y5880" s="15"/>
      <c r="Z5880" s="15"/>
      <c r="AA5880" s="15"/>
    </row>
    <row r="5881">
      <c r="A5881" s="15"/>
      <c r="B5881" s="15"/>
      <c r="C5881" s="14"/>
      <c r="D5881" s="14"/>
      <c r="E5881" s="14"/>
      <c r="F5881" s="433"/>
      <c r="G5881" s="434"/>
      <c r="H5881" s="14"/>
      <c r="I5881" s="423"/>
      <c r="J5881" s="14"/>
      <c r="K5881" s="13"/>
      <c r="L5881" s="13"/>
      <c r="M5881" s="14"/>
      <c r="N5881" s="15"/>
      <c r="O5881" s="15"/>
      <c r="P5881" s="15"/>
      <c r="Q5881" s="15"/>
      <c r="R5881" s="422"/>
      <c r="S5881" s="15"/>
      <c r="T5881" s="15"/>
      <c r="U5881" s="15"/>
      <c r="V5881" s="15"/>
      <c r="W5881" s="15"/>
      <c r="X5881" s="15"/>
      <c r="Y5881" s="15"/>
      <c r="Z5881" s="15"/>
      <c r="AA5881" s="15"/>
    </row>
    <row r="5882">
      <c r="A5882" s="15"/>
      <c r="B5882" s="15"/>
      <c r="C5882" s="14"/>
      <c r="D5882" s="14"/>
      <c r="E5882" s="14"/>
      <c r="F5882" s="433"/>
      <c r="G5882" s="434"/>
      <c r="H5882" s="14"/>
      <c r="I5882" s="423"/>
      <c r="J5882" s="14"/>
      <c r="K5882" s="13"/>
      <c r="L5882" s="13"/>
      <c r="M5882" s="14"/>
      <c r="N5882" s="15"/>
      <c r="O5882" s="15"/>
      <c r="P5882" s="15"/>
      <c r="Q5882" s="15"/>
      <c r="R5882" s="422"/>
      <c r="S5882" s="15"/>
      <c r="T5882" s="15"/>
      <c r="U5882" s="15"/>
      <c r="V5882" s="15"/>
      <c r="W5882" s="15"/>
      <c r="X5882" s="15"/>
      <c r="Y5882" s="15"/>
      <c r="Z5882" s="15"/>
      <c r="AA5882" s="15"/>
    </row>
    <row r="5883">
      <c r="A5883" s="15"/>
      <c r="B5883" s="15"/>
      <c r="C5883" s="14"/>
      <c r="D5883" s="14"/>
      <c r="E5883" s="14"/>
      <c r="F5883" s="433"/>
      <c r="G5883" s="434"/>
      <c r="H5883" s="14"/>
      <c r="I5883" s="423"/>
      <c r="J5883" s="14"/>
      <c r="K5883" s="13"/>
      <c r="L5883" s="13"/>
      <c r="M5883" s="14"/>
      <c r="N5883" s="15"/>
      <c r="O5883" s="15"/>
      <c r="P5883" s="15"/>
      <c r="Q5883" s="15"/>
      <c r="R5883" s="422"/>
      <c r="S5883" s="15"/>
      <c r="T5883" s="15"/>
      <c r="U5883" s="15"/>
      <c r="V5883" s="15"/>
      <c r="W5883" s="15"/>
      <c r="X5883" s="15"/>
      <c r="Y5883" s="15"/>
      <c r="Z5883" s="15"/>
      <c r="AA5883" s="15"/>
    </row>
    <row r="5884">
      <c r="A5884" s="15"/>
      <c r="B5884" s="15"/>
      <c r="C5884" s="14"/>
      <c r="D5884" s="14"/>
      <c r="E5884" s="14"/>
      <c r="F5884" s="433"/>
      <c r="G5884" s="434"/>
      <c r="H5884" s="14"/>
      <c r="I5884" s="423"/>
      <c r="J5884" s="14"/>
      <c r="K5884" s="13"/>
      <c r="L5884" s="13"/>
      <c r="M5884" s="14"/>
      <c r="N5884" s="15"/>
      <c r="O5884" s="15"/>
      <c r="P5884" s="15"/>
      <c r="Q5884" s="15"/>
      <c r="R5884" s="422"/>
      <c r="S5884" s="15"/>
      <c r="T5884" s="15"/>
      <c r="U5884" s="15"/>
      <c r="V5884" s="15"/>
      <c r="W5884" s="15"/>
      <c r="X5884" s="15"/>
      <c r="Y5884" s="15"/>
      <c r="Z5884" s="15"/>
      <c r="AA5884" s="15"/>
    </row>
    <row r="5885">
      <c r="A5885" s="15"/>
      <c r="B5885" s="15"/>
      <c r="C5885" s="14"/>
      <c r="D5885" s="14"/>
      <c r="E5885" s="14"/>
      <c r="F5885" s="433"/>
      <c r="G5885" s="434"/>
      <c r="H5885" s="14"/>
      <c r="I5885" s="423"/>
      <c r="J5885" s="14"/>
      <c r="K5885" s="13"/>
      <c r="L5885" s="13"/>
      <c r="M5885" s="14"/>
      <c r="N5885" s="15"/>
      <c r="O5885" s="15"/>
      <c r="P5885" s="15"/>
      <c r="Q5885" s="15"/>
      <c r="R5885" s="422"/>
      <c r="S5885" s="15"/>
      <c r="T5885" s="15"/>
      <c r="U5885" s="15"/>
      <c r="V5885" s="15"/>
      <c r="W5885" s="15"/>
      <c r="X5885" s="15"/>
      <c r="Y5885" s="15"/>
      <c r="Z5885" s="15"/>
      <c r="AA5885" s="15"/>
    </row>
    <row r="5886">
      <c r="A5886" s="15"/>
      <c r="B5886" s="15"/>
      <c r="C5886" s="14"/>
      <c r="D5886" s="14"/>
      <c r="E5886" s="14"/>
      <c r="F5886" s="433"/>
      <c r="G5886" s="434"/>
      <c r="H5886" s="14"/>
      <c r="I5886" s="423"/>
      <c r="J5886" s="14"/>
      <c r="K5886" s="13"/>
      <c r="L5886" s="13"/>
      <c r="M5886" s="14"/>
      <c r="N5886" s="15"/>
      <c r="O5886" s="15"/>
      <c r="P5886" s="15"/>
      <c r="Q5886" s="15"/>
      <c r="R5886" s="422"/>
      <c r="S5886" s="15"/>
      <c r="T5886" s="15"/>
      <c r="U5886" s="15"/>
      <c r="V5886" s="15"/>
      <c r="W5886" s="15"/>
      <c r="X5886" s="15"/>
      <c r="Y5886" s="15"/>
      <c r="Z5886" s="15"/>
      <c r="AA5886" s="15"/>
    </row>
    <row r="5887">
      <c r="A5887" s="15"/>
      <c r="B5887" s="15"/>
      <c r="C5887" s="14"/>
      <c r="D5887" s="14"/>
      <c r="E5887" s="14"/>
      <c r="F5887" s="433"/>
      <c r="G5887" s="434"/>
      <c r="H5887" s="14"/>
      <c r="I5887" s="423"/>
      <c r="J5887" s="14"/>
      <c r="K5887" s="13"/>
      <c r="L5887" s="13"/>
      <c r="M5887" s="14"/>
      <c r="N5887" s="15"/>
      <c r="O5887" s="15"/>
      <c r="P5887" s="15"/>
      <c r="Q5887" s="15"/>
      <c r="R5887" s="422"/>
      <c r="S5887" s="15"/>
      <c r="T5887" s="15"/>
      <c r="U5887" s="15"/>
      <c r="V5887" s="15"/>
      <c r="W5887" s="15"/>
      <c r="X5887" s="15"/>
      <c r="Y5887" s="15"/>
      <c r="Z5887" s="15"/>
      <c r="AA5887" s="15"/>
    </row>
    <row r="5888">
      <c r="A5888" s="15"/>
      <c r="B5888" s="15"/>
      <c r="C5888" s="14"/>
      <c r="D5888" s="14"/>
      <c r="E5888" s="14"/>
      <c r="F5888" s="433"/>
      <c r="G5888" s="434"/>
      <c r="H5888" s="14"/>
      <c r="I5888" s="423"/>
      <c r="J5888" s="14"/>
      <c r="K5888" s="13"/>
      <c r="L5888" s="13"/>
      <c r="M5888" s="14"/>
      <c r="N5888" s="15"/>
      <c r="O5888" s="15"/>
      <c r="P5888" s="15"/>
      <c r="Q5888" s="15"/>
      <c r="R5888" s="422"/>
      <c r="S5888" s="15"/>
      <c r="T5888" s="15"/>
      <c r="U5888" s="15"/>
      <c r="V5888" s="15"/>
      <c r="W5888" s="15"/>
      <c r="X5888" s="15"/>
      <c r="Y5888" s="15"/>
      <c r="Z5888" s="15"/>
      <c r="AA5888" s="15"/>
    </row>
    <row r="5889">
      <c r="A5889" s="15"/>
      <c r="B5889" s="15"/>
      <c r="C5889" s="14"/>
      <c r="D5889" s="14"/>
      <c r="E5889" s="14"/>
      <c r="F5889" s="433"/>
      <c r="G5889" s="434"/>
      <c r="H5889" s="14"/>
      <c r="I5889" s="423"/>
      <c r="J5889" s="14"/>
      <c r="K5889" s="13"/>
      <c r="L5889" s="13"/>
      <c r="M5889" s="14"/>
      <c r="N5889" s="15"/>
      <c r="O5889" s="15"/>
      <c r="P5889" s="15"/>
      <c r="Q5889" s="15"/>
      <c r="R5889" s="422"/>
      <c r="S5889" s="15"/>
      <c r="T5889" s="15"/>
      <c r="U5889" s="15"/>
      <c r="V5889" s="15"/>
      <c r="W5889" s="15"/>
      <c r="X5889" s="15"/>
      <c r="Y5889" s="15"/>
      <c r="Z5889" s="15"/>
      <c r="AA5889" s="15"/>
    </row>
    <row r="5890">
      <c r="A5890" s="15"/>
      <c r="B5890" s="15"/>
      <c r="C5890" s="14"/>
      <c r="D5890" s="14"/>
      <c r="E5890" s="14"/>
      <c r="F5890" s="433"/>
      <c r="G5890" s="434"/>
      <c r="H5890" s="14"/>
      <c r="I5890" s="423"/>
      <c r="J5890" s="14"/>
      <c r="K5890" s="13"/>
      <c r="L5890" s="13"/>
      <c r="M5890" s="14"/>
      <c r="N5890" s="15"/>
      <c r="O5890" s="15"/>
      <c r="P5890" s="15"/>
      <c r="Q5890" s="15"/>
      <c r="R5890" s="422"/>
      <c r="S5890" s="15"/>
      <c r="T5890" s="15"/>
      <c r="U5890" s="15"/>
      <c r="V5890" s="15"/>
      <c r="W5890" s="15"/>
      <c r="X5890" s="15"/>
      <c r="Y5890" s="15"/>
      <c r="Z5890" s="15"/>
      <c r="AA5890" s="15"/>
    </row>
    <row r="5891">
      <c r="A5891" s="15"/>
      <c r="B5891" s="15"/>
      <c r="C5891" s="14"/>
      <c r="D5891" s="14"/>
      <c r="E5891" s="14"/>
      <c r="F5891" s="433"/>
      <c r="G5891" s="434"/>
      <c r="H5891" s="14"/>
      <c r="I5891" s="423"/>
      <c r="J5891" s="14"/>
      <c r="K5891" s="13"/>
      <c r="L5891" s="13"/>
      <c r="M5891" s="14"/>
      <c r="N5891" s="15"/>
      <c r="O5891" s="15"/>
      <c r="P5891" s="15"/>
      <c r="Q5891" s="15"/>
      <c r="R5891" s="422"/>
      <c r="S5891" s="15"/>
      <c r="T5891" s="15"/>
      <c r="U5891" s="15"/>
      <c r="V5891" s="15"/>
      <c r="W5891" s="15"/>
      <c r="X5891" s="15"/>
      <c r="Y5891" s="15"/>
      <c r="Z5891" s="15"/>
      <c r="AA5891" s="15"/>
    </row>
    <row r="5892">
      <c r="A5892" s="15"/>
      <c r="B5892" s="15"/>
      <c r="C5892" s="14"/>
      <c r="D5892" s="14"/>
      <c r="E5892" s="14"/>
      <c r="F5892" s="433"/>
      <c r="G5892" s="434"/>
      <c r="H5892" s="14"/>
      <c r="I5892" s="423"/>
      <c r="J5892" s="14"/>
      <c r="K5892" s="13"/>
      <c r="L5892" s="13"/>
      <c r="M5892" s="14"/>
      <c r="N5892" s="15"/>
      <c r="O5892" s="15"/>
      <c r="P5892" s="15"/>
      <c r="Q5892" s="15"/>
      <c r="R5892" s="422"/>
      <c r="S5892" s="15"/>
      <c r="T5892" s="15"/>
      <c r="U5892" s="15"/>
      <c r="V5892" s="15"/>
      <c r="W5892" s="15"/>
      <c r="X5892" s="15"/>
      <c r="Y5892" s="15"/>
      <c r="Z5892" s="15"/>
      <c r="AA5892" s="15"/>
    </row>
    <row r="5893">
      <c r="A5893" s="15"/>
      <c r="B5893" s="15"/>
      <c r="C5893" s="14"/>
      <c r="D5893" s="14"/>
      <c r="E5893" s="14"/>
      <c r="F5893" s="433"/>
      <c r="G5893" s="434"/>
      <c r="H5893" s="14"/>
      <c r="I5893" s="423"/>
      <c r="J5893" s="14"/>
      <c r="K5893" s="13"/>
      <c r="L5893" s="13"/>
      <c r="M5893" s="14"/>
      <c r="N5893" s="15"/>
      <c r="O5893" s="15"/>
      <c r="P5893" s="15"/>
      <c r="Q5893" s="15"/>
      <c r="R5893" s="422"/>
      <c r="S5893" s="15"/>
      <c r="T5893" s="15"/>
      <c r="U5893" s="15"/>
      <c r="V5893" s="15"/>
      <c r="W5893" s="15"/>
      <c r="X5893" s="15"/>
      <c r="Y5893" s="15"/>
      <c r="Z5893" s="15"/>
      <c r="AA5893" s="15"/>
    </row>
    <row r="5894">
      <c r="A5894" s="15"/>
      <c r="B5894" s="15"/>
      <c r="C5894" s="14"/>
      <c r="D5894" s="14"/>
      <c r="E5894" s="14"/>
      <c r="F5894" s="433"/>
      <c r="G5894" s="434"/>
      <c r="H5894" s="14"/>
      <c r="I5894" s="423"/>
      <c r="J5894" s="14"/>
      <c r="K5894" s="13"/>
      <c r="L5894" s="13"/>
      <c r="M5894" s="14"/>
      <c r="N5894" s="15"/>
      <c r="O5894" s="15"/>
      <c r="P5894" s="15"/>
      <c r="Q5894" s="15"/>
      <c r="R5894" s="422"/>
      <c r="S5894" s="15"/>
      <c r="T5894" s="15"/>
      <c r="U5894" s="15"/>
      <c r="V5894" s="15"/>
      <c r="W5894" s="15"/>
      <c r="X5894" s="15"/>
      <c r="Y5894" s="15"/>
      <c r="Z5894" s="15"/>
      <c r="AA5894" s="15"/>
    </row>
    <row r="5895">
      <c r="A5895" s="15"/>
      <c r="B5895" s="15"/>
      <c r="C5895" s="14"/>
      <c r="D5895" s="14"/>
      <c r="E5895" s="14"/>
      <c r="F5895" s="433"/>
      <c r="G5895" s="434"/>
      <c r="H5895" s="14"/>
      <c r="I5895" s="423"/>
      <c r="J5895" s="14"/>
      <c r="K5895" s="13"/>
      <c r="L5895" s="13"/>
      <c r="M5895" s="14"/>
      <c r="N5895" s="15"/>
      <c r="O5895" s="15"/>
      <c r="P5895" s="15"/>
      <c r="Q5895" s="15"/>
      <c r="R5895" s="422"/>
      <c r="S5895" s="15"/>
      <c r="T5895" s="15"/>
      <c r="U5895" s="15"/>
      <c r="V5895" s="15"/>
      <c r="W5895" s="15"/>
      <c r="X5895" s="15"/>
      <c r="Y5895" s="15"/>
      <c r="Z5895" s="15"/>
      <c r="AA5895" s="15"/>
    </row>
    <row r="5896">
      <c r="A5896" s="15"/>
      <c r="B5896" s="15"/>
      <c r="C5896" s="14"/>
      <c r="D5896" s="14"/>
      <c r="E5896" s="14"/>
      <c r="F5896" s="433"/>
      <c r="G5896" s="434"/>
      <c r="H5896" s="14"/>
      <c r="I5896" s="423"/>
      <c r="J5896" s="14"/>
      <c r="K5896" s="13"/>
      <c r="L5896" s="13"/>
      <c r="M5896" s="14"/>
      <c r="N5896" s="15"/>
      <c r="O5896" s="15"/>
      <c r="P5896" s="15"/>
      <c r="Q5896" s="15"/>
      <c r="R5896" s="422"/>
      <c r="S5896" s="15"/>
      <c r="T5896" s="15"/>
      <c r="U5896" s="15"/>
      <c r="V5896" s="15"/>
      <c r="W5896" s="15"/>
      <c r="X5896" s="15"/>
      <c r="Y5896" s="15"/>
      <c r="Z5896" s="15"/>
      <c r="AA5896" s="15"/>
    </row>
    <row r="5897">
      <c r="A5897" s="15"/>
      <c r="B5897" s="15"/>
      <c r="C5897" s="14"/>
      <c r="D5897" s="14"/>
      <c r="E5897" s="14"/>
      <c r="F5897" s="433"/>
      <c r="G5897" s="434"/>
      <c r="H5897" s="14"/>
      <c r="I5897" s="423"/>
      <c r="J5897" s="14"/>
      <c r="K5897" s="13"/>
      <c r="L5897" s="13"/>
      <c r="M5897" s="14"/>
      <c r="N5897" s="15"/>
      <c r="O5897" s="15"/>
      <c r="P5897" s="15"/>
      <c r="Q5897" s="15"/>
      <c r="R5897" s="422"/>
      <c r="S5897" s="15"/>
      <c r="T5897" s="15"/>
      <c r="U5897" s="15"/>
      <c r="V5897" s="15"/>
      <c r="W5897" s="15"/>
      <c r="X5897" s="15"/>
      <c r="Y5897" s="15"/>
      <c r="Z5897" s="15"/>
      <c r="AA5897" s="15"/>
    </row>
    <row r="5898">
      <c r="A5898" s="15"/>
      <c r="B5898" s="15"/>
      <c r="C5898" s="14"/>
      <c r="D5898" s="14"/>
      <c r="E5898" s="14"/>
      <c r="F5898" s="433"/>
      <c r="G5898" s="434"/>
      <c r="H5898" s="14"/>
      <c r="I5898" s="423"/>
      <c r="J5898" s="14"/>
      <c r="K5898" s="13"/>
      <c r="L5898" s="13"/>
      <c r="M5898" s="14"/>
      <c r="N5898" s="15"/>
      <c r="O5898" s="15"/>
      <c r="P5898" s="15"/>
      <c r="Q5898" s="15"/>
      <c r="R5898" s="422"/>
      <c r="S5898" s="15"/>
      <c r="T5898" s="15"/>
      <c r="U5898" s="15"/>
      <c r="V5898" s="15"/>
      <c r="W5898" s="15"/>
      <c r="X5898" s="15"/>
      <c r="Y5898" s="15"/>
      <c r="Z5898" s="15"/>
      <c r="AA5898" s="15"/>
    </row>
    <row r="5899">
      <c r="A5899" s="15"/>
      <c r="B5899" s="15"/>
      <c r="C5899" s="14"/>
      <c r="D5899" s="14"/>
      <c r="E5899" s="14"/>
      <c r="F5899" s="433"/>
      <c r="G5899" s="434"/>
      <c r="H5899" s="14"/>
      <c r="I5899" s="423"/>
      <c r="J5899" s="14"/>
      <c r="K5899" s="13"/>
      <c r="L5899" s="13"/>
      <c r="M5899" s="14"/>
      <c r="N5899" s="15"/>
      <c r="O5899" s="15"/>
      <c r="P5899" s="15"/>
      <c r="Q5899" s="15"/>
      <c r="R5899" s="422"/>
      <c r="S5899" s="15"/>
      <c r="T5899" s="15"/>
      <c r="U5899" s="15"/>
      <c r="V5899" s="15"/>
      <c r="W5899" s="15"/>
      <c r="X5899" s="15"/>
      <c r="Y5899" s="15"/>
      <c r="Z5899" s="15"/>
      <c r="AA5899" s="15"/>
    </row>
    <row r="5900">
      <c r="A5900" s="15"/>
      <c r="B5900" s="15"/>
      <c r="C5900" s="14"/>
      <c r="D5900" s="14"/>
      <c r="E5900" s="14"/>
      <c r="F5900" s="433"/>
      <c r="G5900" s="434"/>
      <c r="H5900" s="14"/>
      <c r="I5900" s="423"/>
      <c r="J5900" s="14"/>
      <c r="K5900" s="13"/>
      <c r="L5900" s="13"/>
      <c r="M5900" s="14"/>
      <c r="N5900" s="15"/>
      <c r="O5900" s="15"/>
      <c r="P5900" s="15"/>
      <c r="Q5900" s="15"/>
      <c r="R5900" s="422"/>
      <c r="S5900" s="15"/>
      <c r="T5900" s="15"/>
      <c r="U5900" s="15"/>
      <c r="V5900" s="15"/>
      <c r="W5900" s="15"/>
      <c r="X5900" s="15"/>
      <c r="Y5900" s="15"/>
      <c r="Z5900" s="15"/>
      <c r="AA5900" s="15"/>
    </row>
    <row r="5901">
      <c r="A5901" s="15"/>
      <c r="B5901" s="15"/>
      <c r="C5901" s="14"/>
      <c r="D5901" s="14"/>
      <c r="E5901" s="14"/>
      <c r="F5901" s="433"/>
      <c r="G5901" s="434"/>
      <c r="H5901" s="14"/>
      <c r="I5901" s="423"/>
      <c r="J5901" s="14"/>
      <c r="K5901" s="13"/>
      <c r="L5901" s="13"/>
      <c r="M5901" s="14"/>
      <c r="N5901" s="15"/>
      <c r="O5901" s="15"/>
      <c r="P5901" s="15"/>
      <c r="Q5901" s="15"/>
      <c r="R5901" s="422"/>
      <c r="S5901" s="15"/>
      <c r="T5901" s="15"/>
      <c r="U5901" s="15"/>
      <c r="V5901" s="15"/>
      <c r="W5901" s="15"/>
      <c r="X5901" s="15"/>
      <c r="Y5901" s="15"/>
      <c r="Z5901" s="15"/>
      <c r="AA5901" s="15"/>
    </row>
    <row r="5902">
      <c r="A5902" s="15"/>
      <c r="B5902" s="15"/>
      <c r="C5902" s="14"/>
      <c r="D5902" s="14"/>
      <c r="E5902" s="14"/>
      <c r="F5902" s="433"/>
      <c r="G5902" s="434"/>
      <c r="H5902" s="14"/>
      <c r="I5902" s="423"/>
      <c r="J5902" s="14"/>
      <c r="K5902" s="13"/>
      <c r="L5902" s="13"/>
      <c r="M5902" s="14"/>
      <c r="N5902" s="15"/>
      <c r="O5902" s="15"/>
      <c r="P5902" s="15"/>
      <c r="Q5902" s="15"/>
      <c r="R5902" s="422"/>
      <c r="S5902" s="15"/>
      <c r="T5902" s="15"/>
      <c r="U5902" s="15"/>
      <c r="V5902" s="15"/>
      <c r="W5902" s="15"/>
      <c r="X5902" s="15"/>
      <c r="Y5902" s="15"/>
      <c r="Z5902" s="15"/>
      <c r="AA5902" s="15"/>
    </row>
    <row r="5903">
      <c r="A5903" s="15"/>
      <c r="B5903" s="15"/>
      <c r="C5903" s="14"/>
      <c r="D5903" s="14"/>
      <c r="E5903" s="14"/>
      <c r="F5903" s="433"/>
      <c r="G5903" s="434"/>
      <c r="H5903" s="14"/>
      <c r="I5903" s="423"/>
      <c r="J5903" s="14"/>
      <c r="K5903" s="13"/>
      <c r="L5903" s="13"/>
      <c r="M5903" s="14"/>
      <c r="N5903" s="15"/>
      <c r="O5903" s="15"/>
      <c r="P5903" s="15"/>
      <c r="Q5903" s="15"/>
      <c r="R5903" s="422"/>
      <c r="S5903" s="15"/>
      <c r="T5903" s="15"/>
      <c r="U5903" s="15"/>
      <c r="V5903" s="15"/>
      <c r="W5903" s="15"/>
      <c r="X5903" s="15"/>
      <c r="Y5903" s="15"/>
      <c r="Z5903" s="15"/>
      <c r="AA5903" s="15"/>
    </row>
    <row r="5904">
      <c r="A5904" s="15"/>
      <c r="B5904" s="15"/>
      <c r="C5904" s="14"/>
      <c r="D5904" s="14"/>
      <c r="E5904" s="14"/>
      <c r="F5904" s="433"/>
      <c r="G5904" s="434"/>
      <c r="H5904" s="14"/>
      <c r="I5904" s="423"/>
      <c r="J5904" s="14"/>
      <c r="K5904" s="13"/>
      <c r="L5904" s="13"/>
      <c r="M5904" s="14"/>
      <c r="N5904" s="15"/>
      <c r="O5904" s="15"/>
      <c r="P5904" s="15"/>
      <c r="Q5904" s="15"/>
      <c r="R5904" s="422"/>
      <c r="S5904" s="15"/>
      <c r="T5904" s="15"/>
      <c r="U5904" s="15"/>
      <c r="V5904" s="15"/>
      <c r="W5904" s="15"/>
      <c r="X5904" s="15"/>
      <c r="Y5904" s="15"/>
      <c r="Z5904" s="15"/>
      <c r="AA5904" s="15"/>
    </row>
    <row r="5905">
      <c r="A5905" s="15"/>
      <c r="B5905" s="15"/>
      <c r="C5905" s="14"/>
      <c r="D5905" s="14"/>
      <c r="E5905" s="14"/>
      <c r="F5905" s="433"/>
      <c r="G5905" s="434"/>
      <c r="H5905" s="14"/>
      <c r="I5905" s="423"/>
      <c r="J5905" s="14"/>
      <c r="K5905" s="13"/>
      <c r="L5905" s="13"/>
      <c r="M5905" s="14"/>
      <c r="N5905" s="15"/>
      <c r="O5905" s="15"/>
      <c r="P5905" s="15"/>
      <c r="Q5905" s="15"/>
      <c r="R5905" s="422"/>
      <c r="S5905" s="15"/>
      <c r="T5905" s="15"/>
      <c r="U5905" s="15"/>
      <c r="V5905" s="15"/>
      <c r="W5905" s="15"/>
      <c r="X5905" s="15"/>
      <c r="Y5905" s="15"/>
      <c r="Z5905" s="15"/>
      <c r="AA5905" s="15"/>
    </row>
    <row r="5906">
      <c r="A5906" s="15"/>
      <c r="B5906" s="15"/>
      <c r="C5906" s="14"/>
      <c r="D5906" s="14"/>
      <c r="E5906" s="14"/>
      <c r="F5906" s="433"/>
      <c r="G5906" s="434"/>
      <c r="H5906" s="14"/>
      <c r="I5906" s="423"/>
      <c r="J5906" s="14"/>
      <c r="K5906" s="13"/>
      <c r="L5906" s="13"/>
      <c r="M5906" s="14"/>
      <c r="N5906" s="15"/>
      <c r="O5906" s="15"/>
      <c r="P5906" s="15"/>
      <c r="Q5906" s="15"/>
      <c r="R5906" s="422"/>
      <c r="S5906" s="15"/>
      <c r="T5906" s="15"/>
      <c r="U5906" s="15"/>
      <c r="V5906" s="15"/>
      <c r="W5906" s="15"/>
      <c r="X5906" s="15"/>
      <c r="Y5906" s="15"/>
      <c r="Z5906" s="15"/>
      <c r="AA5906" s="15"/>
    </row>
    <row r="5907">
      <c r="A5907" s="15"/>
      <c r="B5907" s="15"/>
      <c r="C5907" s="14"/>
      <c r="D5907" s="14"/>
      <c r="E5907" s="14"/>
      <c r="F5907" s="433"/>
      <c r="G5907" s="434"/>
      <c r="H5907" s="14"/>
      <c r="I5907" s="423"/>
      <c r="J5907" s="14"/>
      <c r="K5907" s="13"/>
      <c r="L5907" s="13"/>
      <c r="M5907" s="14"/>
      <c r="N5907" s="15"/>
      <c r="O5907" s="15"/>
      <c r="P5907" s="15"/>
      <c r="Q5907" s="15"/>
      <c r="R5907" s="422"/>
      <c r="S5907" s="15"/>
      <c r="T5907" s="15"/>
      <c r="U5907" s="15"/>
      <c r="V5907" s="15"/>
      <c r="W5907" s="15"/>
      <c r="X5907" s="15"/>
      <c r="Y5907" s="15"/>
      <c r="Z5907" s="15"/>
      <c r="AA5907" s="15"/>
    </row>
    <row r="5908">
      <c r="A5908" s="15"/>
      <c r="B5908" s="15"/>
      <c r="C5908" s="14"/>
      <c r="D5908" s="14"/>
      <c r="E5908" s="14"/>
      <c r="F5908" s="433"/>
      <c r="G5908" s="434"/>
      <c r="H5908" s="14"/>
      <c r="I5908" s="423"/>
      <c r="J5908" s="14"/>
      <c r="K5908" s="13"/>
      <c r="L5908" s="13"/>
      <c r="M5908" s="14"/>
      <c r="N5908" s="15"/>
      <c r="O5908" s="15"/>
      <c r="P5908" s="15"/>
      <c r="Q5908" s="15"/>
      <c r="R5908" s="422"/>
      <c r="S5908" s="15"/>
      <c r="T5908" s="15"/>
      <c r="U5908" s="15"/>
      <c r="V5908" s="15"/>
      <c r="W5908" s="15"/>
      <c r="X5908" s="15"/>
      <c r="Y5908" s="15"/>
      <c r="Z5908" s="15"/>
      <c r="AA5908" s="15"/>
    </row>
    <row r="5909">
      <c r="A5909" s="15"/>
      <c r="B5909" s="15"/>
      <c r="C5909" s="14"/>
      <c r="D5909" s="14"/>
      <c r="E5909" s="14"/>
      <c r="F5909" s="433"/>
      <c r="G5909" s="434"/>
      <c r="H5909" s="14"/>
      <c r="I5909" s="423"/>
      <c r="J5909" s="14"/>
      <c r="K5909" s="13"/>
      <c r="L5909" s="13"/>
      <c r="M5909" s="14"/>
      <c r="N5909" s="15"/>
      <c r="O5909" s="15"/>
      <c r="P5909" s="15"/>
      <c r="Q5909" s="15"/>
      <c r="R5909" s="422"/>
      <c r="S5909" s="15"/>
      <c r="T5909" s="15"/>
      <c r="U5909" s="15"/>
      <c r="V5909" s="15"/>
      <c r="W5909" s="15"/>
      <c r="X5909" s="15"/>
      <c r="Y5909" s="15"/>
      <c r="Z5909" s="15"/>
      <c r="AA5909" s="15"/>
    </row>
    <row r="5910">
      <c r="A5910" s="15"/>
      <c r="B5910" s="15"/>
      <c r="C5910" s="14"/>
      <c r="D5910" s="14"/>
      <c r="E5910" s="14"/>
      <c r="F5910" s="433"/>
      <c r="G5910" s="434"/>
      <c r="H5910" s="14"/>
      <c r="I5910" s="423"/>
      <c r="J5910" s="14"/>
      <c r="K5910" s="13"/>
      <c r="L5910" s="13"/>
      <c r="M5910" s="14"/>
      <c r="N5910" s="15"/>
      <c r="O5910" s="15"/>
      <c r="P5910" s="15"/>
      <c r="Q5910" s="15"/>
      <c r="R5910" s="422"/>
      <c r="S5910" s="15"/>
      <c r="T5910" s="15"/>
      <c r="U5910" s="15"/>
      <c r="V5910" s="15"/>
      <c r="W5910" s="15"/>
      <c r="X5910" s="15"/>
      <c r="Y5910" s="15"/>
      <c r="Z5910" s="15"/>
      <c r="AA5910" s="15"/>
    </row>
    <row r="5911">
      <c r="A5911" s="15"/>
      <c r="B5911" s="15"/>
      <c r="C5911" s="14"/>
      <c r="D5911" s="14"/>
      <c r="E5911" s="14"/>
      <c r="F5911" s="433"/>
      <c r="G5911" s="434"/>
      <c r="H5911" s="14"/>
      <c r="I5911" s="423"/>
      <c r="J5911" s="14"/>
      <c r="K5911" s="13"/>
      <c r="L5911" s="13"/>
      <c r="M5911" s="14"/>
      <c r="N5911" s="15"/>
      <c r="O5911" s="15"/>
      <c r="P5911" s="15"/>
      <c r="Q5911" s="15"/>
      <c r="R5911" s="422"/>
      <c r="S5911" s="15"/>
      <c r="T5911" s="15"/>
      <c r="U5911" s="15"/>
      <c r="V5911" s="15"/>
      <c r="W5911" s="15"/>
      <c r="X5911" s="15"/>
      <c r="Y5911" s="15"/>
      <c r="Z5911" s="15"/>
      <c r="AA5911" s="15"/>
    </row>
    <row r="5912">
      <c r="A5912" s="15"/>
      <c r="B5912" s="15"/>
      <c r="C5912" s="14"/>
      <c r="D5912" s="14"/>
      <c r="E5912" s="14"/>
      <c r="F5912" s="433"/>
      <c r="G5912" s="434"/>
      <c r="H5912" s="14"/>
      <c r="I5912" s="423"/>
      <c r="J5912" s="14"/>
      <c r="K5912" s="13"/>
      <c r="L5912" s="13"/>
      <c r="M5912" s="14"/>
      <c r="N5912" s="15"/>
      <c r="O5912" s="15"/>
      <c r="P5912" s="15"/>
      <c r="Q5912" s="15"/>
      <c r="R5912" s="422"/>
      <c r="S5912" s="15"/>
      <c r="T5912" s="15"/>
      <c r="U5912" s="15"/>
      <c r="V5912" s="15"/>
      <c r="W5912" s="15"/>
      <c r="X5912" s="15"/>
      <c r="Y5912" s="15"/>
      <c r="Z5912" s="15"/>
      <c r="AA5912" s="15"/>
    </row>
    <row r="5913">
      <c r="A5913" s="15"/>
      <c r="B5913" s="15"/>
      <c r="C5913" s="14"/>
      <c r="D5913" s="14"/>
      <c r="E5913" s="14"/>
      <c r="F5913" s="433"/>
      <c r="G5913" s="434"/>
      <c r="H5913" s="14"/>
      <c r="I5913" s="423"/>
      <c r="J5913" s="14"/>
      <c r="K5913" s="13"/>
      <c r="L5913" s="13"/>
      <c r="M5913" s="14"/>
      <c r="N5913" s="15"/>
      <c r="O5913" s="15"/>
      <c r="P5913" s="15"/>
      <c r="Q5913" s="15"/>
      <c r="R5913" s="422"/>
      <c r="S5913" s="15"/>
      <c r="T5913" s="15"/>
      <c r="U5913" s="15"/>
      <c r="V5913" s="15"/>
      <c r="W5913" s="15"/>
      <c r="X5913" s="15"/>
      <c r="Y5913" s="15"/>
      <c r="Z5913" s="15"/>
      <c r="AA5913" s="15"/>
    </row>
    <row r="5914">
      <c r="A5914" s="15"/>
      <c r="B5914" s="15"/>
      <c r="C5914" s="14"/>
      <c r="D5914" s="14"/>
      <c r="E5914" s="14"/>
      <c r="F5914" s="433"/>
      <c r="G5914" s="434"/>
      <c r="H5914" s="14"/>
      <c r="I5914" s="423"/>
      <c r="J5914" s="14"/>
      <c r="K5914" s="13"/>
      <c r="L5914" s="13"/>
      <c r="M5914" s="14"/>
      <c r="N5914" s="15"/>
      <c r="O5914" s="15"/>
      <c r="P5914" s="15"/>
      <c r="Q5914" s="15"/>
      <c r="R5914" s="422"/>
      <c r="S5914" s="15"/>
      <c r="T5914" s="15"/>
      <c r="U5914" s="15"/>
      <c r="V5914" s="15"/>
      <c r="W5914" s="15"/>
      <c r="X5914" s="15"/>
      <c r="Y5914" s="15"/>
      <c r="Z5914" s="15"/>
      <c r="AA5914" s="15"/>
    </row>
    <row r="5915">
      <c r="A5915" s="15"/>
      <c r="B5915" s="15"/>
      <c r="C5915" s="14"/>
      <c r="D5915" s="14"/>
      <c r="E5915" s="14"/>
      <c r="F5915" s="433"/>
      <c r="G5915" s="434"/>
      <c r="H5915" s="14"/>
      <c r="I5915" s="423"/>
      <c r="J5915" s="14"/>
      <c r="K5915" s="13"/>
      <c r="L5915" s="13"/>
      <c r="M5915" s="14"/>
      <c r="N5915" s="15"/>
      <c r="O5915" s="15"/>
      <c r="P5915" s="15"/>
      <c r="Q5915" s="15"/>
      <c r="R5915" s="422"/>
      <c r="S5915" s="15"/>
      <c r="T5915" s="15"/>
      <c r="U5915" s="15"/>
      <c r="V5915" s="15"/>
      <c r="W5915" s="15"/>
      <c r="X5915" s="15"/>
      <c r="Y5915" s="15"/>
      <c r="Z5915" s="15"/>
      <c r="AA5915" s="15"/>
    </row>
    <row r="5916">
      <c r="A5916" s="15"/>
      <c r="B5916" s="15"/>
      <c r="C5916" s="14"/>
      <c r="D5916" s="14"/>
      <c r="E5916" s="14"/>
      <c r="F5916" s="433"/>
      <c r="G5916" s="434"/>
      <c r="H5916" s="14"/>
      <c r="I5916" s="423"/>
      <c r="J5916" s="14"/>
      <c r="K5916" s="13"/>
      <c r="L5916" s="13"/>
      <c r="M5916" s="14"/>
      <c r="N5916" s="15"/>
      <c r="O5916" s="15"/>
      <c r="P5916" s="15"/>
      <c r="Q5916" s="15"/>
      <c r="R5916" s="422"/>
      <c r="S5916" s="15"/>
      <c r="T5916" s="15"/>
      <c r="U5916" s="15"/>
      <c r="V5916" s="15"/>
      <c r="W5916" s="15"/>
      <c r="X5916" s="15"/>
      <c r="Y5916" s="15"/>
      <c r="Z5916" s="15"/>
      <c r="AA5916" s="15"/>
    </row>
    <row r="5917">
      <c r="A5917" s="15"/>
      <c r="B5917" s="15"/>
      <c r="C5917" s="14"/>
      <c r="D5917" s="14"/>
      <c r="E5917" s="14"/>
      <c r="F5917" s="433"/>
      <c r="G5917" s="434"/>
      <c r="H5917" s="14"/>
      <c r="I5917" s="423"/>
      <c r="J5917" s="14"/>
      <c r="K5917" s="13"/>
      <c r="L5917" s="13"/>
      <c r="M5917" s="14"/>
      <c r="N5917" s="15"/>
      <c r="O5917" s="15"/>
      <c r="P5917" s="15"/>
      <c r="Q5917" s="15"/>
      <c r="R5917" s="422"/>
      <c r="S5917" s="15"/>
      <c r="T5917" s="15"/>
      <c r="U5917" s="15"/>
      <c r="V5917" s="15"/>
      <c r="W5917" s="15"/>
      <c r="X5917" s="15"/>
      <c r="Y5917" s="15"/>
      <c r="Z5917" s="15"/>
      <c r="AA5917" s="15"/>
    </row>
    <row r="5918">
      <c r="A5918" s="15"/>
      <c r="B5918" s="15"/>
      <c r="C5918" s="14"/>
      <c r="D5918" s="14"/>
      <c r="E5918" s="14"/>
      <c r="F5918" s="433"/>
      <c r="G5918" s="434"/>
      <c r="H5918" s="14"/>
      <c r="I5918" s="423"/>
      <c r="J5918" s="14"/>
      <c r="K5918" s="13"/>
      <c r="L5918" s="13"/>
      <c r="M5918" s="14"/>
      <c r="N5918" s="15"/>
      <c r="O5918" s="15"/>
      <c r="P5918" s="15"/>
      <c r="Q5918" s="15"/>
      <c r="R5918" s="422"/>
      <c r="S5918" s="15"/>
      <c r="T5918" s="15"/>
      <c r="U5918" s="15"/>
      <c r="V5918" s="15"/>
      <c r="W5918" s="15"/>
      <c r="X5918" s="15"/>
      <c r="Y5918" s="15"/>
      <c r="Z5918" s="15"/>
      <c r="AA5918" s="15"/>
    </row>
    <row r="5919">
      <c r="A5919" s="15"/>
      <c r="B5919" s="15"/>
      <c r="C5919" s="14"/>
      <c r="D5919" s="14"/>
      <c r="E5919" s="14"/>
      <c r="F5919" s="433"/>
      <c r="G5919" s="434"/>
      <c r="H5919" s="14"/>
      <c r="I5919" s="423"/>
      <c r="J5919" s="14"/>
      <c r="K5919" s="13"/>
      <c r="L5919" s="13"/>
      <c r="M5919" s="14"/>
      <c r="N5919" s="15"/>
      <c r="O5919" s="15"/>
      <c r="P5919" s="15"/>
      <c r="Q5919" s="15"/>
      <c r="R5919" s="422"/>
      <c r="S5919" s="15"/>
      <c r="T5919" s="15"/>
      <c r="U5919" s="15"/>
      <c r="V5919" s="15"/>
      <c r="W5919" s="15"/>
      <c r="X5919" s="15"/>
      <c r="Y5919" s="15"/>
      <c r="Z5919" s="15"/>
      <c r="AA5919" s="15"/>
    </row>
    <row r="5920">
      <c r="A5920" s="15"/>
      <c r="B5920" s="15"/>
      <c r="C5920" s="14"/>
      <c r="D5920" s="14"/>
      <c r="E5920" s="14"/>
      <c r="F5920" s="433"/>
      <c r="G5920" s="434"/>
      <c r="H5920" s="14"/>
      <c r="I5920" s="423"/>
      <c r="J5920" s="14"/>
      <c r="K5920" s="13"/>
      <c r="L5920" s="13"/>
      <c r="M5920" s="14"/>
      <c r="N5920" s="15"/>
      <c r="O5920" s="15"/>
      <c r="P5920" s="15"/>
      <c r="Q5920" s="15"/>
      <c r="R5920" s="422"/>
      <c r="S5920" s="15"/>
      <c r="T5920" s="15"/>
      <c r="U5920" s="15"/>
      <c r="V5920" s="15"/>
      <c r="W5920" s="15"/>
      <c r="X5920" s="15"/>
      <c r="Y5920" s="15"/>
      <c r="Z5920" s="15"/>
      <c r="AA5920" s="15"/>
    </row>
    <row r="5921">
      <c r="A5921" s="15"/>
      <c r="B5921" s="15"/>
      <c r="C5921" s="14"/>
      <c r="D5921" s="14"/>
      <c r="E5921" s="14"/>
      <c r="F5921" s="433"/>
      <c r="G5921" s="434"/>
      <c r="H5921" s="14"/>
      <c r="I5921" s="423"/>
      <c r="J5921" s="14"/>
      <c r="K5921" s="13"/>
      <c r="L5921" s="13"/>
      <c r="M5921" s="14"/>
      <c r="N5921" s="15"/>
      <c r="O5921" s="15"/>
      <c r="P5921" s="15"/>
      <c r="Q5921" s="15"/>
      <c r="R5921" s="422"/>
      <c r="S5921" s="15"/>
      <c r="T5921" s="15"/>
      <c r="U5921" s="15"/>
      <c r="V5921" s="15"/>
      <c r="W5921" s="15"/>
      <c r="X5921" s="15"/>
      <c r="Y5921" s="15"/>
      <c r="Z5921" s="15"/>
      <c r="AA5921" s="15"/>
    </row>
    <row r="5922">
      <c r="A5922" s="15"/>
      <c r="B5922" s="15"/>
      <c r="C5922" s="14"/>
      <c r="D5922" s="14"/>
      <c r="E5922" s="14"/>
      <c r="F5922" s="433"/>
      <c r="G5922" s="434"/>
      <c r="H5922" s="14"/>
      <c r="I5922" s="423"/>
      <c r="J5922" s="14"/>
      <c r="K5922" s="13"/>
      <c r="L5922" s="13"/>
      <c r="M5922" s="14"/>
      <c r="N5922" s="15"/>
      <c r="O5922" s="15"/>
      <c r="P5922" s="15"/>
      <c r="Q5922" s="15"/>
      <c r="R5922" s="422"/>
      <c r="S5922" s="15"/>
      <c r="T5922" s="15"/>
      <c r="U5922" s="15"/>
      <c r="V5922" s="15"/>
      <c r="W5922" s="15"/>
      <c r="X5922" s="15"/>
      <c r="Y5922" s="15"/>
      <c r="Z5922" s="15"/>
      <c r="AA5922" s="15"/>
    </row>
    <row r="5923">
      <c r="A5923" s="15"/>
      <c r="B5923" s="15"/>
      <c r="C5923" s="14"/>
      <c r="D5923" s="14"/>
      <c r="E5923" s="14"/>
      <c r="F5923" s="433"/>
      <c r="G5923" s="434"/>
      <c r="H5923" s="14"/>
      <c r="I5923" s="423"/>
      <c r="J5923" s="14"/>
      <c r="K5923" s="13"/>
      <c r="L5923" s="13"/>
      <c r="M5923" s="14"/>
      <c r="N5923" s="15"/>
      <c r="O5923" s="15"/>
      <c r="P5923" s="15"/>
      <c r="Q5923" s="15"/>
      <c r="R5923" s="422"/>
      <c r="S5923" s="15"/>
      <c r="T5923" s="15"/>
      <c r="U5923" s="15"/>
      <c r="V5923" s="15"/>
      <c r="W5923" s="15"/>
      <c r="X5923" s="15"/>
      <c r="Y5923" s="15"/>
      <c r="Z5923" s="15"/>
      <c r="AA5923" s="15"/>
    </row>
    <row r="5924">
      <c r="A5924" s="15"/>
      <c r="B5924" s="15"/>
      <c r="C5924" s="14"/>
      <c r="D5924" s="14"/>
      <c r="E5924" s="14"/>
      <c r="F5924" s="433"/>
      <c r="G5924" s="434"/>
      <c r="H5924" s="14"/>
      <c r="I5924" s="423"/>
      <c r="J5924" s="14"/>
      <c r="K5924" s="13"/>
      <c r="L5924" s="13"/>
      <c r="M5924" s="14"/>
      <c r="N5924" s="15"/>
      <c r="O5924" s="15"/>
      <c r="P5924" s="15"/>
      <c r="Q5924" s="15"/>
      <c r="R5924" s="422"/>
      <c r="S5924" s="15"/>
      <c r="T5924" s="15"/>
      <c r="U5924" s="15"/>
      <c r="V5924" s="15"/>
      <c r="W5924" s="15"/>
      <c r="X5924" s="15"/>
      <c r="Y5924" s="15"/>
      <c r="Z5924" s="15"/>
      <c r="AA5924" s="15"/>
    </row>
    <row r="5925">
      <c r="A5925" s="15"/>
      <c r="B5925" s="15"/>
      <c r="C5925" s="14"/>
      <c r="D5925" s="14"/>
      <c r="E5925" s="14"/>
      <c r="F5925" s="433"/>
      <c r="G5925" s="434"/>
      <c r="H5925" s="14"/>
      <c r="I5925" s="423"/>
      <c r="J5925" s="14"/>
      <c r="K5925" s="13"/>
      <c r="L5925" s="13"/>
      <c r="M5925" s="14"/>
      <c r="N5925" s="15"/>
      <c r="O5925" s="15"/>
      <c r="P5925" s="15"/>
      <c r="Q5925" s="15"/>
      <c r="R5925" s="422"/>
      <c r="S5925" s="15"/>
      <c r="T5925" s="15"/>
      <c r="U5925" s="15"/>
      <c r="V5925" s="15"/>
      <c r="W5925" s="15"/>
      <c r="X5925" s="15"/>
      <c r="Y5925" s="15"/>
      <c r="Z5925" s="15"/>
      <c r="AA5925" s="15"/>
    </row>
    <row r="5926">
      <c r="A5926" s="15"/>
      <c r="B5926" s="15"/>
      <c r="C5926" s="14"/>
      <c r="D5926" s="14"/>
      <c r="E5926" s="14"/>
      <c r="F5926" s="433"/>
      <c r="G5926" s="434"/>
      <c r="H5926" s="14"/>
      <c r="I5926" s="423"/>
      <c r="J5926" s="14"/>
      <c r="K5926" s="13"/>
      <c r="L5926" s="13"/>
      <c r="M5926" s="14"/>
      <c r="N5926" s="15"/>
      <c r="O5926" s="15"/>
      <c r="P5926" s="15"/>
      <c r="Q5926" s="15"/>
      <c r="R5926" s="422"/>
      <c r="S5926" s="15"/>
      <c r="T5926" s="15"/>
      <c r="U5926" s="15"/>
      <c r="V5926" s="15"/>
      <c r="W5926" s="15"/>
      <c r="X5926" s="15"/>
      <c r="Y5926" s="15"/>
      <c r="Z5926" s="15"/>
      <c r="AA5926" s="15"/>
    </row>
    <row r="5927">
      <c r="A5927" s="15"/>
      <c r="B5927" s="15"/>
      <c r="C5927" s="14"/>
      <c r="D5927" s="14"/>
      <c r="E5927" s="14"/>
      <c r="F5927" s="433"/>
      <c r="G5927" s="434"/>
      <c r="H5927" s="14"/>
      <c r="I5927" s="423"/>
      <c r="J5927" s="14"/>
      <c r="K5927" s="13"/>
      <c r="L5927" s="13"/>
      <c r="M5927" s="14"/>
      <c r="N5927" s="15"/>
      <c r="O5927" s="15"/>
      <c r="P5927" s="15"/>
      <c r="Q5927" s="15"/>
      <c r="R5927" s="422"/>
      <c r="S5927" s="15"/>
      <c r="T5927" s="15"/>
      <c r="U5927" s="15"/>
      <c r="V5927" s="15"/>
      <c r="W5927" s="15"/>
      <c r="X5927" s="15"/>
      <c r="Y5927" s="15"/>
      <c r="Z5927" s="15"/>
      <c r="AA5927" s="15"/>
    </row>
    <row r="5928">
      <c r="A5928" s="15"/>
      <c r="B5928" s="15"/>
      <c r="C5928" s="14"/>
      <c r="D5928" s="14"/>
      <c r="E5928" s="14"/>
      <c r="F5928" s="433"/>
      <c r="G5928" s="434"/>
      <c r="H5928" s="14"/>
      <c r="I5928" s="423"/>
      <c r="J5928" s="14"/>
      <c r="K5928" s="13"/>
      <c r="L5928" s="13"/>
      <c r="M5928" s="14"/>
      <c r="N5928" s="15"/>
      <c r="O5928" s="15"/>
      <c r="P5928" s="15"/>
      <c r="Q5928" s="15"/>
      <c r="R5928" s="422"/>
      <c r="S5928" s="15"/>
      <c r="T5928" s="15"/>
      <c r="U5928" s="15"/>
      <c r="V5928" s="15"/>
      <c r="W5928" s="15"/>
      <c r="X5928" s="15"/>
      <c r="Y5928" s="15"/>
      <c r="Z5928" s="15"/>
      <c r="AA5928" s="15"/>
    </row>
    <row r="5929">
      <c r="A5929" s="15"/>
      <c r="B5929" s="15"/>
      <c r="C5929" s="14"/>
      <c r="D5929" s="14"/>
      <c r="E5929" s="14"/>
      <c r="F5929" s="433"/>
      <c r="G5929" s="434"/>
      <c r="H5929" s="14"/>
      <c r="I5929" s="423"/>
      <c r="J5929" s="14"/>
      <c r="K5929" s="13"/>
      <c r="L5929" s="13"/>
      <c r="M5929" s="14"/>
      <c r="N5929" s="15"/>
      <c r="O5929" s="15"/>
      <c r="P5929" s="15"/>
      <c r="Q5929" s="15"/>
      <c r="R5929" s="422"/>
      <c r="S5929" s="15"/>
      <c r="T5929" s="15"/>
      <c r="U5929" s="15"/>
      <c r="V5929" s="15"/>
      <c r="W5929" s="15"/>
      <c r="X5929" s="15"/>
      <c r="Y5929" s="15"/>
      <c r="Z5929" s="15"/>
      <c r="AA5929" s="15"/>
    </row>
    <row r="5930">
      <c r="A5930" s="15"/>
      <c r="B5930" s="15"/>
      <c r="C5930" s="14"/>
      <c r="D5930" s="14"/>
      <c r="E5930" s="14"/>
      <c r="F5930" s="433"/>
      <c r="G5930" s="434"/>
      <c r="H5930" s="14"/>
      <c r="I5930" s="423"/>
      <c r="J5930" s="14"/>
      <c r="K5930" s="13"/>
      <c r="L5930" s="13"/>
      <c r="M5930" s="14"/>
      <c r="N5930" s="15"/>
      <c r="O5930" s="15"/>
      <c r="P5930" s="15"/>
      <c r="Q5930" s="15"/>
      <c r="R5930" s="422"/>
      <c r="S5930" s="15"/>
      <c r="T5930" s="15"/>
      <c r="U5930" s="15"/>
      <c r="V5930" s="15"/>
      <c r="W5930" s="15"/>
      <c r="X5930" s="15"/>
      <c r="Y5930" s="15"/>
      <c r="Z5930" s="15"/>
      <c r="AA5930" s="15"/>
    </row>
    <row r="5931">
      <c r="A5931" s="15"/>
      <c r="B5931" s="15"/>
      <c r="C5931" s="14"/>
      <c r="D5931" s="14"/>
      <c r="E5931" s="14"/>
      <c r="F5931" s="433"/>
      <c r="G5931" s="434"/>
      <c r="H5931" s="14"/>
      <c r="I5931" s="423"/>
      <c r="J5931" s="14"/>
      <c r="K5931" s="13"/>
      <c r="L5931" s="13"/>
      <c r="M5931" s="14"/>
      <c r="N5931" s="15"/>
      <c r="O5931" s="15"/>
      <c r="P5931" s="15"/>
      <c r="Q5931" s="15"/>
      <c r="R5931" s="422"/>
      <c r="S5931" s="15"/>
      <c r="T5931" s="15"/>
      <c r="U5931" s="15"/>
      <c r="V5931" s="15"/>
      <c r="W5931" s="15"/>
      <c r="X5931" s="15"/>
      <c r="Y5931" s="15"/>
      <c r="Z5931" s="15"/>
      <c r="AA5931" s="15"/>
    </row>
    <row r="5932">
      <c r="A5932" s="15"/>
      <c r="B5932" s="15"/>
      <c r="C5932" s="14"/>
      <c r="D5932" s="14"/>
      <c r="E5932" s="14"/>
      <c r="F5932" s="433"/>
      <c r="G5932" s="434"/>
      <c r="H5932" s="14"/>
      <c r="I5932" s="423"/>
      <c r="J5932" s="14"/>
      <c r="K5932" s="13"/>
      <c r="L5932" s="13"/>
      <c r="M5932" s="14"/>
      <c r="N5932" s="15"/>
      <c r="O5932" s="15"/>
      <c r="P5932" s="15"/>
      <c r="Q5932" s="15"/>
      <c r="R5932" s="422"/>
      <c r="S5932" s="15"/>
      <c r="T5932" s="15"/>
      <c r="U5932" s="15"/>
      <c r="V5932" s="15"/>
      <c r="W5932" s="15"/>
      <c r="X5932" s="15"/>
      <c r="Y5932" s="15"/>
      <c r="Z5932" s="15"/>
      <c r="AA5932" s="15"/>
    </row>
    <row r="5933">
      <c r="A5933" s="15"/>
      <c r="B5933" s="15"/>
      <c r="C5933" s="14"/>
      <c r="D5933" s="14"/>
      <c r="E5933" s="14"/>
      <c r="F5933" s="433"/>
      <c r="G5933" s="434"/>
      <c r="H5933" s="14"/>
      <c r="I5933" s="423"/>
      <c r="J5933" s="14"/>
      <c r="K5933" s="13"/>
      <c r="L5933" s="13"/>
      <c r="M5933" s="14"/>
      <c r="N5933" s="15"/>
      <c r="O5933" s="15"/>
      <c r="P5933" s="15"/>
      <c r="Q5933" s="15"/>
      <c r="R5933" s="422"/>
      <c r="S5933" s="15"/>
      <c r="T5933" s="15"/>
      <c r="U5933" s="15"/>
      <c r="V5933" s="15"/>
      <c r="W5933" s="15"/>
      <c r="X5933" s="15"/>
      <c r="Y5933" s="15"/>
      <c r="Z5933" s="15"/>
      <c r="AA5933" s="15"/>
    </row>
    <row r="5934">
      <c r="A5934" s="15"/>
      <c r="B5934" s="15"/>
      <c r="C5934" s="14"/>
      <c r="D5934" s="14"/>
      <c r="E5934" s="14"/>
      <c r="F5934" s="433"/>
      <c r="G5934" s="434"/>
      <c r="H5934" s="14"/>
      <c r="I5934" s="423"/>
      <c r="J5934" s="14"/>
      <c r="K5934" s="13"/>
      <c r="L5934" s="13"/>
      <c r="M5934" s="14"/>
      <c r="N5934" s="15"/>
      <c r="O5934" s="15"/>
      <c r="P5934" s="15"/>
      <c r="Q5934" s="15"/>
      <c r="R5934" s="422"/>
      <c r="S5934" s="15"/>
      <c r="T5934" s="15"/>
      <c r="U5934" s="15"/>
      <c r="V5934" s="15"/>
      <c r="W5934" s="15"/>
      <c r="X5934" s="15"/>
      <c r="Y5934" s="15"/>
      <c r="Z5934" s="15"/>
      <c r="AA5934" s="15"/>
    </row>
    <row r="5935">
      <c r="A5935" s="15"/>
      <c r="B5935" s="15"/>
      <c r="C5935" s="14"/>
      <c r="D5935" s="14"/>
      <c r="E5935" s="14"/>
      <c r="F5935" s="433"/>
      <c r="G5935" s="434"/>
      <c r="H5935" s="14"/>
      <c r="I5935" s="423"/>
      <c r="J5935" s="14"/>
      <c r="K5935" s="13"/>
      <c r="L5935" s="13"/>
      <c r="M5935" s="14"/>
      <c r="N5935" s="15"/>
      <c r="O5935" s="15"/>
      <c r="P5935" s="15"/>
      <c r="Q5935" s="15"/>
      <c r="R5935" s="422"/>
      <c r="S5935" s="15"/>
      <c r="T5935" s="15"/>
      <c r="U5935" s="15"/>
      <c r="V5935" s="15"/>
      <c r="W5935" s="15"/>
      <c r="X5935" s="15"/>
      <c r="Y5935" s="15"/>
      <c r="Z5935" s="15"/>
      <c r="AA5935" s="15"/>
    </row>
    <row r="5936">
      <c r="A5936" s="15"/>
      <c r="B5936" s="15"/>
      <c r="C5936" s="14"/>
      <c r="D5936" s="14"/>
      <c r="E5936" s="14"/>
      <c r="F5936" s="433"/>
      <c r="G5936" s="434"/>
      <c r="H5936" s="14"/>
      <c r="I5936" s="423"/>
      <c r="J5936" s="14"/>
      <c r="K5936" s="13"/>
      <c r="L5936" s="13"/>
      <c r="M5936" s="14"/>
      <c r="N5936" s="15"/>
      <c r="O5936" s="15"/>
      <c r="P5936" s="15"/>
      <c r="Q5936" s="15"/>
      <c r="R5936" s="422"/>
      <c r="S5936" s="15"/>
      <c r="T5936" s="15"/>
      <c r="U5936" s="15"/>
      <c r="V5936" s="15"/>
      <c r="W5936" s="15"/>
      <c r="X5936" s="15"/>
      <c r="Y5936" s="15"/>
      <c r="Z5936" s="15"/>
      <c r="AA5936" s="15"/>
    </row>
    <row r="5937">
      <c r="A5937" s="15"/>
      <c r="B5937" s="15"/>
      <c r="C5937" s="14"/>
      <c r="D5937" s="14"/>
      <c r="E5937" s="14"/>
      <c r="F5937" s="433"/>
      <c r="G5937" s="434"/>
      <c r="H5937" s="14"/>
      <c r="I5937" s="423"/>
      <c r="J5937" s="14"/>
      <c r="K5937" s="13"/>
      <c r="L5937" s="13"/>
      <c r="M5937" s="14"/>
      <c r="N5937" s="15"/>
      <c r="O5937" s="15"/>
      <c r="P5937" s="15"/>
      <c r="Q5937" s="15"/>
      <c r="R5937" s="422"/>
      <c r="S5937" s="15"/>
      <c r="T5937" s="15"/>
      <c r="U5937" s="15"/>
      <c r="V5937" s="15"/>
      <c r="W5937" s="15"/>
      <c r="X5937" s="15"/>
      <c r="Y5937" s="15"/>
      <c r="Z5937" s="15"/>
      <c r="AA5937" s="15"/>
    </row>
    <row r="5938">
      <c r="A5938" s="15"/>
      <c r="B5938" s="15"/>
      <c r="C5938" s="14"/>
      <c r="D5938" s="14"/>
      <c r="E5938" s="14"/>
      <c r="F5938" s="433"/>
      <c r="G5938" s="434"/>
      <c r="H5938" s="14"/>
      <c r="I5938" s="423"/>
      <c r="J5938" s="14"/>
      <c r="K5938" s="13"/>
      <c r="L5938" s="13"/>
      <c r="M5938" s="14"/>
      <c r="N5938" s="15"/>
      <c r="O5938" s="15"/>
      <c r="P5938" s="15"/>
      <c r="Q5938" s="15"/>
      <c r="R5938" s="422"/>
      <c r="S5938" s="15"/>
      <c r="T5938" s="15"/>
      <c r="U5938" s="15"/>
      <c r="V5938" s="15"/>
      <c r="W5938" s="15"/>
      <c r="X5938" s="15"/>
      <c r="Y5938" s="15"/>
      <c r="Z5938" s="15"/>
      <c r="AA5938" s="15"/>
    </row>
    <row r="5939">
      <c r="A5939" s="15"/>
      <c r="B5939" s="15"/>
      <c r="C5939" s="14"/>
      <c r="D5939" s="14"/>
      <c r="E5939" s="14"/>
      <c r="F5939" s="433"/>
      <c r="G5939" s="434"/>
      <c r="H5939" s="14"/>
      <c r="I5939" s="423"/>
      <c r="J5939" s="14"/>
      <c r="K5939" s="13"/>
      <c r="L5939" s="13"/>
      <c r="M5939" s="14"/>
      <c r="N5939" s="15"/>
      <c r="O5939" s="15"/>
      <c r="P5939" s="15"/>
      <c r="Q5939" s="15"/>
      <c r="R5939" s="422"/>
      <c r="S5939" s="15"/>
      <c r="T5939" s="15"/>
      <c r="U5939" s="15"/>
      <c r="V5939" s="15"/>
      <c r="W5939" s="15"/>
      <c r="X5939" s="15"/>
      <c r="Y5939" s="15"/>
      <c r="Z5939" s="15"/>
      <c r="AA5939" s="15"/>
    </row>
    <row r="5940">
      <c r="A5940" s="15"/>
      <c r="B5940" s="15"/>
      <c r="C5940" s="14"/>
      <c r="D5940" s="14"/>
      <c r="E5940" s="14"/>
      <c r="F5940" s="433"/>
      <c r="G5940" s="434"/>
      <c r="H5940" s="14"/>
      <c r="I5940" s="423"/>
      <c r="J5940" s="14"/>
      <c r="K5940" s="13"/>
      <c r="L5940" s="13"/>
      <c r="M5940" s="14"/>
      <c r="N5940" s="15"/>
      <c r="O5940" s="15"/>
      <c r="P5940" s="15"/>
      <c r="Q5940" s="15"/>
      <c r="R5940" s="422"/>
      <c r="S5940" s="15"/>
      <c r="T5940" s="15"/>
      <c r="U5940" s="15"/>
      <c r="V5940" s="15"/>
      <c r="W5940" s="15"/>
      <c r="X5940" s="15"/>
      <c r="Y5940" s="15"/>
      <c r="Z5940" s="15"/>
      <c r="AA5940" s="15"/>
    </row>
    <row r="5941">
      <c r="A5941" s="15"/>
      <c r="B5941" s="15"/>
      <c r="C5941" s="14"/>
      <c r="D5941" s="14"/>
      <c r="E5941" s="14"/>
      <c r="F5941" s="433"/>
      <c r="G5941" s="434"/>
      <c r="H5941" s="14"/>
      <c r="I5941" s="423"/>
      <c r="J5941" s="14"/>
      <c r="K5941" s="13"/>
      <c r="L5941" s="13"/>
      <c r="M5941" s="14"/>
      <c r="N5941" s="15"/>
      <c r="O5941" s="15"/>
      <c r="P5941" s="15"/>
      <c r="Q5941" s="15"/>
      <c r="R5941" s="422"/>
      <c r="S5941" s="15"/>
      <c r="T5941" s="15"/>
      <c r="U5941" s="15"/>
      <c r="V5941" s="15"/>
      <c r="W5941" s="15"/>
      <c r="X5941" s="15"/>
      <c r="Y5941" s="15"/>
      <c r="Z5941" s="15"/>
      <c r="AA5941" s="15"/>
    </row>
    <row r="5942">
      <c r="A5942" s="15"/>
      <c r="B5942" s="15"/>
      <c r="C5942" s="14"/>
      <c r="D5942" s="14"/>
      <c r="E5942" s="14"/>
      <c r="F5942" s="433"/>
      <c r="G5942" s="434"/>
      <c r="H5942" s="14"/>
      <c r="I5942" s="423"/>
      <c r="J5942" s="14"/>
      <c r="K5942" s="13"/>
      <c r="L5942" s="13"/>
      <c r="M5942" s="14"/>
      <c r="N5942" s="15"/>
      <c r="O5942" s="15"/>
      <c r="P5942" s="15"/>
      <c r="Q5942" s="15"/>
      <c r="R5942" s="422"/>
      <c r="S5942" s="15"/>
      <c r="T5942" s="15"/>
      <c r="U5942" s="15"/>
      <c r="V5942" s="15"/>
      <c r="W5942" s="15"/>
      <c r="X5942" s="15"/>
      <c r="Y5942" s="15"/>
      <c r="Z5942" s="15"/>
      <c r="AA5942" s="15"/>
    </row>
    <row r="5943">
      <c r="A5943" s="15"/>
      <c r="B5943" s="15"/>
      <c r="C5943" s="14"/>
      <c r="D5943" s="14"/>
      <c r="E5943" s="14"/>
      <c r="F5943" s="433"/>
      <c r="G5943" s="434"/>
      <c r="H5943" s="14"/>
      <c r="I5943" s="423"/>
      <c r="J5943" s="14"/>
      <c r="K5943" s="13"/>
      <c r="L5943" s="13"/>
      <c r="M5943" s="14"/>
      <c r="N5943" s="15"/>
      <c r="O5943" s="15"/>
      <c r="P5943" s="15"/>
      <c r="Q5943" s="15"/>
      <c r="R5943" s="422"/>
      <c r="S5943" s="15"/>
      <c r="T5943" s="15"/>
      <c r="U5943" s="15"/>
      <c r="V5943" s="15"/>
      <c r="W5943" s="15"/>
      <c r="X5943" s="15"/>
      <c r="Y5943" s="15"/>
      <c r="Z5943" s="15"/>
      <c r="AA5943" s="15"/>
    </row>
    <row r="5944">
      <c r="A5944" s="15"/>
      <c r="B5944" s="15"/>
      <c r="C5944" s="14"/>
      <c r="D5944" s="14"/>
      <c r="E5944" s="14"/>
      <c r="F5944" s="433"/>
      <c r="G5944" s="434"/>
      <c r="H5944" s="14"/>
      <c r="I5944" s="423"/>
      <c r="J5944" s="14"/>
      <c r="K5944" s="13"/>
      <c r="L5944" s="13"/>
      <c r="M5944" s="14"/>
      <c r="N5944" s="15"/>
      <c r="O5944" s="15"/>
      <c r="P5944" s="15"/>
      <c r="Q5944" s="15"/>
      <c r="R5944" s="422"/>
      <c r="S5944" s="15"/>
      <c r="T5944" s="15"/>
      <c r="U5944" s="15"/>
      <c r="V5944" s="15"/>
      <c r="W5944" s="15"/>
      <c r="X5944" s="15"/>
      <c r="Y5944" s="15"/>
      <c r="Z5944" s="15"/>
      <c r="AA5944" s="15"/>
    </row>
    <row r="5945">
      <c r="A5945" s="15"/>
      <c r="B5945" s="15"/>
      <c r="C5945" s="14"/>
      <c r="D5945" s="14"/>
      <c r="E5945" s="14"/>
      <c r="F5945" s="433"/>
      <c r="G5945" s="434"/>
      <c r="H5945" s="14"/>
      <c r="I5945" s="423"/>
      <c r="J5945" s="14"/>
      <c r="K5945" s="13"/>
      <c r="L5945" s="13"/>
      <c r="M5945" s="14"/>
      <c r="N5945" s="15"/>
      <c r="O5945" s="15"/>
      <c r="P5945" s="15"/>
      <c r="Q5945" s="15"/>
      <c r="R5945" s="422"/>
      <c r="S5945" s="15"/>
      <c r="T5945" s="15"/>
      <c r="U5945" s="15"/>
      <c r="V5945" s="15"/>
      <c r="W5945" s="15"/>
      <c r="X5945" s="15"/>
      <c r="Y5945" s="15"/>
      <c r="Z5945" s="15"/>
      <c r="AA5945" s="15"/>
    </row>
    <row r="5946">
      <c r="A5946" s="15"/>
      <c r="B5946" s="15"/>
      <c r="C5946" s="14"/>
      <c r="D5946" s="14"/>
      <c r="E5946" s="14"/>
      <c r="F5946" s="433"/>
      <c r="G5946" s="434"/>
      <c r="H5946" s="14"/>
      <c r="I5946" s="423"/>
      <c r="J5946" s="14"/>
      <c r="K5946" s="13"/>
      <c r="L5946" s="13"/>
      <c r="M5946" s="14"/>
      <c r="N5946" s="15"/>
      <c r="O5946" s="15"/>
      <c r="P5946" s="15"/>
      <c r="Q5946" s="15"/>
      <c r="R5946" s="422"/>
      <c r="S5946" s="15"/>
      <c r="T5946" s="15"/>
      <c r="U5946" s="15"/>
      <c r="V5946" s="15"/>
      <c r="W5946" s="15"/>
      <c r="X5946" s="15"/>
      <c r="Y5946" s="15"/>
      <c r="Z5946" s="15"/>
      <c r="AA5946" s="15"/>
    </row>
    <row r="5947">
      <c r="A5947" s="15"/>
      <c r="B5947" s="15"/>
      <c r="C5947" s="14"/>
      <c r="D5947" s="14"/>
      <c r="E5947" s="14"/>
      <c r="F5947" s="433"/>
      <c r="G5947" s="434"/>
      <c r="H5947" s="14"/>
      <c r="I5947" s="423"/>
      <c r="J5947" s="14"/>
      <c r="K5947" s="13"/>
      <c r="L5947" s="13"/>
      <c r="M5947" s="14"/>
      <c r="N5947" s="15"/>
      <c r="O5947" s="15"/>
      <c r="P5947" s="15"/>
      <c r="Q5947" s="15"/>
      <c r="R5947" s="422"/>
      <c r="S5947" s="15"/>
      <c r="T5947" s="15"/>
      <c r="U5947" s="15"/>
      <c r="V5947" s="15"/>
      <c r="W5947" s="15"/>
      <c r="X5947" s="15"/>
      <c r="Y5947" s="15"/>
      <c r="Z5947" s="15"/>
      <c r="AA5947" s="15"/>
    </row>
    <row r="5948">
      <c r="A5948" s="15"/>
      <c r="B5948" s="15"/>
      <c r="C5948" s="14"/>
      <c r="D5948" s="14"/>
      <c r="E5948" s="14"/>
      <c r="F5948" s="433"/>
      <c r="G5948" s="434"/>
      <c r="H5948" s="14"/>
      <c r="I5948" s="423"/>
      <c r="J5948" s="14"/>
      <c r="K5948" s="13"/>
      <c r="L5948" s="13"/>
      <c r="M5948" s="14"/>
      <c r="N5948" s="15"/>
      <c r="O5948" s="15"/>
      <c r="P5948" s="15"/>
      <c r="Q5948" s="15"/>
      <c r="R5948" s="422"/>
      <c r="S5948" s="15"/>
      <c r="T5948" s="15"/>
      <c r="U5948" s="15"/>
      <c r="V5948" s="15"/>
      <c r="W5948" s="15"/>
      <c r="X5948" s="15"/>
      <c r="Y5948" s="15"/>
      <c r="Z5948" s="15"/>
      <c r="AA5948" s="15"/>
    </row>
    <row r="5949">
      <c r="A5949" s="15"/>
      <c r="B5949" s="15"/>
      <c r="C5949" s="14"/>
      <c r="D5949" s="14"/>
      <c r="E5949" s="14"/>
      <c r="F5949" s="433"/>
      <c r="G5949" s="434"/>
      <c r="H5949" s="14"/>
      <c r="I5949" s="423"/>
      <c r="J5949" s="14"/>
      <c r="K5949" s="13"/>
      <c r="L5949" s="13"/>
      <c r="M5949" s="14"/>
      <c r="N5949" s="15"/>
      <c r="O5949" s="15"/>
      <c r="P5949" s="15"/>
      <c r="Q5949" s="15"/>
      <c r="R5949" s="422"/>
      <c r="S5949" s="15"/>
      <c r="T5949" s="15"/>
      <c r="U5949" s="15"/>
      <c r="V5949" s="15"/>
      <c r="W5949" s="15"/>
      <c r="X5949" s="15"/>
      <c r="Y5949" s="15"/>
      <c r="Z5949" s="15"/>
      <c r="AA5949" s="15"/>
    </row>
    <row r="5950">
      <c r="A5950" s="15"/>
      <c r="B5950" s="15"/>
      <c r="C5950" s="14"/>
      <c r="D5950" s="14"/>
      <c r="E5950" s="14"/>
      <c r="F5950" s="433"/>
      <c r="G5950" s="434"/>
      <c r="H5950" s="14"/>
      <c r="I5950" s="423"/>
      <c r="J5950" s="14"/>
      <c r="K5950" s="13"/>
      <c r="L5950" s="13"/>
      <c r="M5950" s="14"/>
      <c r="N5950" s="15"/>
      <c r="O5950" s="15"/>
      <c r="P5950" s="15"/>
      <c r="Q5950" s="15"/>
      <c r="R5950" s="422"/>
      <c r="S5950" s="15"/>
      <c r="T5950" s="15"/>
      <c r="U5950" s="15"/>
      <c r="V5950" s="15"/>
      <c r="W5950" s="15"/>
      <c r="X5950" s="15"/>
      <c r="Y5950" s="15"/>
      <c r="Z5950" s="15"/>
      <c r="AA5950" s="15"/>
    </row>
    <row r="5951">
      <c r="A5951" s="15"/>
      <c r="B5951" s="15"/>
      <c r="C5951" s="14"/>
      <c r="D5951" s="14"/>
      <c r="E5951" s="14"/>
      <c r="F5951" s="433"/>
      <c r="G5951" s="434"/>
      <c r="H5951" s="14"/>
      <c r="I5951" s="423"/>
      <c r="J5951" s="14"/>
      <c r="K5951" s="13"/>
      <c r="L5951" s="13"/>
      <c r="M5951" s="14"/>
      <c r="N5951" s="15"/>
      <c r="O5951" s="15"/>
      <c r="P5951" s="15"/>
      <c r="Q5951" s="15"/>
      <c r="R5951" s="422"/>
      <c r="S5951" s="15"/>
      <c r="T5951" s="15"/>
      <c r="U5951" s="15"/>
      <c r="V5951" s="15"/>
      <c r="W5951" s="15"/>
      <c r="X5951" s="15"/>
      <c r="Y5951" s="15"/>
      <c r="Z5951" s="15"/>
      <c r="AA5951" s="15"/>
    </row>
    <row r="5952">
      <c r="A5952" s="15"/>
      <c r="B5952" s="15"/>
      <c r="C5952" s="14"/>
      <c r="D5952" s="14"/>
      <c r="E5952" s="14"/>
      <c r="F5952" s="433"/>
      <c r="G5952" s="434"/>
      <c r="H5952" s="14"/>
      <c r="I5952" s="423"/>
      <c r="J5952" s="14"/>
      <c r="K5952" s="13"/>
      <c r="L5952" s="13"/>
      <c r="M5952" s="14"/>
      <c r="N5952" s="15"/>
      <c r="O5952" s="15"/>
      <c r="P5952" s="15"/>
      <c r="Q5952" s="15"/>
      <c r="R5952" s="422"/>
      <c r="S5952" s="15"/>
      <c r="T5952" s="15"/>
      <c r="U5952" s="15"/>
      <c r="V5952" s="15"/>
      <c r="W5952" s="15"/>
      <c r="X5952" s="15"/>
      <c r="Y5952" s="15"/>
      <c r="Z5952" s="15"/>
      <c r="AA5952" s="15"/>
    </row>
    <row r="5953">
      <c r="A5953" s="15"/>
      <c r="B5953" s="15"/>
      <c r="C5953" s="14"/>
      <c r="D5953" s="14"/>
      <c r="E5953" s="14"/>
      <c r="F5953" s="433"/>
      <c r="G5953" s="434"/>
      <c r="H5953" s="14"/>
      <c r="I5953" s="423"/>
      <c r="J5953" s="14"/>
      <c r="K5953" s="13"/>
      <c r="L5953" s="13"/>
      <c r="M5953" s="14"/>
      <c r="N5953" s="15"/>
      <c r="O5953" s="15"/>
      <c r="P5953" s="15"/>
      <c r="Q5953" s="15"/>
      <c r="R5953" s="422"/>
      <c r="S5953" s="15"/>
      <c r="T5953" s="15"/>
      <c r="U5953" s="15"/>
      <c r="V5953" s="15"/>
      <c r="W5953" s="15"/>
      <c r="X5953" s="15"/>
      <c r="Y5953" s="15"/>
      <c r="Z5953" s="15"/>
      <c r="AA5953" s="15"/>
    </row>
    <row r="5954">
      <c r="A5954" s="15"/>
      <c r="B5954" s="15"/>
      <c r="C5954" s="14"/>
      <c r="D5954" s="14"/>
      <c r="E5954" s="14"/>
      <c r="F5954" s="433"/>
      <c r="G5954" s="434"/>
      <c r="H5954" s="14"/>
      <c r="I5954" s="423"/>
      <c r="J5954" s="14"/>
      <c r="K5954" s="13"/>
      <c r="L5954" s="13"/>
      <c r="M5954" s="14"/>
      <c r="N5954" s="15"/>
      <c r="O5954" s="15"/>
      <c r="P5954" s="15"/>
      <c r="Q5954" s="15"/>
      <c r="R5954" s="422"/>
      <c r="S5954" s="15"/>
      <c r="T5954" s="15"/>
      <c r="U5954" s="15"/>
      <c r="V5954" s="15"/>
      <c r="W5954" s="15"/>
      <c r="X5954" s="15"/>
      <c r="Y5954" s="15"/>
      <c r="Z5954" s="15"/>
      <c r="AA5954" s="15"/>
    </row>
    <row r="5955">
      <c r="A5955" s="15"/>
      <c r="B5955" s="15"/>
      <c r="C5955" s="14"/>
      <c r="D5955" s="14"/>
      <c r="E5955" s="14"/>
      <c r="F5955" s="433"/>
      <c r="G5955" s="434"/>
      <c r="H5955" s="14"/>
      <c r="I5955" s="423"/>
      <c r="J5955" s="14"/>
      <c r="K5955" s="13"/>
      <c r="L5955" s="13"/>
      <c r="M5955" s="14"/>
      <c r="N5955" s="15"/>
      <c r="O5955" s="15"/>
      <c r="P5955" s="15"/>
      <c r="Q5955" s="15"/>
      <c r="R5955" s="422"/>
      <c r="S5955" s="15"/>
      <c r="T5955" s="15"/>
      <c r="U5955" s="15"/>
      <c r="V5955" s="15"/>
      <c r="W5955" s="15"/>
      <c r="X5955" s="15"/>
      <c r="Y5955" s="15"/>
      <c r="Z5955" s="15"/>
      <c r="AA5955" s="15"/>
    </row>
    <row r="5956">
      <c r="A5956" s="15"/>
      <c r="B5956" s="15"/>
      <c r="C5956" s="14"/>
      <c r="D5956" s="14"/>
      <c r="E5956" s="14"/>
      <c r="F5956" s="433"/>
      <c r="G5956" s="434"/>
      <c r="H5956" s="14"/>
      <c r="I5956" s="423"/>
      <c r="J5956" s="14"/>
      <c r="K5956" s="13"/>
      <c r="L5956" s="13"/>
      <c r="M5956" s="14"/>
      <c r="N5956" s="15"/>
      <c r="O5956" s="15"/>
      <c r="P5956" s="15"/>
      <c r="Q5956" s="15"/>
      <c r="R5956" s="422"/>
      <c r="S5956" s="15"/>
      <c r="T5956" s="15"/>
      <c r="U5956" s="15"/>
      <c r="V5956" s="15"/>
      <c r="W5956" s="15"/>
      <c r="X5956" s="15"/>
      <c r="Y5956" s="15"/>
      <c r="Z5956" s="15"/>
      <c r="AA5956" s="15"/>
    </row>
    <row r="5957">
      <c r="A5957" s="15"/>
      <c r="B5957" s="15"/>
      <c r="C5957" s="14"/>
      <c r="D5957" s="14"/>
      <c r="E5957" s="14"/>
      <c r="F5957" s="433"/>
      <c r="G5957" s="434"/>
      <c r="H5957" s="14"/>
      <c r="I5957" s="423"/>
      <c r="J5957" s="14"/>
      <c r="K5957" s="13"/>
      <c r="L5957" s="13"/>
      <c r="M5957" s="14"/>
      <c r="N5957" s="15"/>
      <c r="O5957" s="15"/>
      <c r="P5957" s="15"/>
      <c r="Q5957" s="15"/>
      <c r="R5957" s="422"/>
      <c r="S5957" s="15"/>
      <c r="T5957" s="15"/>
      <c r="U5957" s="15"/>
      <c r="V5957" s="15"/>
      <c r="W5957" s="15"/>
      <c r="X5957" s="15"/>
      <c r="Y5957" s="15"/>
      <c r="Z5957" s="15"/>
      <c r="AA5957" s="15"/>
    </row>
    <row r="5958">
      <c r="A5958" s="15"/>
      <c r="B5958" s="15"/>
      <c r="C5958" s="14"/>
      <c r="D5958" s="14"/>
      <c r="E5958" s="14"/>
      <c r="F5958" s="433"/>
      <c r="G5958" s="434"/>
      <c r="H5958" s="14"/>
      <c r="I5958" s="423"/>
      <c r="J5958" s="14"/>
      <c r="K5958" s="13"/>
      <c r="L5958" s="13"/>
      <c r="M5958" s="14"/>
      <c r="N5958" s="15"/>
      <c r="O5958" s="15"/>
      <c r="P5958" s="15"/>
      <c r="Q5958" s="15"/>
      <c r="R5958" s="422"/>
      <c r="S5958" s="15"/>
      <c r="T5958" s="15"/>
      <c r="U5958" s="15"/>
      <c r="V5958" s="15"/>
      <c r="W5958" s="15"/>
      <c r="X5958" s="15"/>
      <c r="Y5958" s="15"/>
      <c r="Z5958" s="15"/>
      <c r="AA5958" s="15"/>
    </row>
    <row r="5959">
      <c r="A5959" s="15"/>
      <c r="B5959" s="15"/>
      <c r="C5959" s="14"/>
      <c r="D5959" s="14"/>
      <c r="E5959" s="14"/>
      <c r="F5959" s="433"/>
      <c r="G5959" s="434"/>
      <c r="H5959" s="14"/>
      <c r="I5959" s="423"/>
      <c r="J5959" s="14"/>
      <c r="K5959" s="13"/>
      <c r="L5959" s="13"/>
      <c r="M5959" s="14"/>
      <c r="N5959" s="15"/>
      <c r="O5959" s="15"/>
      <c r="P5959" s="15"/>
      <c r="Q5959" s="15"/>
      <c r="R5959" s="422"/>
      <c r="S5959" s="15"/>
      <c r="T5959" s="15"/>
      <c r="U5959" s="15"/>
      <c r="V5959" s="15"/>
      <c r="W5959" s="15"/>
      <c r="X5959" s="15"/>
      <c r="Y5959" s="15"/>
      <c r="Z5959" s="15"/>
      <c r="AA5959" s="15"/>
    </row>
    <row r="5960">
      <c r="A5960" s="15"/>
      <c r="B5960" s="15"/>
      <c r="C5960" s="14"/>
      <c r="D5960" s="14"/>
      <c r="E5960" s="14"/>
      <c r="F5960" s="433"/>
      <c r="G5960" s="434"/>
      <c r="H5960" s="14"/>
      <c r="I5960" s="423"/>
      <c r="J5960" s="14"/>
      <c r="K5960" s="13"/>
      <c r="L5960" s="13"/>
      <c r="M5960" s="14"/>
      <c r="N5960" s="15"/>
      <c r="O5960" s="15"/>
      <c r="P5960" s="15"/>
      <c r="Q5960" s="15"/>
      <c r="R5960" s="422"/>
      <c r="S5960" s="15"/>
      <c r="T5960" s="15"/>
      <c r="U5960" s="15"/>
      <c r="V5960" s="15"/>
      <c r="W5960" s="15"/>
      <c r="X5960" s="15"/>
      <c r="Y5960" s="15"/>
      <c r="Z5960" s="15"/>
      <c r="AA5960" s="15"/>
    </row>
    <row r="5961">
      <c r="A5961" s="15"/>
      <c r="B5961" s="15"/>
      <c r="C5961" s="14"/>
      <c r="D5961" s="14"/>
      <c r="E5961" s="14"/>
      <c r="F5961" s="433"/>
      <c r="G5961" s="434"/>
      <c r="H5961" s="14"/>
      <c r="I5961" s="423"/>
      <c r="J5961" s="14"/>
      <c r="K5961" s="13"/>
      <c r="L5961" s="13"/>
      <c r="M5961" s="14"/>
      <c r="N5961" s="15"/>
      <c r="O5961" s="15"/>
      <c r="P5961" s="15"/>
      <c r="Q5961" s="15"/>
      <c r="R5961" s="422"/>
      <c r="S5961" s="15"/>
      <c r="T5961" s="15"/>
      <c r="U5961" s="15"/>
      <c r="V5961" s="15"/>
      <c r="W5961" s="15"/>
      <c r="X5961" s="15"/>
      <c r="Y5961" s="15"/>
      <c r="Z5961" s="15"/>
      <c r="AA5961" s="15"/>
    </row>
    <row r="5962">
      <c r="A5962" s="15"/>
      <c r="B5962" s="15"/>
      <c r="C5962" s="14"/>
      <c r="D5962" s="14"/>
      <c r="E5962" s="14"/>
      <c r="F5962" s="433"/>
      <c r="G5962" s="434"/>
      <c r="H5962" s="14"/>
      <c r="I5962" s="423"/>
      <c r="J5962" s="14"/>
      <c r="K5962" s="13"/>
      <c r="L5962" s="13"/>
      <c r="M5962" s="14"/>
      <c r="N5962" s="15"/>
      <c r="O5962" s="15"/>
      <c r="P5962" s="15"/>
      <c r="Q5962" s="15"/>
      <c r="R5962" s="422"/>
      <c r="S5962" s="15"/>
      <c r="T5962" s="15"/>
      <c r="U5962" s="15"/>
      <c r="V5962" s="15"/>
      <c r="W5962" s="15"/>
      <c r="X5962" s="15"/>
      <c r="Y5962" s="15"/>
      <c r="Z5962" s="15"/>
      <c r="AA5962" s="15"/>
    </row>
    <row r="5963">
      <c r="A5963" s="15"/>
      <c r="B5963" s="15"/>
      <c r="C5963" s="14"/>
      <c r="D5963" s="14"/>
      <c r="E5963" s="14"/>
      <c r="F5963" s="433"/>
      <c r="G5963" s="434"/>
      <c r="H5963" s="14"/>
      <c r="I5963" s="423"/>
      <c r="J5963" s="14"/>
      <c r="K5963" s="13"/>
      <c r="L5963" s="13"/>
      <c r="M5963" s="14"/>
      <c r="N5963" s="15"/>
      <c r="O5963" s="15"/>
      <c r="P5963" s="15"/>
      <c r="Q5963" s="15"/>
      <c r="R5963" s="422"/>
      <c r="S5963" s="15"/>
      <c r="T5963" s="15"/>
      <c r="U5963" s="15"/>
      <c r="V5963" s="15"/>
      <c r="W5963" s="15"/>
      <c r="X5963" s="15"/>
      <c r="Y5963" s="15"/>
      <c r="Z5963" s="15"/>
      <c r="AA5963" s="15"/>
    </row>
    <row r="5964">
      <c r="A5964" s="15"/>
      <c r="B5964" s="15"/>
      <c r="C5964" s="14"/>
      <c r="D5964" s="14"/>
      <c r="E5964" s="14"/>
      <c r="F5964" s="433"/>
      <c r="G5964" s="434"/>
      <c r="H5964" s="14"/>
      <c r="I5964" s="423"/>
      <c r="J5964" s="14"/>
      <c r="K5964" s="13"/>
      <c r="L5964" s="13"/>
      <c r="M5964" s="14"/>
      <c r="N5964" s="15"/>
      <c r="O5964" s="15"/>
      <c r="P5964" s="15"/>
      <c r="Q5964" s="15"/>
      <c r="R5964" s="422"/>
      <c r="S5964" s="15"/>
      <c r="T5964" s="15"/>
      <c r="U5964" s="15"/>
      <c r="V5964" s="15"/>
      <c r="W5964" s="15"/>
      <c r="X5964" s="15"/>
      <c r="Y5964" s="15"/>
      <c r="Z5964" s="15"/>
      <c r="AA5964" s="15"/>
    </row>
    <row r="5965">
      <c r="A5965" s="15"/>
      <c r="B5965" s="15"/>
      <c r="C5965" s="14"/>
      <c r="D5965" s="14"/>
      <c r="E5965" s="14"/>
      <c r="F5965" s="433"/>
      <c r="G5965" s="434"/>
      <c r="H5965" s="14"/>
      <c r="I5965" s="423"/>
      <c r="J5965" s="14"/>
      <c r="K5965" s="13"/>
      <c r="L5965" s="13"/>
      <c r="M5965" s="14"/>
      <c r="N5965" s="15"/>
      <c r="O5965" s="15"/>
      <c r="P5965" s="15"/>
      <c r="Q5965" s="15"/>
      <c r="R5965" s="422"/>
      <c r="S5965" s="15"/>
      <c r="T5965" s="15"/>
      <c r="U5965" s="15"/>
      <c r="V5965" s="15"/>
      <c r="W5965" s="15"/>
      <c r="X5965" s="15"/>
      <c r="Y5965" s="15"/>
      <c r="Z5965" s="15"/>
      <c r="AA5965" s="15"/>
    </row>
    <row r="5966">
      <c r="A5966" s="15"/>
      <c r="B5966" s="15"/>
      <c r="C5966" s="14"/>
      <c r="D5966" s="14"/>
      <c r="E5966" s="14"/>
      <c r="F5966" s="433"/>
      <c r="G5966" s="434"/>
      <c r="H5966" s="14"/>
      <c r="I5966" s="423"/>
      <c r="J5966" s="14"/>
      <c r="K5966" s="13"/>
      <c r="L5966" s="13"/>
      <c r="M5966" s="14"/>
      <c r="N5966" s="15"/>
      <c r="O5966" s="15"/>
      <c r="P5966" s="15"/>
      <c r="Q5966" s="15"/>
      <c r="R5966" s="422"/>
      <c r="S5966" s="15"/>
      <c r="T5966" s="15"/>
      <c r="U5966" s="15"/>
      <c r="V5966" s="15"/>
      <c r="W5966" s="15"/>
      <c r="X5966" s="15"/>
      <c r="Y5966" s="15"/>
      <c r="Z5966" s="15"/>
      <c r="AA5966" s="15"/>
    </row>
    <row r="5967">
      <c r="A5967" s="15"/>
      <c r="B5967" s="15"/>
      <c r="C5967" s="14"/>
      <c r="D5967" s="14"/>
      <c r="E5967" s="14"/>
      <c r="F5967" s="433"/>
      <c r="G5967" s="434"/>
      <c r="H5967" s="14"/>
      <c r="I5967" s="423"/>
      <c r="J5967" s="14"/>
      <c r="K5967" s="13"/>
      <c r="L5967" s="13"/>
      <c r="M5967" s="14"/>
      <c r="N5967" s="15"/>
      <c r="O5967" s="15"/>
      <c r="P5967" s="15"/>
      <c r="Q5967" s="15"/>
      <c r="R5967" s="422"/>
      <c r="S5967" s="15"/>
      <c r="T5967" s="15"/>
      <c r="U5967" s="15"/>
      <c r="V5967" s="15"/>
      <c r="W5967" s="15"/>
      <c r="X5967" s="15"/>
      <c r="Y5967" s="15"/>
      <c r="Z5967" s="15"/>
      <c r="AA5967" s="15"/>
    </row>
    <row r="5968">
      <c r="A5968" s="15"/>
      <c r="B5968" s="15"/>
      <c r="C5968" s="14"/>
      <c r="D5968" s="14"/>
      <c r="E5968" s="14"/>
      <c r="F5968" s="433"/>
      <c r="G5968" s="434"/>
      <c r="H5968" s="14"/>
      <c r="I5968" s="423"/>
      <c r="J5968" s="14"/>
      <c r="K5968" s="13"/>
      <c r="L5968" s="13"/>
      <c r="M5968" s="14"/>
      <c r="N5968" s="15"/>
      <c r="O5968" s="15"/>
      <c r="P5968" s="15"/>
      <c r="Q5968" s="15"/>
      <c r="R5968" s="422"/>
      <c r="S5968" s="15"/>
      <c r="T5968" s="15"/>
      <c r="U5968" s="15"/>
      <c r="V5968" s="15"/>
      <c r="W5968" s="15"/>
      <c r="X5968" s="15"/>
      <c r="Y5968" s="15"/>
      <c r="Z5968" s="15"/>
      <c r="AA5968" s="15"/>
    </row>
    <row r="5969">
      <c r="A5969" s="15"/>
      <c r="B5969" s="15"/>
      <c r="C5969" s="14"/>
      <c r="D5969" s="14"/>
      <c r="E5969" s="14"/>
      <c r="F5969" s="433"/>
      <c r="G5969" s="434"/>
      <c r="H5969" s="14"/>
      <c r="I5969" s="423"/>
      <c r="J5969" s="14"/>
      <c r="K5969" s="13"/>
      <c r="L5969" s="13"/>
      <c r="M5969" s="14"/>
      <c r="N5969" s="15"/>
      <c r="O5969" s="15"/>
      <c r="P5969" s="15"/>
      <c r="Q5969" s="15"/>
      <c r="R5969" s="422"/>
      <c r="S5969" s="15"/>
      <c r="T5969" s="15"/>
      <c r="U5969" s="15"/>
      <c r="V5969" s="15"/>
      <c r="W5969" s="15"/>
      <c r="X5969" s="15"/>
      <c r="Y5969" s="15"/>
      <c r="Z5969" s="15"/>
      <c r="AA5969" s="15"/>
    </row>
    <row r="5970">
      <c r="A5970" s="15"/>
      <c r="B5970" s="15"/>
      <c r="C5970" s="14"/>
      <c r="D5970" s="14"/>
      <c r="E5970" s="14"/>
      <c r="F5970" s="433"/>
      <c r="G5970" s="434"/>
      <c r="H5970" s="14"/>
      <c r="I5970" s="423"/>
      <c r="J5970" s="14"/>
      <c r="K5970" s="13"/>
      <c r="L5970" s="13"/>
      <c r="M5970" s="14"/>
      <c r="N5970" s="15"/>
      <c r="O5970" s="15"/>
      <c r="P5970" s="15"/>
      <c r="Q5970" s="15"/>
      <c r="R5970" s="422"/>
      <c r="S5970" s="15"/>
      <c r="T5970" s="15"/>
      <c r="U5970" s="15"/>
      <c r="V5970" s="15"/>
      <c r="W5970" s="15"/>
      <c r="X5970" s="15"/>
      <c r="Y5970" s="15"/>
      <c r="Z5970" s="15"/>
      <c r="AA5970" s="15"/>
    </row>
    <row r="5971">
      <c r="A5971" s="15"/>
      <c r="B5971" s="15"/>
      <c r="C5971" s="14"/>
      <c r="D5971" s="14"/>
      <c r="E5971" s="14"/>
      <c r="F5971" s="433"/>
      <c r="G5971" s="434"/>
      <c r="H5971" s="14"/>
      <c r="I5971" s="423"/>
      <c r="J5971" s="14"/>
      <c r="K5971" s="13"/>
      <c r="L5971" s="13"/>
      <c r="M5971" s="14"/>
      <c r="N5971" s="15"/>
      <c r="O5971" s="15"/>
      <c r="P5971" s="15"/>
      <c r="Q5971" s="15"/>
      <c r="R5971" s="422"/>
      <c r="S5971" s="15"/>
      <c r="T5971" s="15"/>
      <c r="U5971" s="15"/>
      <c r="V5971" s="15"/>
      <c r="W5971" s="15"/>
      <c r="X5971" s="15"/>
      <c r="Y5971" s="15"/>
      <c r="Z5971" s="15"/>
      <c r="AA5971" s="15"/>
    </row>
    <row r="5972">
      <c r="A5972" s="15"/>
      <c r="B5972" s="15"/>
      <c r="C5972" s="14"/>
      <c r="D5972" s="14"/>
      <c r="E5972" s="14"/>
      <c r="F5972" s="433"/>
      <c r="G5972" s="434"/>
      <c r="H5972" s="14"/>
      <c r="I5972" s="423"/>
      <c r="J5972" s="14"/>
      <c r="K5972" s="13"/>
      <c r="L5972" s="13"/>
      <c r="M5972" s="14"/>
      <c r="N5972" s="15"/>
      <c r="O5972" s="15"/>
      <c r="P5972" s="15"/>
      <c r="Q5972" s="15"/>
      <c r="R5972" s="422"/>
      <c r="S5972" s="15"/>
      <c r="T5972" s="15"/>
      <c r="U5972" s="15"/>
      <c r="V5972" s="15"/>
      <c r="W5972" s="15"/>
      <c r="X5972" s="15"/>
      <c r="Y5972" s="15"/>
      <c r="Z5972" s="15"/>
      <c r="AA5972" s="15"/>
    </row>
    <row r="5973">
      <c r="A5973" s="15"/>
      <c r="B5973" s="15"/>
      <c r="C5973" s="14"/>
      <c r="D5973" s="14"/>
      <c r="E5973" s="14"/>
      <c r="F5973" s="433"/>
      <c r="G5973" s="434"/>
      <c r="H5973" s="14"/>
      <c r="I5973" s="423"/>
      <c r="J5973" s="14"/>
      <c r="K5973" s="13"/>
      <c r="L5973" s="13"/>
      <c r="M5973" s="14"/>
      <c r="N5973" s="15"/>
      <c r="O5973" s="15"/>
      <c r="P5973" s="15"/>
      <c r="Q5973" s="15"/>
      <c r="R5973" s="422"/>
      <c r="S5973" s="15"/>
      <c r="T5973" s="15"/>
      <c r="U5973" s="15"/>
      <c r="V5973" s="15"/>
      <c r="W5973" s="15"/>
      <c r="X5973" s="15"/>
      <c r="Y5973" s="15"/>
      <c r="Z5973" s="15"/>
      <c r="AA5973" s="15"/>
    </row>
    <row r="5974">
      <c r="A5974" s="15"/>
      <c r="B5974" s="15"/>
      <c r="C5974" s="14"/>
      <c r="D5974" s="14"/>
      <c r="E5974" s="14"/>
      <c r="F5974" s="433"/>
      <c r="G5974" s="434"/>
      <c r="H5974" s="14"/>
      <c r="I5974" s="423"/>
      <c r="J5974" s="14"/>
      <c r="K5974" s="13"/>
      <c r="L5974" s="13"/>
      <c r="M5974" s="14"/>
      <c r="N5974" s="15"/>
      <c r="O5974" s="15"/>
      <c r="P5974" s="15"/>
      <c r="Q5974" s="15"/>
      <c r="R5974" s="422"/>
      <c r="S5974" s="15"/>
      <c r="T5974" s="15"/>
      <c r="U5974" s="15"/>
      <c r="V5974" s="15"/>
      <c r="W5974" s="15"/>
      <c r="X5974" s="15"/>
      <c r="Y5974" s="15"/>
      <c r="Z5974" s="15"/>
      <c r="AA5974" s="15"/>
    </row>
    <row r="5975">
      <c r="A5975" s="15"/>
      <c r="B5975" s="15"/>
      <c r="C5975" s="14"/>
      <c r="D5975" s="14"/>
      <c r="E5975" s="14"/>
      <c r="F5975" s="433"/>
      <c r="G5975" s="434"/>
      <c r="H5975" s="14"/>
      <c r="I5975" s="423"/>
      <c r="J5975" s="14"/>
      <c r="K5975" s="13"/>
      <c r="L5975" s="13"/>
      <c r="M5975" s="14"/>
      <c r="N5975" s="15"/>
      <c r="O5975" s="15"/>
      <c r="P5975" s="15"/>
      <c r="Q5975" s="15"/>
      <c r="R5975" s="422"/>
      <c r="S5975" s="15"/>
      <c r="T5975" s="15"/>
      <c r="U5975" s="15"/>
      <c r="V5975" s="15"/>
      <c r="W5975" s="15"/>
      <c r="X5975" s="15"/>
      <c r="Y5975" s="15"/>
      <c r="Z5975" s="15"/>
      <c r="AA5975" s="15"/>
    </row>
    <row r="5976">
      <c r="A5976" s="15"/>
      <c r="B5976" s="15"/>
      <c r="C5976" s="14"/>
      <c r="D5976" s="14"/>
      <c r="E5976" s="14"/>
      <c r="F5976" s="433"/>
      <c r="G5976" s="434"/>
      <c r="H5976" s="14"/>
      <c r="I5976" s="423"/>
      <c r="J5976" s="14"/>
      <c r="K5976" s="13"/>
      <c r="L5976" s="13"/>
      <c r="M5976" s="14"/>
      <c r="N5976" s="15"/>
      <c r="O5976" s="15"/>
      <c r="P5976" s="15"/>
      <c r="Q5976" s="15"/>
      <c r="R5976" s="422"/>
      <c r="S5976" s="15"/>
      <c r="T5976" s="15"/>
      <c r="U5976" s="15"/>
      <c r="V5976" s="15"/>
      <c r="W5976" s="15"/>
      <c r="X5976" s="15"/>
      <c r="Y5976" s="15"/>
      <c r="Z5976" s="15"/>
      <c r="AA5976" s="15"/>
    </row>
    <row r="5977">
      <c r="A5977" s="15"/>
      <c r="B5977" s="15"/>
      <c r="C5977" s="14"/>
      <c r="D5977" s="14"/>
      <c r="E5977" s="14"/>
      <c r="F5977" s="433"/>
      <c r="G5977" s="434"/>
      <c r="H5977" s="14"/>
      <c r="I5977" s="423"/>
      <c r="J5977" s="14"/>
      <c r="K5977" s="13"/>
      <c r="L5977" s="13"/>
      <c r="M5977" s="14"/>
      <c r="N5977" s="15"/>
      <c r="O5977" s="15"/>
      <c r="P5977" s="15"/>
      <c r="Q5977" s="15"/>
      <c r="R5977" s="422"/>
      <c r="S5977" s="15"/>
      <c r="T5977" s="15"/>
      <c r="U5977" s="15"/>
      <c r="V5977" s="15"/>
      <c r="W5977" s="15"/>
      <c r="X5977" s="15"/>
      <c r="Y5977" s="15"/>
      <c r="Z5977" s="15"/>
      <c r="AA5977" s="15"/>
    </row>
    <row r="5978">
      <c r="A5978" s="15"/>
      <c r="B5978" s="15"/>
      <c r="C5978" s="14"/>
      <c r="D5978" s="14"/>
      <c r="E5978" s="14"/>
      <c r="F5978" s="433"/>
      <c r="G5978" s="434"/>
      <c r="H5978" s="14"/>
      <c r="I5978" s="423"/>
      <c r="J5978" s="14"/>
      <c r="K5978" s="13"/>
      <c r="L5978" s="13"/>
      <c r="M5978" s="14"/>
      <c r="N5978" s="15"/>
      <c r="O5978" s="15"/>
      <c r="P5978" s="15"/>
      <c r="Q5978" s="15"/>
      <c r="R5978" s="422"/>
      <c r="S5978" s="15"/>
      <c r="T5978" s="15"/>
      <c r="U5978" s="15"/>
      <c r="V5978" s="15"/>
      <c r="W5978" s="15"/>
      <c r="X5978" s="15"/>
      <c r="Y5978" s="15"/>
      <c r="Z5978" s="15"/>
      <c r="AA5978" s="15"/>
    </row>
    <row r="5979">
      <c r="A5979" s="15"/>
      <c r="B5979" s="15"/>
      <c r="C5979" s="14"/>
      <c r="D5979" s="14"/>
      <c r="E5979" s="14"/>
      <c r="F5979" s="433"/>
      <c r="G5979" s="434"/>
      <c r="H5979" s="14"/>
      <c r="I5979" s="423"/>
      <c r="J5979" s="14"/>
      <c r="K5979" s="13"/>
      <c r="L5979" s="13"/>
      <c r="M5979" s="14"/>
      <c r="N5979" s="15"/>
      <c r="O5979" s="15"/>
      <c r="P5979" s="15"/>
      <c r="Q5979" s="15"/>
      <c r="R5979" s="422"/>
      <c r="S5979" s="15"/>
      <c r="T5979" s="15"/>
      <c r="U5979" s="15"/>
      <c r="V5979" s="15"/>
      <c r="W5979" s="15"/>
      <c r="X5979" s="15"/>
      <c r="Y5979" s="15"/>
      <c r="Z5979" s="15"/>
      <c r="AA5979" s="15"/>
    </row>
    <row r="5980">
      <c r="A5980" s="15"/>
      <c r="B5980" s="15"/>
      <c r="C5980" s="14"/>
      <c r="D5980" s="14"/>
      <c r="E5980" s="14"/>
      <c r="F5980" s="433"/>
      <c r="G5980" s="434"/>
      <c r="H5980" s="14"/>
      <c r="I5980" s="423"/>
      <c r="J5980" s="14"/>
      <c r="K5980" s="13"/>
      <c r="L5980" s="13"/>
      <c r="M5980" s="14"/>
      <c r="N5980" s="15"/>
      <c r="O5980" s="15"/>
      <c r="P5980" s="15"/>
      <c r="Q5980" s="15"/>
      <c r="R5980" s="422"/>
      <c r="S5980" s="15"/>
      <c r="T5980" s="15"/>
      <c r="U5980" s="15"/>
      <c r="V5980" s="15"/>
      <c r="W5980" s="15"/>
      <c r="X5980" s="15"/>
      <c r="Y5980" s="15"/>
      <c r="Z5980" s="15"/>
      <c r="AA5980" s="15"/>
    </row>
    <row r="5981">
      <c r="A5981" s="15"/>
      <c r="B5981" s="15"/>
      <c r="C5981" s="14"/>
      <c r="D5981" s="14"/>
      <c r="E5981" s="14"/>
      <c r="F5981" s="433"/>
      <c r="G5981" s="434"/>
      <c r="H5981" s="14"/>
      <c r="I5981" s="423"/>
      <c r="J5981" s="14"/>
      <c r="K5981" s="13"/>
      <c r="L5981" s="13"/>
      <c r="M5981" s="14"/>
      <c r="N5981" s="15"/>
      <c r="O5981" s="15"/>
      <c r="P5981" s="15"/>
      <c r="Q5981" s="15"/>
      <c r="R5981" s="422"/>
      <c r="S5981" s="15"/>
      <c r="T5981" s="15"/>
      <c r="U5981" s="15"/>
      <c r="V5981" s="15"/>
      <c r="W5981" s="15"/>
      <c r="X5981" s="15"/>
      <c r="Y5981" s="15"/>
      <c r="Z5981" s="15"/>
      <c r="AA5981" s="15"/>
    </row>
    <row r="5982">
      <c r="A5982" s="15"/>
      <c r="B5982" s="15"/>
      <c r="C5982" s="14"/>
      <c r="D5982" s="14"/>
      <c r="E5982" s="14"/>
      <c r="F5982" s="433"/>
      <c r="G5982" s="434"/>
      <c r="H5982" s="14"/>
      <c r="I5982" s="423"/>
      <c r="J5982" s="14"/>
      <c r="K5982" s="13"/>
      <c r="L5982" s="13"/>
      <c r="M5982" s="14"/>
      <c r="N5982" s="15"/>
      <c r="O5982" s="15"/>
      <c r="P5982" s="15"/>
      <c r="Q5982" s="15"/>
      <c r="R5982" s="422"/>
      <c r="S5982" s="15"/>
      <c r="T5982" s="15"/>
      <c r="U5982" s="15"/>
      <c r="V5982" s="15"/>
      <c r="W5982" s="15"/>
      <c r="X5982" s="15"/>
      <c r="Y5982" s="15"/>
      <c r="Z5982" s="15"/>
      <c r="AA5982" s="15"/>
    </row>
    <row r="5983">
      <c r="A5983" s="15"/>
      <c r="B5983" s="15"/>
      <c r="C5983" s="14"/>
      <c r="D5983" s="14"/>
      <c r="E5983" s="14"/>
      <c r="F5983" s="433"/>
      <c r="G5983" s="434"/>
      <c r="H5983" s="14"/>
      <c r="I5983" s="423"/>
      <c r="J5983" s="14"/>
      <c r="K5983" s="13"/>
      <c r="L5983" s="13"/>
      <c r="M5983" s="14"/>
      <c r="N5983" s="15"/>
      <c r="O5983" s="15"/>
      <c r="P5983" s="15"/>
      <c r="Q5983" s="15"/>
      <c r="R5983" s="422"/>
      <c r="S5983" s="15"/>
      <c r="T5983" s="15"/>
      <c r="U5983" s="15"/>
      <c r="V5983" s="15"/>
      <c r="W5983" s="15"/>
      <c r="X5983" s="15"/>
      <c r="Y5983" s="15"/>
      <c r="Z5983" s="15"/>
      <c r="AA5983" s="15"/>
    </row>
    <row r="5984">
      <c r="A5984" s="15"/>
      <c r="B5984" s="15"/>
      <c r="C5984" s="14"/>
      <c r="D5984" s="14"/>
      <c r="E5984" s="14"/>
      <c r="F5984" s="433"/>
      <c r="G5984" s="434"/>
      <c r="H5984" s="14"/>
      <c r="I5984" s="423"/>
      <c r="J5984" s="14"/>
      <c r="K5984" s="13"/>
      <c r="L5984" s="13"/>
      <c r="M5984" s="14"/>
      <c r="N5984" s="15"/>
      <c r="O5984" s="15"/>
      <c r="P5984" s="15"/>
      <c r="Q5984" s="15"/>
      <c r="R5984" s="422"/>
      <c r="S5984" s="15"/>
      <c r="T5984" s="15"/>
      <c r="U5984" s="15"/>
      <c r="V5984" s="15"/>
      <c r="W5984" s="15"/>
      <c r="X5984" s="15"/>
      <c r="Y5984" s="15"/>
      <c r="Z5984" s="15"/>
      <c r="AA5984" s="15"/>
    </row>
    <row r="5985">
      <c r="A5985" s="15"/>
      <c r="B5985" s="15"/>
      <c r="C5985" s="14"/>
      <c r="D5985" s="14"/>
      <c r="E5985" s="14"/>
      <c r="F5985" s="433"/>
      <c r="G5985" s="434"/>
      <c r="H5985" s="14"/>
      <c r="I5985" s="423"/>
      <c r="J5985" s="14"/>
      <c r="K5985" s="13"/>
      <c r="L5985" s="13"/>
      <c r="M5985" s="14"/>
      <c r="N5985" s="15"/>
      <c r="O5985" s="15"/>
      <c r="P5985" s="15"/>
      <c r="Q5985" s="15"/>
      <c r="R5985" s="422"/>
      <c r="S5985" s="15"/>
      <c r="T5985" s="15"/>
      <c r="U5985" s="15"/>
      <c r="V5985" s="15"/>
      <c r="W5985" s="15"/>
      <c r="X5985" s="15"/>
      <c r="Y5985" s="15"/>
      <c r="Z5985" s="15"/>
      <c r="AA5985" s="15"/>
    </row>
    <row r="5986">
      <c r="A5986" s="15"/>
      <c r="B5986" s="15"/>
      <c r="C5986" s="14"/>
      <c r="D5986" s="14"/>
      <c r="E5986" s="14"/>
      <c r="F5986" s="433"/>
      <c r="G5986" s="434"/>
      <c r="H5986" s="14"/>
      <c r="I5986" s="423"/>
      <c r="J5986" s="14"/>
      <c r="K5986" s="13"/>
      <c r="L5986" s="13"/>
      <c r="M5986" s="14"/>
      <c r="N5986" s="15"/>
      <c r="O5986" s="15"/>
      <c r="P5986" s="15"/>
      <c r="Q5986" s="15"/>
      <c r="R5986" s="422"/>
      <c r="S5986" s="15"/>
      <c r="T5986" s="15"/>
      <c r="U5986" s="15"/>
      <c r="V5986" s="15"/>
      <c r="W5986" s="15"/>
      <c r="X5986" s="15"/>
      <c r="Y5986" s="15"/>
      <c r="Z5986" s="15"/>
      <c r="AA5986" s="15"/>
    </row>
    <row r="5987">
      <c r="A5987" s="15"/>
      <c r="B5987" s="15"/>
      <c r="C5987" s="14"/>
      <c r="D5987" s="14"/>
      <c r="E5987" s="14"/>
      <c r="F5987" s="433"/>
      <c r="G5987" s="434"/>
      <c r="H5987" s="14"/>
      <c r="I5987" s="423"/>
      <c r="J5987" s="14"/>
      <c r="K5987" s="13"/>
      <c r="L5987" s="13"/>
      <c r="M5987" s="14"/>
      <c r="N5987" s="15"/>
      <c r="O5987" s="15"/>
      <c r="P5987" s="15"/>
      <c r="Q5987" s="15"/>
      <c r="R5987" s="422"/>
      <c r="S5987" s="15"/>
      <c r="T5987" s="15"/>
      <c r="U5987" s="15"/>
      <c r="V5987" s="15"/>
      <c r="W5987" s="15"/>
      <c r="X5987" s="15"/>
      <c r="Y5987" s="15"/>
      <c r="Z5987" s="15"/>
      <c r="AA5987" s="15"/>
    </row>
    <row r="5988">
      <c r="A5988" s="15"/>
      <c r="B5988" s="15"/>
      <c r="C5988" s="14"/>
      <c r="D5988" s="14"/>
      <c r="E5988" s="14"/>
      <c r="F5988" s="433"/>
      <c r="G5988" s="434"/>
      <c r="H5988" s="14"/>
      <c r="I5988" s="423"/>
      <c r="J5988" s="14"/>
      <c r="K5988" s="13"/>
      <c r="L5988" s="13"/>
      <c r="M5988" s="14"/>
      <c r="N5988" s="15"/>
      <c r="O5988" s="15"/>
      <c r="P5988" s="15"/>
      <c r="Q5988" s="15"/>
      <c r="R5988" s="422"/>
      <c r="S5988" s="15"/>
      <c r="T5988" s="15"/>
      <c r="U5988" s="15"/>
      <c r="V5988" s="15"/>
      <c r="W5988" s="15"/>
      <c r="X5988" s="15"/>
      <c r="Y5988" s="15"/>
      <c r="Z5988" s="15"/>
      <c r="AA5988" s="15"/>
    </row>
    <row r="5989">
      <c r="A5989" s="15"/>
      <c r="B5989" s="15"/>
      <c r="C5989" s="14"/>
      <c r="D5989" s="14"/>
      <c r="E5989" s="14"/>
      <c r="F5989" s="433"/>
      <c r="G5989" s="434"/>
      <c r="H5989" s="14"/>
      <c r="I5989" s="423"/>
      <c r="J5989" s="14"/>
      <c r="K5989" s="13"/>
      <c r="L5989" s="13"/>
      <c r="M5989" s="14"/>
      <c r="N5989" s="15"/>
      <c r="O5989" s="15"/>
      <c r="P5989" s="15"/>
      <c r="Q5989" s="15"/>
      <c r="R5989" s="422"/>
      <c r="S5989" s="15"/>
      <c r="T5989" s="15"/>
      <c r="U5989" s="15"/>
      <c r="V5989" s="15"/>
      <c r="W5989" s="15"/>
      <c r="X5989" s="15"/>
      <c r="Y5989" s="15"/>
      <c r="Z5989" s="15"/>
      <c r="AA5989" s="15"/>
    </row>
    <row r="5990">
      <c r="A5990" s="15"/>
      <c r="B5990" s="15"/>
      <c r="C5990" s="14"/>
      <c r="D5990" s="14"/>
      <c r="E5990" s="14"/>
      <c r="F5990" s="433"/>
      <c r="G5990" s="434"/>
      <c r="H5990" s="14"/>
      <c r="I5990" s="423"/>
      <c r="J5990" s="14"/>
      <c r="K5990" s="13"/>
      <c r="L5990" s="13"/>
      <c r="M5990" s="14"/>
      <c r="N5990" s="15"/>
      <c r="O5990" s="15"/>
      <c r="P5990" s="15"/>
      <c r="Q5990" s="15"/>
      <c r="R5990" s="422"/>
      <c r="S5990" s="15"/>
      <c r="T5990" s="15"/>
      <c r="U5990" s="15"/>
      <c r="V5990" s="15"/>
      <c r="W5990" s="15"/>
      <c r="X5990" s="15"/>
      <c r="Y5990" s="15"/>
      <c r="Z5990" s="15"/>
      <c r="AA5990" s="15"/>
    </row>
    <row r="5991">
      <c r="A5991" s="15"/>
      <c r="B5991" s="15"/>
      <c r="C5991" s="14"/>
      <c r="D5991" s="14"/>
      <c r="E5991" s="14"/>
      <c r="F5991" s="433"/>
      <c r="G5991" s="434"/>
      <c r="H5991" s="14"/>
      <c r="I5991" s="423"/>
      <c r="J5991" s="14"/>
      <c r="K5991" s="13"/>
      <c r="L5991" s="13"/>
      <c r="M5991" s="14"/>
      <c r="N5991" s="15"/>
      <c r="O5991" s="15"/>
      <c r="P5991" s="15"/>
      <c r="Q5991" s="15"/>
      <c r="R5991" s="422"/>
      <c r="S5991" s="15"/>
      <c r="T5991" s="15"/>
      <c r="U5991" s="15"/>
      <c r="V5991" s="15"/>
      <c r="W5991" s="15"/>
      <c r="X5991" s="15"/>
      <c r="Y5991" s="15"/>
      <c r="Z5991" s="15"/>
      <c r="AA5991" s="15"/>
    </row>
    <row r="5992">
      <c r="A5992" s="15"/>
      <c r="B5992" s="15"/>
      <c r="C5992" s="14"/>
      <c r="D5992" s="14"/>
      <c r="E5992" s="14"/>
      <c r="F5992" s="433"/>
      <c r="G5992" s="434"/>
      <c r="H5992" s="14"/>
      <c r="I5992" s="423"/>
      <c r="J5992" s="14"/>
      <c r="K5992" s="13"/>
      <c r="L5992" s="13"/>
      <c r="M5992" s="14"/>
      <c r="N5992" s="15"/>
      <c r="O5992" s="15"/>
      <c r="P5992" s="15"/>
      <c r="Q5992" s="15"/>
      <c r="R5992" s="422"/>
      <c r="S5992" s="15"/>
      <c r="T5992" s="15"/>
      <c r="U5992" s="15"/>
      <c r="V5992" s="15"/>
      <c r="W5992" s="15"/>
      <c r="X5992" s="15"/>
      <c r="Y5992" s="15"/>
      <c r="Z5992" s="15"/>
      <c r="AA5992" s="15"/>
    </row>
    <row r="5993">
      <c r="A5993" s="15"/>
      <c r="B5993" s="15"/>
      <c r="C5993" s="14"/>
      <c r="D5993" s="14"/>
      <c r="E5993" s="14"/>
      <c r="F5993" s="433"/>
      <c r="G5993" s="434"/>
      <c r="H5993" s="14"/>
      <c r="I5993" s="423"/>
      <c r="J5993" s="14"/>
      <c r="K5993" s="13"/>
      <c r="L5993" s="13"/>
      <c r="M5993" s="14"/>
      <c r="N5993" s="15"/>
      <c r="O5993" s="15"/>
      <c r="P5993" s="15"/>
      <c r="Q5993" s="15"/>
      <c r="R5993" s="422"/>
      <c r="S5993" s="15"/>
      <c r="T5993" s="15"/>
      <c r="U5993" s="15"/>
      <c r="V5993" s="15"/>
      <c r="W5993" s="15"/>
      <c r="X5993" s="15"/>
      <c r="Y5993" s="15"/>
      <c r="Z5993" s="15"/>
      <c r="AA5993" s="15"/>
    </row>
    <row r="5994">
      <c r="A5994" s="15"/>
      <c r="B5994" s="15"/>
      <c r="C5994" s="14"/>
      <c r="D5994" s="14"/>
      <c r="E5994" s="14"/>
      <c r="F5994" s="433"/>
      <c r="G5994" s="434"/>
      <c r="H5994" s="14"/>
      <c r="I5994" s="423"/>
      <c r="J5994" s="14"/>
      <c r="K5994" s="13"/>
      <c r="L5994" s="13"/>
      <c r="M5994" s="14"/>
      <c r="N5994" s="15"/>
      <c r="O5994" s="15"/>
      <c r="P5994" s="15"/>
      <c r="Q5994" s="15"/>
      <c r="R5994" s="422"/>
      <c r="S5994" s="15"/>
      <c r="T5994" s="15"/>
      <c r="U5994" s="15"/>
      <c r="V5994" s="15"/>
      <c r="W5994" s="15"/>
      <c r="X5994" s="15"/>
      <c r="Y5994" s="15"/>
      <c r="Z5994" s="15"/>
      <c r="AA5994" s="15"/>
    </row>
    <row r="5995">
      <c r="A5995" s="15"/>
      <c r="B5995" s="15"/>
      <c r="C5995" s="14"/>
      <c r="D5995" s="14"/>
      <c r="E5995" s="14"/>
      <c r="F5995" s="433"/>
      <c r="G5995" s="434"/>
      <c r="H5995" s="14"/>
      <c r="I5995" s="423"/>
      <c r="J5995" s="14"/>
      <c r="K5995" s="13"/>
      <c r="L5995" s="13"/>
      <c r="M5995" s="14"/>
      <c r="N5995" s="15"/>
      <c r="O5995" s="15"/>
      <c r="P5995" s="15"/>
      <c r="Q5995" s="15"/>
      <c r="R5995" s="422"/>
      <c r="S5995" s="15"/>
      <c r="T5995" s="15"/>
      <c r="U5995" s="15"/>
      <c r="V5995" s="15"/>
      <c r="W5995" s="15"/>
      <c r="X5995" s="15"/>
      <c r="Y5995" s="15"/>
      <c r="Z5995" s="15"/>
      <c r="AA5995" s="15"/>
    </row>
    <row r="5996">
      <c r="A5996" s="15"/>
      <c r="B5996" s="15"/>
      <c r="C5996" s="14"/>
      <c r="D5996" s="14"/>
      <c r="E5996" s="14"/>
      <c r="F5996" s="433"/>
      <c r="G5996" s="434"/>
      <c r="H5996" s="14"/>
      <c r="I5996" s="423"/>
      <c r="J5996" s="14"/>
      <c r="K5996" s="13"/>
      <c r="L5996" s="13"/>
      <c r="M5996" s="14"/>
      <c r="N5996" s="15"/>
      <c r="O5996" s="15"/>
      <c r="P5996" s="15"/>
      <c r="Q5996" s="15"/>
      <c r="R5996" s="422"/>
      <c r="S5996" s="15"/>
      <c r="T5996" s="15"/>
      <c r="U5996" s="15"/>
      <c r="V5996" s="15"/>
      <c r="W5996" s="15"/>
      <c r="X5996" s="15"/>
      <c r="Y5996" s="15"/>
      <c r="Z5996" s="15"/>
      <c r="AA5996" s="15"/>
    </row>
    <row r="5997">
      <c r="A5997" s="15"/>
      <c r="B5997" s="15"/>
      <c r="C5997" s="14"/>
      <c r="D5997" s="14"/>
      <c r="E5997" s="14"/>
      <c r="F5997" s="433"/>
      <c r="G5997" s="434"/>
      <c r="H5997" s="14"/>
      <c r="I5997" s="423"/>
      <c r="J5997" s="14"/>
      <c r="K5997" s="13"/>
      <c r="L5997" s="13"/>
      <c r="M5997" s="14"/>
      <c r="N5997" s="15"/>
      <c r="O5997" s="15"/>
      <c r="P5997" s="15"/>
      <c r="Q5997" s="15"/>
      <c r="R5997" s="422"/>
      <c r="S5997" s="15"/>
      <c r="T5997" s="15"/>
      <c r="U5997" s="15"/>
      <c r="V5997" s="15"/>
      <c r="W5997" s="15"/>
      <c r="X5997" s="15"/>
      <c r="Y5997" s="15"/>
      <c r="Z5997" s="15"/>
      <c r="AA5997" s="15"/>
    </row>
    <row r="5998">
      <c r="A5998" s="15"/>
      <c r="B5998" s="15"/>
      <c r="C5998" s="14"/>
      <c r="D5998" s="14"/>
      <c r="E5998" s="14"/>
      <c r="F5998" s="433"/>
      <c r="G5998" s="434"/>
      <c r="H5998" s="14"/>
      <c r="I5998" s="423"/>
      <c r="J5998" s="14"/>
      <c r="K5998" s="13"/>
      <c r="L5998" s="13"/>
      <c r="M5998" s="14"/>
      <c r="N5998" s="15"/>
      <c r="O5998" s="15"/>
      <c r="P5998" s="15"/>
      <c r="Q5998" s="15"/>
      <c r="R5998" s="422"/>
      <c r="S5998" s="15"/>
      <c r="T5998" s="15"/>
      <c r="U5998" s="15"/>
      <c r="V5998" s="15"/>
      <c r="W5998" s="15"/>
      <c r="X5998" s="15"/>
      <c r="Y5998" s="15"/>
      <c r="Z5998" s="15"/>
      <c r="AA5998" s="15"/>
    </row>
    <row r="5999">
      <c r="A5999" s="15"/>
      <c r="B5999" s="15"/>
      <c r="C5999" s="14"/>
      <c r="D5999" s="14"/>
      <c r="E5999" s="14"/>
      <c r="F5999" s="433"/>
      <c r="G5999" s="434"/>
      <c r="H5999" s="14"/>
      <c r="I5999" s="423"/>
      <c r="J5999" s="14"/>
      <c r="K5999" s="13"/>
      <c r="L5999" s="13"/>
      <c r="M5999" s="14"/>
      <c r="N5999" s="15"/>
      <c r="O5999" s="15"/>
      <c r="P5999" s="15"/>
      <c r="Q5999" s="15"/>
      <c r="R5999" s="422"/>
      <c r="S5999" s="15"/>
      <c r="T5999" s="15"/>
      <c r="U5999" s="15"/>
      <c r="V5999" s="15"/>
      <c r="W5999" s="15"/>
      <c r="X5999" s="15"/>
      <c r="Y5999" s="15"/>
      <c r="Z5999" s="15"/>
      <c r="AA5999" s="15"/>
    </row>
    <row r="6000">
      <c r="A6000" s="15"/>
      <c r="B6000" s="15"/>
      <c r="C6000" s="14"/>
      <c r="D6000" s="14"/>
      <c r="E6000" s="14"/>
      <c r="F6000" s="433"/>
      <c r="G6000" s="434"/>
      <c r="H6000" s="14"/>
      <c r="I6000" s="423"/>
      <c r="J6000" s="14"/>
      <c r="K6000" s="13"/>
      <c r="L6000" s="13"/>
      <c r="M6000" s="14"/>
      <c r="N6000" s="15"/>
      <c r="O6000" s="15"/>
      <c r="P6000" s="15"/>
      <c r="Q6000" s="15"/>
      <c r="R6000" s="422"/>
      <c r="S6000" s="15"/>
      <c r="T6000" s="15"/>
      <c r="U6000" s="15"/>
      <c r="V6000" s="15"/>
      <c r="W6000" s="15"/>
      <c r="X6000" s="15"/>
      <c r="Y6000" s="15"/>
      <c r="Z6000" s="15"/>
      <c r="AA6000" s="15"/>
    </row>
    <row r="6001">
      <c r="A6001" s="15"/>
      <c r="B6001" s="15"/>
      <c r="C6001" s="14"/>
      <c r="D6001" s="14"/>
      <c r="E6001" s="14"/>
      <c r="F6001" s="433"/>
      <c r="G6001" s="434"/>
      <c r="H6001" s="14"/>
      <c r="I6001" s="423"/>
      <c r="J6001" s="14"/>
      <c r="K6001" s="13"/>
      <c r="L6001" s="13"/>
      <c r="M6001" s="14"/>
      <c r="N6001" s="15"/>
      <c r="O6001" s="15"/>
      <c r="P6001" s="15"/>
      <c r="Q6001" s="15"/>
      <c r="R6001" s="422"/>
      <c r="S6001" s="15"/>
      <c r="T6001" s="15"/>
      <c r="U6001" s="15"/>
      <c r="V6001" s="15"/>
      <c r="W6001" s="15"/>
      <c r="X6001" s="15"/>
      <c r="Y6001" s="15"/>
      <c r="Z6001" s="15"/>
      <c r="AA6001" s="15"/>
    </row>
    <row r="6002">
      <c r="A6002" s="15"/>
      <c r="B6002" s="15"/>
      <c r="C6002" s="14"/>
      <c r="D6002" s="14"/>
      <c r="E6002" s="14"/>
      <c r="F6002" s="433"/>
      <c r="G6002" s="434"/>
      <c r="H6002" s="14"/>
      <c r="I6002" s="423"/>
      <c r="J6002" s="14"/>
      <c r="K6002" s="13"/>
      <c r="L6002" s="13"/>
      <c r="M6002" s="14"/>
      <c r="N6002" s="15"/>
      <c r="O6002" s="15"/>
      <c r="P6002" s="15"/>
      <c r="Q6002" s="15"/>
      <c r="R6002" s="422"/>
      <c r="S6002" s="15"/>
      <c r="T6002" s="15"/>
      <c r="U6002" s="15"/>
      <c r="V6002" s="15"/>
      <c r="W6002" s="15"/>
      <c r="X6002" s="15"/>
      <c r="Y6002" s="15"/>
      <c r="Z6002" s="15"/>
      <c r="AA6002" s="15"/>
    </row>
    <row r="6003">
      <c r="A6003" s="15"/>
      <c r="B6003" s="15"/>
      <c r="C6003" s="14"/>
      <c r="D6003" s="14"/>
      <c r="E6003" s="14"/>
      <c r="F6003" s="433"/>
      <c r="G6003" s="434"/>
      <c r="H6003" s="14"/>
      <c r="I6003" s="423"/>
      <c r="J6003" s="14"/>
      <c r="K6003" s="13"/>
      <c r="L6003" s="13"/>
      <c r="M6003" s="14"/>
      <c r="N6003" s="15"/>
      <c r="O6003" s="15"/>
      <c r="P6003" s="15"/>
      <c r="Q6003" s="15"/>
      <c r="R6003" s="422"/>
      <c r="S6003" s="15"/>
      <c r="T6003" s="15"/>
      <c r="U6003" s="15"/>
      <c r="V6003" s="15"/>
      <c r="W6003" s="15"/>
      <c r="X6003" s="15"/>
      <c r="Y6003" s="15"/>
      <c r="Z6003" s="15"/>
      <c r="AA6003" s="15"/>
    </row>
    <row r="6004">
      <c r="A6004" s="15"/>
      <c r="B6004" s="15"/>
      <c r="C6004" s="14"/>
      <c r="D6004" s="14"/>
      <c r="E6004" s="14"/>
      <c r="F6004" s="433"/>
      <c r="G6004" s="434"/>
      <c r="H6004" s="14"/>
      <c r="I6004" s="423"/>
      <c r="J6004" s="14"/>
      <c r="K6004" s="13"/>
      <c r="L6004" s="13"/>
      <c r="M6004" s="14"/>
      <c r="N6004" s="15"/>
      <c r="O6004" s="15"/>
      <c r="P6004" s="15"/>
      <c r="Q6004" s="15"/>
      <c r="R6004" s="422"/>
      <c r="S6004" s="15"/>
      <c r="T6004" s="15"/>
      <c r="U6004" s="15"/>
      <c r="V6004" s="15"/>
      <c r="W6004" s="15"/>
      <c r="X6004" s="15"/>
      <c r="Y6004" s="15"/>
      <c r="Z6004" s="15"/>
      <c r="AA6004" s="15"/>
    </row>
    <row r="6005">
      <c r="A6005" s="15"/>
      <c r="B6005" s="15"/>
      <c r="C6005" s="14"/>
      <c r="D6005" s="14"/>
      <c r="E6005" s="14"/>
      <c r="F6005" s="433"/>
      <c r="G6005" s="434"/>
      <c r="H6005" s="14"/>
      <c r="I6005" s="423"/>
      <c r="J6005" s="14"/>
      <c r="K6005" s="13"/>
      <c r="L6005" s="13"/>
      <c r="M6005" s="14"/>
      <c r="N6005" s="15"/>
      <c r="O6005" s="15"/>
      <c r="P6005" s="15"/>
      <c r="Q6005" s="15"/>
      <c r="R6005" s="422"/>
      <c r="S6005" s="15"/>
      <c r="T6005" s="15"/>
      <c r="U6005" s="15"/>
      <c r="V6005" s="15"/>
      <c r="W6005" s="15"/>
      <c r="X6005" s="15"/>
      <c r="Y6005" s="15"/>
      <c r="Z6005" s="15"/>
      <c r="AA6005" s="15"/>
    </row>
    <row r="6006">
      <c r="A6006" s="15"/>
      <c r="B6006" s="15"/>
      <c r="C6006" s="14"/>
      <c r="D6006" s="14"/>
      <c r="E6006" s="14"/>
      <c r="F6006" s="433"/>
      <c r="G6006" s="434"/>
      <c r="H6006" s="14"/>
      <c r="I6006" s="423"/>
      <c r="J6006" s="14"/>
      <c r="K6006" s="13"/>
      <c r="L6006" s="13"/>
      <c r="M6006" s="14"/>
      <c r="N6006" s="15"/>
      <c r="O6006" s="15"/>
      <c r="P6006" s="15"/>
      <c r="Q6006" s="15"/>
      <c r="R6006" s="422"/>
      <c r="S6006" s="15"/>
      <c r="T6006" s="15"/>
      <c r="U6006" s="15"/>
      <c r="V6006" s="15"/>
      <c r="W6006" s="15"/>
      <c r="X6006" s="15"/>
      <c r="Y6006" s="15"/>
      <c r="Z6006" s="15"/>
      <c r="AA6006" s="15"/>
    </row>
    <row r="6007">
      <c r="A6007" s="15"/>
      <c r="B6007" s="15"/>
      <c r="C6007" s="14"/>
      <c r="D6007" s="14"/>
      <c r="E6007" s="14"/>
      <c r="F6007" s="433"/>
      <c r="G6007" s="434"/>
      <c r="H6007" s="14"/>
      <c r="I6007" s="423"/>
      <c r="J6007" s="14"/>
      <c r="K6007" s="13"/>
      <c r="L6007" s="13"/>
      <c r="M6007" s="14"/>
      <c r="N6007" s="15"/>
      <c r="O6007" s="15"/>
      <c r="P6007" s="15"/>
      <c r="Q6007" s="15"/>
      <c r="R6007" s="422"/>
      <c r="S6007" s="15"/>
      <c r="T6007" s="15"/>
      <c r="U6007" s="15"/>
      <c r="V6007" s="15"/>
      <c r="W6007" s="15"/>
      <c r="X6007" s="15"/>
      <c r="Y6007" s="15"/>
      <c r="Z6007" s="15"/>
      <c r="AA6007" s="15"/>
    </row>
    <row r="6008">
      <c r="A6008" s="15"/>
      <c r="B6008" s="15"/>
      <c r="C6008" s="14"/>
      <c r="D6008" s="14"/>
      <c r="E6008" s="14"/>
      <c r="F6008" s="433"/>
      <c r="G6008" s="434"/>
      <c r="H6008" s="14"/>
      <c r="I6008" s="423"/>
      <c r="J6008" s="14"/>
      <c r="K6008" s="13"/>
      <c r="L6008" s="13"/>
      <c r="M6008" s="14"/>
      <c r="N6008" s="15"/>
      <c r="O6008" s="15"/>
      <c r="P6008" s="15"/>
      <c r="Q6008" s="15"/>
      <c r="R6008" s="422"/>
      <c r="S6008" s="15"/>
      <c r="T6008" s="15"/>
      <c r="U6008" s="15"/>
      <c r="V6008" s="15"/>
      <c r="W6008" s="15"/>
      <c r="X6008" s="15"/>
      <c r="Y6008" s="15"/>
      <c r="Z6008" s="15"/>
      <c r="AA6008" s="15"/>
    </row>
    <row r="6009">
      <c r="A6009" s="15"/>
      <c r="B6009" s="15"/>
      <c r="C6009" s="14"/>
      <c r="D6009" s="14"/>
      <c r="E6009" s="14"/>
      <c r="F6009" s="433"/>
      <c r="G6009" s="434"/>
      <c r="H6009" s="14"/>
      <c r="I6009" s="423"/>
      <c r="J6009" s="14"/>
      <c r="K6009" s="13"/>
      <c r="L6009" s="13"/>
      <c r="M6009" s="14"/>
      <c r="N6009" s="15"/>
      <c r="O6009" s="15"/>
      <c r="P6009" s="15"/>
      <c r="Q6009" s="15"/>
      <c r="R6009" s="422"/>
      <c r="S6009" s="15"/>
      <c r="T6009" s="15"/>
      <c r="U6009" s="15"/>
      <c r="V6009" s="15"/>
      <c r="W6009" s="15"/>
      <c r="X6009" s="15"/>
      <c r="Y6009" s="15"/>
      <c r="Z6009" s="15"/>
      <c r="AA6009" s="15"/>
    </row>
    <row r="6010">
      <c r="A6010" s="15"/>
      <c r="B6010" s="15"/>
      <c r="C6010" s="14"/>
      <c r="D6010" s="14"/>
      <c r="E6010" s="14"/>
      <c r="F6010" s="433"/>
      <c r="G6010" s="434"/>
      <c r="H6010" s="14"/>
      <c r="I6010" s="423"/>
      <c r="J6010" s="14"/>
      <c r="K6010" s="13"/>
      <c r="L6010" s="13"/>
      <c r="M6010" s="14"/>
      <c r="N6010" s="15"/>
      <c r="O6010" s="15"/>
      <c r="P6010" s="15"/>
      <c r="Q6010" s="15"/>
      <c r="R6010" s="422"/>
      <c r="S6010" s="15"/>
      <c r="T6010" s="15"/>
      <c r="U6010" s="15"/>
      <c r="V6010" s="15"/>
      <c r="W6010" s="15"/>
      <c r="X6010" s="15"/>
      <c r="Y6010" s="15"/>
      <c r="Z6010" s="15"/>
      <c r="AA6010" s="15"/>
    </row>
    <row r="6011">
      <c r="A6011" s="15"/>
      <c r="B6011" s="15"/>
      <c r="C6011" s="14"/>
      <c r="D6011" s="14"/>
      <c r="E6011" s="14"/>
      <c r="F6011" s="433"/>
      <c r="G6011" s="434"/>
      <c r="H6011" s="14"/>
      <c r="I6011" s="423"/>
      <c r="J6011" s="14"/>
      <c r="K6011" s="13"/>
      <c r="L6011" s="13"/>
      <c r="M6011" s="14"/>
      <c r="N6011" s="15"/>
      <c r="O6011" s="15"/>
      <c r="P6011" s="15"/>
      <c r="Q6011" s="15"/>
      <c r="R6011" s="422"/>
      <c r="S6011" s="15"/>
      <c r="T6011" s="15"/>
      <c r="U6011" s="15"/>
      <c r="V6011" s="15"/>
      <c r="W6011" s="15"/>
      <c r="X6011" s="15"/>
      <c r="Y6011" s="15"/>
      <c r="Z6011" s="15"/>
      <c r="AA6011" s="15"/>
    </row>
    <row r="6012">
      <c r="A6012" s="15"/>
      <c r="B6012" s="15"/>
      <c r="C6012" s="14"/>
      <c r="D6012" s="14"/>
      <c r="E6012" s="14"/>
      <c r="F6012" s="433"/>
      <c r="G6012" s="434"/>
      <c r="H6012" s="14"/>
      <c r="I6012" s="423"/>
      <c r="J6012" s="14"/>
      <c r="K6012" s="13"/>
      <c r="L6012" s="13"/>
      <c r="M6012" s="14"/>
      <c r="N6012" s="15"/>
      <c r="O6012" s="15"/>
      <c r="P6012" s="15"/>
      <c r="Q6012" s="15"/>
      <c r="R6012" s="422"/>
      <c r="S6012" s="15"/>
      <c r="T6012" s="15"/>
      <c r="U6012" s="15"/>
      <c r="V6012" s="15"/>
      <c r="W6012" s="15"/>
      <c r="X6012" s="15"/>
      <c r="Y6012" s="15"/>
      <c r="Z6012" s="15"/>
      <c r="AA6012" s="15"/>
    </row>
    <row r="6013">
      <c r="A6013" s="15"/>
      <c r="B6013" s="15"/>
      <c r="C6013" s="14"/>
      <c r="D6013" s="14"/>
      <c r="E6013" s="14"/>
      <c r="F6013" s="433"/>
      <c r="G6013" s="434"/>
      <c r="H6013" s="14"/>
      <c r="I6013" s="423"/>
      <c r="J6013" s="14"/>
      <c r="K6013" s="13"/>
      <c r="L6013" s="13"/>
      <c r="M6013" s="14"/>
      <c r="N6013" s="15"/>
      <c r="O6013" s="15"/>
      <c r="P6013" s="15"/>
      <c r="Q6013" s="15"/>
      <c r="R6013" s="422"/>
      <c r="S6013" s="15"/>
      <c r="T6013" s="15"/>
      <c r="U6013" s="15"/>
      <c r="V6013" s="15"/>
      <c r="W6013" s="15"/>
      <c r="X6013" s="15"/>
      <c r="Y6013" s="15"/>
      <c r="Z6013" s="15"/>
      <c r="AA6013" s="15"/>
    </row>
    <row r="6014">
      <c r="A6014" s="15"/>
      <c r="B6014" s="15"/>
      <c r="C6014" s="14"/>
      <c r="D6014" s="14"/>
      <c r="E6014" s="14"/>
      <c r="F6014" s="433"/>
      <c r="G6014" s="434"/>
      <c r="H6014" s="14"/>
      <c r="I6014" s="423"/>
      <c r="J6014" s="14"/>
      <c r="K6014" s="13"/>
      <c r="L6014" s="13"/>
      <c r="M6014" s="14"/>
      <c r="N6014" s="15"/>
      <c r="O6014" s="15"/>
      <c r="P6014" s="15"/>
      <c r="Q6014" s="15"/>
      <c r="R6014" s="422"/>
      <c r="S6014" s="15"/>
      <c r="T6014" s="15"/>
      <c r="U6014" s="15"/>
      <c r="V6014" s="15"/>
      <c r="W6014" s="15"/>
      <c r="X6014" s="15"/>
      <c r="Y6014" s="15"/>
      <c r="Z6014" s="15"/>
      <c r="AA6014" s="15"/>
    </row>
    <row r="6015">
      <c r="A6015" s="15"/>
      <c r="B6015" s="15"/>
      <c r="C6015" s="14"/>
      <c r="D6015" s="14"/>
      <c r="E6015" s="14"/>
      <c r="F6015" s="433"/>
      <c r="G6015" s="434"/>
      <c r="H6015" s="14"/>
      <c r="I6015" s="423"/>
      <c r="J6015" s="14"/>
      <c r="K6015" s="13"/>
      <c r="L6015" s="13"/>
      <c r="M6015" s="14"/>
      <c r="N6015" s="15"/>
      <c r="O6015" s="15"/>
      <c r="P6015" s="15"/>
      <c r="Q6015" s="15"/>
      <c r="R6015" s="422"/>
      <c r="S6015" s="15"/>
      <c r="T6015" s="15"/>
      <c r="U6015" s="15"/>
      <c r="V6015" s="15"/>
      <c r="W6015" s="15"/>
      <c r="X6015" s="15"/>
      <c r="Y6015" s="15"/>
      <c r="Z6015" s="15"/>
      <c r="AA6015" s="15"/>
    </row>
    <row r="6016">
      <c r="A6016" s="15"/>
      <c r="B6016" s="15"/>
      <c r="C6016" s="14"/>
      <c r="D6016" s="14"/>
      <c r="E6016" s="14"/>
      <c r="F6016" s="433"/>
      <c r="G6016" s="434"/>
      <c r="H6016" s="14"/>
      <c r="I6016" s="423"/>
      <c r="J6016" s="14"/>
      <c r="K6016" s="13"/>
      <c r="L6016" s="13"/>
      <c r="M6016" s="14"/>
      <c r="N6016" s="15"/>
      <c r="O6016" s="15"/>
      <c r="P6016" s="15"/>
      <c r="Q6016" s="15"/>
      <c r="R6016" s="422"/>
      <c r="S6016" s="15"/>
      <c r="T6016" s="15"/>
      <c r="U6016" s="15"/>
      <c r="V6016" s="15"/>
      <c r="W6016" s="15"/>
      <c r="X6016" s="15"/>
      <c r="Y6016" s="15"/>
      <c r="Z6016" s="15"/>
      <c r="AA6016" s="15"/>
    </row>
    <row r="6017">
      <c r="A6017" s="15"/>
      <c r="B6017" s="15"/>
      <c r="C6017" s="14"/>
      <c r="D6017" s="14"/>
      <c r="E6017" s="14"/>
      <c r="F6017" s="433"/>
      <c r="G6017" s="434"/>
      <c r="H6017" s="14"/>
      <c r="I6017" s="423"/>
      <c r="J6017" s="14"/>
      <c r="K6017" s="13"/>
      <c r="L6017" s="13"/>
      <c r="M6017" s="14"/>
      <c r="N6017" s="15"/>
      <c r="O6017" s="15"/>
      <c r="P6017" s="15"/>
      <c r="Q6017" s="15"/>
      <c r="R6017" s="422"/>
      <c r="S6017" s="15"/>
      <c r="T6017" s="15"/>
      <c r="U6017" s="15"/>
      <c r="V6017" s="15"/>
      <c r="W6017" s="15"/>
      <c r="X6017" s="15"/>
      <c r="Y6017" s="15"/>
      <c r="Z6017" s="15"/>
      <c r="AA6017" s="15"/>
    </row>
    <row r="6018">
      <c r="A6018" s="15"/>
      <c r="B6018" s="15"/>
      <c r="C6018" s="14"/>
      <c r="D6018" s="14"/>
      <c r="E6018" s="14"/>
      <c r="F6018" s="433"/>
      <c r="G6018" s="434"/>
      <c r="H6018" s="14"/>
      <c r="I6018" s="423"/>
      <c r="J6018" s="14"/>
      <c r="K6018" s="13"/>
      <c r="L6018" s="13"/>
      <c r="M6018" s="14"/>
      <c r="N6018" s="15"/>
      <c r="O6018" s="15"/>
      <c r="P6018" s="15"/>
      <c r="Q6018" s="15"/>
      <c r="R6018" s="422"/>
      <c r="S6018" s="15"/>
      <c r="T6018" s="15"/>
      <c r="U6018" s="15"/>
      <c r="V6018" s="15"/>
      <c r="W6018" s="15"/>
      <c r="X6018" s="15"/>
      <c r="Y6018" s="15"/>
      <c r="Z6018" s="15"/>
      <c r="AA6018" s="15"/>
    </row>
    <row r="6019">
      <c r="A6019" s="15"/>
      <c r="B6019" s="15"/>
      <c r="C6019" s="14"/>
      <c r="D6019" s="14"/>
      <c r="E6019" s="14"/>
      <c r="F6019" s="433"/>
      <c r="G6019" s="434"/>
      <c r="H6019" s="14"/>
      <c r="I6019" s="423"/>
      <c r="J6019" s="14"/>
      <c r="K6019" s="13"/>
      <c r="L6019" s="13"/>
      <c r="M6019" s="14"/>
      <c r="N6019" s="15"/>
      <c r="O6019" s="15"/>
      <c r="P6019" s="15"/>
      <c r="Q6019" s="15"/>
      <c r="R6019" s="422"/>
      <c r="S6019" s="15"/>
      <c r="T6019" s="15"/>
      <c r="U6019" s="15"/>
      <c r="V6019" s="15"/>
      <c r="W6019" s="15"/>
      <c r="X6019" s="15"/>
      <c r="Y6019" s="15"/>
      <c r="Z6019" s="15"/>
      <c r="AA6019" s="15"/>
    </row>
    <row r="6020">
      <c r="A6020" s="15"/>
      <c r="B6020" s="15"/>
      <c r="C6020" s="14"/>
      <c r="D6020" s="14"/>
      <c r="E6020" s="14"/>
      <c r="F6020" s="433"/>
      <c r="G6020" s="434"/>
      <c r="H6020" s="14"/>
      <c r="I6020" s="423"/>
      <c r="J6020" s="14"/>
      <c r="K6020" s="13"/>
      <c r="L6020" s="13"/>
      <c r="M6020" s="14"/>
      <c r="N6020" s="15"/>
      <c r="O6020" s="15"/>
      <c r="P6020" s="15"/>
      <c r="Q6020" s="15"/>
      <c r="R6020" s="422"/>
      <c r="S6020" s="15"/>
      <c r="T6020" s="15"/>
      <c r="U6020" s="15"/>
      <c r="V6020" s="15"/>
      <c r="W6020" s="15"/>
      <c r="X6020" s="15"/>
      <c r="Y6020" s="15"/>
      <c r="Z6020" s="15"/>
      <c r="AA6020" s="15"/>
    </row>
    <row r="6021">
      <c r="A6021" s="15"/>
      <c r="B6021" s="15"/>
      <c r="C6021" s="14"/>
      <c r="D6021" s="14"/>
      <c r="E6021" s="14"/>
      <c r="F6021" s="433"/>
      <c r="G6021" s="434"/>
      <c r="H6021" s="14"/>
      <c r="I6021" s="423"/>
      <c r="J6021" s="14"/>
      <c r="K6021" s="13"/>
      <c r="L6021" s="13"/>
      <c r="M6021" s="14"/>
      <c r="N6021" s="15"/>
      <c r="O6021" s="15"/>
      <c r="P6021" s="15"/>
      <c r="Q6021" s="15"/>
      <c r="R6021" s="422"/>
      <c r="S6021" s="15"/>
      <c r="T6021" s="15"/>
      <c r="U6021" s="15"/>
      <c r="V6021" s="15"/>
      <c r="W6021" s="15"/>
      <c r="X6021" s="15"/>
      <c r="Y6021" s="15"/>
      <c r="Z6021" s="15"/>
      <c r="AA6021" s="15"/>
    </row>
    <row r="6022">
      <c r="A6022" s="15"/>
      <c r="B6022" s="15"/>
      <c r="C6022" s="14"/>
      <c r="D6022" s="14"/>
      <c r="E6022" s="14"/>
      <c r="F6022" s="433"/>
      <c r="G6022" s="434"/>
      <c r="H6022" s="14"/>
      <c r="I6022" s="423"/>
      <c r="J6022" s="14"/>
      <c r="K6022" s="13"/>
      <c r="L6022" s="13"/>
      <c r="M6022" s="14"/>
      <c r="N6022" s="15"/>
      <c r="O6022" s="15"/>
      <c r="P6022" s="15"/>
      <c r="Q6022" s="15"/>
      <c r="R6022" s="422"/>
      <c r="S6022" s="15"/>
      <c r="T6022" s="15"/>
      <c r="U6022" s="15"/>
      <c r="V6022" s="15"/>
      <c r="W6022" s="15"/>
      <c r="X6022" s="15"/>
      <c r="Y6022" s="15"/>
      <c r="Z6022" s="15"/>
      <c r="AA6022" s="15"/>
    </row>
    <row r="6023">
      <c r="A6023" s="15"/>
      <c r="B6023" s="15"/>
      <c r="C6023" s="14"/>
      <c r="D6023" s="14"/>
      <c r="E6023" s="14"/>
      <c r="F6023" s="433"/>
      <c r="G6023" s="434"/>
      <c r="H6023" s="14"/>
      <c r="I6023" s="423"/>
      <c r="J6023" s="14"/>
      <c r="K6023" s="13"/>
      <c r="L6023" s="13"/>
      <c r="M6023" s="14"/>
      <c r="N6023" s="15"/>
      <c r="O6023" s="15"/>
      <c r="P6023" s="15"/>
      <c r="Q6023" s="15"/>
      <c r="R6023" s="422"/>
      <c r="S6023" s="15"/>
      <c r="T6023" s="15"/>
      <c r="U6023" s="15"/>
      <c r="V6023" s="15"/>
      <c r="W6023" s="15"/>
      <c r="X6023" s="15"/>
      <c r="Y6023" s="15"/>
      <c r="Z6023" s="15"/>
      <c r="AA6023" s="15"/>
    </row>
    <row r="6024">
      <c r="A6024" s="15"/>
      <c r="B6024" s="15"/>
      <c r="C6024" s="14"/>
      <c r="D6024" s="14"/>
      <c r="E6024" s="14"/>
      <c r="F6024" s="433"/>
      <c r="G6024" s="434"/>
      <c r="H6024" s="14"/>
      <c r="I6024" s="423"/>
      <c r="J6024" s="14"/>
      <c r="K6024" s="13"/>
      <c r="L6024" s="13"/>
      <c r="M6024" s="14"/>
      <c r="N6024" s="15"/>
      <c r="O6024" s="15"/>
      <c r="P6024" s="15"/>
      <c r="Q6024" s="15"/>
      <c r="R6024" s="422"/>
      <c r="S6024" s="15"/>
      <c r="T6024" s="15"/>
      <c r="U6024" s="15"/>
      <c r="V6024" s="15"/>
      <c r="W6024" s="15"/>
      <c r="X6024" s="15"/>
      <c r="Y6024" s="15"/>
      <c r="Z6024" s="15"/>
      <c r="AA6024" s="15"/>
    </row>
    <row r="6025">
      <c r="A6025" s="15"/>
      <c r="B6025" s="15"/>
      <c r="C6025" s="14"/>
      <c r="D6025" s="14"/>
      <c r="E6025" s="14"/>
      <c r="F6025" s="433"/>
      <c r="G6025" s="434"/>
      <c r="H6025" s="14"/>
      <c r="I6025" s="423"/>
      <c r="J6025" s="14"/>
      <c r="K6025" s="13"/>
      <c r="L6025" s="13"/>
      <c r="M6025" s="14"/>
      <c r="N6025" s="15"/>
      <c r="O6025" s="15"/>
      <c r="P6025" s="15"/>
      <c r="Q6025" s="15"/>
      <c r="R6025" s="422"/>
      <c r="S6025" s="15"/>
      <c r="T6025" s="15"/>
      <c r="U6025" s="15"/>
      <c r="V6025" s="15"/>
      <c r="W6025" s="15"/>
      <c r="X6025" s="15"/>
      <c r="Y6025" s="15"/>
      <c r="Z6025" s="15"/>
      <c r="AA6025" s="15"/>
    </row>
    <row r="6026">
      <c r="A6026" s="15"/>
      <c r="B6026" s="15"/>
      <c r="C6026" s="14"/>
      <c r="D6026" s="14"/>
      <c r="E6026" s="14"/>
      <c r="F6026" s="433"/>
      <c r="G6026" s="434"/>
      <c r="H6026" s="14"/>
      <c r="I6026" s="423"/>
      <c r="J6026" s="14"/>
      <c r="K6026" s="13"/>
      <c r="L6026" s="13"/>
      <c r="M6026" s="14"/>
      <c r="N6026" s="15"/>
      <c r="O6026" s="15"/>
      <c r="P6026" s="15"/>
      <c r="Q6026" s="15"/>
      <c r="R6026" s="422"/>
      <c r="S6026" s="15"/>
      <c r="T6026" s="15"/>
      <c r="U6026" s="15"/>
      <c r="V6026" s="15"/>
      <c r="W6026" s="15"/>
      <c r="X6026" s="15"/>
      <c r="Y6026" s="15"/>
      <c r="Z6026" s="15"/>
      <c r="AA6026" s="15"/>
    </row>
    <row r="6027">
      <c r="A6027" s="15"/>
      <c r="B6027" s="15"/>
      <c r="C6027" s="14"/>
      <c r="D6027" s="14"/>
      <c r="E6027" s="14"/>
      <c r="F6027" s="433"/>
      <c r="G6027" s="434"/>
      <c r="H6027" s="14"/>
      <c r="I6027" s="423"/>
      <c r="J6027" s="14"/>
      <c r="K6027" s="13"/>
      <c r="L6027" s="13"/>
      <c r="M6027" s="14"/>
      <c r="N6027" s="15"/>
      <c r="O6027" s="15"/>
      <c r="P6027" s="15"/>
      <c r="Q6027" s="15"/>
      <c r="R6027" s="422"/>
      <c r="S6027" s="15"/>
      <c r="T6027" s="15"/>
      <c r="U6027" s="15"/>
      <c r="V6027" s="15"/>
      <c r="W6027" s="15"/>
      <c r="X6027" s="15"/>
      <c r="Y6027" s="15"/>
      <c r="Z6027" s="15"/>
      <c r="AA6027" s="15"/>
    </row>
    <row r="6028">
      <c r="A6028" s="15"/>
      <c r="B6028" s="15"/>
      <c r="C6028" s="14"/>
      <c r="D6028" s="14"/>
      <c r="E6028" s="14"/>
      <c r="F6028" s="433"/>
      <c r="G6028" s="434"/>
      <c r="H6028" s="14"/>
      <c r="I6028" s="423"/>
      <c r="J6028" s="14"/>
      <c r="K6028" s="13"/>
      <c r="L6028" s="13"/>
      <c r="M6028" s="14"/>
      <c r="N6028" s="15"/>
      <c r="O6028" s="15"/>
      <c r="P6028" s="15"/>
      <c r="Q6028" s="15"/>
      <c r="R6028" s="422"/>
      <c r="S6028" s="15"/>
      <c r="T6028" s="15"/>
      <c r="U6028" s="15"/>
      <c r="V6028" s="15"/>
      <c r="W6028" s="15"/>
      <c r="X6028" s="15"/>
      <c r="Y6028" s="15"/>
      <c r="Z6028" s="15"/>
      <c r="AA6028" s="15"/>
    </row>
    <row r="6029">
      <c r="A6029" s="15"/>
      <c r="B6029" s="15"/>
      <c r="C6029" s="14"/>
      <c r="D6029" s="14"/>
      <c r="E6029" s="14"/>
      <c r="F6029" s="433"/>
      <c r="G6029" s="434"/>
      <c r="H6029" s="14"/>
      <c r="I6029" s="423"/>
      <c r="J6029" s="14"/>
      <c r="K6029" s="13"/>
      <c r="L6029" s="13"/>
      <c r="M6029" s="14"/>
      <c r="N6029" s="15"/>
      <c r="O6029" s="15"/>
      <c r="P6029" s="15"/>
      <c r="Q6029" s="15"/>
      <c r="R6029" s="422"/>
      <c r="S6029" s="15"/>
      <c r="T6029" s="15"/>
      <c r="U6029" s="15"/>
      <c r="V6029" s="15"/>
      <c r="W6029" s="15"/>
      <c r="X6029" s="15"/>
      <c r="Y6029" s="15"/>
      <c r="Z6029" s="15"/>
      <c r="AA6029" s="15"/>
    </row>
    <row r="6030">
      <c r="A6030" s="15"/>
      <c r="B6030" s="15"/>
      <c r="C6030" s="14"/>
      <c r="D6030" s="14"/>
      <c r="E6030" s="14"/>
      <c r="F6030" s="433"/>
      <c r="G6030" s="434"/>
      <c r="H6030" s="14"/>
      <c r="I6030" s="423"/>
      <c r="J6030" s="14"/>
      <c r="K6030" s="13"/>
      <c r="L6030" s="13"/>
      <c r="M6030" s="14"/>
      <c r="N6030" s="15"/>
      <c r="O6030" s="15"/>
      <c r="P6030" s="15"/>
      <c r="Q6030" s="15"/>
      <c r="R6030" s="422"/>
      <c r="S6030" s="15"/>
      <c r="T6030" s="15"/>
      <c r="U6030" s="15"/>
      <c r="V6030" s="15"/>
      <c r="W6030" s="15"/>
      <c r="X6030" s="15"/>
      <c r="Y6030" s="15"/>
      <c r="Z6030" s="15"/>
      <c r="AA6030" s="15"/>
    </row>
    <row r="6031">
      <c r="A6031" s="15"/>
      <c r="B6031" s="15"/>
      <c r="C6031" s="14"/>
      <c r="D6031" s="14"/>
      <c r="E6031" s="14"/>
      <c r="F6031" s="433"/>
      <c r="G6031" s="434"/>
      <c r="H6031" s="14"/>
      <c r="I6031" s="423"/>
      <c r="J6031" s="14"/>
      <c r="K6031" s="13"/>
      <c r="L6031" s="13"/>
      <c r="M6031" s="14"/>
      <c r="N6031" s="15"/>
      <c r="O6031" s="15"/>
      <c r="P6031" s="15"/>
      <c r="Q6031" s="15"/>
      <c r="R6031" s="422"/>
      <c r="S6031" s="15"/>
      <c r="T6031" s="15"/>
      <c r="U6031" s="15"/>
      <c r="V6031" s="15"/>
      <c r="W6031" s="15"/>
      <c r="X6031" s="15"/>
      <c r="Y6031" s="15"/>
      <c r="Z6031" s="15"/>
      <c r="AA6031" s="15"/>
    </row>
    <row r="6032">
      <c r="A6032" s="15"/>
      <c r="B6032" s="15"/>
      <c r="C6032" s="14"/>
      <c r="D6032" s="14"/>
      <c r="E6032" s="14"/>
      <c r="F6032" s="433"/>
      <c r="G6032" s="434"/>
      <c r="H6032" s="14"/>
      <c r="I6032" s="423"/>
      <c r="J6032" s="14"/>
      <c r="K6032" s="13"/>
      <c r="L6032" s="13"/>
      <c r="M6032" s="14"/>
      <c r="N6032" s="15"/>
      <c r="O6032" s="15"/>
      <c r="P6032" s="15"/>
      <c r="Q6032" s="15"/>
      <c r="R6032" s="422"/>
      <c r="S6032" s="15"/>
      <c r="T6032" s="15"/>
      <c r="U6032" s="15"/>
      <c r="V6032" s="15"/>
      <c r="W6032" s="15"/>
      <c r="X6032" s="15"/>
      <c r="Y6032" s="15"/>
      <c r="Z6032" s="15"/>
      <c r="AA6032" s="15"/>
    </row>
    <row r="6033">
      <c r="A6033" s="15"/>
      <c r="B6033" s="15"/>
      <c r="C6033" s="14"/>
      <c r="D6033" s="14"/>
      <c r="E6033" s="14"/>
      <c r="F6033" s="433"/>
      <c r="G6033" s="434"/>
      <c r="H6033" s="14"/>
      <c r="I6033" s="423"/>
      <c r="J6033" s="14"/>
      <c r="K6033" s="13"/>
      <c r="L6033" s="13"/>
      <c r="M6033" s="14"/>
      <c r="N6033" s="15"/>
      <c r="O6033" s="15"/>
      <c r="P6033" s="15"/>
      <c r="Q6033" s="15"/>
      <c r="R6033" s="422"/>
      <c r="S6033" s="15"/>
      <c r="T6033" s="15"/>
      <c r="U6033" s="15"/>
      <c r="V6033" s="15"/>
      <c r="W6033" s="15"/>
      <c r="X6033" s="15"/>
      <c r="Y6033" s="15"/>
      <c r="Z6033" s="15"/>
      <c r="AA6033" s="15"/>
    </row>
    <row r="6034">
      <c r="A6034" s="15"/>
      <c r="B6034" s="15"/>
      <c r="C6034" s="14"/>
      <c r="D6034" s="14"/>
      <c r="E6034" s="14"/>
      <c r="F6034" s="433"/>
      <c r="G6034" s="434"/>
      <c r="H6034" s="14"/>
      <c r="I6034" s="423"/>
      <c r="J6034" s="14"/>
      <c r="K6034" s="13"/>
      <c r="L6034" s="13"/>
      <c r="M6034" s="14"/>
      <c r="N6034" s="15"/>
      <c r="O6034" s="15"/>
      <c r="P6034" s="15"/>
      <c r="Q6034" s="15"/>
      <c r="R6034" s="422"/>
      <c r="S6034" s="15"/>
      <c r="T6034" s="15"/>
      <c r="U6034" s="15"/>
      <c r="V6034" s="15"/>
      <c r="W6034" s="15"/>
      <c r="X6034" s="15"/>
      <c r="Y6034" s="15"/>
      <c r="Z6034" s="15"/>
      <c r="AA6034" s="15"/>
    </row>
    <row r="6035">
      <c r="A6035" s="15"/>
      <c r="B6035" s="15"/>
      <c r="C6035" s="14"/>
      <c r="D6035" s="14"/>
      <c r="E6035" s="14"/>
      <c r="F6035" s="433"/>
      <c r="G6035" s="434"/>
      <c r="H6035" s="14"/>
      <c r="I6035" s="423"/>
      <c r="J6035" s="14"/>
      <c r="K6035" s="13"/>
      <c r="L6035" s="13"/>
      <c r="M6035" s="14"/>
      <c r="N6035" s="15"/>
      <c r="O6035" s="15"/>
      <c r="P6035" s="15"/>
      <c r="Q6035" s="15"/>
      <c r="R6035" s="422"/>
      <c r="S6035" s="15"/>
      <c r="T6035" s="15"/>
      <c r="U6035" s="15"/>
      <c r="V6035" s="15"/>
      <c r="W6035" s="15"/>
      <c r="X6035" s="15"/>
      <c r="Y6035" s="15"/>
      <c r="Z6035" s="15"/>
      <c r="AA6035" s="15"/>
    </row>
    <row r="6036">
      <c r="A6036" s="15"/>
      <c r="B6036" s="15"/>
      <c r="C6036" s="14"/>
      <c r="D6036" s="14"/>
      <c r="E6036" s="14"/>
      <c r="F6036" s="433"/>
      <c r="G6036" s="434"/>
      <c r="H6036" s="14"/>
      <c r="I6036" s="423"/>
      <c r="J6036" s="14"/>
      <c r="K6036" s="13"/>
      <c r="L6036" s="13"/>
      <c r="M6036" s="14"/>
      <c r="N6036" s="15"/>
      <c r="O6036" s="15"/>
      <c r="P6036" s="15"/>
      <c r="Q6036" s="15"/>
      <c r="R6036" s="422"/>
      <c r="S6036" s="15"/>
      <c r="T6036" s="15"/>
      <c r="U6036" s="15"/>
      <c r="V6036" s="15"/>
      <c r="W6036" s="15"/>
      <c r="X6036" s="15"/>
      <c r="Y6036" s="15"/>
      <c r="Z6036" s="15"/>
      <c r="AA6036" s="15"/>
    </row>
    <row r="6037">
      <c r="A6037" s="15"/>
      <c r="B6037" s="15"/>
      <c r="C6037" s="14"/>
      <c r="D6037" s="14"/>
      <c r="E6037" s="14"/>
      <c r="F6037" s="433"/>
      <c r="G6037" s="434"/>
      <c r="H6037" s="14"/>
      <c r="I6037" s="423"/>
      <c r="J6037" s="14"/>
      <c r="K6037" s="13"/>
      <c r="L6037" s="13"/>
      <c r="M6037" s="14"/>
      <c r="N6037" s="15"/>
      <c r="O6037" s="15"/>
      <c r="P6037" s="15"/>
      <c r="Q6037" s="15"/>
      <c r="R6037" s="422"/>
      <c r="S6037" s="15"/>
      <c r="T6037" s="15"/>
      <c r="U6037" s="15"/>
      <c r="V6037" s="15"/>
      <c r="W6037" s="15"/>
      <c r="X6037" s="15"/>
      <c r="Y6037" s="15"/>
      <c r="Z6037" s="15"/>
      <c r="AA6037" s="15"/>
    </row>
    <row r="6038">
      <c r="A6038" s="15"/>
      <c r="B6038" s="15"/>
      <c r="C6038" s="14"/>
      <c r="D6038" s="14"/>
      <c r="E6038" s="14"/>
      <c r="F6038" s="433"/>
      <c r="G6038" s="434"/>
      <c r="H6038" s="14"/>
      <c r="I6038" s="423"/>
      <c r="J6038" s="14"/>
      <c r="K6038" s="13"/>
      <c r="L6038" s="13"/>
      <c r="M6038" s="14"/>
      <c r="N6038" s="15"/>
      <c r="O6038" s="15"/>
      <c r="P6038" s="15"/>
      <c r="Q6038" s="15"/>
      <c r="R6038" s="422"/>
      <c r="S6038" s="15"/>
      <c r="T6038" s="15"/>
      <c r="U6038" s="15"/>
      <c r="V6038" s="15"/>
      <c r="W6038" s="15"/>
      <c r="X6038" s="15"/>
      <c r="Y6038" s="15"/>
      <c r="Z6038" s="15"/>
      <c r="AA6038" s="15"/>
    </row>
    <row r="6039">
      <c r="A6039" s="15"/>
      <c r="B6039" s="15"/>
      <c r="C6039" s="14"/>
      <c r="D6039" s="14"/>
      <c r="E6039" s="14"/>
      <c r="F6039" s="433"/>
      <c r="G6039" s="434"/>
      <c r="H6039" s="14"/>
      <c r="I6039" s="423"/>
      <c r="J6039" s="14"/>
      <c r="K6039" s="13"/>
      <c r="L6039" s="13"/>
      <c r="M6039" s="14"/>
      <c r="N6039" s="15"/>
      <c r="O6039" s="15"/>
      <c r="P6039" s="15"/>
      <c r="Q6039" s="15"/>
      <c r="R6039" s="422"/>
      <c r="S6039" s="15"/>
      <c r="T6039" s="15"/>
      <c r="U6039" s="15"/>
      <c r="V6039" s="15"/>
      <c r="W6039" s="15"/>
      <c r="X6039" s="15"/>
      <c r="Y6039" s="15"/>
      <c r="Z6039" s="15"/>
      <c r="AA6039" s="15"/>
    </row>
    <row r="6040">
      <c r="A6040" s="15"/>
      <c r="B6040" s="15"/>
      <c r="C6040" s="14"/>
      <c r="D6040" s="14"/>
      <c r="E6040" s="14"/>
      <c r="F6040" s="433"/>
      <c r="G6040" s="434"/>
      <c r="H6040" s="14"/>
      <c r="I6040" s="423"/>
      <c r="J6040" s="14"/>
      <c r="K6040" s="13"/>
      <c r="L6040" s="13"/>
      <c r="M6040" s="14"/>
      <c r="N6040" s="15"/>
      <c r="O6040" s="15"/>
      <c r="P6040" s="15"/>
      <c r="Q6040" s="15"/>
      <c r="R6040" s="422"/>
      <c r="S6040" s="15"/>
      <c r="T6040" s="15"/>
      <c r="U6040" s="15"/>
      <c r="V6040" s="15"/>
      <c r="W6040" s="15"/>
      <c r="X6040" s="15"/>
      <c r="Y6040" s="15"/>
      <c r="Z6040" s="15"/>
      <c r="AA6040" s="15"/>
    </row>
    <row r="6041">
      <c r="A6041" s="15"/>
      <c r="B6041" s="15"/>
      <c r="C6041" s="14"/>
      <c r="D6041" s="14"/>
      <c r="E6041" s="14"/>
      <c r="F6041" s="433"/>
      <c r="G6041" s="434"/>
      <c r="H6041" s="14"/>
      <c r="I6041" s="423"/>
      <c r="J6041" s="14"/>
      <c r="K6041" s="13"/>
      <c r="L6041" s="13"/>
      <c r="M6041" s="14"/>
      <c r="N6041" s="15"/>
      <c r="O6041" s="15"/>
      <c r="P6041" s="15"/>
      <c r="Q6041" s="15"/>
      <c r="R6041" s="422"/>
      <c r="S6041" s="15"/>
      <c r="T6041" s="15"/>
      <c r="U6041" s="15"/>
      <c r="V6041" s="15"/>
      <c r="W6041" s="15"/>
      <c r="X6041" s="15"/>
      <c r="Y6041" s="15"/>
      <c r="Z6041" s="15"/>
      <c r="AA6041" s="15"/>
    </row>
    <row r="6042">
      <c r="A6042" s="15"/>
      <c r="B6042" s="15"/>
      <c r="C6042" s="14"/>
      <c r="D6042" s="14"/>
      <c r="E6042" s="14"/>
      <c r="F6042" s="433"/>
      <c r="G6042" s="434"/>
      <c r="H6042" s="14"/>
      <c r="I6042" s="423"/>
      <c r="J6042" s="14"/>
      <c r="K6042" s="13"/>
      <c r="L6042" s="13"/>
      <c r="M6042" s="14"/>
      <c r="N6042" s="15"/>
      <c r="O6042" s="15"/>
      <c r="P6042" s="15"/>
      <c r="Q6042" s="15"/>
      <c r="R6042" s="422"/>
      <c r="S6042" s="15"/>
      <c r="T6042" s="15"/>
      <c r="U6042" s="15"/>
      <c r="V6042" s="15"/>
      <c r="W6042" s="15"/>
      <c r="X6042" s="15"/>
      <c r="Y6042" s="15"/>
      <c r="Z6042" s="15"/>
      <c r="AA6042" s="15"/>
    </row>
    <row r="6043">
      <c r="A6043" s="15"/>
      <c r="B6043" s="15"/>
      <c r="C6043" s="14"/>
      <c r="D6043" s="14"/>
      <c r="E6043" s="14"/>
      <c r="F6043" s="433"/>
      <c r="G6043" s="434"/>
      <c r="H6043" s="14"/>
      <c r="I6043" s="423"/>
      <c r="J6043" s="14"/>
      <c r="K6043" s="13"/>
      <c r="L6043" s="13"/>
      <c r="M6043" s="14"/>
      <c r="N6043" s="15"/>
      <c r="O6043" s="15"/>
      <c r="P6043" s="15"/>
      <c r="Q6043" s="15"/>
      <c r="R6043" s="422"/>
      <c r="S6043" s="15"/>
      <c r="T6043" s="15"/>
      <c r="U6043" s="15"/>
      <c r="V6043" s="15"/>
      <c r="W6043" s="15"/>
      <c r="X6043" s="15"/>
      <c r="Y6043" s="15"/>
      <c r="Z6043" s="15"/>
      <c r="AA6043" s="15"/>
    </row>
    <row r="6044">
      <c r="A6044" s="15"/>
      <c r="B6044" s="15"/>
      <c r="C6044" s="14"/>
      <c r="D6044" s="14"/>
      <c r="E6044" s="14"/>
      <c r="F6044" s="433"/>
      <c r="G6044" s="434"/>
      <c r="H6044" s="14"/>
      <c r="I6044" s="423"/>
      <c r="J6044" s="14"/>
      <c r="K6044" s="13"/>
      <c r="L6044" s="13"/>
      <c r="M6044" s="14"/>
      <c r="N6044" s="15"/>
      <c r="O6044" s="15"/>
      <c r="P6044" s="15"/>
      <c r="Q6044" s="15"/>
      <c r="R6044" s="422"/>
      <c r="S6044" s="15"/>
      <c r="T6044" s="15"/>
      <c r="U6044" s="15"/>
      <c r="V6044" s="15"/>
      <c r="W6044" s="15"/>
      <c r="X6044" s="15"/>
      <c r="Y6044" s="15"/>
      <c r="Z6044" s="15"/>
      <c r="AA6044" s="15"/>
    </row>
    <row r="6045">
      <c r="A6045" s="15"/>
      <c r="B6045" s="15"/>
      <c r="C6045" s="14"/>
      <c r="D6045" s="14"/>
      <c r="E6045" s="14"/>
      <c r="F6045" s="433"/>
      <c r="G6045" s="434"/>
      <c r="H6045" s="14"/>
      <c r="I6045" s="423"/>
      <c r="J6045" s="14"/>
      <c r="K6045" s="13"/>
      <c r="L6045" s="13"/>
      <c r="M6045" s="14"/>
      <c r="N6045" s="15"/>
      <c r="O6045" s="15"/>
      <c r="P6045" s="15"/>
      <c r="Q6045" s="15"/>
      <c r="R6045" s="422"/>
      <c r="S6045" s="15"/>
      <c r="T6045" s="15"/>
      <c r="U6045" s="15"/>
      <c r="V6045" s="15"/>
      <c r="W6045" s="15"/>
      <c r="X6045" s="15"/>
      <c r="Y6045" s="15"/>
      <c r="Z6045" s="15"/>
      <c r="AA6045" s="15"/>
    </row>
    <row r="6046">
      <c r="A6046" s="15"/>
      <c r="B6046" s="15"/>
      <c r="C6046" s="14"/>
      <c r="D6046" s="14"/>
      <c r="E6046" s="14"/>
      <c r="F6046" s="433"/>
      <c r="G6046" s="434"/>
      <c r="H6046" s="14"/>
      <c r="I6046" s="423"/>
      <c r="J6046" s="14"/>
      <c r="K6046" s="13"/>
      <c r="L6046" s="13"/>
      <c r="M6046" s="14"/>
      <c r="N6046" s="15"/>
      <c r="O6046" s="15"/>
      <c r="P6046" s="15"/>
      <c r="Q6046" s="15"/>
      <c r="R6046" s="422"/>
      <c r="S6046" s="15"/>
      <c r="T6046" s="15"/>
      <c r="U6046" s="15"/>
      <c r="V6046" s="15"/>
      <c r="W6046" s="15"/>
      <c r="X6046" s="15"/>
      <c r="Y6046" s="15"/>
      <c r="Z6046" s="15"/>
      <c r="AA6046" s="15"/>
    </row>
    <row r="6047">
      <c r="A6047" s="15"/>
      <c r="B6047" s="15"/>
      <c r="C6047" s="14"/>
      <c r="D6047" s="14"/>
      <c r="E6047" s="14"/>
      <c r="F6047" s="433"/>
      <c r="G6047" s="434"/>
      <c r="H6047" s="14"/>
      <c r="I6047" s="423"/>
      <c r="J6047" s="14"/>
      <c r="K6047" s="13"/>
      <c r="L6047" s="13"/>
      <c r="M6047" s="14"/>
      <c r="N6047" s="15"/>
      <c r="O6047" s="15"/>
      <c r="P6047" s="15"/>
      <c r="Q6047" s="15"/>
      <c r="R6047" s="422"/>
      <c r="S6047" s="15"/>
      <c r="T6047" s="15"/>
      <c r="U6047" s="15"/>
      <c r="V6047" s="15"/>
      <c r="W6047" s="15"/>
      <c r="X6047" s="15"/>
      <c r="Y6047" s="15"/>
      <c r="Z6047" s="15"/>
      <c r="AA6047" s="15"/>
    </row>
    <row r="6048">
      <c r="A6048" s="15"/>
      <c r="B6048" s="15"/>
      <c r="C6048" s="14"/>
      <c r="D6048" s="14"/>
      <c r="E6048" s="14"/>
      <c r="F6048" s="433"/>
      <c r="G6048" s="434"/>
      <c r="H6048" s="14"/>
      <c r="I6048" s="423"/>
      <c r="J6048" s="14"/>
      <c r="K6048" s="13"/>
      <c r="L6048" s="13"/>
      <c r="M6048" s="14"/>
      <c r="N6048" s="15"/>
      <c r="O6048" s="15"/>
      <c r="P6048" s="15"/>
      <c r="Q6048" s="15"/>
      <c r="R6048" s="422"/>
      <c r="S6048" s="15"/>
      <c r="T6048" s="15"/>
      <c r="U6048" s="15"/>
      <c r="V6048" s="15"/>
      <c r="W6048" s="15"/>
      <c r="X6048" s="15"/>
      <c r="Y6048" s="15"/>
      <c r="Z6048" s="15"/>
      <c r="AA6048" s="15"/>
    </row>
    <row r="6049">
      <c r="A6049" s="15"/>
      <c r="B6049" s="15"/>
      <c r="C6049" s="14"/>
      <c r="D6049" s="14"/>
      <c r="E6049" s="14"/>
      <c r="F6049" s="433"/>
      <c r="G6049" s="434"/>
      <c r="H6049" s="14"/>
      <c r="I6049" s="423"/>
      <c r="J6049" s="14"/>
      <c r="K6049" s="13"/>
      <c r="L6049" s="13"/>
      <c r="M6049" s="14"/>
      <c r="N6049" s="15"/>
      <c r="O6049" s="15"/>
      <c r="P6049" s="15"/>
      <c r="Q6049" s="15"/>
      <c r="R6049" s="422"/>
      <c r="S6049" s="15"/>
      <c r="T6049" s="15"/>
      <c r="U6049" s="15"/>
      <c r="V6049" s="15"/>
      <c r="W6049" s="15"/>
      <c r="X6049" s="15"/>
      <c r="Y6049" s="15"/>
      <c r="Z6049" s="15"/>
      <c r="AA6049" s="15"/>
    </row>
    <row r="6050">
      <c r="A6050" s="15"/>
      <c r="B6050" s="15"/>
      <c r="C6050" s="14"/>
      <c r="D6050" s="14"/>
      <c r="E6050" s="14"/>
      <c r="F6050" s="433"/>
      <c r="G6050" s="434"/>
      <c r="H6050" s="14"/>
      <c r="I6050" s="423"/>
      <c r="J6050" s="14"/>
      <c r="K6050" s="13"/>
      <c r="L6050" s="13"/>
      <c r="M6050" s="14"/>
      <c r="N6050" s="15"/>
      <c r="O6050" s="15"/>
      <c r="P6050" s="15"/>
      <c r="Q6050" s="15"/>
      <c r="R6050" s="422"/>
      <c r="S6050" s="15"/>
      <c r="T6050" s="15"/>
      <c r="U6050" s="15"/>
      <c r="V6050" s="15"/>
      <c r="W6050" s="15"/>
      <c r="X6050" s="15"/>
      <c r="Y6050" s="15"/>
      <c r="Z6050" s="15"/>
      <c r="AA6050" s="15"/>
    </row>
    <row r="6051">
      <c r="A6051" s="15"/>
      <c r="B6051" s="15"/>
      <c r="C6051" s="14"/>
      <c r="D6051" s="14"/>
      <c r="E6051" s="14"/>
      <c r="F6051" s="433"/>
      <c r="G6051" s="434"/>
      <c r="H6051" s="14"/>
      <c r="I6051" s="423"/>
      <c r="J6051" s="14"/>
      <c r="K6051" s="13"/>
      <c r="L6051" s="13"/>
      <c r="M6051" s="14"/>
      <c r="N6051" s="15"/>
      <c r="O6051" s="15"/>
      <c r="P6051" s="15"/>
      <c r="Q6051" s="15"/>
      <c r="R6051" s="422"/>
      <c r="S6051" s="15"/>
      <c r="T6051" s="15"/>
      <c r="U6051" s="15"/>
      <c r="V6051" s="15"/>
      <c r="W6051" s="15"/>
      <c r="X6051" s="15"/>
      <c r="Y6051" s="15"/>
      <c r="Z6051" s="15"/>
      <c r="AA6051" s="15"/>
    </row>
    <row r="6052">
      <c r="A6052" s="15"/>
      <c r="B6052" s="15"/>
      <c r="C6052" s="14"/>
      <c r="D6052" s="14"/>
      <c r="E6052" s="14"/>
      <c r="F6052" s="433"/>
      <c r="G6052" s="434"/>
      <c r="H6052" s="14"/>
      <c r="I6052" s="423"/>
      <c r="J6052" s="14"/>
      <c r="K6052" s="13"/>
      <c r="L6052" s="13"/>
      <c r="M6052" s="14"/>
      <c r="N6052" s="15"/>
      <c r="O6052" s="15"/>
      <c r="P6052" s="15"/>
      <c r="Q6052" s="15"/>
      <c r="R6052" s="422"/>
      <c r="S6052" s="15"/>
      <c r="T6052" s="15"/>
      <c r="U6052" s="15"/>
      <c r="V6052" s="15"/>
      <c r="W6052" s="15"/>
      <c r="X6052" s="15"/>
      <c r="Y6052" s="15"/>
      <c r="Z6052" s="15"/>
      <c r="AA6052" s="15"/>
    </row>
    <row r="6053">
      <c r="A6053" s="15"/>
      <c r="B6053" s="15"/>
      <c r="C6053" s="14"/>
      <c r="D6053" s="14"/>
      <c r="E6053" s="14"/>
      <c r="F6053" s="433"/>
      <c r="G6053" s="434"/>
      <c r="H6053" s="14"/>
      <c r="I6053" s="423"/>
      <c r="J6053" s="14"/>
      <c r="K6053" s="13"/>
      <c r="L6053" s="13"/>
      <c r="M6053" s="14"/>
      <c r="N6053" s="15"/>
      <c r="O6053" s="15"/>
      <c r="P6053" s="15"/>
      <c r="Q6053" s="15"/>
      <c r="R6053" s="422"/>
      <c r="S6053" s="15"/>
      <c r="T6053" s="15"/>
      <c r="U6053" s="15"/>
      <c r="V6053" s="15"/>
      <c r="W6053" s="15"/>
      <c r="X6053" s="15"/>
      <c r="Y6053" s="15"/>
      <c r="Z6053" s="15"/>
      <c r="AA6053" s="15"/>
    </row>
    <row r="6054">
      <c r="A6054" s="15"/>
      <c r="B6054" s="15"/>
      <c r="C6054" s="14"/>
      <c r="D6054" s="14"/>
      <c r="E6054" s="14"/>
      <c r="F6054" s="433"/>
      <c r="G6054" s="434"/>
      <c r="H6054" s="14"/>
      <c r="I6054" s="423"/>
      <c r="J6054" s="14"/>
      <c r="K6054" s="13"/>
      <c r="L6054" s="13"/>
      <c r="M6054" s="14"/>
      <c r="N6054" s="15"/>
      <c r="O6054" s="15"/>
      <c r="P6054" s="15"/>
      <c r="Q6054" s="15"/>
      <c r="R6054" s="422"/>
      <c r="S6054" s="15"/>
      <c r="T6054" s="15"/>
      <c r="U6054" s="15"/>
      <c r="V6054" s="15"/>
      <c r="W6054" s="15"/>
      <c r="X6054" s="15"/>
      <c r="Y6054" s="15"/>
      <c r="Z6054" s="15"/>
      <c r="AA6054" s="15"/>
    </row>
    <row r="6055">
      <c r="A6055" s="15"/>
      <c r="B6055" s="15"/>
      <c r="C6055" s="14"/>
      <c r="D6055" s="14"/>
      <c r="E6055" s="14"/>
      <c r="F6055" s="433"/>
      <c r="G6055" s="434"/>
      <c r="H6055" s="14"/>
      <c r="I6055" s="423"/>
      <c r="J6055" s="14"/>
      <c r="K6055" s="13"/>
      <c r="L6055" s="13"/>
      <c r="M6055" s="14"/>
      <c r="N6055" s="15"/>
      <c r="O6055" s="15"/>
      <c r="P6055" s="15"/>
      <c r="Q6055" s="15"/>
      <c r="R6055" s="422"/>
      <c r="S6055" s="15"/>
      <c r="T6055" s="15"/>
      <c r="U6055" s="15"/>
      <c r="V6055" s="15"/>
      <c r="W6055" s="15"/>
      <c r="X6055" s="15"/>
      <c r="Y6055" s="15"/>
      <c r="Z6055" s="15"/>
      <c r="AA6055" s="15"/>
    </row>
    <row r="6056">
      <c r="A6056" s="15"/>
      <c r="B6056" s="15"/>
      <c r="C6056" s="14"/>
      <c r="D6056" s="14"/>
      <c r="E6056" s="14"/>
      <c r="F6056" s="433"/>
      <c r="G6056" s="434"/>
      <c r="H6056" s="14"/>
      <c r="I6056" s="423"/>
      <c r="J6056" s="14"/>
      <c r="K6056" s="13"/>
      <c r="L6056" s="13"/>
      <c r="M6056" s="14"/>
      <c r="N6056" s="15"/>
      <c r="O6056" s="15"/>
      <c r="P6056" s="15"/>
      <c r="Q6056" s="15"/>
      <c r="R6056" s="422"/>
      <c r="S6056" s="15"/>
      <c r="T6056" s="15"/>
      <c r="U6056" s="15"/>
      <c r="V6056" s="15"/>
      <c r="W6056" s="15"/>
      <c r="X6056" s="15"/>
      <c r="Y6056" s="15"/>
      <c r="Z6056" s="15"/>
      <c r="AA6056" s="15"/>
    </row>
    <row r="6057">
      <c r="A6057" s="15"/>
      <c r="B6057" s="15"/>
      <c r="C6057" s="14"/>
      <c r="D6057" s="14"/>
      <c r="E6057" s="14"/>
      <c r="F6057" s="433"/>
      <c r="G6057" s="434"/>
      <c r="H6057" s="14"/>
      <c r="I6057" s="423"/>
      <c r="J6057" s="14"/>
      <c r="K6057" s="13"/>
      <c r="L6057" s="13"/>
      <c r="M6057" s="14"/>
      <c r="N6057" s="15"/>
      <c r="O6057" s="15"/>
      <c r="P6057" s="15"/>
      <c r="Q6057" s="15"/>
      <c r="R6057" s="422"/>
      <c r="S6057" s="15"/>
      <c r="T6057" s="15"/>
      <c r="U6057" s="15"/>
      <c r="V6057" s="15"/>
      <c r="W6057" s="15"/>
      <c r="X6057" s="15"/>
      <c r="Y6057" s="15"/>
      <c r="Z6057" s="15"/>
      <c r="AA6057" s="15"/>
    </row>
    <row r="6058">
      <c r="A6058" s="15"/>
      <c r="B6058" s="15"/>
      <c r="C6058" s="14"/>
      <c r="D6058" s="14"/>
      <c r="E6058" s="14"/>
      <c r="F6058" s="433"/>
      <c r="G6058" s="434"/>
      <c r="H6058" s="14"/>
      <c r="I6058" s="423"/>
      <c r="J6058" s="14"/>
      <c r="K6058" s="13"/>
      <c r="L6058" s="13"/>
      <c r="M6058" s="14"/>
      <c r="N6058" s="15"/>
      <c r="O6058" s="15"/>
      <c r="P6058" s="15"/>
      <c r="Q6058" s="15"/>
      <c r="R6058" s="422"/>
      <c r="S6058" s="15"/>
      <c r="T6058" s="15"/>
      <c r="U6058" s="15"/>
      <c r="V6058" s="15"/>
      <c r="W6058" s="15"/>
      <c r="X6058" s="15"/>
      <c r="Y6058" s="15"/>
      <c r="Z6058" s="15"/>
      <c r="AA6058" s="15"/>
    </row>
    <row r="6059">
      <c r="A6059" s="15"/>
      <c r="B6059" s="15"/>
      <c r="C6059" s="14"/>
      <c r="D6059" s="14"/>
      <c r="E6059" s="14"/>
      <c r="F6059" s="433"/>
      <c r="G6059" s="434"/>
      <c r="H6059" s="14"/>
      <c r="I6059" s="423"/>
      <c r="J6059" s="14"/>
      <c r="K6059" s="13"/>
      <c r="L6059" s="13"/>
      <c r="M6059" s="14"/>
      <c r="N6059" s="15"/>
      <c r="O6059" s="15"/>
      <c r="P6059" s="15"/>
      <c r="Q6059" s="15"/>
      <c r="R6059" s="422"/>
      <c r="S6059" s="15"/>
      <c r="T6059" s="15"/>
      <c r="U6059" s="15"/>
      <c r="V6059" s="15"/>
      <c r="W6059" s="15"/>
      <c r="X6059" s="15"/>
      <c r="Y6059" s="15"/>
      <c r="Z6059" s="15"/>
      <c r="AA6059" s="15"/>
    </row>
    <row r="6060">
      <c r="A6060" s="15"/>
      <c r="B6060" s="15"/>
      <c r="C6060" s="14"/>
      <c r="D6060" s="14"/>
      <c r="E6060" s="14"/>
      <c r="F6060" s="433"/>
      <c r="G6060" s="434"/>
      <c r="H6060" s="14"/>
      <c r="I6060" s="423"/>
      <c r="J6060" s="14"/>
      <c r="K6060" s="13"/>
      <c r="L6060" s="13"/>
      <c r="M6060" s="14"/>
      <c r="N6060" s="15"/>
      <c r="O6060" s="15"/>
      <c r="P6060" s="15"/>
      <c r="Q6060" s="15"/>
      <c r="R6060" s="422"/>
      <c r="S6060" s="15"/>
      <c r="T6060" s="15"/>
      <c r="U6060" s="15"/>
      <c r="V6060" s="15"/>
      <c r="W6060" s="15"/>
      <c r="X6060" s="15"/>
      <c r="Y6060" s="15"/>
      <c r="Z6060" s="15"/>
      <c r="AA6060" s="15"/>
    </row>
    <row r="6061">
      <c r="A6061" s="15"/>
      <c r="B6061" s="15"/>
      <c r="C6061" s="14"/>
      <c r="D6061" s="14"/>
      <c r="E6061" s="14"/>
      <c r="F6061" s="433"/>
      <c r="G6061" s="434"/>
      <c r="H6061" s="14"/>
      <c r="I6061" s="423"/>
      <c r="J6061" s="14"/>
      <c r="K6061" s="13"/>
      <c r="L6061" s="13"/>
      <c r="M6061" s="14"/>
      <c r="N6061" s="15"/>
      <c r="O6061" s="15"/>
      <c r="P6061" s="15"/>
      <c r="Q6061" s="15"/>
      <c r="R6061" s="422"/>
      <c r="S6061" s="15"/>
      <c r="T6061" s="15"/>
      <c r="U6061" s="15"/>
      <c r="V6061" s="15"/>
      <c r="W6061" s="15"/>
      <c r="X6061" s="15"/>
      <c r="Y6061" s="15"/>
      <c r="Z6061" s="15"/>
      <c r="AA6061" s="15"/>
    </row>
    <row r="6062">
      <c r="A6062" s="15"/>
      <c r="B6062" s="15"/>
      <c r="C6062" s="14"/>
      <c r="D6062" s="14"/>
      <c r="E6062" s="14"/>
      <c r="F6062" s="433"/>
      <c r="G6062" s="434"/>
      <c r="H6062" s="14"/>
      <c r="I6062" s="423"/>
      <c r="J6062" s="14"/>
      <c r="K6062" s="13"/>
      <c r="L6062" s="13"/>
      <c r="M6062" s="14"/>
      <c r="N6062" s="15"/>
      <c r="O6062" s="15"/>
      <c r="P6062" s="15"/>
      <c r="Q6062" s="15"/>
      <c r="R6062" s="422"/>
      <c r="S6062" s="15"/>
      <c r="T6062" s="15"/>
      <c r="U6062" s="15"/>
      <c r="V6062" s="15"/>
      <c r="W6062" s="15"/>
      <c r="X6062" s="15"/>
      <c r="Y6062" s="15"/>
      <c r="Z6062" s="15"/>
      <c r="AA6062" s="15"/>
    </row>
    <row r="6063">
      <c r="A6063" s="15"/>
      <c r="B6063" s="15"/>
      <c r="C6063" s="14"/>
      <c r="D6063" s="14"/>
      <c r="E6063" s="14"/>
      <c r="F6063" s="433"/>
      <c r="G6063" s="434"/>
      <c r="H6063" s="14"/>
      <c r="I6063" s="423"/>
      <c r="J6063" s="14"/>
      <c r="K6063" s="13"/>
      <c r="L6063" s="13"/>
      <c r="M6063" s="14"/>
      <c r="N6063" s="15"/>
      <c r="O6063" s="15"/>
      <c r="P6063" s="15"/>
      <c r="Q6063" s="15"/>
      <c r="R6063" s="422"/>
      <c r="S6063" s="15"/>
      <c r="T6063" s="15"/>
      <c r="U6063" s="15"/>
      <c r="V6063" s="15"/>
      <c r="W6063" s="15"/>
      <c r="X6063" s="15"/>
      <c r="Y6063" s="15"/>
      <c r="Z6063" s="15"/>
      <c r="AA6063" s="15"/>
    </row>
    <row r="6064">
      <c r="A6064" s="15"/>
      <c r="B6064" s="15"/>
      <c r="C6064" s="14"/>
      <c r="D6064" s="14"/>
      <c r="E6064" s="14"/>
      <c r="F6064" s="433"/>
      <c r="G6064" s="434"/>
      <c r="H6064" s="14"/>
      <c r="I6064" s="423"/>
      <c r="J6064" s="14"/>
      <c r="K6064" s="13"/>
      <c r="L6064" s="13"/>
      <c r="M6064" s="14"/>
      <c r="N6064" s="15"/>
      <c r="O6064" s="15"/>
      <c r="P6064" s="15"/>
      <c r="Q6064" s="15"/>
      <c r="R6064" s="422"/>
      <c r="S6064" s="15"/>
      <c r="T6064" s="15"/>
      <c r="U6064" s="15"/>
      <c r="V6064" s="15"/>
      <c r="W6064" s="15"/>
      <c r="X6064" s="15"/>
      <c r="Y6064" s="15"/>
      <c r="Z6064" s="15"/>
      <c r="AA6064" s="15"/>
    </row>
    <row r="6065">
      <c r="A6065" s="15"/>
      <c r="B6065" s="15"/>
      <c r="C6065" s="14"/>
      <c r="D6065" s="14"/>
      <c r="E6065" s="14"/>
      <c r="F6065" s="433"/>
      <c r="G6065" s="434"/>
      <c r="H6065" s="14"/>
      <c r="I6065" s="423"/>
      <c r="J6065" s="14"/>
      <c r="K6065" s="13"/>
      <c r="L6065" s="13"/>
      <c r="M6065" s="14"/>
      <c r="N6065" s="15"/>
      <c r="O6065" s="15"/>
      <c r="P6065" s="15"/>
      <c r="Q6065" s="15"/>
      <c r="R6065" s="422"/>
      <c r="S6065" s="15"/>
      <c r="T6065" s="15"/>
      <c r="U6065" s="15"/>
      <c r="V6065" s="15"/>
      <c r="W6065" s="15"/>
      <c r="X6065" s="15"/>
      <c r="Y6065" s="15"/>
      <c r="Z6065" s="15"/>
      <c r="AA6065" s="15"/>
    </row>
    <row r="6066">
      <c r="A6066" s="15"/>
      <c r="B6066" s="15"/>
      <c r="C6066" s="14"/>
      <c r="D6066" s="14"/>
      <c r="E6066" s="14"/>
      <c r="F6066" s="433"/>
      <c r="G6066" s="434"/>
      <c r="H6066" s="14"/>
      <c r="I6066" s="423"/>
      <c r="J6066" s="14"/>
      <c r="K6066" s="13"/>
      <c r="L6066" s="13"/>
      <c r="M6066" s="14"/>
      <c r="N6066" s="15"/>
      <c r="O6066" s="15"/>
      <c r="P6066" s="15"/>
      <c r="Q6066" s="15"/>
      <c r="R6066" s="422"/>
      <c r="S6066" s="15"/>
      <c r="T6066" s="15"/>
      <c r="U6066" s="15"/>
      <c r="V6066" s="15"/>
      <c r="W6066" s="15"/>
      <c r="X6066" s="15"/>
      <c r="Y6066" s="15"/>
      <c r="Z6066" s="15"/>
      <c r="AA6066" s="15"/>
    </row>
    <row r="6067">
      <c r="A6067" s="15"/>
      <c r="B6067" s="15"/>
      <c r="C6067" s="14"/>
      <c r="D6067" s="14"/>
      <c r="E6067" s="14"/>
      <c r="F6067" s="433"/>
      <c r="G6067" s="434"/>
      <c r="H6067" s="14"/>
      <c r="I6067" s="423"/>
      <c r="J6067" s="14"/>
      <c r="K6067" s="13"/>
      <c r="L6067" s="13"/>
      <c r="M6067" s="14"/>
      <c r="N6067" s="15"/>
      <c r="O6067" s="15"/>
      <c r="P6067" s="15"/>
      <c r="Q6067" s="15"/>
      <c r="R6067" s="422"/>
      <c r="S6067" s="15"/>
      <c r="T6067" s="15"/>
      <c r="U6067" s="15"/>
      <c r="V6067" s="15"/>
      <c r="W6067" s="15"/>
      <c r="X6067" s="15"/>
      <c r="Y6067" s="15"/>
      <c r="Z6067" s="15"/>
      <c r="AA6067" s="15"/>
    </row>
    <row r="6068">
      <c r="A6068" s="15"/>
      <c r="B6068" s="15"/>
      <c r="C6068" s="14"/>
      <c r="D6068" s="14"/>
      <c r="E6068" s="14"/>
      <c r="F6068" s="433"/>
      <c r="G6068" s="434"/>
      <c r="H6068" s="14"/>
      <c r="I6068" s="423"/>
      <c r="J6068" s="14"/>
      <c r="K6068" s="13"/>
      <c r="L6068" s="13"/>
      <c r="M6068" s="14"/>
      <c r="N6068" s="15"/>
      <c r="O6068" s="15"/>
      <c r="P6068" s="15"/>
      <c r="Q6068" s="15"/>
      <c r="R6068" s="422"/>
      <c r="S6068" s="15"/>
      <c r="T6068" s="15"/>
      <c r="U6068" s="15"/>
      <c r="V6068" s="15"/>
      <c r="W6068" s="15"/>
      <c r="X6068" s="15"/>
      <c r="Y6068" s="15"/>
      <c r="Z6068" s="15"/>
      <c r="AA6068" s="15"/>
    </row>
    <row r="6069">
      <c r="A6069" s="15"/>
      <c r="B6069" s="15"/>
      <c r="C6069" s="14"/>
      <c r="D6069" s="14"/>
      <c r="E6069" s="14"/>
      <c r="F6069" s="433"/>
      <c r="G6069" s="434"/>
      <c r="H6069" s="14"/>
      <c r="I6069" s="423"/>
      <c r="J6069" s="14"/>
      <c r="K6069" s="13"/>
      <c r="L6069" s="13"/>
      <c r="M6069" s="14"/>
      <c r="N6069" s="15"/>
      <c r="O6069" s="15"/>
      <c r="P6069" s="15"/>
      <c r="Q6069" s="15"/>
      <c r="R6069" s="422"/>
      <c r="S6069" s="15"/>
      <c r="T6069" s="15"/>
      <c r="U6069" s="15"/>
      <c r="V6069" s="15"/>
      <c r="W6069" s="15"/>
      <c r="X6069" s="15"/>
      <c r="Y6069" s="15"/>
      <c r="Z6069" s="15"/>
      <c r="AA6069" s="15"/>
    </row>
    <row r="6070">
      <c r="A6070" s="15"/>
      <c r="B6070" s="15"/>
      <c r="C6070" s="14"/>
      <c r="D6070" s="14"/>
      <c r="E6070" s="14"/>
      <c r="F6070" s="433"/>
      <c r="G6070" s="434"/>
      <c r="H6070" s="14"/>
      <c r="I6070" s="423"/>
      <c r="J6070" s="14"/>
      <c r="K6070" s="13"/>
      <c r="L6070" s="13"/>
      <c r="M6070" s="14"/>
      <c r="N6070" s="15"/>
      <c r="O6070" s="15"/>
      <c r="P6070" s="15"/>
      <c r="Q6070" s="15"/>
      <c r="R6070" s="422"/>
      <c r="S6070" s="15"/>
      <c r="T6070" s="15"/>
      <c r="U6070" s="15"/>
      <c r="V6070" s="15"/>
      <c r="W6070" s="15"/>
      <c r="X6070" s="15"/>
      <c r="Y6070" s="15"/>
      <c r="Z6070" s="15"/>
      <c r="AA6070" s="15"/>
    </row>
    <row r="6071">
      <c r="A6071" s="15"/>
      <c r="B6071" s="15"/>
      <c r="C6071" s="14"/>
      <c r="D6071" s="14"/>
      <c r="E6071" s="14"/>
      <c r="F6071" s="433"/>
      <c r="G6071" s="434"/>
      <c r="H6071" s="14"/>
      <c r="I6071" s="423"/>
      <c r="J6071" s="14"/>
      <c r="K6071" s="13"/>
      <c r="L6071" s="13"/>
      <c r="M6071" s="14"/>
      <c r="N6071" s="15"/>
      <c r="O6071" s="15"/>
      <c r="P6071" s="15"/>
      <c r="Q6071" s="15"/>
      <c r="R6071" s="422"/>
      <c r="S6071" s="15"/>
      <c r="T6071" s="15"/>
      <c r="U6071" s="15"/>
      <c r="V6071" s="15"/>
      <c r="W6071" s="15"/>
      <c r="X6071" s="15"/>
      <c r="Y6071" s="15"/>
      <c r="Z6071" s="15"/>
      <c r="AA6071" s="15"/>
    </row>
    <row r="6072">
      <c r="A6072" s="15"/>
      <c r="B6072" s="15"/>
      <c r="C6072" s="14"/>
      <c r="D6072" s="14"/>
      <c r="E6072" s="14"/>
      <c r="F6072" s="433"/>
      <c r="G6072" s="434"/>
      <c r="H6072" s="14"/>
      <c r="I6072" s="423"/>
      <c r="J6072" s="14"/>
      <c r="K6072" s="13"/>
      <c r="L6072" s="13"/>
      <c r="M6072" s="14"/>
      <c r="N6072" s="15"/>
      <c r="O6072" s="15"/>
      <c r="P6072" s="15"/>
      <c r="Q6072" s="15"/>
      <c r="R6072" s="422"/>
      <c r="S6072" s="15"/>
      <c r="T6072" s="15"/>
      <c r="U6072" s="15"/>
      <c r="V6072" s="15"/>
      <c r="W6072" s="15"/>
      <c r="X6072" s="15"/>
      <c r="Y6072" s="15"/>
      <c r="Z6072" s="15"/>
      <c r="AA6072" s="15"/>
    </row>
    <row r="6073">
      <c r="A6073" s="15"/>
      <c r="B6073" s="15"/>
      <c r="C6073" s="14"/>
      <c r="D6073" s="14"/>
      <c r="E6073" s="14"/>
      <c r="F6073" s="433"/>
      <c r="G6073" s="434"/>
      <c r="H6073" s="14"/>
      <c r="I6073" s="423"/>
      <c r="J6073" s="14"/>
      <c r="K6073" s="13"/>
      <c r="L6073" s="13"/>
      <c r="M6073" s="14"/>
      <c r="N6073" s="15"/>
      <c r="O6073" s="15"/>
      <c r="P6073" s="15"/>
      <c r="Q6073" s="15"/>
      <c r="R6073" s="422"/>
      <c r="S6073" s="15"/>
      <c r="T6073" s="15"/>
      <c r="U6073" s="15"/>
      <c r="V6073" s="15"/>
      <c r="W6073" s="15"/>
      <c r="X6073" s="15"/>
      <c r="Y6073" s="15"/>
      <c r="Z6073" s="15"/>
      <c r="AA6073" s="15"/>
    </row>
    <row r="6074">
      <c r="A6074" s="15"/>
      <c r="B6074" s="15"/>
      <c r="C6074" s="14"/>
      <c r="D6074" s="14"/>
      <c r="E6074" s="14"/>
      <c r="F6074" s="433"/>
      <c r="G6074" s="434"/>
      <c r="H6074" s="14"/>
      <c r="I6074" s="423"/>
      <c r="J6074" s="14"/>
      <c r="K6074" s="13"/>
      <c r="L6074" s="13"/>
      <c r="M6074" s="14"/>
      <c r="N6074" s="15"/>
      <c r="O6074" s="15"/>
      <c r="P6074" s="15"/>
      <c r="Q6074" s="15"/>
      <c r="R6074" s="422"/>
      <c r="S6074" s="15"/>
      <c r="T6074" s="15"/>
      <c r="U6074" s="15"/>
      <c r="V6074" s="15"/>
      <c r="W6074" s="15"/>
      <c r="X6074" s="15"/>
      <c r="Y6074" s="15"/>
      <c r="Z6074" s="15"/>
      <c r="AA6074" s="15"/>
    </row>
    <row r="6075">
      <c r="A6075" s="15"/>
      <c r="B6075" s="15"/>
      <c r="C6075" s="14"/>
      <c r="D6075" s="14"/>
      <c r="E6075" s="14"/>
      <c r="F6075" s="433"/>
      <c r="G6075" s="434"/>
      <c r="H6075" s="14"/>
      <c r="I6075" s="423"/>
      <c r="J6075" s="14"/>
      <c r="K6075" s="13"/>
      <c r="L6075" s="13"/>
      <c r="M6075" s="14"/>
      <c r="N6075" s="15"/>
      <c r="O6075" s="15"/>
      <c r="P6075" s="15"/>
      <c r="Q6075" s="15"/>
      <c r="R6075" s="422"/>
      <c r="S6075" s="15"/>
      <c r="T6075" s="15"/>
      <c r="U6075" s="15"/>
      <c r="V6075" s="15"/>
      <c r="W6075" s="15"/>
      <c r="X6075" s="15"/>
      <c r="Y6075" s="15"/>
      <c r="Z6075" s="15"/>
      <c r="AA6075" s="15"/>
    </row>
    <row r="6076">
      <c r="A6076" s="15"/>
      <c r="B6076" s="15"/>
      <c r="C6076" s="14"/>
      <c r="D6076" s="14"/>
      <c r="E6076" s="14"/>
      <c r="F6076" s="433"/>
      <c r="G6076" s="434"/>
      <c r="H6076" s="14"/>
      <c r="I6076" s="423"/>
      <c r="J6076" s="14"/>
      <c r="K6076" s="13"/>
      <c r="L6076" s="13"/>
      <c r="M6076" s="14"/>
      <c r="N6076" s="15"/>
      <c r="O6076" s="15"/>
      <c r="P6076" s="15"/>
      <c r="Q6076" s="15"/>
      <c r="R6076" s="422"/>
      <c r="S6076" s="15"/>
      <c r="T6076" s="15"/>
      <c r="U6076" s="15"/>
      <c r="V6076" s="15"/>
      <c r="W6076" s="15"/>
      <c r="X6076" s="15"/>
      <c r="Y6076" s="15"/>
      <c r="Z6076" s="15"/>
      <c r="AA6076" s="15"/>
    </row>
    <row r="6077">
      <c r="A6077" s="15"/>
      <c r="B6077" s="15"/>
      <c r="C6077" s="14"/>
      <c r="D6077" s="14"/>
      <c r="E6077" s="14"/>
      <c r="F6077" s="433"/>
      <c r="G6077" s="434"/>
      <c r="H6077" s="14"/>
      <c r="I6077" s="423"/>
      <c r="J6077" s="14"/>
      <c r="K6077" s="13"/>
      <c r="L6077" s="13"/>
      <c r="M6077" s="14"/>
      <c r="N6077" s="15"/>
      <c r="O6077" s="15"/>
      <c r="P6077" s="15"/>
      <c r="Q6077" s="15"/>
      <c r="R6077" s="422"/>
      <c r="S6077" s="15"/>
      <c r="T6077" s="15"/>
      <c r="U6077" s="15"/>
      <c r="V6077" s="15"/>
      <c r="W6077" s="15"/>
      <c r="X6077" s="15"/>
      <c r="Y6077" s="15"/>
      <c r="Z6077" s="15"/>
      <c r="AA6077" s="15"/>
    </row>
    <row r="6078">
      <c r="A6078" s="15"/>
      <c r="B6078" s="15"/>
      <c r="C6078" s="14"/>
      <c r="D6078" s="14"/>
      <c r="E6078" s="14"/>
      <c r="F6078" s="433"/>
      <c r="G6078" s="434"/>
      <c r="H6078" s="14"/>
      <c r="I6078" s="423"/>
      <c r="J6078" s="14"/>
      <c r="K6078" s="13"/>
      <c r="L6078" s="13"/>
      <c r="M6078" s="14"/>
      <c r="N6078" s="15"/>
      <c r="O6078" s="15"/>
      <c r="P6078" s="15"/>
      <c r="Q6078" s="15"/>
      <c r="R6078" s="422"/>
      <c r="S6078" s="15"/>
      <c r="T6078" s="15"/>
      <c r="U6078" s="15"/>
      <c r="V6078" s="15"/>
      <c r="W6078" s="15"/>
      <c r="X6078" s="15"/>
      <c r="Y6078" s="15"/>
      <c r="Z6078" s="15"/>
      <c r="AA6078" s="15"/>
    </row>
    <row r="6079">
      <c r="A6079" s="15"/>
      <c r="B6079" s="15"/>
      <c r="C6079" s="14"/>
      <c r="D6079" s="14"/>
      <c r="E6079" s="14"/>
      <c r="F6079" s="433"/>
      <c r="G6079" s="434"/>
      <c r="H6079" s="14"/>
      <c r="I6079" s="423"/>
      <c r="J6079" s="14"/>
      <c r="K6079" s="13"/>
      <c r="L6079" s="13"/>
      <c r="M6079" s="14"/>
      <c r="N6079" s="15"/>
      <c r="O6079" s="15"/>
      <c r="P6079" s="15"/>
      <c r="Q6079" s="15"/>
      <c r="R6079" s="422"/>
      <c r="S6079" s="15"/>
      <c r="T6079" s="15"/>
      <c r="U6079" s="15"/>
      <c r="V6079" s="15"/>
      <c r="W6079" s="15"/>
      <c r="X6079" s="15"/>
      <c r="Y6079" s="15"/>
      <c r="Z6079" s="15"/>
      <c r="AA6079" s="15"/>
    </row>
    <row r="6080">
      <c r="A6080" s="15"/>
      <c r="B6080" s="15"/>
      <c r="C6080" s="14"/>
      <c r="D6080" s="14"/>
      <c r="E6080" s="14"/>
      <c r="F6080" s="433"/>
      <c r="G6080" s="434"/>
      <c r="H6080" s="14"/>
      <c r="I6080" s="423"/>
      <c r="J6080" s="14"/>
      <c r="K6080" s="13"/>
      <c r="L6080" s="13"/>
      <c r="M6080" s="14"/>
      <c r="N6080" s="15"/>
      <c r="O6080" s="15"/>
      <c r="P6080" s="15"/>
      <c r="Q6080" s="15"/>
      <c r="R6080" s="422"/>
      <c r="S6080" s="15"/>
      <c r="T6080" s="15"/>
      <c r="U6080" s="15"/>
      <c r="V6080" s="15"/>
      <c r="W6080" s="15"/>
      <c r="X6080" s="15"/>
      <c r="Y6080" s="15"/>
      <c r="Z6080" s="15"/>
      <c r="AA6080" s="15"/>
    </row>
    <row r="6081">
      <c r="A6081" s="15"/>
      <c r="B6081" s="15"/>
      <c r="C6081" s="14"/>
      <c r="D6081" s="14"/>
      <c r="E6081" s="14"/>
      <c r="F6081" s="433"/>
      <c r="G6081" s="434"/>
      <c r="H6081" s="14"/>
      <c r="I6081" s="423"/>
      <c r="J6081" s="14"/>
      <c r="K6081" s="13"/>
      <c r="L6081" s="13"/>
      <c r="M6081" s="14"/>
      <c r="N6081" s="15"/>
      <c r="O6081" s="15"/>
      <c r="P6081" s="15"/>
      <c r="Q6081" s="15"/>
      <c r="R6081" s="422"/>
      <c r="S6081" s="15"/>
      <c r="T6081" s="15"/>
      <c r="U6081" s="15"/>
      <c r="V6081" s="15"/>
      <c r="W6081" s="15"/>
      <c r="X6081" s="15"/>
      <c r="Y6081" s="15"/>
      <c r="Z6081" s="15"/>
      <c r="AA6081" s="15"/>
    </row>
    <row r="6082">
      <c r="A6082" s="15"/>
      <c r="B6082" s="15"/>
      <c r="C6082" s="14"/>
      <c r="D6082" s="14"/>
      <c r="E6082" s="14"/>
      <c r="F6082" s="433"/>
      <c r="G6082" s="434"/>
      <c r="H6082" s="14"/>
      <c r="I6082" s="423"/>
      <c r="J6082" s="14"/>
      <c r="K6082" s="13"/>
      <c r="L6082" s="13"/>
      <c r="M6082" s="14"/>
      <c r="N6082" s="15"/>
      <c r="O6082" s="15"/>
      <c r="P6082" s="15"/>
      <c r="Q6082" s="15"/>
      <c r="R6082" s="422"/>
      <c r="S6082" s="15"/>
      <c r="T6082" s="15"/>
      <c r="U6082" s="15"/>
      <c r="V6082" s="15"/>
      <c r="W6082" s="15"/>
      <c r="X6082" s="15"/>
      <c r="Y6082" s="15"/>
      <c r="Z6082" s="15"/>
      <c r="AA6082" s="15"/>
    </row>
    <row r="6083">
      <c r="A6083" s="15"/>
      <c r="B6083" s="15"/>
      <c r="C6083" s="14"/>
      <c r="D6083" s="14"/>
      <c r="E6083" s="14"/>
      <c r="F6083" s="433"/>
      <c r="G6083" s="434"/>
      <c r="H6083" s="14"/>
      <c r="I6083" s="423"/>
      <c r="J6083" s="14"/>
      <c r="K6083" s="13"/>
      <c r="L6083" s="13"/>
      <c r="M6083" s="14"/>
      <c r="N6083" s="15"/>
      <c r="O6083" s="15"/>
      <c r="P6083" s="15"/>
      <c r="Q6083" s="15"/>
      <c r="R6083" s="422"/>
      <c r="S6083" s="15"/>
      <c r="T6083" s="15"/>
      <c r="U6083" s="15"/>
      <c r="V6083" s="15"/>
      <c r="W6083" s="15"/>
      <c r="X6083" s="15"/>
      <c r="Y6083" s="15"/>
      <c r="Z6083" s="15"/>
      <c r="AA6083" s="15"/>
    </row>
    <row r="6084">
      <c r="A6084" s="15"/>
      <c r="B6084" s="15"/>
      <c r="C6084" s="14"/>
      <c r="D6084" s="14"/>
      <c r="E6084" s="14"/>
      <c r="F6084" s="433"/>
      <c r="G6084" s="434"/>
      <c r="H6084" s="14"/>
      <c r="I6084" s="423"/>
      <c r="J6084" s="14"/>
      <c r="K6084" s="13"/>
      <c r="L6084" s="13"/>
      <c r="M6084" s="14"/>
      <c r="N6084" s="15"/>
      <c r="O6084" s="15"/>
      <c r="P6084" s="15"/>
      <c r="Q6084" s="15"/>
      <c r="R6084" s="422"/>
      <c r="S6084" s="15"/>
      <c r="T6084" s="15"/>
      <c r="U6084" s="15"/>
      <c r="V6084" s="15"/>
      <c r="W6084" s="15"/>
      <c r="X6084" s="15"/>
      <c r="Y6084" s="15"/>
      <c r="Z6084" s="15"/>
      <c r="AA6084" s="15"/>
    </row>
    <row r="6085">
      <c r="A6085" s="15"/>
      <c r="B6085" s="15"/>
      <c r="C6085" s="14"/>
      <c r="D6085" s="14"/>
      <c r="E6085" s="14"/>
      <c r="F6085" s="433"/>
      <c r="G6085" s="434"/>
      <c r="H6085" s="14"/>
      <c r="I6085" s="423"/>
      <c r="J6085" s="14"/>
      <c r="K6085" s="13"/>
      <c r="L6085" s="13"/>
      <c r="M6085" s="14"/>
      <c r="N6085" s="15"/>
      <c r="O6085" s="15"/>
      <c r="P6085" s="15"/>
      <c r="Q6085" s="15"/>
      <c r="R6085" s="422"/>
      <c r="S6085" s="15"/>
      <c r="T6085" s="15"/>
      <c r="U6085" s="15"/>
      <c r="V6085" s="15"/>
      <c r="W6085" s="15"/>
      <c r="X6085" s="15"/>
      <c r="Y6085" s="15"/>
      <c r="Z6085" s="15"/>
      <c r="AA6085" s="15"/>
    </row>
    <row r="6086">
      <c r="A6086" s="15"/>
      <c r="B6086" s="15"/>
      <c r="C6086" s="14"/>
      <c r="D6086" s="14"/>
      <c r="E6086" s="14"/>
      <c r="F6086" s="433"/>
      <c r="G6086" s="434"/>
      <c r="H6086" s="14"/>
      <c r="I6086" s="423"/>
      <c r="J6086" s="14"/>
      <c r="K6086" s="13"/>
      <c r="L6086" s="13"/>
      <c r="M6086" s="14"/>
      <c r="N6086" s="15"/>
      <c r="O6086" s="15"/>
      <c r="P6086" s="15"/>
      <c r="Q6086" s="15"/>
      <c r="R6086" s="422"/>
      <c r="S6086" s="15"/>
      <c r="T6086" s="15"/>
      <c r="U6086" s="15"/>
      <c r="V6086" s="15"/>
      <c r="W6086" s="15"/>
      <c r="X6086" s="15"/>
      <c r="Y6086" s="15"/>
      <c r="Z6086" s="15"/>
      <c r="AA6086" s="15"/>
    </row>
    <row r="6087">
      <c r="A6087" s="15"/>
      <c r="B6087" s="15"/>
      <c r="C6087" s="14"/>
      <c r="D6087" s="14"/>
      <c r="E6087" s="14"/>
      <c r="F6087" s="433"/>
      <c r="G6087" s="434"/>
      <c r="H6087" s="14"/>
      <c r="I6087" s="423"/>
      <c r="J6087" s="14"/>
      <c r="K6087" s="13"/>
      <c r="L6087" s="13"/>
      <c r="M6087" s="14"/>
      <c r="N6087" s="15"/>
      <c r="O6087" s="15"/>
      <c r="P6087" s="15"/>
      <c r="Q6087" s="15"/>
      <c r="R6087" s="422"/>
      <c r="S6087" s="15"/>
      <c r="T6087" s="15"/>
      <c r="U6087" s="15"/>
      <c r="V6087" s="15"/>
      <c r="W6087" s="15"/>
      <c r="X6087" s="15"/>
      <c r="Y6087" s="15"/>
      <c r="Z6087" s="15"/>
      <c r="AA6087" s="15"/>
    </row>
    <row r="6088">
      <c r="A6088" s="15"/>
      <c r="B6088" s="15"/>
      <c r="C6088" s="14"/>
      <c r="D6088" s="14"/>
      <c r="E6088" s="14"/>
      <c r="F6088" s="433"/>
      <c r="G6088" s="434"/>
      <c r="H6088" s="14"/>
      <c r="I6088" s="423"/>
      <c r="J6088" s="14"/>
      <c r="K6088" s="13"/>
      <c r="L6088" s="13"/>
      <c r="M6088" s="14"/>
      <c r="N6088" s="15"/>
      <c r="O6088" s="15"/>
      <c r="P6088" s="15"/>
      <c r="Q6088" s="15"/>
      <c r="R6088" s="422"/>
      <c r="S6088" s="15"/>
      <c r="T6088" s="15"/>
      <c r="U6088" s="15"/>
      <c r="V6088" s="15"/>
      <c r="W6088" s="15"/>
      <c r="X6088" s="15"/>
      <c r="Y6088" s="15"/>
      <c r="Z6088" s="15"/>
      <c r="AA6088" s="15"/>
    </row>
    <row r="6089">
      <c r="A6089" s="15"/>
      <c r="B6089" s="15"/>
      <c r="C6089" s="14"/>
      <c r="D6089" s="14"/>
      <c r="E6089" s="14"/>
      <c r="F6089" s="433"/>
      <c r="G6089" s="434"/>
      <c r="H6089" s="14"/>
      <c r="I6089" s="423"/>
      <c r="J6089" s="14"/>
      <c r="K6089" s="13"/>
      <c r="L6089" s="13"/>
      <c r="M6089" s="14"/>
      <c r="N6089" s="15"/>
      <c r="O6089" s="15"/>
      <c r="P6089" s="15"/>
      <c r="Q6089" s="15"/>
      <c r="R6089" s="422"/>
      <c r="S6089" s="15"/>
      <c r="T6089" s="15"/>
      <c r="U6089" s="15"/>
      <c r="V6089" s="15"/>
      <c r="W6089" s="15"/>
      <c r="X6089" s="15"/>
      <c r="Y6089" s="15"/>
      <c r="Z6089" s="15"/>
      <c r="AA6089" s="15"/>
    </row>
    <row r="6090">
      <c r="A6090" s="15"/>
      <c r="B6090" s="15"/>
      <c r="C6090" s="14"/>
      <c r="D6090" s="14"/>
      <c r="E6090" s="14"/>
      <c r="F6090" s="433"/>
      <c r="G6090" s="434"/>
      <c r="H6090" s="14"/>
      <c r="I6090" s="423"/>
      <c r="J6090" s="14"/>
      <c r="K6090" s="13"/>
      <c r="L6090" s="13"/>
      <c r="M6090" s="14"/>
      <c r="N6090" s="15"/>
      <c r="O6090" s="15"/>
      <c r="P6090" s="15"/>
      <c r="Q6090" s="15"/>
      <c r="R6090" s="422"/>
      <c r="S6090" s="15"/>
      <c r="T6090" s="15"/>
      <c r="U6090" s="15"/>
      <c r="V6090" s="15"/>
      <c r="W6090" s="15"/>
      <c r="X6090" s="15"/>
      <c r="Y6090" s="15"/>
      <c r="Z6090" s="15"/>
      <c r="AA6090" s="15"/>
    </row>
    <row r="6091">
      <c r="A6091" s="15"/>
      <c r="B6091" s="15"/>
      <c r="C6091" s="14"/>
      <c r="D6091" s="14"/>
      <c r="E6091" s="14"/>
      <c r="F6091" s="433"/>
      <c r="G6091" s="434"/>
      <c r="H6091" s="14"/>
      <c r="I6091" s="423"/>
      <c r="J6091" s="14"/>
      <c r="K6091" s="13"/>
      <c r="L6091" s="13"/>
      <c r="M6091" s="14"/>
      <c r="N6091" s="15"/>
      <c r="O6091" s="15"/>
      <c r="P6091" s="15"/>
      <c r="Q6091" s="15"/>
      <c r="R6091" s="422"/>
      <c r="S6091" s="15"/>
      <c r="T6091" s="15"/>
      <c r="U6091" s="15"/>
      <c r="V6091" s="15"/>
      <c r="W6091" s="15"/>
      <c r="X6091" s="15"/>
      <c r="Y6091" s="15"/>
      <c r="Z6091" s="15"/>
      <c r="AA6091" s="15"/>
    </row>
    <row r="6092">
      <c r="A6092" s="15"/>
      <c r="B6092" s="15"/>
      <c r="C6092" s="14"/>
      <c r="D6092" s="14"/>
      <c r="E6092" s="14"/>
      <c r="F6092" s="433"/>
      <c r="G6092" s="434"/>
      <c r="H6092" s="14"/>
      <c r="I6092" s="423"/>
      <c r="J6092" s="14"/>
      <c r="K6092" s="13"/>
      <c r="L6092" s="13"/>
      <c r="M6092" s="14"/>
      <c r="N6092" s="15"/>
      <c r="O6092" s="15"/>
      <c r="P6092" s="15"/>
      <c r="Q6092" s="15"/>
      <c r="R6092" s="422"/>
      <c r="S6092" s="15"/>
      <c r="T6092" s="15"/>
      <c r="U6092" s="15"/>
      <c r="V6092" s="15"/>
      <c r="W6092" s="15"/>
      <c r="X6092" s="15"/>
      <c r="Y6092" s="15"/>
      <c r="Z6092" s="15"/>
      <c r="AA6092" s="15"/>
    </row>
    <row r="6093">
      <c r="A6093" s="15"/>
      <c r="B6093" s="15"/>
      <c r="C6093" s="14"/>
      <c r="D6093" s="14"/>
      <c r="E6093" s="14"/>
      <c r="F6093" s="433"/>
      <c r="G6093" s="434"/>
      <c r="H6093" s="14"/>
      <c r="I6093" s="423"/>
      <c r="J6093" s="14"/>
      <c r="K6093" s="13"/>
      <c r="L6093" s="13"/>
      <c r="M6093" s="14"/>
      <c r="N6093" s="15"/>
      <c r="O6093" s="15"/>
      <c r="P6093" s="15"/>
      <c r="Q6093" s="15"/>
      <c r="R6093" s="422"/>
      <c r="S6093" s="15"/>
      <c r="T6093" s="15"/>
      <c r="U6093" s="15"/>
      <c r="V6093" s="15"/>
      <c r="W6093" s="15"/>
      <c r="X6093" s="15"/>
      <c r="Y6093" s="15"/>
      <c r="Z6093" s="15"/>
      <c r="AA6093" s="15"/>
    </row>
    <row r="6094">
      <c r="A6094" s="15"/>
      <c r="B6094" s="15"/>
      <c r="C6094" s="14"/>
      <c r="D6094" s="14"/>
      <c r="E6094" s="14"/>
      <c r="F6094" s="433"/>
      <c r="G6094" s="434"/>
      <c r="H6094" s="14"/>
      <c r="I6094" s="423"/>
      <c r="J6094" s="14"/>
      <c r="K6094" s="13"/>
      <c r="L6094" s="13"/>
      <c r="M6094" s="14"/>
      <c r="N6094" s="15"/>
      <c r="O6094" s="15"/>
      <c r="P6094" s="15"/>
      <c r="Q6094" s="15"/>
      <c r="R6094" s="422"/>
      <c r="S6094" s="15"/>
      <c r="T6094" s="15"/>
      <c r="U6094" s="15"/>
      <c r="V6094" s="15"/>
      <c r="W6094" s="15"/>
      <c r="X6094" s="15"/>
      <c r="Y6094" s="15"/>
      <c r="Z6094" s="15"/>
      <c r="AA6094" s="15"/>
    </row>
    <row r="6095">
      <c r="A6095" s="15"/>
      <c r="B6095" s="15"/>
      <c r="C6095" s="14"/>
      <c r="D6095" s="14"/>
      <c r="E6095" s="14"/>
      <c r="F6095" s="433"/>
      <c r="G6095" s="434"/>
      <c r="H6095" s="14"/>
      <c r="I6095" s="423"/>
      <c r="J6095" s="14"/>
      <c r="K6095" s="13"/>
      <c r="L6095" s="13"/>
      <c r="M6095" s="14"/>
      <c r="N6095" s="15"/>
      <c r="O6095" s="15"/>
      <c r="P6095" s="15"/>
      <c r="Q6095" s="15"/>
      <c r="R6095" s="422"/>
      <c r="S6095" s="15"/>
      <c r="T6095" s="15"/>
      <c r="U6095" s="15"/>
      <c r="V6095" s="15"/>
      <c r="W6095" s="15"/>
      <c r="X6095" s="15"/>
      <c r="Y6095" s="15"/>
      <c r="Z6095" s="15"/>
      <c r="AA6095" s="15"/>
    </row>
    <row r="6096">
      <c r="A6096" s="15"/>
      <c r="B6096" s="15"/>
      <c r="C6096" s="14"/>
      <c r="D6096" s="14"/>
      <c r="E6096" s="14"/>
      <c r="F6096" s="433"/>
      <c r="G6096" s="434"/>
      <c r="H6096" s="14"/>
      <c r="I6096" s="423"/>
      <c r="J6096" s="14"/>
      <c r="K6096" s="13"/>
      <c r="L6096" s="13"/>
      <c r="M6096" s="14"/>
      <c r="N6096" s="15"/>
      <c r="O6096" s="15"/>
      <c r="P6096" s="15"/>
      <c r="Q6096" s="15"/>
      <c r="R6096" s="422"/>
      <c r="S6096" s="15"/>
      <c r="T6096" s="15"/>
      <c r="U6096" s="15"/>
      <c r="V6096" s="15"/>
      <c r="W6096" s="15"/>
      <c r="X6096" s="15"/>
      <c r="Y6096" s="15"/>
      <c r="Z6096" s="15"/>
      <c r="AA6096" s="15"/>
    </row>
    <row r="6097">
      <c r="A6097" s="15"/>
      <c r="B6097" s="15"/>
      <c r="C6097" s="14"/>
      <c r="D6097" s="14"/>
      <c r="E6097" s="14"/>
      <c r="F6097" s="433"/>
      <c r="G6097" s="434"/>
      <c r="H6097" s="14"/>
      <c r="I6097" s="423"/>
      <c r="J6097" s="14"/>
      <c r="K6097" s="13"/>
      <c r="L6097" s="13"/>
      <c r="M6097" s="14"/>
      <c r="N6097" s="15"/>
      <c r="O6097" s="15"/>
      <c r="P6097" s="15"/>
      <c r="Q6097" s="15"/>
      <c r="R6097" s="422"/>
      <c r="S6097" s="15"/>
      <c r="T6097" s="15"/>
      <c r="U6097" s="15"/>
      <c r="V6097" s="15"/>
      <c r="W6097" s="15"/>
      <c r="X6097" s="15"/>
      <c r="Y6097" s="15"/>
      <c r="Z6097" s="15"/>
      <c r="AA6097" s="15"/>
    </row>
    <row r="6098">
      <c r="A6098" s="15"/>
      <c r="B6098" s="15"/>
      <c r="C6098" s="14"/>
      <c r="D6098" s="14"/>
      <c r="E6098" s="14"/>
      <c r="F6098" s="433"/>
      <c r="G6098" s="434"/>
      <c r="H6098" s="14"/>
      <c r="I6098" s="423"/>
      <c r="J6098" s="14"/>
      <c r="K6098" s="13"/>
      <c r="L6098" s="13"/>
      <c r="M6098" s="14"/>
      <c r="N6098" s="15"/>
      <c r="O6098" s="15"/>
      <c r="P6098" s="15"/>
      <c r="Q6098" s="15"/>
      <c r="R6098" s="422"/>
      <c r="S6098" s="15"/>
      <c r="T6098" s="15"/>
      <c r="U6098" s="15"/>
      <c r="V6098" s="15"/>
      <c r="W6098" s="15"/>
      <c r="X6098" s="15"/>
      <c r="Y6098" s="15"/>
      <c r="Z6098" s="15"/>
      <c r="AA6098" s="15"/>
    </row>
    <row r="6099">
      <c r="A6099" s="15"/>
      <c r="B6099" s="15"/>
      <c r="C6099" s="14"/>
      <c r="D6099" s="14"/>
      <c r="E6099" s="14"/>
      <c r="F6099" s="433"/>
      <c r="G6099" s="434"/>
      <c r="H6099" s="14"/>
      <c r="I6099" s="423"/>
      <c r="J6099" s="14"/>
      <c r="K6099" s="13"/>
      <c r="L6099" s="13"/>
      <c r="M6099" s="14"/>
      <c r="N6099" s="15"/>
      <c r="O6099" s="15"/>
      <c r="P6099" s="15"/>
      <c r="Q6099" s="15"/>
      <c r="R6099" s="422"/>
      <c r="S6099" s="15"/>
      <c r="T6099" s="15"/>
      <c r="U6099" s="15"/>
      <c r="V6099" s="15"/>
      <c r="W6099" s="15"/>
      <c r="X6099" s="15"/>
      <c r="Y6099" s="15"/>
      <c r="Z6099" s="15"/>
      <c r="AA6099" s="15"/>
    </row>
    <row r="6100">
      <c r="A6100" s="15"/>
      <c r="B6100" s="15"/>
      <c r="C6100" s="14"/>
      <c r="D6100" s="14"/>
      <c r="E6100" s="14"/>
      <c r="F6100" s="433"/>
      <c r="G6100" s="434"/>
      <c r="H6100" s="14"/>
      <c r="I6100" s="423"/>
      <c r="J6100" s="14"/>
      <c r="K6100" s="13"/>
      <c r="L6100" s="13"/>
      <c r="M6100" s="14"/>
      <c r="N6100" s="15"/>
      <c r="O6100" s="15"/>
      <c r="P6100" s="15"/>
      <c r="Q6100" s="15"/>
      <c r="R6100" s="422"/>
      <c r="S6100" s="15"/>
      <c r="T6100" s="15"/>
      <c r="U6100" s="15"/>
      <c r="V6100" s="15"/>
      <c r="W6100" s="15"/>
      <c r="X6100" s="15"/>
      <c r="Y6100" s="15"/>
      <c r="Z6100" s="15"/>
      <c r="AA6100" s="15"/>
    </row>
    <row r="6101">
      <c r="A6101" s="15"/>
      <c r="B6101" s="15"/>
      <c r="C6101" s="14"/>
      <c r="D6101" s="14"/>
      <c r="E6101" s="14"/>
      <c r="F6101" s="433"/>
      <c r="G6101" s="434"/>
      <c r="H6101" s="14"/>
      <c r="I6101" s="423"/>
      <c r="J6101" s="14"/>
      <c r="K6101" s="13"/>
      <c r="L6101" s="13"/>
      <c r="M6101" s="14"/>
      <c r="N6101" s="15"/>
      <c r="O6101" s="15"/>
      <c r="P6101" s="15"/>
      <c r="Q6101" s="15"/>
      <c r="R6101" s="422"/>
      <c r="S6101" s="15"/>
      <c r="T6101" s="15"/>
      <c r="U6101" s="15"/>
      <c r="V6101" s="15"/>
      <c r="W6101" s="15"/>
      <c r="X6101" s="15"/>
      <c r="Y6101" s="15"/>
      <c r="Z6101" s="15"/>
      <c r="AA6101" s="15"/>
    </row>
    <row r="6102">
      <c r="A6102" s="15"/>
      <c r="B6102" s="15"/>
      <c r="C6102" s="14"/>
      <c r="D6102" s="14"/>
      <c r="E6102" s="14"/>
      <c r="F6102" s="433"/>
      <c r="G6102" s="434"/>
      <c r="H6102" s="14"/>
      <c r="I6102" s="423"/>
      <c r="J6102" s="14"/>
      <c r="K6102" s="13"/>
      <c r="L6102" s="13"/>
      <c r="M6102" s="14"/>
      <c r="N6102" s="15"/>
      <c r="O6102" s="15"/>
      <c r="P6102" s="15"/>
      <c r="Q6102" s="15"/>
      <c r="R6102" s="422"/>
      <c r="S6102" s="15"/>
      <c r="T6102" s="15"/>
      <c r="U6102" s="15"/>
      <c r="V6102" s="15"/>
      <c r="W6102" s="15"/>
      <c r="X6102" s="15"/>
      <c r="Y6102" s="15"/>
      <c r="Z6102" s="15"/>
      <c r="AA6102" s="15"/>
    </row>
    <row r="6103">
      <c r="A6103" s="15"/>
      <c r="B6103" s="15"/>
      <c r="C6103" s="14"/>
      <c r="D6103" s="14"/>
      <c r="E6103" s="14"/>
      <c r="F6103" s="433"/>
      <c r="G6103" s="434"/>
      <c r="H6103" s="14"/>
      <c r="I6103" s="423"/>
      <c r="J6103" s="14"/>
      <c r="K6103" s="13"/>
      <c r="L6103" s="13"/>
      <c r="M6103" s="14"/>
      <c r="N6103" s="15"/>
      <c r="O6103" s="15"/>
      <c r="P6103" s="15"/>
      <c r="Q6103" s="15"/>
      <c r="R6103" s="422"/>
      <c r="S6103" s="15"/>
      <c r="T6103" s="15"/>
      <c r="U6103" s="15"/>
      <c r="V6103" s="15"/>
      <c r="W6103" s="15"/>
      <c r="X6103" s="15"/>
      <c r="Y6103" s="15"/>
      <c r="Z6103" s="15"/>
      <c r="AA6103" s="15"/>
    </row>
    <row r="6104">
      <c r="A6104" s="15"/>
      <c r="B6104" s="15"/>
      <c r="C6104" s="14"/>
      <c r="D6104" s="14"/>
      <c r="E6104" s="14"/>
      <c r="F6104" s="433"/>
      <c r="G6104" s="434"/>
      <c r="H6104" s="14"/>
      <c r="I6104" s="423"/>
      <c r="J6104" s="14"/>
      <c r="K6104" s="13"/>
      <c r="L6104" s="13"/>
      <c r="M6104" s="14"/>
      <c r="N6104" s="15"/>
      <c r="O6104" s="15"/>
      <c r="P6104" s="15"/>
      <c r="Q6104" s="15"/>
      <c r="R6104" s="422"/>
      <c r="S6104" s="15"/>
      <c r="T6104" s="15"/>
      <c r="U6104" s="15"/>
      <c r="V6104" s="15"/>
      <c r="W6104" s="15"/>
      <c r="X6104" s="15"/>
      <c r="Y6104" s="15"/>
      <c r="Z6104" s="15"/>
      <c r="AA6104" s="15"/>
    </row>
    <row r="6105">
      <c r="A6105" s="15"/>
      <c r="B6105" s="15"/>
      <c r="C6105" s="14"/>
      <c r="D6105" s="14"/>
      <c r="E6105" s="14"/>
      <c r="F6105" s="433"/>
      <c r="G6105" s="434"/>
      <c r="H6105" s="14"/>
      <c r="I6105" s="423"/>
      <c r="J6105" s="14"/>
      <c r="K6105" s="13"/>
      <c r="L6105" s="13"/>
      <c r="M6105" s="14"/>
      <c r="N6105" s="15"/>
      <c r="O6105" s="15"/>
      <c r="P6105" s="15"/>
      <c r="Q6105" s="15"/>
      <c r="R6105" s="422"/>
      <c r="S6105" s="15"/>
      <c r="T6105" s="15"/>
      <c r="U6105" s="15"/>
      <c r="V6105" s="15"/>
      <c r="W6105" s="15"/>
      <c r="X6105" s="15"/>
      <c r="Y6105" s="15"/>
      <c r="Z6105" s="15"/>
      <c r="AA6105" s="15"/>
    </row>
    <row r="6106">
      <c r="A6106" s="15"/>
      <c r="B6106" s="15"/>
      <c r="C6106" s="14"/>
      <c r="D6106" s="14"/>
      <c r="E6106" s="14"/>
      <c r="F6106" s="433"/>
      <c r="G6106" s="434"/>
      <c r="H6106" s="14"/>
      <c r="I6106" s="423"/>
      <c r="J6106" s="14"/>
      <c r="K6106" s="13"/>
      <c r="L6106" s="13"/>
      <c r="M6106" s="14"/>
      <c r="N6106" s="15"/>
      <c r="O6106" s="15"/>
      <c r="P6106" s="15"/>
      <c r="Q6106" s="15"/>
      <c r="R6106" s="422"/>
      <c r="S6106" s="15"/>
      <c r="T6106" s="15"/>
      <c r="U6106" s="15"/>
      <c r="V6106" s="15"/>
      <c r="W6106" s="15"/>
      <c r="X6106" s="15"/>
      <c r="Y6106" s="15"/>
      <c r="Z6106" s="15"/>
      <c r="AA6106" s="15"/>
    </row>
    <row r="6107">
      <c r="A6107" s="15"/>
      <c r="B6107" s="15"/>
      <c r="C6107" s="14"/>
      <c r="D6107" s="14"/>
      <c r="E6107" s="14"/>
      <c r="F6107" s="433"/>
      <c r="G6107" s="434"/>
      <c r="H6107" s="14"/>
      <c r="I6107" s="423"/>
      <c r="J6107" s="14"/>
      <c r="K6107" s="13"/>
      <c r="L6107" s="13"/>
      <c r="M6107" s="14"/>
      <c r="N6107" s="15"/>
      <c r="O6107" s="15"/>
      <c r="P6107" s="15"/>
      <c r="Q6107" s="15"/>
      <c r="R6107" s="422"/>
      <c r="S6107" s="15"/>
      <c r="T6107" s="15"/>
      <c r="U6107" s="15"/>
      <c r="V6107" s="15"/>
      <c r="W6107" s="15"/>
      <c r="X6107" s="15"/>
      <c r="Y6107" s="15"/>
      <c r="Z6107" s="15"/>
      <c r="AA6107" s="15"/>
    </row>
    <row r="6108">
      <c r="A6108" s="15"/>
      <c r="B6108" s="15"/>
      <c r="C6108" s="14"/>
      <c r="D6108" s="14"/>
      <c r="E6108" s="14"/>
      <c r="F6108" s="433"/>
      <c r="G6108" s="434"/>
      <c r="H6108" s="14"/>
      <c r="I6108" s="423"/>
      <c r="J6108" s="14"/>
      <c r="K6108" s="13"/>
      <c r="L6108" s="13"/>
      <c r="M6108" s="14"/>
      <c r="N6108" s="15"/>
      <c r="O6108" s="15"/>
      <c r="P6108" s="15"/>
      <c r="Q6108" s="15"/>
      <c r="R6108" s="422"/>
      <c r="S6108" s="15"/>
      <c r="T6108" s="15"/>
      <c r="U6108" s="15"/>
      <c r="V6108" s="15"/>
      <c r="W6108" s="15"/>
      <c r="X6108" s="15"/>
      <c r="Y6108" s="15"/>
      <c r="Z6108" s="15"/>
      <c r="AA6108" s="15"/>
    </row>
    <row r="6109">
      <c r="A6109" s="15"/>
      <c r="B6109" s="15"/>
      <c r="C6109" s="14"/>
      <c r="D6109" s="14"/>
      <c r="E6109" s="14"/>
      <c r="F6109" s="433"/>
      <c r="G6109" s="434"/>
      <c r="H6109" s="14"/>
      <c r="I6109" s="423"/>
      <c r="J6109" s="14"/>
      <c r="K6109" s="13"/>
      <c r="L6109" s="13"/>
      <c r="M6109" s="14"/>
      <c r="N6109" s="15"/>
      <c r="O6109" s="15"/>
      <c r="P6109" s="15"/>
      <c r="Q6109" s="15"/>
      <c r="R6109" s="422"/>
      <c r="S6109" s="15"/>
      <c r="T6109" s="15"/>
      <c r="U6109" s="15"/>
      <c r="V6109" s="15"/>
      <c r="W6109" s="15"/>
      <c r="X6109" s="15"/>
      <c r="Y6109" s="15"/>
      <c r="Z6109" s="15"/>
      <c r="AA6109" s="15"/>
    </row>
    <row r="6110">
      <c r="A6110" s="15"/>
      <c r="B6110" s="15"/>
      <c r="C6110" s="14"/>
      <c r="D6110" s="14"/>
      <c r="E6110" s="14"/>
      <c r="F6110" s="433"/>
      <c r="G6110" s="434"/>
      <c r="H6110" s="14"/>
      <c r="I6110" s="423"/>
      <c r="J6110" s="14"/>
      <c r="K6110" s="13"/>
      <c r="L6110" s="13"/>
      <c r="M6110" s="14"/>
      <c r="N6110" s="15"/>
      <c r="O6110" s="15"/>
      <c r="P6110" s="15"/>
      <c r="Q6110" s="15"/>
      <c r="R6110" s="422"/>
      <c r="S6110" s="15"/>
      <c r="T6110" s="15"/>
      <c r="U6110" s="15"/>
      <c r="V6110" s="15"/>
      <c r="W6110" s="15"/>
      <c r="X6110" s="15"/>
      <c r="Y6110" s="15"/>
      <c r="Z6110" s="15"/>
      <c r="AA6110" s="15"/>
    </row>
    <row r="6111">
      <c r="A6111" s="15"/>
      <c r="B6111" s="15"/>
      <c r="C6111" s="14"/>
      <c r="D6111" s="14"/>
      <c r="E6111" s="14"/>
      <c r="F6111" s="433"/>
      <c r="G6111" s="434"/>
      <c r="H6111" s="14"/>
      <c r="I6111" s="423"/>
      <c r="J6111" s="14"/>
      <c r="K6111" s="13"/>
      <c r="L6111" s="13"/>
      <c r="M6111" s="14"/>
      <c r="N6111" s="15"/>
      <c r="O6111" s="15"/>
      <c r="P6111" s="15"/>
      <c r="Q6111" s="15"/>
      <c r="R6111" s="422"/>
      <c r="S6111" s="15"/>
      <c r="T6111" s="15"/>
      <c r="U6111" s="15"/>
      <c r="V6111" s="15"/>
      <c r="W6111" s="15"/>
      <c r="X6111" s="15"/>
      <c r="Y6111" s="15"/>
      <c r="Z6111" s="15"/>
      <c r="AA6111" s="15"/>
    </row>
    <row r="6112">
      <c r="A6112" s="15"/>
      <c r="B6112" s="15"/>
      <c r="C6112" s="14"/>
      <c r="D6112" s="14"/>
      <c r="E6112" s="14"/>
      <c r="F6112" s="433"/>
      <c r="G6112" s="434"/>
      <c r="H6112" s="14"/>
      <c r="I6112" s="423"/>
      <c r="J6112" s="14"/>
      <c r="K6112" s="13"/>
      <c r="L6112" s="13"/>
      <c r="M6112" s="14"/>
      <c r="N6112" s="15"/>
      <c r="O6112" s="15"/>
      <c r="P6112" s="15"/>
      <c r="Q6112" s="15"/>
      <c r="R6112" s="422"/>
      <c r="S6112" s="15"/>
      <c r="T6112" s="15"/>
      <c r="U6112" s="15"/>
      <c r="V6112" s="15"/>
      <c r="W6112" s="15"/>
      <c r="X6112" s="15"/>
      <c r="Y6112" s="15"/>
      <c r="Z6112" s="15"/>
      <c r="AA6112" s="15"/>
    </row>
    <row r="6113">
      <c r="A6113" s="15"/>
      <c r="B6113" s="15"/>
      <c r="C6113" s="14"/>
      <c r="D6113" s="14"/>
      <c r="E6113" s="14"/>
      <c r="F6113" s="433"/>
      <c r="G6113" s="434"/>
      <c r="H6113" s="14"/>
      <c r="I6113" s="423"/>
      <c r="J6113" s="14"/>
      <c r="K6113" s="13"/>
      <c r="L6113" s="13"/>
      <c r="M6113" s="14"/>
      <c r="N6113" s="15"/>
      <c r="O6113" s="15"/>
      <c r="P6113" s="15"/>
      <c r="Q6113" s="15"/>
      <c r="R6113" s="422"/>
      <c r="S6113" s="15"/>
      <c r="T6113" s="15"/>
      <c r="U6113" s="15"/>
      <c r="V6113" s="15"/>
      <c r="W6113" s="15"/>
      <c r="X6113" s="15"/>
      <c r="Y6113" s="15"/>
      <c r="Z6113" s="15"/>
      <c r="AA6113" s="15"/>
    </row>
    <row r="6114">
      <c r="A6114" s="15"/>
      <c r="B6114" s="15"/>
      <c r="C6114" s="14"/>
      <c r="D6114" s="14"/>
      <c r="E6114" s="14"/>
      <c r="F6114" s="433"/>
      <c r="G6114" s="434"/>
      <c r="H6114" s="14"/>
      <c r="I6114" s="423"/>
      <c r="J6114" s="14"/>
      <c r="K6114" s="13"/>
      <c r="L6114" s="13"/>
      <c r="M6114" s="14"/>
      <c r="N6114" s="15"/>
      <c r="O6114" s="15"/>
      <c r="P6114" s="15"/>
      <c r="Q6114" s="15"/>
      <c r="R6114" s="422"/>
      <c r="S6114" s="15"/>
      <c r="T6114" s="15"/>
      <c r="U6114" s="15"/>
      <c r="V6114" s="15"/>
      <c r="W6114" s="15"/>
      <c r="X6114" s="15"/>
      <c r="Y6114" s="15"/>
      <c r="Z6114" s="15"/>
      <c r="AA6114" s="15"/>
    </row>
    <row r="6115">
      <c r="A6115" s="15"/>
      <c r="B6115" s="15"/>
      <c r="C6115" s="14"/>
      <c r="D6115" s="14"/>
      <c r="E6115" s="14"/>
      <c r="F6115" s="433"/>
      <c r="G6115" s="434"/>
      <c r="H6115" s="14"/>
      <c r="I6115" s="423"/>
      <c r="J6115" s="14"/>
      <c r="K6115" s="13"/>
      <c r="L6115" s="13"/>
      <c r="M6115" s="14"/>
      <c r="N6115" s="15"/>
      <c r="O6115" s="15"/>
      <c r="P6115" s="15"/>
      <c r="Q6115" s="15"/>
      <c r="R6115" s="422"/>
      <c r="S6115" s="15"/>
      <c r="T6115" s="15"/>
      <c r="U6115" s="15"/>
      <c r="V6115" s="15"/>
      <c r="W6115" s="15"/>
      <c r="X6115" s="15"/>
      <c r="Y6115" s="15"/>
      <c r="Z6115" s="15"/>
      <c r="AA6115" s="15"/>
    </row>
    <row r="6116">
      <c r="A6116" s="15"/>
      <c r="B6116" s="15"/>
      <c r="C6116" s="14"/>
      <c r="D6116" s="14"/>
      <c r="E6116" s="14"/>
      <c r="F6116" s="433"/>
      <c r="G6116" s="434"/>
      <c r="H6116" s="14"/>
      <c r="I6116" s="423"/>
      <c r="J6116" s="14"/>
      <c r="K6116" s="13"/>
      <c r="L6116" s="13"/>
      <c r="M6116" s="14"/>
      <c r="N6116" s="15"/>
      <c r="O6116" s="15"/>
      <c r="P6116" s="15"/>
      <c r="Q6116" s="15"/>
      <c r="R6116" s="422"/>
      <c r="S6116" s="15"/>
      <c r="T6116" s="15"/>
      <c r="U6116" s="15"/>
      <c r="V6116" s="15"/>
      <c r="W6116" s="15"/>
      <c r="X6116" s="15"/>
      <c r="Y6116" s="15"/>
      <c r="Z6116" s="15"/>
      <c r="AA6116" s="15"/>
    </row>
    <row r="6117">
      <c r="A6117" s="15"/>
      <c r="B6117" s="15"/>
      <c r="C6117" s="14"/>
      <c r="D6117" s="14"/>
      <c r="E6117" s="14"/>
      <c r="F6117" s="433"/>
      <c r="G6117" s="434"/>
      <c r="H6117" s="14"/>
      <c r="I6117" s="423"/>
      <c r="J6117" s="14"/>
      <c r="K6117" s="13"/>
      <c r="L6117" s="13"/>
      <c r="M6117" s="14"/>
      <c r="N6117" s="15"/>
      <c r="O6117" s="15"/>
      <c r="P6117" s="15"/>
      <c r="Q6117" s="15"/>
      <c r="R6117" s="422"/>
      <c r="S6117" s="15"/>
      <c r="T6117" s="15"/>
      <c r="U6117" s="15"/>
      <c r="V6117" s="15"/>
      <c r="W6117" s="15"/>
      <c r="X6117" s="15"/>
      <c r="Y6117" s="15"/>
      <c r="Z6117" s="15"/>
      <c r="AA6117" s="15"/>
    </row>
    <row r="6118">
      <c r="A6118" s="15"/>
      <c r="B6118" s="15"/>
      <c r="C6118" s="14"/>
      <c r="D6118" s="14"/>
      <c r="E6118" s="14"/>
      <c r="F6118" s="433"/>
      <c r="G6118" s="434"/>
      <c r="H6118" s="14"/>
      <c r="I6118" s="423"/>
      <c r="J6118" s="14"/>
      <c r="K6118" s="13"/>
      <c r="L6118" s="13"/>
      <c r="M6118" s="14"/>
      <c r="N6118" s="15"/>
      <c r="O6118" s="15"/>
      <c r="P6118" s="15"/>
      <c r="Q6118" s="15"/>
      <c r="R6118" s="422"/>
      <c r="S6118" s="15"/>
      <c r="T6118" s="15"/>
      <c r="U6118" s="15"/>
      <c r="V6118" s="15"/>
      <c r="W6118" s="15"/>
      <c r="X6118" s="15"/>
      <c r="Y6118" s="15"/>
      <c r="Z6118" s="15"/>
      <c r="AA6118" s="15"/>
    </row>
    <row r="6119">
      <c r="A6119" s="15"/>
      <c r="B6119" s="15"/>
      <c r="C6119" s="14"/>
      <c r="D6119" s="14"/>
      <c r="E6119" s="14"/>
      <c r="F6119" s="433"/>
      <c r="G6119" s="434"/>
      <c r="H6119" s="14"/>
      <c r="I6119" s="423"/>
      <c r="J6119" s="14"/>
      <c r="K6119" s="13"/>
      <c r="L6119" s="13"/>
      <c r="M6119" s="14"/>
      <c r="N6119" s="15"/>
      <c r="O6119" s="15"/>
      <c r="P6119" s="15"/>
      <c r="Q6119" s="15"/>
      <c r="R6119" s="422"/>
      <c r="S6119" s="15"/>
      <c r="T6119" s="15"/>
      <c r="U6119" s="15"/>
      <c r="V6119" s="15"/>
      <c r="W6119" s="15"/>
      <c r="X6119" s="15"/>
      <c r="Y6119" s="15"/>
      <c r="Z6119" s="15"/>
      <c r="AA6119" s="15"/>
    </row>
    <row r="6120">
      <c r="A6120" s="15"/>
      <c r="B6120" s="15"/>
      <c r="C6120" s="14"/>
      <c r="D6120" s="14"/>
      <c r="E6120" s="14"/>
      <c r="F6120" s="433"/>
      <c r="G6120" s="434"/>
      <c r="H6120" s="14"/>
      <c r="I6120" s="423"/>
      <c r="J6120" s="14"/>
      <c r="K6120" s="13"/>
      <c r="L6120" s="13"/>
      <c r="M6120" s="14"/>
      <c r="N6120" s="15"/>
      <c r="O6120" s="15"/>
      <c r="P6120" s="15"/>
      <c r="Q6120" s="15"/>
      <c r="R6120" s="422"/>
      <c r="S6120" s="15"/>
      <c r="T6120" s="15"/>
      <c r="U6120" s="15"/>
      <c r="V6120" s="15"/>
      <c r="W6120" s="15"/>
      <c r="X6120" s="15"/>
      <c r="Y6120" s="15"/>
      <c r="Z6120" s="15"/>
      <c r="AA6120" s="15"/>
    </row>
    <row r="6121">
      <c r="A6121" s="15"/>
      <c r="B6121" s="15"/>
      <c r="C6121" s="14"/>
      <c r="D6121" s="14"/>
      <c r="E6121" s="14"/>
      <c r="F6121" s="433"/>
      <c r="G6121" s="434"/>
      <c r="H6121" s="14"/>
      <c r="I6121" s="423"/>
      <c r="J6121" s="14"/>
      <c r="K6121" s="13"/>
      <c r="L6121" s="13"/>
      <c r="M6121" s="14"/>
      <c r="N6121" s="15"/>
      <c r="O6121" s="15"/>
      <c r="P6121" s="15"/>
      <c r="Q6121" s="15"/>
      <c r="R6121" s="422"/>
      <c r="S6121" s="15"/>
      <c r="T6121" s="15"/>
      <c r="U6121" s="15"/>
      <c r="V6121" s="15"/>
      <c r="W6121" s="15"/>
      <c r="X6121" s="15"/>
      <c r="Y6121" s="15"/>
      <c r="Z6121" s="15"/>
      <c r="AA6121" s="15"/>
    </row>
    <row r="6122">
      <c r="A6122" s="15"/>
      <c r="B6122" s="15"/>
      <c r="C6122" s="14"/>
      <c r="D6122" s="14"/>
      <c r="E6122" s="14"/>
      <c r="F6122" s="433"/>
      <c r="G6122" s="434"/>
      <c r="H6122" s="14"/>
      <c r="I6122" s="423"/>
      <c r="J6122" s="14"/>
      <c r="K6122" s="13"/>
      <c r="L6122" s="13"/>
      <c r="M6122" s="14"/>
      <c r="N6122" s="15"/>
      <c r="O6122" s="15"/>
      <c r="P6122" s="15"/>
      <c r="Q6122" s="15"/>
      <c r="R6122" s="422"/>
      <c r="S6122" s="15"/>
      <c r="T6122" s="15"/>
      <c r="U6122" s="15"/>
      <c r="V6122" s="15"/>
      <c r="W6122" s="15"/>
      <c r="X6122" s="15"/>
      <c r="Y6122" s="15"/>
      <c r="Z6122" s="15"/>
      <c r="AA6122" s="15"/>
    </row>
    <row r="6123">
      <c r="A6123" s="15"/>
      <c r="B6123" s="15"/>
      <c r="C6123" s="14"/>
      <c r="D6123" s="14"/>
      <c r="E6123" s="14"/>
      <c r="F6123" s="433"/>
      <c r="G6123" s="434"/>
      <c r="H6123" s="14"/>
      <c r="I6123" s="423"/>
      <c r="J6123" s="14"/>
      <c r="K6123" s="13"/>
      <c r="L6123" s="13"/>
      <c r="M6123" s="14"/>
      <c r="N6123" s="15"/>
      <c r="O6123" s="15"/>
      <c r="P6123" s="15"/>
      <c r="Q6123" s="15"/>
      <c r="R6123" s="422"/>
      <c r="S6123" s="15"/>
      <c r="T6123" s="15"/>
      <c r="U6123" s="15"/>
      <c r="V6123" s="15"/>
      <c r="W6123" s="15"/>
      <c r="X6123" s="15"/>
      <c r="Y6123" s="15"/>
      <c r="Z6123" s="15"/>
      <c r="AA6123" s="15"/>
    </row>
    <row r="6124">
      <c r="A6124" s="15"/>
      <c r="B6124" s="15"/>
      <c r="C6124" s="14"/>
      <c r="D6124" s="14"/>
      <c r="E6124" s="14"/>
      <c r="F6124" s="433"/>
      <c r="G6124" s="434"/>
      <c r="H6124" s="14"/>
      <c r="I6124" s="423"/>
      <c r="J6124" s="14"/>
      <c r="K6124" s="13"/>
      <c r="L6124" s="13"/>
      <c r="M6124" s="14"/>
      <c r="N6124" s="15"/>
      <c r="O6124" s="15"/>
      <c r="P6124" s="15"/>
      <c r="Q6124" s="15"/>
      <c r="R6124" s="422"/>
      <c r="S6124" s="15"/>
      <c r="T6124" s="15"/>
      <c r="U6124" s="15"/>
      <c r="V6124" s="15"/>
      <c r="W6124" s="15"/>
      <c r="X6124" s="15"/>
      <c r="Y6124" s="15"/>
      <c r="Z6124" s="15"/>
      <c r="AA6124" s="15"/>
    </row>
    <row r="6125">
      <c r="A6125" s="15"/>
      <c r="B6125" s="15"/>
      <c r="C6125" s="14"/>
      <c r="D6125" s="14"/>
      <c r="E6125" s="14"/>
      <c r="F6125" s="433"/>
      <c r="G6125" s="434"/>
      <c r="H6125" s="14"/>
      <c r="I6125" s="423"/>
      <c r="J6125" s="14"/>
      <c r="K6125" s="13"/>
      <c r="L6125" s="13"/>
      <c r="M6125" s="14"/>
      <c r="N6125" s="15"/>
      <c r="O6125" s="15"/>
      <c r="P6125" s="15"/>
      <c r="Q6125" s="15"/>
      <c r="R6125" s="422"/>
      <c r="S6125" s="15"/>
      <c r="T6125" s="15"/>
      <c r="U6125" s="15"/>
      <c r="V6125" s="15"/>
      <c r="W6125" s="15"/>
      <c r="X6125" s="15"/>
      <c r="Y6125" s="15"/>
      <c r="Z6125" s="15"/>
      <c r="AA6125" s="15"/>
    </row>
    <row r="6126">
      <c r="A6126" s="15"/>
      <c r="B6126" s="15"/>
      <c r="C6126" s="14"/>
      <c r="D6126" s="14"/>
      <c r="E6126" s="14"/>
      <c r="F6126" s="433"/>
      <c r="G6126" s="434"/>
      <c r="H6126" s="14"/>
      <c r="I6126" s="423"/>
      <c r="J6126" s="14"/>
      <c r="K6126" s="13"/>
      <c r="L6126" s="13"/>
      <c r="M6126" s="14"/>
      <c r="N6126" s="15"/>
      <c r="O6126" s="15"/>
      <c r="P6126" s="15"/>
      <c r="Q6126" s="15"/>
      <c r="R6126" s="422"/>
      <c r="S6126" s="15"/>
      <c r="T6126" s="15"/>
      <c r="U6126" s="15"/>
      <c r="V6126" s="15"/>
      <c r="W6126" s="15"/>
      <c r="X6126" s="15"/>
      <c r="Y6126" s="15"/>
      <c r="Z6126" s="15"/>
      <c r="AA6126" s="15"/>
    </row>
    <row r="6127">
      <c r="A6127" s="15"/>
      <c r="B6127" s="15"/>
      <c r="C6127" s="14"/>
      <c r="D6127" s="14"/>
      <c r="E6127" s="14"/>
      <c r="F6127" s="433"/>
      <c r="G6127" s="434"/>
      <c r="H6127" s="14"/>
      <c r="I6127" s="423"/>
      <c r="J6127" s="14"/>
      <c r="K6127" s="13"/>
      <c r="L6127" s="13"/>
      <c r="M6127" s="14"/>
      <c r="N6127" s="15"/>
      <c r="O6127" s="15"/>
      <c r="P6127" s="15"/>
      <c r="Q6127" s="15"/>
      <c r="R6127" s="422"/>
      <c r="S6127" s="15"/>
      <c r="T6127" s="15"/>
      <c r="U6127" s="15"/>
      <c r="V6127" s="15"/>
      <c r="W6127" s="15"/>
      <c r="X6127" s="15"/>
      <c r="Y6127" s="15"/>
      <c r="Z6127" s="15"/>
      <c r="AA6127" s="15"/>
    </row>
    <row r="6128">
      <c r="A6128" s="15"/>
      <c r="B6128" s="15"/>
      <c r="C6128" s="14"/>
      <c r="D6128" s="14"/>
      <c r="E6128" s="14"/>
      <c r="F6128" s="433"/>
      <c r="G6128" s="434"/>
      <c r="H6128" s="14"/>
      <c r="I6128" s="423"/>
      <c r="J6128" s="14"/>
      <c r="K6128" s="13"/>
      <c r="L6128" s="13"/>
      <c r="M6128" s="14"/>
      <c r="N6128" s="15"/>
      <c r="O6128" s="15"/>
      <c r="P6128" s="15"/>
      <c r="Q6128" s="15"/>
      <c r="R6128" s="422"/>
      <c r="S6128" s="15"/>
      <c r="T6128" s="15"/>
      <c r="U6128" s="15"/>
      <c r="V6128" s="15"/>
      <c r="W6128" s="15"/>
      <c r="X6128" s="15"/>
      <c r="Y6128" s="15"/>
      <c r="Z6128" s="15"/>
      <c r="AA6128" s="15"/>
    </row>
    <row r="6129">
      <c r="A6129" s="15"/>
      <c r="B6129" s="15"/>
      <c r="C6129" s="14"/>
      <c r="D6129" s="14"/>
      <c r="E6129" s="14"/>
      <c r="F6129" s="433"/>
      <c r="G6129" s="434"/>
      <c r="H6129" s="14"/>
      <c r="I6129" s="423"/>
      <c r="J6129" s="14"/>
      <c r="K6129" s="13"/>
      <c r="L6129" s="13"/>
      <c r="M6129" s="14"/>
      <c r="N6129" s="15"/>
      <c r="O6129" s="15"/>
      <c r="P6129" s="15"/>
      <c r="Q6129" s="15"/>
      <c r="R6129" s="422"/>
      <c r="S6129" s="15"/>
      <c r="T6129" s="15"/>
      <c r="U6129" s="15"/>
      <c r="V6129" s="15"/>
      <c r="W6129" s="15"/>
      <c r="X6129" s="15"/>
      <c r="Y6129" s="15"/>
      <c r="Z6129" s="15"/>
      <c r="AA6129" s="15"/>
    </row>
    <row r="6130">
      <c r="A6130" s="15"/>
      <c r="B6130" s="15"/>
      <c r="C6130" s="14"/>
      <c r="D6130" s="14"/>
      <c r="E6130" s="14"/>
      <c r="F6130" s="433"/>
      <c r="G6130" s="434"/>
      <c r="H6130" s="14"/>
      <c r="I6130" s="423"/>
      <c r="J6130" s="14"/>
      <c r="K6130" s="13"/>
      <c r="L6130" s="13"/>
      <c r="M6130" s="14"/>
      <c r="N6130" s="15"/>
      <c r="O6130" s="15"/>
      <c r="P6130" s="15"/>
      <c r="Q6130" s="15"/>
      <c r="R6130" s="422"/>
      <c r="S6130" s="15"/>
      <c r="T6130" s="15"/>
      <c r="U6130" s="15"/>
      <c r="V6130" s="15"/>
      <c r="W6130" s="15"/>
      <c r="X6130" s="15"/>
      <c r="Y6130" s="15"/>
      <c r="Z6130" s="15"/>
      <c r="AA6130" s="15"/>
    </row>
    <row r="6131">
      <c r="A6131" s="15"/>
      <c r="B6131" s="15"/>
      <c r="C6131" s="14"/>
      <c r="D6131" s="14"/>
      <c r="E6131" s="14"/>
      <c r="F6131" s="433"/>
      <c r="G6131" s="434"/>
      <c r="H6131" s="14"/>
      <c r="I6131" s="423"/>
      <c r="J6131" s="14"/>
      <c r="K6131" s="13"/>
      <c r="L6131" s="13"/>
      <c r="M6131" s="14"/>
      <c r="N6131" s="15"/>
      <c r="O6131" s="15"/>
      <c r="P6131" s="15"/>
      <c r="Q6131" s="15"/>
      <c r="R6131" s="422"/>
      <c r="S6131" s="15"/>
      <c r="T6131" s="15"/>
      <c r="U6131" s="15"/>
      <c r="V6131" s="15"/>
      <c r="W6131" s="15"/>
      <c r="X6131" s="15"/>
      <c r="Y6131" s="15"/>
      <c r="Z6131" s="15"/>
      <c r="AA6131" s="15"/>
    </row>
    <row r="6132">
      <c r="A6132" s="15"/>
      <c r="B6132" s="15"/>
      <c r="C6132" s="14"/>
      <c r="D6132" s="14"/>
      <c r="E6132" s="14"/>
      <c r="F6132" s="433"/>
      <c r="G6132" s="434"/>
      <c r="H6132" s="14"/>
      <c r="I6132" s="423"/>
      <c r="J6132" s="14"/>
      <c r="K6132" s="13"/>
      <c r="L6132" s="13"/>
      <c r="M6132" s="14"/>
      <c r="N6132" s="15"/>
      <c r="O6132" s="15"/>
      <c r="P6132" s="15"/>
      <c r="Q6132" s="15"/>
      <c r="R6132" s="422"/>
      <c r="S6132" s="15"/>
      <c r="T6132" s="15"/>
      <c r="U6132" s="15"/>
      <c r="V6132" s="15"/>
      <c r="W6132" s="15"/>
      <c r="X6132" s="15"/>
      <c r="Y6132" s="15"/>
      <c r="Z6132" s="15"/>
      <c r="AA6132" s="15"/>
    </row>
    <row r="6133">
      <c r="A6133" s="15"/>
      <c r="B6133" s="15"/>
      <c r="C6133" s="14"/>
      <c r="D6133" s="14"/>
      <c r="E6133" s="14"/>
      <c r="F6133" s="433"/>
      <c r="G6133" s="434"/>
      <c r="H6133" s="14"/>
      <c r="I6133" s="423"/>
      <c r="J6133" s="14"/>
      <c r="K6133" s="13"/>
      <c r="L6133" s="13"/>
      <c r="M6133" s="14"/>
      <c r="N6133" s="15"/>
      <c r="O6133" s="15"/>
      <c r="P6133" s="15"/>
      <c r="Q6133" s="15"/>
      <c r="R6133" s="422"/>
      <c r="S6133" s="15"/>
      <c r="T6133" s="15"/>
      <c r="U6133" s="15"/>
      <c r="V6133" s="15"/>
      <c r="W6133" s="15"/>
      <c r="X6133" s="15"/>
      <c r="Y6133" s="15"/>
      <c r="Z6133" s="15"/>
      <c r="AA6133" s="15"/>
    </row>
    <row r="6134">
      <c r="A6134" s="15"/>
      <c r="B6134" s="15"/>
      <c r="C6134" s="14"/>
      <c r="D6134" s="14"/>
      <c r="E6134" s="14"/>
      <c r="F6134" s="433"/>
      <c r="G6134" s="434"/>
      <c r="H6134" s="14"/>
      <c r="I6134" s="423"/>
      <c r="J6134" s="14"/>
      <c r="K6134" s="13"/>
      <c r="L6134" s="13"/>
      <c r="M6134" s="14"/>
      <c r="N6134" s="15"/>
      <c r="O6134" s="15"/>
      <c r="P6134" s="15"/>
      <c r="Q6134" s="15"/>
      <c r="R6134" s="422"/>
      <c r="S6134" s="15"/>
      <c r="T6134" s="15"/>
      <c r="U6134" s="15"/>
      <c r="V6134" s="15"/>
      <c r="W6134" s="15"/>
      <c r="X6134" s="15"/>
      <c r="Y6134" s="15"/>
      <c r="Z6134" s="15"/>
      <c r="AA6134" s="15"/>
    </row>
    <row r="6135">
      <c r="A6135" s="15"/>
      <c r="B6135" s="15"/>
      <c r="C6135" s="14"/>
      <c r="D6135" s="14"/>
      <c r="E6135" s="14"/>
      <c r="F6135" s="433"/>
      <c r="G6135" s="434"/>
      <c r="H6135" s="14"/>
      <c r="I6135" s="423"/>
      <c r="J6135" s="14"/>
      <c r="K6135" s="13"/>
      <c r="L6135" s="13"/>
      <c r="M6135" s="14"/>
      <c r="N6135" s="15"/>
      <c r="O6135" s="15"/>
      <c r="P6135" s="15"/>
      <c r="Q6135" s="15"/>
      <c r="R6135" s="422"/>
      <c r="S6135" s="15"/>
      <c r="T6135" s="15"/>
      <c r="U6135" s="15"/>
      <c r="V6135" s="15"/>
      <c r="W6135" s="15"/>
      <c r="X6135" s="15"/>
      <c r="Y6135" s="15"/>
      <c r="Z6135" s="15"/>
      <c r="AA6135" s="15"/>
    </row>
    <row r="6136">
      <c r="A6136" s="15"/>
      <c r="B6136" s="15"/>
      <c r="C6136" s="14"/>
      <c r="D6136" s="14"/>
      <c r="E6136" s="14"/>
      <c r="F6136" s="433"/>
      <c r="G6136" s="434"/>
      <c r="H6136" s="14"/>
      <c r="I6136" s="423"/>
      <c r="J6136" s="14"/>
      <c r="K6136" s="13"/>
      <c r="L6136" s="13"/>
      <c r="M6136" s="14"/>
      <c r="N6136" s="15"/>
      <c r="O6136" s="15"/>
      <c r="P6136" s="15"/>
      <c r="Q6136" s="15"/>
      <c r="R6136" s="422"/>
      <c r="S6136" s="15"/>
      <c r="T6136" s="15"/>
      <c r="U6136" s="15"/>
      <c r="V6136" s="15"/>
      <c r="W6136" s="15"/>
      <c r="X6136" s="15"/>
      <c r="Y6136" s="15"/>
      <c r="Z6136" s="15"/>
      <c r="AA6136" s="15"/>
    </row>
    <row r="6137">
      <c r="A6137" s="15"/>
      <c r="B6137" s="15"/>
      <c r="C6137" s="14"/>
      <c r="D6137" s="14"/>
      <c r="E6137" s="14"/>
      <c r="F6137" s="433"/>
      <c r="G6137" s="434"/>
      <c r="H6137" s="14"/>
      <c r="I6137" s="423"/>
      <c r="J6137" s="14"/>
      <c r="K6137" s="13"/>
      <c r="L6137" s="13"/>
      <c r="M6137" s="14"/>
      <c r="N6137" s="15"/>
      <c r="O6137" s="15"/>
      <c r="P6137" s="15"/>
      <c r="Q6137" s="15"/>
      <c r="R6137" s="422"/>
      <c r="S6137" s="15"/>
      <c r="T6137" s="15"/>
      <c r="U6137" s="15"/>
      <c r="V6137" s="15"/>
      <c r="W6137" s="15"/>
      <c r="X6137" s="15"/>
      <c r="Y6137" s="15"/>
      <c r="Z6137" s="15"/>
      <c r="AA6137" s="15"/>
    </row>
    <row r="6138">
      <c r="A6138" s="15"/>
      <c r="B6138" s="15"/>
      <c r="C6138" s="14"/>
      <c r="D6138" s="14"/>
      <c r="E6138" s="14"/>
      <c r="F6138" s="433"/>
      <c r="G6138" s="434"/>
      <c r="H6138" s="14"/>
      <c r="I6138" s="423"/>
      <c r="J6138" s="14"/>
      <c r="K6138" s="13"/>
      <c r="L6138" s="13"/>
      <c r="M6138" s="14"/>
      <c r="N6138" s="15"/>
      <c r="O6138" s="15"/>
      <c r="P6138" s="15"/>
      <c r="Q6138" s="15"/>
      <c r="R6138" s="422"/>
      <c r="S6138" s="15"/>
      <c r="T6138" s="15"/>
      <c r="U6138" s="15"/>
      <c r="V6138" s="15"/>
      <c r="W6138" s="15"/>
      <c r="X6138" s="15"/>
      <c r="Y6138" s="15"/>
      <c r="Z6138" s="15"/>
      <c r="AA6138" s="15"/>
    </row>
    <row r="6139">
      <c r="A6139" s="15"/>
      <c r="B6139" s="15"/>
      <c r="C6139" s="14"/>
      <c r="D6139" s="14"/>
      <c r="E6139" s="14"/>
      <c r="F6139" s="433"/>
      <c r="G6139" s="434"/>
      <c r="H6139" s="14"/>
      <c r="I6139" s="423"/>
      <c r="J6139" s="14"/>
      <c r="K6139" s="13"/>
      <c r="L6139" s="13"/>
      <c r="M6139" s="14"/>
      <c r="N6139" s="15"/>
      <c r="O6139" s="15"/>
      <c r="P6139" s="15"/>
      <c r="Q6139" s="15"/>
      <c r="R6139" s="422"/>
      <c r="S6139" s="15"/>
      <c r="T6139" s="15"/>
      <c r="U6139" s="15"/>
      <c r="V6139" s="15"/>
      <c r="W6139" s="15"/>
      <c r="X6139" s="15"/>
      <c r="Y6139" s="15"/>
      <c r="Z6139" s="15"/>
      <c r="AA6139" s="15"/>
    </row>
    <row r="6140">
      <c r="A6140" s="15"/>
      <c r="B6140" s="15"/>
      <c r="C6140" s="14"/>
      <c r="D6140" s="14"/>
      <c r="E6140" s="14"/>
      <c r="F6140" s="433"/>
      <c r="G6140" s="434"/>
      <c r="H6140" s="14"/>
      <c r="I6140" s="423"/>
      <c r="J6140" s="14"/>
      <c r="K6140" s="13"/>
      <c r="L6140" s="13"/>
      <c r="M6140" s="14"/>
      <c r="N6140" s="15"/>
      <c r="O6140" s="15"/>
      <c r="P6140" s="15"/>
      <c r="Q6140" s="15"/>
      <c r="R6140" s="422"/>
      <c r="S6140" s="15"/>
      <c r="T6140" s="15"/>
      <c r="U6140" s="15"/>
      <c r="V6140" s="15"/>
      <c r="W6140" s="15"/>
      <c r="X6140" s="15"/>
      <c r="Y6140" s="15"/>
      <c r="Z6140" s="15"/>
      <c r="AA6140" s="15"/>
    </row>
    <row r="6141">
      <c r="A6141" s="15"/>
      <c r="B6141" s="15"/>
      <c r="C6141" s="14"/>
      <c r="D6141" s="14"/>
      <c r="E6141" s="14"/>
      <c r="F6141" s="433"/>
      <c r="G6141" s="434"/>
      <c r="H6141" s="14"/>
      <c r="I6141" s="423"/>
      <c r="J6141" s="14"/>
      <c r="K6141" s="13"/>
      <c r="L6141" s="13"/>
      <c r="M6141" s="14"/>
      <c r="N6141" s="15"/>
      <c r="O6141" s="15"/>
      <c r="P6141" s="15"/>
      <c r="Q6141" s="15"/>
      <c r="R6141" s="422"/>
      <c r="S6141" s="15"/>
      <c r="T6141" s="15"/>
      <c r="U6141" s="15"/>
      <c r="V6141" s="15"/>
      <c r="W6141" s="15"/>
      <c r="X6141" s="15"/>
      <c r="Y6141" s="15"/>
      <c r="Z6141" s="15"/>
      <c r="AA6141" s="15"/>
    </row>
    <row r="6142">
      <c r="A6142" s="15"/>
      <c r="B6142" s="15"/>
      <c r="C6142" s="14"/>
      <c r="D6142" s="14"/>
      <c r="E6142" s="14"/>
      <c r="F6142" s="433"/>
      <c r="G6142" s="434"/>
      <c r="H6142" s="14"/>
      <c r="I6142" s="423"/>
      <c r="J6142" s="14"/>
      <c r="K6142" s="13"/>
      <c r="L6142" s="13"/>
      <c r="M6142" s="14"/>
      <c r="N6142" s="15"/>
      <c r="O6142" s="15"/>
      <c r="P6142" s="15"/>
      <c r="Q6142" s="15"/>
      <c r="R6142" s="422"/>
      <c r="S6142" s="15"/>
      <c r="T6142" s="15"/>
      <c r="U6142" s="15"/>
      <c r="V6142" s="15"/>
      <c r="W6142" s="15"/>
      <c r="X6142" s="15"/>
      <c r="Y6142" s="15"/>
      <c r="Z6142" s="15"/>
      <c r="AA6142" s="15"/>
    </row>
    <row r="6143">
      <c r="A6143" s="15"/>
      <c r="B6143" s="15"/>
      <c r="C6143" s="14"/>
      <c r="D6143" s="14"/>
      <c r="E6143" s="14"/>
      <c r="F6143" s="433"/>
      <c r="G6143" s="434"/>
      <c r="H6143" s="14"/>
      <c r="I6143" s="423"/>
      <c r="J6143" s="14"/>
      <c r="K6143" s="13"/>
      <c r="L6143" s="13"/>
      <c r="M6143" s="14"/>
      <c r="N6143" s="15"/>
      <c r="O6143" s="15"/>
      <c r="P6143" s="15"/>
      <c r="Q6143" s="15"/>
      <c r="R6143" s="422"/>
      <c r="S6143" s="15"/>
      <c r="T6143" s="15"/>
      <c r="U6143" s="15"/>
      <c r="V6143" s="15"/>
      <c r="W6143" s="15"/>
      <c r="X6143" s="15"/>
      <c r="Y6143" s="15"/>
      <c r="Z6143" s="15"/>
      <c r="AA6143" s="15"/>
    </row>
    <row r="6144">
      <c r="A6144" s="15"/>
      <c r="B6144" s="15"/>
      <c r="C6144" s="14"/>
      <c r="D6144" s="14"/>
      <c r="E6144" s="14"/>
      <c r="F6144" s="433"/>
      <c r="G6144" s="434"/>
      <c r="H6144" s="14"/>
      <c r="I6144" s="423"/>
      <c r="J6144" s="14"/>
      <c r="K6144" s="13"/>
      <c r="L6144" s="13"/>
      <c r="M6144" s="14"/>
      <c r="N6144" s="15"/>
      <c r="O6144" s="15"/>
      <c r="P6144" s="15"/>
      <c r="Q6144" s="15"/>
      <c r="R6144" s="422"/>
      <c r="S6144" s="15"/>
      <c r="T6144" s="15"/>
      <c r="U6144" s="15"/>
      <c r="V6144" s="15"/>
      <c r="W6144" s="15"/>
      <c r="X6144" s="15"/>
      <c r="Y6144" s="15"/>
      <c r="Z6144" s="15"/>
      <c r="AA6144" s="15"/>
    </row>
    <row r="6145">
      <c r="A6145" s="15"/>
      <c r="B6145" s="15"/>
      <c r="C6145" s="14"/>
      <c r="D6145" s="14"/>
      <c r="E6145" s="14"/>
      <c r="F6145" s="433"/>
      <c r="G6145" s="434"/>
      <c r="H6145" s="14"/>
      <c r="I6145" s="423"/>
      <c r="J6145" s="14"/>
      <c r="K6145" s="13"/>
      <c r="L6145" s="13"/>
      <c r="M6145" s="14"/>
      <c r="N6145" s="15"/>
      <c r="O6145" s="15"/>
      <c r="P6145" s="15"/>
      <c r="Q6145" s="15"/>
      <c r="R6145" s="422"/>
      <c r="S6145" s="15"/>
      <c r="T6145" s="15"/>
      <c r="U6145" s="15"/>
      <c r="V6145" s="15"/>
      <c r="W6145" s="15"/>
      <c r="X6145" s="15"/>
      <c r="Y6145" s="15"/>
      <c r="Z6145" s="15"/>
      <c r="AA6145" s="15"/>
    </row>
    <row r="6146">
      <c r="A6146" s="15"/>
      <c r="B6146" s="15"/>
      <c r="C6146" s="14"/>
      <c r="D6146" s="14"/>
      <c r="E6146" s="14"/>
      <c r="F6146" s="433"/>
      <c r="G6146" s="434"/>
      <c r="H6146" s="14"/>
      <c r="I6146" s="423"/>
      <c r="J6146" s="14"/>
      <c r="K6146" s="13"/>
      <c r="L6146" s="13"/>
      <c r="M6146" s="14"/>
      <c r="N6146" s="15"/>
      <c r="O6146" s="15"/>
      <c r="P6146" s="15"/>
      <c r="Q6146" s="15"/>
      <c r="R6146" s="422"/>
      <c r="S6146" s="15"/>
      <c r="T6146" s="15"/>
      <c r="U6146" s="15"/>
      <c r="V6146" s="15"/>
      <c r="W6146" s="15"/>
      <c r="X6146" s="15"/>
      <c r="Y6146" s="15"/>
      <c r="Z6146" s="15"/>
      <c r="AA6146" s="15"/>
    </row>
    <row r="6147">
      <c r="A6147" s="15"/>
      <c r="B6147" s="15"/>
      <c r="C6147" s="14"/>
      <c r="D6147" s="14"/>
      <c r="E6147" s="14"/>
      <c r="F6147" s="433"/>
      <c r="G6147" s="434"/>
      <c r="H6147" s="14"/>
      <c r="I6147" s="423"/>
      <c r="J6147" s="14"/>
      <c r="K6147" s="13"/>
      <c r="L6147" s="13"/>
      <c r="M6147" s="14"/>
      <c r="N6147" s="15"/>
      <c r="O6147" s="15"/>
      <c r="P6147" s="15"/>
      <c r="Q6147" s="15"/>
      <c r="R6147" s="422"/>
      <c r="S6147" s="15"/>
      <c r="T6147" s="15"/>
      <c r="U6147" s="15"/>
      <c r="V6147" s="15"/>
      <c r="W6147" s="15"/>
      <c r="X6147" s="15"/>
      <c r="Y6147" s="15"/>
      <c r="Z6147" s="15"/>
      <c r="AA6147" s="15"/>
    </row>
    <row r="6148">
      <c r="A6148" s="15"/>
      <c r="B6148" s="15"/>
      <c r="C6148" s="14"/>
      <c r="D6148" s="14"/>
      <c r="E6148" s="14"/>
      <c r="F6148" s="433"/>
      <c r="G6148" s="434"/>
      <c r="H6148" s="14"/>
      <c r="I6148" s="423"/>
      <c r="J6148" s="14"/>
      <c r="K6148" s="13"/>
      <c r="L6148" s="13"/>
      <c r="M6148" s="14"/>
      <c r="N6148" s="15"/>
      <c r="O6148" s="15"/>
      <c r="P6148" s="15"/>
      <c r="Q6148" s="15"/>
      <c r="R6148" s="422"/>
      <c r="S6148" s="15"/>
      <c r="T6148" s="15"/>
      <c r="U6148" s="15"/>
      <c r="V6148" s="15"/>
      <c r="W6148" s="15"/>
      <c r="X6148" s="15"/>
      <c r="Y6148" s="15"/>
      <c r="Z6148" s="15"/>
      <c r="AA6148" s="15"/>
    </row>
    <row r="6149">
      <c r="A6149" s="15"/>
      <c r="B6149" s="15"/>
      <c r="C6149" s="14"/>
      <c r="D6149" s="14"/>
      <c r="E6149" s="14"/>
      <c r="F6149" s="433"/>
      <c r="G6149" s="434"/>
      <c r="H6149" s="14"/>
      <c r="I6149" s="423"/>
      <c r="J6149" s="14"/>
      <c r="K6149" s="13"/>
      <c r="L6149" s="13"/>
      <c r="M6149" s="14"/>
      <c r="N6149" s="15"/>
      <c r="O6149" s="15"/>
      <c r="P6149" s="15"/>
      <c r="Q6149" s="15"/>
      <c r="R6149" s="422"/>
      <c r="S6149" s="15"/>
      <c r="T6149" s="15"/>
      <c r="U6149" s="15"/>
      <c r="V6149" s="15"/>
      <c r="W6149" s="15"/>
      <c r="X6149" s="15"/>
      <c r="Y6149" s="15"/>
      <c r="Z6149" s="15"/>
      <c r="AA6149" s="15"/>
    </row>
    <row r="6150">
      <c r="A6150" s="15"/>
      <c r="B6150" s="15"/>
      <c r="C6150" s="14"/>
      <c r="D6150" s="14"/>
      <c r="E6150" s="14"/>
      <c r="F6150" s="433"/>
      <c r="G6150" s="434"/>
      <c r="H6150" s="14"/>
      <c r="I6150" s="423"/>
      <c r="J6150" s="14"/>
      <c r="K6150" s="13"/>
      <c r="L6150" s="13"/>
      <c r="M6150" s="14"/>
      <c r="N6150" s="15"/>
      <c r="O6150" s="15"/>
      <c r="P6150" s="15"/>
      <c r="Q6150" s="15"/>
      <c r="R6150" s="422"/>
      <c r="S6150" s="15"/>
      <c r="T6150" s="15"/>
      <c r="U6150" s="15"/>
      <c r="V6150" s="15"/>
      <c r="W6150" s="15"/>
      <c r="X6150" s="15"/>
      <c r="Y6150" s="15"/>
      <c r="Z6150" s="15"/>
      <c r="AA6150" s="15"/>
    </row>
    <row r="6151">
      <c r="A6151" s="15"/>
      <c r="B6151" s="15"/>
      <c r="C6151" s="14"/>
      <c r="D6151" s="14"/>
      <c r="E6151" s="14"/>
      <c r="F6151" s="433"/>
      <c r="G6151" s="434"/>
      <c r="H6151" s="14"/>
      <c r="I6151" s="423"/>
      <c r="J6151" s="14"/>
      <c r="K6151" s="13"/>
      <c r="L6151" s="13"/>
      <c r="M6151" s="14"/>
      <c r="N6151" s="15"/>
      <c r="O6151" s="15"/>
      <c r="P6151" s="15"/>
      <c r="Q6151" s="15"/>
      <c r="R6151" s="422"/>
      <c r="S6151" s="15"/>
      <c r="T6151" s="15"/>
      <c r="U6151" s="15"/>
      <c r="V6151" s="15"/>
      <c r="W6151" s="15"/>
      <c r="X6151" s="15"/>
      <c r="Y6151" s="15"/>
      <c r="Z6151" s="15"/>
      <c r="AA6151" s="15"/>
    </row>
    <row r="6152">
      <c r="A6152" s="15"/>
      <c r="B6152" s="15"/>
      <c r="C6152" s="14"/>
      <c r="D6152" s="14"/>
      <c r="E6152" s="14"/>
      <c r="F6152" s="433"/>
      <c r="G6152" s="434"/>
      <c r="H6152" s="14"/>
      <c r="I6152" s="423"/>
      <c r="J6152" s="14"/>
      <c r="K6152" s="13"/>
      <c r="L6152" s="13"/>
      <c r="M6152" s="14"/>
      <c r="N6152" s="15"/>
      <c r="O6152" s="15"/>
      <c r="P6152" s="15"/>
      <c r="Q6152" s="15"/>
      <c r="R6152" s="422"/>
      <c r="S6152" s="15"/>
      <c r="T6152" s="15"/>
      <c r="U6152" s="15"/>
      <c r="V6152" s="15"/>
      <c r="W6152" s="15"/>
      <c r="X6152" s="15"/>
      <c r="Y6152" s="15"/>
      <c r="Z6152" s="15"/>
      <c r="AA6152" s="15"/>
    </row>
    <row r="6153">
      <c r="A6153" s="15"/>
      <c r="B6153" s="15"/>
      <c r="C6153" s="14"/>
      <c r="D6153" s="14"/>
      <c r="E6153" s="14"/>
      <c r="F6153" s="433"/>
      <c r="G6153" s="434"/>
      <c r="H6153" s="14"/>
      <c r="I6153" s="423"/>
      <c r="J6153" s="14"/>
      <c r="K6153" s="13"/>
      <c r="L6153" s="13"/>
      <c r="M6153" s="14"/>
      <c r="N6153" s="15"/>
      <c r="O6153" s="15"/>
      <c r="P6153" s="15"/>
      <c r="Q6153" s="15"/>
      <c r="R6153" s="422"/>
      <c r="S6153" s="15"/>
      <c r="T6153" s="15"/>
      <c r="U6153" s="15"/>
      <c r="V6153" s="15"/>
      <c r="W6153" s="15"/>
      <c r="X6153" s="15"/>
      <c r="Y6153" s="15"/>
      <c r="Z6153" s="15"/>
      <c r="AA6153" s="15"/>
    </row>
    <row r="6154">
      <c r="A6154" s="15"/>
      <c r="B6154" s="15"/>
      <c r="C6154" s="14"/>
      <c r="D6154" s="14"/>
      <c r="E6154" s="14"/>
      <c r="F6154" s="433"/>
      <c r="G6154" s="434"/>
      <c r="H6154" s="14"/>
      <c r="I6154" s="423"/>
      <c r="J6154" s="14"/>
      <c r="K6154" s="13"/>
      <c r="L6154" s="13"/>
      <c r="M6154" s="14"/>
      <c r="N6154" s="15"/>
      <c r="O6154" s="15"/>
      <c r="P6154" s="15"/>
      <c r="Q6154" s="15"/>
      <c r="R6154" s="422"/>
      <c r="S6154" s="15"/>
      <c r="T6154" s="15"/>
      <c r="U6154" s="15"/>
      <c r="V6154" s="15"/>
      <c r="W6154" s="15"/>
      <c r="X6154" s="15"/>
      <c r="Y6154" s="15"/>
      <c r="Z6154" s="15"/>
      <c r="AA6154" s="15"/>
    </row>
    <row r="6155">
      <c r="A6155" s="15"/>
      <c r="B6155" s="15"/>
      <c r="C6155" s="14"/>
      <c r="D6155" s="14"/>
      <c r="E6155" s="14"/>
      <c r="F6155" s="433"/>
      <c r="G6155" s="434"/>
      <c r="H6155" s="14"/>
      <c r="I6155" s="423"/>
      <c r="J6155" s="14"/>
      <c r="K6155" s="13"/>
      <c r="L6155" s="13"/>
      <c r="M6155" s="14"/>
      <c r="N6155" s="15"/>
      <c r="O6155" s="15"/>
      <c r="P6155" s="15"/>
      <c r="Q6155" s="15"/>
      <c r="R6155" s="422"/>
      <c r="S6155" s="15"/>
      <c r="T6155" s="15"/>
      <c r="U6155" s="15"/>
      <c r="V6155" s="15"/>
      <c r="W6155" s="15"/>
      <c r="X6155" s="15"/>
      <c r="Y6155" s="15"/>
      <c r="Z6155" s="15"/>
      <c r="AA6155" s="15"/>
    </row>
    <row r="6156">
      <c r="A6156" s="15"/>
      <c r="B6156" s="15"/>
      <c r="C6156" s="14"/>
      <c r="D6156" s="14"/>
      <c r="E6156" s="14"/>
      <c r="F6156" s="433"/>
      <c r="G6156" s="434"/>
      <c r="H6156" s="14"/>
      <c r="I6156" s="423"/>
      <c r="J6156" s="14"/>
      <c r="K6156" s="13"/>
      <c r="L6156" s="13"/>
      <c r="M6156" s="14"/>
      <c r="N6156" s="15"/>
      <c r="O6156" s="15"/>
      <c r="P6156" s="15"/>
      <c r="Q6156" s="15"/>
      <c r="R6156" s="422"/>
      <c r="S6156" s="15"/>
      <c r="T6156" s="15"/>
      <c r="U6156" s="15"/>
      <c r="V6156" s="15"/>
      <c r="W6156" s="15"/>
      <c r="X6156" s="15"/>
      <c r="Y6156" s="15"/>
      <c r="Z6156" s="15"/>
      <c r="AA6156" s="15"/>
    </row>
    <row r="6157">
      <c r="A6157" s="15"/>
      <c r="B6157" s="15"/>
      <c r="C6157" s="14"/>
      <c r="D6157" s="14"/>
      <c r="E6157" s="14"/>
      <c r="F6157" s="433"/>
      <c r="G6157" s="434"/>
      <c r="H6157" s="14"/>
      <c r="I6157" s="423"/>
      <c r="J6157" s="14"/>
      <c r="K6157" s="13"/>
      <c r="L6157" s="13"/>
      <c r="M6157" s="14"/>
      <c r="N6157" s="15"/>
      <c r="O6157" s="15"/>
      <c r="P6157" s="15"/>
      <c r="Q6157" s="15"/>
      <c r="R6157" s="422"/>
      <c r="S6157" s="15"/>
      <c r="T6157" s="15"/>
      <c r="U6157" s="15"/>
      <c r="V6157" s="15"/>
      <c r="W6157" s="15"/>
      <c r="X6157" s="15"/>
      <c r="Y6157" s="15"/>
      <c r="Z6157" s="15"/>
      <c r="AA6157" s="15"/>
    </row>
    <row r="6158">
      <c r="A6158" s="15"/>
      <c r="B6158" s="15"/>
      <c r="C6158" s="14"/>
      <c r="D6158" s="14"/>
      <c r="E6158" s="14"/>
      <c r="F6158" s="433"/>
      <c r="G6158" s="434"/>
      <c r="H6158" s="14"/>
      <c r="I6158" s="423"/>
      <c r="J6158" s="14"/>
      <c r="K6158" s="13"/>
      <c r="L6158" s="13"/>
      <c r="M6158" s="14"/>
      <c r="N6158" s="15"/>
      <c r="O6158" s="15"/>
      <c r="P6158" s="15"/>
      <c r="Q6158" s="15"/>
      <c r="R6158" s="422"/>
      <c r="S6158" s="15"/>
      <c r="T6158" s="15"/>
      <c r="U6158" s="15"/>
      <c r="V6158" s="15"/>
      <c r="W6158" s="15"/>
      <c r="X6158" s="15"/>
      <c r="Y6158" s="15"/>
      <c r="Z6158" s="15"/>
      <c r="AA6158" s="15"/>
    </row>
    <row r="6159">
      <c r="A6159" s="15"/>
      <c r="B6159" s="15"/>
      <c r="C6159" s="14"/>
      <c r="D6159" s="14"/>
      <c r="E6159" s="14"/>
      <c r="F6159" s="433"/>
      <c r="G6159" s="434"/>
      <c r="H6159" s="14"/>
      <c r="I6159" s="423"/>
      <c r="J6159" s="14"/>
      <c r="K6159" s="13"/>
      <c r="L6159" s="13"/>
      <c r="M6159" s="14"/>
      <c r="N6159" s="15"/>
      <c r="O6159" s="15"/>
      <c r="P6159" s="15"/>
      <c r="Q6159" s="15"/>
      <c r="R6159" s="422"/>
      <c r="S6159" s="15"/>
      <c r="T6159" s="15"/>
      <c r="U6159" s="15"/>
      <c r="V6159" s="15"/>
      <c r="W6159" s="15"/>
      <c r="X6159" s="15"/>
      <c r="Y6159" s="15"/>
      <c r="Z6159" s="15"/>
      <c r="AA6159" s="15"/>
    </row>
    <row r="6160">
      <c r="A6160" s="15"/>
      <c r="B6160" s="15"/>
      <c r="C6160" s="14"/>
      <c r="D6160" s="14"/>
      <c r="E6160" s="14"/>
      <c r="F6160" s="433"/>
      <c r="G6160" s="434"/>
      <c r="H6160" s="14"/>
      <c r="I6160" s="423"/>
      <c r="J6160" s="14"/>
      <c r="K6160" s="13"/>
      <c r="L6160" s="13"/>
      <c r="M6160" s="14"/>
      <c r="N6160" s="15"/>
      <c r="O6160" s="15"/>
      <c r="P6160" s="15"/>
      <c r="Q6160" s="15"/>
      <c r="R6160" s="422"/>
      <c r="S6160" s="15"/>
      <c r="T6160" s="15"/>
      <c r="U6160" s="15"/>
      <c r="V6160" s="15"/>
      <c r="W6160" s="15"/>
      <c r="X6160" s="15"/>
      <c r="Y6160" s="15"/>
      <c r="Z6160" s="15"/>
      <c r="AA6160" s="15"/>
    </row>
    <row r="6161">
      <c r="A6161" s="15"/>
      <c r="B6161" s="15"/>
      <c r="C6161" s="14"/>
      <c r="D6161" s="14"/>
      <c r="E6161" s="14"/>
      <c r="F6161" s="433"/>
      <c r="G6161" s="434"/>
      <c r="H6161" s="14"/>
      <c r="I6161" s="423"/>
      <c r="J6161" s="14"/>
      <c r="K6161" s="13"/>
      <c r="L6161" s="13"/>
      <c r="M6161" s="14"/>
      <c r="N6161" s="15"/>
      <c r="O6161" s="15"/>
      <c r="P6161" s="15"/>
      <c r="Q6161" s="15"/>
      <c r="R6161" s="422"/>
      <c r="S6161" s="15"/>
      <c r="T6161" s="15"/>
      <c r="U6161" s="15"/>
      <c r="V6161" s="15"/>
      <c r="W6161" s="15"/>
      <c r="X6161" s="15"/>
      <c r="Y6161" s="15"/>
      <c r="Z6161" s="15"/>
      <c r="AA6161" s="15"/>
    </row>
    <row r="6162">
      <c r="A6162" s="15"/>
      <c r="B6162" s="15"/>
      <c r="C6162" s="14"/>
      <c r="D6162" s="14"/>
      <c r="E6162" s="14"/>
      <c r="F6162" s="433"/>
      <c r="G6162" s="434"/>
      <c r="H6162" s="14"/>
      <c r="I6162" s="423"/>
      <c r="J6162" s="14"/>
      <c r="K6162" s="13"/>
      <c r="L6162" s="13"/>
      <c r="M6162" s="14"/>
      <c r="N6162" s="15"/>
      <c r="O6162" s="15"/>
      <c r="P6162" s="15"/>
      <c r="Q6162" s="15"/>
      <c r="R6162" s="422"/>
      <c r="S6162" s="15"/>
      <c r="T6162" s="15"/>
      <c r="U6162" s="15"/>
      <c r="V6162" s="15"/>
      <c r="W6162" s="15"/>
      <c r="X6162" s="15"/>
      <c r="Y6162" s="15"/>
      <c r="Z6162" s="15"/>
      <c r="AA6162" s="15"/>
    </row>
    <row r="6163">
      <c r="A6163" s="15"/>
      <c r="B6163" s="15"/>
      <c r="C6163" s="14"/>
      <c r="D6163" s="14"/>
      <c r="E6163" s="14"/>
      <c r="F6163" s="433"/>
      <c r="G6163" s="434"/>
      <c r="H6163" s="14"/>
      <c r="I6163" s="423"/>
      <c r="J6163" s="14"/>
      <c r="K6163" s="13"/>
      <c r="L6163" s="13"/>
      <c r="M6163" s="14"/>
      <c r="N6163" s="15"/>
      <c r="O6163" s="15"/>
      <c r="P6163" s="15"/>
      <c r="Q6163" s="15"/>
      <c r="R6163" s="422"/>
      <c r="S6163" s="15"/>
      <c r="T6163" s="15"/>
      <c r="U6163" s="15"/>
      <c r="V6163" s="15"/>
      <c r="W6163" s="15"/>
      <c r="X6163" s="15"/>
      <c r="Y6163" s="15"/>
      <c r="Z6163" s="15"/>
      <c r="AA6163" s="15"/>
    </row>
    <row r="6164">
      <c r="A6164" s="15"/>
      <c r="B6164" s="15"/>
      <c r="C6164" s="14"/>
      <c r="D6164" s="14"/>
      <c r="E6164" s="14"/>
      <c r="F6164" s="433"/>
      <c r="G6164" s="434"/>
      <c r="H6164" s="14"/>
      <c r="I6164" s="423"/>
      <c r="J6164" s="14"/>
      <c r="K6164" s="13"/>
      <c r="L6164" s="13"/>
      <c r="M6164" s="14"/>
      <c r="N6164" s="15"/>
      <c r="O6164" s="15"/>
      <c r="P6164" s="15"/>
      <c r="Q6164" s="15"/>
      <c r="R6164" s="422"/>
      <c r="S6164" s="15"/>
      <c r="T6164" s="15"/>
      <c r="U6164" s="15"/>
      <c r="V6164" s="15"/>
      <c r="W6164" s="15"/>
      <c r="X6164" s="15"/>
      <c r="Y6164" s="15"/>
      <c r="Z6164" s="15"/>
      <c r="AA6164" s="15"/>
    </row>
    <row r="6165">
      <c r="A6165" s="15"/>
      <c r="B6165" s="15"/>
      <c r="C6165" s="14"/>
      <c r="D6165" s="14"/>
      <c r="E6165" s="14"/>
      <c r="F6165" s="433"/>
      <c r="G6165" s="434"/>
      <c r="H6165" s="14"/>
      <c r="I6165" s="423"/>
      <c r="J6165" s="14"/>
      <c r="K6165" s="13"/>
      <c r="L6165" s="13"/>
      <c r="M6165" s="14"/>
      <c r="N6165" s="15"/>
      <c r="O6165" s="15"/>
      <c r="P6165" s="15"/>
      <c r="Q6165" s="15"/>
      <c r="R6165" s="422"/>
      <c r="S6165" s="15"/>
      <c r="T6165" s="15"/>
      <c r="U6165" s="15"/>
      <c r="V6165" s="15"/>
      <c r="W6165" s="15"/>
      <c r="X6165" s="15"/>
      <c r="Y6165" s="15"/>
      <c r="Z6165" s="15"/>
      <c r="AA6165" s="15"/>
    </row>
    <row r="6166">
      <c r="A6166" s="15"/>
      <c r="B6166" s="15"/>
      <c r="C6166" s="14"/>
      <c r="D6166" s="14"/>
      <c r="E6166" s="14"/>
      <c r="F6166" s="433"/>
      <c r="G6166" s="434"/>
      <c r="H6166" s="14"/>
      <c r="I6166" s="423"/>
      <c r="J6166" s="14"/>
      <c r="K6166" s="13"/>
      <c r="L6166" s="13"/>
      <c r="M6166" s="14"/>
      <c r="N6166" s="15"/>
      <c r="O6166" s="15"/>
      <c r="P6166" s="15"/>
      <c r="Q6166" s="15"/>
      <c r="R6166" s="422"/>
      <c r="S6166" s="15"/>
      <c r="T6166" s="15"/>
      <c r="U6166" s="15"/>
      <c r="V6166" s="15"/>
      <c r="W6166" s="15"/>
      <c r="X6166" s="15"/>
      <c r="Y6166" s="15"/>
      <c r="Z6166" s="15"/>
      <c r="AA6166" s="15"/>
    </row>
    <row r="6167">
      <c r="A6167" s="15"/>
      <c r="B6167" s="15"/>
      <c r="C6167" s="14"/>
      <c r="D6167" s="14"/>
      <c r="E6167" s="14"/>
      <c r="F6167" s="433"/>
      <c r="G6167" s="434"/>
      <c r="H6167" s="14"/>
      <c r="I6167" s="423"/>
      <c r="J6167" s="14"/>
      <c r="K6167" s="13"/>
      <c r="L6167" s="13"/>
      <c r="M6167" s="14"/>
      <c r="N6167" s="15"/>
      <c r="O6167" s="15"/>
      <c r="P6167" s="15"/>
      <c r="Q6167" s="15"/>
      <c r="R6167" s="422"/>
      <c r="S6167" s="15"/>
      <c r="T6167" s="15"/>
      <c r="U6167" s="15"/>
      <c r="V6167" s="15"/>
      <c r="W6167" s="15"/>
      <c r="X6167" s="15"/>
      <c r="Y6167" s="15"/>
      <c r="Z6167" s="15"/>
      <c r="AA6167" s="15"/>
    </row>
    <row r="6168">
      <c r="A6168" s="15"/>
      <c r="B6168" s="15"/>
      <c r="C6168" s="14"/>
      <c r="D6168" s="14"/>
      <c r="E6168" s="14"/>
      <c r="F6168" s="433"/>
      <c r="G6168" s="434"/>
      <c r="H6168" s="14"/>
      <c r="I6168" s="423"/>
      <c r="J6168" s="14"/>
      <c r="K6168" s="13"/>
      <c r="L6168" s="13"/>
      <c r="M6168" s="14"/>
      <c r="N6168" s="15"/>
      <c r="O6168" s="15"/>
      <c r="P6168" s="15"/>
      <c r="Q6168" s="15"/>
      <c r="R6168" s="422"/>
      <c r="S6168" s="15"/>
      <c r="T6168" s="15"/>
      <c r="U6168" s="15"/>
      <c r="V6168" s="15"/>
      <c r="W6168" s="15"/>
      <c r="X6168" s="15"/>
      <c r="Y6168" s="15"/>
      <c r="Z6168" s="15"/>
      <c r="AA6168" s="15"/>
    </row>
    <row r="6169">
      <c r="A6169" s="15"/>
      <c r="B6169" s="15"/>
      <c r="C6169" s="14"/>
      <c r="D6169" s="14"/>
      <c r="E6169" s="14"/>
      <c r="F6169" s="433"/>
      <c r="G6169" s="434"/>
      <c r="H6169" s="14"/>
      <c r="I6169" s="423"/>
      <c r="J6169" s="14"/>
      <c r="K6169" s="13"/>
      <c r="L6169" s="13"/>
      <c r="M6169" s="14"/>
      <c r="N6169" s="15"/>
      <c r="O6169" s="15"/>
      <c r="P6169" s="15"/>
      <c r="Q6169" s="15"/>
      <c r="R6169" s="422"/>
      <c r="S6169" s="15"/>
      <c r="T6169" s="15"/>
      <c r="U6169" s="15"/>
      <c r="V6169" s="15"/>
      <c r="W6169" s="15"/>
      <c r="X6169" s="15"/>
      <c r="Y6169" s="15"/>
      <c r="Z6169" s="15"/>
      <c r="AA6169" s="15"/>
    </row>
    <row r="6170">
      <c r="A6170" s="15"/>
      <c r="B6170" s="15"/>
      <c r="C6170" s="14"/>
      <c r="D6170" s="14"/>
      <c r="E6170" s="14"/>
      <c r="F6170" s="433"/>
      <c r="G6170" s="434"/>
      <c r="H6170" s="14"/>
      <c r="I6170" s="423"/>
      <c r="J6170" s="14"/>
      <c r="K6170" s="13"/>
      <c r="L6170" s="13"/>
      <c r="M6170" s="14"/>
      <c r="N6170" s="15"/>
      <c r="O6170" s="15"/>
      <c r="P6170" s="15"/>
      <c r="Q6170" s="15"/>
      <c r="R6170" s="422"/>
      <c r="S6170" s="15"/>
      <c r="T6170" s="15"/>
      <c r="U6170" s="15"/>
      <c r="V6170" s="15"/>
      <c r="W6170" s="15"/>
      <c r="X6170" s="15"/>
      <c r="Y6170" s="15"/>
      <c r="Z6170" s="15"/>
      <c r="AA6170" s="15"/>
    </row>
    <row r="6171">
      <c r="A6171" s="15"/>
      <c r="B6171" s="15"/>
      <c r="C6171" s="14"/>
      <c r="D6171" s="14"/>
      <c r="E6171" s="14"/>
      <c r="F6171" s="433"/>
      <c r="G6171" s="434"/>
      <c r="H6171" s="14"/>
      <c r="I6171" s="423"/>
      <c r="J6171" s="14"/>
      <c r="K6171" s="13"/>
      <c r="L6171" s="13"/>
      <c r="M6171" s="14"/>
      <c r="N6171" s="15"/>
      <c r="O6171" s="15"/>
      <c r="P6171" s="15"/>
      <c r="Q6171" s="15"/>
      <c r="R6171" s="422"/>
      <c r="S6171" s="15"/>
      <c r="T6171" s="15"/>
      <c r="U6171" s="15"/>
      <c r="V6171" s="15"/>
      <c r="W6171" s="15"/>
      <c r="X6171" s="15"/>
      <c r="Y6171" s="15"/>
      <c r="Z6171" s="15"/>
      <c r="AA6171" s="15"/>
    </row>
    <row r="6172">
      <c r="A6172" s="15"/>
      <c r="B6172" s="15"/>
      <c r="C6172" s="14"/>
      <c r="D6172" s="14"/>
      <c r="E6172" s="14"/>
      <c r="F6172" s="433"/>
      <c r="G6172" s="434"/>
      <c r="H6172" s="14"/>
      <c r="I6172" s="423"/>
      <c r="J6172" s="14"/>
      <c r="K6172" s="13"/>
      <c r="L6172" s="13"/>
      <c r="M6172" s="14"/>
      <c r="N6172" s="15"/>
      <c r="O6172" s="15"/>
      <c r="P6172" s="15"/>
      <c r="Q6172" s="15"/>
      <c r="R6172" s="422"/>
      <c r="S6172" s="15"/>
      <c r="T6172" s="15"/>
      <c r="U6172" s="15"/>
      <c r="V6172" s="15"/>
      <c r="W6172" s="15"/>
      <c r="X6172" s="15"/>
      <c r="Y6172" s="15"/>
      <c r="Z6172" s="15"/>
      <c r="AA6172" s="15"/>
    </row>
    <row r="6173">
      <c r="A6173" s="15"/>
      <c r="B6173" s="15"/>
      <c r="C6173" s="14"/>
      <c r="D6173" s="14"/>
      <c r="E6173" s="14"/>
      <c r="F6173" s="433"/>
      <c r="G6173" s="434"/>
      <c r="H6173" s="14"/>
      <c r="I6173" s="423"/>
      <c r="J6173" s="14"/>
      <c r="K6173" s="13"/>
      <c r="L6173" s="13"/>
      <c r="M6173" s="14"/>
      <c r="N6173" s="15"/>
      <c r="O6173" s="15"/>
      <c r="P6173" s="15"/>
      <c r="Q6173" s="15"/>
      <c r="R6173" s="422"/>
      <c r="S6173" s="15"/>
      <c r="T6173" s="15"/>
      <c r="U6173" s="15"/>
      <c r="V6173" s="15"/>
      <c r="W6173" s="15"/>
      <c r="X6173" s="15"/>
      <c r="Y6173" s="15"/>
      <c r="Z6173" s="15"/>
      <c r="AA6173" s="15"/>
    </row>
    <row r="6174">
      <c r="A6174" s="15"/>
      <c r="B6174" s="15"/>
      <c r="C6174" s="14"/>
      <c r="D6174" s="14"/>
      <c r="E6174" s="14"/>
      <c r="F6174" s="433"/>
      <c r="G6174" s="434"/>
      <c r="H6174" s="14"/>
      <c r="I6174" s="423"/>
      <c r="J6174" s="14"/>
      <c r="K6174" s="13"/>
      <c r="L6174" s="13"/>
      <c r="M6174" s="14"/>
      <c r="N6174" s="15"/>
      <c r="O6174" s="15"/>
      <c r="P6174" s="15"/>
      <c r="Q6174" s="15"/>
      <c r="R6174" s="422"/>
      <c r="S6174" s="15"/>
      <c r="T6174" s="15"/>
      <c r="U6174" s="15"/>
      <c r="V6174" s="15"/>
      <c r="W6174" s="15"/>
      <c r="X6174" s="15"/>
      <c r="Y6174" s="15"/>
      <c r="Z6174" s="15"/>
      <c r="AA6174" s="15"/>
    </row>
    <row r="6175">
      <c r="A6175" s="15"/>
      <c r="B6175" s="15"/>
      <c r="C6175" s="14"/>
      <c r="D6175" s="14"/>
      <c r="E6175" s="14"/>
      <c r="F6175" s="433"/>
      <c r="G6175" s="434"/>
      <c r="H6175" s="14"/>
      <c r="I6175" s="423"/>
      <c r="J6175" s="14"/>
      <c r="K6175" s="13"/>
      <c r="L6175" s="13"/>
      <c r="M6175" s="14"/>
      <c r="N6175" s="15"/>
      <c r="O6175" s="15"/>
      <c r="P6175" s="15"/>
      <c r="Q6175" s="15"/>
      <c r="R6175" s="422"/>
      <c r="S6175" s="15"/>
      <c r="T6175" s="15"/>
      <c r="U6175" s="15"/>
      <c r="V6175" s="15"/>
      <c r="W6175" s="15"/>
      <c r="X6175" s="15"/>
      <c r="Y6175" s="15"/>
      <c r="Z6175" s="15"/>
      <c r="AA6175" s="15"/>
    </row>
    <row r="6176">
      <c r="A6176" s="15"/>
      <c r="B6176" s="15"/>
      <c r="C6176" s="14"/>
      <c r="D6176" s="14"/>
      <c r="E6176" s="14"/>
      <c r="F6176" s="433"/>
      <c r="G6176" s="434"/>
      <c r="H6176" s="14"/>
      <c r="I6176" s="423"/>
      <c r="J6176" s="14"/>
      <c r="K6176" s="13"/>
      <c r="L6176" s="13"/>
      <c r="M6176" s="14"/>
      <c r="N6176" s="15"/>
      <c r="O6176" s="15"/>
      <c r="P6176" s="15"/>
      <c r="Q6176" s="15"/>
      <c r="R6176" s="422"/>
      <c r="S6176" s="15"/>
      <c r="T6176" s="15"/>
      <c r="U6176" s="15"/>
      <c r="V6176" s="15"/>
      <c r="W6176" s="15"/>
      <c r="X6176" s="15"/>
      <c r="Y6176" s="15"/>
      <c r="Z6176" s="15"/>
      <c r="AA6176" s="15"/>
    </row>
    <row r="6177">
      <c r="A6177" s="15"/>
      <c r="B6177" s="15"/>
      <c r="C6177" s="14"/>
      <c r="D6177" s="14"/>
      <c r="E6177" s="14"/>
      <c r="F6177" s="433"/>
      <c r="G6177" s="434"/>
      <c r="H6177" s="14"/>
      <c r="I6177" s="423"/>
      <c r="J6177" s="14"/>
      <c r="K6177" s="13"/>
      <c r="L6177" s="13"/>
      <c r="M6177" s="14"/>
      <c r="N6177" s="15"/>
      <c r="O6177" s="15"/>
      <c r="P6177" s="15"/>
      <c r="Q6177" s="15"/>
      <c r="R6177" s="422"/>
      <c r="S6177" s="15"/>
      <c r="T6177" s="15"/>
      <c r="U6177" s="15"/>
      <c r="V6177" s="15"/>
      <c r="W6177" s="15"/>
      <c r="X6177" s="15"/>
      <c r="Y6177" s="15"/>
      <c r="Z6177" s="15"/>
      <c r="AA6177" s="15"/>
    </row>
    <row r="6178">
      <c r="A6178" s="15"/>
      <c r="B6178" s="15"/>
      <c r="C6178" s="14"/>
      <c r="D6178" s="14"/>
      <c r="E6178" s="14"/>
      <c r="F6178" s="433"/>
      <c r="G6178" s="434"/>
      <c r="H6178" s="14"/>
      <c r="I6178" s="423"/>
      <c r="J6178" s="14"/>
      <c r="K6178" s="13"/>
      <c r="L6178" s="13"/>
      <c r="M6178" s="14"/>
      <c r="N6178" s="15"/>
      <c r="O6178" s="15"/>
      <c r="P6178" s="15"/>
      <c r="Q6178" s="15"/>
      <c r="R6178" s="422"/>
      <c r="S6178" s="15"/>
      <c r="T6178" s="15"/>
      <c r="U6178" s="15"/>
      <c r="V6178" s="15"/>
      <c r="W6178" s="15"/>
      <c r="X6178" s="15"/>
      <c r="Y6178" s="15"/>
      <c r="Z6178" s="15"/>
      <c r="AA6178" s="15"/>
    </row>
    <row r="6179">
      <c r="A6179" s="15"/>
      <c r="B6179" s="15"/>
      <c r="C6179" s="14"/>
      <c r="D6179" s="14"/>
      <c r="E6179" s="14"/>
      <c r="F6179" s="433"/>
      <c r="G6179" s="434"/>
      <c r="H6179" s="14"/>
      <c r="I6179" s="423"/>
      <c r="J6179" s="14"/>
      <c r="K6179" s="13"/>
      <c r="L6179" s="13"/>
      <c r="M6179" s="14"/>
      <c r="N6179" s="15"/>
      <c r="O6179" s="15"/>
      <c r="P6179" s="15"/>
      <c r="Q6179" s="15"/>
      <c r="R6179" s="422"/>
      <c r="S6179" s="15"/>
      <c r="T6179" s="15"/>
      <c r="U6179" s="15"/>
      <c r="V6179" s="15"/>
      <c r="W6179" s="15"/>
      <c r="X6179" s="15"/>
      <c r="Y6179" s="15"/>
      <c r="Z6179" s="15"/>
      <c r="AA6179" s="15"/>
    </row>
    <row r="6180">
      <c r="A6180" s="15"/>
      <c r="B6180" s="15"/>
      <c r="C6180" s="14"/>
      <c r="D6180" s="14"/>
      <c r="E6180" s="14"/>
      <c r="F6180" s="433"/>
      <c r="G6180" s="434"/>
      <c r="H6180" s="14"/>
      <c r="I6180" s="423"/>
      <c r="J6180" s="14"/>
      <c r="K6180" s="13"/>
      <c r="L6180" s="13"/>
      <c r="M6180" s="14"/>
      <c r="N6180" s="15"/>
      <c r="O6180" s="15"/>
      <c r="P6180" s="15"/>
      <c r="Q6180" s="15"/>
      <c r="R6180" s="422"/>
      <c r="S6180" s="15"/>
      <c r="T6180" s="15"/>
      <c r="U6180" s="15"/>
      <c r="V6180" s="15"/>
      <c r="W6180" s="15"/>
      <c r="X6180" s="15"/>
      <c r="Y6180" s="15"/>
      <c r="Z6180" s="15"/>
      <c r="AA6180" s="15"/>
    </row>
    <row r="6181">
      <c r="A6181" s="15"/>
      <c r="B6181" s="15"/>
      <c r="C6181" s="14"/>
      <c r="D6181" s="14"/>
      <c r="E6181" s="14"/>
      <c r="F6181" s="433"/>
      <c r="G6181" s="434"/>
      <c r="H6181" s="14"/>
      <c r="I6181" s="423"/>
      <c r="J6181" s="14"/>
      <c r="K6181" s="13"/>
      <c r="L6181" s="13"/>
      <c r="M6181" s="14"/>
      <c r="N6181" s="15"/>
      <c r="O6181" s="15"/>
      <c r="P6181" s="15"/>
      <c r="Q6181" s="15"/>
      <c r="R6181" s="422"/>
      <c r="S6181" s="15"/>
      <c r="T6181" s="15"/>
      <c r="U6181" s="15"/>
      <c r="V6181" s="15"/>
      <c r="W6181" s="15"/>
      <c r="X6181" s="15"/>
      <c r="Y6181" s="15"/>
      <c r="Z6181" s="15"/>
      <c r="AA6181" s="15"/>
    </row>
    <row r="6182">
      <c r="A6182" s="15"/>
      <c r="B6182" s="15"/>
      <c r="C6182" s="14"/>
      <c r="D6182" s="14"/>
      <c r="E6182" s="14"/>
      <c r="F6182" s="433"/>
      <c r="G6182" s="434"/>
      <c r="H6182" s="14"/>
      <c r="I6182" s="423"/>
      <c r="J6182" s="14"/>
      <c r="K6182" s="13"/>
      <c r="L6182" s="13"/>
      <c r="M6182" s="14"/>
      <c r="N6182" s="15"/>
      <c r="O6182" s="15"/>
      <c r="P6182" s="15"/>
      <c r="Q6182" s="15"/>
      <c r="R6182" s="422"/>
      <c r="S6182" s="15"/>
      <c r="T6182" s="15"/>
      <c r="U6182" s="15"/>
      <c r="V6182" s="15"/>
      <c r="W6182" s="15"/>
      <c r="X6182" s="15"/>
      <c r="Y6182" s="15"/>
      <c r="Z6182" s="15"/>
      <c r="AA6182" s="15"/>
    </row>
    <row r="6183">
      <c r="A6183" s="15"/>
      <c r="B6183" s="15"/>
      <c r="C6183" s="14"/>
      <c r="D6183" s="14"/>
      <c r="E6183" s="14"/>
      <c r="F6183" s="433"/>
      <c r="G6183" s="434"/>
      <c r="H6183" s="14"/>
      <c r="I6183" s="423"/>
      <c r="J6183" s="14"/>
      <c r="K6183" s="13"/>
      <c r="L6183" s="13"/>
      <c r="M6183" s="14"/>
      <c r="N6183" s="15"/>
      <c r="O6183" s="15"/>
      <c r="P6183" s="15"/>
      <c r="Q6183" s="15"/>
      <c r="R6183" s="422"/>
      <c r="S6183" s="15"/>
      <c r="T6183" s="15"/>
      <c r="U6183" s="15"/>
      <c r="V6183" s="15"/>
      <c r="W6183" s="15"/>
      <c r="X6183" s="15"/>
      <c r="Y6183" s="15"/>
      <c r="Z6183" s="15"/>
      <c r="AA6183" s="15"/>
    </row>
    <row r="6184">
      <c r="A6184" s="15"/>
      <c r="B6184" s="15"/>
      <c r="C6184" s="14"/>
      <c r="D6184" s="14"/>
      <c r="E6184" s="14"/>
      <c r="F6184" s="433"/>
      <c r="G6184" s="434"/>
      <c r="H6184" s="14"/>
      <c r="I6184" s="423"/>
      <c r="J6184" s="14"/>
      <c r="K6184" s="13"/>
      <c r="L6184" s="13"/>
      <c r="M6184" s="14"/>
      <c r="N6184" s="15"/>
      <c r="O6184" s="15"/>
      <c r="P6184" s="15"/>
      <c r="Q6184" s="15"/>
      <c r="R6184" s="422"/>
      <c r="S6184" s="15"/>
      <c r="T6184" s="15"/>
      <c r="U6184" s="15"/>
      <c r="V6184" s="15"/>
      <c r="W6184" s="15"/>
      <c r="X6184" s="15"/>
      <c r="Y6184" s="15"/>
      <c r="Z6184" s="15"/>
      <c r="AA6184" s="15"/>
    </row>
    <row r="6185">
      <c r="A6185" s="15"/>
      <c r="B6185" s="15"/>
      <c r="C6185" s="14"/>
      <c r="D6185" s="14"/>
      <c r="E6185" s="14"/>
      <c r="F6185" s="433"/>
      <c r="G6185" s="434"/>
      <c r="H6185" s="14"/>
      <c r="I6185" s="423"/>
      <c r="J6185" s="14"/>
      <c r="K6185" s="13"/>
      <c r="L6185" s="13"/>
      <c r="M6185" s="14"/>
      <c r="N6185" s="15"/>
      <c r="O6185" s="15"/>
      <c r="P6185" s="15"/>
      <c r="Q6185" s="15"/>
      <c r="R6185" s="422"/>
      <c r="S6185" s="15"/>
      <c r="T6185" s="15"/>
      <c r="U6185" s="15"/>
      <c r="V6185" s="15"/>
      <c r="W6185" s="15"/>
      <c r="X6185" s="15"/>
      <c r="Y6185" s="15"/>
      <c r="Z6185" s="15"/>
      <c r="AA6185" s="15"/>
    </row>
    <row r="6186">
      <c r="A6186" s="15"/>
      <c r="B6186" s="15"/>
      <c r="C6186" s="14"/>
      <c r="D6186" s="14"/>
      <c r="E6186" s="14"/>
      <c r="F6186" s="433"/>
      <c r="G6186" s="434"/>
      <c r="H6186" s="14"/>
      <c r="I6186" s="423"/>
      <c r="J6186" s="14"/>
      <c r="K6186" s="13"/>
      <c r="L6186" s="13"/>
      <c r="M6186" s="14"/>
      <c r="N6186" s="15"/>
      <c r="O6186" s="15"/>
      <c r="P6186" s="15"/>
      <c r="Q6186" s="15"/>
      <c r="R6186" s="422"/>
      <c r="S6186" s="15"/>
      <c r="T6186" s="15"/>
      <c r="U6186" s="15"/>
      <c r="V6186" s="15"/>
      <c r="W6186" s="15"/>
      <c r="X6186" s="15"/>
      <c r="Y6186" s="15"/>
      <c r="Z6186" s="15"/>
      <c r="AA6186" s="15"/>
    </row>
    <row r="6187">
      <c r="A6187" s="15"/>
      <c r="B6187" s="15"/>
      <c r="C6187" s="14"/>
      <c r="D6187" s="14"/>
      <c r="E6187" s="14"/>
      <c r="F6187" s="433"/>
      <c r="G6187" s="434"/>
      <c r="H6187" s="14"/>
      <c r="I6187" s="423"/>
      <c r="J6187" s="14"/>
      <c r="K6187" s="13"/>
      <c r="L6187" s="13"/>
      <c r="M6187" s="14"/>
      <c r="N6187" s="15"/>
      <c r="O6187" s="15"/>
      <c r="P6187" s="15"/>
      <c r="Q6187" s="15"/>
      <c r="R6187" s="422"/>
      <c r="S6187" s="15"/>
      <c r="T6187" s="15"/>
      <c r="U6187" s="15"/>
      <c r="V6187" s="15"/>
      <c r="W6187" s="15"/>
      <c r="X6187" s="15"/>
      <c r="Y6187" s="15"/>
      <c r="Z6187" s="15"/>
      <c r="AA6187" s="15"/>
    </row>
    <row r="6188">
      <c r="A6188" s="15"/>
      <c r="B6188" s="15"/>
      <c r="C6188" s="14"/>
      <c r="D6188" s="14"/>
      <c r="E6188" s="14"/>
      <c r="F6188" s="433"/>
      <c r="G6188" s="434"/>
      <c r="H6188" s="14"/>
      <c r="I6188" s="423"/>
      <c r="J6188" s="14"/>
      <c r="K6188" s="13"/>
      <c r="L6188" s="13"/>
      <c r="M6188" s="14"/>
      <c r="N6188" s="15"/>
      <c r="O6188" s="15"/>
      <c r="P6188" s="15"/>
      <c r="Q6188" s="15"/>
      <c r="R6188" s="422"/>
      <c r="S6188" s="15"/>
      <c r="T6188" s="15"/>
      <c r="U6188" s="15"/>
      <c r="V6188" s="15"/>
      <c r="W6188" s="15"/>
      <c r="X6188" s="15"/>
      <c r="Y6188" s="15"/>
      <c r="Z6188" s="15"/>
      <c r="AA6188" s="15"/>
    </row>
    <row r="6189">
      <c r="A6189" s="15"/>
      <c r="B6189" s="15"/>
      <c r="C6189" s="14"/>
      <c r="D6189" s="14"/>
      <c r="E6189" s="14"/>
      <c r="F6189" s="433"/>
      <c r="G6189" s="434"/>
      <c r="H6189" s="14"/>
      <c r="I6189" s="423"/>
      <c r="J6189" s="14"/>
      <c r="K6189" s="13"/>
      <c r="L6189" s="13"/>
      <c r="M6189" s="14"/>
      <c r="N6189" s="15"/>
      <c r="O6189" s="15"/>
      <c r="P6189" s="15"/>
      <c r="Q6189" s="15"/>
      <c r="R6189" s="422"/>
      <c r="S6189" s="15"/>
      <c r="T6189" s="15"/>
      <c r="U6189" s="15"/>
      <c r="V6189" s="15"/>
      <c r="W6189" s="15"/>
      <c r="X6189" s="15"/>
      <c r="Y6189" s="15"/>
      <c r="Z6189" s="15"/>
      <c r="AA6189" s="15"/>
    </row>
    <row r="6190">
      <c r="A6190" s="15"/>
      <c r="B6190" s="15"/>
      <c r="C6190" s="14"/>
      <c r="D6190" s="14"/>
      <c r="E6190" s="14"/>
      <c r="F6190" s="433"/>
      <c r="G6190" s="434"/>
      <c r="H6190" s="14"/>
      <c r="I6190" s="423"/>
      <c r="J6190" s="14"/>
      <c r="K6190" s="13"/>
      <c r="L6190" s="13"/>
      <c r="M6190" s="14"/>
      <c r="N6190" s="15"/>
      <c r="O6190" s="15"/>
      <c r="P6190" s="15"/>
      <c r="Q6190" s="15"/>
      <c r="R6190" s="422"/>
      <c r="S6190" s="15"/>
      <c r="T6190" s="15"/>
      <c r="U6190" s="15"/>
      <c r="V6190" s="15"/>
      <c r="W6190" s="15"/>
      <c r="X6190" s="15"/>
      <c r="Y6190" s="15"/>
      <c r="Z6190" s="15"/>
      <c r="AA6190" s="15"/>
    </row>
    <row r="6191">
      <c r="A6191" s="15"/>
      <c r="B6191" s="15"/>
      <c r="C6191" s="14"/>
      <c r="D6191" s="14"/>
      <c r="E6191" s="14"/>
      <c r="F6191" s="433"/>
      <c r="G6191" s="434"/>
      <c r="H6191" s="14"/>
      <c r="I6191" s="423"/>
      <c r="J6191" s="14"/>
      <c r="K6191" s="13"/>
      <c r="L6191" s="13"/>
      <c r="M6191" s="14"/>
      <c r="N6191" s="15"/>
      <c r="O6191" s="15"/>
      <c r="P6191" s="15"/>
      <c r="Q6191" s="15"/>
      <c r="R6191" s="422"/>
      <c r="S6191" s="15"/>
      <c r="T6191" s="15"/>
      <c r="U6191" s="15"/>
      <c r="V6191" s="15"/>
      <c r="W6191" s="15"/>
      <c r="X6191" s="15"/>
      <c r="Y6191" s="15"/>
      <c r="Z6191" s="15"/>
      <c r="AA6191" s="15"/>
    </row>
    <row r="6192">
      <c r="A6192" s="15"/>
      <c r="B6192" s="15"/>
      <c r="C6192" s="14"/>
      <c r="D6192" s="14"/>
      <c r="E6192" s="14"/>
      <c r="F6192" s="433"/>
      <c r="G6192" s="434"/>
      <c r="H6192" s="14"/>
      <c r="I6192" s="423"/>
      <c r="J6192" s="14"/>
      <c r="K6192" s="13"/>
      <c r="L6192" s="13"/>
      <c r="M6192" s="14"/>
      <c r="N6192" s="15"/>
      <c r="O6192" s="15"/>
      <c r="P6192" s="15"/>
      <c r="Q6192" s="15"/>
      <c r="R6192" s="422"/>
      <c r="S6192" s="15"/>
      <c r="T6192" s="15"/>
      <c r="U6192" s="15"/>
      <c r="V6192" s="15"/>
      <c r="W6192" s="15"/>
      <c r="X6192" s="15"/>
      <c r="Y6192" s="15"/>
      <c r="Z6192" s="15"/>
      <c r="AA6192" s="15"/>
    </row>
    <row r="6193">
      <c r="A6193" s="15"/>
      <c r="B6193" s="15"/>
      <c r="C6193" s="14"/>
      <c r="D6193" s="14"/>
      <c r="E6193" s="14"/>
      <c r="F6193" s="433"/>
      <c r="G6193" s="434"/>
      <c r="H6193" s="14"/>
      <c r="I6193" s="423"/>
      <c r="J6193" s="14"/>
      <c r="K6193" s="13"/>
      <c r="L6193" s="13"/>
      <c r="M6193" s="14"/>
      <c r="N6193" s="15"/>
      <c r="O6193" s="15"/>
      <c r="P6193" s="15"/>
      <c r="Q6193" s="15"/>
      <c r="R6193" s="422"/>
      <c r="S6193" s="15"/>
      <c r="T6193" s="15"/>
      <c r="U6193" s="15"/>
      <c r="V6193" s="15"/>
      <c r="W6193" s="15"/>
      <c r="X6193" s="15"/>
      <c r="Y6193" s="15"/>
      <c r="Z6193" s="15"/>
      <c r="AA6193" s="15"/>
    </row>
    <row r="6194">
      <c r="A6194" s="15"/>
      <c r="B6194" s="15"/>
      <c r="C6194" s="14"/>
      <c r="D6194" s="14"/>
      <c r="E6194" s="14"/>
      <c r="F6194" s="433"/>
      <c r="G6194" s="434"/>
      <c r="H6194" s="14"/>
      <c r="I6194" s="423"/>
      <c r="J6194" s="14"/>
      <c r="K6194" s="13"/>
      <c r="L6194" s="13"/>
      <c r="M6194" s="14"/>
      <c r="N6194" s="15"/>
      <c r="O6194" s="15"/>
      <c r="P6194" s="15"/>
      <c r="Q6194" s="15"/>
      <c r="R6194" s="422"/>
      <c r="S6194" s="15"/>
      <c r="T6194" s="15"/>
      <c r="U6194" s="15"/>
      <c r="V6194" s="15"/>
      <c r="W6194" s="15"/>
      <c r="X6194" s="15"/>
      <c r="Y6194" s="15"/>
      <c r="Z6194" s="15"/>
      <c r="AA6194" s="15"/>
    </row>
    <row r="6195">
      <c r="A6195" s="15"/>
      <c r="B6195" s="15"/>
      <c r="C6195" s="14"/>
      <c r="D6195" s="14"/>
      <c r="E6195" s="14"/>
      <c r="F6195" s="433"/>
      <c r="G6195" s="434"/>
      <c r="H6195" s="14"/>
      <c r="I6195" s="423"/>
      <c r="J6195" s="14"/>
      <c r="K6195" s="13"/>
      <c r="L6195" s="13"/>
      <c r="M6195" s="14"/>
      <c r="N6195" s="15"/>
      <c r="O6195" s="15"/>
      <c r="P6195" s="15"/>
      <c r="Q6195" s="15"/>
      <c r="R6195" s="422"/>
      <c r="S6195" s="15"/>
      <c r="T6195" s="15"/>
      <c r="U6195" s="15"/>
      <c r="V6195" s="15"/>
      <c r="W6195" s="15"/>
      <c r="X6195" s="15"/>
      <c r="Y6195" s="15"/>
      <c r="Z6195" s="15"/>
      <c r="AA6195" s="15"/>
    </row>
    <row r="6196">
      <c r="A6196" s="15"/>
      <c r="B6196" s="15"/>
      <c r="C6196" s="14"/>
      <c r="D6196" s="14"/>
      <c r="E6196" s="14"/>
      <c r="F6196" s="433"/>
      <c r="G6196" s="434"/>
      <c r="H6196" s="14"/>
      <c r="I6196" s="423"/>
      <c r="J6196" s="14"/>
      <c r="K6196" s="13"/>
      <c r="L6196" s="13"/>
      <c r="M6196" s="14"/>
      <c r="N6196" s="15"/>
      <c r="O6196" s="15"/>
      <c r="P6196" s="15"/>
      <c r="Q6196" s="15"/>
      <c r="R6196" s="422"/>
      <c r="S6196" s="15"/>
      <c r="T6196" s="15"/>
      <c r="U6196" s="15"/>
      <c r="V6196" s="15"/>
      <c r="W6196" s="15"/>
      <c r="X6196" s="15"/>
      <c r="Y6196" s="15"/>
      <c r="Z6196" s="15"/>
      <c r="AA6196" s="15"/>
    </row>
    <row r="6197">
      <c r="A6197" s="15"/>
      <c r="B6197" s="15"/>
      <c r="C6197" s="14"/>
      <c r="D6197" s="14"/>
      <c r="E6197" s="14"/>
      <c r="F6197" s="433"/>
      <c r="G6197" s="434"/>
      <c r="H6197" s="14"/>
      <c r="I6197" s="423"/>
      <c r="J6197" s="14"/>
      <c r="K6197" s="13"/>
      <c r="L6197" s="13"/>
      <c r="M6197" s="14"/>
      <c r="N6197" s="15"/>
      <c r="O6197" s="15"/>
      <c r="P6197" s="15"/>
      <c r="Q6197" s="15"/>
      <c r="R6197" s="422"/>
      <c r="S6197" s="15"/>
      <c r="T6197" s="15"/>
      <c r="U6197" s="15"/>
      <c r="V6197" s="15"/>
      <c r="W6197" s="15"/>
      <c r="X6197" s="15"/>
      <c r="Y6197" s="15"/>
      <c r="Z6197" s="15"/>
      <c r="AA6197" s="15"/>
    </row>
    <row r="6198">
      <c r="A6198" s="15"/>
      <c r="B6198" s="15"/>
      <c r="C6198" s="14"/>
      <c r="D6198" s="14"/>
      <c r="E6198" s="14"/>
      <c r="F6198" s="433"/>
      <c r="G6198" s="434"/>
      <c r="H6198" s="14"/>
      <c r="I6198" s="423"/>
      <c r="J6198" s="14"/>
      <c r="K6198" s="13"/>
      <c r="L6198" s="13"/>
      <c r="M6198" s="14"/>
      <c r="N6198" s="15"/>
      <c r="O6198" s="15"/>
      <c r="P6198" s="15"/>
      <c r="Q6198" s="15"/>
      <c r="R6198" s="422"/>
      <c r="S6198" s="15"/>
      <c r="T6198" s="15"/>
      <c r="U6198" s="15"/>
      <c r="V6198" s="15"/>
      <c r="W6198" s="15"/>
      <c r="X6198" s="15"/>
      <c r="Y6198" s="15"/>
      <c r="Z6198" s="15"/>
      <c r="AA6198" s="15"/>
    </row>
    <row r="6199">
      <c r="A6199" s="15"/>
      <c r="B6199" s="15"/>
      <c r="C6199" s="14"/>
      <c r="D6199" s="14"/>
      <c r="E6199" s="14"/>
      <c r="F6199" s="433"/>
      <c r="G6199" s="434"/>
      <c r="H6199" s="14"/>
      <c r="I6199" s="423"/>
      <c r="J6199" s="14"/>
      <c r="K6199" s="13"/>
      <c r="L6199" s="13"/>
      <c r="M6199" s="14"/>
      <c r="N6199" s="15"/>
      <c r="O6199" s="15"/>
      <c r="P6199" s="15"/>
      <c r="Q6199" s="15"/>
      <c r="R6199" s="422"/>
      <c r="S6199" s="15"/>
      <c r="T6199" s="15"/>
      <c r="U6199" s="15"/>
      <c r="V6199" s="15"/>
      <c r="W6199" s="15"/>
      <c r="X6199" s="15"/>
      <c r="Y6199" s="15"/>
      <c r="Z6199" s="15"/>
      <c r="AA6199" s="15"/>
    </row>
    <row r="6200">
      <c r="A6200" s="15"/>
      <c r="B6200" s="15"/>
      <c r="C6200" s="14"/>
      <c r="D6200" s="14"/>
      <c r="E6200" s="14"/>
      <c r="F6200" s="433"/>
      <c r="G6200" s="434"/>
      <c r="H6200" s="14"/>
      <c r="I6200" s="423"/>
      <c r="J6200" s="14"/>
      <c r="K6200" s="13"/>
      <c r="L6200" s="13"/>
      <c r="M6200" s="14"/>
      <c r="N6200" s="15"/>
      <c r="O6200" s="15"/>
      <c r="P6200" s="15"/>
      <c r="Q6200" s="15"/>
      <c r="R6200" s="422"/>
      <c r="S6200" s="15"/>
      <c r="T6200" s="15"/>
      <c r="U6200" s="15"/>
      <c r="V6200" s="15"/>
      <c r="W6200" s="15"/>
      <c r="X6200" s="15"/>
      <c r="Y6200" s="15"/>
      <c r="Z6200" s="15"/>
      <c r="AA6200" s="15"/>
    </row>
    <row r="6201">
      <c r="A6201" s="15"/>
      <c r="B6201" s="15"/>
      <c r="C6201" s="14"/>
      <c r="D6201" s="14"/>
      <c r="E6201" s="14"/>
      <c r="F6201" s="433"/>
      <c r="G6201" s="434"/>
      <c r="H6201" s="14"/>
      <c r="I6201" s="423"/>
      <c r="J6201" s="14"/>
      <c r="K6201" s="13"/>
      <c r="L6201" s="13"/>
      <c r="M6201" s="14"/>
      <c r="N6201" s="15"/>
      <c r="O6201" s="15"/>
      <c r="P6201" s="15"/>
      <c r="Q6201" s="15"/>
      <c r="R6201" s="422"/>
      <c r="S6201" s="15"/>
      <c r="T6201" s="15"/>
      <c r="U6201" s="15"/>
      <c r="V6201" s="15"/>
      <c r="W6201" s="15"/>
      <c r="X6201" s="15"/>
      <c r="Y6201" s="15"/>
      <c r="Z6201" s="15"/>
      <c r="AA6201" s="15"/>
    </row>
    <row r="6202">
      <c r="A6202" s="15"/>
      <c r="B6202" s="15"/>
      <c r="C6202" s="14"/>
      <c r="D6202" s="14"/>
      <c r="E6202" s="14"/>
      <c r="F6202" s="433"/>
      <c r="G6202" s="434"/>
      <c r="H6202" s="14"/>
      <c r="I6202" s="423"/>
      <c r="J6202" s="14"/>
      <c r="K6202" s="13"/>
      <c r="L6202" s="13"/>
      <c r="M6202" s="14"/>
      <c r="N6202" s="15"/>
      <c r="O6202" s="15"/>
      <c r="P6202" s="15"/>
      <c r="Q6202" s="15"/>
      <c r="R6202" s="422"/>
      <c r="S6202" s="15"/>
      <c r="T6202" s="15"/>
      <c r="U6202" s="15"/>
      <c r="V6202" s="15"/>
      <c r="W6202" s="15"/>
      <c r="X6202" s="15"/>
      <c r="Y6202" s="15"/>
      <c r="Z6202" s="15"/>
      <c r="AA6202" s="15"/>
    </row>
    <row r="6203">
      <c r="A6203" s="15"/>
      <c r="B6203" s="15"/>
      <c r="C6203" s="14"/>
      <c r="D6203" s="14"/>
      <c r="E6203" s="14"/>
      <c r="F6203" s="433"/>
      <c r="G6203" s="434"/>
      <c r="H6203" s="14"/>
      <c r="I6203" s="423"/>
      <c r="J6203" s="14"/>
      <c r="K6203" s="13"/>
      <c r="L6203" s="13"/>
      <c r="M6203" s="14"/>
      <c r="N6203" s="15"/>
      <c r="O6203" s="15"/>
      <c r="P6203" s="15"/>
      <c r="Q6203" s="15"/>
      <c r="R6203" s="422"/>
      <c r="S6203" s="15"/>
      <c r="T6203" s="15"/>
      <c r="U6203" s="15"/>
      <c r="V6203" s="15"/>
      <c r="W6203" s="15"/>
      <c r="X6203" s="15"/>
      <c r="Y6203" s="15"/>
      <c r="Z6203" s="15"/>
      <c r="AA6203" s="15"/>
    </row>
    <row r="6204">
      <c r="A6204" s="15"/>
      <c r="B6204" s="15"/>
      <c r="C6204" s="14"/>
      <c r="D6204" s="14"/>
      <c r="E6204" s="14"/>
      <c r="F6204" s="433"/>
      <c r="G6204" s="434"/>
      <c r="H6204" s="14"/>
      <c r="I6204" s="423"/>
      <c r="J6204" s="14"/>
      <c r="K6204" s="13"/>
      <c r="L6204" s="13"/>
      <c r="M6204" s="14"/>
      <c r="N6204" s="15"/>
      <c r="O6204" s="15"/>
      <c r="P6204" s="15"/>
      <c r="Q6204" s="15"/>
      <c r="R6204" s="422"/>
      <c r="S6204" s="15"/>
      <c r="T6204" s="15"/>
      <c r="U6204" s="15"/>
      <c r="V6204" s="15"/>
      <c r="W6204" s="15"/>
      <c r="X6204" s="15"/>
      <c r="Y6204" s="15"/>
      <c r="Z6204" s="15"/>
      <c r="AA6204" s="15"/>
    </row>
    <row r="6205">
      <c r="A6205" s="15"/>
      <c r="B6205" s="15"/>
      <c r="C6205" s="14"/>
      <c r="D6205" s="14"/>
      <c r="E6205" s="14"/>
      <c r="F6205" s="433"/>
      <c r="G6205" s="434"/>
      <c r="H6205" s="14"/>
      <c r="I6205" s="423"/>
      <c r="J6205" s="14"/>
      <c r="K6205" s="13"/>
      <c r="L6205" s="13"/>
      <c r="M6205" s="14"/>
      <c r="N6205" s="15"/>
      <c r="O6205" s="15"/>
      <c r="P6205" s="15"/>
      <c r="Q6205" s="15"/>
      <c r="R6205" s="422"/>
      <c r="S6205" s="15"/>
      <c r="T6205" s="15"/>
      <c r="U6205" s="15"/>
      <c r="V6205" s="15"/>
      <c r="W6205" s="15"/>
      <c r="X6205" s="15"/>
      <c r="Y6205" s="15"/>
      <c r="Z6205" s="15"/>
      <c r="AA6205" s="15"/>
    </row>
    <row r="6206">
      <c r="A6206" s="15"/>
      <c r="B6206" s="15"/>
      <c r="C6206" s="14"/>
      <c r="D6206" s="14"/>
      <c r="E6206" s="14"/>
      <c r="F6206" s="433"/>
      <c r="G6206" s="434"/>
      <c r="H6206" s="14"/>
      <c r="I6206" s="423"/>
      <c r="J6206" s="14"/>
      <c r="K6206" s="13"/>
      <c r="L6206" s="13"/>
      <c r="M6206" s="14"/>
      <c r="N6206" s="15"/>
      <c r="O6206" s="15"/>
      <c r="P6206" s="15"/>
      <c r="Q6206" s="15"/>
      <c r="R6206" s="422"/>
      <c r="S6206" s="15"/>
      <c r="T6206" s="15"/>
      <c r="U6206" s="15"/>
      <c r="V6206" s="15"/>
      <c r="W6206" s="15"/>
      <c r="X6206" s="15"/>
      <c r="Y6206" s="15"/>
      <c r="Z6206" s="15"/>
      <c r="AA6206" s="15"/>
    </row>
    <row r="6207">
      <c r="A6207" s="15"/>
      <c r="B6207" s="15"/>
      <c r="C6207" s="14"/>
      <c r="D6207" s="14"/>
      <c r="E6207" s="14"/>
      <c r="F6207" s="433"/>
      <c r="G6207" s="434"/>
      <c r="H6207" s="14"/>
      <c r="I6207" s="423"/>
      <c r="J6207" s="14"/>
      <c r="K6207" s="13"/>
      <c r="L6207" s="13"/>
      <c r="M6207" s="14"/>
      <c r="N6207" s="15"/>
      <c r="O6207" s="15"/>
      <c r="P6207" s="15"/>
      <c r="Q6207" s="15"/>
      <c r="R6207" s="422"/>
      <c r="S6207" s="15"/>
      <c r="T6207" s="15"/>
      <c r="U6207" s="15"/>
      <c r="V6207" s="15"/>
      <c r="W6207" s="15"/>
      <c r="X6207" s="15"/>
      <c r="Y6207" s="15"/>
      <c r="Z6207" s="15"/>
      <c r="AA6207" s="15"/>
    </row>
    <row r="6208">
      <c r="A6208" s="15"/>
      <c r="B6208" s="15"/>
      <c r="C6208" s="14"/>
      <c r="D6208" s="14"/>
      <c r="E6208" s="14"/>
      <c r="F6208" s="433"/>
      <c r="G6208" s="434"/>
      <c r="H6208" s="14"/>
      <c r="I6208" s="423"/>
      <c r="J6208" s="14"/>
      <c r="K6208" s="13"/>
      <c r="L6208" s="13"/>
      <c r="M6208" s="14"/>
      <c r="N6208" s="15"/>
      <c r="O6208" s="15"/>
      <c r="P6208" s="15"/>
      <c r="Q6208" s="15"/>
      <c r="R6208" s="422"/>
      <c r="S6208" s="15"/>
      <c r="T6208" s="15"/>
      <c r="U6208" s="15"/>
      <c r="V6208" s="15"/>
      <c r="W6208" s="15"/>
      <c r="X6208" s="15"/>
      <c r="Y6208" s="15"/>
      <c r="Z6208" s="15"/>
      <c r="AA6208" s="15"/>
    </row>
    <row r="6209">
      <c r="A6209" s="15"/>
      <c r="B6209" s="15"/>
      <c r="C6209" s="14"/>
      <c r="D6209" s="14"/>
      <c r="E6209" s="14"/>
      <c r="F6209" s="433"/>
      <c r="G6209" s="434"/>
      <c r="H6209" s="14"/>
      <c r="I6209" s="423"/>
      <c r="J6209" s="14"/>
      <c r="K6209" s="13"/>
      <c r="L6209" s="13"/>
      <c r="M6209" s="14"/>
      <c r="N6209" s="15"/>
      <c r="O6209" s="15"/>
      <c r="P6209" s="15"/>
      <c r="Q6209" s="15"/>
      <c r="R6209" s="422"/>
      <c r="S6209" s="15"/>
      <c r="T6209" s="15"/>
      <c r="U6209" s="15"/>
      <c r="V6209" s="15"/>
      <c r="W6209" s="15"/>
      <c r="X6209" s="15"/>
      <c r="Y6209" s="15"/>
      <c r="Z6209" s="15"/>
      <c r="AA6209" s="15"/>
    </row>
    <row r="6210">
      <c r="A6210" s="15"/>
      <c r="B6210" s="15"/>
      <c r="C6210" s="14"/>
      <c r="D6210" s="14"/>
      <c r="E6210" s="14"/>
      <c r="F6210" s="433"/>
      <c r="G6210" s="434"/>
      <c r="H6210" s="14"/>
      <c r="I6210" s="423"/>
      <c r="J6210" s="14"/>
      <c r="K6210" s="13"/>
      <c r="L6210" s="13"/>
      <c r="M6210" s="14"/>
      <c r="N6210" s="15"/>
      <c r="O6210" s="15"/>
      <c r="P6210" s="15"/>
      <c r="Q6210" s="15"/>
      <c r="R6210" s="422"/>
      <c r="S6210" s="15"/>
      <c r="T6210" s="15"/>
      <c r="U6210" s="15"/>
      <c r="V6210" s="15"/>
      <c r="W6210" s="15"/>
      <c r="X6210" s="15"/>
      <c r="Y6210" s="15"/>
      <c r="Z6210" s="15"/>
      <c r="AA6210" s="15"/>
    </row>
    <row r="6211">
      <c r="A6211" s="15"/>
      <c r="B6211" s="15"/>
      <c r="C6211" s="14"/>
      <c r="D6211" s="14"/>
      <c r="E6211" s="14"/>
      <c r="F6211" s="433"/>
      <c r="G6211" s="434"/>
      <c r="H6211" s="14"/>
      <c r="I6211" s="423"/>
      <c r="J6211" s="14"/>
      <c r="K6211" s="13"/>
      <c r="L6211" s="13"/>
      <c r="M6211" s="14"/>
      <c r="N6211" s="15"/>
      <c r="O6211" s="15"/>
      <c r="P6211" s="15"/>
      <c r="Q6211" s="15"/>
      <c r="R6211" s="422"/>
      <c r="S6211" s="15"/>
      <c r="T6211" s="15"/>
      <c r="U6211" s="15"/>
      <c r="V6211" s="15"/>
      <c r="W6211" s="15"/>
      <c r="X6211" s="15"/>
      <c r="Y6211" s="15"/>
      <c r="Z6211" s="15"/>
      <c r="AA6211" s="15"/>
    </row>
    <row r="6212">
      <c r="A6212" s="15"/>
      <c r="B6212" s="15"/>
      <c r="C6212" s="14"/>
      <c r="D6212" s="14"/>
      <c r="E6212" s="14"/>
      <c r="F6212" s="433"/>
      <c r="G6212" s="434"/>
      <c r="H6212" s="14"/>
      <c r="I6212" s="423"/>
      <c r="J6212" s="14"/>
      <c r="K6212" s="13"/>
      <c r="L6212" s="13"/>
      <c r="M6212" s="14"/>
      <c r="N6212" s="15"/>
      <c r="O6212" s="15"/>
      <c r="P6212" s="15"/>
      <c r="Q6212" s="15"/>
      <c r="R6212" s="422"/>
      <c r="S6212" s="15"/>
      <c r="T6212" s="15"/>
      <c r="U6212" s="15"/>
      <c r="V6212" s="15"/>
      <c r="W6212" s="15"/>
      <c r="X6212" s="15"/>
      <c r="Y6212" s="15"/>
      <c r="Z6212" s="15"/>
      <c r="AA6212" s="15"/>
    </row>
    <row r="6213">
      <c r="A6213" s="15"/>
      <c r="B6213" s="15"/>
      <c r="C6213" s="14"/>
      <c r="D6213" s="14"/>
      <c r="E6213" s="14"/>
      <c r="F6213" s="433"/>
      <c r="G6213" s="434"/>
      <c r="H6213" s="14"/>
      <c r="I6213" s="423"/>
      <c r="J6213" s="14"/>
      <c r="K6213" s="13"/>
      <c r="L6213" s="13"/>
      <c r="M6213" s="14"/>
      <c r="N6213" s="15"/>
      <c r="O6213" s="15"/>
      <c r="P6213" s="15"/>
      <c r="Q6213" s="15"/>
      <c r="R6213" s="422"/>
      <c r="S6213" s="15"/>
      <c r="T6213" s="15"/>
      <c r="U6213" s="15"/>
      <c r="V6213" s="15"/>
      <c r="W6213" s="15"/>
      <c r="X6213" s="15"/>
      <c r="Y6213" s="15"/>
      <c r="Z6213" s="15"/>
      <c r="AA6213" s="15"/>
    </row>
    <row r="6214">
      <c r="A6214" s="15"/>
      <c r="B6214" s="15"/>
      <c r="C6214" s="14"/>
      <c r="D6214" s="14"/>
      <c r="E6214" s="14"/>
      <c r="F6214" s="433"/>
      <c r="G6214" s="434"/>
      <c r="H6214" s="14"/>
      <c r="I6214" s="423"/>
      <c r="J6214" s="14"/>
      <c r="K6214" s="13"/>
      <c r="L6214" s="13"/>
      <c r="M6214" s="14"/>
      <c r="N6214" s="15"/>
      <c r="O6214" s="15"/>
      <c r="P6214" s="15"/>
      <c r="Q6214" s="15"/>
      <c r="R6214" s="422"/>
      <c r="S6214" s="15"/>
      <c r="T6214" s="15"/>
      <c r="U6214" s="15"/>
      <c r="V6214" s="15"/>
      <c r="W6214" s="15"/>
      <c r="X6214" s="15"/>
      <c r="Y6214" s="15"/>
      <c r="Z6214" s="15"/>
      <c r="AA6214" s="15"/>
    </row>
    <row r="6215">
      <c r="A6215" s="15"/>
      <c r="B6215" s="15"/>
      <c r="C6215" s="14"/>
      <c r="D6215" s="14"/>
      <c r="E6215" s="14"/>
      <c r="F6215" s="433"/>
      <c r="G6215" s="434"/>
      <c r="H6215" s="14"/>
      <c r="I6215" s="423"/>
      <c r="J6215" s="14"/>
      <c r="K6215" s="13"/>
      <c r="L6215" s="13"/>
      <c r="M6215" s="14"/>
      <c r="N6215" s="15"/>
      <c r="O6215" s="15"/>
      <c r="P6215" s="15"/>
      <c r="Q6215" s="15"/>
      <c r="R6215" s="422"/>
      <c r="S6215" s="15"/>
      <c r="T6215" s="15"/>
      <c r="U6215" s="15"/>
      <c r="V6215" s="15"/>
      <c r="W6215" s="15"/>
      <c r="X6215" s="15"/>
      <c r="Y6215" s="15"/>
      <c r="Z6215" s="15"/>
      <c r="AA6215" s="15"/>
    </row>
    <row r="6216">
      <c r="A6216" s="15"/>
      <c r="B6216" s="15"/>
      <c r="C6216" s="14"/>
      <c r="D6216" s="14"/>
      <c r="E6216" s="14"/>
      <c r="F6216" s="433"/>
      <c r="G6216" s="434"/>
      <c r="H6216" s="14"/>
      <c r="I6216" s="423"/>
      <c r="J6216" s="14"/>
      <c r="K6216" s="13"/>
      <c r="L6216" s="13"/>
      <c r="M6216" s="14"/>
      <c r="N6216" s="15"/>
      <c r="O6216" s="15"/>
      <c r="P6216" s="15"/>
      <c r="Q6216" s="15"/>
      <c r="R6216" s="422"/>
      <c r="S6216" s="15"/>
      <c r="T6216" s="15"/>
      <c r="U6216" s="15"/>
      <c r="V6216" s="15"/>
      <c r="W6216" s="15"/>
      <c r="X6216" s="15"/>
      <c r="Y6216" s="15"/>
      <c r="Z6216" s="15"/>
      <c r="AA6216" s="15"/>
    </row>
    <row r="6217">
      <c r="A6217" s="15"/>
      <c r="B6217" s="15"/>
      <c r="C6217" s="14"/>
      <c r="D6217" s="14"/>
      <c r="E6217" s="14"/>
      <c r="F6217" s="433"/>
      <c r="G6217" s="434"/>
      <c r="H6217" s="14"/>
      <c r="I6217" s="423"/>
      <c r="J6217" s="14"/>
      <c r="K6217" s="13"/>
      <c r="L6217" s="13"/>
      <c r="M6217" s="14"/>
      <c r="N6217" s="15"/>
      <c r="O6217" s="15"/>
      <c r="P6217" s="15"/>
      <c r="Q6217" s="15"/>
      <c r="R6217" s="422"/>
      <c r="S6217" s="15"/>
      <c r="T6217" s="15"/>
      <c r="U6217" s="15"/>
      <c r="V6217" s="15"/>
      <c r="W6217" s="15"/>
      <c r="X6217" s="15"/>
      <c r="Y6217" s="15"/>
      <c r="Z6217" s="15"/>
      <c r="AA6217" s="15"/>
    </row>
    <row r="6218">
      <c r="A6218" s="15"/>
      <c r="B6218" s="15"/>
      <c r="C6218" s="14"/>
      <c r="D6218" s="14"/>
      <c r="E6218" s="14"/>
      <c r="F6218" s="433"/>
      <c r="G6218" s="434"/>
      <c r="H6218" s="14"/>
      <c r="I6218" s="423"/>
      <c r="J6218" s="14"/>
      <c r="K6218" s="13"/>
      <c r="L6218" s="13"/>
      <c r="M6218" s="14"/>
      <c r="N6218" s="15"/>
      <c r="O6218" s="15"/>
      <c r="P6218" s="15"/>
      <c r="Q6218" s="15"/>
      <c r="R6218" s="422"/>
      <c r="S6218" s="15"/>
      <c r="T6218" s="15"/>
      <c r="U6218" s="15"/>
      <c r="V6218" s="15"/>
      <c r="W6218" s="15"/>
      <c r="X6218" s="15"/>
      <c r="Y6218" s="15"/>
      <c r="Z6218" s="15"/>
      <c r="AA6218" s="15"/>
    </row>
    <row r="6219">
      <c r="A6219" s="15"/>
      <c r="B6219" s="15"/>
      <c r="C6219" s="14"/>
      <c r="D6219" s="14"/>
      <c r="E6219" s="14"/>
      <c r="F6219" s="433"/>
      <c r="G6219" s="434"/>
      <c r="H6219" s="14"/>
      <c r="I6219" s="423"/>
      <c r="J6219" s="14"/>
      <c r="K6219" s="13"/>
      <c r="L6219" s="13"/>
      <c r="M6219" s="14"/>
      <c r="N6219" s="15"/>
      <c r="O6219" s="15"/>
      <c r="P6219" s="15"/>
      <c r="Q6219" s="15"/>
      <c r="R6219" s="422"/>
      <c r="S6219" s="15"/>
      <c r="T6219" s="15"/>
      <c r="U6219" s="15"/>
      <c r="V6219" s="15"/>
      <c r="W6219" s="15"/>
      <c r="X6219" s="15"/>
      <c r="Y6219" s="15"/>
      <c r="Z6219" s="15"/>
      <c r="AA6219" s="15"/>
    </row>
    <row r="6220">
      <c r="A6220" s="15"/>
      <c r="B6220" s="15"/>
      <c r="C6220" s="14"/>
      <c r="D6220" s="14"/>
      <c r="E6220" s="14"/>
      <c r="F6220" s="433"/>
      <c r="G6220" s="434"/>
      <c r="H6220" s="14"/>
      <c r="I6220" s="423"/>
      <c r="J6220" s="14"/>
      <c r="K6220" s="13"/>
      <c r="L6220" s="13"/>
      <c r="M6220" s="14"/>
      <c r="N6220" s="15"/>
      <c r="O6220" s="15"/>
      <c r="P6220" s="15"/>
      <c r="Q6220" s="15"/>
      <c r="R6220" s="422"/>
      <c r="S6220" s="15"/>
      <c r="T6220" s="15"/>
      <c r="U6220" s="15"/>
      <c r="V6220" s="15"/>
      <c r="W6220" s="15"/>
      <c r="X6220" s="15"/>
      <c r="Y6220" s="15"/>
      <c r="Z6220" s="15"/>
      <c r="AA6220" s="15"/>
    </row>
    <row r="6221">
      <c r="A6221" s="15"/>
      <c r="B6221" s="15"/>
      <c r="C6221" s="14"/>
      <c r="D6221" s="14"/>
      <c r="E6221" s="14"/>
      <c r="F6221" s="433"/>
      <c r="G6221" s="434"/>
      <c r="H6221" s="14"/>
      <c r="I6221" s="423"/>
      <c r="J6221" s="14"/>
      <c r="K6221" s="13"/>
      <c r="L6221" s="13"/>
      <c r="M6221" s="14"/>
      <c r="N6221" s="15"/>
      <c r="O6221" s="15"/>
      <c r="P6221" s="15"/>
      <c r="Q6221" s="15"/>
      <c r="R6221" s="422"/>
      <c r="S6221" s="15"/>
      <c r="T6221" s="15"/>
      <c r="U6221" s="15"/>
      <c r="V6221" s="15"/>
      <c r="W6221" s="15"/>
      <c r="X6221" s="15"/>
      <c r="Y6221" s="15"/>
      <c r="Z6221" s="15"/>
      <c r="AA6221" s="15"/>
    </row>
    <row r="6222">
      <c r="A6222" s="15"/>
      <c r="B6222" s="15"/>
      <c r="C6222" s="14"/>
      <c r="D6222" s="14"/>
      <c r="E6222" s="14"/>
      <c r="F6222" s="433"/>
      <c r="G6222" s="434"/>
      <c r="H6222" s="14"/>
      <c r="I6222" s="423"/>
      <c r="J6222" s="14"/>
      <c r="K6222" s="13"/>
      <c r="L6222" s="13"/>
      <c r="M6222" s="14"/>
      <c r="N6222" s="15"/>
      <c r="O6222" s="15"/>
      <c r="P6222" s="15"/>
      <c r="Q6222" s="15"/>
      <c r="R6222" s="422"/>
      <c r="S6222" s="15"/>
      <c r="T6222" s="15"/>
      <c r="U6222" s="15"/>
      <c r="V6222" s="15"/>
      <c r="W6222" s="15"/>
      <c r="X6222" s="15"/>
      <c r="Y6222" s="15"/>
      <c r="Z6222" s="15"/>
      <c r="AA6222" s="15"/>
    </row>
    <row r="6223">
      <c r="A6223" s="15"/>
      <c r="B6223" s="15"/>
      <c r="C6223" s="14"/>
      <c r="D6223" s="14"/>
      <c r="E6223" s="14"/>
      <c r="F6223" s="433"/>
      <c r="G6223" s="434"/>
      <c r="H6223" s="14"/>
      <c r="I6223" s="423"/>
      <c r="J6223" s="14"/>
      <c r="K6223" s="13"/>
      <c r="L6223" s="13"/>
      <c r="M6223" s="14"/>
      <c r="N6223" s="15"/>
      <c r="O6223" s="15"/>
      <c r="P6223" s="15"/>
      <c r="Q6223" s="15"/>
      <c r="R6223" s="422"/>
      <c r="S6223" s="15"/>
      <c r="T6223" s="15"/>
      <c r="U6223" s="15"/>
      <c r="V6223" s="15"/>
      <c r="W6223" s="15"/>
      <c r="X6223" s="15"/>
      <c r="Y6223" s="15"/>
      <c r="Z6223" s="15"/>
      <c r="AA6223" s="15"/>
    </row>
    <row r="6224">
      <c r="A6224" s="15"/>
      <c r="B6224" s="15"/>
      <c r="C6224" s="14"/>
      <c r="D6224" s="14"/>
      <c r="E6224" s="14"/>
      <c r="F6224" s="433"/>
      <c r="G6224" s="434"/>
      <c r="H6224" s="14"/>
      <c r="I6224" s="423"/>
      <c r="J6224" s="14"/>
      <c r="K6224" s="13"/>
      <c r="L6224" s="13"/>
      <c r="M6224" s="14"/>
      <c r="N6224" s="15"/>
      <c r="O6224" s="15"/>
      <c r="P6224" s="15"/>
      <c r="Q6224" s="15"/>
      <c r="R6224" s="422"/>
      <c r="S6224" s="15"/>
      <c r="T6224" s="15"/>
      <c r="U6224" s="15"/>
      <c r="V6224" s="15"/>
      <c r="W6224" s="15"/>
      <c r="X6224" s="15"/>
      <c r="Y6224" s="15"/>
      <c r="Z6224" s="15"/>
      <c r="AA6224" s="15"/>
    </row>
    <row r="6225">
      <c r="A6225" s="15"/>
      <c r="B6225" s="15"/>
      <c r="C6225" s="14"/>
      <c r="D6225" s="14"/>
      <c r="E6225" s="14"/>
      <c r="F6225" s="433"/>
      <c r="G6225" s="434"/>
      <c r="H6225" s="14"/>
      <c r="I6225" s="423"/>
      <c r="J6225" s="14"/>
      <c r="K6225" s="13"/>
      <c r="L6225" s="13"/>
      <c r="M6225" s="14"/>
      <c r="N6225" s="15"/>
      <c r="O6225" s="15"/>
      <c r="P6225" s="15"/>
      <c r="Q6225" s="15"/>
      <c r="R6225" s="422"/>
      <c r="S6225" s="15"/>
      <c r="T6225" s="15"/>
      <c r="U6225" s="15"/>
      <c r="V6225" s="15"/>
      <c r="W6225" s="15"/>
      <c r="X6225" s="15"/>
      <c r="Y6225" s="15"/>
      <c r="Z6225" s="15"/>
      <c r="AA6225" s="15"/>
    </row>
    <row r="6226">
      <c r="A6226" s="15"/>
      <c r="B6226" s="15"/>
      <c r="C6226" s="14"/>
      <c r="D6226" s="14"/>
      <c r="E6226" s="14"/>
      <c r="F6226" s="433"/>
      <c r="G6226" s="434"/>
      <c r="H6226" s="14"/>
      <c r="I6226" s="423"/>
      <c r="J6226" s="14"/>
      <c r="K6226" s="13"/>
      <c r="L6226" s="13"/>
      <c r="M6226" s="14"/>
      <c r="N6226" s="15"/>
      <c r="O6226" s="15"/>
      <c r="P6226" s="15"/>
      <c r="Q6226" s="15"/>
      <c r="R6226" s="422"/>
      <c r="S6226" s="15"/>
      <c r="T6226" s="15"/>
      <c r="U6226" s="15"/>
      <c r="V6226" s="15"/>
      <c r="W6226" s="15"/>
      <c r="X6226" s="15"/>
      <c r="Y6226" s="15"/>
      <c r="Z6226" s="15"/>
      <c r="AA6226" s="15"/>
    </row>
    <row r="6227">
      <c r="A6227" s="15"/>
      <c r="B6227" s="15"/>
      <c r="C6227" s="14"/>
      <c r="D6227" s="14"/>
      <c r="E6227" s="14"/>
      <c r="F6227" s="433"/>
      <c r="G6227" s="434"/>
      <c r="H6227" s="14"/>
      <c r="I6227" s="423"/>
      <c r="J6227" s="14"/>
      <c r="K6227" s="13"/>
      <c r="L6227" s="13"/>
      <c r="M6227" s="14"/>
      <c r="N6227" s="15"/>
      <c r="O6227" s="15"/>
      <c r="P6227" s="15"/>
      <c r="Q6227" s="15"/>
      <c r="R6227" s="422"/>
      <c r="S6227" s="15"/>
      <c r="T6227" s="15"/>
      <c r="U6227" s="15"/>
      <c r="V6227" s="15"/>
      <c r="W6227" s="15"/>
      <c r="X6227" s="15"/>
      <c r="Y6227" s="15"/>
      <c r="Z6227" s="15"/>
      <c r="AA6227" s="15"/>
    </row>
    <row r="6228">
      <c r="A6228" s="15"/>
      <c r="B6228" s="15"/>
      <c r="C6228" s="14"/>
      <c r="D6228" s="14"/>
      <c r="E6228" s="14"/>
      <c r="F6228" s="433"/>
      <c r="G6228" s="434"/>
      <c r="H6228" s="14"/>
      <c r="I6228" s="423"/>
      <c r="J6228" s="14"/>
      <c r="K6228" s="13"/>
      <c r="L6228" s="13"/>
      <c r="M6228" s="14"/>
      <c r="N6228" s="15"/>
      <c r="O6228" s="15"/>
      <c r="P6228" s="15"/>
      <c r="Q6228" s="15"/>
      <c r="R6228" s="422"/>
      <c r="S6228" s="15"/>
      <c r="T6228" s="15"/>
      <c r="U6228" s="15"/>
      <c r="V6228" s="15"/>
      <c r="W6228" s="15"/>
      <c r="X6228" s="15"/>
      <c r="Y6228" s="15"/>
      <c r="Z6228" s="15"/>
      <c r="AA6228" s="15"/>
    </row>
    <row r="6229">
      <c r="A6229" s="15"/>
      <c r="B6229" s="15"/>
      <c r="C6229" s="14"/>
      <c r="D6229" s="14"/>
      <c r="E6229" s="14"/>
      <c r="F6229" s="433"/>
      <c r="G6229" s="434"/>
      <c r="H6229" s="14"/>
      <c r="I6229" s="423"/>
      <c r="J6229" s="14"/>
      <c r="K6229" s="13"/>
      <c r="L6229" s="13"/>
      <c r="M6229" s="14"/>
      <c r="N6229" s="15"/>
      <c r="O6229" s="15"/>
      <c r="P6229" s="15"/>
      <c r="Q6229" s="15"/>
      <c r="R6229" s="422"/>
      <c r="S6229" s="15"/>
      <c r="T6229" s="15"/>
      <c r="U6229" s="15"/>
      <c r="V6229" s="15"/>
      <c r="W6229" s="15"/>
      <c r="X6229" s="15"/>
      <c r="Y6229" s="15"/>
      <c r="Z6229" s="15"/>
      <c r="AA6229" s="15"/>
    </row>
    <row r="6230">
      <c r="A6230" s="15"/>
      <c r="B6230" s="15"/>
      <c r="C6230" s="14"/>
      <c r="D6230" s="14"/>
      <c r="E6230" s="14"/>
      <c r="F6230" s="433"/>
      <c r="G6230" s="434"/>
      <c r="H6230" s="14"/>
      <c r="I6230" s="423"/>
      <c r="J6230" s="14"/>
      <c r="K6230" s="13"/>
      <c r="L6230" s="13"/>
      <c r="M6230" s="14"/>
      <c r="N6230" s="15"/>
      <c r="O6230" s="15"/>
      <c r="P6230" s="15"/>
      <c r="Q6230" s="15"/>
      <c r="R6230" s="422"/>
      <c r="S6230" s="15"/>
      <c r="T6230" s="15"/>
      <c r="U6230" s="15"/>
      <c r="V6230" s="15"/>
      <c r="W6230" s="15"/>
      <c r="X6230" s="15"/>
      <c r="Y6230" s="15"/>
      <c r="Z6230" s="15"/>
      <c r="AA6230" s="15"/>
    </row>
    <row r="6231">
      <c r="A6231" s="15"/>
      <c r="B6231" s="15"/>
      <c r="C6231" s="14"/>
      <c r="D6231" s="14"/>
      <c r="E6231" s="14"/>
      <c r="F6231" s="433"/>
      <c r="G6231" s="434"/>
      <c r="H6231" s="14"/>
      <c r="I6231" s="423"/>
      <c r="J6231" s="14"/>
      <c r="K6231" s="13"/>
      <c r="L6231" s="13"/>
      <c r="M6231" s="14"/>
      <c r="N6231" s="15"/>
      <c r="O6231" s="15"/>
      <c r="P6231" s="15"/>
      <c r="Q6231" s="15"/>
      <c r="R6231" s="422"/>
      <c r="S6231" s="15"/>
      <c r="T6231" s="15"/>
      <c r="U6231" s="15"/>
      <c r="V6231" s="15"/>
      <c r="W6231" s="15"/>
      <c r="X6231" s="15"/>
      <c r="Y6231" s="15"/>
      <c r="Z6231" s="15"/>
      <c r="AA6231" s="15"/>
    </row>
    <row r="6232">
      <c r="A6232" s="15"/>
      <c r="B6232" s="15"/>
      <c r="C6232" s="14"/>
      <c r="D6232" s="14"/>
      <c r="E6232" s="14"/>
      <c r="F6232" s="433"/>
      <c r="G6232" s="434"/>
      <c r="H6232" s="14"/>
      <c r="I6232" s="423"/>
      <c r="J6232" s="14"/>
      <c r="K6232" s="13"/>
      <c r="L6232" s="13"/>
      <c r="M6232" s="14"/>
      <c r="N6232" s="15"/>
      <c r="O6232" s="15"/>
      <c r="P6232" s="15"/>
      <c r="Q6232" s="15"/>
      <c r="R6232" s="422"/>
      <c r="S6232" s="15"/>
      <c r="T6232" s="15"/>
      <c r="U6232" s="15"/>
      <c r="V6232" s="15"/>
      <c r="W6232" s="15"/>
      <c r="X6232" s="15"/>
      <c r="Y6232" s="15"/>
      <c r="Z6232" s="15"/>
      <c r="AA6232" s="15"/>
    </row>
    <row r="6233">
      <c r="A6233" s="15"/>
      <c r="B6233" s="15"/>
      <c r="C6233" s="14"/>
      <c r="D6233" s="14"/>
      <c r="E6233" s="14"/>
      <c r="F6233" s="433"/>
      <c r="G6233" s="434"/>
      <c r="H6233" s="14"/>
      <c r="I6233" s="423"/>
      <c r="J6233" s="14"/>
      <c r="K6233" s="13"/>
      <c r="L6233" s="13"/>
      <c r="M6233" s="14"/>
      <c r="N6233" s="15"/>
      <c r="O6233" s="15"/>
      <c r="P6233" s="15"/>
      <c r="Q6233" s="15"/>
      <c r="R6233" s="422"/>
      <c r="S6233" s="15"/>
      <c r="T6233" s="15"/>
      <c r="U6233" s="15"/>
      <c r="V6233" s="15"/>
      <c r="W6233" s="15"/>
      <c r="X6233" s="15"/>
      <c r="Y6233" s="15"/>
      <c r="Z6233" s="15"/>
      <c r="AA6233" s="15"/>
    </row>
    <row r="6234">
      <c r="A6234" s="15"/>
      <c r="B6234" s="15"/>
      <c r="C6234" s="14"/>
      <c r="D6234" s="14"/>
      <c r="E6234" s="14"/>
      <c r="F6234" s="433"/>
      <c r="G6234" s="434"/>
      <c r="H6234" s="14"/>
      <c r="I6234" s="423"/>
      <c r="J6234" s="14"/>
      <c r="K6234" s="13"/>
      <c r="L6234" s="13"/>
      <c r="M6234" s="14"/>
      <c r="N6234" s="15"/>
      <c r="O6234" s="15"/>
      <c r="P6234" s="15"/>
      <c r="Q6234" s="15"/>
      <c r="R6234" s="422"/>
      <c r="S6234" s="15"/>
      <c r="T6234" s="15"/>
      <c r="U6234" s="15"/>
      <c r="V6234" s="15"/>
      <c r="W6234" s="15"/>
      <c r="X6234" s="15"/>
      <c r="Y6234" s="15"/>
      <c r="Z6234" s="15"/>
      <c r="AA6234" s="15"/>
    </row>
    <row r="6235">
      <c r="A6235" s="15"/>
      <c r="B6235" s="15"/>
      <c r="C6235" s="14"/>
      <c r="D6235" s="14"/>
      <c r="E6235" s="14"/>
      <c r="F6235" s="433"/>
      <c r="G6235" s="434"/>
      <c r="H6235" s="14"/>
      <c r="I6235" s="423"/>
      <c r="J6235" s="14"/>
      <c r="K6235" s="13"/>
      <c r="L6235" s="13"/>
      <c r="M6235" s="14"/>
      <c r="N6235" s="15"/>
      <c r="O6235" s="15"/>
      <c r="P6235" s="15"/>
      <c r="Q6235" s="15"/>
      <c r="R6235" s="422"/>
      <c r="S6235" s="15"/>
      <c r="T6235" s="15"/>
      <c r="U6235" s="15"/>
      <c r="V6235" s="15"/>
      <c r="W6235" s="15"/>
      <c r="X6235" s="15"/>
      <c r="Y6235" s="15"/>
      <c r="Z6235" s="15"/>
      <c r="AA6235" s="15"/>
    </row>
    <row r="6236">
      <c r="A6236" s="15"/>
      <c r="B6236" s="15"/>
      <c r="C6236" s="14"/>
      <c r="D6236" s="14"/>
      <c r="E6236" s="14"/>
      <c r="F6236" s="433"/>
      <c r="G6236" s="434"/>
      <c r="H6236" s="14"/>
      <c r="I6236" s="423"/>
      <c r="J6236" s="14"/>
      <c r="K6236" s="13"/>
      <c r="L6236" s="13"/>
      <c r="M6236" s="14"/>
      <c r="N6236" s="15"/>
      <c r="O6236" s="15"/>
      <c r="P6236" s="15"/>
      <c r="Q6236" s="15"/>
      <c r="R6236" s="422"/>
      <c r="S6236" s="15"/>
      <c r="T6236" s="15"/>
      <c r="U6236" s="15"/>
      <c r="V6236" s="15"/>
      <c r="W6236" s="15"/>
      <c r="X6236" s="15"/>
      <c r="Y6236" s="15"/>
      <c r="Z6236" s="15"/>
      <c r="AA6236" s="15"/>
    </row>
    <row r="6237">
      <c r="A6237" s="15"/>
      <c r="B6237" s="15"/>
      <c r="C6237" s="14"/>
      <c r="D6237" s="14"/>
      <c r="E6237" s="14"/>
      <c r="F6237" s="433"/>
      <c r="G6237" s="434"/>
      <c r="H6237" s="14"/>
      <c r="I6237" s="423"/>
      <c r="J6237" s="14"/>
      <c r="K6237" s="13"/>
      <c r="L6237" s="13"/>
      <c r="M6237" s="14"/>
      <c r="N6237" s="15"/>
      <c r="O6237" s="15"/>
      <c r="P6237" s="15"/>
      <c r="Q6237" s="15"/>
      <c r="R6237" s="422"/>
      <c r="S6237" s="15"/>
      <c r="T6237" s="15"/>
      <c r="U6237" s="15"/>
      <c r="V6237" s="15"/>
      <c r="W6237" s="15"/>
      <c r="X6237" s="15"/>
      <c r="Y6237" s="15"/>
      <c r="Z6237" s="15"/>
      <c r="AA6237" s="15"/>
    </row>
    <row r="6238">
      <c r="A6238" s="15"/>
      <c r="B6238" s="15"/>
      <c r="C6238" s="14"/>
      <c r="D6238" s="14"/>
      <c r="E6238" s="14"/>
      <c r="F6238" s="433"/>
      <c r="G6238" s="434"/>
      <c r="H6238" s="14"/>
      <c r="I6238" s="423"/>
      <c r="J6238" s="14"/>
      <c r="K6238" s="13"/>
      <c r="L6238" s="13"/>
      <c r="M6238" s="14"/>
      <c r="N6238" s="15"/>
      <c r="O6238" s="15"/>
      <c r="P6238" s="15"/>
      <c r="Q6238" s="15"/>
      <c r="R6238" s="422"/>
      <c r="S6238" s="15"/>
      <c r="T6238" s="15"/>
      <c r="U6238" s="15"/>
      <c r="V6238" s="15"/>
      <c r="W6238" s="15"/>
      <c r="X6238" s="15"/>
      <c r="Y6238" s="15"/>
      <c r="Z6238" s="15"/>
      <c r="AA6238" s="15"/>
    </row>
    <row r="6239">
      <c r="A6239" s="15"/>
      <c r="B6239" s="15"/>
      <c r="C6239" s="14"/>
      <c r="D6239" s="14"/>
      <c r="E6239" s="14"/>
      <c r="F6239" s="433"/>
      <c r="G6239" s="434"/>
      <c r="H6239" s="14"/>
      <c r="I6239" s="423"/>
      <c r="J6239" s="14"/>
      <c r="K6239" s="13"/>
      <c r="L6239" s="13"/>
      <c r="M6239" s="14"/>
      <c r="N6239" s="15"/>
      <c r="O6239" s="15"/>
      <c r="P6239" s="15"/>
      <c r="Q6239" s="15"/>
      <c r="R6239" s="422"/>
      <c r="S6239" s="15"/>
      <c r="T6239" s="15"/>
      <c r="U6239" s="15"/>
      <c r="V6239" s="15"/>
      <c r="W6239" s="15"/>
      <c r="X6239" s="15"/>
      <c r="Y6239" s="15"/>
      <c r="Z6239" s="15"/>
      <c r="AA6239" s="15"/>
    </row>
    <row r="6240">
      <c r="A6240" s="15"/>
      <c r="B6240" s="15"/>
      <c r="C6240" s="14"/>
      <c r="D6240" s="14"/>
      <c r="E6240" s="14"/>
      <c r="F6240" s="433"/>
      <c r="G6240" s="434"/>
      <c r="H6240" s="14"/>
      <c r="I6240" s="423"/>
      <c r="J6240" s="14"/>
      <c r="K6240" s="13"/>
      <c r="L6240" s="13"/>
      <c r="M6240" s="14"/>
      <c r="N6240" s="15"/>
      <c r="O6240" s="15"/>
      <c r="P6240" s="15"/>
      <c r="Q6240" s="15"/>
      <c r="R6240" s="422"/>
      <c r="S6240" s="15"/>
      <c r="T6240" s="15"/>
      <c r="U6240" s="15"/>
      <c r="V6240" s="15"/>
      <c r="W6240" s="15"/>
      <c r="X6240" s="15"/>
      <c r="Y6240" s="15"/>
      <c r="Z6240" s="15"/>
      <c r="AA6240" s="15"/>
    </row>
    <row r="6241">
      <c r="A6241" s="15"/>
      <c r="B6241" s="15"/>
      <c r="C6241" s="14"/>
      <c r="D6241" s="14"/>
      <c r="E6241" s="14"/>
      <c r="F6241" s="433"/>
      <c r="G6241" s="434"/>
      <c r="H6241" s="14"/>
      <c r="I6241" s="423"/>
      <c r="J6241" s="14"/>
      <c r="K6241" s="13"/>
      <c r="L6241" s="13"/>
      <c r="M6241" s="14"/>
      <c r="N6241" s="15"/>
      <c r="O6241" s="15"/>
      <c r="P6241" s="15"/>
      <c r="Q6241" s="15"/>
      <c r="R6241" s="422"/>
      <c r="S6241" s="15"/>
      <c r="T6241" s="15"/>
      <c r="U6241" s="15"/>
      <c r="V6241" s="15"/>
      <c r="W6241" s="15"/>
      <c r="X6241" s="15"/>
      <c r="Y6241" s="15"/>
      <c r="Z6241" s="15"/>
      <c r="AA6241" s="15"/>
    </row>
    <row r="6242">
      <c r="A6242" s="15"/>
      <c r="B6242" s="15"/>
      <c r="C6242" s="14"/>
      <c r="D6242" s="14"/>
      <c r="E6242" s="14"/>
      <c r="F6242" s="433"/>
      <c r="G6242" s="434"/>
      <c r="H6242" s="14"/>
      <c r="I6242" s="423"/>
      <c r="J6242" s="14"/>
      <c r="K6242" s="13"/>
      <c r="L6242" s="13"/>
      <c r="M6242" s="14"/>
      <c r="N6242" s="15"/>
      <c r="O6242" s="15"/>
      <c r="P6242" s="15"/>
      <c r="Q6242" s="15"/>
      <c r="R6242" s="422"/>
      <c r="S6242" s="15"/>
      <c r="T6242" s="15"/>
      <c r="U6242" s="15"/>
      <c r="V6242" s="15"/>
      <c r="W6242" s="15"/>
      <c r="X6242" s="15"/>
      <c r="Y6242" s="15"/>
      <c r="Z6242" s="15"/>
      <c r="AA6242" s="15"/>
    </row>
    <row r="6243">
      <c r="A6243" s="15"/>
      <c r="B6243" s="15"/>
      <c r="C6243" s="14"/>
      <c r="D6243" s="14"/>
      <c r="E6243" s="14"/>
      <c r="F6243" s="433"/>
      <c r="G6243" s="434"/>
      <c r="H6243" s="14"/>
      <c r="I6243" s="423"/>
      <c r="J6243" s="14"/>
      <c r="K6243" s="13"/>
      <c r="L6243" s="13"/>
      <c r="M6243" s="14"/>
      <c r="N6243" s="15"/>
      <c r="O6243" s="15"/>
      <c r="P6243" s="15"/>
      <c r="Q6243" s="15"/>
      <c r="R6243" s="422"/>
      <c r="S6243" s="15"/>
      <c r="T6243" s="15"/>
      <c r="U6243" s="15"/>
      <c r="V6243" s="15"/>
      <c r="W6243" s="15"/>
      <c r="X6243" s="15"/>
      <c r="Y6243" s="15"/>
      <c r="Z6243" s="15"/>
      <c r="AA6243" s="15"/>
    </row>
    <row r="6244">
      <c r="A6244" s="15"/>
      <c r="B6244" s="15"/>
      <c r="C6244" s="14"/>
      <c r="D6244" s="14"/>
      <c r="E6244" s="14"/>
      <c r="F6244" s="433"/>
      <c r="G6244" s="434"/>
      <c r="H6244" s="14"/>
      <c r="I6244" s="423"/>
      <c r="J6244" s="14"/>
      <c r="K6244" s="13"/>
      <c r="L6244" s="13"/>
      <c r="M6244" s="14"/>
      <c r="N6244" s="15"/>
      <c r="O6244" s="15"/>
      <c r="P6244" s="15"/>
      <c r="Q6244" s="15"/>
      <c r="R6244" s="422"/>
      <c r="S6244" s="15"/>
      <c r="T6244" s="15"/>
      <c r="U6244" s="15"/>
      <c r="V6244" s="15"/>
      <c r="W6244" s="15"/>
      <c r="X6244" s="15"/>
      <c r="Y6244" s="15"/>
      <c r="Z6244" s="15"/>
      <c r="AA6244" s="15"/>
    </row>
    <row r="6245">
      <c r="A6245" s="15"/>
      <c r="B6245" s="15"/>
      <c r="C6245" s="14"/>
      <c r="D6245" s="14"/>
      <c r="E6245" s="14"/>
      <c r="F6245" s="433"/>
      <c r="G6245" s="434"/>
      <c r="H6245" s="14"/>
      <c r="I6245" s="423"/>
      <c r="J6245" s="14"/>
      <c r="K6245" s="13"/>
      <c r="L6245" s="13"/>
      <c r="M6245" s="14"/>
      <c r="N6245" s="15"/>
      <c r="O6245" s="15"/>
      <c r="P6245" s="15"/>
      <c r="Q6245" s="15"/>
      <c r="R6245" s="422"/>
      <c r="S6245" s="15"/>
      <c r="T6245" s="15"/>
      <c r="U6245" s="15"/>
      <c r="V6245" s="15"/>
      <c r="W6245" s="15"/>
      <c r="X6245" s="15"/>
      <c r="Y6245" s="15"/>
      <c r="Z6245" s="15"/>
      <c r="AA6245" s="15"/>
    </row>
    <row r="6246">
      <c r="A6246" s="15"/>
      <c r="B6246" s="15"/>
      <c r="C6246" s="14"/>
      <c r="D6246" s="14"/>
      <c r="E6246" s="14"/>
      <c r="F6246" s="433"/>
      <c r="G6246" s="434"/>
      <c r="H6246" s="14"/>
      <c r="I6246" s="423"/>
      <c r="J6246" s="14"/>
      <c r="K6246" s="13"/>
      <c r="L6246" s="13"/>
      <c r="M6246" s="14"/>
      <c r="N6246" s="15"/>
      <c r="O6246" s="15"/>
      <c r="P6246" s="15"/>
      <c r="Q6246" s="15"/>
      <c r="R6246" s="422"/>
      <c r="S6246" s="15"/>
      <c r="T6246" s="15"/>
      <c r="U6246" s="15"/>
      <c r="V6246" s="15"/>
      <c r="W6246" s="15"/>
      <c r="X6246" s="15"/>
      <c r="Y6246" s="15"/>
      <c r="Z6246" s="15"/>
      <c r="AA6246" s="15"/>
    </row>
    <row r="6247">
      <c r="A6247" s="15"/>
      <c r="B6247" s="15"/>
      <c r="C6247" s="14"/>
      <c r="D6247" s="14"/>
      <c r="E6247" s="14"/>
      <c r="F6247" s="433"/>
      <c r="G6247" s="434"/>
      <c r="H6247" s="14"/>
      <c r="I6247" s="423"/>
      <c r="J6247" s="14"/>
      <c r="K6247" s="13"/>
      <c r="L6247" s="13"/>
      <c r="M6247" s="14"/>
      <c r="N6247" s="15"/>
      <c r="O6247" s="15"/>
      <c r="P6247" s="15"/>
      <c r="Q6247" s="15"/>
      <c r="R6247" s="422"/>
      <c r="S6247" s="15"/>
      <c r="T6247" s="15"/>
      <c r="U6247" s="15"/>
      <c r="V6247" s="15"/>
      <c r="W6247" s="15"/>
      <c r="X6247" s="15"/>
      <c r="Y6247" s="15"/>
      <c r="Z6247" s="15"/>
      <c r="AA6247" s="15"/>
    </row>
    <row r="6248">
      <c r="A6248" s="15"/>
      <c r="B6248" s="15"/>
      <c r="C6248" s="14"/>
      <c r="D6248" s="14"/>
      <c r="E6248" s="14"/>
      <c r="F6248" s="433"/>
      <c r="G6248" s="434"/>
      <c r="H6248" s="14"/>
      <c r="I6248" s="423"/>
      <c r="J6248" s="14"/>
      <c r="K6248" s="13"/>
      <c r="L6248" s="13"/>
      <c r="M6248" s="14"/>
      <c r="N6248" s="15"/>
      <c r="O6248" s="15"/>
      <c r="P6248" s="15"/>
      <c r="Q6248" s="15"/>
      <c r="R6248" s="422"/>
      <c r="S6248" s="15"/>
      <c r="T6248" s="15"/>
      <c r="U6248" s="15"/>
      <c r="V6248" s="15"/>
      <c r="W6248" s="15"/>
      <c r="X6248" s="15"/>
      <c r="Y6248" s="15"/>
      <c r="Z6248" s="15"/>
      <c r="AA6248" s="15"/>
    </row>
    <row r="6249">
      <c r="A6249" s="15"/>
      <c r="B6249" s="15"/>
      <c r="C6249" s="14"/>
      <c r="D6249" s="14"/>
      <c r="E6249" s="14"/>
      <c r="F6249" s="433"/>
      <c r="G6249" s="434"/>
      <c r="H6249" s="14"/>
      <c r="I6249" s="423"/>
      <c r="J6249" s="14"/>
      <c r="K6249" s="13"/>
      <c r="L6249" s="13"/>
      <c r="M6249" s="14"/>
      <c r="N6249" s="15"/>
      <c r="O6249" s="15"/>
      <c r="P6249" s="15"/>
      <c r="Q6249" s="15"/>
      <c r="R6249" s="422"/>
      <c r="S6249" s="15"/>
      <c r="T6249" s="15"/>
      <c r="U6249" s="15"/>
      <c r="V6249" s="15"/>
      <c r="W6249" s="15"/>
      <c r="X6249" s="15"/>
      <c r="Y6249" s="15"/>
      <c r="Z6249" s="15"/>
      <c r="AA6249" s="15"/>
    </row>
    <row r="6250">
      <c r="A6250" s="15"/>
      <c r="B6250" s="15"/>
      <c r="C6250" s="14"/>
      <c r="D6250" s="14"/>
      <c r="E6250" s="14"/>
      <c r="F6250" s="433"/>
      <c r="G6250" s="434"/>
      <c r="H6250" s="14"/>
      <c r="I6250" s="423"/>
      <c r="J6250" s="14"/>
      <c r="K6250" s="13"/>
      <c r="L6250" s="13"/>
      <c r="M6250" s="14"/>
      <c r="N6250" s="15"/>
      <c r="O6250" s="15"/>
      <c r="P6250" s="15"/>
      <c r="Q6250" s="15"/>
      <c r="R6250" s="422"/>
      <c r="S6250" s="15"/>
      <c r="T6250" s="15"/>
      <c r="U6250" s="15"/>
      <c r="V6250" s="15"/>
      <c r="W6250" s="15"/>
      <c r="X6250" s="15"/>
      <c r="Y6250" s="15"/>
      <c r="Z6250" s="15"/>
      <c r="AA6250" s="15"/>
    </row>
    <row r="6251">
      <c r="A6251" s="15"/>
      <c r="B6251" s="15"/>
      <c r="C6251" s="14"/>
      <c r="D6251" s="14"/>
      <c r="E6251" s="14"/>
      <c r="F6251" s="433"/>
      <c r="G6251" s="434"/>
      <c r="H6251" s="14"/>
      <c r="I6251" s="423"/>
      <c r="J6251" s="14"/>
      <c r="K6251" s="13"/>
      <c r="L6251" s="13"/>
      <c r="M6251" s="14"/>
      <c r="N6251" s="15"/>
      <c r="O6251" s="15"/>
      <c r="P6251" s="15"/>
      <c r="Q6251" s="15"/>
      <c r="R6251" s="422"/>
      <c r="S6251" s="15"/>
      <c r="T6251" s="15"/>
      <c r="U6251" s="15"/>
      <c r="V6251" s="15"/>
      <c r="W6251" s="15"/>
      <c r="X6251" s="15"/>
      <c r="Y6251" s="15"/>
      <c r="Z6251" s="15"/>
      <c r="AA6251" s="15"/>
    </row>
    <row r="6252">
      <c r="A6252" s="15"/>
      <c r="B6252" s="15"/>
      <c r="C6252" s="14"/>
      <c r="D6252" s="14"/>
      <c r="E6252" s="14"/>
      <c r="F6252" s="433"/>
      <c r="G6252" s="434"/>
      <c r="H6252" s="14"/>
      <c r="I6252" s="423"/>
      <c r="J6252" s="14"/>
      <c r="K6252" s="13"/>
      <c r="L6252" s="13"/>
      <c r="M6252" s="14"/>
      <c r="N6252" s="15"/>
      <c r="O6252" s="15"/>
      <c r="P6252" s="15"/>
      <c r="Q6252" s="15"/>
      <c r="R6252" s="422"/>
      <c r="S6252" s="15"/>
      <c r="T6252" s="15"/>
      <c r="U6252" s="15"/>
      <c r="V6252" s="15"/>
      <c r="W6252" s="15"/>
      <c r="X6252" s="15"/>
      <c r="Y6252" s="15"/>
      <c r="Z6252" s="15"/>
      <c r="AA6252" s="15"/>
    </row>
    <row r="6253">
      <c r="A6253" s="15"/>
      <c r="B6253" s="15"/>
      <c r="C6253" s="14"/>
      <c r="D6253" s="14"/>
      <c r="E6253" s="14"/>
      <c r="F6253" s="433"/>
      <c r="G6253" s="434"/>
      <c r="H6253" s="14"/>
      <c r="I6253" s="423"/>
      <c r="J6253" s="14"/>
      <c r="K6253" s="13"/>
      <c r="L6253" s="13"/>
      <c r="M6253" s="14"/>
      <c r="N6253" s="15"/>
      <c r="O6253" s="15"/>
      <c r="P6253" s="15"/>
      <c r="Q6253" s="15"/>
      <c r="R6253" s="422"/>
      <c r="S6253" s="15"/>
      <c r="T6253" s="15"/>
      <c r="U6253" s="15"/>
      <c r="V6253" s="15"/>
      <c r="W6253" s="15"/>
      <c r="X6253" s="15"/>
      <c r="Y6253" s="15"/>
      <c r="Z6253" s="15"/>
      <c r="AA6253" s="15"/>
    </row>
    <row r="6254">
      <c r="A6254" s="15"/>
      <c r="B6254" s="15"/>
      <c r="C6254" s="14"/>
      <c r="D6254" s="14"/>
      <c r="E6254" s="14"/>
      <c r="F6254" s="433"/>
      <c r="G6254" s="434"/>
      <c r="H6254" s="14"/>
      <c r="I6254" s="423"/>
      <c r="J6254" s="14"/>
      <c r="K6254" s="13"/>
      <c r="L6254" s="13"/>
      <c r="M6254" s="14"/>
      <c r="N6254" s="15"/>
      <c r="O6254" s="15"/>
      <c r="P6254" s="15"/>
      <c r="Q6254" s="15"/>
      <c r="R6254" s="422"/>
      <c r="S6254" s="15"/>
      <c r="T6254" s="15"/>
      <c r="U6254" s="15"/>
      <c r="V6254" s="15"/>
      <c r="W6254" s="15"/>
      <c r="X6254" s="15"/>
      <c r="Y6254" s="15"/>
      <c r="Z6254" s="15"/>
      <c r="AA6254" s="15"/>
    </row>
    <row r="6255">
      <c r="A6255" s="15"/>
      <c r="B6255" s="15"/>
      <c r="C6255" s="14"/>
      <c r="D6255" s="14"/>
      <c r="E6255" s="14"/>
      <c r="F6255" s="433"/>
      <c r="G6255" s="434"/>
      <c r="H6255" s="14"/>
      <c r="I6255" s="423"/>
      <c r="J6255" s="14"/>
      <c r="K6255" s="13"/>
      <c r="L6255" s="13"/>
      <c r="M6255" s="14"/>
      <c r="N6255" s="15"/>
      <c r="O6255" s="15"/>
      <c r="P6255" s="15"/>
      <c r="Q6255" s="15"/>
      <c r="R6255" s="422"/>
      <c r="S6255" s="15"/>
      <c r="T6255" s="15"/>
      <c r="U6255" s="15"/>
      <c r="V6255" s="15"/>
      <c r="W6255" s="15"/>
      <c r="X6255" s="15"/>
      <c r="Y6255" s="15"/>
      <c r="Z6255" s="15"/>
      <c r="AA6255" s="15"/>
    </row>
    <row r="6256">
      <c r="A6256" s="15"/>
      <c r="B6256" s="15"/>
      <c r="C6256" s="14"/>
      <c r="D6256" s="14"/>
      <c r="E6256" s="14"/>
      <c r="F6256" s="433"/>
      <c r="G6256" s="434"/>
      <c r="H6256" s="14"/>
      <c r="I6256" s="423"/>
      <c r="J6256" s="14"/>
      <c r="K6256" s="13"/>
      <c r="L6256" s="13"/>
      <c r="M6256" s="14"/>
      <c r="N6256" s="15"/>
      <c r="O6256" s="15"/>
      <c r="P6256" s="15"/>
      <c r="Q6256" s="15"/>
      <c r="R6256" s="422"/>
      <c r="S6256" s="15"/>
      <c r="T6256" s="15"/>
      <c r="U6256" s="15"/>
      <c r="V6256" s="15"/>
      <c r="W6256" s="15"/>
      <c r="X6256" s="15"/>
      <c r="Y6256" s="15"/>
      <c r="Z6256" s="15"/>
      <c r="AA6256" s="15"/>
    </row>
    <row r="6257">
      <c r="A6257" s="15"/>
      <c r="B6257" s="15"/>
      <c r="C6257" s="14"/>
      <c r="D6257" s="14"/>
      <c r="E6257" s="14"/>
      <c r="F6257" s="433"/>
      <c r="G6257" s="434"/>
      <c r="H6257" s="14"/>
      <c r="I6257" s="423"/>
      <c r="J6257" s="14"/>
      <c r="K6257" s="13"/>
      <c r="L6257" s="13"/>
      <c r="M6257" s="14"/>
      <c r="N6257" s="15"/>
      <c r="O6257" s="15"/>
      <c r="P6257" s="15"/>
      <c r="Q6257" s="15"/>
      <c r="R6257" s="422"/>
      <c r="S6257" s="15"/>
      <c r="T6257" s="15"/>
      <c r="U6257" s="15"/>
      <c r="V6257" s="15"/>
      <c r="W6257" s="15"/>
      <c r="X6257" s="15"/>
      <c r="Y6257" s="15"/>
      <c r="Z6257" s="15"/>
      <c r="AA6257" s="15"/>
    </row>
    <row r="6258">
      <c r="A6258" s="15"/>
      <c r="B6258" s="15"/>
      <c r="C6258" s="14"/>
      <c r="D6258" s="14"/>
      <c r="E6258" s="14"/>
      <c r="F6258" s="433"/>
      <c r="G6258" s="434"/>
      <c r="H6258" s="14"/>
      <c r="I6258" s="423"/>
      <c r="J6258" s="14"/>
      <c r="K6258" s="13"/>
      <c r="L6258" s="13"/>
      <c r="M6258" s="14"/>
      <c r="N6258" s="15"/>
      <c r="O6258" s="15"/>
      <c r="P6258" s="15"/>
      <c r="Q6258" s="15"/>
      <c r="R6258" s="422"/>
      <c r="S6258" s="15"/>
      <c r="T6258" s="15"/>
      <c r="U6258" s="15"/>
      <c r="V6258" s="15"/>
      <c r="W6258" s="15"/>
      <c r="X6258" s="15"/>
      <c r="Y6258" s="15"/>
      <c r="Z6258" s="15"/>
      <c r="AA6258" s="15"/>
    </row>
    <row r="6259">
      <c r="A6259" s="15"/>
      <c r="B6259" s="15"/>
      <c r="C6259" s="14"/>
      <c r="D6259" s="14"/>
      <c r="E6259" s="14"/>
      <c r="F6259" s="433"/>
      <c r="G6259" s="434"/>
      <c r="H6259" s="14"/>
      <c r="I6259" s="423"/>
      <c r="J6259" s="14"/>
      <c r="K6259" s="13"/>
      <c r="L6259" s="13"/>
      <c r="M6259" s="14"/>
      <c r="N6259" s="15"/>
      <c r="O6259" s="15"/>
      <c r="P6259" s="15"/>
      <c r="Q6259" s="15"/>
      <c r="R6259" s="422"/>
      <c r="S6259" s="15"/>
      <c r="T6259" s="15"/>
      <c r="U6259" s="15"/>
      <c r="V6259" s="15"/>
      <c r="W6259" s="15"/>
      <c r="X6259" s="15"/>
      <c r="Y6259" s="15"/>
      <c r="Z6259" s="15"/>
      <c r="AA6259" s="15"/>
    </row>
    <row r="6260">
      <c r="A6260" s="15"/>
      <c r="B6260" s="15"/>
      <c r="C6260" s="14"/>
      <c r="D6260" s="14"/>
      <c r="E6260" s="14"/>
      <c r="F6260" s="433"/>
      <c r="G6260" s="434"/>
      <c r="H6260" s="14"/>
      <c r="I6260" s="423"/>
      <c r="J6260" s="14"/>
      <c r="K6260" s="13"/>
      <c r="L6260" s="13"/>
      <c r="M6260" s="14"/>
      <c r="N6260" s="15"/>
      <c r="O6260" s="15"/>
      <c r="P6260" s="15"/>
      <c r="Q6260" s="15"/>
      <c r="R6260" s="422"/>
      <c r="S6260" s="15"/>
      <c r="T6260" s="15"/>
      <c r="U6260" s="15"/>
      <c r="V6260" s="15"/>
      <c r="W6260" s="15"/>
      <c r="X6260" s="15"/>
      <c r="Y6260" s="15"/>
      <c r="Z6260" s="15"/>
      <c r="AA6260" s="15"/>
    </row>
    <row r="6261">
      <c r="A6261" s="15"/>
      <c r="B6261" s="15"/>
      <c r="C6261" s="14"/>
      <c r="D6261" s="14"/>
      <c r="E6261" s="14"/>
      <c r="F6261" s="433"/>
      <c r="G6261" s="434"/>
      <c r="H6261" s="14"/>
      <c r="I6261" s="423"/>
      <c r="J6261" s="14"/>
      <c r="K6261" s="13"/>
      <c r="L6261" s="13"/>
      <c r="M6261" s="14"/>
      <c r="N6261" s="15"/>
      <c r="O6261" s="15"/>
      <c r="P6261" s="15"/>
      <c r="Q6261" s="15"/>
      <c r="R6261" s="422"/>
      <c r="S6261" s="15"/>
      <c r="T6261" s="15"/>
      <c r="U6261" s="15"/>
      <c r="V6261" s="15"/>
      <c r="W6261" s="15"/>
      <c r="X6261" s="15"/>
      <c r="Y6261" s="15"/>
      <c r="Z6261" s="15"/>
      <c r="AA6261" s="15"/>
    </row>
    <row r="6262">
      <c r="A6262" s="15"/>
      <c r="B6262" s="15"/>
      <c r="C6262" s="14"/>
      <c r="D6262" s="14"/>
      <c r="E6262" s="14"/>
      <c r="F6262" s="433"/>
      <c r="G6262" s="434"/>
      <c r="H6262" s="14"/>
      <c r="I6262" s="423"/>
      <c r="J6262" s="14"/>
      <c r="K6262" s="13"/>
      <c r="L6262" s="13"/>
      <c r="M6262" s="14"/>
      <c r="N6262" s="15"/>
      <c r="O6262" s="15"/>
      <c r="P6262" s="15"/>
      <c r="Q6262" s="15"/>
      <c r="R6262" s="422"/>
      <c r="S6262" s="15"/>
      <c r="T6262" s="15"/>
      <c r="U6262" s="15"/>
      <c r="V6262" s="15"/>
      <c r="W6262" s="15"/>
      <c r="X6262" s="15"/>
      <c r="Y6262" s="15"/>
      <c r="Z6262" s="15"/>
      <c r="AA6262" s="15"/>
    </row>
    <row r="6263">
      <c r="A6263" s="15"/>
      <c r="B6263" s="15"/>
      <c r="C6263" s="14"/>
      <c r="D6263" s="14"/>
      <c r="E6263" s="14"/>
      <c r="F6263" s="433"/>
      <c r="G6263" s="434"/>
      <c r="H6263" s="14"/>
      <c r="I6263" s="423"/>
      <c r="J6263" s="14"/>
      <c r="K6263" s="13"/>
      <c r="L6263" s="13"/>
      <c r="M6263" s="14"/>
      <c r="N6263" s="15"/>
      <c r="O6263" s="15"/>
      <c r="P6263" s="15"/>
      <c r="Q6263" s="15"/>
      <c r="R6263" s="422"/>
      <c r="S6263" s="15"/>
      <c r="T6263" s="15"/>
      <c r="U6263" s="15"/>
      <c r="V6263" s="15"/>
      <c r="W6263" s="15"/>
      <c r="X6263" s="15"/>
      <c r="Y6263" s="15"/>
      <c r="Z6263" s="15"/>
      <c r="AA6263" s="15"/>
    </row>
    <row r="6264">
      <c r="A6264" s="15"/>
      <c r="B6264" s="15"/>
      <c r="C6264" s="14"/>
      <c r="D6264" s="14"/>
      <c r="E6264" s="14"/>
      <c r="F6264" s="433"/>
      <c r="G6264" s="434"/>
      <c r="H6264" s="14"/>
      <c r="I6264" s="423"/>
      <c r="J6264" s="14"/>
      <c r="K6264" s="13"/>
      <c r="L6264" s="13"/>
      <c r="M6264" s="14"/>
      <c r="N6264" s="15"/>
      <c r="O6264" s="15"/>
      <c r="P6264" s="15"/>
      <c r="Q6264" s="15"/>
      <c r="R6264" s="422"/>
      <c r="S6264" s="15"/>
      <c r="T6264" s="15"/>
      <c r="U6264" s="15"/>
      <c r="V6264" s="15"/>
      <c r="W6264" s="15"/>
      <c r="X6264" s="15"/>
      <c r="Y6264" s="15"/>
      <c r="Z6264" s="15"/>
      <c r="AA6264" s="15"/>
    </row>
    <row r="6265">
      <c r="A6265" s="15"/>
      <c r="B6265" s="15"/>
      <c r="C6265" s="14"/>
      <c r="D6265" s="14"/>
      <c r="E6265" s="14"/>
      <c r="F6265" s="433"/>
      <c r="G6265" s="434"/>
      <c r="H6265" s="14"/>
      <c r="I6265" s="423"/>
      <c r="J6265" s="14"/>
      <c r="K6265" s="13"/>
      <c r="L6265" s="13"/>
      <c r="M6265" s="14"/>
      <c r="N6265" s="15"/>
      <c r="O6265" s="15"/>
      <c r="P6265" s="15"/>
      <c r="Q6265" s="15"/>
      <c r="R6265" s="422"/>
      <c r="S6265" s="15"/>
      <c r="T6265" s="15"/>
      <c r="U6265" s="15"/>
      <c r="V6265" s="15"/>
      <c r="W6265" s="15"/>
      <c r="X6265" s="15"/>
      <c r="Y6265" s="15"/>
      <c r="Z6265" s="15"/>
      <c r="AA6265" s="15"/>
    </row>
    <row r="6266">
      <c r="A6266" s="15"/>
      <c r="B6266" s="15"/>
      <c r="C6266" s="14"/>
      <c r="D6266" s="14"/>
      <c r="E6266" s="14"/>
      <c r="F6266" s="433"/>
      <c r="G6266" s="434"/>
      <c r="H6266" s="14"/>
      <c r="I6266" s="423"/>
      <c r="J6266" s="14"/>
      <c r="K6266" s="13"/>
      <c r="L6266" s="13"/>
      <c r="M6266" s="14"/>
      <c r="N6266" s="15"/>
      <c r="O6266" s="15"/>
      <c r="P6266" s="15"/>
      <c r="Q6266" s="15"/>
      <c r="R6266" s="422"/>
      <c r="S6266" s="15"/>
      <c r="T6266" s="15"/>
      <c r="U6266" s="15"/>
      <c r="V6266" s="15"/>
      <c r="W6266" s="15"/>
      <c r="X6266" s="15"/>
      <c r="Y6266" s="15"/>
      <c r="Z6266" s="15"/>
      <c r="AA6266" s="15"/>
    </row>
    <row r="6267">
      <c r="A6267" s="15"/>
      <c r="B6267" s="15"/>
      <c r="C6267" s="14"/>
      <c r="D6267" s="14"/>
      <c r="E6267" s="14"/>
      <c r="F6267" s="433"/>
      <c r="G6267" s="434"/>
      <c r="H6267" s="14"/>
      <c r="I6267" s="423"/>
      <c r="J6267" s="14"/>
      <c r="K6267" s="13"/>
      <c r="L6267" s="13"/>
      <c r="M6267" s="14"/>
      <c r="N6267" s="15"/>
      <c r="O6267" s="15"/>
      <c r="P6267" s="15"/>
      <c r="Q6267" s="15"/>
      <c r="R6267" s="422"/>
      <c r="S6267" s="15"/>
      <c r="T6267" s="15"/>
      <c r="U6267" s="15"/>
      <c r="V6267" s="15"/>
      <c r="W6267" s="15"/>
      <c r="X6267" s="15"/>
      <c r="Y6267" s="15"/>
      <c r="Z6267" s="15"/>
      <c r="AA6267" s="15"/>
    </row>
    <row r="6268">
      <c r="A6268" s="15"/>
      <c r="B6268" s="15"/>
      <c r="C6268" s="14"/>
      <c r="D6268" s="14"/>
      <c r="E6268" s="14"/>
      <c r="F6268" s="433"/>
      <c r="G6268" s="434"/>
      <c r="H6268" s="14"/>
      <c r="I6268" s="423"/>
      <c r="J6268" s="14"/>
      <c r="K6268" s="13"/>
      <c r="L6268" s="13"/>
      <c r="M6268" s="14"/>
      <c r="N6268" s="15"/>
      <c r="O6268" s="15"/>
      <c r="P6268" s="15"/>
      <c r="Q6268" s="15"/>
      <c r="R6268" s="422"/>
      <c r="S6268" s="15"/>
      <c r="T6268" s="15"/>
      <c r="U6268" s="15"/>
      <c r="V6268" s="15"/>
      <c r="W6268" s="15"/>
      <c r="X6268" s="15"/>
      <c r="Y6268" s="15"/>
      <c r="Z6268" s="15"/>
      <c r="AA6268" s="15"/>
    </row>
    <row r="6269">
      <c r="A6269" s="15"/>
      <c r="B6269" s="15"/>
      <c r="C6269" s="14"/>
      <c r="D6269" s="14"/>
      <c r="E6269" s="14"/>
      <c r="F6269" s="433"/>
      <c r="G6269" s="434"/>
      <c r="H6269" s="14"/>
      <c r="I6269" s="423"/>
      <c r="J6269" s="14"/>
      <c r="K6269" s="13"/>
      <c r="L6269" s="13"/>
      <c r="M6269" s="14"/>
      <c r="N6269" s="15"/>
      <c r="O6269" s="15"/>
      <c r="P6269" s="15"/>
      <c r="Q6269" s="15"/>
      <c r="R6269" s="422"/>
      <c r="S6269" s="15"/>
      <c r="T6269" s="15"/>
      <c r="U6269" s="15"/>
      <c r="V6269" s="15"/>
      <c r="W6269" s="15"/>
      <c r="X6269" s="15"/>
      <c r="Y6269" s="15"/>
      <c r="Z6269" s="15"/>
      <c r="AA6269" s="15"/>
    </row>
    <row r="6270">
      <c r="A6270" s="15"/>
      <c r="B6270" s="15"/>
      <c r="C6270" s="14"/>
      <c r="D6270" s="14"/>
      <c r="E6270" s="14"/>
      <c r="F6270" s="433"/>
      <c r="G6270" s="434"/>
      <c r="H6270" s="14"/>
      <c r="I6270" s="423"/>
      <c r="J6270" s="14"/>
      <c r="K6270" s="13"/>
      <c r="L6270" s="13"/>
      <c r="M6270" s="14"/>
      <c r="N6270" s="15"/>
      <c r="O6270" s="15"/>
      <c r="P6270" s="15"/>
      <c r="Q6270" s="15"/>
      <c r="R6270" s="422"/>
      <c r="S6270" s="15"/>
      <c r="T6270" s="15"/>
      <c r="U6270" s="15"/>
      <c r="V6270" s="15"/>
      <c r="W6270" s="15"/>
      <c r="X6270" s="15"/>
      <c r="Y6270" s="15"/>
      <c r="Z6270" s="15"/>
      <c r="AA6270" s="15"/>
    </row>
    <row r="6271">
      <c r="A6271" s="15"/>
      <c r="B6271" s="15"/>
      <c r="C6271" s="14"/>
      <c r="D6271" s="14"/>
      <c r="E6271" s="14"/>
      <c r="F6271" s="433"/>
      <c r="G6271" s="434"/>
      <c r="H6271" s="14"/>
      <c r="I6271" s="423"/>
      <c r="J6271" s="14"/>
      <c r="K6271" s="13"/>
      <c r="L6271" s="13"/>
      <c r="M6271" s="14"/>
      <c r="N6271" s="15"/>
      <c r="O6271" s="15"/>
      <c r="P6271" s="15"/>
      <c r="Q6271" s="15"/>
      <c r="R6271" s="422"/>
      <c r="S6271" s="15"/>
      <c r="T6271" s="15"/>
      <c r="U6271" s="15"/>
      <c r="V6271" s="15"/>
      <c r="W6271" s="15"/>
      <c r="X6271" s="15"/>
      <c r="Y6271" s="15"/>
      <c r="Z6271" s="15"/>
      <c r="AA6271" s="15"/>
    </row>
    <row r="6272">
      <c r="A6272" s="15"/>
      <c r="B6272" s="15"/>
      <c r="C6272" s="14"/>
      <c r="D6272" s="14"/>
      <c r="E6272" s="14"/>
      <c r="F6272" s="433"/>
      <c r="G6272" s="434"/>
      <c r="H6272" s="14"/>
      <c r="I6272" s="423"/>
      <c r="J6272" s="14"/>
      <c r="K6272" s="13"/>
      <c r="L6272" s="13"/>
      <c r="M6272" s="14"/>
      <c r="N6272" s="15"/>
      <c r="O6272" s="15"/>
      <c r="P6272" s="15"/>
      <c r="Q6272" s="15"/>
      <c r="R6272" s="422"/>
      <c r="S6272" s="15"/>
      <c r="T6272" s="15"/>
      <c r="U6272" s="15"/>
      <c r="V6272" s="15"/>
      <c r="W6272" s="15"/>
      <c r="X6272" s="15"/>
      <c r="Y6272" s="15"/>
      <c r="Z6272" s="15"/>
      <c r="AA6272" s="15"/>
    </row>
    <row r="6273">
      <c r="A6273" s="15"/>
      <c r="B6273" s="15"/>
      <c r="C6273" s="14"/>
      <c r="D6273" s="14"/>
      <c r="E6273" s="14"/>
      <c r="F6273" s="433"/>
      <c r="G6273" s="434"/>
      <c r="H6273" s="14"/>
      <c r="I6273" s="423"/>
      <c r="J6273" s="14"/>
      <c r="K6273" s="13"/>
      <c r="L6273" s="13"/>
      <c r="M6273" s="14"/>
      <c r="N6273" s="15"/>
      <c r="O6273" s="15"/>
      <c r="P6273" s="15"/>
      <c r="Q6273" s="15"/>
      <c r="R6273" s="422"/>
      <c r="S6273" s="15"/>
      <c r="T6273" s="15"/>
      <c r="U6273" s="15"/>
      <c r="V6273" s="15"/>
      <c r="W6273" s="15"/>
      <c r="X6273" s="15"/>
      <c r="Y6273" s="15"/>
      <c r="Z6273" s="15"/>
      <c r="AA6273" s="15"/>
    </row>
    <row r="6274">
      <c r="A6274" s="15"/>
      <c r="B6274" s="15"/>
      <c r="C6274" s="14"/>
      <c r="D6274" s="14"/>
      <c r="E6274" s="14"/>
      <c r="F6274" s="433"/>
      <c r="G6274" s="434"/>
      <c r="H6274" s="14"/>
      <c r="I6274" s="423"/>
      <c r="J6274" s="14"/>
      <c r="K6274" s="13"/>
      <c r="L6274" s="13"/>
      <c r="M6274" s="14"/>
      <c r="N6274" s="15"/>
      <c r="O6274" s="15"/>
      <c r="P6274" s="15"/>
      <c r="Q6274" s="15"/>
      <c r="R6274" s="422"/>
      <c r="S6274" s="15"/>
      <c r="T6274" s="15"/>
      <c r="U6274" s="15"/>
      <c r="V6274" s="15"/>
      <c r="W6274" s="15"/>
      <c r="X6274" s="15"/>
      <c r="Y6274" s="15"/>
      <c r="Z6274" s="15"/>
      <c r="AA6274" s="15"/>
    </row>
    <row r="6275">
      <c r="A6275" s="15"/>
      <c r="B6275" s="15"/>
      <c r="C6275" s="14"/>
      <c r="D6275" s="14"/>
      <c r="E6275" s="14"/>
      <c r="F6275" s="433"/>
      <c r="G6275" s="434"/>
      <c r="H6275" s="14"/>
      <c r="I6275" s="423"/>
      <c r="J6275" s="14"/>
      <c r="K6275" s="13"/>
      <c r="L6275" s="13"/>
      <c r="M6275" s="14"/>
      <c r="N6275" s="15"/>
      <c r="O6275" s="15"/>
      <c r="P6275" s="15"/>
      <c r="Q6275" s="15"/>
      <c r="R6275" s="422"/>
      <c r="S6275" s="15"/>
      <c r="T6275" s="15"/>
      <c r="U6275" s="15"/>
      <c r="V6275" s="15"/>
      <c r="W6275" s="15"/>
      <c r="X6275" s="15"/>
      <c r="Y6275" s="15"/>
      <c r="Z6275" s="15"/>
      <c r="AA6275" s="15"/>
    </row>
    <row r="6276">
      <c r="A6276" s="15"/>
      <c r="B6276" s="15"/>
      <c r="C6276" s="14"/>
      <c r="D6276" s="14"/>
      <c r="E6276" s="14"/>
      <c r="F6276" s="433"/>
      <c r="G6276" s="434"/>
      <c r="H6276" s="14"/>
      <c r="I6276" s="423"/>
      <c r="J6276" s="14"/>
      <c r="K6276" s="13"/>
      <c r="L6276" s="13"/>
      <c r="M6276" s="14"/>
      <c r="N6276" s="15"/>
      <c r="O6276" s="15"/>
      <c r="P6276" s="15"/>
      <c r="Q6276" s="15"/>
      <c r="R6276" s="422"/>
      <c r="S6276" s="15"/>
      <c r="T6276" s="15"/>
      <c r="U6276" s="15"/>
      <c r="V6276" s="15"/>
      <c r="W6276" s="15"/>
      <c r="X6276" s="15"/>
      <c r="Y6276" s="15"/>
      <c r="Z6276" s="15"/>
      <c r="AA6276" s="15"/>
    </row>
    <row r="6277">
      <c r="A6277" s="15"/>
      <c r="B6277" s="15"/>
      <c r="C6277" s="14"/>
      <c r="D6277" s="14"/>
      <c r="E6277" s="14"/>
      <c r="F6277" s="433"/>
      <c r="G6277" s="434"/>
      <c r="H6277" s="14"/>
      <c r="I6277" s="423"/>
      <c r="J6277" s="14"/>
      <c r="K6277" s="13"/>
      <c r="L6277" s="13"/>
      <c r="M6277" s="14"/>
      <c r="N6277" s="15"/>
      <c r="O6277" s="15"/>
      <c r="P6277" s="15"/>
      <c r="Q6277" s="15"/>
      <c r="R6277" s="422"/>
      <c r="S6277" s="15"/>
      <c r="T6277" s="15"/>
      <c r="U6277" s="15"/>
      <c r="V6277" s="15"/>
      <c r="W6277" s="15"/>
      <c r="X6277" s="15"/>
      <c r="Y6277" s="15"/>
      <c r="Z6277" s="15"/>
      <c r="AA6277" s="15"/>
    </row>
    <row r="6278">
      <c r="A6278" s="15"/>
      <c r="B6278" s="15"/>
      <c r="C6278" s="14"/>
      <c r="D6278" s="14"/>
      <c r="E6278" s="14"/>
      <c r="F6278" s="433"/>
      <c r="G6278" s="434"/>
      <c r="H6278" s="14"/>
      <c r="I6278" s="423"/>
      <c r="J6278" s="14"/>
      <c r="K6278" s="13"/>
      <c r="L6278" s="13"/>
      <c r="M6278" s="14"/>
      <c r="N6278" s="15"/>
      <c r="O6278" s="15"/>
      <c r="P6278" s="15"/>
      <c r="Q6278" s="15"/>
      <c r="R6278" s="422"/>
      <c r="S6278" s="15"/>
      <c r="T6278" s="15"/>
      <c r="U6278" s="15"/>
      <c r="V6278" s="15"/>
      <c r="W6278" s="15"/>
      <c r="X6278" s="15"/>
      <c r="Y6278" s="15"/>
      <c r="Z6278" s="15"/>
      <c r="AA6278" s="15"/>
    </row>
    <row r="6279">
      <c r="A6279" s="15"/>
      <c r="B6279" s="15"/>
      <c r="C6279" s="14"/>
      <c r="D6279" s="14"/>
      <c r="E6279" s="14"/>
      <c r="F6279" s="433"/>
      <c r="G6279" s="434"/>
      <c r="H6279" s="14"/>
      <c r="I6279" s="423"/>
      <c r="J6279" s="14"/>
      <c r="K6279" s="13"/>
      <c r="L6279" s="13"/>
      <c r="M6279" s="14"/>
      <c r="N6279" s="15"/>
      <c r="O6279" s="15"/>
      <c r="P6279" s="15"/>
      <c r="Q6279" s="15"/>
      <c r="R6279" s="422"/>
      <c r="S6279" s="15"/>
      <c r="T6279" s="15"/>
      <c r="U6279" s="15"/>
      <c r="V6279" s="15"/>
      <c r="W6279" s="15"/>
      <c r="X6279" s="15"/>
      <c r="Y6279" s="15"/>
      <c r="Z6279" s="15"/>
      <c r="AA6279" s="15"/>
    </row>
    <row r="6280">
      <c r="A6280" s="15"/>
      <c r="B6280" s="15"/>
      <c r="C6280" s="14"/>
      <c r="D6280" s="14"/>
      <c r="E6280" s="14"/>
      <c r="F6280" s="433"/>
      <c r="G6280" s="434"/>
      <c r="H6280" s="14"/>
      <c r="I6280" s="423"/>
      <c r="J6280" s="14"/>
      <c r="K6280" s="13"/>
      <c r="L6280" s="13"/>
      <c r="M6280" s="14"/>
      <c r="N6280" s="15"/>
      <c r="O6280" s="15"/>
      <c r="P6280" s="15"/>
      <c r="Q6280" s="15"/>
      <c r="R6280" s="422"/>
      <c r="S6280" s="15"/>
      <c r="T6280" s="15"/>
      <c r="U6280" s="15"/>
      <c r="V6280" s="15"/>
      <c r="W6280" s="15"/>
      <c r="X6280" s="15"/>
      <c r="Y6280" s="15"/>
      <c r="Z6280" s="15"/>
      <c r="AA6280" s="15"/>
    </row>
    <row r="6281">
      <c r="A6281" s="15"/>
      <c r="B6281" s="15"/>
      <c r="C6281" s="14"/>
      <c r="D6281" s="14"/>
      <c r="E6281" s="14"/>
      <c r="F6281" s="433"/>
      <c r="G6281" s="434"/>
      <c r="H6281" s="14"/>
      <c r="I6281" s="423"/>
      <c r="J6281" s="14"/>
      <c r="K6281" s="13"/>
      <c r="L6281" s="13"/>
      <c r="M6281" s="14"/>
      <c r="N6281" s="15"/>
      <c r="O6281" s="15"/>
      <c r="P6281" s="15"/>
      <c r="Q6281" s="15"/>
      <c r="R6281" s="422"/>
      <c r="S6281" s="15"/>
      <c r="T6281" s="15"/>
      <c r="U6281" s="15"/>
      <c r="V6281" s="15"/>
      <c r="W6281" s="15"/>
      <c r="X6281" s="15"/>
      <c r="Y6281" s="15"/>
      <c r="Z6281" s="15"/>
      <c r="AA6281" s="15"/>
    </row>
    <row r="6282">
      <c r="A6282" s="15"/>
      <c r="B6282" s="15"/>
      <c r="C6282" s="14"/>
      <c r="D6282" s="14"/>
      <c r="E6282" s="14"/>
      <c r="F6282" s="433"/>
      <c r="G6282" s="434"/>
      <c r="H6282" s="14"/>
      <c r="I6282" s="423"/>
      <c r="J6282" s="14"/>
      <c r="K6282" s="13"/>
      <c r="L6282" s="13"/>
      <c r="M6282" s="14"/>
      <c r="N6282" s="15"/>
      <c r="O6282" s="15"/>
      <c r="P6282" s="15"/>
      <c r="Q6282" s="15"/>
      <c r="R6282" s="422"/>
      <c r="S6282" s="15"/>
      <c r="T6282" s="15"/>
      <c r="U6282" s="15"/>
      <c r="V6282" s="15"/>
      <c r="W6282" s="15"/>
      <c r="X6282" s="15"/>
      <c r="Y6282" s="15"/>
      <c r="Z6282" s="15"/>
      <c r="AA6282" s="15"/>
    </row>
    <row r="6283">
      <c r="A6283" s="15"/>
      <c r="B6283" s="15"/>
      <c r="C6283" s="14"/>
      <c r="D6283" s="14"/>
      <c r="E6283" s="14"/>
      <c r="F6283" s="433"/>
      <c r="G6283" s="434"/>
      <c r="H6283" s="14"/>
      <c r="I6283" s="423"/>
      <c r="J6283" s="14"/>
      <c r="K6283" s="13"/>
      <c r="L6283" s="13"/>
      <c r="M6283" s="14"/>
      <c r="N6283" s="15"/>
      <c r="O6283" s="15"/>
      <c r="P6283" s="15"/>
      <c r="Q6283" s="15"/>
      <c r="R6283" s="422"/>
      <c r="S6283" s="15"/>
      <c r="T6283" s="15"/>
      <c r="U6283" s="15"/>
      <c r="V6283" s="15"/>
      <c r="W6283" s="15"/>
      <c r="X6283" s="15"/>
      <c r="Y6283" s="15"/>
      <c r="Z6283" s="15"/>
      <c r="AA6283" s="15"/>
    </row>
    <row r="6284">
      <c r="A6284" s="15"/>
      <c r="B6284" s="15"/>
      <c r="C6284" s="14"/>
      <c r="D6284" s="14"/>
      <c r="E6284" s="14"/>
      <c r="F6284" s="433"/>
      <c r="G6284" s="434"/>
      <c r="H6284" s="14"/>
      <c r="I6284" s="423"/>
      <c r="J6284" s="14"/>
      <c r="K6284" s="13"/>
      <c r="L6284" s="13"/>
      <c r="M6284" s="14"/>
      <c r="N6284" s="15"/>
      <c r="O6284" s="15"/>
      <c r="P6284" s="15"/>
      <c r="Q6284" s="15"/>
      <c r="R6284" s="422"/>
      <c r="S6284" s="15"/>
      <c r="T6284" s="15"/>
      <c r="U6284" s="15"/>
      <c r="V6284" s="15"/>
      <c r="W6284" s="15"/>
      <c r="X6284" s="15"/>
      <c r="Y6284" s="15"/>
      <c r="Z6284" s="15"/>
      <c r="AA6284" s="15"/>
    </row>
    <row r="6285">
      <c r="A6285" s="15"/>
      <c r="B6285" s="15"/>
      <c r="C6285" s="14"/>
      <c r="D6285" s="14"/>
      <c r="E6285" s="14"/>
      <c r="F6285" s="433"/>
      <c r="G6285" s="434"/>
      <c r="H6285" s="14"/>
      <c r="I6285" s="423"/>
      <c r="J6285" s="14"/>
      <c r="K6285" s="13"/>
      <c r="L6285" s="13"/>
      <c r="M6285" s="14"/>
      <c r="N6285" s="15"/>
      <c r="O6285" s="15"/>
      <c r="P6285" s="15"/>
      <c r="Q6285" s="15"/>
      <c r="R6285" s="422"/>
      <c r="S6285" s="15"/>
      <c r="T6285" s="15"/>
      <c r="U6285" s="15"/>
      <c r="V6285" s="15"/>
      <c r="W6285" s="15"/>
      <c r="X6285" s="15"/>
      <c r="Y6285" s="15"/>
      <c r="Z6285" s="15"/>
      <c r="AA6285" s="15"/>
    </row>
    <row r="6286">
      <c r="A6286" s="15"/>
      <c r="B6286" s="15"/>
      <c r="C6286" s="14"/>
      <c r="D6286" s="14"/>
      <c r="E6286" s="14"/>
      <c r="F6286" s="433"/>
      <c r="G6286" s="434"/>
      <c r="H6286" s="14"/>
      <c r="I6286" s="423"/>
      <c r="J6286" s="14"/>
      <c r="K6286" s="13"/>
      <c r="L6286" s="13"/>
      <c r="M6286" s="14"/>
      <c r="N6286" s="15"/>
      <c r="O6286" s="15"/>
      <c r="P6286" s="15"/>
      <c r="Q6286" s="15"/>
      <c r="R6286" s="422"/>
      <c r="S6286" s="15"/>
      <c r="T6286" s="15"/>
      <c r="U6286" s="15"/>
      <c r="V6286" s="15"/>
      <c r="W6286" s="15"/>
      <c r="X6286" s="15"/>
      <c r="Y6286" s="15"/>
      <c r="Z6286" s="15"/>
      <c r="AA6286" s="15"/>
    </row>
    <row r="6287">
      <c r="A6287" s="15"/>
      <c r="B6287" s="15"/>
      <c r="C6287" s="14"/>
      <c r="D6287" s="14"/>
      <c r="E6287" s="14"/>
      <c r="F6287" s="433"/>
      <c r="G6287" s="434"/>
      <c r="H6287" s="14"/>
      <c r="I6287" s="423"/>
      <c r="J6287" s="14"/>
      <c r="K6287" s="13"/>
      <c r="L6287" s="13"/>
      <c r="M6287" s="14"/>
      <c r="N6287" s="15"/>
      <c r="O6287" s="15"/>
      <c r="P6287" s="15"/>
      <c r="Q6287" s="15"/>
      <c r="R6287" s="422"/>
      <c r="S6287" s="15"/>
      <c r="T6287" s="15"/>
      <c r="U6287" s="15"/>
      <c r="V6287" s="15"/>
      <c r="W6287" s="15"/>
      <c r="X6287" s="15"/>
      <c r="Y6287" s="15"/>
      <c r="Z6287" s="15"/>
      <c r="AA6287" s="15"/>
    </row>
    <row r="6288">
      <c r="A6288" s="15"/>
      <c r="B6288" s="15"/>
      <c r="C6288" s="14"/>
      <c r="D6288" s="14"/>
      <c r="E6288" s="14"/>
      <c r="F6288" s="433"/>
      <c r="G6288" s="434"/>
      <c r="H6288" s="14"/>
      <c r="I6288" s="423"/>
      <c r="J6288" s="14"/>
      <c r="K6288" s="13"/>
      <c r="L6288" s="13"/>
      <c r="M6288" s="14"/>
      <c r="N6288" s="15"/>
      <c r="O6288" s="15"/>
      <c r="P6288" s="15"/>
      <c r="Q6288" s="15"/>
      <c r="R6288" s="422"/>
      <c r="S6288" s="15"/>
      <c r="T6288" s="15"/>
      <c r="U6288" s="15"/>
      <c r="V6288" s="15"/>
      <c r="W6288" s="15"/>
      <c r="X6288" s="15"/>
      <c r="Y6288" s="15"/>
      <c r="Z6288" s="15"/>
      <c r="AA6288" s="15"/>
    </row>
    <row r="6289">
      <c r="A6289" s="15"/>
      <c r="B6289" s="15"/>
      <c r="C6289" s="14"/>
      <c r="D6289" s="14"/>
      <c r="E6289" s="14"/>
      <c r="F6289" s="433"/>
      <c r="G6289" s="434"/>
      <c r="H6289" s="14"/>
      <c r="I6289" s="423"/>
      <c r="J6289" s="14"/>
      <c r="K6289" s="13"/>
      <c r="L6289" s="13"/>
      <c r="M6289" s="14"/>
      <c r="N6289" s="15"/>
      <c r="O6289" s="15"/>
      <c r="P6289" s="15"/>
      <c r="Q6289" s="15"/>
      <c r="R6289" s="422"/>
      <c r="S6289" s="15"/>
      <c r="T6289" s="15"/>
      <c r="U6289" s="15"/>
      <c r="V6289" s="15"/>
      <c r="W6289" s="15"/>
      <c r="X6289" s="15"/>
      <c r="Y6289" s="15"/>
      <c r="Z6289" s="15"/>
      <c r="AA6289" s="15"/>
    </row>
    <row r="6290">
      <c r="A6290" s="15"/>
      <c r="B6290" s="15"/>
      <c r="C6290" s="14"/>
      <c r="D6290" s="14"/>
      <c r="E6290" s="14"/>
      <c r="F6290" s="433"/>
      <c r="G6290" s="434"/>
      <c r="H6290" s="14"/>
      <c r="I6290" s="423"/>
      <c r="J6290" s="14"/>
      <c r="K6290" s="13"/>
      <c r="L6290" s="13"/>
      <c r="M6290" s="14"/>
      <c r="N6290" s="15"/>
      <c r="O6290" s="15"/>
      <c r="P6290" s="15"/>
      <c r="Q6290" s="15"/>
      <c r="R6290" s="422"/>
      <c r="S6290" s="15"/>
      <c r="T6290" s="15"/>
      <c r="U6290" s="15"/>
      <c r="V6290" s="15"/>
      <c r="W6290" s="15"/>
      <c r="X6290" s="15"/>
      <c r="Y6290" s="15"/>
      <c r="Z6290" s="15"/>
      <c r="AA6290" s="15"/>
    </row>
    <row r="6291">
      <c r="A6291" s="15"/>
      <c r="B6291" s="15"/>
      <c r="C6291" s="14"/>
      <c r="D6291" s="14"/>
      <c r="E6291" s="14"/>
      <c r="F6291" s="433"/>
      <c r="G6291" s="434"/>
      <c r="H6291" s="14"/>
      <c r="I6291" s="423"/>
      <c r="J6291" s="14"/>
      <c r="K6291" s="13"/>
      <c r="L6291" s="13"/>
      <c r="M6291" s="14"/>
      <c r="N6291" s="15"/>
      <c r="O6291" s="15"/>
      <c r="P6291" s="15"/>
      <c r="Q6291" s="15"/>
      <c r="R6291" s="422"/>
      <c r="S6291" s="15"/>
      <c r="T6291" s="15"/>
      <c r="U6291" s="15"/>
      <c r="V6291" s="15"/>
      <c r="W6291" s="15"/>
      <c r="X6291" s="15"/>
      <c r="Y6291" s="15"/>
      <c r="Z6291" s="15"/>
      <c r="AA6291" s="15"/>
    </row>
    <row r="6292">
      <c r="A6292" s="15"/>
      <c r="B6292" s="15"/>
      <c r="C6292" s="14"/>
      <c r="D6292" s="14"/>
      <c r="E6292" s="14"/>
      <c r="F6292" s="433"/>
      <c r="G6292" s="434"/>
      <c r="H6292" s="14"/>
      <c r="I6292" s="423"/>
      <c r="J6292" s="14"/>
      <c r="K6292" s="13"/>
      <c r="L6292" s="13"/>
      <c r="M6292" s="14"/>
      <c r="N6292" s="15"/>
      <c r="O6292" s="15"/>
      <c r="P6292" s="15"/>
      <c r="Q6292" s="15"/>
      <c r="R6292" s="422"/>
      <c r="S6292" s="15"/>
      <c r="T6292" s="15"/>
      <c r="U6292" s="15"/>
      <c r="V6292" s="15"/>
      <c r="W6292" s="15"/>
      <c r="X6292" s="15"/>
      <c r="Y6292" s="15"/>
      <c r="Z6292" s="15"/>
      <c r="AA6292" s="15"/>
    </row>
    <row r="6293">
      <c r="A6293" s="15"/>
      <c r="B6293" s="15"/>
      <c r="C6293" s="14"/>
      <c r="D6293" s="14"/>
      <c r="E6293" s="14"/>
      <c r="F6293" s="433"/>
      <c r="G6293" s="434"/>
      <c r="H6293" s="14"/>
      <c r="I6293" s="423"/>
      <c r="J6293" s="14"/>
      <c r="K6293" s="13"/>
      <c r="L6293" s="13"/>
      <c r="M6293" s="14"/>
      <c r="N6293" s="15"/>
      <c r="O6293" s="15"/>
      <c r="P6293" s="15"/>
      <c r="Q6293" s="15"/>
      <c r="R6293" s="422"/>
      <c r="S6293" s="15"/>
      <c r="T6293" s="15"/>
      <c r="U6293" s="15"/>
      <c r="V6293" s="15"/>
      <c r="W6293" s="15"/>
      <c r="X6293" s="15"/>
      <c r="Y6293" s="15"/>
      <c r="Z6293" s="15"/>
      <c r="AA6293" s="15"/>
    </row>
    <row r="6294">
      <c r="A6294" s="15"/>
      <c r="B6294" s="15"/>
      <c r="C6294" s="14"/>
      <c r="D6294" s="14"/>
      <c r="E6294" s="14"/>
      <c r="F6294" s="433"/>
      <c r="G6294" s="434"/>
      <c r="H6294" s="14"/>
      <c r="I6294" s="423"/>
      <c r="J6294" s="14"/>
      <c r="K6294" s="13"/>
      <c r="L6294" s="13"/>
      <c r="M6294" s="14"/>
      <c r="N6294" s="15"/>
      <c r="O6294" s="15"/>
      <c r="P6294" s="15"/>
      <c r="Q6294" s="15"/>
      <c r="R6294" s="422"/>
      <c r="S6294" s="15"/>
      <c r="T6294" s="15"/>
      <c r="U6294" s="15"/>
      <c r="V6294" s="15"/>
      <c r="W6294" s="15"/>
      <c r="X6294" s="15"/>
      <c r="Y6294" s="15"/>
      <c r="Z6294" s="15"/>
      <c r="AA6294" s="15"/>
    </row>
    <row r="6295">
      <c r="A6295" s="15"/>
      <c r="B6295" s="15"/>
      <c r="C6295" s="14"/>
      <c r="D6295" s="14"/>
      <c r="E6295" s="14"/>
      <c r="F6295" s="433"/>
      <c r="G6295" s="434"/>
      <c r="H6295" s="14"/>
      <c r="I6295" s="423"/>
      <c r="J6295" s="14"/>
      <c r="K6295" s="13"/>
      <c r="L6295" s="13"/>
      <c r="M6295" s="14"/>
      <c r="N6295" s="15"/>
      <c r="O6295" s="15"/>
      <c r="P6295" s="15"/>
      <c r="Q6295" s="15"/>
      <c r="R6295" s="422"/>
      <c r="S6295" s="15"/>
      <c r="T6295" s="15"/>
      <c r="U6295" s="15"/>
      <c r="V6295" s="15"/>
      <c r="W6295" s="15"/>
      <c r="X6295" s="15"/>
      <c r="Y6295" s="15"/>
      <c r="Z6295" s="15"/>
      <c r="AA6295" s="15"/>
    </row>
    <row r="6296">
      <c r="A6296" s="15"/>
      <c r="B6296" s="15"/>
      <c r="C6296" s="14"/>
      <c r="D6296" s="14"/>
      <c r="E6296" s="14"/>
      <c r="F6296" s="433"/>
      <c r="G6296" s="434"/>
      <c r="H6296" s="14"/>
      <c r="I6296" s="423"/>
      <c r="J6296" s="14"/>
      <c r="K6296" s="13"/>
      <c r="L6296" s="13"/>
      <c r="M6296" s="14"/>
      <c r="N6296" s="15"/>
      <c r="O6296" s="15"/>
      <c r="P6296" s="15"/>
      <c r="Q6296" s="15"/>
      <c r="R6296" s="422"/>
      <c r="S6296" s="15"/>
      <c r="T6296" s="15"/>
      <c r="U6296" s="15"/>
      <c r="V6296" s="15"/>
      <c r="W6296" s="15"/>
      <c r="X6296" s="15"/>
      <c r="Y6296" s="15"/>
      <c r="Z6296" s="15"/>
      <c r="AA6296" s="15"/>
    </row>
    <row r="6297">
      <c r="A6297" s="15"/>
      <c r="B6297" s="15"/>
      <c r="C6297" s="14"/>
      <c r="D6297" s="14"/>
      <c r="E6297" s="14"/>
      <c r="F6297" s="433"/>
      <c r="G6297" s="434"/>
      <c r="H6297" s="14"/>
      <c r="I6297" s="423"/>
      <c r="J6297" s="14"/>
      <c r="K6297" s="13"/>
      <c r="L6297" s="13"/>
      <c r="M6297" s="14"/>
      <c r="N6297" s="15"/>
      <c r="O6297" s="15"/>
      <c r="P6297" s="15"/>
      <c r="Q6297" s="15"/>
      <c r="R6297" s="422"/>
      <c r="S6297" s="15"/>
      <c r="T6297" s="15"/>
      <c r="U6297" s="15"/>
      <c r="V6297" s="15"/>
      <c r="W6297" s="15"/>
      <c r="X6297" s="15"/>
      <c r="Y6297" s="15"/>
      <c r="Z6297" s="15"/>
      <c r="AA6297" s="15"/>
    </row>
    <row r="6298">
      <c r="A6298" s="15"/>
      <c r="B6298" s="15"/>
      <c r="C6298" s="14"/>
      <c r="D6298" s="14"/>
      <c r="E6298" s="14"/>
      <c r="F6298" s="433"/>
      <c r="G6298" s="434"/>
      <c r="H6298" s="14"/>
      <c r="I6298" s="423"/>
      <c r="J6298" s="14"/>
      <c r="K6298" s="13"/>
      <c r="L6298" s="13"/>
      <c r="M6298" s="14"/>
      <c r="N6298" s="15"/>
      <c r="O6298" s="15"/>
      <c r="P6298" s="15"/>
      <c r="Q6298" s="15"/>
      <c r="R6298" s="422"/>
      <c r="S6298" s="15"/>
      <c r="T6298" s="15"/>
      <c r="U6298" s="15"/>
      <c r="V6298" s="15"/>
      <c r="W6298" s="15"/>
      <c r="X6298" s="15"/>
      <c r="Y6298" s="15"/>
      <c r="Z6298" s="15"/>
      <c r="AA6298" s="15"/>
    </row>
    <row r="6299">
      <c r="A6299" s="15"/>
      <c r="B6299" s="15"/>
      <c r="C6299" s="14"/>
      <c r="D6299" s="14"/>
      <c r="E6299" s="14"/>
      <c r="F6299" s="433"/>
      <c r="G6299" s="434"/>
      <c r="H6299" s="14"/>
      <c r="I6299" s="423"/>
      <c r="J6299" s="14"/>
      <c r="K6299" s="13"/>
      <c r="L6299" s="13"/>
      <c r="M6299" s="14"/>
      <c r="N6299" s="15"/>
      <c r="O6299" s="15"/>
      <c r="P6299" s="15"/>
      <c r="Q6299" s="15"/>
      <c r="R6299" s="422"/>
      <c r="S6299" s="15"/>
      <c r="T6299" s="15"/>
      <c r="U6299" s="15"/>
      <c r="V6299" s="15"/>
      <c r="W6299" s="15"/>
      <c r="X6299" s="15"/>
      <c r="Y6299" s="15"/>
      <c r="Z6299" s="15"/>
      <c r="AA6299" s="15"/>
    </row>
    <row r="6300">
      <c r="A6300" s="15"/>
      <c r="B6300" s="15"/>
      <c r="C6300" s="14"/>
      <c r="D6300" s="14"/>
      <c r="E6300" s="14"/>
      <c r="F6300" s="433"/>
      <c r="G6300" s="434"/>
      <c r="H6300" s="14"/>
      <c r="I6300" s="423"/>
      <c r="J6300" s="14"/>
      <c r="K6300" s="13"/>
      <c r="L6300" s="13"/>
      <c r="M6300" s="14"/>
      <c r="N6300" s="15"/>
      <c r="O6300" s="15"/>
      <c r="P6300" s="15"/>
      <c r="Q6300" s="15"/>
      <c r="R6300" s="422"/>
      <c r="S6300" s="15"/>
      <c r="T6300" s="15"/>
      <c r="U6300" s="15"/>
      <c r="V6300" s="15"/>
      <c r="W6300" s="15"/>
      <c r="X6300" s="15"/>
      <c r="Y6300" s="15"/>
      <c r="Z6300" s="15"/>
      <c r="AA6300" s="15"/>
    </row>
    <row r="6301">
      <c r="A6301" s="15"/>
      <c r="B6301" s="15"/>
      <c r="C6301" s="14"/>
      <c r="D6301" s="14"/>
      <c r="E6301" s="14"/>
      <c r="F6301" s="433"/>
      <c r="G6301" s="434"/>
      <c r="H6301" s="14"/>
      <c r="I6301" s="423"/>
      <c r="J6301" s="14"/>
      <c r="K6301" s="13"/>
      <c r="L6301" s="13"/>
      <c r="M6301" s="14"/>
      <c r="N6301" s="15"/>
      <c r="O6301" s="15"/>
      <c r="P6301" s="15"/>
      <c r="Q6301" s="15"/>
      <c r="R6301" s="422"/>
      <c r="S6301" s="15"/>
      <c r="T6301" s="15"/>
      <c r="U6301" s="15"/>
      <c r="V6301" s="15"/>
      <c r="W6301" s="15"/>
      <c r="X6301" s="15"/>
      <c r="Y6301" s="15"/>
      <c r="Z6301" s="15"/>
      <c r="AA6301" s="15"/>
    </row>
    <row r="6302">
      <c r="A6302" s="15"/>
      <c r="B6302" s="15"/>
      <c r="C6302" s="14"/>
      <c r="D6302" s="14"/>
      <c r="E6302" s="14"/>
      <c r="F6302" s="433"/>
      <c r="G6302" s="434"/>
      <c r="H6302" s="14"/>
      <c r="I6302" s="423"/>
      <c r="J6302" s="14"/>
      <c r="K6302" s="13"/>
      <c r="L6302" s="13"/>
      <c r="M6302" s="14"/>
      <c r="N6302" s="15"/>
      <c r="O6302" s="15"/>
      <c r="P6302" s="15"/>
      <c r="Q6302" s="15"/>
      <c r="R6302" s="422"/>
      <c r="S6302" s="15"/>
      <c r="T6302" s="15"/>
      <c r="U6302" s="15"/>
      <c r="V6302" s="15"/>
      <c r="W6302" s="15"/>
      <c r="X6302" s="15"/>
      <c r="Y6302" s="15"/>
      <c r="Z6302" s="15"/>
      <c r="AA6302" s="15"/>
    </row>
    <row r="6303">
      <c r="A6303" s="15"/>
      <c r="B6303" s="15"/>
      <c r="C6303" s="14"/>
      <c r="D6303" s="14"/>
      <c r="E6303" s="14"/>
      <c r="F6303" s="433"/>
      <c r="G6303" s="434"/>
      <c r="H6303" s="14"/>
      <c r="I6303" s="423"/>
      <c r="J6303" s="14"/>
      <c r="K6303" s="13"/>
      <c r="L6303" s="13"/>
      <c r="M6303" s="14"/>
      <c r="N6303" s="15"/>
      <c r="O6303" s="15"/>
      <c r="P6303" s="15"/>
      <c r="Q6303" s="15"/>
      <c r="R6303" s="422"/>
      <c r="S6303" s="15"/>
      <c r="T6303" s="15"/>
      <c r="U6303" s="15"/>
      <c r="V6303" s="15"/>
      <c r="W6303" s="15"/>
      <c r="X6303" s="15"/>
      <c r="Y6303" s="15"/>
      <c r="Z6303" s="15"/>
      <c r="AA6303" s="15"/>
    </row>
    <row r="6304">
      <c r="A6304" s="15"/>
      <c r="B6304" s="15"/>
      <c r="C6304" s="14"/>
      <c r="D6304" s="14"/>
      <c r="E6304" s="14"/>
      <c r="F6304" s="433"/>
      <c r="G6304" s="434"/>
      <c r="H6304" s="14"/>
      <c r="I6304" s="423"/>
      <c r="J6304" s="14"/>
      <c r="K6304" s="13"/>
      <c r="L6304" s="13"/>
      <c r="M6304" s="14"/>
      <c r="N6304" s="15"/>
      <c r="O6304" s="15"/>
      <c r="P6304" s="15"/>
      <c r="Q6304" s="15"/>
      <c r="R6304" s="422"/>
      <c r="S6304" s="15"/>
      <c r="T6304" s="15"/>
      <c r="U6304" s="15"/>
      <c r="V6304" s="15"/>
      <c r="W6304" s="15"/>
      <c r="X6304" s="15"/>
      <c r="Y6304" s="15"/>
      <c r="Z6304" s="15"/>
      <c r="AA6304" s="15"/>
    </row>
    <row r="6305">
      <c r="A6305" s="15"/>
      <c r="B6305" s="15"/>
      <c r="C6305" s="14"/>
      <c r="D6305" s="14"/>
      <c r="E6305" s="14"/>
      <c r="F6305" s="433"/>
      <c r="G6305" s="434"/>
      <c r="H6305" s="14"/>
      <c r="I6305" s="423"/>
      <c r="J6305" s="14"/>
      <c r="K6305" s="13"/>
      <c r="L6305" s="13"/>
      <c r="M6305" s="14"/>
      <c r="N6305" s="15"/>
      <c r="O6305" s="15"/>
      <c r="P6305" s="15"/>
      <c r="Q6305" s="15"/>
      <c r="R6305" s="422"/>
      <c r="S6305" s="15"/>
      <c r="T6305" s="15"/>
      <c r="U6305" s="15"/>
      <c r="V6305" s="15"/>
      <c r="W6305" s="15"/>
      <c r="X6305" s="15"/>
      <c r="Y6305" s="15"/>
      <c r="Z6305" s="15"/>
      <c r="AA6305" s="15"/>
    </row>
    <row r="6306">
      <c r="A6306" s="15"/>
      <c r="B6306" s="15"/>
      <c r="C6306" s="14"/>
      <c r="D6306" s="14"/>
      <c r="E6306" s="14"/>
      <c r="F6306" s="433"/>
      <c r="G6306" s="434"/>
      <c r="H6306" s="14"/>
      <c r="I6306" s="423"/>
      <c r="J6306" s="14"/>
      <c r="K6306" s="13"/>
      <c r="L6306" s="13"/>
      <c r="M6306" s="14"/>
      <c r="N6306" s="15"/>
      <c r="O6306" s="15"/>
      <c r="P6306" s="15"/>
      <c r="Q6306" s="15"/>
      <c r="R6306" s="422"/>
      <c r="S6306" s="15"/>
      <c r="T6306" s="15"/>
      <c r="U6306" s="15"/>
      <c r="V6306" s="15"/>
      <c r="W6306" s="15"/>
      <c r="X6306" s="15"/>
      <c r="Y6306" s="15"/>
      <c r="Z6306" s="15"/>
      <c r="AA6306" s="15"/>
    </row>
    <row r="6307">
      <c r="A6307" s="15"/>
      <c r="B6307" s="15"/>
      <c r="C6307" s="14"/>
      <c r="D6307" s="14"/>
      <c r="E6307" s="14"/>
      <c r="F6307" s="433"/>
      <c r="G6307" s="434"/>
      <c r="H6307" s="14"/>
      <c r="I6307" s="423"/>
      <c r="J6307" s="14"/>
      <c r="K6307" s="13"/>
      <c r="L6307" s="13"/>
      <c r="M6307" s="14"/>
      <c r="N6307" s="15"/>
      <c r="O6307" s="15"/>
      <c r="P6307" s="15"/>
      <c r="Q6307" s="15"/>
      <c r="R6307" s="422"/>
      <c r="S6307" s="15"/>
      <c r="T6307" s="15"/>
      <c r="U6307" s="15"/>
      <c r="V6307" s="15"/>
      <c r="W6307" s="15"/>
      <c r="X6307" s="15"/>
      <c r="Y6307" s="15"/>
      <c r="Z6307" s="15"/>
      <c r="AA6307" s="15"/>
    </row>
    <row r="6308">
      <c r="A6308" s="15"/>
      <c r="B6308" s="15"/>
      <c r="C6308" s="14"/>
      <c r="D6308" s="14"/>
      <c r="E6308" s="14"/>
      <c r="F6308" s="433"/>
      <c r="G6308" s="434"/>
      <c r="H6308" s="14"/>
      <c r="I6308" s="423"/>
      <c r="J6308" s="14"/>
      <c r="K6308" s="13"/>
      <c r="L6308" s="13"/>
      <c r="M6308" s="14"/>
      <c r="N6308" s="15"/>
      <c r="O6308" s="15"/>
      <c r="P6308" s="15"/>
      <c r="Q6308" s="15"/>
      <c r="R6308" s="422"/>
      <c r="S6308" s="15"/>
      <c r="T6308" s="15"/>
      <c r="U6308" s="15"/>
      <c r="V6308" s="15"/>
      <c r="W6308" s="15"/>
      <c r="X6308" s="15"/>
      <c r="Y6308" s="15"/>
      <c r="Z6308" s="15"/>
      <c r="AA6308" s="15"/>
    </row>
    <row r="6309">
      <c r="A6309" s="15"/>
      <c r="B6309" s="15"/>
      <c r="C6309" s="14"/>
      <c r="D6309" s="14"/>
      <c r="E6309" s="14"/>
      <c r="F6309" s="433"/>
      <c r="G6309" s="434"/>
      <c r="H6309" s="14"/>
      <c r="I6309" s="423"/>
      <c r="J6309" s="14"/>
      <c r="K6309" s="13"/>
      <c r="L6309" s="13"/>
      <c r="M6309" s="14"/>
      <c r="N6309" s="15"/>
      <c r="O6309" s="15"/>
      <c r="P6309" s="15"/>
      <c r="Q6309" s="15"/>
      <c r="R6309" s="422"/>
      <c r="S6309" s="15"/>
      <c r="T6309" s="15"/>
      <c r="U6309" s="15"/>
      <c r="V6309" s="15"/>
      <c r="W6309" s="15"/>
      <c r="X6309" s="15"/>
      <c r="Y6309" s="15"/>
      <c r="Z6309" s="15"/>
      <c r="AA6309" s="15"/>
    </row>
    <row r="6310">
      <c r="A6310" s="15"/>
      <c r="B6310" s="15"/>
      <c r="C6310" s="14"/>
      <c r="D6310" s="14"/>
      <c r="E6310" s="14"/>
      <c r="F6310" s="433"/>
      <c r="G6310" s="434"/>
      <c r="H6310" s="14"/>
      <c r="I6310" s="423"/>
      <c r="J6310" s="14"/>
      <c r="K6310" s="13"/>
      <c r="L6310" s="13"/>
      <c r="M6310" s="14"/>
      <c r="N6310" s="15"/>
      <c r="O6310" s="15"/>
      <c r="P6310" s="15"/>
      <c r="Q6310" s="15"/>
      <c r="R6310" s="422"/>
      <c r="S6310" s="15"/>
      <c r="T6310" s="15"/>
      <c r="U6310" s="15"/>
      <c r="V6310" s="15"/>
      <c r="W6310" s="15"/>
      <c r="X6310" s="15"/>
      <c r="Y6310" s="15"/>
      <c r="Z6310" s="15"/>
      <c r="AA6310" s="15"/>
    </row>
    <row r="6311">
      <c r="A6311" s="15"/>
      <c r="B6311" s="15"/>
      <c r="C6311" s="14"/>
      <c r="D6311" s="14"/>
      <c r="E6311" s="14"/>
      <c r="F6311" s="433"/>
      <c r="G6311" s="434"/>
      <c r="H6311" s="14"/>
      <c r="I6311" s="423"/>
      <c r="J6311" s="14"/>
      <c r="K6311" s="13"/>
      <c r="L6311" s="13"/>
      <c r="M6311" s="14"/>
      <c r="N6311" s="15"/>
      <c r="O6311" s="15"/>
      <c r="P6311" s="15"/>
      <c r="Q6311" s="15"/>
      <c r="R6311" s="422"/>
      <c r="S6311" s="15"/>
      <c r="T6311" s="15"/>
      <c r="U6311" s="15"/>
      <c r="V6311" s="15"/>
      <c r="W6311" s="15"/>
      <c r="X6311" s="15"/>
      <c r="Y6311" s="15"/>
      <c r="Z6311" s="15"/>
      <c r="AA6311" s="15"/>
    </row>
    <row r="6312">
      <c r="A6312" s="15"/>
      <c r="B6312" s="15"/>
      <c r="C6312" s="14"/>
      <c r="D6312" s="14"/>
      <c r="E6312" s="14"/>
      <c r="F6312" s="433"/>
      <c r="G6312" s="434"/>
      <c r="H6312" s="14"/>
      <c r="I6312" s="423"/>
      <c r="J6312" s="14"/>
      <c r="K6312" s="13"/>
      <c r="L6312" s="13"/>
      <c r="M6312" s="14"/>
      <c r="N6312" s="15"/>
      <c r="O6312" s="15"/>
      <c r="P6312" s="15"/>
      <c r="Q6312" s="15"/>
      <c r="R6312" s="422"/>
      <c r="S6312" s="15"/>
      <c r="T6312" s="15"/>
      <c r="U6312" s="15"/>
      <c r="V6312" s="15"/>
      <c r="W6312" s="15"/>
      <c r="X6312" s="15"/>
      <c r="Y6312" s="15"/>
      <c r="Z6312" s="15"/>
      <c r="AA6312" s="15"/>
    </row>
    <row r="6313">
      <c r="A6313" s="15"/>
      <c r="B6313" s="15"/>
      <c r="C6313" s="14"/>
      <c r="D6313" s="14"/>
      <c r="E6313" s="14"/>
      <c r="F6313" s="433"/>
      <c r="G6313" s="434"/>
      <c r="H6313" s="14"/>
      <c r="I6313" s="423"/>
      <c r="J6313" s="14"/>
      <c r="K6313" s="13"/>
      <c r="L6313" s="13"/>
      <c r="M6313" s="14"/>
      <c r="N6313" s="15"/>
      <c r="O6313" s="15"/>
      <c r="P6313" s="15"/>
      <c r="Q6313" s="15"/>
      <c r="R6313" s="422"/>
      <c r="S6313" s="15"/>
      <c r="T6313" s="15"/>
      <c r="U6313" s="15"/>
      <c r="V6313" s="15"/>
      <c r="W6313" s="15"/>
      <c r="X6313" s="15"/>
      <c r="Y6313" s="15"/>
      <c r="Z6313" s="15"/>
      <c r="AA6313" s="15"/>
    </row>
    <row r="6314">
      <c r="A6314" s="15"/>
      <c r="B6314" s="15"/>
      <c r="C6314" s="14"/>
      <c r="D6314" s="14"/>
      <c r="E6314" s="14"/>
      <c r="F6314" s="433"/>
      <c r="G6314" s="434"/>
      <c r="H6314" s="14"/>
      <c r="I6314" s="423"/>
      <c r="J6314" s="14"/>
      <c r="K6314" s="13"/>
      <c r="L6314" s="13"/>
      <c r="M6314" s="14"/>
      <c r="N6314" s="15"/>
      <c r="O6314" s="15"/>
      <c r="P6314" s="15"/>
      <c r="Q6314" s="15"/>
      <c r="R6314" s="422"/>
      <c r="S6314" s="15"/>
      <c r="T6314" s="15"/>
      <c r="U6314" s="15"/>
      <c r="V6314" s="15"/>
      <c r="W6314" s="15"/>
      <c r="X6314" s="15"/>
      <c r="Y6314" s="15"/>
      <c r="Z6314" s="15"/>
      <c r="AA6314" s="15"/>
    </row>
    <row r="6315">
      <c r="A6315" s="15"/>
      <c r="B6315" s="15"/>
      <c r="C6315" s="14"/>
      <c r="D6315" s="14"/>
      <c r="E6315" s="14"/>
      <c r="F6315" s="433"/>
      <c r="G6315" s="434"/>
      <c r="H6315" s="14"/>
      <c r="I6315" s="423"/>
      <c r="J6315" s="14"/>
      <c r="K6315" s="13"/>
      <c r="L6315" s="13"/>
      <c r="M6315" s="14"/>
      <c r="N6315" s="15"/>
      <c r="O6315" s="15"/>
      <c r="P6315" s="15"/>
      <c r="Q6315" s="15"/>
      <c r="R6315" s="422"/>
      <c r="S6315" s="15"/>
      <c r="T6315" s="15"/>
      <c r="U6315" s="15"/>
      <c r="V6315" s="15"/>
      <c r="W6315" s="15"/>
      <c r="X6315" s="15"/>
      <c r="Y6315" s="15"/>
      <c r="Z6315" s="15"/>
      <c r="AA6315" s="15"/>
    </row>
    <row r="6316">
      <c r="A6316" s="15"/>
      <c r="B6316" s="15"/>
      <c r="C6316" s="14"/>
      <c r="D6316" s="14"/>
      <c r="E6316" s="14"/>
      <c r="F6316" s="433"/>
      <c r="G6316" s="434"/>
      <c r="H6316" s="14"/>
      <c r="I6316" s="423"/>
      <c r="J6316" s="14"/>
      <c r="K6316" s="13"/>
      <c r="L6316" s="13"/>
      <c r="M6316" s="14"/>
      <c r="N6316" s="15"/>
      <c r="O6316" s="15"/>
      <c r="P6316" s="15"/>
      <c r="Q6316" s="15"/>
      <c r="R6316" s="422"/>
      <c r="S6316" s="15"/>
      <c r="T6316" s="15"/>
      <c r="U6316" s="15"/>
      <c r="V6316" s="15"/>
      <c r="W6316" s="15"/>
      <c r="X6316" s="15"/>
      <c r="Y6316" s="15"/>
      <c r="Z6316" s="15"/>
      <c r="AA6316" s="15"/>
    </row>
    <row r="6317">
      <c r="A6317" s="15"/>
      <c r="B6317" s="15"/>
      <c r="C6317" s="14"/>
      <c r="D6317" s="14"/>
      <c r="E6317" s="14"/>
      <c r="F6317" s="433"/>
      <c r="G6317" s="434"/>
      <c r="H6317" s="14"/>
      <c r="I6317" s="423"/>
      <c r="J6317" s="14"/>
      <c r="K6317" s="13"/>
      <c r="L6317" s="13"/>
      <c r="M6317" s="14"/>
      <c r="N6317" s="15"/>
      <c r="O6317" s="15"/>
      <c r="P6317" s="15"/>
      <c r="Q6317" s="15"/>
      <c r="R6317" s="422"/>
      <c r="S6317" s="15"/>
      <c r="T6317" s="15"/>
      <c r="U6317" s="15"/>
      <c r="V6317" s="15"/>
      <c r="W6317" s="15"/>
      <c r="X6317" s="15"/>
      <c r="Y6317" s="15"/>
      <c r="Z6317" s="15"/>
      <c r="AA6317" s="15"/>
    </row>
    <row r="6318">
      <c r="A6318" s="15"/>
      <c r="B6318" s="15"/>
      <c r="C6318" s="14"/>
      <c r="D6318" s="14"/>
      <c r="E6318" s="14"/>
      <c r="F6318" s="433"/>
      <c r="G6318" s="434"/>
      <c r="H6318" s="14"/>
      <c r="I6318" s="423"/>
      <c r="J6318" s="14"/>
      <c r="K6318" s="13"/>
      <c r="L6318" s="13"/>
      <c r="M6318" s="14"/>
      <c r="N6318" s="15"/>
      <c r="O6318" s="15"/>
      <c r="P6318" s="15"/>
      <c r="Q6318" s="15"/>
      <c r="R6318" s="422"/>
      <c r="S6318" s="15"/>
      <c r="T6318" s="15"/>
      <c r="U6318" s="15"/>
      <c r="V6318" s="15"/>
      <c r="W6318" s="15"/>
      <c r="X6318" s="15"/>
      <c r="Y6318" s="15"/>
      <c r="Z6318" s="15"/>
      <c r="AA6318" s="15"/>
    </row>
    <row r="6319">
      <c r="A6319" s="15"/>
      <c r="B6319" s="15"/>
      <c r="C6319" s="14"/>
      <c r="D6319" s="14"/>
      <c r="E6319" s="14"/>
      <c r="F6319" s="433"/>
      <c r="G6319" s="434"/>
      <c r="H6319" s="14"/>
      <c r="I6319" s="423"/>
      <c r="J6319" s="14"/>
      <c r="K6319" s="13"/>
      <c r="L6319" s="13"/>
      <c r="M6319" s="14"/>
      <c r="N6319" s="15"/>
      <c r="O6319" s="15"/>
      <c r="P6319" s="15"/>
      <c r="Q6319" s="15"/>
      <c r="R6319" s="422"/>
      <c r="S6319" s="15"/>
      <c r="T6319" s="15"/>
      <c r="U6319" s="15"/>
      <c r="V6319" s="15"/>
      <c r="W6319" s="15"/>
      <c r="X6319" s="15"/>
      <c r="Y6319" s="15"/>
      <c r="Z6319" s="15"/>
      <c r="AA6319" s="15"/>
    </row>
    <row r="6320">
      <c r="A6320" s="15"/>
      <c r="B6320" s="15"/>
      <c r="C6320" s="14"/>
      <c r="D6320" s="14"/>
      <c r="E6320" s="14"/>
      <c r="F6320" s="433"/>
      <c r="G6320" s="434"/>
      <c r="H6320" s="14"/>
      <c r="I6320" s="423"/>
      <c r="J6320" s="14"/>
      <c r="K6320" s="13"/>
      <c r="L6320" s="13"/>
      <c r="M6320" s="14"/>
      <c r="N6320" s="15"/>
      <c r="O6320" s="15"/>
      <c r="P6320" s="15"/>
      <c r="Q6320" s="15"/>
      <c r="R6320" s="422"/>
      <c r="S6320" s="15"/>
      <c r="T6320" s="15"/>
      <c r="U6320" s="15"/>
      <c r="V6320" s="15"/>
      <c r="W6320" s="15"/>
      <c r="X6320" s="15"/>
      <c r="Y6320" s="15"/>
      <c r="Z6320" s="15"/>
      <c r="AA6320" s="15"/>
    </row>
    <row r="6321">
      <c r="A6321" s="15"/>
      <c r="B6321" s="15"/>
      <c r="C6321" s="14"/>
      <c r="D6321" s="14"/>
      <c r="E6321" s="14"/>
      <c r="F6321" s="433"/>
      <c r="G6321" s="434"/>
      <c r="H6321" s="14"/>
      <c r="I6321" s="423"/>
      <c r="J6321" s="14"/>
      <c r="K6321" s="13"/>
      <c r="L6321" s="13"/>
      <c r="M6321" s="14"/>
      <c r="N6321" s="15"/>
      <c r="O6321" s="15"/>
      <c r="P6321" s="15"/>
      <c r="Q6321" s="15"/>
      <c r="R6321" s="422"/>
      <c r="S6321" s="15"/>
      <c r="T6321" s="15"/>
      <c r="U6321" s="15"/>
      <c r="V6321" s="15"/>
      <c r="W6321" s="15"/>
      <c r="X6321" s="15"/>
      <c r="Y6321" s="15"/>
      <c r="Z6321" s="15"/>
      <c r="AA6321" s="15"/>
    </row>
    <row r="6322">
      <c r="A6322" s="15"/>
      <c r="B6322" s="15"/>
      <c r="C6322" s="14"/>
      <c r="D6322" s="14"/>
      <c r="E6322" s="14"/>
      <c r="F6322" s="433"/>
      <c r="G6322" s="434"/>
      <c r="H6322" s="14"/>
      <c r="I6322" s="423"/>
      <c r="J6322" s="14"/>
      <c r="K6322" s="13"/>
      <c r="L6322" s="13"/>
      <c r="M6322" s="14"/>
      <c r="N6322" s="15"/>
      <c r="O6322" s="15"/>
      <c r="P6322" s="15"/>
      <c r="Q6322" s="15"/>
      <c r="R6322" s="422"/>
      <c r="S6322" s="15"/>
      <c r="T6322" s="15"/>
      <c r="U6322" s="15"/>
      <c r="V6322" s="15"/>
      <c r="W6322" s="15"/>
      <c r="X6322" s="15"/>
      <c r="Y6322" s="15"/>
      <c r="Z6322" s="15"/>
      <c r="AA6322" s="15"/>
    </row>
    <row r="6323">
      <c r="A6323" s="15"/>
      <c r="B6323" s="15"/>
      <c r="C6323" s="14"/>
      <c r="D6323" s="14"/>
      <c r="E6323" s="14"/>
      <c r="F6323" s="433"/>
      <c r="G6323" s="434"/>
      <c r="H6323" s="14"/>
      <c r="I6323" s="423"/>
      <c r="J6323" s="14"/>
      <c r="K6323" s="13"/>
      <c r="L6323" s="13"/>
      <c r="M6323" s="14"/>
      <c r="N6323" s="15"/>
      <c r="O6323" s="15"/>
      <c r="P6323" s="15"/>
      <c r="Q6323" s="15"/>
      <c r="R6323" s="422"/>
      <c r="S6323" s="15"/>
      <c r="T6323" s="15"/>
      <c r="U6323" s="15"/>
      <c r="V6323" s="15"/>
      <c r="W6323" s="15"/>
      <c r="X6323" s="15"/>
      <c r="Y6323" s="15"/>
      <c r="Z6323" s="15"/>
      <c r="AA6323" s="15"/>
    </row>
    <row r="6324">
      <c r="A6324" s="15"/>
      <c r="B6324" s="15"/>
      <c r="C6324" s="14"/>
      <c r="D6324" s="14"/>
      <c r="E6324" s="14"/>
      <c r="F6324" s="433"/>
      <c r="G6324" s="434"/>
      <c r="H6324" s="14"/>
      <c r="I6324" s="423"/>
      <c r="J6324" s="14"/>
      <c r="K6324" s="13"/>
      <c r="L6324" s="13"/>
      <c r="M6324" s="14"/>
      <c r="N6324" s="15"/>
      <c r="O6324" s="15"/>
      <c r="P6324" s="15"/>
      <c r="Q6324" s="15"/>
      <c r="R6324" s="422"/>
      <c r="S6324" s="15"/>
      <c r="T6324" s="15"/>
      <c r="U6324" s="15"/>
      <c r="V6324" s="15"/>
      <c r="W6324" s="15"/>
      <c r="X6324" s="15"/>
      <c r="Y6324" s="15"/>
      <c r="Z6324" s="15"/>
      <c r="AA6324" s="15"/>
    </row>
    <row r="6325">
      <c r="A6325" s="15"/>
      <c r="B6325" s="15"/>
      <c r="C6325" s="14"/>
      <c r="D6325" s="14"/>
      <c r="E6325" s="14"/>
      <c r="F6325" s="433"/>
      <c r="G6325" s="434"/>
      <c r="H6325" s="14"/>
      <c r="I6325" s="423"/>
      <c r="J6325" s="14"/>
      <c r="K6325" s="13"/>
      <c r="L6325" s="13"/>
      <c r="M6325" s="14"/>
      <c r="N6325" s="15"/>
      <c r="O6325" s="15"/>
      <c r="P6325" s="15"/>
      <c r="Q6325" s="15"/>
      <c r="R6325" s="422"/>
      <c r="S6325" s="15"/>
      <c r="T6325" s="15"/>
      <c r="U6325" s="15"/>
      <c r="V6325" s="15"/>
      <c r="W6325" s="15"/>
      <c r="X6325" s="15"/>
      <c r="Y6325" s="15"/>
      <c r="Z6325" s="15"/>
      <c r="AA6325" s="15"/>
    </row>
    <row r="6326">
      <c r="A6326" s="15"/>
      <c r="B6326" s="15"/>
      <c r="C6326" s="14"/>
      <c r="D6326" s="14"/>
      <c r="E6326" s="14"/>
      <c r="F6326" s="433"/>
      <c r="G6326" s="434"/>
      <c r="H6326" s="14"/>
      <c r="I6326" s="423"/>
      <c r="J6326" s="14"/>
      <c r="K6326" s="13"/>
      <c r="L6326" s="13"/>
      <c r="M6326" s="14"/>
      <c r="N6326" s="15"/>
      <c r="O6326" s="15"/>
      <c r="P6326" s="15"/>
      <c r="Q6326" s="15"/>
      <c r="R6326" s="422"/>
      <c r="S6326" s="15"/>
      <c r="T6326" s="15"/>
      <c r="U6326" s="15"/>
      <c r="V6326" s="15"/>
      <c r="W6326" s="15"/>
      <c r="X6326" s="15"/>
      <c r="Y6326" s="15"/>
      <c r="Z6326" s="15"/>
      <c r="AA6326" s="15"/>
    </row>
    <row r="6327">
      <c r="A6327" s="15"/>
      <c r="B6327" s="15"/>
      <c r="C6327" s="14"/>
      <c r="D6327" s="14"/>
      <c r="E6327" s="14"/>
      <c r="F6327" s="433"/>
      <c r="G6327" s="434"/>
      <c r="H6327" s="14"/>
      <c r="I6327" s="423"/>
      <c r="J6327" s="14"/>
      <c r="K6327" s="13"/>
      <c r="L6327" s="13"/>
      <c r="M6327" s="14"/>
      <c r="N6327" s="15"/>
      <c r="O6327" s="15"/>
      <c r="P6327" s="15"/>
      <c r="Q6327" s="15"/>
      <c r="R6327" s="422"/>
      <c r="S6327" s="15"/>
      <c r="T6327" s="15"/>
      <c r="U6327" s="15"/>
      <c r="V6327" s="15"/>
      <c r="W6327" s="15"/>
      <c r="X6327" s="15"/>
      <c r="Y6327" s="15"/>
      <c r="Z6327" s="15"/>
      <c r="AA6327" s="15"/>
    </row>
    <row r="6328">
      <c r="A6328" s="15"/>
      <c r="B6328" s="15"/>
      <c r="C6328" s="14"/>
      <c r="D6328" s="14"/>
      <c r="E6328" s="14"/>
      <c r="F6328" s="433"/>
      <c r="G6328" s="434"/>
      <c r="H6328" s="14"/>
      <c r="I6328" s="423"/>
      <c r="J6328" s="14"/>
      <c r="K6328" s="13"/>
      <c r="L6328" s="13"/>
      <c r="M6328" s="14"/>
      <c r="N6328" s="15"/>
      <c r="O6328" s="15"/>
      <c r="P6328" s="15"/>
      <c r="Q6328" s="15"/>
      <c r="R6328" s="422"/>
      <c r="S6328" s="15"/>
      <c r="T6328" s="15"/>
      <c r="U6328" s="15"/>
      <c r="V6328" s="15"/>
      <c r="W6328" s="15"/>
      <c r="X6328" s="15"/>
      <c r="Y6328" s="15"/>
      <c r="Z6328" s="15"/>
      <c r="AA6328" s="15"/>
    </row>
    <row r="6329">
      <c r="A6329" s="15"/>
      <c r="B6329" s="15"/>
      <c r="C6329" s="14"/>
      <c r="D6329" s="14"/>
      <c r="E6329" s="14"/>
      <c r="F6329" s="433"/>
      <c r="G6329" s="434"/>
      <c r="H6329" s="14"/>
      <c r="I6329" s="423"/>
      <c r="J6329" s="14"/>
      <c r="K6329" s="13"/>
      <c r="L6329" s="13"/>
      <c r="M6329" s="14"/>
      <c r="N6329" s="15"/>
      <c r="O6329" s="15"/>
      <c r="P6329" s="15"/>
      <c r="Q6329" s="15"/>
      <c r="R6329" s="422"/>
      <c r="S6329" s="15"/>
      <c r="T6329" s="15"/>
      <c r="U6329" s="15"/>
      <c r="V6329" s="15"/>
      <c r="W6329" s="15"/>
      <c r="X6329" s="15"/>
      <c r="Y6329" s="15"/>
      <c r="Z6329" s="15"/>
      <c r="AA6329" s="15"/>
    </row>
    <row r="6330">
      <c r="A6330" s="15"/>
      <c r="B6330" s="15"/>
      <c r="C6330" s="14"/>
      <c r="D6330" s="14"/>
      <c r="E6330" s="14"/>
      <c r="F6330" s="433"/>
      <c r="G6330" s="434"/>
      <c r="H6330" s="14"/>
      <c r="I6330" s="423"/>
      <c r="J6330" s="14"/>
      <c r="K6330" s="13"/>
      <c r="L6330" s="13"/>
      <c r="M6330" s="14"/>
      <c r="N6330" s="15"/>
      <c r="O6330" s="15"/>
      <c r="P6330" s="15"/>
      <c r="Q6330" s="15"/>
      <c r="R6330" s="422"/>
      <c r="S6330" s="15"/>
      <c r="T6330" s="15"/>
      <c r="U6330" s="15"/>
      <c r="V6330" s="15"/>
      <c r="W6330" s="15"/>
      <c r="X6330" s="15"/>
      <c r="Y6330" s="15"/>
      <c r="Z6330" s="15"/>
      <c r="AA6330" s="15"/>
    </row>
    <row r="6331">
      <c r="A6331" s="15"/>
      <c r="B6331" s="15"/>
      <c r="C6331" s="14"/>
      <c r="D6331" s="14"/>
      <c r="E6331" s="14"/>
      <c r="F6331" s="433"/>
      <c r="G6331" s="434"/>
      <c r="H6331" s="14"/>
      <c r="I6331" s="423"/>
      <c r="J6331" s="14"/>
      <c r="K6331" s="13"/>
      <c r="L6331" s="13"/>
      <c r="M6331" s="14"/>
      <c r="N6331" s="15"/>
      <c r="O6331" s="15"/>
      <c r="P6331" s="15"/>
      <c r="Q6331" s="15"/>
      <c r="R6331" s="422"/>
      <c r="S6331" s="15"/>
      <c r="T6331" s="15"/>
      <c r="U6331" s="15"/>
      <c r="V6331" s="15"/>
      <c r="W6331" s="15"/>
      <c r="X6331" s="15"/>
      <c r="Y6331" s="15"/>
      <c r="Z6331" s="15"/>
      <c r="AA6331" s="15"/>
    </row>
    <row r="6332">
      <c r="A6332" s="15"/>
      <c r="B6332" s="15"/>
      <c r="C6332" s="14"/>
      <c r="D6332" s="14"/>
      <c r="E6332" s="14"/>
      <c r="F6332" s="433"/>
      <c r="G6332" s="434"/>
      <c r="H6332" s="14"/>
      <c r="I6332" s="423"/>
      <c r="J6332" s="14"/>
      <c r="K6332" s="13"/>
      <c r="L6332" s="13"/>
      <c r="M6332" s="14"/>
      <c r="N6332" s="15"/>
      <c r="O6332" s="15"/>
      <c r="P6332" s="15"/>
      <c r="Q6332" s="15"/>
      <c r="R6332" s="422"/>
      <c r="S6332" s="15"/>
      <c r="T6332" s="15"/>
      <c r="U6332" s="15"/>
      <c r="V6332" s="15"/>
      <c r="W6332" s="15"/>
      <c r="X6332" s="15"/>
      <c r="Y6332" s="15"/>
      <c r="Z6332" s="15"/>
      <c r="AA6332" s="15"/>
    </row>
    <row r="6333">
      <c r="A6333" s="15"/>
      <c r="B6333" s="15"/>
      <c r="C6333" s="14"/>
      <c r="D6333" s="14"/>
      <c r="E6333" s="14"/>
      <c r="F6333" s="433"/>
      <c r="G6333" s="434"/>
      <c r="H6333" s="14"/>
      <c r="I6333" s="423"/>
      <c r="J6333" s="14"/>
      <c r="K6333" s="13"/>
      <c r="L6333" s="13"/>
      <c r="M6333" s="14"/>
      <c r="N6333" s="15"/>
      <c r="O6333" s="15"/>
      <c r="P6333" s="15"/>
      <c r="Q6333" s="15"/>
      <c r="R6333" s="422"/>
      <c r="S6333" s="15"/>
      <c r="T6333" s="15"/>
      <c r="U6333" s="15"/>
      <c r="V6333" s="15"/>
      <c r="W6333" s="15"/>
      <c r="X6333" s="15"/>
      <c r="Y6333" s="15"/>
      <c r="Z6333" s="15"/>
      <c r="AA6333" s="15"/>
    </row>
    <row r="6334">
      <c r="A6334" s="15"/>
      <c r="B6334" s="15"/>
      <c r="C6334" s="14"/>
      <c r="D6334" s="14"/>
      <c r="E6334" s="14"/>
      <c r="F6334" s="433"/>
      <c r="G6334" s="434"/>
      <c r="H6334" s="14"/>
      <c r="I6334" s="423"/>
      <c r="J6334" s="14"/>
      <c r="K6334" s="13"/>
      <c r="L6334" s="13"/>
      <c r="M6334" s="14"/>
      <c r="N6334" s="15"/>
      <c r="O6334" s="15"/>
      <c r="P6334" s="15"/>
      <c r="Q6334" s="15"/>
      <c r="R6334" s="422"/>
      <c r="S6334" s="15"/>
      <c r="T6334" s="15"/>
      <c r="U6334" s="15"/>
      <c r="V6334" s="15"/>
      <c r="W6334" s="15"/>
      <c r="X6334" s="15"/>
      <c r="Y6334" s="15"/>
      <c r="Z6334" s="15"/>
      <c r="AA6334" s="15"/>
    </row>
    <row r="6335">
      <c r="A6335" s="15"/>
      <c r="B6335" s="15"/>
      <c r="C6335" s="14"/>
      <c r="D6335" s="14"/>
      <c r="E6335" s="14"/>
      <c r="F6335" s="433"/>
      <c r="G6335" s="434"/>
      <c r="H6335" s="14"/>
      <c r="I6335" s="423"/>
      <c r="J6335" s="14"/>
      <c r="K6335" s="13"/>
      <c r="L6335" s="13"/>
      <c r="M6335" s="14"/>
      <c r="N6335" s="15"/>
      <c r="O6335" s="15"/>
      <c r="P6335" s="15"/>
      <c r="Q6335" s="15"/>
      <c r="R6335" s="422"/>
      <c r="S6335" s="15"/>
      <c r="T6335" s="15"/>
      <c r="U6335" s="15"/>
      <c r="V6335" s="15"/>
      <c r="W6335" s="15"/>
      <c r="X6335" s="15"/>
      <c r="Y6335" s="15"/>
      <c r="Z6335" s="15"/>
      <c r="AA6335" s="15"/>
    </row>
    <row r="6336">
      <c r="A6336" s="15"/>
      <c r="B6336" s="15"/>
      <c r="C6336" s="14"/>
      <c r="D6336" s="14"/>
      <c r="E6336" s="14"/>
      <c r="F6336" s="433"/>
      <c r="G6336" s="434"/>
      <c r="H6336" s="14"/>
      <c r="I6336" s="423"/>
      <c r="J6336" s="14"/>
      <c r="K6336" s="13"/>
      <c r="L6336" s="13"/>
      <c r="M6336" s="14"/>
      <c r="N6336" s="15"/>
      <c r="O6336" s="15"/>
      <c r="P6336" s="15"/>
      <c r="Q6336" s="15"/>
      <c r="R6336" s="422"/>
      <c r="S6336" s="15"/>
      <c r="T6336" s="15"/>
      <c r="U6336" s="15"/>
      <c r="V6336" s="15"/>
      <c r="W6336" s="15"/>
      <c r="X6336" s="15"/>
      <c r="Y6336" s="15"/>
      <c r="Z6336" s="15"/>
      <c r="AA6336" s="15"/>
    </row>
    <row r="6337">
      <c r="A6337" s="15"/>
      <c r="B6337" s="15"/>
      <c r="C6337" s="14"/>
      <c r="D6337" s="14"/>
      <c r="E6337" s="14"/>
      <c r="F6337" s="433"/>
      <c r="G6337" s="434"/>
      <c r="H6337" s="14"/>
      <c r="I6337" s="423"/>
      <c r="J6337" s="14"/>
      <c r="K6337" s="13"/>
      <c r="L6337" s="13"/>
      <c r="M6337" s="14"/>
      <c r="N6337" s="15"/>
      <c r="O6337" s="15"/>
      <c r="P6337" s="15"/>
      <c r="Q6337" s="15"/>
      <c r="R6337" s="422"/>
      <c r="S6337" s="15"/>
      <c r="T6337" s="15"/>
      <c r="U6337" s="15"/>
      <c r="V6337" s="15"/>
      <c r="W6337" s="15"/>
      <c r="X6337" s="15"/>
      <c r="Y6337" s="15"/>
      <c r="Z6337" s="15"/>
      <c r="AA6337" s="15"/>
    </row>
    <row r="6338">
      <c r="A6338" s="15"/>
      <c r="B6338" s="15"/>
      <c r="C6338" s="14"/>
      <c r="D6338" s="14"/>
      <c r="E6338" s="14"/>
      <c r="F6338" s="433"/>
      <c r="G6338" s="434"/>
      <c r="H6338" s="14"/>
      <c r="I6338" s="423"/>
      <c r="J6338" s="14"/>
      <c r="K6338" s="13"/>
      <c r="L6338" s="13"/>
      <c r="M6338" s="14"/>
      <c r="N6338" s="15"/>
      <c r="O6338" s="15"/>
      <c r="P6338" s="15"/>
      <c r="Q6338" s="15"/>
      <c r="R6338" s="422"/>
      <c r="S6338" s="15"/>
      <c r="T6338" s="15"/>
      <c r="U6338" s="15"/>
      <c r="V6338" s="15"/>
      <c r="W6338" s="15"/>
      <c r="X6338" s="15"/>
      <c r="Y6338" s="15"/>
      <c r="Z6338" s="15"/>
      <c r="AA6338" s="15"/>
    </row>
    <row r="6339">
      <c r="A6339" s="15"/>
      <c r="B6339" s="15"/>
      <c r="C6339" s="14"/>
      <c r="D6339" s="14"/>
      <c r="E6339" s="14"/>
      <c r="F6339" s="433"/>
      <c r="G6339" s="434"/>
      <c r="H6339" s="14"/>
      <c r="I6339" s="423"/>
      <c r="J6339" s="14"/>
      <c r="K6339" s="13"/>
      <c r="L6339" s="13"/>
      <c r="M6339" s="14"/>
      <c r="N6339" s="15"/>
      <c r="O6339" s="15"/>
      <c r="P6339" s="15"/>
      <c r="Q6339" s="15"/>
      <c r="R6339" s="422"/>
      <c r="S6339" s="15"/>
      <c r="T6339" s="15"/>
      <c r="U6339" s="15"/>
      <c r="V6339" s="15"/>
      <c r="W6339" s="15"/>
      <c r="X6339" s="15"/>
      <c r="Y6339" s="15"/>
      <c r="Z6339" s="15"/>
      <c r="AA6339" s="15"/>
    </row>
    <row r="6340">
      <c r="A6340" s="15"/>
      <c r="B6340" s="15"/>
      <c r="C6340" s="14"/>
      <c r="D6340" s="14"/>
      <c r="E6340" s="14"/>
      <c r="F6340" s="433"/>
      <c r="G6340" s="434"/>
      <c r="H6340" s="14"/>
      <c r="I6340" s="423"/>
      <c r="J6340" s="14"/>
      <c r="K6340" s="13"/>
      <c r="L6340" s="13"/>
      <c r="M6340" s="14"/>
      <c r="N6340" s="15"/>
      <c r="O6340" s="15"/>
      <c r="P6340" s="15"/>
      <c r="Q6340" s="15"/>
      <c r="R6340" s="422"/>
      <c r="S6340" s="15"/>
      <c r="T6340" s="15"/>
      <c r="U6340" s="15"/>
      <c r="V6340" s="15"/>
      <c r="W6340" s="15"/>
      <c r="X6340" s="15"/>
      <c r="Y6340" s="15"/>
      <c r="Z6340" s="15"/>
      <c r="AA6340" s="15"/>
    </row>
    <row r="6341">
      <c r="A6341" s="15"/>
      <c r="B6341" s="15"/>
      <c r="C6341" s="14"/>
      <c r="D6341" s="14"/>
      <c r="E6341" s="14"/>
      <c r="F6341" s="433"/>
      <c r="G6341" s="434"/>
      <c r="H6341" s="14"/>
      <c r="I6341" s="423"/>
      <c r="J6341" s="14"/>
      <c r="K6341" s="13"/>
      <c r="L6341" s="13"/>
      <c r="M6341" s="14"/>
      <c r="N6341" s="15"/>
      <c r="O6341" s="15"/>
      <c r="P6341" s="15"/>
      <c r="Q6341" s="15"/>
      <c r="R6341" s="422"/>
      <c r="S6341" s="15"/>
      <c r="T6341" s="15"/>
      <c r="U6341" s="15"/>
      <c r="V6341" s="15"/>
      <c r="W6341" s="15"/>
      <c r="X6341" s="15"/>
      <c r="Y6341" s="15"/>
      <c r="Z6341" s="15"/>
      <c r="AA6341" s="15"/>
    </row>
    <row r="6342">
      <c r="A6342" s="15"/>
      <c r="B6342" s="15"/>
      <c r="C6342" s="14"/>
      <c r="D6342" s="14"/>
      <c r="E6342" s="14"/>
      <c r="F6342" s="433"/>
      <c r="G6342" s="434"/>
      <c r="H6342" s="14"/>
      <c r="I6342" s="423"/>
      <c r="J6342" s="14"/>
      <c r="K6342" s="13"/>
      <c r="L6342" s="13"/>
      <c r="M6342" s="14"/>
      <c r="N6342" s="15"/>
      <c r="O6342" s="15"/>
      <c r="P6342" s="15"/>
      <c r="Q6342" s="15"/>
      <c r="R6342" s="422"/>
      <c r="S6342" s="15"/>
      <c r="T6342" s="15"/>
      <c r="U6342" s="15"/>
      <c r="V6342" s="15"/>
      <c r="W6342" s="15"/>
      <c r="X6342" s="15"/>
      <c r="Y6342" s="15"/>
      <c r="Z6342" s="15"/>
      <c r="AA6342" s="15"/>
    </row>
    <row r="6343">
      <c r="A6343" s="15"/>
      <c r="B6343" s="15"/>
      <c r="C6343" s="14"/>
      <c r="D6343" s="14"/>
      <c r="E6343" s="14"/>
      <c r="F6343" s="433"/>
      <c r="G6343" s="434"/>
      <c r="H6343" s="14"/>
      <c r="I6343" s="423"/>
      <c r="J6343" s="14"/>
      <c r="K6343" s="13"/>
      <c r="L6343" s="13"/>
      <c r="M6343" s="14"/>
      <c r="N6343" s="15"/>
      <c r="O6343" s="15"/>
      <c r="P6343" s="15"/>
      <c r="Q6343" s="15"/>
      <c r="R6343" s="422"/>
      <c r="S6343" s="15"/>
      <c r="T6343" s="15"/>
      <c r="U6343" s="15"/>
      <c r="V6343" s="15"/>
      <c r="W6343" s="15"/>
      <c r="X6343" s="15"/>
      <c r="Y6343" s="15"/>
      <c r="Z6343" s="15"/>
      <c r="AA6343" s="15"/>
    </row>
    <row r="6344">
      <c r="A6344" s="15"/>
      <c r="B6344" s="15"/>
      <c r="C6344" s="14"/>
      <c r="D6344" s="14"/>
      <c r="E6344" s="14"/>
      <c r="F6344" s="433"/>
      <c r="G6344" s="434"/>
      <c r="H6344" s="14"/>
      <c r="I6344" s="423"/>
      <c r="J6344" s="14"/>
      <c r="K6344" s="13"/>
      <c r="L6344" s="13"/>
      <c r="M6344" s="14"/>
      <c r="N6344" s="15"/>
      <c r="O6344" s="15"/>
      <c r="P6344" s="15"/>
      <c r="Q6344" s="15"/>
      <c r="R6344" s="422"/>
      <c r="S6344" s="15"/>
      <c r="T6344" s="15"/>
      <c r="U6344" s="15"/>
      <c r="V6344" s="15"/>
      <c r="W6344" s="15"/>
      <c r="X6344" s="15"/>
      <c r="Y6344" s="15"/>
      <c r="Z6344" s="15"/>
      <c r="AA6344" s="15"/>
    </row>
    <row r="6345">
      <c r="A6345" s="15"/>
      <c r="B6345" s="15"/>
      <c r="C6345" s="14"/>
      <c r="D6345" s="14"/>
      <c r="E6345" s="14"/>
      <c r="F6345" s="433"/>
      <c r="G6345" s="434"/>
      <c r="H6345" s="14"/>
      <c r="I6345" s="423"/>
      <c r="J6345" s="14"/>
      <c r="K6345" s="13"/>
      <c r="L6345" s="13"/>
      <c r="M6345" s="14"/>
      <c r="N6345" s="15"/>
      <c r="O6345" s="15"/>
      <c r="P6345" s="15"/>
      <c r="Q6345" s="15"/>
      <c r="R6345" s="422"/>
      <c r="S6345" s="15"/>
      <c r="T6345" s="15"/>
      <c r="U6345" s="15"/>
      <c r="V6345" s="15"/>
      <c r="W6345" s="15"/>
      <c r="X6345" s="15"/>
      <c r="Y6345" s="15"/>
      <c r="Z6345" s="15"/>
      <c r="AA6345" s="15"/>
    </row>
    <row r="6346">
      <c r="A6346" s="15"/>
      <c r="B6346" s="15"/>
      <c r="C6346" s="14"/>
      <c r="D6346" s="14"/>
      <c r="E6346" s="14"/>
      <c r="F6346" s="433"/>
      <c r="G6346" s="434"/>
      <c r="H6346" s="14"/>
      <c r="I6346" s="423"/>
      <c r="J6346" s="14"/>
      <c r="K6346" s="13"/>
      <c r="L6346" s="13"/>
      <c r="M6346" s="14"/>
      <c r="N6346" s="15"/>
      <c r="O6346" s="15"/>
      <c r="P6346" s="15"/>
      <c r="Q6346" s="15"/>
      <c r="R6346" s="422"/>
      <c r="S6346" s="15"/>
      <c r="T6346" s="15"/>
      <c r="U6346" s="15"/>
      <c r="V6346" s="15"/>
      <c r="W6346" s="15"/>
      <c r="X6346" s="15"/>
      <c r="Y6346" s="15"/>
      <c r="Z6346" s="15"/>
      <c r="AA6346" s="15"/>
    </row>
    <row r="6347">
      <c r="A6347" s="15"/>
      <c r="B6347" s="15"/>
      <c r="C6347" s="14"/>
      <c r="D6347" s="14"/>
      <c r="E6347" s="14"/>
      <c r="F6347" s="433"/>
      <c r="G6347" s="434"/>
      <c r="H6347" s="14"/>
      <c r="I6347" s="423"/>
      <c r="J6347" s="14"/>
      <c r="K6347" s="13"/>
      <c r="L6347" s="13"/>
      <c r="M6347" s="14"/>
      <c r="N6347" s="15"/>
      <c r="O6347" s="15"/>
      <c r="P6347" s="15"/>
      <c r="Q6347" s="15"/>
      <c r="R6347" s="422"/>
      <c r="S6347" s="15"/>
      <c r="T6347" s="15"/>
      <c r="U6347" s="15"/>
      <c r="V6347" s="15"/>
      <c r="W6347" s="15"/>
      <c r="X6347" s="15"/>
      <c r="Y6347" s="15"/>
      <c r="Z6347" s="15"/>
      <c r="AA6347" s="15"/>
    </row>
    <row r="6348">
      <c r="A6348" s="15"/>
      <c r="B6348" s="15"/>
      <c r="C6348" s="14"/>
      <c r="D6348" s="14"/>
      <c r="E6348" s="14"/>
      <c r="F6348" s="433"/>
      <c r="G6348" s="434"/>
      <c r="H6348" s="14"/>
      <c r="I6348" s="423"/>
      <c r="J6348" s="14"/>
      <c r="K6348" s="13"/>
      <c r="L6348" s="13"/>
      <c r="M6348" s="14"/>
      <c r="N6348" s="15"/>
      <c r="O6348" s="15"/>
      <c r="P6348" s="15"/>
      <c r="Q6348" s="15"/>
      <c r="R6348" s="422"/>
      <c r="S6348" s="15"/>
      <c r="T6348" s="15"/>
      <c r="U6348" s="15"/>
      <c r="V6348" s="15"/>
      <c r="W6348" s="15"/>
      <c r="X6348" s="15"/>
      <c r="Y6348" s="15"/>
      <c r="Z6348" s="15"/>
      <c r="AA6348" s="15"/>
    </row>
    <row r="6349">
      <c r="A6349" s="15"/>
      <c r="B6349" s="15"/>
      <c r="C6349" s="14"/>
      <c r="D6349" s="14"/>
      <c r="E6349" s="14"/>
      <c r="F6349" s="433"/>
      <c r="G6349" s="434"/>
      <c r="H6349" s="14"/>
      <c r="I6349" s="423"/>
      <c r="J6349" s="14"/>
      <c r="K6349" s="13"/>
      <c r="L6349" s="13"/>
      <c r="M6349" s="14"/>
      <c r="N6349" s="15"/>
      <c r="O6349" s="15"/>
      <c r="P6349" s="15"/>
      <c r="Q6349" s="15"/>
      <c r="R6349" s="422"/>
      <c r="S6349" s="15"/>
      <c r="T6349" s="15"/>
      <c r="U6349" s="15"/>
      <c r="V6349" s="15"/>
      <c r="W6349" s="15"/>
      <c r="X6349" s="15"/>
      <c r="Y6349" s="15"/>
      <c r="Z6349" s="15"/>
      <c r="AA6349" s="15"/>
    </row>
    <row r="6350">
      <c r="A6350" s="15"/>
      <c r="B6350" s="15"/>
      <c r="C6350" s="14"/>
      <c r="D6350" s="14"/>
      <c r="E6350" s="14"/>
      <c r="F6350" s="433"/>
      <c r="G6350" s="434"/>
      <c r="H6350" s="14"/>
      <c r="I6350" s="423"/>
      <c r="J6350" s="14"/>
      <c r="K6350" s="13"/>
      <c r="L6350" s="13"/>
      <c r="M6350" s="14"/>
      <c r="N6350" s="15"/>
      <c r="O6350" s="15"/>
      <c r="P6350" s="15"/>
      <c r="Q6350" s="15"/>
      <c r="R6350" s="422"/>
      <c r="S6350" s="15"/>
      <c r="T6350" s="15"/>
      <c r="U6350" s="15"/>
      <c r="V6350" s="15"/>
      <c r="W6350" s="15"/>
      <c r="X6350" s="15"/>
      <c r="Y6350" s="15"/>
      <c r="Z6350" s="15"/>
      <c r="AA6350" s="15"/>
    </row>
    <row r="6351">
      <c r="A6351" s="15"/>
      <c r="B6351" s="15"/>
      <c r="C6351" s="14"/>
      <c r="D6351" s="14"/>
      <c r="E6351" s="14"/>
      <c r="F6351" s="433"/>
      <c r="G6351" s="434"/>
      <c r="H6351" s="14"/>
      <c r="I6351" s="423"/>
      <c r="J6351" s="14"/>
      <c r="K6351" s="13"/>
      <c r="L6351" s="13"/>
      <c r="M6351" s="14"/>
      <c r="N6351" s="15"/>
      <c r="O6351" s="15"/>
      <c r="P6351" s="15"/>
      <c r="Q6351" s="15"/>
      <c r="R6351" s="422"/>
      <c r="S6351" s="15"/>
      <c r="T6351" s="15"/>
      <c r="U6351" s="15"/>
      <c r="V6351" s="15"/>
      <c r="W6351" s="15"/>
      <c r="X6351" s="15"/>
      <c r="Y6351" s="15"/>
      <c r="Z6351" s="15"/>
      <c r="AA6351" s="15"/>
    </row>
    <row r="6352">
      <c r="A6352" s="15"/>
      <c r="B6352" s="15"/>
      <c r="C6352" s="14"/>
      <c r="D6352" s="14"/>
      <c r="E6352" s="14"/>
      <c r="F6352" s="433"/>
      <c r="G6352" s="434"/>
      <c r="H6352" s="14"/>
      <c r="I6352" s="423"/>
      <c r="J6352" s="14"/>
      <c r="K6352" s="13"/>
      <c r="L6352" s="13"/>
      <c r="M6352" s="14"/>
      <c r="N6352" s="15"/>
      <c r="O6352" s="15"/>
      <c r="P6352" s="15"/>
      <c r="Q6352" s="15"/>
      <c r="R6352" s="422"/>
      <c r="S6352" s="15"/>
      <c r="T6352" s="15"/>
      <c r="U6352" s="15"/>
      <c r="V6352" s="15"/>
      <c r="W6352" s="15"/>
      <c r="X6352" s="15"/>
      <c r="Y6352" s="15"/>
      <c r="Z6352" s="15"/>
      <c r="AA6352" s="15"/>
    </row>
    <row r="6353">
      <c r="A6353" s="15"/>
      <c r="B6353" s="15"/>
      <c r="C6353" s="14"/>
      <c r="D6353" s="14"/>
      <c r="E6353" s="14"/>
      <c r="F6353" s="433"/>
      <c r="G6353" s="434"/>
      <c r="H6353" s="14"/>
      <c r="I6353" s="423"/>
      <c r="J6353" s="14"/>
      <c r="K6353" s="13"/>
      <c r="L6353" s="13"/>
      <c r="M6353" s="14"/>
      <c r="N6353" s="15"/>
      <c r="O6353" s="15"/>
      <c r="P6353" s="15"/>
      <c r="Q6353" s="15"/>
      <c r="R6353" s="422"/>
      <c r="S6353" s="15"/>
      <c r="T6353" s="15"/>
      <c r="U6353" s="15"/>
      <c r="V6353" s="15"/>
      <c r="W6353" s="15"/>
      <c r="X6353" s="15"/>
      <c r="Y6353" s="15"/>
      <c r="Z6353" s="15"/>
      <c r="AA6353" s="15"/>
    </row>
    <row r="6354">
      <c r="A6354" s="15"/>
      <c r="B6354" s="15"/>
      <c r="C6354" s="14"/>
      <c r="D6354" s="14"/>
      <c r="E6354" s="14"/>
      <c r="F6354" s="433"/>
      <c r="G6354" s="434"/>
      <c r="H6354" s="14"/>
      <c r="I6354" s="423"/>
      <c r="J6354" s="14"/>
      <c r="K6354" s="13"/>
      <c r="L6354" s="13"/>
      <c r="M6354" s="14"/>
      <c r="N6354" s="15"/>
      <c r="O6354" s="15"/>
      <c r="P6354" s="15"/>
      <c r="Q6354" s="15"/>
      <c r="R6354" s="422"/>
      <c r="S6354" s="15"/>
      <c r="T6354" s="15"/>
      <c r="U6354" s="15"/>
      <c r="V6354" s="15"/>
      <c r="W6354" s="15"/>
      <c r="X6354" s="15"/>
      <c r="Y6354" s="15"/>
      <c r="Z6354" s="15"/>
      <c r="AA6354" s="15"/>
    </row>
    <row r="6355">
      <c r="A6355" s="15"/>
      <c r="B6355" s="15"/>
      <c r="C6355" s="14"/>
      <c r="D6355" s="14"/>
      <c r="E6355" s="14"/>
      <c r="F6355" s="433"/>
      <c r="G6355" s="434"/>
      <c r="H6355" s="14"/>
      <c r="I6355" s="423"/>
      <c r="J6355" s="14"/>
      <c r="K6355" s="13"/>
      <c r="L6355" s="13"/>
      <c r="M6355" s="14"/>
      <c r="N6355" s="15"/>
      <c r="O6355" s="15"/>
      <c r="P6355" s="15"/>
      <c r="Q6355" s="15"/>
      <c r="R6355" s="422"/>
      <c r="S6355" s="15"/>
      <c r="T6355" s="15"/>
      <c r="U6355" s="15"/>
      <c r="V6355" s="15"/>
      <c r="W6355" s="15"/>
      <c r="X6355" s="15"/>
      <c r="Y6355" s="15"/>
      <c r="Z6355" s="15"/>
      <c r="AA6355" s="15"/>
    </row>
    <row r="6356">
      <c r="A6356" s="15"/>
      <c r="B6356" s="15"/>
      <c r="C6356" s="14"/>
      <c r="D6356" s="14"/>
      <c r="E6356" s="14"/>
      <c r="F6356" s="433"/>
      <c r="G6356" s="434"/>
      <c r="H6356" s="14"/>
      <c r="I6356" s="423"/>
      <c r="J6356" s="14"/>
      <c r="K6356" s="13"/>
      <c r="L6356" s="13"/>
      <c r="M6356" s="14"/>
      <c r="N6356" s="15"/>
      <c r="O6356" s="15"/>
      <c r="P6356" s="15"/>
      <c r="Q6356" s="15"/>
      <c r="R6356" s="422"/>
      <c r="S6356" s="15"/>
      <c r="T6356" s="15"/>
      <c r="U6356" s="15"/>
      <c r="V6356" s="15"/>
      <c r="W6356" s="15"/>
      <c r="X6356" s="15"/>
      <c r="Y6356" s="15"/>
      <c r="Z6356" s="15"/>
      <c r="AA6356" s="15"/>
    </row>
    <row r="6357">
      <c r="A6357" s="15"/>
      <c r="B6357" s="15"/>
      <c r="C6357" s="14"/>
      <c r="D6357" s="14"/>
      <c r="E6357" s="14"/>
      <c r="F6357" s="433"/>
      <c r="G6357" s="434"/>
      <c r="H6357" s="14"/>
      <c r="I6357" s="423"/>
      <c r="J6357" s="14"/>
      <c r="K6357" s="13"/>
      <c r="L6357" s="13"/>
      <c r="M6357" s="14"/>
      <c r="N6357" s="15"/>
      <c r="O6357" s="15"/>
      <c r="P6357" s="15"/>
      <c r="Q6357" s="15"/>
      <c r="R6357" s="422"/>
      <c r="S6357" s="15"/>
      <c r="T6357" s="15"/>
      <c r="U6357" s="15"/>
      <c r="V6357" s="15"/>
      <c r="W6357" s="15"/>
      <c r="X6357" s="15"/>
      <c r="Y6357" s="15"/>
      <c r="Z6357" s="15"/>
      <c r="AA6357" s="15"/>
    </row>
    <row r="6358">
      <c r="A6358" s="15"/>
      <c r="B6358" s="15"/>
      <c r="C6358" s="14"/>
      <c r="D6358" s="14"/>
      <c r="E6358" s="14"/>
      <c r="F6358" s="433"/>
      <c r="G6358" s="434"/>
      <c r="H6358" s="14"/>
      <c r="I6358" s="423"/>
      <c r="J6358" s="14"/>
      <c r="K6358" s="13"/>
      <c r="L6358" s="13"/>
      <c r="M6358" s="14"/>
      <c r="N6358" s="15"/>
      <c r="O6358" s="15"/>
      <c r="P6358" s="15"/>
      <c r="Q6358" s="15"/>
      <c r="R6358" s="422"/>
      <c r="S6358" s="15"/>
      <c r="T6358" s="15"/>
      <c r="U6358" s="15"/>
      <c r="V6358" s="15"/>
      <c r="W6358" s="15"/>
      <c r="X6358" s="15"/>
      <c r="Y6358" s="15"/>
      <c r="Z6358" s="15"/>
      <c r="AA6358" s="15"/>
    </row>
    <row r="6359">
      <c r="A6359" s="15"/>
      <c r="B6359" s="15"/>
      <c r="C6359" s="14"/>
      <c r="D6359" s="14"/>
      <c r="E6359" s="14"/>
      <c r="F6359" s="433"/>
      <c r="G6359" s="434"/>
      <c r="H6359" s="14"/>
      <c r="I6359" s="423"/>
      <c r="J6359" s="14"/>
      <c r="K6359" s="13"/>
      <c r="L6359" s="13"/>
      <c r="M6359" s="14"/>
      <c r="N6359" s="15"/>
      <c r="O6359" s="15"/>
      <c r="P6359" s="15"/>
      <c r="Q6359" s="15"/>
      <c r="R6359" s="422"/>
      <c r="S6359" s="15"/>
      <c r="T6359" s="15"/>
      <c r="U6359" s="15"/>
      <c r="V6359" s="15"/>
      <c r="W6359" s="15"/>
      <c r="X6359" s="15"/>
      <c r="Y6359" s="15"/>
      <c r="Z6359" s="15"/>
      <c r="AA6359" s="15"/>
    </row>
    <row r="6360">
      <c r="A6360" s="15"/>
      <c r="B6360" s="15"/>
      <c r="C6360" s="14"/>
      <c r="D6360" s="14"/>
      <c r="E6360" s="14"/>
      <c r="F6360" s="433"/>
      <c r="G6360" s="434"/>
      <c r="H6360" s="14"/>
      <c r="I6360" s="423"/>
      <c r="J6360" s="14"/>
      <c r="K6360" s="13"/>
      <c r="L6360" s="13"/>
      <c r="M6360" s="14"/>
      <c r="N6360" s="15"/>
      <c r="O6360" s="15"/>
      <c r="P6360" s="15"/>
      <c r="Q6360" s="15"/>
      <c r="R6360" s="422"/>
      <c r="S6360" s="15"/>
      <c r="T6360" s="15"/>
      <c r="U6360" s="15"/>
      <c r="V6360" s="15"/>
      <c r="W6360" s="15"/>
      <c r="X6360" s="15"/>
      <c r="Y6360" s="15"/>
      <c r="Z6360" s="15"/>
      <c r="AA6360" s="15"/>
    </row>
    <row r="6361">
      <c r="A6361" s="15"/>
      <c r="B6361" s="15"/>
      <c r="C6361" s="14"/>
      <c r="D6361" s="14"/>
      <c r="E6361" s="14"/>
      <c r="F6361" s="433"/>
      <c r="G6361" s="434"/>
      <c r="H6361" s="14"/>
      <c r="I6361" s="423"/>
      <c r="J6361" s="14"/>
      <c r="K6361" s="13"/>
      <c r="L6361" s="13"/>
      <c r="M6361" s="14"/>
      <c r="N6361" s="15"/>
      <c r="O6361" s="15"/>
      <c r="P6361" s="15"/>
      <c r="Q6361" s="15"/>
      <c r="R6361" s="422"/>
      <c r="S6361" s="15"/>
      <c r="T6361" s="15"/>
      <c r="U6361" s="15"/>
      <c r="V6361" s="15"/>
      <c r="W6361" s="15"/>
      <c r="X6361" s="15"/>
      <c r="Y6361" s="15"/>
      <c r="Z6361" s="15"/>
      <c r="AA6361" s="15"/>
    </row>
    <row r="6362">
      <c r="A6362" s="15"/>
      <c r="B6362" s="15"/>
      <c r="C6362" s="14"/>
      <c r="D6362" s="14"/>
      <c r="E6362" s="14"/>
      <c r="F6362" s="433"/>
      <c r="G6362" s="434"/>
      <c r="H6362" s="14"/>
      <c r="I6362" s="423"/>
      <c r="J6362" s="14"/>
      <c r="K6362" s="13"/>
      <c r="L6362" s="13"/>
      <c r="M6362" s="14"/>
      <c r="N6362" s="15"/>
      <c r="O6362" s="15"/>
      <c r="P6362" s="15"/>
      <c r="Q6362" s="15"/>
      <c r="R6362" s="422"/>
      <c r="S6362" s="15"/>
      <c r="T6362" s="15"/>
      <c r="U6362" s="15"/>
      <c r="V6362" s="15"/>
      <c r="W6362" s="15"/>
      <c r="X6362" s="15"/>
      <c r="Y6362" s="15"/>
      <c r="Z6362" s="15"/>
      <c r="AA6362" s="15"/>
    </row>
    <row r="6363">
      <c r="A6363" s="15"/>
      <c r="B6363" s="15"/>
      <c r="C6363" s="14"/>
      <c r="D6363" s="14"/>
      <c r="E6363" s="14"/>
      <c r="F6363" s="433"/>
      <c r="G6363" s="434"/>
      <c r="H6363" s="14"/>
      <c r="I6363" s="423"/>
      <c r="J6363" s="14"/>
      <c r="K6363" s="13"/>
      <c r="L6363" s="13"/>
      <c r="M6363" s="14"/>
      <c r="N6363" s="15"/>
      <c r="O6363" s="15"/>
      <c r="P6363" s="15"/>
      <c r="Q6363" s="15"/>
      <c r="R6363" s="422"/>
      <c r="S6363" s="15"/>
      <c r="T6363" s="15"/>
      <c r="U6363" s="15"/>
      <c r="V6363" s="15"/>
      <c r="W6363" s="15"/>
      <c r="X6363" s="15"/>
      <c r="Y6363" s="15"/>
      <c r="Z6363" s="15"/>
      <c r="AA6363" s="15"/>
    </row>
    <row r="6364">
      <c r="A6364" s="15"/>
      <c r="B6364" s="15"/>
      <c r="C6364" s="14"/>
      <c r="D6364" s="14"/>
      <c r="E6364" s="14"/>
      <c r="F6364" s="433"/>
      <c r="G6364" s="434"/>
      <c r="H6364" s="14"/>
      <c r="I6364" s="423"/>
      <c r="J6364" s="14"/>
      <c r="K6364" s="13"/>
      <c r="L6364" s="13"/>
      <c r="M6364" s="14"/>
      <c r="N6364" s="15"/>
      <c r="O6364" s="15"/>
      <c r="P6364" s="15"/>
      <c r="Q6364" s="15"/>
      <c r="R6364" s="422"/>
      <c r="S6364" s="15"/>
      <c r="T6364" s="15"/>
      <c r="U6364" s="15"/>
      <c r="V6364" s="15"/>
      <c r="W6364" s="15"/>
      <c r="X6364" s="15"/>
      <c r="Y6364" s="15"/>
      <c r="Z6364" s="15"/>
      <c r="AA6364" s="15"/>
    </row>
    <row r="6365">
      <c r="A6365" s="15"/>
      <c r="B6365" s="15"/>
      <c r="C6365" s="14"/>
      <c r="D6365" s="14"/>
      <c r="E6365" s="14"/>
      <c r="F6365" s="433"/>
      <c r="G6365" s="434"/>
      <c r="H6365" s="14"/>
      <c r="I6365" s="423"/>
      <c r="J6365" s="14"/>
      <c r="K6365" s="13"/>
      <c r="L6365" s="13"/>
      <c r="M6365" s="14"/>
      <c r="N6365" s="15"/>
      <c r="O6365" s="15"/>
      <c r="P6365" s="15"/>
      <c r="Q6365" s="15"/>
      <c r="R6365" s="422"/>
      <c r="S6365" s="15"/>
      <c r="T6365" s="15"/>
      <c r="U6365" s="15"/>
      <c r="V6365" s="15"/>
      <c r="W6365" s="15"/>
      <c r="X6365" s="15"/>
      <c r="Y6365" s="15"/>
      <c r="Z6365" s="15"/>
      <c r="AA6365" s="15"/>
    </row>
    <row r="6366">
      <c r="A6366" s="15"/>
      <c r="B6366" s="15"/>
      <c r="C6366" s="14"/>
      <c r="D6366" s="14"/>
      <c r="E6366" s="14"/>
      <c r="F6366" s="433"/>
      <c r="G6366" s="434"/>
      <c r="H6366" s="14"/>
      <c r="I6366" s="423"/>
      <c r="J6366" s="14"/>
      <c r="K6366" s="13"/>
      <c r="L6366" s="13"/>
      <c r="M6366" s="14"/>
      <c r="N6366" s="15"/>
      <c r="O6366" s="15"/>
      <c r="P6366" s="15"/>
      <c r="Q6366" s="15"/>
      <c r="R6366" s="422"/>
      <c r="S6366" s="15"/>
      <c r="T6366" s="15"/>
      <c r="U6366" s="15"/>
      <c r="V6366" s="15"/>
      <c r="W6366" s="15"/>
      <c r="X6366" s="15"/>
      <c r="Y6366" s="15"/>
      <c r="Z6366" s="15"/>
      <c r="AA6366" s="15"/>
    </row>
    <row r="6367">
      <c r="A6367" s="15"/>
      <c r="B6367" s="15"/>
      <c r="C6367" s="14"/>
      <c r="D6367" s="14"/>
      <c r="E6367" s="14"/>
      <c r="F6367" s="433"/>
      <c r="G6367" s="434"/>
      <c r="H6367" s="14"/>
      <c r="I6367" s="423"/>
      <c r="J6367" s="14"/>
      <c r="K6367" s="13"/>
      <c r="L6367" s="13"/>
      <c r="M6367" s="14"/>
      <c r="N6367" s="15"/>
      <c r="O6367" s="15"/>
      <c r="P6367" s="15"/>
      <c r="Q6367" s="15"/>
      <c r="R6367" s="422"/>
      <c r="S6367" s="15"/>
      <c r="T6367" s="15"/>
      <c r="U6367" s="15"/>
      <c r="V6367" s="15"/>
      <c r="W6367" s="15"/>
      <c r="X6367" s="15"/>
      <c r="Y6367" s="15"/>
      <c r="Z6367" s="15"/>
      <c r="AA6367" s="15"/>
    </row>
    <row r="6368">
      <c r="A6368" s="15"/>
      <c r="B6368" s="15"/>
      <c r="C6368" s="14"/>
      <c r="D6368" s="14"/>
      <c r="E6368" s="14"/>
      <c r="F6368" s="433"/>
      <c r="G6368" s="434"/>
      <c r="H6368" s="14"/>
      <c r="I6368" s="423"/>
      <c r="J6368" s="14"/>
      <c r="K6368" s="13"/>
      <c r="L6368" s="13"/>
      <c r="M6368" s="14"/>
      <c r="N6368" s="15"/>
      <c r="O6368" s="15"/>
      <c r="P6368" s="15"/>
      <c r="Q6368" s="15"/>
      <c r="R6368" s="422"/>
      <c r="S6368" s="15"/>
      <c r="T6368" s="15"/>
      <c r="U6368" s="15"/>
      <c r="V6368" s="15"/>
      <c r="W6368" s="15"/>
      <c r="X6368" s="15"/>
      <c r="Y6368" s="15"/>
      <c r="Z6368" s="15"/>
      <c r="AA6368" s="15"/>
    </row>
    <row r="6369">
      <c r="A6369" s="15"/>
      <c r="B6369" s="15"/>
      <c r="C6369" s="14"/>
      <c r="D6369" s="14"/>
      <c r="E6369" s="14"/>
      <c r="F6369" s="433"/>
      <c r="G6369" s="434"/>
      <c r="H6369" s="14"/>
      <c r="I6369" s="423"/>
      <c r="J6369" s="14"/>
      <c r="K6369" s="13"/>
      <c r="L6369" s="13"/>
      <c r="M6369" s="14"/>
      <c r="N6369" s="15"/>
      <c r="O6369" s="15"/>
      <c r="P6369" s="15"/>
      <c r="Q6369" s="15"/>
      <c r="R6369" s="422"/>
      <c r="S6369" s="15"/>
      <c r="T6369" s="15"/>
      <c r="U6369" s="15"/>
      <c r="V6369" s="15"/>
      <c r="W6369" s="15"/>
      <c r="X6369" s="15"/>
      <c r="Y6369" s="15"/>
      <c r="Z6369" s="15"/>
      <c r="AA6369" s="15"/>
    </row>
    <row r="6370">
      <c r="A6370" s="15"/>
      <c r="B6370" s="15"/>
      <c r="C6370" s="14"/>
      <c r="D6370" s="14"/>
      <c r="E6370" s="14"/>
      <c r="F6370" s="433"/>
      <c r="G6370" s="434"/>
      <c r="H6370" s="14"/>
      <c r="I6370" s="423"/>
      <c r="J6370" s="14"/>
      <c r="K6370" s="13"/>
      <c r="L6370" s="13"/>
      <c r="M6370" s="14"/>
      <c r="N6370" s="15"/>
      <c r="O6370" s="15"/>
      <c r="P6370" s="15"/>
      <c r="Q6370" s="15"/>
      <c r="R6370" s="422"/>
      <c r="S6370" s="15"/>
      <c r="T6370" s="15"/>
      <c r="U6370" s="15"/>
      <c r="V6370" s="15"/>
      <c r="W6370" s="15"/>
      <c r="X6370" s="15"/>
      <c r="Y6370" s="15"/>
      <c r="Z6370" s="15"/>
      <c r="AA6370" s="15"/>
    </row>
    <row r="6371">
      <c r="A6371" s="15"/>
      <c r="B6371" s="15"/>
      <c r="C6371" s="14"/>
      <c r="D6371" s="14"/>
      <c r="E6371" s="14"/>
      <c r="F6371" s="433"/>
      <c r="G6371" s="434"/>
      <c r="H6371" s="14"/>
      <c r="I6371" s="423"/>
      <c r="J6371" s="14"/>
      <c r="K6371" s="13"/>
      <c r="L6371" s="13"/>
      <c r="M6371" s="14"/>
      <c r="N6371" s="15"/>
      <c r="O6371" s="15"/>
      <c r="P6371" s="15"/>
      <c r="Q6371" s="15"/>
      <c r="R6371" s="422"/>
      <c r="S6371" s="15"/>
      <c r="T6371" s="15"/>
      <c r="U6371" s="15"/>
      <c r="V6371" s="15"/>
      <c r="W6371" s="15"/>
      <c r="X6371" s="15"/>
      <c r="Y6371" s="15"/>
      <c r="Z6371" s="15"/>
      <c r="AA6371" s="15"/>
    </row>
    <row r="6372">
      <c r="A6372" s="15"/>
      <c r="B6372" s="15"/>
      <c r="C6372" s="14"/>
      <c r="D6372" s="14"/>
      <c r="E6372" s="14"/>
      <c r="F6372" s="433"/>
      <c r="G6372" s="434"/>
      <c r="H6372" s="14"/>
      <c r="I6372" s="423"/>
      <c r="J6372" s="14"/>
      <c r="K6372" s="13"/>
      <c r="L6372" s="13"/>
      <c r="M6372" s="14"/>
      <c r="N6372" s="15"/>
      <c r="O6372" s="15"/>
      <c r="P6372" s="15"/>
      <c r="Q6372" s="15"/>
      <c r="R6372" s="422"/>
      <c r="S6372" s="15"/>
      <c r="T6372" s="15"/>
      <c r="U6372" s="15"/>
      <c r="V6372" s="15"/>
      <c r="W6372" s="15"/>
      <c r="X6372" s="15"/>
      <c r="Y6372" s="15"/>
      <c r="Z6372" s="15"/>
      <c r="AA6372" s="15"/>
    </row>
    <row r="6373">
      <c r="A6373" s="15"/>
      <c r="B6373" s="15"/>
      <c r="C6373" s="14"/>
      <c r="D6373" s="14"/>
      <c r="E6373" s="14"/>
      <c r="F6373" s="433"/>
      <c r="G6373" s="434"/>
      <c r="H6373" s="14"/>
      <c r="I6373" s="423"/>
      <c r="J6373" s="14"/>
      <c r="K6373" s="13"/>
      <c r="L6373" s="13"/>
      <c r="M6373" s="14"/>
      <c r="N6373" s="15"/>
      <c r="O6373" s="15"/>
      <c r="P6373" s="15"/>
      <c r="Q6373" s="15"/>
      <c r="R6373" s="422"/>
      <c r="S6373" s="15"/>
      <c r="T6373" s="15"/>
      <c r="U6373" s="15"/>
      <c r="V6373" s="15"/>
      <c r="W6373" s="15"/>
      <c r="X6373" s="15"/>
      <c r="Y6373" s="15"/>
      <c r="Z6373" s="15"/>
      <c r="AA6373" s="15"/>
    </row>
    <row r="6374">
      <c r="A6374" s="15"/>
      <c r="B6374" s="15"/>
      <c r="C6374" s="14"/>
      <c r="D6374" s="14"/>
      <c r="E6374" s="14"/>
      <c r="F6374" s="433"/>
      <c r="G6374" s="434"/>
      <c r="H6374" s="14"/>
      <c r="I6374" s="423"/>
      <c r="J6374" s="14"/>
      <c r="K6374" s="13"/>
      <c r="L6374" s="13"/>
      <c r="M6374" s="14"/>
      <c r="N6374" s="15"/>
      <c r="O6374" s="15"/>
      <c r="P6374" s="15"/>
      <c r="Q6374" s="15"/>
      <c r="R6374" s="422"/>
      <c r="S6374" s="15"/>
      <c r="T6374" s="15"/>
      <c r="U6374" s="15"/>
      <c r="V6374" s="15"/>
      <c r="W6374" s="15"/>
      <c r="X6374" s="15"/>
      <c r="Y6374" s="15"/>
      <c r="Z6374" s="15"/>
      <c r="AA6374" s="15"/>
    </row>
    <row r="6375">
      <c r="A6375" s="15"/>
      <c r="B6375" s="15"/>
      <c r="C6375" s="14"/>
      <c r="D6375" s="14"/>
      <c r="E6375" s="14"/>
      <c r="F6375" s="433"/>
      <c r="G6375" s="434"/>
      <c r="H6375" s="14"/>
      <c r="I6375" s="423"/>
      <c r="J6375" s="14"/>
      <c r="K6375" s="13"/>
      <c r="L6375" s="13"/>
      <c r="M6375" s="14"/>
      <c r="N6375" s="15"/>
      <c r="O6375" s="15"/>
      <c r="P6375" s="15"/>
      <c r="Q6375" s="15"/>
      <c r="R6375" s="422"/>
      <c r="S6375" s="15"/>
      <c r="T6375" s="15"/>
      <c r="U6375" s="15"/>
      <c r="V6375" s="15"/>
      <c r="W6375" s="15"/>
      <c r="X6375" s="15"/>
      <c r="Y6375" s="15"/>
      <c r="Z6375" s="15"/>
      <c r="AA6375" s="15"/>
    </row>
    <row r="6376">
      <c r="A6376" s="15"/>
      <c r="B6376" s="15"/>
      <c r="C6376" s="14"/>
      <c r="D6376" s="14"/>
      <c r="E6376" s="14"/>
      <c r="F6376" s="433"/>
      <c r="G6376" s="434"/>
      <c r="H6376" s="14"/>
      <c r="I6376" s="423"/>
      <c r="J6376" s="14"/>
      <c r="K6376" s="13"/>
      <c r="L6376" s="13"/>
      <c r="M6376" s="14"/>
      <c r="N6376" s="15"/>
      <c r="O6376" s="15"/>
      <c r="P6376" s="15"/>
      <c r="Q6376" s="15"/>
      <c r="R6376" s="422"/>
      <c r="S6376" s="15"/>
      <c r="T6376" s="15"/>
      <c r="U6376" s="15"/>
      <c r="V6376" s="15"/>
      <c r="W6376" s="15"/>
      <c r="X6376" s="15"/>
      <c r="Y6376" s="15"/>
      <c r="Z6376" s="15"/>
      <c r="AA6376" s="15"/>
    </row>
    <row r="6377">
      <c r="A6377" s="15"/>
      <c r="B6377" s="15"/>
      <c r="C6377" s="14"/>
      <c r="D6377" s="14"/>
      <c r="E6377" s="14"/>
      <c r="F6377" s="433"/>
      <c r="G6377" s="434"/>
      <c r="H6377" s="14"/>
      <c r="I6377" s="423"/>
      <c r="J6377" s="14"/>
      <c r="K6377" s="13"/>
      <c r="L6377" s="13"/>
      <c r="M6377" s="14"/>
      <c r="N6377" s="15"/>
      <c r="O6377" s="15"/>
      <c r="P6377" s="15"/>
      <c r="Q6377" s="15"/>
      <c r="R6377" s="422"/>
      <c r="S6377" s="15"/>
      <c r="T6377" s="15"/>
      <c r="U6377" s="15"/>
      <c r="V6377" s="15"/>
      <c r="W6377" s="15"/>
      <c r="X6377" s="15"/>
      <c r="Y6377" s="15"/>
      <c r="Z6377" s="15"/>
      <c r="AA6377" s="15"/>
    </row>
    <row r="6378">
      <c r="A6378" s="15"/>
      <c r="B6378" s="15"/>
      <c r="C6378" s="14"/>
      <c r="D6378" s="14"/>
      <c r="E6378" s="14"/>
      <c r="F6378" s="433"/>
      <c r="G6378" s="434"/>
      <c r="H6378" s="14"/>
      <c r="I6378" s="423"/>
      <c r="J6378" s="14"/>
      <c r="K6378" s="13"/>
      <c r="L6378" s="13"/>
      <c r="M6378" s="14"/>
      <c r="N6378" s="15"/>
      <c r="O6378" s="15"/>
      <c r="P6378" s="15"/>
      <c r="Q6378" s="15"/>
      <c r="R6378" s="422"/>
      <c r="S6378" s="15"/>
      <c r="T6378" s="15"/>
      <c r="U6378" s="15"/>
      <c r="V6378" s="15"/>
      <c r="W6378" s="15"/>
      <c r="X6378" s="15"/>
      <c r="Y6378" s="15"/>
      <c r="Z6378" s="15"/>
      <c r="AA6378" s="15"/>
    </row>
    <row r="6379">
      <c r="A6379" s="15"/>
      <c r="B6379" s="15"/>
      <c r="C6379" s="14"/>
      <c r="D6379" s="14"/>
      <c r="E6379" s="14"/>
      <c r="F6379" s="433"/>
      <c r="G6379" s="434"/>
      <c r="H6379" s="14"/>
      <c r="I6379" s="423"/>
      <c r="J6379" s="14"/>
      <c r="K6379" s="13"/>
      <c r="L6379" s="13"/>
      <c r="M6379" s="14"/>
      <c r="N6379" s="15"/>
      <c r="O6379" s="15"/>
      <c r="P6379" s="15"/>
      <c r="Q6379" s="15"/>
      <c r="R6379" s="422"/>
      <c r="S6379" s="15"/>
      <c r="T6379" s="15"/>
      <c r="U6379" s="15"/>
      <c r="V6379" s="15"/>
      <c r="W6379" s="15"/>
      <c r="X6379" s="15"/>
      <c r="Y6379" s="15"/>
      <c r="Z6379" s="15"/>
      <c r="AA6379" s="15"/>
    </row>
    <row r="6380">
      <c r="A6380" s="15"/>
      <c r="B6380" s="15"/>
      <c r="C6380" s="14"/>
      <c r="D6380" s="14"/>
      <c r="E6380" s="14"/>
      <c r="F6380" s="433"/>
      <c r="G6380" s="434"/>
      <c r="H6380" s="14"/>
      <c r="I6380" s="423"/>
      <c r="J6380" s="14"/>
      <c r="K6380" s="13"/>
      <c r="L6380" s="13"/>
      <c r="M6380" s="14"/>
      <c r="N6380" s="15"/>
      <c r="O6380" s="15"/>
      <c r="P6380" s="15"/>
      <c r="Q6380" s="15"/>
      <c r="R6380" s="422"/>
      <c r="S6380" s="15"/>
      <c r="T6380" s="15"/>
      <c r="U6380" s="15"/>
      <c r="V6380" s="15"/>
      <c r="W6380" s="15"/>
      <c r="X6380" s="15"/>
      <c r="Y6380" s="15"/>
      <c r="Z6380" s="15"/>
      <c r="AA6380" s="15"/>
    </row>
    <row r="6381">
      <c r="A6381" s="15"/>
      <c r="B6381" s="15"/>
      <c r="C6381" s="14"/>
      <c r="D6381" s="14"/>
      <c r="E6381" s="14"/>
      <c r="F6381" s="433"/>
      <c r="G6381" s="434"/>
      <c r="H6381" s="14"/>
      <c r="I6381" s="423"/>
      <c r="J6381" s="14"/>
      <c r="K6381" s="13"/>
      <c r="L6381" s="13"/>
      <c r="M6381" s="14"/>
      <c r="N6381" s="15"/>
      <c r="O6381" s="15"/>
      <c r="P6381" s="15"/>
      <c r="Q6381" s="15"/>
      <c r="R6381" s="422"/>
      <c r="S6381" s="15"/>
      <c r="T6381" s="15"/>
      <c r="U6381" s="15"/>
      <c r="V6381" s="15"/>
      <c r="W6381" s="15"/>
      <c r="X6381" s="15"/>
      <c r="Y6381" s="15"/>
      <c r="Z6381" s="15"/>
      <c r="AA6381" s="15"/>
    </row>
    <row r="6382">
      <c r="A6382" s="15"/>
      <c r="B6382" s="15"/>
      <c r="C6382" s="14"/>
      <c r="D6382" s="14"/>
      <c r="E6382" s="14"/>
      <c r="F6382" s="433"/>
      <c r="G6382" s="434"/>
      <c r="H6382" s="14"/>
      <c r="I6382" s="423"/>
      <c r="J6382" s="14"/>
      <c r="K6382" s="13"/>
      <c r="L6382" s="13"/>
      <c r="M6382" s="14"/>
      <c r="N6382" s="15"/>
      <c r="O6382" s="15"/>
      <c r="P6382" s="15"/>
      <c r="Q6382" s="15"/>
      <c r="R6382" s="422"/>
      <c r="S6382" s="15"/>
      <c r="T6382" s="15"/>
      <c r="U6382" s="15"/>
      <c r="V6382" s="15"/>
      <c r="W6382" s="15"/>
      <c r="X6382" s="15"/>
      <c r="Y6382" s="15"/>
      <c r="Z6382" s="15"/>
      <c r="AA6382" s="15"/>
    </row>
    <row r="6383">
      <c r="A6383" s="15"/>
      <c r="B6383" s="15"/>
      <c r="C6383" s="14"/>
      <c r="D6383" s="14"/>
      <c r="E6383" s="14"/>
      <c r="F6383" s="433"/>
      <c r="G6383" s="434"/>
      <c r="H6383" s="14"/>
      <c r="I6383" s="423"/>
      <c r="J6383" s="14"/>
      <c r="K6383" s="13"/>
      <c r="L6383" s="13"/>
      <c r="M6383" s="14"/>
      <c r="N6383" s="15"/>
      <c r="O6383" s="15"/>
      <c r="P6383" s="15"/>
      <c r="Q6383" s="15"/>
      <c r="R6383" s="422"/>
      <c r="S6383" s="15"/>
      <c r="T6383" s="15"/>
      <c r="U6383" s="15"/>
      <c r="V6383" s="15"/>
      <c r="W6383" s="15"/>
      <c r="X6383" s="15"/>
      <c r="Y6383" s="15"/>
      <c r="Z6383" s="15"/>
      <c r="AA6383" s="15"/>
    </row>
    <row r="6384">
      <c r="A6384" s="15"/>
      <c r="B6384" s="15"/>
      <c r="C6384" s="14"/>
      <c r="D6384" s="14"/>
      <c r="E6384" s="14"/>
      <c r="F6384" s="433"/>
      <c r="G6384" s="434"/>
      <c r="H6384" s="14"/>
      <c r="I6384" s="423"/>
      <c r="J6384" s="14"/>
      <c r="K6384" s="13"/>
      <c r="L6384" s="13"/>
      <c r="M6384" s="14"/>
      <c r="N6384" s="15"/>
      <c r="O6384" s="15"/>
      <c r="P6384" s="15"/>
      <c r="Q6384" s="15"/>
      <c r="R6384" s="422"/>
      <c r="S6384" s="15"/>
      <c r="T6384" s="15"/>
      <c r="U6384" s="15"/>
      <c r="V6384" s="15"/>
      <c r="W6384" s="15"/>
      <c r="X6384" s="15"/>
      <c r="Y6384" s="15"/>
      <c r="Z6384" s="15"/>
      <c r="AA6384" s="15"/>
    </row>
    <row r="6385">
      <c r="A6385" s="15"/>
      <c r="B6385" s="15"/>
      <c r="C6385" s="14"/>
      <c r="D6385" s="14"/>
      <c r="E6385" s="14"/>
      <c r="F6385" s="433"/>
      <c r="G6385" s="434"/>
      <c r="H6385" s="14"/>
      <c r="I6385" s="423"/>
      <c r="J6385" s="14"/>
      <c r="K6385" s="13"/>
      <c r="L6385" s="13"/>
      <c r="M6385" s="14"/>
      <c r="N6385" s="15"/>
      <c r="O6385" s="15"/>
      <c r="P6385" s="15"/>
      <c r="Q6385" s="15"/>
      <c r="R6385" s="422"/>
      <c r="S6385" s="15"/>
      <c r="T6385" s="15"/>
      <c r="U6385" s="15"/>
      <c r="V6385" s="15"/>
      <c r="W6385" s="15"/>
      <c r="X6385" s="15"/>
      <c r="Y6385" s="15"/>
      <c r="Z6385" s="15"/>
      <c r="AA6385" s="15"/>
    </row>
    <row r="6386">
      <c r="A6386" s="15"/>
      <c r="B6386" s="15"/>
      <c r="C6386" s="14"/>
      <c r="D6386" s="14"/>
      <c r="E6386" s="14"/>
      <c r="F6386" s="433"/>
      <c r="G6386" s="434"/>
      <c r="H6386" s="14"/>
      <c r="I6386" s="423"/>
      <c r="J6386" s="14"/>
      <c r="K6386" s="13"/>
      <c r="L6386" s="13"/>
      <c r="M6386" s="14"/>
      <c r="N6386" s="15"/>
      <c r="O6386" s="15"/>
      <c r="P6386" s="15"/>
      <c r="Q6386" s="15"/>
      <c r="R6386" s="422"/>
      <c r="S6386" s="15"/>
      <c r="T6386" s="15"/>
      <c r="U6386" s="15"/>
      <c r="V6386" s="15"/>
      <c r="W6386" s="15"/>
      <c r="X6386" s="15"/>
      <c r="Y6386" s="15"/>
      <c r="Z6386" s="15"/>
      <c r="AA6386" s="15"/>
    </row>
    <row r="6387">
      <c r="A6387" s="15"/>
      <c r="B6387" s="15"/>
      <c r="C6387" s="14"/>
      <c r="D6387" s="14"/>
      <c r="E6387" s="14"/>
      <c r="F6387" s="433"/>
      <c r="G6387" s="434"/>
      <c r="H6387" s="14"/>
      <c r="I6387" s="423"/>
      <c r="J6387" s="14"/>
      <c r="K6387" s="13"/>
      <c r="L6387" s="13"/>
      <c r="M6387" s="14"/>
      <c r="N6387" s="15"/>
      <c r="O6387" s="15"/>
      <c r="P6387" s="15"/>
      <c r="Q6387" s="15"/>
      <c r="R6387" s="422"/>
      <c r="S6387" s="15"/>
      <c r="T6387" s="15"/>
      <c r="U6387" s="15"/>
      <c r="V6387" s="15"/>
      <c r="W6387" s="15"/>
      <c r="X6387" s="15"/>
      <c r="Y6387" s="15"/>
      <c r="Z6387" s="15"/>
      <c r="AA6387" s="15"/>
    </row>
    <row r="6388">
      <c r="A6388" s="15"/>
      <c r="B6388" s="15"/>
      <c r="C6388" s="14"/>
      <c r="D6388" s="14"/>
      <c r="E6388" s="14"/>
      <c r="F6388" s="433"/>
      <c r="G6388" s="434"/>
      <c r="H6388" s="14"/>
      <c r="I6388" s="423"/>
      <c r="J6388" s="14"/>
      <c r="K6388" s="13"/>
      <c r="L6388" s="13"/>
      <c r="M6388" s="14"/>
      <c r="N6388" s="15"/>
      <c r="O6388" s="15"/>
      <c r="P6388" s="15"/>
      <c r="Q6388" s="15"/>
      <c r="R6388" s="422"/>
      <c r="S6388" s="15"/>
      <c r="T6388" s="15"/>
      <c r="U6388" s="15"/>
      <c r="V6388" s="15"/>
      <c r="W6388" s="15"/>
      <c r="X6388" s="15"/>
      <c r="Y6388" s="15"/>
      <c r="Z6388" s="15"/>
      <c r="AA6388" s="15"/>
    </row>
    <row r="6389">
      <c r="A6389" s="15"/>
      <c r="B6389" s="15"/>
      <c r="C6389" s="14"/>
      <c r="D6389" s="14"/>
      <c r="E6389" s="14"/>
      <c r="F6389" s="433"/>
      <c r="G6389" s="434"/>
      <c r="H6389" s="14"/>
      <c r="I6389" s="423"/>
      <c r="J6389" s="14"/>
      <c r="K6389" s="13"/>
      <c r="L6389" s="13"/>
      <c r="M6389" s="14"/>
      <c r="N6389" s="15"/>
      <c r="O6389" s="15"/>
      <c r="P6389" s="15"/>
      <c r="Q6389" s="15"/>
      <c r="R6389" s="422"/>
      <c r="S6389" s="15"/>
      <c r="T6389" s="15"/>
      <c r="U6389" s="15"/>
      <c r="V6389" s="15"/>
      <c r="W6389" s="15"/>
      <c r="X6389" s="15"/>
      <c r="Y6389" s="15"/>
      <c r="Z6389" s="15"/>
      <c r="AA6389" s="15"/>
    </row>
    <row r="6390">
      <c r="A6390" s="15"/>
      <c r="B6390" s="15"/>
      <c r="C6390" s="14"/>
      <c r="D6390" s="14"/>
      <c r="E6390" s="14"/>
      <c r="F6390" s="433"/>
      <c r="G6390" s="434"/>
      <c r="H6390" s="14"/>
      <c r="I6390" s="423"/>
      <c r="J6390" s="14"/>
      <c r="K6390" s="13"/>
      <c r="L6390" s="13"/>
      <c r="M6390" s="14"/>
      <c r="N6390" s="15"/>
      <c r="O6390" s="15"/>
      <c r="P6390" s="15"/>
      <c r="Q6390" s="15"/>
      <c r="R6390" s="422"/>
      <c r="S6390" s="15"/>
      <c r="T6390" s="15"/>
      <c r="U6390" s="15"/>
      <c r="V6390" s="15"/>
      <c r="W6390" s="15"/>
      <c r="X6390" s="15"/>
      <c r="Y6390" s="15"/>
      <c r="Z6390" s="15"/>
      <c r="AA6390" s="15"/>
    </row>
    <row r="6391">
      <c r="A6391" s="15"/>
      <c r="B6391" s="15"/>
      <c r="C6391" s="14"/>
      <c r="D6391" s="14"/>
      <c r="E6391" s="14"/>
      <c r="F6391" s="433"/>
      <c r="G6391" s="434"/>
      <c r="H6391" s="14"/>
      <c r="I6391" s="423"/>
      <c r="J6391" s="14"/>
      <c r="K6391" s="13"/>
      <c r="L6391" s="13"/>
      <c r="M6391" s="14"/>
      <c r="N6391" s="15"/>
      <c r="O6391" s="15"/>
      <c r="P6391" s="15"/>
      <c r="Q6391" s="15"/>
      <c r="R6391" s="422"/>
      <c r="S6391" s="15"/>
      <c r="T6391" s="15"/>
      <c r="U6391" s="15"/>
      <c r="V6391" s="15"/>
      <c r="W6391" s="15"/>
      <c r="X6391" s="15"/>
      <c r="Y6391" s="15"/>
      <c r="Z6391" s="15"/>
      <c r="AA6391" s="15"/>
    </row>
    <row r="6392">
      <c r="A6392" s="15"/>
      <c r="B6392" s="15"/>
      <c r="C6392" s="14"/>
      <c r="D6392" s="14"/>
      <c r="E6392" s="14"/>
      <c r="F6392" s="433"/>
      <c r="G6392" s="434"/>
      <c r="H6392" s="14"/>
      <c r="I6392" s="423"/>
      <c r="J6392" s="14"/>
      <c r="K6392" s="13"/>
      <c r="L6392" s="13"/>
      <c r="M6392" s="14"/>
      <c r="N6392" s="15"/>
      <c r="O6392" s="15"/>
      <c r="P6392" s="15"/>
      <c r="Q6392" s="15"/>
      <c r="R6392" s="422"/>
      <c r="S6392" s="15"/>
      <c r="T6392" s="15"/>
      <c r="U6392" s="15"/>
      <c r="V6392" s="15"/>
      <c r="W6392" s="15"/>
      <c r="X6392" s="15"/>
      <c r="Y6392" s="15"/>
      <c r="Z6392" s="15"/>
      <c r="AA6392" s="15"/>
    </row>
    <row r="6393">
      <c r="A6393" s="15"/>
      <c r="B6393" s="15"/>
      <c r="C6393" s="14"/>
      <c r="D6393" s="14"/>
      <c r="E6393" s="14"/>
      <c r="F6393" s="433"/>
      <c r="G6393" s="434"/>
      <c r="H6393" s="14"/>
      <c r="I6393" s="423"/>
      <c r="J6393" s="14"/>
      <c r="K6393" s="13"/>
      <c r="L6393" s="13"/>
      <c r="M6393" s="14"/>
      <c r="N6393" s="15"/>
      <c r="O6393" s="15"/>
      <c r="P6393" s="15"/>
      <c r="Q6393" s="15"/>
      <c r="R6393" s="422"/>
      <c r="S6393" s="15"/>
      <c r="T6393" s="15"/>
      <c r="U6393" s="15"/>
      <c r="V6393" s="15"/>
      <c r="W6393" s="15"/>
      <c r="X6393" s="15"/>
      <c r="Y6393" s="15"/>
      <c r="Z6393" s="15"/>
      <c r="AA6393" s="15"/>
    </row>
    <row r="6394">
      <c r="A6394" s="15"/>
      <c r="B6394" s="15"/>
      <c r="C6394" s="14"/>
      <c r="D6394" s="14"/>
      <c r="E6394" s="14"/>
      <c r="F6394" s="433"/>
      <c r="G6394" s="434"/>
      <c r="H6394" s="14"/>
      <c r="I6394" s="423"/>
      <c r="J6394" s="14"/>
      <c r="K6394" s="13"/>
      <c r="L6394" s="13"/>
      <c r="M6394" s="14"/>
      <c r="N6394" s="15"/>
      <c r="O6394" s="15"/>
      <c r="P6394" s="15"/>
      <c r="Q6394" s="15"/>
      <c r="R6394" s="422"/>
      <c r="S6394" s="15"/>
      <c r="T6394" s="15"/>
      <c r="U6394" s="15"/>
      <c r="V6394" s="15"/>
      <c r="W6394" s="15"/>
      <c r="X6394" s="15"/>
      <c r="Y6394" s="15"/>
      <c r="Z6394" s="15"/>
      <c r="AA6394" s="15"/>
    </row>
    <row r="6395">
      <c r="A6395" s="15"/>
      <c r="B6395" s="15"/>
      <c r="C6395" s="14"/>
      <c r="D6395" s="14"/>
      <c r="E6395" s="14"/>
      <c r="F6395" s="433"/>
      <c r="G6395" s="434"/>
      <c r="H6395" s="14"/>
      <c r="I6395" s="423"/>
      <c r="J6395" s="14"/>
      <c r="K6395" s="13"/>
      <c r="L6395" s="13"/>
      <c r="M6395" s="14"/>
      <c r="N6395" s="15"/>
      <c r="O6395" s="15"/>
      <c r="P6395" s="15"/>
      <c r="Q6395" s="15"/>
      <c r="R6395" s="422"/>
      <c r="S6395" s="15"/>
      <c r="T6395" s="15"/>
      <c r="U6395" s="15"/>
      <c r="V6395" s="15"/>
      <c r="W6395" s="15"/>
      <c r="X6395" s="15"/>
      <c r="Y6395" s="15"/>
      <c r="Z6395" s="15"/>
      <c r="AA6395" s="15"/>
    </row>
    <row r="6396">
      <c r="A6396" s="15"/>
      <c r="B6396" s="15"/>
      <c r="C6396" s="14"/>
      <c r="D6396" s="14"/>
      <c r="E6396" s="14"/>
      <c r="F6396" s="433"/>
      <c r="G6396" s="434"/>
      <c r="H6396" s="14"/>
      <c r="I6396" s="423"/>
      <c r="J6396" s="14"/>
      <c r="K6396" s="13"/>
      <c r="L6396" s="13"/>
      <c r="M6396" s="14"/>
      <c r="N6396" s="15"/>
      <c r="O6396" s="15"/>
      <c r="P6396" s="15"/>
      <c r="Q6396" s="15"/>
      <c r="R6396" s="422"/>
      <c r="S6396" s="15"/>
      <c r="T6396" s="15"/>
      <c r="U6396" s="15"/>
      <c r="V6396" s="15"/>
      <c r="W6396" s="15"/>
      <c r="X6396" s="15"/>
      <c r="Y6396" s="15"/>
      <c r="Z6396" s="15"/>
      <c r="AA6396" s="15"/>
    </row>
    <row r="6397">
      <c r="A6397" s="15"/>
      <c r="B6397" s="15"/>
      <c r="C6397" s="14"/>
      <c r="D6397" s="14"/>
      <c r="E6397" s="14"/>
      <c r="F6397" s="433"/>
      <c r="G6397" s="434"/>
      <c r="H6397" s="14"/>
      <c r="I6397" s="423"/>
      <c r="J6397" s="14"/>
      <c r="K6397" s="13"/>
      <c r="L6397" s="13"/>
      <c r="M6397" s="14"/>
      <c r="N6397" s="15"/>
      <c r="O6397" s="15"/>
      <c r="P6397" s="15"/>
      <c r="Q6397" s="15"/>
      <c r="R6397" s="422"/>
      <c r="S6397" s="15"/>
      <c r="T6397" s="15"/>
      <c r="U6397" s="15"/>
      <c r="V6397" s="15"/>
      <c r="W6397" s="15"/>
      <c r="X6397" s="15"/>
      <c r="Y6397" s="15"/>
      <c r="Z6397" s="15"/>
      <c r="AA6397" s="15"/>
    </row>
    <row r="6398">
      <c r="A6398" s="15"/>
      <c r="B6398" s="15"/>
      <c r="C6398" s="14"/>
      <c r="D6398" s="14"/>
      <c r="E6398" s="14"/>
      <c r="F6398" s="433"/>
      <c r="G6398" s="434"/>
      <c r="H6398" s="14"/>
      <c r="I6398" s="423"/>
      <c r="J6398" s="14"/>
      <c r="K6398" s="13"/>
      <c r="L6398" s="13"/>
      <c r="M6398" s="14"/>
      <c r="N6398" s="15"/>
      <c r="O6398" s="15"/>
      <c r="P6398" s="15"/>
      <c r="Q6398" s="15"/>
      <c r="R6398" s="422"/>
      <c r="S6398" s="15"/>
      <c r="T6398" s="15"/>
      <c r="U6398" s="15"/>
      <c r="V6398" s="15"/>
      <c r="W6398" s="15"/>
      <c r="X6398" s="15"/>
      <c r="Y6398" s="15"/>
      <c r="Z6398" s="15"/>
      <c r="AA6398" s="15"/>
    </row>
    <row r="6399">
      <c r="A6399" s="15"/>
      <c r="B6399" s="15"/>
      <c r="C6399" s="14"/>
      <c r="D6399" s="14"/>
      <c r="E6399" s="14"/>
      <c r="F6399" s="433"/>
      <c r="G6399" s="434"/>
      <c r="H6399" s="14"/>
      <c r="I6399" s="423"/>
      <c r="J6399" s="14"/>
      <c r="K6399" s="13"/>
      <c r="L6399" s="13"/>
      <c r="M6399" s="14"/>
      <c r="N6399" s="15"/>
      <c r="O6399" s="15"/>
      <c r="P6399" s="15"/>
      <c r="Q6399" s="15"/>
      <c r="R6399" s="422"/>
      <c r="S6399" s="15"/>
      <c r="T6399" s="15"/>
      <c r="U6399" s="15"/>
      <c r="V6399" s="15"/>
      <c r="W6399" s="15"/>
      <c r="X6399" s="15"/>
      <c r="Y6399" s="15"/>
      <c r="Z6399" s="15"/>
      <c r="AA6399" s="15"/>
    </row>
    <row r="6400">
      <c r="A6400" s="15"/>
      <c r="B6400" s="15"/>
      <c r="C6400" s="14"/>
      <c r="D6400" s="14"/>
      <c r="E6400" s="14"/>
      <c r="F6400" s="433"/>
      <c r="G6400" s="434"/>
      <c r="H6400" s="14"/>
      <c r="I6400" s="423"/>
      <c r="J6400" s="14"/>
      <c r="K6400" s="13"/>
      <c r="L6400" s="13"/>
      <c r="M6400" s="14"/>
      <c r="N6400" s="15"/>
      <c r="O6400" s="15"/>
      <c r="P6400" s="15"/>
      <c r="Q6400" s="15"/>
      <c r="R6400" s="422"/>
      <c r="S6400" s="15"/>
      <c r="T6400" s="15"/>
      <c r="U6400" s="15"/>
      <c r="V6400" s="15"/>
      <c r="W6400" s="15"/>
      <c r="X6400" s="15"/>
      <c r="Y6400" s="15"/>
      <c r="Z6400" s="15"/>
      <c r="AA6400" s="15"/>
    </row>
    <row r="6401">
      <c r="A6401" s="15"/>
      <c r="B6401" s="15"/>
      <c r="C6401" s="14"/>
      <c r="D6401" s="14"/>
      <c r="E6401" s="14"/>
      <c r="F6401" s="433"/>
      <c r="G6401" s="434"/>
      <c r="H6401" s="14"/>
      <c r="I6401" s="423"/>
      <c r="J6401" s="14"/>
      <c r="K6401" s="13"/>
      <c r="L6401" s="13"/>
      <c r="M6401" s="14"/>
      <c r="N6401" s="15"/>
      <c r="O6401" s="15"/>
      <c r="P6401" s="15"/>
      <c r="Q6401" s="15"/>
      <c r="R6401" s="422"/>
      <c r="S6401" s="15"/>
      <c r="T6401" s="15"/>
      <c r="U6401" s="15"/>
      <c r="V6401" s="15"/>
      <c r="W6401" s="15"/>
      <c r="X6401" s="15"/>
      <c r="Y6401" s="15"/>
      <c r="Z6401" s="15"/>
      <c r="AA6401" s="15"/>
    </row>
    <row r="6402">
      <c r="A6402" s="15"/>
      <c r="B6402" s="15"/>
      <c r="C6402" s="14"/>
      <c r="D6402" s="14"/>
      <c r="E6402" s="14"/>
      <c r="F6402" s="433"/>
      <c r="G6402" s="434"/>
      <c r="H6402" s="14"/>
      <c r="I6402" s="423"/>
      <c r="J6402" s="14"/>
      <c r="K6402" s="13"/>
      <c r="L6402" s="13"/>
      <c r="M6402" s="14"/>
      <c r="N6402" s="15"/>
      <c r="O6402" s="15"/>
      <c r="P6402" s="15"/>
      <c r="Q6402" s="15"/>
      <c r="R6402" s="422"/>
      <c r="S6402" s="15"/>
      <c r="T6402" s="15"/>
      <c r="U6402" s="15"/>
      <c r="V6402" s="15"/>
      <c r="W6402" s="15"/>
      <c r="X6402" s="15"/>
      <c r="Y6402" s="15"/>
      <c r="Z6402" s="15"/>
      <c r="AA6402" s="15"/>
    </row>
    <row r="6403">
      <c r="A6403" s="15"/>
      <c r="B6403" s="15"/>
      <c r="C6403" s="14"/>
      <c r="D6403" s="14"/>
      <c r="E6403" s="14"/>
      <c r="F6403" s="433"/>
      <c r="G6403" s="434"/>
      <c r="H6403" s="14"/>
      <c r="I6403" s="423"/>
      <c r="J6403" s="14"/>
      <c r="K6403" s="13"/>
      <c r="L6403" s="13"/>
      <c r="M6403" s="14"/>
      <c r="N6403" s="15"/>
      <c r="O6403" s="15"/>
      <c r="P6403" s="15"/>
      <c r="Q6403" s="15"/>
      <c r="R6403" s="422"/>
      <c r="S6403" s="15"/>
      <c r="T6403" s="15"/>
      <c r="U6403" s="15"/>
      <c r="V6403" s="15"/>
      <c r="W6403" s="15"/>
      <c r="X6403" s="15"/>
      <c r="Y6403" s="15"/>
      <c r="Z6403" s="15"/>
      <c r="AA6403" s="15"/>
    </row>
    <row r="6404">
      <c r="A6404" s="15"/>
      <c r="B6404" s="15"/>
      <c r="C6404" s="14"/>
      <c r="D6404" s="14"/>
      <c r="E6404" s="14"/>
      <c r="F6404" s="433"/>
      <c r="G6404" s="434"/>
      <c r="H6404" s="14"/>
      <c r="I6404" s="423"/>
      <c r="J6404" s="14"/>
      <c r="K6404" s="13"/>
      <c r="L6404" s="13"/>
      <c r="M6404" s="14"/>
      <c r="N6404" s="15"/>
      <c r="O6404" s="15"/>
      <c r="P6404" s="15"/>
      <c r="Q6404" s="15"/>
      <c r="R6404" s="422"/>
      <c r="S6404" s="15"/>
      <c r="T6404" s="15"/>
      <c r="U6404" s="15"/>
      <c r="V6404" s="15"/>
      <c r="W6404" s="15"/>
      <c r="X6404" s="15"/>
      <c r="Y6404" s="15"/>
      <c r="Z6404" s="15"/>
      <c r="AA6404" s="15"/>
    </row>
    <row r="6405">
      <c r="A6405" s="15"/>
      <c r="B6405" s="15"/>
      <c r="C6405" s="14"/>
      <c r="D6405" s="14"/>
      <c r="E6405" s="14"/>
      <c r="F6405" s="433"/>
      <c r="G6405" s="434"/>
      <c r="H6405" s="14"/>
      <c r="I6405" s="423"/>
      <c r="J6405" s="14"/>
      <c r="K6405" s="13"/>
      <c r="L6405" s="13"/>
      <c r="M6405" s="14"/>
      <c r="N6405" s="15"/>
      <c r="O6405" s="15"/>
      <c r="P6405" s="15"/>
      <c r="Q6405" s="15"/>
      <c r="R6405" s="422"/>
      <c r="S6405" s="15"/>
      <c r="T6405" s="15"/>
      <c r="U6405" s="15"/>
      <c r="V6405" s="15"/>
      <c r="W6405" s="15"/>
      <c r="X6405" s="15"/>
      <c r="Y6405" s="15"/>
      <c r="Z6405" s="15"/>
      <c r="AA6405" s="15"/>
    </row>
    <row r="6406">
      <c r="A6406" s="15"/>
      <c r="B6406" s="15"/>
      <c r="C6406" s="14"/>
      <c r="D6406" s="14"/>
      <c r="E6406" s="14"/>
      <c r="F6406" s="433"/>
      <c r="G6406" s="434"/>
      <c r="H6406" s="14"/>
      <c r="I6406" s="423"/>
      <c r="J6406" s="14"/>
      <c r="K6406" s="13"/>
      <c r="L6406" s="13"/>
      <c r="M6406" s="14"/>
      <c r="N6406" s="15"/>
      <c r="O6406" s="15"/>
      <c r="P6406" s="15"/>
      <c r="Q6406" s="15"/>
      <c r="R6406" s="422"/>
      <c r="S6406" s="15"/>
      <c r="T6406" s="15"/>
      <c r="U6406" s="15"/>
      <c r="V6406" s="15"/>
      <c r="W6406" s="15"/>
      <c r="X6406" s="15"/>
      <c r="Y6406" s="15"/>
      <c r="Z6406" s="15"/>
      <c r="AA6406" s="15"/>
    </row>
    <row r="6407">
      <c r="A6407" s="15"/>
      <c r="B6407" s="15"/>
      <c r="C6407" s="14"/>
      <c r="D6407" s="14"/>
      <c r="E6407" s="14"/>
      <c r="F6407" s="433"/>
      <c r="G6407" s="434"/>
      <c r="H6407" s="14"/>
      <c r="I6407" s="423"/>
      <c r="J6407" s="14"/>
      <c r="K6407" s="13"/>
      <c r="L6407" s="13"/>
      <c r="M6407" s="14"/>
      <c r="N6407" s="15"/>
      <c r="O6407" s="15"/>
      <c r="P6407" s="15"/>
      <c r="Q6407" s="15"/>
      <c r="R6407" s="422"/>
      <c r="S6407" s="15"/>
      <c r="T6407" s="15"/>
      <c r="U6407" s="15"/>
      <c r="V6407" s="15"/>
      <c r="W6407" s="15"/>
      <c r="X6407" s="15"/>
      <c r="Y6407" s="15"/>
      <c r="Z6407" s="15"/>
      <c r="AA6407" s="15"/>
    </row>
    <row r="6408">
      <c r="A6408" s="15"/>
      <c r="B6408" s="15"/>
      <c r="C6408" s="14"/>
      <c r="D6408" s="14"/>
      <c r="E6408" s="14"/>
      <c r="F6408" s="433"/>
      <c r="G6408" s="434"/>
      <c r="H6408" s="14"/>
      <c r="I6408" s="423"/>
      <c r="J6408" s="14"/>
      <c r="K6408" s="13"/>
      <c r="L6408" s="13"/>
      <c r="M6408" s="14"/>
      <c r="N6408" s="15"/>
      <c r="O6408" s="15"/>
      <c r="P6408" s="15"/>
      <c r="Q6408" s="15"/>
      <c r="R6408" s="422"/>
      <c r="S6408" s="15"/>
      <c r="T6408" s="15"/>
      <c r="U6408" s="15"/>
      <c r="V6408" s="15"/>
      <c r="W6408" s="15"/>
      <c r="X6408" s="15"/>
      <c r="Y6408" s="15"/>
      <c r="Z6408" s="15"/>
      <c r="AA6408" s="15"/>
    </row>
    <row r="6409">
      <c r="A6409" s="15"/>
      <c r="B6409" s="15"/>
      <c r="C6409" s="14"/>
      <c r="D6409" s="14"/>
      <c r="E6409" s="14"/>
      <c r="F6409" s="433"/>
      <c r="G6409" s="434"/>
      <c r="H6409" s="14"/>
      <c r="I6409" s="423"/>
      <c r="J6409" s="14"/>
      <c r="K6409" s="13"/>
      <c r="L6409" s="13"/>
      <c r="M6409" s="14"/>
      <c r="N6409" s="15"/>
      <c r="O6409" s="15"/>
      <c r="P6409" s="15"/>
      <c r="Q6409" s="15"/>
      <c r="R6409" s="422"/>
      <c r="S6409" s="15"/>
      <c r="T6409" s="15"/>
      <c r="U6409" s="15"/>
      <c r="V6409" s="15"/>
      <c r="W6409" s="15"/>
      <c r="X6409" s="15"/>
      <c r="Y6409" s="15"/>
      <c r="Z6409" s="15"/>
      <c r="AA6409" s="15"/>
    </row>
    <row r="6410">
      <c r="A6410" s="15"/>
      <c r="B6410" s="15"/>
      <c r="C6410" s="14"/>
      <c r="D6410" s="14"/>
      <c r="E6410" s="14"/>
      <c r="F6410" s="433"/>
      <c r="G6410" s="434"/>
      <c r="H6410" s="14"/>
      <c r="I6410" s="423"/>
      <c r="J6410" s="14"/>
      <c r="K6410" s="13"/>
      <c r="L6410" s="13"/>
      <c r="M6410" s="14"/>
      <c r="N6410" s="15"/>
      <c r="O6410" s="15"/>
      <c r="P6410" s="15"/>
      <c r="Q6410" s="15"/>
      <c r="R6410" s="422"/>
      <c r="S6410" s="15"/>
      <c r="T6410" s="15"/>
      <c r="U6410" s="15"/>
      <c r="V6410" s="15"/>
      <c r="W6410" s="15"/>
      <c r="X6410" s="15"/>
      <c r="Y6410" s="15"/>
      <c r="Z6410" s="15"/>
      <c r="AA6410" s="15"/>
    </row>
    <row r="6411">
      <c r="A6411" s="15"/>
      <c r="B6411" s="15"/>
      <c r="C6411" s="14"/>
      <c r="D6411" s="14"/>
      <c r="E6411" s="14"/>
      <c r="F6411" s="433"/>
      <c r="G6411" s="434"/>
      <c r="H6411" s="14"/>
      <c r="I6411" s="423"/>
      <c r="J6411" s="14"/>
      <c r="K6411" s="13"/>
      <c r="L6411" s="13"/>
      <c r="M6411" s="14"/>
      <c r="N6411" s="15"/>
      <c r="O6411" s="15"/>
      <c r="P6411" s="15"/>
      <c r="Q6411" s="15"/>
      <c r="R6411" s="422"/>
      <c r="S6411" s="15"/>
      <c r="T6411" s="15"/>
      <c r="U6411" s="15"/>
      <c r="V6411" s="15"/>
      <c r="W6411" s="15"/>
      <c r="X6411" s="15"/>
      <c r="Y6411" s="15"/>
      <c r="Z6411" s="15"/>
      <c r="AA6411" s="15"/>
    </row>
    <row r="6412">
      <c r="A6412" s="15"/>
      <c r="B6412" s="15"/>
      <c r="C6412" s="14"/>
      <c r="D6412" s="14"/>
      <c r="E6412" s="14"/>
      <c r="F6412" s="433"/>
      <c r="G6412" s="434"/>
      <c r="H6412" s="14"/>
      <c r="I6412" s="423"/>
      <c r="J6412" s="14"/>
      <c r="K6412" s="13"/>
      <c r="L6412" s="13"/>
      <c r="M6412" s="14"/>
      <c r="N6412" s="15"/>
      <c r="O6412" s="15"/>
      <c r="P6412" s="15"/>
      <c r="Q6412" s="15"/>
      <c r="R6412" s="422"/>
      <c r="S6412" s="15"/>
      <c r="T6412" s="15"/>
      <c r="U6412" s="15"/>
      <c r="V6412" s="15"/>
      <c r="W6412" s="15"/>
      <c r="X6412" s="15"/>
      <c r="Y6412" s="15"/>
      <c r="Z6412" s="15"/>
      <c r="AA6412" s="15"/>
    </row>
    <row r="6413">
      <c r="A6413" s="15"/>
      <c r="B6413" s="15"/>
      <c r="C6413" s="14"/>
      <c r="D6413" s="14"/>
      <c r="E6413" s="14"/>
      <c r="F6413" s="433"/>
      <c r="G6413" s="434"/>
      <c r="H6413" s="14"/>
      <c r="I6413" s="423"/>
      <c r="J6413" s="14"/>
      <c r="K6413" s="13"/>
      <c r="L6413" s="13"/>
      <c r="M6413" s="14"/>
      <c r="N6413" s="15"/>
      <c r="O6413" s="15"/>
      <c r="P6413" s="15"/>
      <c r="Q6413" s="15"/>
      <c r="R6413" s="422"/>
      <c r="S6413" s="15"/>
      <c r="T6413" s="15"/>
      <c r="U6413" s="15"/>
      <c r="V6413" s="15"/>
      <c r="W6413" s="15"/>
      <c r="X6413" s="15"/>
      <c r="Y6413" s="15"/>
      <c r="Z6413" s="15"/>
      <c r="AA6413" s="15"/>
    </row>
    <row r="6414">
      <c r="A6414" s="15"/>
      <c r="B6414" s="15"/>
      <c r="C6414" s="14"/>
      <c r="D6414" s="14"/>
      <c r="E6414" s="14"/>
      <c r="F6414" s="433"/>
      <c r="G6414" s="434"/>
      <c r="H6414" s="14"/>
      <c r="I6414" s="423"/>
      <c r="J6414" s="14"/>
      <c r="K6414" s="13"/>
      <c r="L6414" s="13"/>
      <c r="M6414" s="14"/>
      <c r="N6414" s="15"/>
      <c r="O6414" s="15"/>
      <c r="P6414" s="15"/>
      <c r="Q6414" s="15"/>
      <c r="R6414" s="422"/>
      <c r="S6414" s="15"/>
      <c r="T6414" s="15"/>
      <c r="U6414" s="15"/>
      <c r="V6414" s="15"/>
      <c r="W6414" s="15"/>
      <c r="X6414" s="15"/>
      <c r="Y6414" s="15"/>
      <c r="Z6414" s="15"/>
      <c r="AA6414" s="15"/>
    </row>
    <row r="6415">
      <c r="A6415" s="15"/>
      <c r="B6415" s="15"/>
      <c r="C6415" s="14"/>
      <c r="D6415" s="14"/>
      <c r="E6415" s="14"/>
      <c r="F6415" s="433"/>
      <c r="G6415" s="434"/>
      <c r="H6415" s="14"/>
      <c r="I6415" s="423"/>
      <c r="J6415" s="14"/>
      <c r="K6415" s="13"/>
      <c r="L6415" s="13"/>
      <c r="M6415" s="14"/>
      <c r="N6415" s="15"/>
      <c r="O6415" s="15"/>
      <c r="P6415" s="15"/>
      <c r="Q6415" s="15"/>
      <c r="R6415" s="422"/>
      <c r="S6415" s="15"/>
      <c r="T6415" s="15"/>
      <c r="U6415" s="15"/>
      <c r="V6415" s="15"/>
      <c r="W6415" s="15"/>
      <c r="X6415" s="15"/>
      <c r="Y6415" s="15"/>
      <c r="Z6415" s="15"/>
      <c r="AA6415" s="15"/>
    </row>
    <row r="6416">
      <c r="A6416" s="15"/>
      <c r="B6416" s="15"/>
      <c r="C6416" s="14"/>
      <c r="D6416" s="14"/>
      <c r="E6416" s="14"/>
      <c r="F6416" s="433"/>
      <c r="G6416" s="434"/>
      <c r="H6416" s="14"/>
      <c r="I6416" s="423"/>
      <c r="J6416" s="14"/>
      <c r="K6416" s="13"/>
      <c r="L6416" s="13"/>
      <c r="M6416" s="14"/>
      <c r="N6416" s="15"/>
      <c r="O6416" s="15"/>
      <c r="P6416" s="15"/>
      <c r="Q6416" s="15"/>
      <c r="R6416" s="422"/>
      <c r="S6416" s="15"/>
      <c r="T6416" s="15"/>
      <c r="U6416" s="15"/>
      <c r="V6416" s="15"/>
      <c r="W6416" s="15"/>
      <c r="X6416" s="15"/>
      <c r="Y6416" s="15"/>
      <c r="Z6416" s="15"/>
      <c r="AA6416" s="15"/>
    </row>
    <row r="6417">
      <c r="A6417" s="15"/>
      <c r="B6417" s="15"/>
      <c r="C6417" s="14"/>
      <c r="D6417" s="14"/>
      <c r="E6417" s="14"/>
      <c r="F6417" s="433"/>
      <c r="G6417" s="434"/>
      <c r="H6417" s="14"/>
      <c r="I6417" s="423"/>
      <c r="J6417" s="14"/>
      <c r="K6417" s="13"/>
      <c r="L6417" s="13"/>
      <c r="M6417" s="14"/>
      <c r="N6417" s="15"/>
      <c r="O6417" s="15"/>
      <c r="P6417" s="15"/>
      <c r="Q6417" s="15"/>
      <c r="R6417" s="422"/>
      <c r="S6417" s="15"/>
      <c r="T6417" s="15"/>
      <c r="U6417" s="15"/>
      <c r="V6417" s="15"/>
      <c r="W6417" s="15"/>
      <c r="X6417" s="15"/>
      <c r="Y6417" s="15"/>
      <c r="Z6417" s="15"/>
      <c r="AA6417" s="15"/>
    </row>
    <row r="6418">
      <c r="A6418" s="15"/>
      <c r="B6418" s="15"/>
      <c r="C6418" s="14"/>
      <c r="D6418" s="14"/>
      <c r="E6418" s="14"/>
      <c r="F6418" s="433"/>
      <c r="G6418" s="434"/>
      <c r="H6418" s="14"/>
      <c r="I6418" s="423"/>
      <c r="J6418" s="14"/>
      <c r="K6418" s="13"/>
      <c r="L6418" s="13"/>
      <c r="M6418" s="14"/>
      <c r="N6418" s="15"/>
      <c r="O6418" s="15"/>
      <c r="P6418" s="15"/>
      <c r="Q6418" s="15"/>
      <c r="R6418" s="422"/>
      <c r="S6418" s="15"/>
      <c r="T6418" s="15"/>
      <c r="U6418" s="15"/>
      <c r="V6418" s="15"/>
      <c r="W6418" s="15"/>
      <c r="X6418" s="15"/>
      <c r="Y6418" s="15"/>
      <c r="Z6418" s="15"/>
      <c r="AA6418" s="15"/>
    </row>
    <row r="6419">
      <c r="A6419" s="15"/>
      <c r="B6419" s="15"/>
      <c r="C6419" s="14"/>
      <c r="D6419" s="14"/>
      <c r="E6419" s="14"/>
      <c r="F6419" s="433"/>
      <c r="G6419" s="434"/>
      <c r="H6419" s="14"/>
      <c r="I6419" s="423"/>
      <c r="J6419" s="14"/>
      <c r="K6419" s="13"/>
      <c r="L6419" s="13"/>
      <c r="M6419" s="14"/>
      <c r="N6419" s="15"/>
      <c r="O6419" s="15"/>
      <c r="P6419" s="15"/>
      <c r="Q6419" s="15"/>
      <c r="R6419" s="422"/>
      <c r="S6419" s="15"/>
      <c r="T6419" s="15"/>
      <c r="U6419" s="15"/>
      <c r="V6419" s="15"/>
      <c r="W6419" s="15"/>
      <c r="X6419" s="15"/>
      <c r="Y6419" s="15"/>
      <c r="Z6419" s="15"/>
      <c r="AA6419" s="15"/>
    </row>
    <row r="6420">
      <c r="A6420" s="15"/>
      <c r="B6420" s="15"/>
      <c r="C6420" s="14"/>
      <c r="D6420" s="14"/>
      <c r="E6420" s="14"/>
      <c r="F6420" s="433"/>
      <c r="G6420" s="434"/>
      <c r="H6420" s="14"/>
      <c r="I6420" s="423"/>
      <c r="J6420" s="14"/>
      <c r="K6420" s="13"/>
      <c r="L6420" s="13"/>
      <c r="M6420" s="14"/>
      <c r="N6420" s="15"/>
      <c r="O6420" s="15"/>
      <c r="P6420" s="15"/>
      <c r="Q6420" s="15"/>
      <c r="R6420" s="422"/>
      <c r="S6420" s="15"/>
      <c r="T6420" s="15"/>
      <c r="U6420" s="15"/>
      <c r="V6420" s="15"/>
      <c r="W6420" s="15"/>
      <c r="X6420" s="15"/>
      <c r="Y6420" s="15"/>
      <c r="Z6420" s="15"/>
      <c r="AA6420" s="15"/>
    </row>
    <row r="6421">
      <c r="A6421" s="15"/>
      <c r="B6421" s="15"/>
      <c r="C6421" s="14"/>
      <c r="D6421" s="14"/>
      <c r="E6421" s="14"/>
      <c r="F6421" s="433"/>
      <c r="G6421" s="434"/>
      <c r="H6421" s="14"/>
      <c r="I6421" s="423"/>
      <c r="J6421" s="14"/>
      <c r="K6421" s="13"/>
      <c r="L6421" s="13"/>
      <c r="M6421" s="14"/>
      <c r="N6421" s="15"/>
      <c r="O6421" s="15"/>
      <c r="P6421" s="15"/>
      <c r="Q6421" s="15"/>
      <c r="R6421" s="422"/>
      <c r="S6421" s="15"/>
      <c r="T6421" s="15"/>
      <c r="U6421" s="15"/>
      <c r="V6421" s="15"/>
      <c r="W6421" s="15"/>
      <c r="X6421" s="15"/>
      <c r="Y6421" s="15"/>
      <c r="Z6421" s="15"/>
      <c r="AA6421" s="15"/>
    </row>
    <row r="6422">
      <c r="A6422" s="15"/>
      <c r="B6422" s="15"/>
      <c r="C6422" s="14"/>
      <c r="D6422" s="14"/>
      <c r="E6422" s="14"/>
      <c r="F6422" s="433"/>
      <c r="G6422" s="434"/>
      <c r="H6422" s="14"/>
      <c r="I6422" s="423"/>
      <c r="J6422" s="14"/>
      <c r="K6422" s="13"/>
      <c r="L6422" s="13"/>
      <c r="M6422" s="14"/>
      <c r="N6422" s="15"/>
      <c r="O6422" s="15"/>
      <c r="P6422" s="15"/>
      <c r="Q6422" s="15"/>
      <c r="R6422" s="422"/>
      <c r="S6422" s="15"/>
      <c r="T6422" s="15"/>
      <c r="U6422" s="15"/>
      <c r="V6422" s="15"/>
      <c r="W6422" s="15"/>
      <c r="X6422" s="15"/>
      <c r="Y6422" s="15"/>
      <c r="Z6422" s="15"/>
      <c r="AA6422" s="15"/>
    </row>
    <row r="6423">
      <c r="A6423" s="15"/>
      <c r="B6423" s="15"/>
      <c r="C6423" s="14"/>
      <c r="D6423" s="14"/>
      <c r="E6423" s="14"/>
      <c r="F6423" s="433"/>
      <c r="G6423" s="434"/>
      <c r="H6423" s="14"/>
      <c r="I6423" s="423"/>
      <c r="J6423" s="14"/>
      <c r="K6423" s="13"/>
      <c r="L6423" s="13"/>
      <c r="M6423" s="14"/>
      <c r="N6423" s="15"/>
      <c r="O6423" s="15"/>
      <c r="P6423" s="15"/>
      <c r="Q6423" s="15"/>
      <c r="R6423" s="422"/>
      <c r="S6423" s="15"/>
      <c r="T6423" s="15"/>
      <c r="U6423" s="15"/>
      <c r="V6423" s="15"/>
      <c r="W6423" s="15"/>
      <c r="X6423" s="15"/>
      <c r="Y6423" s="15"/>
      <c r="Z6423" s="15"/>
      <c r="AA6423" s="15"/>
    </row>
    <row r="6424">
      <c r="A6424" s="15"/>
      <c r="B6424" s="15"/>
      <c r="C6424" s="14"/>
      <c r="D6424" s="14"/>
      <c r="E6424" s="14"/>
      <c r="F6424" s="433"/>
      <c r="G6424" s="434"/>
      <c r="H6424" s="14"/>
      <c r="I6424" s="423"/>
      <c r="J6424" s="14"/>
      <c r="K6424" s="13"/>
      <c r="L6424" s="13"/>
      <c r="M6424" s="14"/>
      <c r="N6424" s="15"/>
      <c r="O6424" s="15"/>
      <c r="P6424" s="15"/>
      <c r="Q6424" s="15"/>
      <c r="R6424" s="422"/>
      <c r="S6424" s="15"/>
      <c r="T6424" s="15"/>
      <c r="U6424" s="15"/>
      <c r="V6424" s="15"/>
      <c r="W6424" s="15"/>
      <c r="X6424" s="15"/>
      <c r="Y6424" s="15"/>
      <c r="Z6424" s="15"/>
      <c r="AA6424" s="15"/>
    </row>
    <row r="6425">
      <c r="A6425" s="15"/>
      <c r="B6425" s="15"/>
      <c r="C6425" s="14"/>
      <c r="D6425" s="14"/>
      <c r="E6425" s="14"/>
      <c r="F6425" s="433"/>
      <c r="G6425" s="434"/>
      <c r="H6425" s="14"/>
      <c r="I6425" s="423"/>
      <c r="J6425" s="14"/>
      <c r="K6425" s="13"/>
      <c r="L6425" s="13"/>
      <c r="M6425" s="14"/>
      <c r="N6425" s="15"/>
      <c r="O6425" s="15"/>
      <c r="P6425" s="15"/>
      <c r="Q6425" s="15"/>
      <c r="R6425" s="422"/>
      <c r="S6425" s="15"/>
      <c r="T6425" s="15"/>
      <c r="U6425" s="15"/>
      <c r="V6425" s="15"/>
      <c r="W6425" s="15"/>
      <c r="X6425" s="15"/>
      <c r="Y6425" s="15"/>
      <c r="Z6425" s="15"/>
      <c r="AA6425" s="15"/>
    </row>
    <row r="6426">
      <c r="A6426" s="15"/>
      <c r="B6426" s="15"/>
      <c r="C6426" s="14"/>
      <c r="D6426" s="14"/>
      <c r="E6426" s="14"/>
      <c r="F6426" s="433"/>
      <c r="G6426" s="434"/>
      <c r="H6426" s="14"/>
      <c r="I6426" s="423"/>
      <c r="J6426" s="14"/>
      <c r="K6426" s="13"/>
      <c r="L6426" s="13"/>
      <c r="M6426" s="14"/>
      <c r="N6426" s="15"/>
      <c r="O6426" s="15"/>
      <c r="P6426" s="15"/>
      <c r="Q6426" s="15"/>
      <c r="R6426" s="422"/>
      <c r="S6426" s="15"/>
      <c r="T6426" s="15"/>
      <c r="U6426" s="15"/>
      <c r="V6426" s="15"/>
      <c r="W6426" s="15"/>
      <c r="X6426" s="15"/>
      <c r="Y6426" s="15"/>
      <c r="Z6426" s="15"/>
      <c r="AA6426" s="15"/>
    </row>
    <row r="6427">
      <c r="A6427" s="15"/>
      <c r="B6427" s="15"/>
      <c r="C6427" s="14"/>
      <c r="D6427" s="14"/>
      <c r="E6427" s="14"/>
      <c r="F6427" s="433"/>
      <c r="G6427" s="434"/>
      <c r="H6427" s="14"/>
      <c r="I6427" s="423"/>
      <c r="J6427" s="14"/>
      <c r="K6427" s="13"/>
      <c r="L6427" s="13"/>
      <c r="M6427" s="14"/>
      <c r="N6427" s="15"/>
      <c r="O6427" s="15"/>
      <c r="P6427" s="15"/>
      <c r="Q6427" s="15"/>
      <c r="R6427" s="422"/>
      <c r="S6427" s="15"/>
      <c r="T6427" s="15"/>
      <c r="U6427" s="15"/>
      <c r="V6427" s="15"/>
      <c r="W6427" s="15"/>
      <c r="X6427" s="15"/>
      <c r="Y6427" s="15"/>
      <c r="Z6427" s="15"/>
      <c r="AA6427" s="15"/>
    </row>
    <row r="6428">
      <c r="A6428" s="15"/>
      <c r="B6428" s="15"/>
      <c r="C6428" s="14"/>
      <c r="D6428" s="14"/>
      <c r="E6428" s="14"/>
      <c r="F6428" s="433"/>
      <c r="G6428" s="434"/>
      <c r="H6428" s="14"/>
      <c r="I6428" s="423"/>
      <c r="J6428" s="14"/>
      <c r="K6428" s="13"/>
      <c r="L6428" s="13"/>
      <c r="M6428" s="14"/>
      <c r="N6428" s="15"/>
      <c r="O6428" s="15"/>
      <c r="P6428" s="15"/>
      <c r="Q6428" s="15"/>
      <c r="R6428" s="422"/>
      <c r="S6428" s="15"/>
      <c r="T6428" s="15"/>
      <c r="U6428" s="15"/>
      <c r="V6428" s="15"/>
      <c r="W6428" s="15"/>
      <c r="X6428" s="15"/>
      <c r="Y6428" s="15"/>
      <c r="Z6428" s="15"/>
      <c r="AA6428" s="15"/>
    </row>
    <row r="6429">
      <c r="A6429" s="15"/>
      <c r="B6429" s="15"/>
      <c r="C6429" s="14"/>
      <c r="D6429" s="14"/>
      <c r="E6429" s="14"/>
      <c r="F6429" s="433"/>
      <c r="G6429" s="434"/>
      <c r="H6429" s="14"/>
      <c r="I6429" s="423"/>
      <c r="J6429" s="14"/>
      <c r="K6429" s="13"/>
      <c r="L6429" s="13"/>
      <c r="M6429" s="14"/>
      <c r="N6429" s="15"/>
      <c r="O6429" s="15"/>
      <c r="P6429" s="15"/>
      <c r="Q6429" s="15"/>
      <c r="R6429" s="422"/>
      <c r="S6429" s="15"/>
      <c r="T6429" s="15"/>
      <c r="U6429" s="15"/>
      <c r="V6429" s="15"/>
      <c r="W6429" s="15"/>
      <c r="X6429" s="15"/>
      <c r="Y6429" s="15"/>
      <c r="Z6429" s="15"/>
      <c r="AA6429" s="15"/>
    </row>
    <row r="6430">
      <c r="A6430" s="15"/>
      <c r="B6430" s="15"/>
      <c r="C6430" s="14"/>
      <c r="D6430" s="14"/>
      <c r="E6430" s="14"/>
      <c r="F6430" s="433"/>
      <c r="G6430" s="434"/>
      <c r="H6430" s="14"/>
      <c r="I6430" s="423"/>
      <c r="J6430" s="14"/>
      <c r="K6430" s="13"/>
      <c r="L6430" s="13"/>
      <c r="M6430" s="14"/>
      <c r="N6430" s="15"/>
      <c r="O6430" s="15"/>
      <c r="P6430" s="15"/>
      <c r="Q6430" s="15"/>
      <c r="R6430" s="422"/>
      <c r="S6430" s="15"/>
      <c r="T6430" s="15"/>
      <c r="U6430" s="15"/>
      <c r="V6430" s="15"/>
      <c r="W6430" s="15"/>
      <c r="X6430" s="15"/>
      <c r="Y6430" s="15"/>
      <c r="Z6430" s="15"/>
      <c r="AA6430" s="15"/>
    </row>
    <row r="6431">
      <c r="A6431" s="15"/>
      <c r="B6431" s="15"/>
      <c r="C6431" s="14"/>
      <c r="D6431" s="14"/>
      <c r="E6431" s="14"/>
      <c r="F6431" s="433"/>
      <c r="G6431" s="434"/>
      <c r="H6431" s="14"/>
      <c r="I6431" s="423"/>
      <c r="J6431" s="14"/>
      <c r="K6431" s="13"/>
      <c r="L6431" s="13"/>
      <c r="M6431" s="14"/>
      <c r="N6431" s="15"/>
      <c r="O6431" s="15"/>
      <c r="P6431" s="15"/>
      <c r="Q6431" s="15"/>
      <c r="R6431" s="422"/>
      <c r="S6431" s="15"/>
      <c r="T6431" s="15"/>
      <c r="U6431" s="15"/>
      <c r="V6431" s="15"/>
      <c r="W6431" s="15"/>
      <c r="X6431" s="15"/>
      <c r="Y6431" s="15"/>
      <c r="Z6431" s="15"/>
      <c r="AA6431" s="15"/>
    </row>
    <row r="6432">
      <c r="A6432" s="15"/>
      <c r="B6432" s="15"/>
      <c r="C6432" s="14"/>
      <c r="D6432" s="14"/>
      <c r="E6432" s="14"/>
      <c r="F6432" s="433"/>
      <c r="G6432" s="434"/>
      <c r="H6432" s="14"/>
      <c r="I6432" s="423"/>
      <c r="J6432" s="14"/>
      <c r="K6432" s="13"/>
      <c r="L6432" s="13"/>
      <c r="M6432" s="14"/>
      <c r="N6432" s="15"/>
      <c r="O6432" s="15"/>
      <c r="P6432" s="15"/>
      <c r="Q6432" s="15"/>
      <c r="R6432" s="422"/>
      <c r="S6432" s="15"/>
      <c r="T6432" s="15"/>
      <c r="U6432" s="15"/>
      <c r="V6432" s="15"/>
      <c r="W6432" s="15"/>
      <c r="X6432" s="15"/>
      <c r="Y6432" s="15"/>
      <c r="Z6432" s="15"/>
      <c r="AA6432" s="15"/>
    </row>
    <row r="6433">
      <c r="A6433" s="15"/>
      <c r="B6433" s="15"/>
      <c r="C6433" s="14"/>
      <c r="D6433" s="14"/>
      <c r="E6433" s="14"/>
      <c r="F6433" s="433"/>
      <c r="G6433" s="434"/>
      <c r="H6433" s="14"/>
      <c r="I6433" s="423"/>
      <c r="J6433" s="14"/>
      <c r="K6433" s="13"/>
      <c r="L6433" s="13"/>
      <c r="M6433" s="14"/>
      <c r="N6433" s="15"/>
      <c r="O6433" s="15"/>
      <c r="P6433" s="15"/>
      <c r="Q6433" s="15"/>
      <c r="R6433" s="422"/>
      <c r="S6433" s="15"/>
      <c r="T6433" s="15"/>
      <c r="U6433" s="15"/>
      <c r="V6433" s="15"/>
      <c r="W6433" s="15"/>
      <c r="X6433" s="15"/>
      <c r="Y6433" s="15"/>
      <c r="Z6433" s="15"/>
      <c r="AA6433" s="15"/>
    </row>
    <row r="6434">
      <c r="A6434" s="15"/>
      <c r="B6434" s="15"/>
      <c r="C6434" s="14"/>
      <c r="D6434" s="14"/>
      <c r="E6434" s="14"/>
      <c r="F6434" s="433"/>
      <c r="G6434" s="434"/>
      <c r="H6434" s="14"/>
      <c r="I6434" s="423"/>
      <c r="J6434" s="14"/>
      <c r="K6434" s="13"/>
      <c r="L6434" s="13"/>
      <c r="M6434" s="14"/>
      <c r="N6434" s="15"/>
      <c r="O6434" s="15"/>
      <c r="P6434" s="15"/>
      <c r="Q6434" s="15"/>
      <c r="R6434" s="422"/>
      <c r="S6434" s="15"/>
      <c r="T6434" s="15"/>
      <c r="U6434" s="15"/>
      <c r="V6434" s="15"/>
      <c r="W6434" s="15"/>
      <c r="X6434" s="15"/>
      <c r="Y6434" s="15"/>
      <c r="Z6434" s="15"/>
      <c r="AA6434" s="15"/>
    </row>
    <row r="6435">
      <c r="A6435" s="15"/>
      <c r="B6435" s="15"/>
      <c r="C6435" s="14"/>
      <c r="D6435" s="14"/>
      <c r="E6435" s="14"/>
      <c r="F6435" s="433"/>
      <c r="G6435" s="434"/>
      <c r="H6435" s="14"/>
      <c r="I6435" s="423"/>
      <c r="J6435" s="14"/>
      <c r="K6435" s="13"/>
      <c r="L6435" s="13"/>
      <c r="M6435" s="14"/>
      <c r="N6435" s="15"/>
      <c r="O6435" s="15"/>
      <c r="P6435" s="15"/>
      <c r="Q6435" s="15"/>
      <c r="R6435" s="422"/>
      <c r="S6435" s="15"/>
      <c r="T6435" s="15"/>
      <c r="U6435" s="15"/>
      <c r="V6435" s="15"/>
      <c r="W6435" s="15"/>
      <c r="X6435" s="15"/>
      <c r="Y6435" s="15"/>
      <c r="Z6435" s="15"/>
      <c r="AA6435" s="15"/>
    </row>
    <row r="6436">
      <c r="A6436" s="15"/>
      <c r="B6436" s="15"/>
      <c r="C6436" s="14"/>
      <c r="D6436" s="14"/>
      <c r="E6436" s="14"/>
      <c r="F6436" s="433"/>
      <c r="G6436" s="434"/>
      <c r="H6436" s="14"/>
      <c r="I6436" s="423"/>
      <c r="J6436" s="14"/>
      <c r="K6436" s="13"/>
      <c r="L6436" s="13"/>
      <c r="M6436" s="14"/>
      <c r="N6436" s="15"/>
      <c r="O6436" s="15"/>
      <c r="P6436" s="15"/>
      <c r="Q6436" s="15"/>
      <c r="R6436" s="422"/>
      <c r="S6436" s="15"/>
      <c r="T6436" s="15"/>
      <c r="U6436" s="15"/>
      <c r="V6436" s="15"/>
      <c r="W6436" s="15"/>
      <c r="X6436" s="15"/>
      <c r="Y6436" s="15"/>
      <c r="Z6436" s="15"/>
      <c r="AA6436" s="15"/>
    </row>
    <row r="6437">
      <c r="A6437" s="15"/>
      <c r="B6437" s="15"/>
      <c r="C6437" s="14"/>
      <c r="D6437" s="14"/>
      <c r="E6437" s="14"/>
      <c r="F6437" s="433"/>
      <c r="G6437" s="434"/>
      <c r="H6437" s="14"/>
      <c r="I6437" s="423"/>
      <c r="J6437" s="14"/>
      <c r="K6437" s="13"/>
      <c r="L6437" s="13"/>
      <c r="M6437" s="14"/>
      <c r="N6437" s="15"/>
      <c r="O6437" s="15"/>
      <c r="P6437" s="15"/>
      <c r="Q6437" s="15"/>
      <c r="R6437" s="422"/>
      <c r="S6437" s="15"/>
      <c r="T6437" s="15"/>
      <c r="U6437" s="15"/>
      <c r="V6437" s="15"/>
      <c r="W6437" s="15"/>
      <c r="X6437" s="15"/>
      <c r="Y6437" s="15"/>
      <c r="Z6437" s="15"/>
      <c r="AA6437" s="15"/>
    </row>
    <row r="6438">
      <c r="A6438" s="15"/>
      <c r="B6438" s="15"/>
      <c r="C6438" s="14"/>
      <c r="D6438" s="14"/>
      <c r="E6438" s="14"/>
      <c r="F6438" s="433"/>
      <c r="G6438" s="434"/>
      <c r="H6438" s="14"/>
      <c r="I6438" s="423"/>
      <c r="J6438" s="14"/>
      <c r="K6438" s="13"/>
      <c r="L6438" s="13"/>
      <c r="M6438" s="14"/>
      <c r="N6438" s="15"/>
      <c r="O6438" s="15"/>
      <c r="P6438" s="15"/>
      <c r="Q6438" s="15"/>
      <c r="R6438" s="422"/>
      <c r="S6438" s="15"/>
      <c r="T6438" s="15"/>
      <c r="U6438" s="15"/>
      <c r="V6438" s="15"/>
      <c r="W6438" s="15"/>
      <c r="X6438" s="15"/>
      <c r="Y6438" s="15"/>
      <c r="Z6438" s="15"/>
      <c r="AA6438" s="15"/>
    </row>
    <row r="6439">
      <c r="A6439" s="15"/>
      <c r="B6439" s="15"/>
      <c r="C6439" s="14"/>
      <c r="D6439" s="14"/>
      <c r="E6439" s="14"/>
      <c r="F6439" s="433"/>
      <c r="G6439" s="434"/>
      <c r="H6439" s="14"/>
      <c r="I6439" s="423"/>
      <c r="J6439" s="14"/>
      <c r="K6439" s="13"/>
      <c r="L6439" s="13"/>
      <c r="M6439" s="14"/>
      <c r="N6439" s="15"/>
      <c r="O6439" s="15"/>
      <c r="P6439" s="15"/>
      <c r="Q6439" s="15"/>
      <c r="R6439" s="422"/>
      <c r="S6439" s="15"/>
      <c r="T6439" s="15"/>
      <c r="U6439" s="15"/>
      <c r="V6439" s="15"/>
      <c r="W6439" s="15"/>
      <c r="X6439" s="15"/>
      <c r="Y6439" s="15"/>
      <c r="Z6439" s="15"/>
      <c r="AA6439" s="15"/>
    </row>
    <row r="6440">
      <c r="A6440" s="15"/>
      <c r="B6440" s="15"/>
      <c r="C6440" s="14"/>
      <c r="D6440" s="14"/>
      <c r="E6440" s="14"/>
      <c r="F6440" s="433"/>
      <c r="G6440" s="434"/>
      <c r="H6440" s="14"/>
      <c r="I6440" s="423"/>
      <c r="J6440" s="14"/>
      <c r="K6440" s="13"/>
      <c r="L6440" s="13"/>
      <c r="M6440" s="14"/>
      <c r="N6440" s="15"/>
      <c r="O6440" s="15"/>
      <c r="P6440" s="15"/>
      <c r="Q6440" s="15"/>
      <c r="R6440" s="422"/>
      <c r="S6440" s="15"/>
      <c r="T6440" s="15"/>
      <c r="U6440" s="15"/>
      <c r="V6440" s="15"/>
      <c r="W6440" s="15"/>
      <c r="X6440" s="15"/>
      <c r="Y6440" s="15"/>
      <c r="Z6440" s="15"/>
      <c r="AA6440" s="15"/>
    </row>
    <row r="6441">
      <c r="A6441" s="15"/>
      <c r="B6441" s="15"/>
      <c r="C6441" s="14"/>
      <c r="D6441" s="14"/>
      <c r="E6441" s="14"/>
      <c r="F6441" s="433"/>
      <c r="G6441" s="434"/>
      <c r="H6441" s="14"/>
      <c r="I6441" s="423"/>
      <c r="J6441" s="14"/>
      <c r="K6441" s="13"/>
      <c r="L6441" s="13"/>
      <c r="M6441" s="14"/>
      <c r="N6441" s="15"/>
      <c r="O6441" s="15"/>
      <c r="P6441" s="15"/>
      <c r="Q6441" s="15"/>
      <c r="R6441" s="422"/>
      <c r="S6441" s="15"/>
      <c r="T6441" s="15"/>
      <c r="U6441" s="15"/>
      <c r="V6441" s="15"/>
      <c r="W6441" s="15"/>
      <c r="X6441" s="15"/>
      <c r="Y6441" s="15"/>
      <c r="Z6441" s="15"/>
      <c r="AA6441" s="15"/>
    </row>
    <row r="6442">
      <c r="A6442" s="15"/>
      <c r="B6442" s="15"/>
      <c r="C6442" s="14"/>
      <c r="D6442" s="14"/>
      <c r="E6442" s="14"/>
      <c r="F6442" s="433"/>
      <c r="G6442" s="434"/>
      <c r="H6442" s="14"/>
      <c r="I6442" s="423"/>
      <c r="J6442" s="14"/>
      <c r="K6442" s="13"/>
      <c r="L6442" s="13"/>
      <c r="M6442" s="14"/>
      <c r="N6442" s="15"/>
      <c r="O6442" s="15"/>
      <c r="P6442" s="15"/>
      <c r="Q6442" s="15"/>
      <c r="R6442" s="422"/>
      <c r="S6442" s="15"/>
      <c r="T6442" s="15"/>
      <c r="U6442" s="15"/>
      <c r="V6442" s="15"/>
      <c r="W6442" s="15"/>
      <c r="X6442" s="15"/>
      <c r="Y6442" s="15"/>
      <c r="Z6442" s="15"/>
      <c r="AA6442" s="15"/>
    </row>
    <row r="6443">
      <c r="A6443" s="15"/>
      <c r="B6443" s="15"/>
      <c r="C6443" s="14"/>
      <c r="D6443" s="14"/>
      <c r="E6443" s="14"/>
      <c r="F6443" s="433"/>
      <c r="G6443" s="434"/>
      <c r="H6443" s="14"/>
      <c r="I6443" s="423"/>
      <c r="J6443" s="14"/>
      <c r="K6443" s="13"/>
      <c r="L6443" s="13"/>
      <c r="M6443" s="14"/>
      <c r="N6443" s="15"/>
      <c r="O6443" s="15"/>
      <c r="P6443" s="15"/>
      <c r="Q6443" s="15"/>
      <c r="R6443" s="422"/>
      <c r="S6443" s="15"/>
      <c r="T6443" s="15"/>
      <c r="U6443" s="15"/>
      <c r="V6443" s="15"/>
      <c r="W6443" s="15"/>
      <c r="X6443" s="15"/>
      <c r="Y6443" s="15"/>
      <c r="Z6443" s="15"/>
      <c r="AA6443" s="15"/>
    </row>
    <row r="6444">
      <c r="A6444" s="15"/>
      <c r="B6444" s="15"/>
      <c r="C6444" s="14"/>
      <c r="D6444" s="14"/>
      <c r="E6444" s="14"/>
      <c r="F6444" s="433"/>
      <c r="G6444" s="434"/>
      <c r="H6444" s="14"/>
      <c r="I6444" s="423"/>
      <c r="J6444" s="14"/>
      <c r="K6444" s="13"/>
      <c r="L6444" s="13"/>
      <c r="M6444" s="14"/>
      <c r="N6444" s="15"/>
      <c r="O6444" s="15"/>
      <c r="P6444" s="15"/>
      <c r="Q6444" s="15"/>
      <c r="R6444" s="422"/>
      <c r="S6444" s="15"/>
      <c r="T6444" s="15"/>
      <c r="U6444" s="15"/>
      <c r="V6444" s="15"/>
      <c r="W6444" s="15"/>
      <c r="X6444" s="15"/>
      <c r="Y6444" s="15"/>
      <c r="Z6444" s="15"/>
      <c r="AA6444" s="15"/>
    </row>
    <row r="6445">
      <c r="A6445" s="15"/>
      <c r="B6445" s="15"/>
      <c r="C6445" s="14"/>
      <c r="D6445" s="14"/>
      <c r="E6445" s="14"/>
      <c r="F6445" s="433"/>
      <c r="G6445" s="434"/>
      <c r="H6445" s="14"/>
      <c r="I6445" s="423"/>
      <c r="J6445" s="14"/>
      <c r="K6445" s="13"/>
      <c r="L6445" s="13"/>
      <c r="M6445" s="14"/>
      <c r="N6445" s="15"/>
      <c r="O6445" s="15"/>
      <c r="P6445" s="15"/>
      <c r="Q6445" s="15"/>
      <c r="R6445" s="422"/>
      <c r="S6445" s="15"/>
      <c r="T6445" s="15"/>
      <c r="U6445" s="15"/>
      <c r="V6445" s="15"/>
      <c r="W6445" s="15"/>
      <c r="X6445" s="15"/>
      <c r="Y6445" s="15"/>
      <c r="Z6445" s="15"/>
      <c r="AA6445" s="15"/>
    </row>
    <row r="6446">
      <c r="A6446" s="15"/>
      <c r="B6446" s="15"/>
      <c r="C6446" s="14"/>
      <c r="D6446" s="14"/>
      <c r="E6446" s="14"/>
      <c r="F6446" s="433"/>
      <c r="G6446" s="434"/>
      <c r="H6446" s="14"/>
      <c r="I6446" s="423"/>
      <c r="J6446" s="14"/>
      <c r="K6446" s="13"/>
      <c r="L6446" s="13"/>
      <c r="M6446" s="14"/>
      <c r="N6446" s="15"/>
      <c r="O6446" s="15"/>
      <c r="P6446" s="15"/>
      <c r="Q6446" s="15"/>
      <c r="R6446" s="422"/>
      <c r="S6446" s="15"/>
      <c r="T6446" s="15"/>
      <c r="U6446" s="15"/>
      <c r="V6446" s="15"/>
      <c r="W6446" s="15"/>
      <c r="X6446" s="15"/>
      <c r="Y6446" s="15"/>
      <c r="Z6446" s="15"/>
      <c r="AA6446" s="15"/>
    </row>
    <row r="6447">
      <c r="A6447" s="15"/>
      <c r="B6447" s="15"/>
      <c r="C6447" s="14"/>
      <c r="D6447" s="14"/>
      <c r="E6447" s="14"/>
      <c r="F6447" s="433"/>
      <c r="G6447" s="434"/>
      <c r="H6447" s="14"/>
      <c r="I6447" s="423"/>
      <c r="J6447" s="14"/>
      <c r="K6447" s="13"/>
      <c r="L6447" s="13"/>
      <c r="M6447" s="14"/>
      <c r="N6447" s="15"/>
      <c r="O6447" s="15"/>
      <c r="P6447" s="15"/>
      <c r="Q6447" s="15"/>
      <c r="R6447" s="422"/>
      <c r="S6447" s="15"/>
      <c r="T6447" s="15"/>
      <c r="U6447" s="15"/>
      <c r="V6447" s="15"/>
      <c r="W6447" s="15"/>
      <c r="X6447" s="15"/>
      <c r="Y6447" s="15"/>
      <c r="Z6447" s="15"/>
      <c r="AA6447" s="15"/>
    </row>
    <row r="6448">
      <c r="A6448" s="15"/>
      <c r="B6448" s="15"/>
      <c r="C6448" s="14"/>
      <c r="D6448" s="14"/>
      <c r="E6448" s="14"/>
      <c r="F6448" s="433"/>
      <c r="G6448" s="434"/>
      <c r="H6448" s="14"/>
      <c r="I6448" s="423"/>
      <c r="J6448" s="14"/>
      <c r="K6448" s="13"/>
      <c r="L6448" s="13"/>
      <c r="M6448" s="14"/>
      <c r="N6448" s="15"/>
      <c r="O6448" s="15"/>
      <c r="P6448" s="15"/>
      <c r="Q6448" s="15"/>
      <c r="R6448" s="422"/>
      <c r="S6448" s="15"/>
      <c r="T6448" s="15"/>
      <c r="U6448" s="15"/>
      <c r="V6448" s="15"/>
      <c r="W6448" s="15"/>
      <c r="X6448" s="15"/>
      <c r="Y6448" s="15"/>
      <c r="Z6448" s="15"/>
      <c r="AA6448" s="15"/>
    </row>
    <row r="6449">
      <c r="A6449" s="15"/>
      <c r="B6449" s="15"/>
      <c r="C6449" s="14"/>
      <c r="D6449" s="14"/>
      <c r="E6449" s="14"/>
      <c r="F6449" s="433"/>
      <c r="G6449" s="434"/>
      <c r="H6449" s="14"/>
      <c r="I6449" s="423"/>
      <c r="J6449" s="14"/>
      <c r="K6449" s="13"/>
      <c r="L6449" s="13"/>
      <c r="M6449" s="14"/>
      <c r="N6449" s="15"/>
      <c r="O6449" s="15"/>
      <c r="P6449" s="15"/>
      <c r="Q6449" s="15"/>
      <c r="R6449" s="422"/>
      <c r="S6449" s="15"/>
      <c r="T6449" s="15"/>
      <c r="U6449" s="15"/>
      <c r="V6449" s="15"/>
      <c r="W6449" s="15"/>
      <c r="X6449" s="15"/>
      <c r="Y6449" s="15"/>
      <c r="Z6449" s="15"/>
      <c r="AA6449" s="15"/>
    </row>
    <row r="6450">
      <c r="A6450" s="15"/>
      <c r="B6450" s="15"/>
      <c r="C6450" s="14"/>
      <c r="D6450" s="14"/>
      <c r="E6450" s="14"/>
      <c r="F6450" s="433"/>
      <c r="G6450" s="434"/>
      <c r="H6450" s="14"/>
      <c r="I6450" s="423"/>
      <c r="J6450" s="14"/>
      <c r="K6450" s="13"/>
      <c r="L6450" s="13"/>
      <c r="M6450" s="14"/>
      <c r="N6450" s="15"/>
      <c r="O6450" s="15"/>
      <c r="P6450" s="15"/>
      <c r="Q6450" s="15"/>
      <c r="R6450" s="422"/>
      <c r="S6450" s="15"/>
      <c r="T6450" s="15"/>
      <c r="U6450" s="15"/>
      <c r="V6450" s="15"/>
      <c r="W6450" s="15"/>
      <c r="X6450" s="15"/>
      <c r="Y6450" s="15"/>
      <c r="Z6450" s="15"/>
      <c r="AA6450" s="15"/>
    </row>
    <row r="6451">
      <c r="A6451" s="15"/>
      <c r="B6451" s="15"/>
      <c r="C6451" s="14"/>
      <c r="D6451" s="14"/>
      <c r="E6451" s="14"/>
      <c r="F6451" s="433"/>
      <c r="G6451" s="434"/>
      <c r="H6451" s="14"/>
      <c r="I6451" s="423"/>
      <c r="J6451" s="14"/>
      <c r="K6451" s="13"/>
      <c r="L6451" s="13"/>
      <c r="M6451" s="14"/>
      <c r="N6451" s="15"/>
      <c r="O6451" s="15"/>
      <c r="P6451" s="15"/>
      <c r="Q6451" s="15"/>
      <c r="R6451" s="422"/>
      <c r="S6451" s="15"/>
      <c r="T6451" s="15"/>
      <c r="U6451" s="15"/>
      <c r="V6451" s="15"/>
      <c r="W6451" s="15"/>
      <c r="X6451" s="15"/>
      <c r="Y6451" s="15"/>
      <c r="Z6451" s="15"/>
      <c r="AA6451" s="15"/>
    </row>
    <row r="6452">
      <c r="A6452" s="15"/>
      <c r="B6452" s="15"/>
      <c r="C6452" s="14"/>
      <c r="D6452" s="14"/>
      <c r="E6452" s="14"/>
      <c r="F6452" s="433"/>
      <c r="G6452" s="434"/>
      <c r="H6452" s="14"/>
      <c r="I6452" s="423"/>
      <c r="J6452" s="14"/>
      <c r="K6452" s="13"/>
      <c r="L6452" s="13"/>
      <c r="M6452" s="14"/>
      <c r="N6452" s="15"/>
      <c r="O6452" s="15"/>
      <c r="P6452" s="15"/>
      <c r="Q6452" s="15"/>
      <c r="R6452" s="422"/>
      <c r="S6452" s="15"/>
      <c r="T6452" s="15"/>
      <c r="U6452" s="15"/>
      <c r="V6452" s="15"/>
      <c r="W6452" s="15"/>
      <c r="X6452" s="15"/>
      <c r="Y6452" s="15"/>
      <c r="Z6452" s="15"/>
      <c r="AA6452" s="15"/>
    </row>
    <row r="6453">
      <c r="A6453" s="15"/>
      <c r="B6453" s="15"/>
      <c r="C6453" s="14"/>
      <c r="D6453" s="14"/>
      <c r="E6453" s="14"/>
      <c r="F6453" s="433"/>
      <c r="G6453" s="434"/>
      <c r="H6453" s="14"/>
      <c r="I6453" s="423"/>
      <c r="J6453" s="14"/>
      <c r="K6453" s="13"/>
      <c r="L6453" s="13"/>
      <c r="M6453" s="14"/>
      <c r="N6453" s="15"/>
      <c r="O6453" s="15"/>
      <c r="P6453" s="15"/>
      <c r="Q6453" s="15"/>
      <c r="R6453" s="422"/>
      <c r="S6453" s="15"/>
      <c r="T6453" s="15"/>
      <c r="U6453" s="15"/>
      <c r="V6453" s="15"/>
      <c r="W6453" s="15"/>
      <c r="X6453" s="15"/>
      <c r="Y6453" s="15"/>
      <c r="Z6453" s="15"/>
      <c r="AA6453" s="15"/>
    </row>
    <row r="6454">
      <c r="A6454" s="15"/>
      <c r="B6454" s="15"/>
      <c r="C6454" s="14"/>
      <c r="D6454" s="14"/>
      <c r="E6454" s="14"/>
      <c r="F6454" s="433"/>
      <c r="G6454" s="434"/>
      <c r="H6454" s="14"/>
      <c r="I6454" s="423"/>
      <c r="J6454" s="14"/>
      <c r="K6454" s="13"/>
      <c r="L6454" s="13"/>
      <c r="M6454" s="14"/>
      <c r="N6454" s="15"/>
      <c r="O6454" s="15"/>
      <c r="P6454" s="15"/>
      <c r="Q6454" s="15"/>
      <c r="R6454" s="422"/>
      <c r="S6454" s="15"/>
      <c r="T6454" s="15"/>
      <c r="U6454" s="15"/>
      <c r="V6454" s="15"/>
      <c r="W6454" s="15"/>
      <c r="X6454" s="15"/>
      <c r="Y6454" s="15"/>
      <c r="Z6454" s="15"/>
      <c r="AA6454" s="15"/>
    </row>
    <row r="6455">
      <c r="A6455" s="15"/>
      <c r="B6455" s="15"/>
      <c r="C6455" s="14"/>
      <c r="D6455" s="14"/>
      <c r="E6455" s="14"/>
      <c r="F6455" s="433"/>
      <c r="G6455" s="434"/>
      <c r="H6455" s="14"/>
      <c r="I6455" s="423"/>
      <c r="J6455" s="14"/>
      <c r="K6455" s="13"/>
      <c r="L6455" s="13"/>
      <c r="M6455" s="14"/>
      <c r="N6455" s="15"/>
      <c r="O6455" s="15"/>
      <c r="P6455" s="15"/>
      <c r="Q6455" s="15"/>
      <c r="R6455" s="422"/>
      <c r="S6455" s="15"/>
      <c r="T6455" s="15"/>
      <c r="U6455" s="15"/>
      <c r="V6455" s="15"/>
      <c r="W6455" s="15"/>
      <c r="X6455" s="15"/>
      <c r="Y6455" s="15"/>
      <c r="Z6455" s="15"/>
      <c r="AA6455" s="15"/>
    </row>
    <row r="6456">
      <c r="A6456" s="15"/>
      <c r="B6456" s="15"/>
      <c r="C6456" s="14"/>
      <c r="D6456" s="14"/>
      <c r="E6456" s="14"/>
      <c r="F6456" s="433"/>
      <c r="G6456" s="434"/>
      <c r="H6456" s="14"/>
      <c r="I6456" s="423"/>
      <c r="J6456" s="14"/>
      <c r="K6456" s="13"/>
      <c r="L6456" s="13"/>
      <c r="M6456" s="14"/>
      <c r="N6456" s="15"/>
      <c r="O6456" s="15"/>
      <c r="P6456" s="15"/>
      <c r="Q6456" s="15"/>
      <c r="R6456" s="422"/>
      <c r="S6456" s="15"/>
      <c r="T6456" s="15"/>
      <c r="U6456" s="15"/>
      <c r="V6456" s="15"/>
      <c r="W6456" s="15"/>
      <c r="X6456" s="15"/>
      <c r="Y6456" s="15"/>
      <c r="Z6456" s="15"/>
      <c r="AA6456" s="15"/>
    </row>
    <row r="6457">
      <c r="A6457" s="15"/>
      <c r="B6457" s="15"/>
      <c r="C6457" s="14"/>
      <c r="D6457" s="14"/>
      <c r="E6457" s="14"/>
      <c r="F6457" s="433"/>
      <c r="G6457" s="434"/>
      <c r="H6457" s="14"/>
      <c r="I6457" s="423"/>
      <c r="J6457" s="14"/>
      <c r="K6457" s="13"/>
      <c r="L6457" s="13"/>
      <c r="M6457" s="14"/>
      <c r="N6457" s="15"/>
      <c r="O6457" s="15"/>
      <c r="P6457" s="15"/>
      <c r="Q6457" s="15"/>
      <c r="R6457" s="422"/>
      <c r="S6457" s="15"/>
      <c r="T6457" s="15"/>
      <c r="U6457" s="15"/>
      <c r="V6457" s="15"/>
      <c r="W6457" s="15"/>
      <c r="X6457" s="15"/>
      <c r="Y6457" s="15"/>
      <c r="Z6457" s="15"/>
      <c r="AA6457" s="15"/>
    </row>
    <row r="6458">
      <c r="A6458" s="15"/>
      <c r="B6458" s="15"/>
      <c r="C6458" s="14"/>
      <c r="D6458" s="14"/>
      <c r="E6458" s="14"/>
      <c r="F6458" s="433"/>
      <c r="G6458" s="434"/>
      <c r="H6458" s="14"/>
      <c r="I6458" s="423"/>
      <c r="J6458" s="14"/>
      <c r="K6458" s="13"/>
      <c r="L6458" s="13"/>
      <c r="M6458" s="14"/>
      <c r="N6458" s="15"/>
      <c r="O6458" s="15"/>
      <c r="P6458" s="15"/>
      <c r="Q6458" s="15"/>
      <c r="R6458" s="422"/>
      <c r="S6458" s="15"/>
      <c r="T6458" s="15"/>
      <c r="U6458" s="15"/>
      <c r="V6458" s="15"/>
      <c r="W6458" s="15"/>
      <c r="X6458" s="15"/>
      <c r="Y6458" s="15"/>
      <c r="Z6458" s="15"/>
      <c r="AA6458" s="15"/>
    </row>
    <row r="6459">
      <c r="A6459" s="15"/>
      <c r="B6459" s="15"/>
      <c r="C6459" s="14"/>
      <c r="D6459" s="14"/>
      <c r="E6459" s="14"/>
      <c r="F6459" s="433"/>
      <c r="G6459" s="434"/>
      <c r="H6459" s="14"/>
      <c r="I6459" s="423"/>
      <c r="J6459" s="14"/>
      <c r="K6459" s="13"/>
      <c r="L6459" s="13"/>
      <c r="M6459" s="14"/>
      <c r="N6459" s="15"/>
      <c r="O6459" s="15"/>
      <c r="P6459" s="15"/>
      <c r="Q6459" s="15"/>
      <c r="R6459" s="422"/>
      <c r="S6459" s="15"/>
      <c r="T6459" s="15"/>
      <c r="U6459" s="15"/>
      <c r="V6459" s="15"/>
      <c r="W6459" s="15"/>
      <c r="X6459" s="15"/>
      <c r="Y6459" s="15"/>
      <c r="Z6459" s="15"/>
      <c r="AA6459" s="15"/>
    </row>
    <row r="6460">
      <c r="A6460" s="15"/>
      <c r="B6460" s="15"/>
      <c r="C6460" s="14"/>
      <c r="D6460" s="14"/>
      <c r="E6460" s="14"/>
      <c r="F6460" s="433"/>
      <c r="G6460" s="434"/>
      <c r="H6460" s="14"/>
      <c r="I6460" s="423"/>
      <c r="J6460" s="14"/>
      <c r="K6460" s="13"/>
      <c r="L6460" s="13"/>
      <c r="M6460" s="14"/>
      <c r="N6460" s="15"/>
      <c r="O6460" s="15"/>
      <c r="P6460" s="15"/>
      <c r="Q6460" s="15"/>
      <c r="R6460" s="422"/>
      <c r="S6460" s="15"/>
      <c r="T6460" s="15"/>
      <c r="U6460" s="15"/>
      <c r="V6460" s="15"/>
      <c r="W6460" s="15"/>
      <c r="X6460" s="15"/>
      <c r="Y6460" s="15"/>
      <c r="Z6460" s="15"/>
      <c r="AA6460" s="15"/>
    </row>
    <row r="6461">
      <c r="A6461" s="15"/>
      <c r="B6461" s="15"/>
      <c r="C6461" s="14"/>
      <c r="D6461" s="14"/>
      <c r="E6461" s="14"/>
      <c r="F6461" s="433"/>
      <c r="G6461" s="434"/>
      <c r="H6461" s="14"/>
      <c r="I6461" s="423"/>
      <c r="J6461" s="14"/>
      <c r="K6461" s="13"/>
      <c r="L6461" s="13"/>
      <c r="M6461" s="14"/>
      <c r="N6461" s="15"/>
      <c r="O6461" s="15"/>
      <c r="P6461" s="15"/>
      <c r="Q6461" s="15"/>
      <c r="R6461" s="422"/>
      <c r="S6461" s="15"/>
      <c r="T6461" s="15"/>
      <c r="U6461" s="15"/>
      <c r="V6461" s="15"/>
      <c r="W6461" s="15"/>
      <c r="X6461" s="15"/>
      <c r="Y6461" s="15"/>
      <c r="Z6461" s="15"/>
      <c r="AA6461" s="15"/>
    </row>
    <row r="6462">
      <c r="A6462" s="15"/>
      <c r="B6462" s="15"/>
      <c r="C6462" s="14"/>
      <c r="D6462" s="14"/>
      <c r="E6462" s="14"/>
      <c r="F6462" s="433"/>
      <c r="G6462" s="434"/>
      <c r="H6462" s="14"/>
      <c r="I6462" s="423"/>
      <c r="J6462" s="14"/>
      <c r="K6462" s="13"/>
      <c r="L6462" s="13"/>
      <c r="M6462" s="14"/>
      <c r="N6462" s="15"/>
      <c r="O6462" s="15"/>
      <c r="P6462" s="15"/>
      <c r="Q6462" s="15"/>
      <c r="R6462" s="422"/>
      <c r="S6462" s="15"/>
      <c r="T6462" s="15"/>
      <c r="U6462" s="15"/>
      <c r="V6462" s="15"/>
      <c r="W6462" s="15"/>
      <c r="X6462" s="15"/>
      <c r="Y6462" s="15"/>
      <c r="Z6462" s="15"/>
      <c r="AA6462" s="15"/>
    </row>
    <row r="6463">
      <c r="A6463" s="15"/>
      <c r="B6463" s="15"/>
      <c r="C6463" s="14"/>
      <c r="D6463" s="14"/>
      <c r="E6463" s="14"/>
      <c r="F6463" s="433"/>
      <c r="G6463" s="434"/>
      <c r="H6463" s="14"/>
      <c r="I6463" s="423"/>
      <c r="J6463" s="14"/>
      <c r="K6463" s="13"/>
      <c r="L6463" s="13"/>
      <c r="M6463" s="14"/>
      <c r="N6463" s="15"/>
      <c r="O6463" s="15"/>
      <c r="P6463" s="15"/>
      <c r="Q6463" s="15"/>
      <c r="R6463" s="422"/>
      <c r="S6463" s="15"/>
      <c r="T6463" s="15"/>
      <c r="U6463" s="15"/>
      <c r="V6463" s="15"/>
      <c r="W6463" s="15"/>
      <c r="X6463" s="15"/>
      <c r="Y6463" s="15"/>
      <c r="Z6463" s="15"/>
      <c r="AA6463" s="15"/>
    </row>
    <row r="6464">
      <c r="A6464" s="15"/>
      <c r="B6464" s="15"/>
      <c r="C6464" s="14"/>
      <c r="D6464" s="14"/>
      <c r="E6464" s="14"/>
      <c r="F6464" s="433"/>
      <c r="G6464" s="434"/>
      <c r="H6464" s="14"/>
      <c r="I6464" s="423"/>
      <c r="J6464" s="14"/>
      <c r="K6464" s="13"/>
      <c r="L6464" s="13"/>
      <c r="M6464" s="14"/>
      <c r="N6464" s="15"/>
      <c r="O6464" s="15"/>
      <c r="P6464" s="15"/>
      <c r="Q6464" s="15"/>
      <c r="R6464" s="422"/>
      <c r="S6464" s="15"/>
      <c r="T6464" s="15"/>
      <c r="U6464" s="15"/>
      <c r="V6464" s="15"/>
      <c r="W6464" s="15"/>
      <c r="X6464" s="15"/>
      <c r="Y6464" s="15"/>
      <c r="Z6464" s="15"/>
      <c r="AA6464" s="15"/>
    </row>
    <row r="6465">
      <c r="A6465" s="15"/>
      <c r="B6465" s="15"/>
      <c r="C6465" s="14"/>
      <c r="D6465" s="14"/>
      <c r="E6465" s="14"/>
      <c r="F6465" s="433"/>
      <c r="G6465" s="434"/>
      <c r="H6465" s="14"/>
      <c r="I6465" s="423"/>
      <c r="J6465" s="14"/>
      <c r="K6465" s="13"/>
      <c r="L6465" s="13"/>
      <c r="M6465" s="14"/>
      <c r="N6465" s="15"/>
      <c r="O6465" s="15"/>
      <c r="P6465" s="15"/>
      <c r="Q6465" s="15"/>
      <c r="R6465" s="422"/>
      <c r="S6465" s="15"/>
      <c r="T6465" s="15"/>
      <c r="U6465" s="15"/>
      <c r="V6465" s="15"/>
      <c r="W6465" s="15"/>
      <c r="X6465" s="15"/>
      <c r="Y6465" s="15"/>
      <c r="Z6465" s="15"/>
      <c r="AA6465" s="15"/>
    </row>
    <row r="6466">
      <c r="A6466" s="15"/>
      <c r="B6466" s="15"/>
      <c r="C6466" s="14"/>
      <c r="D6466" s="14"/>
      <c r="E6466" s="14"/>
      <c r="F6466" s="433"/>
      <c r="G6466" s="434"/>
      <c r="H6466" s="14"/>
      <c r="I6466" s="423"/>
      <c r="J6466" s="14"/>
      <c r="K6466" s="13"/>
      <c r="L6466" s="13"/>
      <c r="M6466" s="14"/>
      <c r="N6466" s="15"/>
      <c r="O6466" s="15"/>
      <c r="P6466" s="15"/>
      <c r="Q6466" s="15"/>
      <c r="R6466" s="422"/>
      <c r="S6466" s="15"/>
      <c r="T6466" s="15"/>
      <c r="U6466" s="15"/>
      <c r="V6466" s="15"/>
      <c r="W6466" s="15"/>
      <c r="X6466" s="15"/>
      <c r="Y6466" s="15"/>
      <c r="Z6466" s="15"/>
      <c r="AA6466" s="15"/>
    </row>
    <row r="6467">
      <c r="A6467" s="15"/>
      <c r="B6467" s="15"/>
      <c r="C6467" s="14"/>
      <c r="D6467" s="14"/>
      <c r="E6467" s="14"/>
      <c r="F6467" s="433"/>
      <c r="G6467" s="434"/>
      <c r="H6467" s="14"/>
      <c r="I6467" s="423"/>
      <c r="J6467" s="14"/>
      <c r="K6467" s="13"/>
      <c r="L6467" s="13"/>
      <c r="M6467" s="14"/>
      <c r="N6467" s="15"/>
      <c r="O6467" s="15"/>
      <c r="P6467" s="15"/>
      <c r="Q6467" s="15"/>
      <c r="R6467" s="422"/>
      <c r="S6467" s="15"/>
      <c r="T6467" s="15"/>
      <c r="U6467" s="15"/>
      <c r="V6467" s="15"/>
      <c r="W6467" s="15"/>
      <c r="X6467" s="15"/>
      <c r="Y6467" s="15"/>
      <c r="Z6467" s="15"/>
      <c r="AA6467" s="15"/>
    </row>
    <row r="6468">
      <c r="A6468" s="15"/>
      <c r="B6468" s="15"/>
      <c r="C6468" s="14"/>
      <c r="D6468" s="14"/>
      <c r="E6468" s="14"/>
      <c r="F6468" s="433"/>
      <c r="G6468" s="434"/>
      <c r="H6468" s="14"/>
      <c r="I6468" s="423"/>
      <c r="J6468" s="14"/>
      <c r="K6468" s="13"/>
      <c r="L6468" s="13"/>
      <c r="M6468" s="14"/>
      <c r="N6468" s="15"/>
      <c r="O6468" s="15"/>
      <c r="P6468" s="15"/>
      <c r="Q6468" s="15"/>
      <c r="R6468" s="422"/>
      <c r="S6468" s="15"/>
      <c r="T6468" s="15"/>
      <c r="U6468" s="15"/>
      <c r="V6468" s="15"/>
      <c r="W6468" s="15"/>
      <c r="X6468" s="15"/>
      <c r="Y6468" s="15"/>
      <c r="Z6468" s="15"/>
      <c r="AA6468" s="15"/>
    </row>
    <row r="6469">
      <c r="A6469" s="15"/>
      <c r="B6469" s="15"/>
      <c r="C6469" s="14"/>
      <c r="D6469" s="14"/>
      <c r="E6469" s="14"/>
      <c r="F6469" s="433"/>
      <c r="G6469" s="434"/>
      <c r="H6469" s="14"/>
      <c r="I6469" s="423"/>
      <c r="J6469" s="14"/>
      <c r="K6469" s="13"/>
      <c r="L6469" s="13"/>
      <c r="M6469" s="14"/>
      <c r="N6469" s="15"/>
      <c r="O6469" s="15"/>
      <c r="P6469" s="15"/>
      <c r="Q6469" s="15"/>
      <c r="R6469" s="422"/>
      <c r="S6469" s="15"/>
      <c r="T6469" s="15"/>
      <c r="U6469" s="15"/>
      <c r="V6469" s="15"/>
      <c r="W6469" s="15"/>
      <c r="X6469" s="15"/>
      <c r="Y6469" s="15"/>
      <c r="Z6469" s="15"/>
      <c r="AA6469" s="15"/>
    </row>
    <row r="6470">
      <c r="A6470" s="15"/>
      <c r="B6470" s="15"/>
      <c r="C6470" s="14"/>
      <c r="D6470" s="14"/>
      <c r="E6470" s="14"/>
      <c r="F6470" s="433"/>
      <c r="G6470" s="434"/>
      <c r="H6470" s="14"/>
      <c r="I6470" s="423"/>
      <c r="J6470" s="14"/>
      <c r="K6470" s="13"/>
      <c r="L6470" s="13"/>
      <c r="M6470" s="14"/>
      <c r="N6470" s="15"/>
      <c r="O6470" s="15"/>
      <c r="P6470" s="15"/>
      <c r="Q6470" s="15"/>
      <c r="R6470" s="422"/>
      <c r="S6470" s="15"/>
      <c r="T6470" s="15"/>
      <c r="U6470" s="15"/>
      <c r="V6470" s="15"/>
      <c r="W6470" s="15"/>
      <c r="X6470" s="15"/>
      <c r="Y6470" s="15"/>
      <c r="Z6470" s="15"/>
      <c r="AA6470" s="15"/>
    </row>
    <row r="6471">
      <c r="A6471" s="15"/>
      <c r="B6471" s="15"/>
      <c r="C6471" s="14"/>
      <c r="D6471" s="14"/>
      <c r="E6471" s="14"/>
      <c r="F6471" s="433"/>
      <c r="G6471" s="434"/>
      <c r="H6471" s="14"/>
      <c r="I6471" s="423"/>
      <c r="J6471" s="14"/>
      <c r="K6471" s="13"/>
      <c r="L6471" s="13"/>
      <c r="M6471" s="14"/>
      <c r="N6471" s="15"/>
      <c r="O6471" s="15"/>
      <c r="P6471" s="15"/>
      <c r="Q6471" s="15"/>
      <c r="R6471" s="422"/>
      <c r="S6471" s="15"/>
      <c r="T6471" s="15"/>
      <c r="U6471" s="15"/>
      <c r="V6471" s="15"/>
      <c r="W6471" s="15"/>
      <c r="X6471" s="15"/>
      <c r="Y6471" s="15"/>
      <c r="Z6471" s="15"/>
      <c r="AA6471" s="15"/>
    </row>
    <row r="6472">
      <c r="A6472" s="15"/>
      <c r="B6472" s="15"/>
      <c r="C6472" s="14"/>
      <c r="D6472" s="14"/>
      <c r="E6472" s="14"/>
      <c r="F6472" s="433"/>
      <c r="G6472" s="434"/>
      <c r="H6472" s="14"/>
      <c r="I6472" s="423"/>
      <c r="J6472" s="14"/>
      <c r="K6472" s="13"/>
      <c r="L6472" s="13"/>
      <c r="M6472" s="14"/>
      <c r="N6472" s="15"/>
      <c r="O6472" s="15"/>
      <c r="P6472" s="15"/>
      <c r="Q6472" s="15"/>
      <c r="R6472" s="422"/>
      <c r="S6472" s="15"/>
      <c r="T6472" s="15"/>
      <c r="U6472" s="15"/>
      <c r="V6472" s="15"/>
      <c r="W6472" s="15"/>
      <c r="X6472" s="15"/>
      <c r="Y6472" s="15"/>
      <c r="Z6472" s="15"/>
      <c r="AA6472" s="15"/>
    </row>
    <row r="6473">
      <c r="A6473" s="15"/>
      <c r="B6473" s="15"/>
      <c r="C6473" s="14"/>
      <c r="D6473" s="14"/>
      <c r="E6473" s="14"/>
      <c r="F6473" s="433"/>
      <c r="G6473" s="434"/>
      <c r="H6473" s="14"/>
      <c r="I6473" s="423"/>
      <c r="J6473" s="14"/>
      <c r="K6473" s="13"/>
      <c r="L6473" s="13"/>
      <c r="M6473" s="14"/>
      <c r="N6473" s="15"/>
      <c r="O6473" s="15"/>
      <c r="P6473" s="15"/>
      <c r="Q6473" s="15"/>
      <c r="R6473" s="422"/>
      <c r="S6473" s="15"/>
      <c r="T6473" s="15"/>
      <c r="U6473" s="15"/>
      <c r="V6473" s="15"/>
      <c r="W6473" s="15"/>
      <c r="X6473" s="15"/>
      <c r="Y6473" s="15"/>
      <c r="Z6473" s="15"/>
      <c r="AA6473" s="15"/>
    </row>
    <row r="6474">
      <c r="A6474" s="15"/>
      <c r="B6474" s="15"/>
      <c r="C6474" s="14"/>
      <c r="D6474" s="14"/>
      <c r="E6474" s="14"/>
      <c r="F6474" s="433"/>
      <c r="G6474" s="434"/>
      <c r="H6474" s="14"/>
      <c r="I6474" s="423"/>
      <c r="J6474" s="14"/>
      <c r="K6474" s="13"/>
      <c r="L6474" s="13"/>
      <c r="M6474" s="14"/>
      <c r="N6474" s="15"/>
      <c r="O6474" s="15"/>
      <c r="P6474" s="15"/>
      <c r="Q6474" s="15"/>
      <c r="R6474" s="422"/>
      <c r="S6474" s="15"/>
      <c r="T6474" s="15"/>
      <c r="U6474" s="15"/>
      <c r="V6474" s="15"/>
      <c r="W6474" s="15"/>
      <c r="X6474" s="15"/>
      <c r="Y6474" s="15"/>
      <c r="Z6474" s="15"/>
      <c r="AA6474" s="15"/>
    </row>
    <row r="6475">
      <c r="A6475" s="15"/>
      <c r="B6475" s="15"/>
      <c r="C6475" s="14"/>
      <c r="D6475" s="14"/>
      <c r="E6475" s="14"/>
      <c r="F6475" s="433"/>
      <c r="G6475" s="434"/>
      <c r="H6475" s="14"/>
      <c r="I6475" s="423"/>
      <c r="J6475" s="14"/>
      <c r="K6475" s="13"/>
      <c r="L6475" s="13"/>
      <c r="M6475" s="14"/>
      <c r="N6475" s="15"/>
      <c r="O6475" s="15"/>
      <c r="P6475" s="15"/>
      <c r="Q6475" s="15"/>
      <c r="R6475" s="422"/>
      <c r="S6475" s="15"/>
      <c r="T6475" s="15"/>
      <c r="U6475" s="15"/>
      <c r="V6475" s="15"/>
      <c r="W6475" s="15"/>
      <c r="X6475" s="15"/>
      <c r="Y6475" s="15"/>
      <c r="Z6475" s="15"/>
      <c r="AA6475" s="15"/>
    </row>
    <row r="6476">
      <c r="A6476" s="15"/>
      <c r="B6476" s="15"/>
      <c r="C6476" s="14"/>
      <c r="D6476" s="14"/>
      <c r="E6476" s="14"/>
      <c r="F6476" s="433"/>
      <c r="G6476" s="434"/>
      <c r="H6476" s="14"/>
      <c r="I6476" s="423"/>
      <c r="J6476" s="14"/>
      <c r="K6476" s="13"/>
      <c r="L6476" s="13"/>
      <c r="M6476" s="14"/>
      <c r="N6476" s="15"/>
      <c r="O6476" s="15"/>
      <c r="P6476" s="15"/>
      <c r="Q6476" s="15"/>
      <c r="R6476" s="422"/>
      <c r="S6476" s="15"/>
      <c r="T6476" s="15"/>
      <c r="U6476" s="15"/>
      <c r="V6476" s="15"/>
      <c r="W6476" s="15"/>
      <c r="X6476" s="15"/>
      <c r="Y6476" s="15"/>
      <c r="Z6476" s="15"/>
      <c r="AA6476" s="15"/>
    </row>
    <row r="6477">
      <c r="A6477" s="15"/>
      <c r="B6477" s="15"/>
      <c r="C6477" s="14"/>
      <c r="D6477" s="14"/>
      <c r="E6477" s="14"/>
      <c r="F6477" s="433"/>
      <c r="G6477" s="434"/>
      <c r="H6477" s="14"/>
      <c r="I6477" s="423"/>
      <c r="J6477" s="14"/>
      <c r="K6477" s="13"/>
      <c r="L6477" s="13"/>
      <c r="M6477" s="14"/>
      <c r="N6477" s="15"/>
      <c r="O6477" s="15"/>
      <c r="P6477" s="15"/>
      <c r="Q6477" s="15"/>
      <c r="R6477" s="422"/>
      <c r="S6477" s="15"/>
      <c r="T6477" s="15"/>
      <c r="U6477" s="15"/>
      <c r="V6477" s="15"/>
      <c r="W6477" s="15"/>
      <c r="X6477" s="15"/>
      <c r="Y6477" s="15"/>
      <c r="Z6477" s="15"/>
      <c r="AA6477" s="15"/>
    </row>
    <row r="6478">
      <c r="A6478" s="15"/>
      <c r="B6478" s="15"/>
      <c r="C6478" s="14"/>
      <c r="D6478" s="14"/>
      <c r="E6478" s="14"/>
      <c r="F6478" s="433"/>
      <c r="G6478" s="434"/>
      <c r="H6478" s="14"/>
      <c r="I6478" s="423"/>
      <c r="J6478" s="14"/>
      <c r="K6478" s="13"/>
      <c r="L6478" s="13"/>
      <c r="M6478" s="14"/>
      <c r="N6478" s="15"/>
      <c r="O6478" s="15"/>
      <c r="P6478" s="15"/>
      <c r="Q6478" s="15"/>
      <c r="R6478" s="422"/>
      <c r="S6478" s="15"/>
      <c r="T6478" s="15"/>
      <c r="U6478" s="15"/>
      <c r="V6478" s="15"/>
      <c r="W6478" s="15"/>
      <c r="X6478" s="15"/>
      <c r="Y6478" s="15"/>
      <c r="Z6478" s="15"/>
      <c r="AA6478" s="15"/>
    </row>
    <row r="6479">
      <c r="A6479" s="15"/>
      <c r="B6479" s="15"/>
      <c r="C6479" s="14"/>
      <c r="D6479" s="14"/>
      <c r="E6479" s="14"/>
      <c r="F6479" s="433"/>
      <c r="G6479" s="434"/>
      <c r="H6479" s="14"/>
      <c r="I6479" s="423"/>
      <c r="J6479" s="14"/>
      <c r="K6479" s="13"/>
      <c r="L6479" s="13"/>
      <c r="M6479" s="14"/>
      <c r="N6479" s="15"/>
      <c r="O6479" s="15"/>
      <c r="P6479" s="15"/>
      <c r="Q6479" s="15"/>
      <c r="R6479" s="422"/>
      <c r="S6479" s="15"/>
      <c r="T6479" s="15"/>
      <c r="U6479" s="15"/>
      <c r="V6479" s="15"/>
      <c r="W6479" s="15"/>
      <c r="X6479" s="15"/>
      <c r="Y6479" s="15"/>
      <c r="Z6479" s="15"/>
      <c r="AA6479" s="15"/>
    </row>
    <row r="6480">
      <c r="A6480" s="15"/>
      <c r="B6480" s="15"/>
      <c r="C6480" s="14"/>
      <c r="D6480" s="14"/>
      <c r="E6480" s="14"/>
      <c r="F6480" s="433"/>
      <c r="G6480" s="434"/>
      <c r="H6480" s="14"/>
      <c r="I6480" s="423"/>
      <c r="J6480" s="14"/>
      <c r="K6480" s="13"/>
      <c r="L6480" s="13"/>
      <c r="M6480" s="14"/>
      <c r="N6480" s="15"/>
      <c r="O6480" s="15"/>
      <c r="P6480" s="15"/>
      <c r="Q6480" s="15"/>
      <c r="R6480" s="422"/>
      <c r="S6480" s="15"/>
      <c r="T6480" s="15"/>
      <c r="U6480" s="15"/>
      <c r="V6480" s="15"/>
      <c r="W6480" s="15"/>
      <c r="X6480" s="15"/>
      <c r="Y6480" s="15"/>
      <c r="Z6480" s="15"/>
      <c r="AA6480" s="15"/>
    </row>
    <row r="6481">
      <c r="A6481" s="15"/>
      <c r="B6481" s="15"/>
      <c r="C6481" s="14"/>
      <c r="D6481" s="14"/>
      <c r="E6481" s="14"/>
      <c r="F6481" s="433"/>
      <c r="G6481" s="434"/>
      <c r="H6481" s="14"/>
      <c r="I6481" s="423"/>
      <c r="J6481" s="14"/>
      <c r="K6481" s="13"/>
      <c r="L6481" s="13"/>
      <c r="M6481" s="14"/>
      <c r="N6481" s="15"/>
      <c r="O6481" s="15"/>
      <c r="P6481" s="15"/>
      <c r="Q6481" s="15"/>
      <c r="R6481" s="422"/>
      <c r="S6481" s="15"/>
      <c r="T6481" s="15"/>
      <c r="U6481" s="15"/>
      <c r="V6481" s="15"/>
      <c r="W6481" s="15"/>
      <c r="X6481" s="15"/>
      <c r="Y6481" s="15"/>
      <c r="Z6481" s="15"/>
      <c r="AA6481" s="15"/>
    </row>
    <row r="6482">
      <c r="A6482" s="15"/>
      <c r="B6482" s="15"/>
      <c r="C6482" s="14"/>
      <c r="D6482" s="14"/>
      <c r="E6482" s="14"/>
      <c r="F6482" s="433"/>
      <c r="G6482" s="434"/>
      <c r="H6482" s="14"/>
      <c r="I6482" s="423"/>
      <c r="J6482" s="14"/>
      <c r="K6482" s="13"/>
      <c r="L6482" s="13"/>
      <c r="M6482" s="14"/>
      <c r="N6482" s="15"/>
      <c r="O6482" s="15"/>
      <c r="P6482" s="15"/>
      <c r="Q6482" s="15"/>
      <c r="R6482" s="422"/>
      <c r="S6482" s="15"/>
      <c r="T6482" s="15"/>
      <c r="U6482" s="15"/>
      <c r="V6482" s="15"/>
      <c r="W6482" s="15"/>
      <c r="X6482" s="15"/>
      <c r="Y6482" s="15"/>
      <c r="Z6482" s="15"/>
      <c r="AA6482" s="15"/>
    </row>
    <row r="6483">
      <c r="A6483" s="15"/>
      <c r="B6483" s="15"/>
      <c r="C6483" s="14"/>
      <c r="D6483" s="14"/>
      <c r="E6483" s="14"/>
      <c r="F6483" s="433"/>
      <c r="G6483" s="434"/>
      <c r="H6483" s="14"/>
      <c r="I6483" s="423"/>
      <c r="J6483" s="14"/>
      <c r="K6483" s="13"/>
      <c r="L6483" s="13"/>
      <c r="M6483" s="14"/>
      <c r="N6483" s="15"/>
      <c r="O6483" s="15"/>
      <c r="P6483" s="15"/>
      <c r="Q6483" s="15"/>
      <c r="R6483" s="422"/>
      <c r="S6483" s="15"/>
      <c r="T6483" s="15"/>
      <c r="U6483" s="15"/>
      <c r="V6483" s="15"/>
      <c r="W6483" s="15"/>
      <c r="X6483" s="15"/>
      <c r="Y6483" s="15"/>
      <c r="Z6483" s="15"/>
      <c r="AA6483" s="15"/>
    </row>
    <row r="6484">
      <c r="A6484" s="15"/>
      <c r="B6484" s="15"/>
      <c r="C6484" s="14"/>
      <c r="D6484" s="14"/>
      <c r="E6484" s="14"/>
      <c r="F6484" s="433"/>
      <c r="G6484" s="434"/>
      <c r="H6484" s="14"/>
      <c r="I6484" s="423"/>
      <c r="J6484" s="14"/>
      <c r="K6484" s="13"/>
      <c r="L6484" s="13"/>
      <c r="M6484" s="14"/>
      <c r="N6484" s="15"/>
      <c r="O6484" s="15"/>
      <c r="P6484" s="15"/>
      <c r="Q6484" s="15"/>
      <c r="R6484" s="422"/>
      <c r="S6484" s="15"/>
      <c r="T6484" s="15"/>
      <c r="U6484" s="15"/>
      <c r="V6484" s="15"/>
      <c r="W6484" s="15"/>
      <c r="X6484" s="15"/>
      <c r="Y6484" s="15"/>
      <c r="Z6484" s="15"/>
      <c r="AA6484" s="15"/>
    </row>
    <row r="6485">
      <c r="A6485" s="15"/>
      <c r="B6485" s="15"/>
      <c r="C6485" s="14"/>
      <c r="D6485" s="14"/>
      <c r="E6485" s="14"/>
      <c r="F6485" s="433"/>
      <c r="G6485" s="434"/>
      <c r="H6485" s="14"/>
      <c r="I6485" s="423"/>
      <c r="J6485" s="14"/>
      <c r="K6485" s="13"/>
      <c r="L6485" s="13"/>
      <c r="M6485" s="14"/>
      <c r="N6485" s="15"/>
      <c r="O6485" s="15"/>
      <c r="P6485" s="15"/>
      <c r="Q6485" s="15"/>
      <c r="R6485" s="422"/>
      <c r="S6485" s="15"/>
      <c r="T6485" s="15"/>
      <c r="U6485" s="15"/>
      <c r="V6485" s="15"/>
      <c r="W6485" s="15"/>
      <c r="X6485" s="15"/>
      <c r="Y6485" s="15"/>
      <c r="Z6485" s="15"/>
      <c r="AA6485" s="15"/>
    </row>
    <row r="6486">
      <c r="A6486" s="15"/>
      <c r="B6486" s="15"/>
      <c r="C6486" s="14"/>
      <c r="D6486" s="14"/>
      <c r="E6486" s="14"/>
      <c r="F6486" s="433"/>
      <c r="G6486" s="434"/>
      <c r="H6486" s="14"/>
      <c r="I6486" s="423"/>
      <c r="J6486" s="14"/>
      <c r="K6486" s="13"/>
      <c r="L6486" s="13"/>
      <c r="M6486" s="14"/>
      <c r="N6486" s="15"/>
      <c r="O6486" s="15"/>
      <c r="P6486" s="15"/>
      <c r="Q6486" s="15"/>
      <c r="R6486" s="422"/>
      <c r="S6486" s="15"/>
      <c r="T6486" s="15"/>
      <c r="U6486" s="15"/>
      <c r="V6486" s="15"/>
      <c r="W6486" s="15"/>
      <c r="X6486" s="15"/>
      <c r="Y6486" s="15"/>
      <c r="Z6486" s="15"/>
      <c r="AA6486" s="15"/>
    </row>
    <row r="6487">
      <c r="A6487" s="15"/>
      <c r="B6487" s="15"/>
      <c r="C6487" s="14"/>
      <c r="D6487" s="14"/>
      <c r="E6487" s="14"/>
      <c r="F6487" s="433"/>
      <c r="G6487" s="434"/>
      <c r="H6487" s="14"/>
      <c r="I6487" s="423"/>
      <c r="J6487" s="14"/>
      <c r="K6487" s="13"/>
      <c r="L6487" s="13"/>
      <c r="M6487" s="14"/>
      <c r="N6487" s="15"/>
      <c r="O6487" s="15"/>
      <c r="P6487" s="15"/>
      <c r="Q6487" s="15"/>
      <c r="R6487" s="422"/>
      <c r="S6487" s="15"/>
      <c r="T6487" s="15"/>
      <c r="U6487" s="15"/>
      <c r="V6487" s="15"/>
      <c r="W6487" s="15"/>
      <c r="X6487" s="15"/>
      <c r="Y6487" s="15"/>
      <c r="Z6487" s="15"/>
      <c r="AA6487" s="15"/>
    </row>
    <row r="6488">
      <c r="A6488" s="15"/>
      <c r="B6488" s="15"/>
      <c r="C6488" s="14"/>
      <c r="D6488" s="14"/>
      <c r="E6488" s="14"/>
      <c r="F6488" s="433"/>
      <c r="G6488" s="434"/>
      <c r="H6488" s="14"/>
      <c r="I6488" s="423"/>
      <c r="J6488" s="14"/>
      <c r="K6488" s="13"/>
      <c r="L6488" s="13"/>
      <c r="M6488" s="14"/>
      <c r="N6488" s="15"/>
      <c r="O6488" s="15"/>
      <c r="P6488" s="15"/>
      <c r="Q6488" s="15"/>
      <c r="R6488" s="422"/>
      <c r="S6488" s="15"/>
      <c r="T6488" s="15"/>
      <c r="U6488" s="15"/>
      <c r="V6488" s="15"/>
      <c r="W6488" s="15"/>
      <c r="X6488" s="15"/>
      <c r="Y6488" s="15"/>
      <c r="Z6488" s="15"/>
      <c r="AA6488" s="15"/>
    </row>
    <row r="6489">
      <c r="A6489" s="15"/>
      <c r="B6489" s="15"/>
      <c r="C6489" s="14"/>
      <c r="D6489" s="14"/>
      <c r="E6489" s="14"/>
      <c r="F6489" s="433"/>
      <c r="G6489" s="434"/>
      <c r="H6489" s="14"/>
      <c r="I6489" s="423"/>
      <c r="J6489" s="14"/>
      <c r="K6489" s="13"/>
      <c r="L6489" s="13"/>
      <c r="M6489" s="14"/>
      <c r="N6489" s="15"/>
      <c r="O6489" s="15"/>
      <c r="P6489" s="15"/>
      <c r="Q6489" s="15"/>
      <c r="R6489" s="422"/>
      <c r="S6489" s="15"/>
      <c r="T6489" s="15"/>
      <c r="U6489" s="15"/>
      <c r="V6489" s="15"/>
      <c r="W6489" s="15"/>
      <c r="X6489" s="15"/>
      <c r="Y6489" s="15"/>
      <c r="Z6489" s="15"/>
      <c r="AA6489" s="15"/>
    </row>
    <row r="6490">
      <c r="A6490" s="15"/>
      <c r="B6490" s="15"/>
      <c r="C6490" s="14"/>
      <c r="D6490" s="14"/>
      <c r="E6490" s="14"/>
      <c r="F6490" s="433"/>
      <c r="G6490" s="434"/>
      <c r="H6490" s="14"/>
      <c r="I6490" s="423"/>
      <c r="J6490" s="14"/>
      <c r="K6490" s="13"/>
      <c r="L6490" s="13"/>
      <c r="M6490" s="14"/>
      <c r="N6490" s="15"/>
      <c r="O6490" s="15"/>
      <c r="P6490" s="15"/>
      <c r="Q6490" s="15"/>
      <c r="R6490" s="422"/>
      <c r="S6490" s="15"/>
      <c r="T6490" s="15"/>
      <c r="U6490" s="15"/>
      <c r="V6490" s="15"/>
      <c r="W6490" s="15"/>
      <c r="X6490" s="15"/>
      <c r="Y6490" s="15"/>
      <c r="Z6490" s="15"/>
      <c r="AA6490" s="15"/>
    </row>
    <row r="6491">
      <c r="A6491" s="15"/>
      <c r="B6491" s="15"/>
      <c r="C6491" s="14"/>
      <c r="D6491" s="14"/>
      <c r="E6491" s="14"/>
      <c r="F6491" s="433"/>
      <c r="G6491" s="434"/>
      <c r="H6491" s="14"/>
      <c r="I6491" s="423"/>
      <c r="J6491" s="14"/>
      <c r="K6491" s="13"/>
      <c r="L6491" s="13"/>
      <c r="M6491" s="14"/>
      <c r="N6491" s="15"/>
      <c r="O6491" s="15"/>
      <c r="P6491" s="15"/>
      <c r="Q6491" s="15"/>
      <c r="R6491" s="422"/>
      <c r="S6491" s="15"/>
      <c r="T6491" s="15"/>
      <c r="U6491" s="15"/>
      <c r="V6491" s="15"/>
      <c r="W6491" s="15"/>
      <c r="X6491" s="15"/>
      <c r="Y6491" s="15"/>
      <c r="Z6491" s="15"/>
      <c r="AA6491" s="15"/>
    </row>
    <row r="6492">
      <c r="A6492" s="15"/>
      <c r="B6492" s="15"/>
      <c r="C6492" s="14"/>
      <c r="D6492" s="14"/>
      <c r="E6492" s="14"/>
      <c r="F6492" s="433"/>
      <c r="G6492" s="434"/>
      <c r="H6492" s="14"/>
      <c r="I6492" s="423"/>
      <c r="J6492" s="14"/>
      <c r="K6492" s="13"/>
      <c r="L6492" s="13"/>
      <c r="M6492" s="14"/>
      <c r="N6492" s="15"/>
      <c r="O6492" s="15"/>
      <c r="P6492" s="15"/>
      <c r="Q6492" s="15"/>
      <c r="R6492" s="422"/>
      <c r="S6492" s="15"/>
      <c r="T6492" s="15"/>
      <c r="U6492" s="15"/>
      <c r="V6492" s="15"/>
      <c r="W6492" s="15"/>
      <c r="X6492" s="15"/>
      <c r="Y6492" s="15"/>
      <c r="Z6492" s="15"/>
      <c r="AA6492" s="15"/>
    </row>
    <row r="6493">
      <c r="A6493" s="15"/>
      <c r="B6493" s="15"/>
      <c r="C6493" s="14"/>
      <c r="D6493" s="14"/>
      <c r="E6493" s="14"/>
      <c r="F6493" s="433"/>
      <c r="G6493" s="434"/>
      <c r="H6493" s="14"/>
      <c r="I6493" s="423"/>
      <c r="J6493" s="14"/>
      <c r="K6493" s="13"/>
      <c r="L6493" s="13"/>
      <c r="M6493" s="14"/>
      <c r="N6493" s="15"/>
      <c r="O6493" s="15"/>
      <c r="P6493" s="15"/>
      <c r="Q6493" s="15"/>
      <c r="R6493" s="422"/>
      <c r="S6493" s="15"/>
      <c r="T6493" s="15"/>
      <c r="U6493" s="15"/>
      <c r="V6493" s="15"/>
      <c r="W6493" s="15"/>
      <c r="X6493" s="15"/>
      <c r="Y6493" s="15"/>
      <c r="Z6493" s="15"/>
      <c r="AA6493" s="15"/>
    </row>
    <row r="6494">
      <c r="A6494" s="15"/>
      <c r="B6494" s="15"/>
      <c r="C6494" s="14"/>
      <c r="D6494" s="14"/>
      <c r="E6494" s="14"/>
      <c r="F6494" s="433"/>
      <c r="G6494" s="434"/>
      <c r="H6494" s="14"/>
      <c r="I6494" s="423"/>
      <c r="J6494" s="14"/>
      <c r="K6494" s="13"/>
      <c r="L6494" s="13"/>
      <c r="M6494" s="14"/>
      <c r="N6494" s="15"/>
      <c r="O6494" s="15"/>
      <c r="P6494" s="15"/>
      <c r="Q6494" s="15"/>
      <c r="R6494" s="422"/>
      <c r="S6494" s="15"/>
      <c r="T6494" s="15"/>
      <c r="U6494" s="15"/>
      <c r="V6494" s="15"/>
      <c r="W6494" s="15"/>
      <c r="X6494" s="15"/>
      <c r="Y6494" s="15"/>
      <c r="Z6494" s="15"/>
      <c r="AA6494" s="15"/>
    </row>
    <row r="6495">
      <c r="A6495" s="15"/>
      <c r="B6495" s="15"/>
      <c r="C6495" s="14"/>
      <c r="D6495" s="14"/>
      <c r="E6495" s="14"/>
      <c r="F6495" s="433"/>
      <c r="G6495" s="434"/>
      <c r="H6495" s="14"/>
      <c r="I6495" s="423"/>
      <c r="J6495" s="14"/>
      <c r="K6495" s="13"/>
      <c r="L6495" s="13"/>
      <c r="M6495" s="14"/>
      <c r="N6495" s="15"/>
      <c r="O6495" s="15"/>
      <c r="P6495" s="15"/>
      <c r="Q6495" s="15"/>
      <c r="R6495" s="422"/>
      <c r="S6495" s="15"/>
      <c r="T6495" s="15"/>
      <c r="U6495" s="15"/>
      <c r="V6495" s="15"/>
      <c r="W6495" s="15"/>
      <c r="X6495" s="15"/>
      <c r="Y6495" s="15"/>
      <c r="Z6495" s="15"/>
      <c r="AA6495" s="15"/>
    </row>
    <row r="6496">
      <c r="A6496" s="15"/>
      <c r="B6496" s="15"/>
      <c r="C6496" s="14"/>
      <c r="D6496" s="14"/>
      <c r="E6496" s="14"/>
      <c r="F6496" s="433"/>
      <c r="G6496" s="434"/>
      <c r="H6496" s="14"/>
      <c r="I6496" s="423"/>
      <c r="J6496" s="14"/>
      <c r="K6496" s="13"/>
      <c r="L6496" s="13"/>
      <c r="M6496" s="14"/>
      <c r="N6496" s="15"/>
      <c r="O6496" s="15"/>
      <c r="P6496" s="15"/>
      <c r="Q6496" s="15"/>
      <c r="R6496" s="422"/>
      <c r="S6496" s="15"/>
      <c r="T6496" s="15"/>
      <c r="U6496" s="15"/>
      <c r="V6496" s="15"/>
      <c r="W6496" s="15"/>
      <c r="X6496" s="15"/>
      <c r="Y6496" s="15"/>
      <c r="Z6496" s="15"/>
      <c r="AA6496" s="15"/>
    </row>
    <row r="6497">
      <c r="A6497" s="15"/>
      <c r="B6497" s="15"/>
      <c r="C6497" s="14"/>
      <c r="D6497" s="14"/>
      <c r="E6497" s="14"/>
      <c r="F6497" s="433"/>
      <c r="G6497" s="434"/>
      <c r="H6497" s="14"/>
      <c r="I6497" s="423"/>
      <c r="J6497" s="14"/>
      <c r="K6497" s="13"/>
      <c r="L6497" s="13"/>
      <c r="M6497" s="14"/>
      <c r="N6497" s="15"/>
      <c r="O6497" s="15"/>
      <c r="P6497" s="15"/>
      <c r="Q6497" s="15"/>
      <c r="R6497" s="422"/>
      <c r="S6497" s="15"/>
      <c r="T6497" s="15"/>
      <c r="U6497" s="15"/>
      <c r="V6497" s="15"/>
      <c r="W6497" s="15"/>
      <c r="X6497" s="15"/>
      <c r="Y6497" s="15"/>
      <c r="Z6497" s="15"/>
      <c r="AA6497" s="15"/>
    </row>
    <row r="6498">
      <c r="A6498" s="15"/>
      <c r="B6498" s="15"/>
      <c r="C6498" s="14"/>
      <c r="D6498" s="14"/>
      <c r="E6498" s="14"/>
      <c r="F6498" s="433"/>
      <c r="G6498" s="434"/>
      <c r="H6498" s="14"/>
      <c r="I6498" s="423"/>
      <c r="J6498" s="14"/>
      <c r="K6498" s="13"/>
      <c r="L6498" s="13"/>
      <c r="M6498" s="14"/>
      <c r="N6498" s="15"/>
      <c r="O6498" s="15"/>
      <c r="P6498" s="15"/>
      <c r="Q6498" s="15"/>
      <c r="R6498" s="422"/>
      <c r="S6498" s="15"/>
      <c r="T6498" s="15"/>
      <c r="U6498" s="15"/>
      <c r="V6498" s="15"/>
      <c r="W6498" s="15"/>
      <c r="X6498" s="15"/>
      <c r="Y6498" s="15"/>
      <c r="Z6498" s="15"/>
      <c r="AA6498" s="15"/>
    </row>
    <row r="6499">
      <c r="A6499" s="15"/>
      <c r="B6499" s="15"/>
      <c r="C6499" s="14"/>
      <c r="D6499" s="14"/>
      <c r="E6499" s="14"/>
      <c r="F6499" s="433"/>
      <c r="G6499" s="434"/>
      <c r="H6499" s="14"/>
      <c r="I6499" s="423"/>
      <c r="J6499" s="14"/>
      <c r="K6499" s="13"/>
      <c r="L6499" s="13"/>
      <c r="M6499" s="14"/>
      <c r="N6499" s="15"/>
      <c r="O6499" s="15"/>
      <c r="P6499" s="15"/>
      <c r="Q6499" s="15"/>
      <c r="R6499" s="422"/>
      <c r="S6499" s="15"/>
      <c r="T6499" s="15"/>
      <c r="U6499" s="15"/>
      <c r="V6499" s="15"/>
      <c r="W6499" s="15"/>
      <c r="X6499" s="15"/>
      <c r="Y6499" s="15"/>
      <c r="Z6499" s="15"/>
      <c r="AA6499" s="15"/>
    </row>
    <row r="6500">
      <c r="A6500" s="15"/>
      <c r="B6500" s="15"/>
      <c r="C6500" s="14"/>
      <c r="D6500" s="14"/>
      <c r="E6500" s="14"/>
      <c r="F6500" s="433"/>
      <c r="G6500" s="434"/>
      <c r="H6500" s="14"/>
      <c r="I6500" s="423"/>
      <c r="J6500" s="14"/>
      <c r="K6500" s="13"/>
      <c r="L6500" s="13"/>
      <c r="M6500" s="14"/>
      <c r="N6500" s="15"/>
      <c r="O6500" s="15"/>
      <c r="P6500" s="15"/>
      <c r="Q6500" s="15"/>
      <c r="R6500" s="422"/>
      <c r="S6500" s="15"/>
      <c r="T6500" s="15"/>
      <c r="U6500" s="15"/>
      <c r="V6500" s="15"/>
      <c r="W6500" s="15"/>
      <c r="X6500" s="15"/>
      <c r="Y6500" s="15"/>
      <c r="Z6500" s="15"/>
      <c r="AA6500" s="15"/>
    </row>
    <row r="6501">
      <c r="A6501" s="15"/>
      <c r="B6501" s="15"/>
      <c r="C6501" s="14"/>
      <c r="D6501" s="14"/>
      <c r="E6501" s="14"/>
      <c r="F6501" s="433"/>
      <c r="G6501" s="434"/>
      <c r="H6501" s="14"/>
      <c r="I6501" s="423"/>
      <c r="J6501" s="14"/>
      <c r="K6501" s="13"/>
      <c r="L6501" s="13"/>
      <c r="M6501" s="14"/>
      <c r="N6501" s="15"/>
      <c r="O6501" s="15"/>
      <c r="P6501" s="15"/>
      <c r="Q6501" s="15"/>
      <c r="R6501" s="422"/>
      <c r="S6501" s="15"/>
      <c r="T6501" s="15"/>
      <c r="U6501" s="15"/>
      <c r="V6501" s="15"/>
      <c r="W6501" s="15"/>
      <c r="X6501" s="15"/>
      <c r="Y6501" s="15"/>
      <c r="Z6501" s="15"/>
      <c r="AA6501" s="15"/>
    </row>
    <row r="6502">
      <c r="A6502" s="15"/>
      <c r="B6502" s="15"/>
      <c r="C6502" s="14"/>
      <c r="D6502" s="14"/>
      <c r="E6502" s="14"/>
      <c r="F6502" s="433"/>
      <c r="G6502" s="434"/>
      <c r="H6502" s="14"/>
      <c r="I6502" s="423"/>
      <c r="J6502" s="14"/>
      <c r="K6502" s="13"/>
      <c r="L6502" s="13"/>
      <c r="M6502" s="14"/>
      <c r="N6502" s="15"/>
      <c r="O6502" s="15"/>
      <c r="P6502" s="15"/>
      <c r="Q6502" s="15"/>
      <c r="R6502" s="422"/>
      <c r="S6502" s="15"/>
      <c r="T6502" s="15"/>
      <c r="U6502" s="15"/>
      <c r="V6502" s="15"/>
      <c r="W6502" s="15"/>
      <c r="X6502" s="15"/>
      <c r="Y6502" s="15"/>
      <c r="Z6502" s="15"/>
      <c r="AA6502" s="15"/>
    </row>
    <row r="6503">
      <c r="A6503" s="15"/>
      <c r="B6503" s="15"/>
      <c r="C6503" s="14"/>
      <c r="D6503" s="14"/>
      <c r="E6503" s="14"/>
      <c r="F6503" s="433"/>
      <c r="G6503" s="434"/>
      <c r="H6503" s="14"/>
      <c r="I6503" s="423"/>
      <c r="J6503" s="14"/>
      <c r="K6503" s="13"/>
      <c r="L6503" s="13"/>
      <c r="M6503" s="14"/>
      <c r="N6503" s="15"/>
      <c r="O6503" s="15"/>
      <c r="P6503" s="15"/>
      <c r="Q6503" s="15"/>
      <c r="R6503" s="422"/>
      <c r="S6503" s="15"/>
      <c r="T6503" s="15"/>
      <c r="U6503" s="15"/>
      <c r="V6503" s="15"/>
      <c r="W6503" s="15"/>
      <c r="X6503" s="15"/>
      <c r="Y6503" s="15"/>
      <c r="Z6503" s="15"/>
      <c r="AA6503" s="15"/>
    </row>
    <row r="6504">
      <c r="A6504" s="15"/>
      <c r="B6504" s="15"/>
      <c r="C6504" s="14"/>
      <c r="D6504" s="14"/>
      <c r="E6504" s="14"/>
      <c r="F6504" s="433"/>
      <c r="G6504" s="434"/>
      <c r="H6504" s="14"/>
      <c r="I6504" s="423"/>
      <c r="J6504" s="14"/>
      <c r="K6504" s="13"/>
      <c r="L6504" s="13"/>
      <c r="M6504" s="14"/>
      <c r="N6504" s="15"/>
      <c r="O6504" s="15"/>
      <c r="P6504" s="15"/>
      <c r="Q6504" s="15"/>
      <c r="R6504" s="422"/>
      <c r="S6504" s="15"/>
      <c r="T6504" s="15"/>
      <c r="U6504" s="15"/>
      <c r="V6504" s="15"/>
      <c r="W6504" s="15"/>
      <c r="X6504" s="15"/>
      <c r="Y6504" s="15"/>
      <c r="Z6504" s="15"/>
      <c r="AA6504" s="15"/>
    </row>
    <row r="6505">
      <c r="A6505" s="15"/>
      <c r="B6505" s="15"/>
      <c r="C6505" s="14"/>
      <c r="D6505" s="14"/>
      <c r="E6505" s="14"/>
      <c r="F6505" s="433"/>
      <c r="G6505" s="434"/>
      <c r="H6505" s="14"/>
      <c r="I6505" s="423"/>
      <c r="J6505" s="14"/>
      <c r="K6505" s="13"/>
      <c r="L6505" s="13"/>
      <c r="M6505" s="14"/>
      <c r="N6505" s="15"/>
      <c r="O6505" s="15"/>
      <c r="P6505" s="15"/>
      <c r="Q6505" s="15"/>
      <c r="R6505" s="422"/>
      <c r="S6505" s="15"/>
      <c r="T6505" s="15"/>
      <c r="U6505" s="15"/>
      <c r="V6505" s="15"/>
      <c r="W6505" s="15"/>
      <c r="X6505" s="15"/>
      <c r="Y6505" s="15"/>
      <c r="Z6505" s="15"/>
      <c r="AA6505" s="15"/>
    </row>
    <row r="6506">
      <c r="A6506" s="15"/>
      <c r="B6506" s="15"/>
      <c r="C6506" s="14"/>
      <c r="D6506" s="14"/>
      <c r="E6506" s="14"/>
      <c r="F6506" s="433"/>
      <c r="G6506" s="434"/>
      <c r="H6506" s="14"/>
      <c r="I6506" s="423"/>
      <c r="J6506" s="14"/>
      <c r="K6506" s="13"/>
      <c r="L6506" s="13"/>
      <c r="M6506" s="14"/>
      <c r="N6506" s="15"/>
      <c r="O6506" s="15"/>
      <c r="P6506" s="15"/>
      <c r="Q6506" s="15"/>
      <c r="R6506" s="422"/>
      <c r="S6506" s="15"/>
      <c r="T6506" s="15"/>
      <c r="U6506" s="15"/>
      <c r="V6506" s="15"/>
      <c r="W6506" s="15"/>
      <c r="X6506" s="15"/>
      <c r="Y6506" s="15"/>
      <c r="Z6506" s="15"/>
      <c r="AA6506" s="15"/>
    </row>
    <row r="6507">
      <c r="A6507" s="15"/>
      <c r="B6507" s="15"/>
      <c r="C6507" s="14"/>
      <c r="D6507" s="14"/>
      <c r="E6507" s="14"/>
      <c r="F6507" s="433"/>
      <c r="G6507" s="434"/>
      <c r="H6507" s="14"/>
      <c r="I6507" s="423"/>
      <c r="J6507" s="14"/>
      <c r="K6507" s="13"/>
      <c r="L6507" s="13"/>
      <c r="M6507" s="14"/>
      <c r="N6507" s="15"/>
      <c r="O6507" s="15"/>
      <c r="P6507" s="15"/>
      <c r="Q6507" s="15"/>
      <c r="R6507" s="422"/>
      <c r="S6507" s="15"/>
      <c r="T6507" s="15"/>
      <c r="U6507" s="15"/>
      <c r="V6507" s="15"/>
      <c r="W6507" s="15"/>
      <c r="X6507" s="15"/>
      <c r="Y6507" s="15"/>
      <c r="Z6507" s="15"/>
      <c r="AA6507" s="15"/>
    </row>
    <row r="6508">
      <c r="A6508" s="15"/>
      <c r="B6508" s="15"/>
      <c r="C6508" s="14"/>
      <c r="D6508" s="14"/>
      <c r="E6508" s="14"/>
      <c r="F6508" s="433"/>
      <c r="G6508" s="434"/>
      <c r="H6508" s="14"/>
      <c r="I6508" s="423"/>
      <c r="J6508" s="14"/>
      <c r="K6508" s="13"/>
      <c r="L6508" s="13"/>
      <c r="M6508" s="14"/>
      <c r="N6508" s="15"/>
      <c r="O6508" s="15"/>
      <c r="P6508" s="15"/>
      <c r="Q6508" s="15"/>
      <c r="R6508" s="422"/>
      <c r="S6508" s="15"/>
      <c r="T6508" s="15"/>
      <c r="U6508" s="15"/>
      <c r="V6508" s="15"/>
      <c r="W6508" s="15"/>
      <c r="X6508" s="15"/>
      <c r="Y6508" s="15"/>
      <c r="Z6508" s="15"/>
      <c r="AA6508" s="15"/>
    </row>
    <row r="6509">
      <c r="A6509" s="15"/>
      <c r="B6509" s="15"/>
      <c r="C6509" s="14"/>
      <c r="D6509" s="14"/>
      <c r="E6509" s="14"/>
      <c r="F6509" s="433"/>
      <c r="G6509" s="434"/>
      <c r="H6509" s="14"/>
      <c r="I6509" s="423"/>
      <c r="J6509" s="14"/>
      <c r="K6509" s="13"/>
      <c r="L6509" s="13"/>
      <c r="M6509" s="14"/>
      <c r="N6509" s="15"/>
      <c r="O6509" s="15"/>
      <c r="P6509" s="15"/>
      <c r="Q6509" s="15"/>
      <c r="R6509" s="422"/>
      <c r="S6509" s="15"/>
      <c r="T6509" s="15"/>
      <c r="U6509" s="15"/>
      <c r="V6509" s="15"/>
      <c r="W6509" s="15"/>
      <c r="X6509" s="15"/>
      <c r="Y6509" s="15"/>
      <c r="Z6509" s="15"/>
      <c r="AA6509" s="15"/>
    </row>
    <row r="6510">
      <c r="A6510" s="15"/>
      <c r="B6510" s="15"/>
      <c r="C6510" s="14"/>
      <c r="D6510" s="14"/>
      <c r="E6510" s="14"/>
      <c r="F6510" s="433"/>
      <c r="G6510" s="434"/>
      <c r="H6510" s="14"/>
      <c r="I6510" s="423"/>
      <c r="J6510" s="14"/>
      <c r="K6510" s="13"/>
      <c r="L6510" s="13"/>
      <c r="M6510" s="14"/>
      <c r="N6510" s="15"/>
      <c r="O6510" s="15"/>
      <c r="P6510" s="15"/>
      <c r="Q6510" s="15"/>
      <c r="R6510" s="422"/>
      <c r="S6510" s="15"/>
      <c r="T6510" s="15"/>
      <c r="U6510" s="15"/>
      <c r="V6510" s="15"/>
      <c r="W6510" s="15"/>
      <c r="X6510" s="15"/>
      <c r="Y6510" s="15"/>
      <c r="Z6510" s="15"/>
      <c r="AA6510" s="15"/>
    </row>
    <row r="6511">
      <c r="A6511" s="15"/>
      <c r="B6511" s="15"/>
      <c r="C6511" s="14"/>
      <c r="D6511" s="14"/>
      <c r="E6511" s="14"/>
      <c r="F6511" s="433"/>
      <c r="G6511" s="434"/>
      <c r="H6511" s="14"/>
      <c r="I6511" s="423"/>
      <c r="J6511" s="14"/>
      <c r="K6511" s="13"/>
      <c r="L6511" s="13"/>
      <c r="M6511" s="14"/>
      <c r="N6511" s="15"/>
      <c r="O6511" s="15"/>
      <c r="P6511" s="15"/>
      <c r="Q6511" s="15"/>
      <c r="R6511" s="422"/>
      <c r="S6511" s="15"/>
      <c r="T6511" s="15"/>
      <c r="U6511" s="15"/>
      <c r="V6511" s="15"/>
      <c r="W6511" s="15"/>
      <c r="X6511" s="15"/>
      <c r="Y6511" s="15"/>
      <c r="Z6511" s="15"/>
      <c r="AA6511" s="15"/>
    </row>
    <row r="6512">
      <c r="A6512" s="15"/>
      <c r="B6512" s="15"/>
      <c r="C6512" s="14"/>
      <c r="D6512" s="14"/>
      <c r="E6512" s="14"/>
      <c r="F6512" s="433"/>
      <c r="G6512" s="434"/>
      <c r="H6512" s="14"/>
      <c r="I6512" s="423"/>
      <c r="J6512" s="14"/>
      <c r="K6512" s="13"/>
      <c r="L6512" s="13"/>
      <c r="M6512" s="14"/>
      <c r="N6512" s="15"/>
      <c r="O6512" s="15"/>
      <c r="P6512" s="15"/>
      <c r="Q6512" s="15"/>
      <c r="R6512" s="422"/>
      <c r="S6512" s="15"/>
      <c r="T6512" s="15"/>
      <c r="U6512" s="15"/>
      <c r="V6512" s="15"/>
      <c r="W6512" s="15"/>
      <c r="X6512" s="15"/>
      <c r="Y6512" s="15"/>
      <c r="Z6512" s="15"/>
      <c r="AA6512" s="15"/>
    </row>
    <row r="6513">
      <c r="A6513" s="15"/>
      <c r="B6513" s="15"/>
      <c r="C6513" s="14"/>
      <c r="D6513" s="14"/>
      <c r="E6513" s="14"/>
      <c r="F6513" s="433"/>
      <c r="G6513" s="434"/>
      <c r="H6513" s="14"/>
      <c r="I6513" s="423"/>
      <c r="J6513" s="14"/>
      <c r="K6513" s="13"/>
      <c r="L6513" s="13"/>
      <c r="M6513" s="14"/>
      <c r="N6513" s="15"/>
      <c r="O6513" s="15"/>
      <c r="P6513" s="15"/>
      <c r="Q6513" s="15"/>
      <c r="R6513" s="422"/>
      <c r="S6513" s="15"/>
      <c r="T6513" s="15"/>
      <c r="U6513" s="15"/>
      <c r="V6513" s="15"/>
      <c r="W6513" s="15"/>
      <c r="X6513" s="15"/>
      <c r="Y6513" s="15"/>
      <c r="Z6513" s="15"/>
      <c r="AA6513" s="15"/>
    </row>
    <row r="6514">
      <c r="A6514" s="15"/>
      <c r="B6514" s="15"/>
      <c r="C6514" s="14"/>
      <c r="D6514" s="14"/>
      <c r="E6514" s="14"/>
      <c r="F6514" s="433"/>
      <c r="G6514" s="434"/>
      <c r="H6514" s="14"/>
      <c r="I6514" s="423"/>
      <c r="J6514" s="14"/>
      <c r="K6514" s="13"/>
      <c r="L6514" s="13"/>
      <c r="M6514" s="14"/>
      <c r="N6514" s="15"/>
      <c r="O6514" s="15"/>
      <c r="P6514" s="15"/>
      <c r="Q6514" s="15"/>
      <c r="R6514" s="422"/>
      <c r="S6514" s="15"/>
      <c r="T6514" s="15"/>
      <c r="U6514" s="15"/>
      <c r="V6514" s="15"/>
      <c r="W6514" s="15"/>
      <c r="X6514" s="15"/>
      <c r="Y6514" s="15"/>
      <c r="Z6514" s="15"/>
      <c r="AA6514" s="15"/>
    </row>
    <row r="6515">
      <c r="A6515" s="15"/>
      <c r="B6515" s="15"/>
      <c r="C6515" s="14"/>
      <c r="D6515" s="14"/>
      <c r="E6515" s="14"/>
      <c r="F6515" s="433"/>
      <c r="G6515" s="434"/>
      <c r="H6515" s="14"/>
      <c r="I6515" s="423"/>
      <c r="J6515" s="14"/>
      <c r="K6515" s="13"/>
      <c r="L6515" s="13"/>
      <c r="M6515" s="14"/>
      <c r="N6515" s="15"/>
      <c r="O6515" s="15"/>
      <c r="P6515" s="15"/>
      <c r="Q6515" s="15"/>
      <c r="R6515" s="422"/>
      <c r="S6515" s="15"/>
      <c r="T6515" s="15"/>
      <c r="U6515" s="15"/>
      <c r="V6515" s="15"/>
      <c r="W6515" s="15"/>
      <c r="X6515" s="15"/>
      <c r="Y6515" s="15"/>
      <c r="Z6515" s="15"/>
      <c r="AA6515" s="15"/>
    </row>
    <row r="6516">
      <c r="A6516" s="15"/>
      <c r="B6516" s="15"/>
      <c r="C6516" s="14"/>
      <c r="D6516" s="14"/>
      <c r="E6516" s="14"/>
      <c r="F6516" s="433"/>
      <c r="G6516" s="434"/>
      <c r="H6516" s="14"/>
      <c r="I6516" s="423"/>
      <c r="J6516" s="14"/>
      <c r="K6516" s="13"/>
      <c r="L6516" s="13"/>
      <c r="M6516" s="14"/>
      <c r="N6516" s="15"/>
      <c r="O6516" s="15"/>
      <c r="P6516" s="15"/>
      <c r="Q6516" s="15"/>
      <c r="R6516" s="422"/>
      <c r="S6516" s="15"/>
      <c r="T6516" s="15"/>
      <c r="U6516" s="15"/>
      <c r="V6516" s="15"/>
      <c r="W6516" s="15"/>
      <c r="X6516" s="15"/>
      <c r="Y6516" s="15"/>
      <c r="Z6516" s="15"/>
      <c r="AA6516" s="15"/>
    </row>
    <row r="6517">
      <c r="A6517" s="15"/>
      <c r="B6517" s="15"/>
      <c r="C6517" s="14"/>
      <c r="D6517" s="14"/>
      <c r="E6517" s="14"/>
      <c r="F6517" s="433"/>
      <c r="G6517" s="434"/>
      <c r="H6517" s="14"/>
      <c r="I6517" s="423"/>
      <c r="J6517" s="14"/>
      <c r="K6517" s="13"/>
      <c r="L6517" s="13"/>
      <c r="M6517" s="14"/>
      <c r="N6517" s="15"/>
      <c r="O6517" s="15"/>
      <c r="P6517" s="15"/>
      <c r="Q6517" s="15"/>
      <c r="R6517" s="422"/>
      <c r="S6517" s="15"/>
      <c r="T6517" s="15"/>
      <c r="U6517" s="15"/>
      <c r="V6517" s="15"/>
      <c r="W6517" s="15"/>
      <c r="X6517" s="15"/>
      <c r="Y6517" s="15"/>
      <c r="Z6517" s="15"/>
      <c r="AA6517" s="15"/>
    </row>
    <row r="6518">
      <c r="A6518" s="15"/>
      <c r="B6518" s="15"/>
      <c r="C6518" s="14"/>
      <c r="D6518" s="14"/>
      <c r="E6518" s="14"/>
      <c r="F6518" s="433"/>
      <c r="G6518" s="434"/>
      <c r="H6518" s="14"/>
      <c r="I6518" s="423"/>
      <c r="J6518" s="14"/>
      <c r="K6518" s="13"/>
      <c r="L6518" s="13"/>
      <c r="M6518" s="14"/>
      <c r="N6518" s="15"/>
      <c r="O6518" s="15"/>
      <c r="P6518" s="15"/>
      <c r="Q6518" s="15"/>
      <c r="R6518" s="422"/>
      <c r="S6518" s="15"/>
      <c r="T6518" s="15"/>
      <c r="U6518" s="15"/>
      <c r="V6518" s="15"/>
      <c r="W6518" s="15"/>
      <c r="X6518" s="15"/>
      <c r="Y6518" s="15"/>
      <c r="Z6518" s="15"/>
      <c r="AA6518" s="15"/>
    </row>
    <row r="6519">
      <c r="A6519" s="15"/>
      <c r="B6519" s="15"/>
      <c r="C6519" s="14"/>
      <c r="D6519" s="14"/>
      <c r="E6519" s="14"/>
      <c r="F6519" s="433"/>
      <c r="G6519" s="434"/>
      <c r="H6519" s="14"/>
      <c r="I6519" s="423"/>
      <c r="J6519" s="14"/>
      <c r="K6519" s="13"/>
      <c r="L6519" s="13"/>
      <c r="M6519" s="14"/>
      <c r="N6519" s="15"/>
      <c r="O6519" s="15"/>
      <c r="P6519" s="15"/>
      <c r="Q6519" s="15"/>
      <c r="R6519" s="422"/>
      <c r="S6519" s="15"/>
      <c r="T6519" s="15"/>
      <c r="U6519" s="15"/>
      <c r="V6519" s="15"/>
      <c r="W6519" s="15"/>
      <c r="X6519" s="15"/>
      <c r="Y6519" s="15"/>
      <c r="Z6519" s="15"/>
      <c r="AA6519" s="15"/>
    </row>
    <row r="6520">
      <c r="A6520" s="15"/>
      <c r="B6520" s="15"/>
      <c r="C6520" s="14"/>
      <c r="D6520" s="14"/>
      <c r="E6520" s="14"/>
      <c r="F6520" s="433"/>
      <c r="G6520" s="434"/>
      <c r="H6520" s="14"/>
      <c r="I6520" s="423"/>
      <c r="J6520" s="14"/>
      <c r="K6520" s="13"/>
      <c r="L6520" s="13"/>
      <c r="M6520" s="14"/>
      <c r="N6520" s="15"/>
      <c r="O6520" s="15"/>
      <c r="P6520" s="15"/>
      <c r="Q6520" s="15"/>
      <c r="R6520" s="422"/>
      <c r="S6520" s="15"/>
      <c r="T6520" s="15"/>
      <c r="U6520" s="15"/>
      <c r="V6520" s="15"/>
      <c r="W6520" s="15"/>
      <c r="X6520" s="15"/>
      <c r="Y6520" s="15"/>
      <c r="Z6520" s="15"/>
      <c r="AA6520" s="15"/>
    </row>
    <row r="6521">
      <c r="A6521" s="15"/>
      <c r="B6521" s="15"/>
      <c r="C6521" s="14"/>
      <c r="D6521" s="14"/>
      <c r="E6521" s="14"/>
      <c r="F6521" s="433"/>
      <c r="G6521" s="434"/>
      <c r="H6521" s="14"/>
      <c r="I6521" s="423"/>
      <c r="J6521" s="14"/>
      <c r="K6521" s="13"/>
      <c r="L6521" s="13"/>
      <c r="M6521" s="14"/>
      <c r="N6521" s="15"/>
      <c r="O6521" s="15"/>
      <c r="P6521" s="15"/>
      <c r="Q6521" s="15"/>
      <c r="R6521" s="422"/>
      <c r="S6521" s="15"/>
      <c r="T6521" s="15"/>
      <c r="U6521" s="15"/>
      <c r="V6521" s="15"/>
      <c r="W6521" s="15"/>
      <c r="X6521" s="15"/>
      <c r="Y6521" s="15"/>
      <c r="Z6521" s="15"/>
      <c r="AA6521" s="15"/>
    </row>
    <row r="6522">
      <c r="A6522" s="15"/>
      <c r="B6522" s="15"/>
      <c r="C6522" s="14"/>
      <c r="D6522" s="14"/>
      <c r="E6522" s="14"/>
      <c r="F6522" s="433"/>
      <c r="G6522" s="434"/>
      <c r="H6522" s="14"/>
      <c r="I6522" s="423"/>
      <c r="J6522" s="14"/>
      <c r="K6522" s="13"/>
      <c r="L6522" s="13"/>
      <c r="M6522" s="14"/>
      <c r="N6522" s="15"/>
      <c r="O6522" s="15"/>
      <c r="P6522" s="15"/>
      <c r="Q6522" s="15"/>
      <c r="R6522" s="422"/>
      <c r="S6522" s="15"/>
      <c r="T6522" s="15"/>
      <c r="U6522" s="15"/>
      <c r="V6522" s="15"/>
      <c r="W6522" s="15"/>
      <c r="X6522" s="15"/>
      <c r="Y6522" s="15"/>
      <c r="Z6522" s="15"/>
      <c r="AA6522" s="15"/>
    </row>
    <row r="6523">
      <c r="A6523" s="15"/>
      <c r="B6523" s="15"/>
      <c r="C6523" s="14"/>
      <c r="D6523" s="14"/>
      <c r="E6523" s="14"/>
      <c r="F6523" s="433"/>
      <c r="G6523" s="434"/>
      <c r="H6523" s="14"/>
      <c r="I6523" s="423"/>
      <c r="J6523" s="14"/>
      <c r="K6523" s="13"/>
      <c r="L6523" s="13"/>
      <c r="M6523" s="14"/>
      <c r="N6523" s="15"/>
      <c r="O6523" s="15"/>
      <c r="P6523" s="15"/>
      <c r="Q6523" s="15"/>
      <c r="R6523" s="422"/>
      <c r="S6523" s="15"/>
      <c r="T6523" s="15"/>
      <c r="U6523" s="15"/>
      <c r="V6523" s="15"/>
      <c r="W6523" s="15"/>
      <c r="X6523" s="15"/>
      <c r="Y6523" s="15"/>
      <c r="Z6523" s="15"/>
      <c r="AA6523" s="15"/>
    </row>
    <row r="6524">
      <c r="A6524" s="15"/>
      <c r="B6524" s="15"/>
      <c r="C6524" s="14"/>
      <c r="D6524" s="14"/>
      <c r="E6524" s="14"/>
      <c r="F6524" s="433"/>
      <c r="G6524" s="434"/>
      <c r="H6524" s="14"/>
      <c r="I6524" s="423"/>
      <c r="J6524" s="14"/>
      <c r="K6524" s="13"/>
      <c r="L6524" s="13"/>
      <c r="M6524" s="14"/>
      <c r="N6524" s="15"/>
      <c r="O6524" s="15"/>
      <c r="P6524" s="15"/>
      <c r="Q6524" s="15"/>
      <c r="R6524" s="422"/>
      <c r="S6524" s="15"/>
      <c r="T6524" s="15"/>
      <c r="U6524" s="15"/>
      <c r="V6524" s="15"/>
      <c r="W6524" s="15"/>
      <c r="X6524" s="15"/>
      <c r="Y6524" s="15"/>
      <c r="Z6524" s="15"/>
      <c r="AA6524" s="15"/>
    </row>
    <row r="6525">
      <c r="A6525" s="15"/>
      <c r="B6525" s="15"/>
      <c r="C6525" s="14"/>
      <c r="D6525" s="14"/>
      <c r="E6525" s="14"/>
      <c r="F6525" s="433"/>
      <c r="G6525" s="434"/>
      <c r="H6525" s="14"/>
      <c r="I6525" s="423"/>
      <c r="J6525" s="14"/>
      <c r="K6525" s="13"/>
      <c r="L6525" s="13"/>
      <c r="M6525" s="14"/>
      <c r="N6525" s="15"/>
      <c r="O6525" s="15"/>
      <c r="P6525" s="15"/>
      <c r="Q6525" s="15"/>
      <c r="R6525" s="422"/>
      <c r="S6525" s="15"/>
      <c r="T6525" s="15"/>
      <c r="U6525" s="15"/>
      <c r="V6525" s="15"/>
      <c r="W6525" s="15"/>
      <c r="X6525" s="15"/>
      <c r="Y6525" s="15"/>
      <c r="Z6525" s="15"/>
      <c r="AA6525" s="15"/>
    </row>
    <row r="6526">
      <c r="A6526" s="15"/>
      <c r="B6526" s="15"/>
      <c r="C6526" s="14"/>
      <c r="D6526" s="14"/>
      <c r="E6526" s="14"/>
      <c r="F6526" s="433"/>
      <c r="G6526" s="434"/>
      <c r="H6526" s="14"/>
      <c r="I6526" s="423"/>
      <c r="J6526" s="14"/>
      <c r="K6526" s="13"/>
      <c r="L6526" s="13"/>
      <c r="M6526" s="14"/>
      <c r="N6526" s="15"/>
      <c r="O6526" s="15"/>
      <c r="P6526" s="15"/>
      <c r="Q6526" s="15"/>
      <c r="R6526" s="422"/>
      <c r="S6526" s="15"/>
      <c r="T6526" s="15"/>
      <c r="U6526" s="15"/>
      <c r="V6526" s="15"/>
      <c r="W6526" s="15"/>
      <c r="X6526" s="15"/>
      <c r="Y6526" s="15"/>
      <c r="Z6526" s="15"/>
      <c r="AA6526" s="15"/>
    </row>
    <row r="6527">
      <c r="A6527" s="15"/>
      <c r="B6527" s="15"/>
      <c r="C6527" s="14"/>
      <c r="D6527" s="14"/>
      <c r="E6527" s="14"/>
      <c r="F6527" s="433"/>
      <c r="G6527" s="434"/>
      <c r="H6527" s="14"/>
      <c r="I6527" s="423"/>
      <c r="J6527" s="14"/>
      <c r="K6527" s="13"/>
      <c r="L6527" s="13"/>
      <c r="M6527" s="14"/>
      <c r="N6527" s="15"/>
      <c r="O6527" s="15"/>
      <c r="P6527" s="15"/>
      <c r="Q6527" s="15"/>
      <c r="R6527" s="422"/>
      <c r="S6527" s="15"/>
      <c r="T6527" s="15"/>
      <c r="U6527" s="15"/>
      <c r="V6527" s="15"/>
      <c r="W6527" s="15"/>
      <c r="X6527" s="15"/>
      <c r="Y6527" s="15"/>
      <c r="Z6527" s="15"/>
      <c r="AA6527" s="15"/>
    </row>
    <row r="6528">
      <c r="A6528" s="15"/>
      <c r="B6528" s="15"/>
      <c r="C6528" s="14"/>
      <c r="D6528" s="14"/>
      <c r="E6528" s="14"/>
      <c r="F6528" s="433"/>
      <c r="G6528" s="434"/>
      <c r="H6528" s="14"/>
      <c r="I6528" s="423"/>
      <c r="J6528" s="14"/>
      <c r="K6528" s="13"/>
      <c r="L6528" s="13"/>
      <c r="M6528" s="14"/>
      <c r="N6528" s="15"/>
      <c r="O6528" s="15"/>
      <c r="P6528" s="15"/>
      <c r="Q6528" s="15"/>
      <c r="R6528" s="422"/>
      <c r="S6528" s="15"/>
      <c r="T6528" s="15"/>
      <c r="U6528" s="15"/>
      <c r="V6528" s="15"/>
      <c r="W6528" s="15"/>
      <c r="X6528" s="15"/>
      <c r="Y6528" s="15"/>
      <c r="Z6528" s="15"/>
      <c r="AA6528" s="15"/>
    </row>
    <row r="6529">
      <c r="A6529" s="15"/>
      <c r="B6529" s="15"/>
      <c r="C6529" s="14"/>
      <c r="D6529" s="14"/>
      <c r="E6529" s="14"/>
      <c r="F6529" s="433"/>
      <c r="G6529" s="434"/>
      <c r="H6529" s="14"/>
      <c r="I6529" s="423"/>
      <c r="J6529" s="14"/>
      <c r="K6529" s="13"/>
      <c r="L6529" s="13"/>
      <c r="M6529" s="14"/>
      <c r="N6529" s="15"/>
      <c r="O6529" s="15"/>
      <c r="P6529" s="15"/>
      <c r="Q6529" s="15"/>
      <c r="R6529" s="422"/>
      <c r="S6529" s="15"/>
      <c r="T6529" s="15"/>
      <c r="U6529" s="15"/>
      <c r="V6529" s="15"/>
      <c r="W6529" s="15"/>
      <c r="X6529" s="15"/>
      <c r="Y6529" s="15"/>
      <c r="Z6529" s="15"/>
      <c r="AA6529" s="15"/>
    </row>
    <row r="6530">
      <c r="A6530" s="15"/>
      <c r="B6530" s="15"/>
      <c r="C6530" s="14"/>
      <c r="D6530" s="14"/>
      <c r="E6530" s="14"/>
      <c r="F6530" s="433"/>
      <c r="G6530" s="434"/>
      <c r="H6530" s="14"/>
      <c r="I6530" s="423"/>
      <c r="J6530" s="14"/>
      <c r="K6530" s="13"/>
      <c r="L6530" s="13"/>
      <c r="M6530" s="14"/>
      <c r="N6530" s="15"/>
      <c r="O6530" s="15"/>
      <c r="P6530" s="15"/>
      <c r="Q6530" s="15"/>
      <c r="R6530" s="422"/>
      <c r="S6530" s="15"/>
      <c r="T6530" s="15"/>
      <c r="U6530" s="15"/>
      <c r="V6530" s="15"/>
      <c r="W6530" s="15"/>
      <c r="X6530" s="15"/>
      <c r="Y6530" s="15"/>
      <c r="Z6530" s="15"/>
      <c r="AA6530" s="15"/>
    </row>
    <row r="6531">
      <c r="A6531" s="15"/>
      <c r="B6531" s="15"/>
      <c r="C6531" s="14"/>
      <c r="D6531" s="14"/>
      <c r="E6531" s="14"/>
      <c r="F6531" s="433"/>
      <c r="G6531" s="434"/>
      <c r="H6531" s="14"/>
      <c r="I6531" s="423"/>
      <c r="J6531" s="14"/>
      <c r="K6531" s="13"/>
      <c r="L6531" s="13"/>
      <c r="M6531" s="14"/>
      <c r="N6531" s="15"/>
      <c r="O6531" s="15"/>
      <c r="P6531" s="15"/>
      <c r="Q6531" s="15"/>
      <c r="R6531" s="422"/>
      <c r="S6531" s="15"/>
      <c r="T6531" s="15"/>
      <c r="U6531" s="15"/>
      <c r="V6531" s="15"/>
      <c r="W6531" s="15"/>
      <c r="X6531" s="15"/>
      <c r="Y6531" s="15"/>
      <c r="Z6531" s="15"/>
      <c r="AA6531" s="15"/>
    </row>
    <row r="6532">
      <c r="A6532" s="15"/>
      <c r="B6532" s="15"/>
      <c r="C6532" s="14"/>
      <c r="D6532" s="14"/>
      <c r="E6532" s="14"/>
      <c r="F6532" s="433"/>
      <c r="G6532" s="434"/>
      <c r="H6532" s="14"/>
      <c r="I6532" s="423"/>
      <c r="J6532" s="14"/>
      <c r="K6532" s="13"/>
      <c r="L6532" s="13"/>
      <c r="M6532" s="14"/>
      <c r="N6532" s="15"/>
      <c r="O6532" s="15"/>
      <c r="P6532" s="15"/>
      <c r="Q6532" s="15"/>
      <c r="R6532" s="422"/>
      <c r="S6532" s="15"/>
      <c r="T6532" s="15"/>
      <c r="U6532" s="15"/>
      <c r="V6532" s="15"/>
      <c r="W6532" s="15"/>
      <c r="X6532" s="15"/>
      <c r="Y6532" s="15"/>
      <c r="Z6532" s="15"/>
      <c r="AA6532" s="15"/>
    </row>
    <row r="6533">
      <c r="A6533" s="15"/>
      <c r="B6533" s="15"/>
      <c r="C6533" s="14"/>
      <c r="D6533" s="14"/>
      <c r="E6533" s="14"/>
      <c r="F6533" s="433"/>
      <c r="G6533" s="434"/>
      <c r="H6533" s="14"/>
      <c r="I6533" s="423"/>
      <c r="J6533" s="14"/>
      <c r="K6533" s="13"/>
      <c r="L6533" s="13"/>
      <c r="M6533" s="14"/>
      <c r="N6533" s="15"/>
      <c r="O6533" s="15"/>
      <c r="P6533" s="15"/>
      <c r="Q6533" s="15"/>
      <c r="R6533" s="422"/>
      <c r="S6533" s="15"/>
      <c r="T6533" s="15"/>
      <c r="U6533" s="15"/>
      <c r="V6533" s="15"/>
      <c r="W6533" s="15"/>
      <c r="X6533" s="15"/>
      <c r="Y6533" s="15"/>
      <c r="Z6533" s="15"/>
      <c r="AA6533" s="15"/>
    </row>
    <row r="6534">
      <c r="A6534" s="15"/>
      <c r="B6534" s="15"/>
      <c r="C6534" s="14"/>
      <c r="D6534" s="14"/>
      <c r="E6534" s="14"/>
      <c r="F6534" s="433"/>
      <c r="G6534" s="434"/>
      <c r="H6534" s="14"/>
      <c r="I6534" s="423"/>
      <c r="J6534" s="14"/>
      <c r="K6534" s="13"/>
      <c r="L6534" s="13"/>
      <c r="M6534" s="14"/>
      <c r="N6534" s="15"/>
      <c r="O6534" s="15"/>
      <c r="P6534" s="15"/>
      <c r="Q6534" s="15"/>
      <c r="R6534" s="422"/>
      <c r="S6534" s="15"/>
      <c r="T6534" s="15"/>
      <c r="U6534" s="15"/>
      <c r="V6534" s="15"/>
      <c r="W6534" s="15"/>
      <c r="X6534" s="15"/>
      <c r="Y6534" s="15"/>
      <c r="Z6534" s="15"/>
      <c r="AA6534" s="15"/>
    </row>
    <row r="6535">
      <c r="A6535" s="15"/>
      <c r="B6535" s="15"/>
      <c r="C6535" s="14"/>
      <c r="D6535" s="14"/>
      <c r="E6535" s="14"/>
      <c r="F6535" s="433"/>
      <c r="G6535" s="434"/>
      <c r="H6535" s="14"/>
      <c r="I6535" s="423"/>
      <c r="J6535" s="14"/>
      <c r="K6535" s="13"/>
      <c r="L6535" s="13"/>
      <c r="M6535" s="14"/>
      <c r="N6535" s="15"/>
      <c r="O6535" s="15"/>
      <c r="P6535" s="15"/>
      <c r="Q6535" s="15"/>
      <c r="R6535" s="422"/>
      <c r="S6535" s="15"/>
      <c r="T6535" s="15"/>
      <c r="U6535" s="15"/>
      <c r="V6535" s="15"/>
      <c r="W6535" s="15"/>
      <c r="X6535" s="15"/>
      <c r="Y6535" s="15"/>
      <c r="Z6535" s="15"/>
      <c r="AA6535" s="15"/>
    </row>
    <row r="6536">
      <c r="A6536" s="15"/>
      <c r="B6536" s="15"/>
      <c r="C6536" s="14"/>
      <c r="D6536" s="14"/>
      <c r="E6536" s="14"/>
      <c r="F6536" s="433"/>
      <c r="G6536" s="434"/>
      <c r="H6536" s="14"/>
      <c r="I6536" s="423"/>
      <c r="J6536" s="14"/>
      <c r="K6536" s="13"/>
      <c r="L6536" s="13"/>
      <c r="M6536" s="14"/>
      <c r="N6536" s="15"/>
      <c r="O6536" s="15"/>
      <c r="P6536" s="15"/>
      <c r="Q6536" s="15"/>
      <c r="R6536" s="422"/>
      <c r="S6536" s="15"/>
      <c r="T6536" s="15"/>
      <c r="U6536" s="15"/>
      <c r="V6536" s="15"/>
      <c r="W6536" s="15"/>
      <c r="X6536" s="15"/>
      <c r="Y6536" s="15"/>
      <c r="Z6536" s="15"/>
      <c r="AA6536" s="15"/>
    </row>
    <row r="6537">
      <c r="A6537" s="15"/>
      <c r="B6537" s="15"/>
      <c r="C6537" s="14"/>
      <c r="D6537" s="14"/>
      <c r="E6537" s="14"/>
      <c r="F6537" s="433"/>
      <c r="G6537" s="434"/>
      <c r="H6537" s="14"/>
      <c r="I6537" s="423"/>
      <c r="J6537" s="14"/>
      <c r="K6537" s="13"/>
      <c r="L6537" s="13"/>
      <c r="M6537" s="14"/>
      <c r="N6537" s="15"/>
      <c r="O6537" s="15"/>
      <c r="P6537" s="15"/>
      <c r="Q6537" s="15"/>
      <c r="R6537" s="422"/>
      <c r="S6537" s="15"/>
      <c r="T6537" s="15"/>
      <c r="U6537" s="15"/>
      <c r="V6537" s="15"/>
      <c r="W6537" s="15"/>
      <c r="X6537" s="15"/>
      <c r="Y6537" s="15"/>
      <c r="Z6537" s="15"/>
      <c r="AA6537" s="15"/>
    </row>
    <row r="6538">
      <c r="A6538" s="15"/>
      <c r="B6538" s="15"/>
      <c r="C6538" s="14"/>
      <c r="D6538" s="14"/>
      <c r="E6538" s="14"/>
      <c r="F6538" s="433"/>
      <c r="G6538" s="434"/>
      <c r="H6538" s="14"/>
      <c r="I6538" s="423"/>
      <c r="J6538" s="14"/>
      <c r="K6538" s="13"/>
      <c r="L6538" s="13"/>
      <c r="M6538" s="14"/>
      <c r="N6538" s="15"/>
      <c r="O6538" s="15"/>
      <c r="P6538" s="15"/>
      <c r="Q6538" s="15"/>
      <c r="R6538" s="422"/>
      <c r="S6538" s="15"/>
      <c r="T6538" s="15"/>
      <c r="U6538" s="15"/>
      <c r="V6538" s="15"/>
      <c r="W6538" s="15"/>
      <c r="X6538" s="15"/>
      <c r="Y6538" s="15"/>
      <c r="Z6538" s="15"/>
      <c r="AA6538" s="15"/>
    </row>
    <row r="6539">
      <c r="A6539" s="15"/>
      <c r="B6539" s="15"/>
      <c r="C6539" s="14"/>
      <c r="D6539" s="14"/>
      <c r="E6539" s="14"/>
      <c r="F6539" s="433"/>
      <c r="G6539" s="434"/>
      <c r="H6539" s="14"/>
      <c r="I6539" s="423"/>
      <c r="J6539" s="14"/>
      <c r="K6539" s="13"/>
      <c r="L6539" s="13"/>
      <c r="M6539" s="14"/>
      <c r="N6539" s="15"/>
      <c r="O6539" s="15"/>
      <c r="P6539" s="15"/>
      <c r="Q6539" s="15"/>
      <c r="R6539" s="422"/>
      <c r="S6539" s="15"/>
      <c r="T6539" s="15"/>
      <c r="U6539" s="15"/>
      <c r="V6539" s="15"/>
      <c r="W6539" s="15"/>
      <c r="X6539" s="15"/>
      <c r="Y6539" s="15"/>
      <c r="Z6539" s="15"/>
      <c r="AA6539" s="15"/>
    </row>
    <row r="6540">
      <c r="A6540" s="15"/>
      <c r="B6540" s="15"/>
      <c r="C6540" s="14"/>
      <c r="D6540" s="14"/>
      <c r="E6540" s="14"/>
      <c r="F6540" s="433"/>
      <c r="G6540" s="434"/>
      <c r="H6540" s="14"/>
      <c r="I6540" s="423"/>
      <c r="J6540" s="14"/>
      <c r="K6540" s="13"/>
      <c r="L6540" s="13"/>
      <c r="M6540" s="14"/>
      <c r="N6540" s="15"/>
      <c r="O6540" s="15"/>
      <c r="P6540" s="15"/>
      <c r="Q6540" s="15"/>
      <c r="R6540" s="422"/>
      <c r="S6540" s="15"/>
      <c r="T6540" s="15"/>
      <c r="U6540" s="15"/>
      <c r="V6540" s="15"/>
      <c r="W6540" s="15"/>
      <c r="X6540" s="15"/>
      <c r="Y6540" s="15"/>
      <c r="Z6540" s="15"/>
      <c r="AA6540" s="15"/>
    </row>
    <row r="6541">
      <c r="A6541" s="15"/>
      <c r="B6541" s="15"/>
      <c r="C6541" s="14"/>
      <c r="D6541" s="14"/>
      <c r="E6541" s="14"/>
      <c r="F6541" s="433"/>
      <c r="G6541" s="434"/>
      <c r="H6541" s="14"/>
      <c r="I6541" s="423"/>
      <c r="J6541" s="14"/>
      <c r="K6541" s="13"/>
      <c r="L6541" s="13"/>
      <c r="M6541" s="14"/>
      <c r="N6541" s="15"/>
      <c r="O6541" s="15"/>
      <c r="P6541" s="15"/>
      <c r="Q6541" s="15"/>
      <c r="R6541" s="422"/>
      <c r="S6541" s="15"/>
      <c r="T6541" s="15"/>
      <c r="U6541" s="15"/>
      <c r="V6541" s="15"/>
      <c r="W6541" s="15"/>
      <c r="X6541" s="15"/>
      <c r="Y6541" s="15"/>
      <c r="Z6541" s="15"/>
      <c r="AA6541" s="15"/>
    </row>
    <row r="6542">
      <c r="A6542" s="15"/>
      <c r="B6542" s="15"/>
      <c r="C6542" s="14"/>
      <c r="D6542" s="14"/>
      <c r="E6542" s="14"/>
      <c r="F6542" s="433"/>
      <c r="G6542" s="434"/>
      <c r="H6542" s="14"/>
      <c r="I6542" s="423"/>
      <c r="J6542" s="14"/>
      <c r="K6542" s="13"/>
      <c r="L6542" s="13"/>
      <c r="M6542" s="14"/>
      <c r="N6542" s="15"/>
      <c r="O6542" s="15"/>
      <c r="P6542" s="15"/>
      <c r="Q6542" s="15"/>
      <c r="R6542" s="422"/>
      <c r="S6542" s="15"/>
      <c r="T6542" s="15"/>
      <c r="U6542" s="15"/>
      <c r="V6542" s="15"/>
      <c r="W6542" s="15"/>
      <c r="X6542" s="15"/>
      <c r="Y6542" s="15"/>
      <c r="Z6542" s="15"/>
      <c r="AA6542" s="15"/>
    </row>
    <row r="6543">
      <c r="A6543" s="15"/>
      <c r="B6543" s="15"/>
      <c r="C6543" s="14"/>
      <c r="D6543" s="14"/>
      <c r="E6543" s="14"/>
      <c r="F6543" s="433"/>
      <c r="G6543" s="434"/>
      <c r="H6543" s="14"/>
      <c r="I6543" s="423"/>
      <c r="J6543" s="14"/>
      <c r="K6543" s="13"/>
      <c r="L6543" s="13"/>
      <c r="M6543" s="14"/>
      <c r="N6543" s="15"/>
      <c r="O6543" s="15"/>
      <c r="P6543" s="15"/>
      <c r="Q6543" s="15"/>
      <c r="R6543" s="422"/>
      <c r="S6543" s="15"/>
      <c r="T6543" s="15"/>
      <c r="U6543" s="15"/>
      <c r="V6543" s="15"/>
      <c r="W6543" s="15"/>
      <c r="X6543" s="15"/>
      <c r="Y6543" s="15"/>
      <c r="Z6543" s="15"/>
      <c r="AA6543" s="15"/>
    </row>
    <row r="6544">
      <c r="A6544" s="15"/>
      <c r="B6544" s="15"/>
      <c r="C6544" s="14"/>
      <c r="D6544" s="14"/>
      <c r="E6544" s="14"/>
      <c r="F6544" s="433"/>
      <c r="G6544" s="434"/>
      <c r="H6544" s="14"/>
      <c r="I6544" s="423"/>
      <c r="J6544" s="14"/>
      <c r="K6544" s="13"/>
      <c r="L6544" s="13"/>
      <c r="M6544" s="14"/>
      <c r="N6544" s="15"/>
      <c r="O6544" s="15"/>
      <c r="P6544" s="15"/>
      <c r="Q6544" s="15"/>
      <c r="R6544" s="422"/>
      <c r="S6544" s="15"/>
      <c r="T6544" s="15"/>
      <c r="U6544" s="15"/>
      <c r="V6544" s="15"/>
      <c r="W6544" s="15"/>
      <c r="X6544" s="15"/>
      <c r="Y6544" s="15"/>
      <c r="Z6544" s="15"/>
      <c r="AA6544" s="15"/>
    </row>
    <row r="6545">
      <c r="A6545" s="15"/>
      <c r="B6545" s="15"/>
      <c r="C6545" s="14"/>
      <c r="D6545" s="14"/>
      <c r="E6545" s="14"/>
      <c r="F6545" s="433"/>
      <c r="G6545" s="434"/>
      <c r="H6545" s="14"/>
      <c r="I6545" s="423"/>
      <c r="J6545" s="14"/>
      <c r="K6545" s="13"/>
      <c r="L6545" s="13"/>
      <c r="M6545" s="14"/>
      <c r="N6545" s="15"/>
      <c r="O6545" s="15"/>
      <c r="P6545" s="15"/>
      <c r="Q6545" s="15"/>
      <c r="R6545" s="422"/>
      <c r="S6545" s="15"/>
      <c r="T6545" s="15"/>
      <c r="U6545" s="15"/>
      <c r="V6545" s="15"/>
      <c r="W6545" s="15"/>
      <c r="X6545" s="15"/>
      <c r="Y6545" s="15"/>
      <c r="Z6545" s="15"/>
      <c r="AA6545" s="15"/>
    </row>
    <row r="6546">
      <c r="A6546" s="15"/>
      <c r="B6546" s="15"/>
      <c r="C6546" s="14"/>
      <c r="D6546" s="14"/>
      <c r="E6546" s="14"/>
      <c r="F6546" s="433"/>
      <c r="G6546" s="434"/>
      <c r="H6546" s="14"/>
      <c r="I6546" s="423"/>
      <c r="J6546" s="14"/>
      <c r="K6546" s="13"/>
      <c r="L6546" s="13"/>
      <c r="M6546" s="14"/>
      <c r="N6546" s="15"/>
      <c r="O6546" s="15"/>
      <c r="P6546" s="15"/>
      <c r="Q6546" s="15"/>
      <c r="R6546" s="422"/>
      <c r="S6546" s="15"/>
      <c r="T6546" s="15"/>
      <c r="U6546" s="15"/>
      <c r="V6546" s="15"/>
      <c r="W6546" s="15"/>
      <c r="X6546" s="15"/>
      <c r="Y6546" s="15"/>
      <c r="Z6546" s="15"/>
      <c r="AA6546" s="15"/>
    </row>
    <row r="6547">
      <c r="A6547" s="15"/>
      <c r="B6547" s="15"/>
      <c r="C6547" s="14"/>
      <c r="D6547" s="14"/>
      <c r="E6547" s="14"/>
      <c r="F6547" s="433"/>
      <c r="G6547" s="434"/>
      <c r="H6547" s="14"/>
      <c r="I6547" s="423"/>
      <c r="J6547" s="14"/>
      <c r="K6547" s="13"/>
      <c r="L6547" s="13"/>
      <c r="M6547" s="14"/>
      <c r="N6547" s="15"/>
      <c r="O6547" s="15"/>
      <c r="P6547" s="15"/>
      <c r="Q6547" s="15"/>
      <c r="R6547" s="422"/>
      <c r="S6547" s="15"/>
      <c r="T6547" s="15"/>
      <c r="U6547" s="15"/>
      <c r="V6547" s="15"/>
      <c r="W6547" s="15"/>
      <c r="X6547" s="15"/>
      <c r="Y6547" s="15"/>
      <c r="Z6547" s="15"/>
      <c r="AA6547" s="15"/>
    </row>
    <row r="6548">
      <c r="A6548" s="15"/>
      <c r="B6548" s="15"/>
      <c r="C6548" s="14"/>
      <c r="D6548" s="14"/>
      <c r="E6548" s="14"/>
      <c r="F6548" s="433"/>
      <c r="G6548" s="434"/>
      <c r="H6548" s="14"/>
      <c r="I6548" s="423"/>
      <c r="J6548" s="14"/>
      <c r="K6548" s="13"/>
      <c r="L6548" s="13"/>
      <c r="M6548" s="14"/>
      <c r="N6548" s="15"/>
      <c r="O6548" s="15"/>
      <c r="P6548" s="15"/>
      <c r="Q6548" s="15"/>
      <c r="R6548" s="422"/>
      <c r="S6548" s="15"/>
      <c r="T6548" s="15"/>
      <c r="U6548" s="15"/>
      <c r="V6548" s="15"/>
      <c r="W6548" s="15"/>
      <c r="X6548" s="15"/>
      <c r="Y6548" s="15"/>
      <c r="Z6548" s="15"/>
      <c r="AA6548" s="15"/>
    </row>
    <row r="6549">
      <c r="A6549" s="15"/>
      <c r="B6549" s="15"/>
      <c r="C6549" s="14"/>
      <c r="D6549" s="14"/>
      <c r="E6549" s="14"/>
      <c r="F6549" s="433"/>
      <c r="G6549" s="434"/>
      <c r="H6549" s="14"/>
      <c r="I6549" s="423"/>
      <c r="J6549" s="14"/>
      <c r="K6549" s="13"/>
      <c r="L6549" s="13"/>
      <c r="M6549" s="14"/>
      <c r="N6549" s="15"/>
      <c r="O6549" s="15"/>
      <c r="P6549" s="15"/>
      <c r="Q6549" s="15"/>
      <c r="R6549" s="422"/>
      <c r="S6549" s="15"/>
      <c r="T6549" s="15"/>
      <c r="U6549" s="15"/>
      <c r="V6549" s="15"/>
      <c r="W6549" s="15"/>
      <c r="X6549" s="15"/>
      <c r="Y6549" s="15"/>
      <c r="Z6549" s="15"/>
      <c r="AA6549" s="15"/>
    </row>
    <row r="6550">
      <c r="A6550" s="15"/>
      <c r="B6550" s="15"/>
      <c r="C6550" s="14"/>
      <c r="D6550" s="14"/>
      <c r="E6550" s="14"/>
      <c r="F6550" s="433"/>
      <c r="G6550" s="434"/>
      <c r="H6550" s="14"/>
      <c r="I6550" s="423"/>
      <c r="J6550" s="14"/>
      <c r="K6550" s="13"/>
      <c r="L6550" s="13"/>
      <c r="M6550" s="14"/>
      <c r="N6550" s="15"/>
      <c r="O6550" s="15"/>
      <c r="P6550" s="15"/>
      <c r="Q6550" s="15"/>
      <c r="R6550" s="422"/>
      <c r="S6550" s="15"/>
      <c r="T6550" s="15"/>
      <c r="U6550" s="15"/>
      <c r="V6550" s="15"/>
      <c r="W6550" s="15"/>
      <c r="X6550" s="15"/>
      <c r="Y6550" s="15"/>
      <c r="Z6550" s="15"/>
      <c r="AA6550" s="15"/>
    </row>
    <row r="6551">
      <c r="A6551" s="15"/>
      <c r="B6551" s="15"/>
      <c r="C6551" s="14"/>
      <c r="D6551" s="14"/>
      <c r="E6551" s="14"/>
      <c r="F6551" s="433"/>
      <c r="G6551" s="434"/>
      <c r="H6551" s="14"/>
      <c r="I6551" s="423"/>
      <c r="J6551" s="14"/>
      <c r="K6551" s="13"/>
      <c r="L6551" s="13"/>
      <c r="M6551" s="14"/>
      <c r="N6551" s="15"/>
      <c r="O6551" s="15"/>
      <c r="P6551" s="15"/>
      <c r="Q6551" s="15"/>
      <c r="R6551" s="422"/>
      <c r="S6551" s="15"/>
      <c r="T6551" s="15"/>
      <c r="U6551" s="15"/>
      <c r="V6551" s="15"/>
      <c r="W6551" s="15"/>
      <c r="X6551" s="15"/>
      <c r="Y6551" s="15"/>
      <c r="Z6551" s="15"/>
      <c r="AA6551" s="15"/>
    </row>
    <row r="6552">
      <c r="A6552" s="15"/>
      <c r="B6552" s="15"/>
      <c r="C6552" s="14"/>
      <c r="D6552" s="14"/>
      <c r="E6552" s="14"/>
      <c r="F6552" s="433"/>
      <c r="G6552" s="434"/>
      <c r="H6552" s="14"/>
      <c r="I6552" s="423"/>
      <c r="J6552" s="14"/>
      <c r="K6552" s="13"/>
      <c r="L6552" s="13"/>
      <c r="M6552" s="14"/>
      <c r="N6552" s="15"/>
      <c r="O6552" s="15"/>
      <c r="P6552" s="15"/>
      <c r="Q6552" s="15"/>
      <c r="R6552" s="422"/>
      <c r="S6552" s="15"/>
      <c r="T6552" s="15"/>
      <c r="U6552" s="15"/>
      <c r="V6552" s="15"/>
      <c r="W6552" s="15"/>
      <c r="X6552" s="15"/>
      <c r="Y6552" s="15"/>
      <c r="Z6552" s="15"/>
      <c r="AA6552" s="15"/>
    </row>
    <row r="6553">
      <c r="A6553" s="15"/>
      <c r="B6553" s="15"/>
      <c r="C6553" s="14"/>
      <c r="D6553" s="14"/>
      <c r="E6553" s="14"/>
      <c r="F6553" s="433"/>
      <c r="G6553" s="434"/>
      <c r="H6553" s="14"/>
      <c r="I6553" s="423"/>
      <c r="J6553" s="14"/>
      <c r="K6553" s="13"/>
      <c r="L6553" s="13"/>
      <c r="M6553" s="14"/>
      <c r="N6553" s="15"/>
      <c r="O6553" s="15"/>
      <c r="P6553" s="15"/>
      <c r="Q6553" s="15"/>
      <c r="R6553" s="422"/>
      <c r="S6553" s="15"/>
      <c r="T6553" s="15"/>
      <c r="U6553" s="15"/>
      <c r="V6553" s="15"/>
      <c r="W6553" s="15"/>
      <c r="X6553" s="15"/>
      <c r="Y6553" s="15"/>
      <c r="Z6553" s="15"/>
      <c r="AA6553" s="15"/>
    </row>
    <row r="6554">
      <c r="A6554" s="15"/>
      <c r="B6554" s="15"/>
      <c r="C6554" s="14"/>
      <c r="D6554" s="14"/>
      <c r="E6554" s="14"/>
      <c r="F6554" s="433"/>
      <c r="G6554" s="434"/>
      <c r="H6554" s="14"/>
      <c r="I6554" s="423"/>
      <c r="J6554" s="14"/>
      <c r="K6554" s="13"/>
      <c r="L6554" s="13"/>
      <c r="M6554" s="14"/>
      <c r="N6554" s="15"/>
      <c r="O6554" s="15"/>
      <c r="P6554" s="15"/>
      <c r="Q6554" s="15"/>
      <c r="R6554" s="422"/>
      <c r="S6554" s="15"/>
      <c r="T6554" s="15"/>
      <c r="U6554" s="15"/>
      <c r="V6554" s="15"/>
      <c r="W6554" s="15"/>
      <c r="X6554" s="15"/>
      <c r="Y6554" s="15"/>
      <c r="Z6554" s="15"/>
      <c r="AA6554" s="15"/>
    </row>
    <row r="6555">
      <c r="A6555" s="15"/>
      <c r="B6555" s="15"/>
      <c r="C6555" s="14"/>
      <c r="D6555" s="14"/>
      <c r="E6555" s="14"/>
      <c r="F6555" s="433"/>
      <c r="G6555" s="434"/>
      <c r="H6555" s="14"/>
      <c r="I6555" s="423"/>
      <c r="J6555" s="14"/>
      <c r="K6555" s="13"/>
      <c r="L6555" s="13"/>
      <c r="M6555" s="14"/>
      <c r="N6555" s="15"/>
      <c r="O6555" s="15"/>
      <c r="P6555" s="15"/>
      <c r="Q6555" s="15"/>
      <c r="R6555" s="422"/>
      <c r="S6555" s="15"/>
      <c r="T6555" s="15"/>
      <c r="U6555" s="15"/>
      <c r="V6555" s="15"/>
      <c r="W6555" s="15"/>
      <c r="X6555" s="15"/>
      <c r="Y6555" s="15"/>
      <c r="Z6555" s="15"/>
      <c r="AA6555" s="15"/>
    </row>
    <row r="6556">
      <c r="A6556" s="15"/>
      <c r="B6556" s="15"/>
      <c r="C6556" s="14"/>
      <c r="D6556" s="14"/>
      <c r="E6556" s="14"/>
      <c r="F6556" s="433"/>
      <c r="G6556" s="434"/>
      <c r="H6556" s="14"/>
      <c r="I6556" s="423"/>
      <c r="J6556" s="14"/>
      <c r="K6556" s="13"/>
      <c r="L6556" s="13"/>
      <c r="M6556" s="14"/>
      <c r="N6556" s="15"/>
      <c r="O6556" s="15"/>
      <c r="P6556" s="15"/>
      <c r="Q6556" s="15"/>
      <c r="R6556" s="422"/>
      <c r="S6556" s="15"/>
      <c r="T6556" s="15"/>
      <c r="U6556" s="15"/>
      <c r="V6556" s="15"/>
      <c r="W6556" s="15"/>
      <c r="X6556" s="15"/>
      <c r="Y6556" s="15"/>
      <c r="Z6556" s="15"/>
      <c r="AA6556" s="15"/>
    </row>
    <row r="6557">
      <c r="A6557" s="15"/>
      <c r="B6557" s="15"/>
      <c r="C6557" s="14"/>
      <c r="D6557" s="14"/>
      <c r="E6557" s="14"/>
      <c r="F6557" s="433"/>
      <c r="G6557" s="434"/>
      <c r="H6557" s="14"/>
      <c r="I6557" s="423"/>
      <c r="J6557" s="14"/>
      <c r="K6557" s="13"/>
      <c r="L6557" s="13"/>
      <c r="M6557" s="14"/>
      <c r="N6557" s="15"/>
      <c r="O6557" s="15"/>
      <c r="P6557" s="15"/>
      <c r="Q6557" s="15"/>
      <c r="R6557" s="422"/>
      <c r="S6557" s="15"/>
      <c r="T6557" s="15"/>
      <c r="U6557" s="15"/>
      <c r="V6557" s="15"/>
      <c r="W6557" s="15"/>
      <c r="X6557" s="15"/>
      <c r="Y6557" s="15"/>
      <c r="Z6557" s="15"/>
      <c r="AA6557" s="15"/>
    </row>
    <row r="6558">
      <c r="A6558" s="15"/>
      <c r="B6558" s="15"/>
      <c r="C6558" s="14"/>
      <c r="D6558" s="14"/>
      <c r="E6558" s="14"/>
      <c r="F6558" s="433"/>
      <c r="G6558" s="434"/>
      <c r="H6558" s="14"/>
      <c r="I6558" s="423"/>
      <c r="J6558" s="14"/>
      <c r="K6558" s="13"/>
      <c r="L6558" s="13"/>
      <c r="M6558" s="14"/>
      <c r="N6558" s="15"/>
      <c r="O6558" s="15"/>
      <c r="P6558" s="15"/>
      <c r="Q6558" s="15"/>
      <c r="R6558" s="422"/>
      <c r="S6558" s="15"/>
      <c r="T6558" s="15"/>
      <c r="U6558" s="15"/>
      <c r="V6558" s="15"/>
      <c r="W6558" s="15"/>
      <c r="X6558" s="15"/>
      <c r="Y6558" s="15"/>
      <c r="Z6558" s="15"/>
      <c r="AA6558" s="15"/>
    </row>
    <row r="6559">
      <c r="A6559" s="15"/>
      <c r="B6559" s="15"/>
      <c r="C6559" s="14"/>
      <c r="D6559" s="14"/>
      <c r="E6559" s="14"/>
      <c r="F6559" s="433"/>
      <c r="G6559" s="434"/>
      <c r="H6559" s="14"/>
      <c r="I6559" s="423"/>
      <c r="J6559" s="14"/>
      <c r="K6559" s="13"/>
      <c r="L6559" s="13"/>
      <c r="M6559" s="14"/>
      <c r="N6559" s="15"/>
      <c r="O6559" s="15"/>
      <c r="P6559" s="15"/>
      <c r="Q6559" s="15"/>
      <c r="R6559" s="422"/>
      <c r="S6559" s="15"/>
      <c r="T6559" s="15"/>
      <c r="U6559" s="15"/>
      <c r="V6559" s="15"/>
      <c r="W6559" s="15"/>
      <c r="X6559" s="15"/>
      <c r="Y6559" s="15"/>
      <c r="Z6559" s="15"/>
      <c r="AA6559" s="15"/>
    </row>
    <row r="6560">
      <c r="A6560" s="15"/>
      <c r="B6560" s="15"/>
      <c r="C6560" s="14"/>
      <c r="D6560" s="14"/>
      <c r="E6560" s="14"/>
      <c r="F6560" s="433"/>
      <c r="G6560" s="434"/>
      <c r="H6560" s="14"/>
      <c r="I6560" s="423"/>
      <c r="J6560" s="14"/>
      <c r="K6560" s="13"/>
      <c r="L6560" s="13"/>
      <c r="M6560" s="14"/>
      <c r="N6560" s="15"/>
      <c r="O6560" s="15"/>
      <c r="P6560" s="15"/>
      <c r="Q6560" s="15"/>
      <c r="R6560" s="422"/>
      <c r="S6560" s="15"/>
      <c r="T6560" s="15"/>
      <c r="U6560" s="15"/>
      <c r="V6560" s="15"/>
      <c r="W6560" s="15"/>
      <c r="X6560" s="15"/>
      <c r="Y6560" s="15"/>
      <c r="Z6560" s="15"/>
      <c r="AA6560" s="15"/>
    </row>
    <row r="6561">
      <c r="A6561" s="15"/>
      <c r="B6561" s="15"/>
      <c r="C6561" s="14"/>
      <c r="D6561" s="14"/>
      <c r="E6561" s="14"/>
      <c r="F6561" s="433"/>
      <c r="G6561" s="434"/>
      <c r="H6561" s="14"/>
      <c r="I6561" s="423"/>
      <c r="J6561" s="14"/>
      <c r="K6561" s="13"/>
      <c r="L6561" s="13"/>
      <c r="M6561" s="14"/>
      <c r="N6561" s="15"/>
      <c r="O6561" s="15"/>
      <c r="P6561" s="15"/>
      <c r="Q6561" s="15"/>
      <c r="R6561" s="422"/>
      <c r="S6561" s="15"/>
      <c r="T6561" s="15"/>
      <c r="U6561" s="15"/>
      <c r="V6561" s="15"/>
      <c r="W6561" s="15"/>
      <c r="X6561" s="15"/>
      <c r="Y6561" s="15"/>
      <c r="Z6561" s="15"/>
      <c r="AA6561" s="15"/>
    </row>
    <row r="6562">
      <c r="A6562" s="15"/>
      <c r="B6562" s="15"/>
      <c r="C6562" s="14"/>
      <c r="D6562" s="14"/>
      <c r="E6562" s="14"/>
      <c r="F6562" s="433"/>
      <c r="G6562" s="434"/>
      <c r="H6562" s="14"/>
      <c r="I6562" s="423"/>
      <c r="J6562" s="14"/>
      <c r="K6562" s="13"/>
      <c r="L6562" s="13"/>
      <c r="M6562" s="14"/>
      <c r="N6562" s="15"/>
      <c r="O6562" s="15"/>
      <c r="P6562" s="15"/>
      <c r="Q6562" s="15"/>
      <c r="R6562" s="422"/>
      <c r="S6562" s="15"/>
      <c r="T6562" s="15"/>
      <c r="U6562" s="15"/>
      <c r="V6562" s="15"/>
      <c r="W6562" s="15"/>
      <c r="X6562" s="15"/>
      <c r="Y6562" s="15"/>
      <c r="Z6562" s="15"/>
      <c r="AA6562" s="15"/>
    </row>
    <row r="6563">
      <c r="A6563" s="15"/>
      <c r="B6563" s="15"/>
      <c r="C6563" s="14"/>
      <c r="D6563" s="14"/>
      <c r="E6563" s="14"/>
      <c r="F6563" s="433"/>
      <c r="G6563" s="434"/>
      <c r="H6563" s="14"/>
      <c r="I6563" s="423"/>
      <c r="J6563" s="14"/>
      <c r="K6563" s="13"/>
      <c r="L6563" s="13"/>
      <c r="M6563" s="14"/>
      <c r="N6563" s="15"/>
      <c r="O6563" s="15"/>
      <c r="P6563" s="15"/>
      <c r="Q6563" s="15"/>
      <c r="R6563" s="422"/>
      <c r="S6563" s="15"/>
      <c r="T6563" s="15"/>
      <c r="U6563" s="15"/>
      <c r="V6563" s="15"/>
      <c r="W6563" s="15"/>
      <c r="X6563" s="15"/>
      <c r="Y6563" s="15"/>
      <c r="Z6563" s="15"/>
      <c r="AA6563" s="15"/>
    </row>
    <row r="6564">
      <c r="A6564" s="15"/>
      <c r="B6564" s="15"/>
      <c r="C6564" s="14"/>
      <c r="D6564" s="14"/>
      <c r="E6564" s="14"/>
      <c r="F6564" s="433"/>
      <c r="G6564" s="434"/>
      <c r="H6564" s="14"/>
      <c r="I6564" s="423"/>
      <c r="J6564" s="14"/>
      <c r="K6564" s="13"/>
      <c r="L6564" s="13"/>
      <c r="M6564" s="14"/>
      <c r="N6564" s="15"/>
      <c r="O6564" s="15"/>
      <c r="P6564" s="15"/>
      <c r="Q6564" s="15"/>
      <c r="R6564" s="422"/>
      <c r="S6564" s="15"/>
      <c r="T6564" s="15"/>
      <c r="U6564" s="15"/>
      <c r="V6564" s="15"/>
      <c r="W6564" s="15"/>
      <c r="X6564" s="15"/>
      <c r="Y6564" s="15"/>
      <c r="Z6564" s="15"/>
      <c r="AA6564" s="15"/>
    </row>
    <row r="6565">
      <c r="A6565" s="15"/>
      <c r="B6565" s="15"/>
      <c r="C6565" s="14"/>
      <c r="D6565" s="14"/>
      <c r="E6565" s="14"/>
      <c r="F6565" s="433"/>
      <c r="G6565" s="434"/>
      <c r="H6565" s="14"/>
      <c r="I6565" s="423"/>
      <c r="J6565" s="14"/>
      <c r="K6565" s="13"/>
      <c r="L6565" s="13"/>
      <c r="M6565" s="14"/>
      <c r="N6565" s="15"/>
      <c r="O6565" s="15"/>
      <c r="P6565" s="15"/>
      <c r="Q6565" s="15"/>
      <c r="R6565" s="422"/>
      <c r="S6565" s="15"/>
      <c r="T6565" s="15"/>
      <c r="U6565" s="15"/>
      <c r="V6565" s="15"/>
      <c r="W6565" s="15"/>
      <c r="X6565" s="15"/>
      <c r="Y6565" s="15"/>
      <c r="Z6565" s="15"/>
      <c r="AA6565" s="15"/>
    </row>
    <row r="6566">
      <c r="A6566" s="15"/>
      <c r="B6566" s="15"/>
      <c r="C6566" s="14"/>
      <c r="D6566" s="14"/>
      <c r="E6566" s="14"/>
      <c r="F6566" s="433"/>
      <c r="G6566" s="434"/>
      <c r="H6566" s="14"/>
      <c r="I6566" s="423"/>
      <c r="J6566" s="14"/>
      <c r="K6566" s="13"/>
      <c r="L6566" s="13"/>
      <c r="M6566" s="14"/>
      <c r="N6566" s="15"/>
      <c r="O6566" s="15"/>
      <c r="P6566" s="15"/>
      <c r="Q6566" s="15"/>
      <c r="R6566" s="422"/>
      <c r="S6566" s="15"/>
      <c r="T6566" s="15"/>
      <c r="U6566" s="15"/>
      <c r="V6566" s="15"/>
      <c r="W6566" s="15"/>
      <c r="X6566" s="15"/>
      <c r="Y6566" s="15"/>
      <c r="Z6566" s="15"/>
      <c r="AA6566" s="15"/>
    </row>
    <row r="6567">
      <c r="A6567" s="15"/>
      <c r="B6567" s="15"/>
      <c r="C6567" s="14"/>
      <c r="D6567" s="14"/>
      <c r="E6567" s="14"/>
      <c r="F6567" s="433"/>
      <c r="G6567" s="434"/>
      <c r="H6567" s="14"/>
      <c r="I6567" s="423"/>
      <c r="J6567" s="14"/>
      <c r="K6567" s="13"/>
      <c r="L6567" s="13"/>
      <c r="M6567" s="14"/>
      <c r="N6567" s="15"/>
      <c r="O6567" s="15"/>
      <c r="P6567" s="15"/>
      <c r="Q6567" s="15"/>
      <c r="R6567" s="422"/>
      <c r="S6567" s="15"/>
      <c r="T6567" s="15"/>
      <c r="U6567" s="15"/>
      <c r="V6567" s="15"/>
      <c r="W6567" s="15"/>
      <c r="X6567" s="15"/>
      <c r="Y6567" s="15"/>
      <c r="Z6567" s="15"/>
      <c r="AA6567" s="15"/>
    </row>
    <row r="6568">
      <c r="A6568" s="15"/>
      <c r="B6568" s="15"/>
      <c r="C6568" s="14"/>
      <c r="D6568" s="14"/>
      <c r="E6568" s="14"/>
      <c r="F6568" s="433"/>
      <c r="G6568" s="434"/>
      <c r="H6568" s="14"/>
      <c r="I6568" s="423"/>
      <c r="J6568" s="14"/>
      <c r="K6568" s="13"/>
      <c r="L6568" s="13"/>
      <c r="M6568" s="14"/>
      <c r="N6568" s="15"/>
      <c r="O6568" s="15"/>
      <c r="P6568" s="15"/>
      <c r="Q6568" s="15"/>
      <c r="R6568" s="422"/>
      <c r="S6568" s="15"/>
      <c r="T6568" s="15"/>
      <c r="U6568" s="15"/>
      <c r="V6568" s="15"/>
      <c r="W6568" s="15"/>
      <c r="X6568" s="15"/>
      <c r="Y6568" s="15"/>
      <c r="Z6568" s="15"/>
      <c r="AA6568" s="15"/>
    </row>
    <row r="6569">
      <c r="A6569" s="15"/>
      <c r="B6569" s="15"/>
      <c r="C6569" s="14"/>
      <c r="D6569" s="14"/>
      <c r="E6569" s="14"/>
      <c r="F6569" s="433"/>
      <c r="G6569" s="434"/>
      <c r="H6569" s="14"/>
      <c r="I6569" s="423"/>
      <c r="J6569" s="14"/>
      <c r="K6569" s="13"/>
      <c r="L6569" s="13"/>
      <c r="M6569" s="14"/>
      <c r="N6569" s="15"/>
      <c r="O6569" s="15"/>
      <c r="P6569" s="15"/>
      <c r="Q6569" s="15"/>
      <c r="R6569" s="422"/>
      <c r="S6569" s="15"/>
      <c r="T6569" s="15"/>
      <c r="U6569" s="15"/>
      <c r="V6569" s="15"/>
      <c r="W6569" s="15"/>
      <c r="X6569" s="15"/>
      <c r="Y6569" s="15"/>
      <c r="Z6569" s="15"/>
      <c r="AA6569" s="15"/>
    </row>
    <row r="6570">
      <c r="A6570" s="15"/>
      <c r="B6570" s="15"/>
      <c r="C6570" s="14"/>
      <c r="D6570" s="14"/>
      <c r="E6570" s="14"/>
      <c r="F6570" s="433"/>
      <c r="G6570" s="434"/>
      <c r="H6570" s="14"/>
      <c r="I6570" s="423"/>
      <c r="J6570" s="14"/>
      <c r="K6570" s="13"/>
      <c r="L6570" s="13"/>
      <c r="M6570" s="14"/>
      <c r="N6570" s="15"/>
      <c r="O6570" s="15"/>
      <c r="P6570" s="15"/>
      <c r="Q6570" s="15"/>
      <c r="R6570" s="422"/>
      <c r="S6570" s="15"/>
      <c r="T6570" s="15"/>
      <c r="U6570" s="15"/>
      <c r="V6570" s="15"/>
      <c r="W6570" s="15"/>
      <c r="X6570" s="15"/>
      <c r="Y6570" s="15"/>
      <c r="Z6570" s="15"/>
      <c r="AA6570" s="15"/>
    </row>
    <row r="6571">
      <c r="A6571" s="15"/>
      <c r="B6571" s="15"/>
      <c r="C6571" s="14"/>
      <c r="D6571" s="14"/>
      <c r="E6571" s="14"/>
      <c r="F6571" s="433"/>
      <c r="G6571" s="434"/>
      <c r="H6571" s="14"/>
      <c r="I6571" s="423"/>
      <c r="J6571" s="14"/>
      <c r="K6571" s="13"/>
      <c r="L6571" s="13"/>
      <c r="M6571" s="14"/>
      <c r="N6571" s="15"/>
      <c r="O6571" s="15"/>
      <c r="P6571" s="15"/>
      <c r="Q6571" s="15"/>
      <c r="R6571" s="422"/>
      <c r="S6571" s="15"/>
      <c r="T6571" s="15"/>
      <c r="U6571" s="15"/>
      <c r="V6571" s="15"/>
      <c r="W6571" s="15"/>
      <c r="X6571" s="15"/>
      <c r="Y6571" s="15"/>
      <c r="Z6571" s="15"/>
      <c r="AA6571" s="15"/>
    </row>
    <row r="6572">
      <c r="A6572" s="15"/>
      <c r="B6572" s="15"/>
      <c r="C6572" s="14"/>
      <c r="D6572" s="14"/>
      <c r="E6572" s="14"/>
      <c r="F6572" s="433"/>
      <c r="G6572" s="434"/>
      <c r="H6572" s="14"/>
      <c r="I6572" s="423"/>
      <c r="J6572" s="14"/>
      <c r="K6572" s="13"/>
      <c r="L6572" s="13"/>
      <c r="M6572" s="14"/>
      <c r="N6572" s="15"/>
      <c r="O6572" s="15"/>
      <c r="P6572" s="15"/>
      <c r="Q6572" s="15"/>
      <c r="R6572" s="422"/>
      <c r="S6572" s="15"/>
      <c r="T6572" s="15"/>
      <c r="U6572" s="15"/>
      <c r="V6572" s="15"/>
      <c r="W6572" s="15"/>
      <c r="X6572" s="15"/>
      <c r="Y6572" s="15"/>
      <c r="Z6572" s="15"/>
      <c r="AA6572" s="15"/>
    </row>
    <row r="6573">
      <c r="A6573" s="15"/>
      <c r="B6573" s="15"/>
      <c r="C6573" s="14"/>
      <c r="D6573" s="14"/>
      <c r="E6573" s="14"/>
      <c r="F6573" s="433"/>
      <c r="G6573" s="434"/>
      <c r="H6573" s="14"/>
      <c r="I6573" s="423"/>
      <c r="J6573" s="14"/>
      <c r="K6573" s="13"/>
      <c r="L6573" s="13"/>
      <c r="M6573" s="14"/>
      <c r="N6573" s="15"/>
      <c r="O6573" s="15"/>
      <c r="P6573" s="15"/>
      <c r="Q6573" s="15"/>
      <c r="R6573" s="422"/>
      <c r="S6573" s="15"/>
      <c r="T6573" s="15"/>
      <c r="U6573" s="15"/>
      <c r="V6573" s="15"/>
      <c r="W6573" s="15"/>
      <c r="X6573" s="15"/>
      <c r="Y6573" s="15"/>
      <c r="Z6573" s="15"/>
      <c r="AA6573" s="15"/>
    </row>
    <row r="6574">
      <c r="A6574" s="15"/>
      <c r="B6574" s="15"/>
      <c r="C6574" s="14"/>
      <c r="D6574" s="14"/>
      <c r="E6574" s="14"/>
      <c r="F6574" s="433"/>
      <c r="G6574" s="434"/>
      <c r="H6574" s="14"/>
      <c r="I6574" s="423"/>
      <c r="J6574" s="14"/>
      <c r="K6574" s="13"/>
      <c r="L6574" s="13"/>
      <c r="M6574" s="14"/>
      <c r="N6574" s="15"/>
      <c r="O6574" s="15"/>
      <c r="P6574" s="15"/>
      <c r="Q6574" s="15"/>
      <c r="R6574" s="422"/>
      <c r="S6574" s="15"/>
      <c r="T6574" s="15"/>
      <c r="U6574" s="15"/>
      <c r="V6574" s="15"/>
      <c r="W6574" s="15"/>
      <c r="X6574" s="15"/>
      <c r="Y6574" s="15"/>
      <c r="Z6574" s="15"/>
      <c r="AA6574" s="15"/>
    </row>
    <row r="6575">
      <c r="A6575" s="15"/>
      <c r="B6575" s="15"/>
      <c r="C6575" s="14"/>
      <c r="D6575" s="14"/>
      <c r="E6575" s="14"/>
      <c r="F6575" s="433"/>
      <c r="G6575" s="434"/>
      <c r="H6575" s="14"/>
      <c r="I6575" s="423"/>
      <c r="J6575" s="14"/>
      <c r="K6575" s="13"/>
      <c r="L6575" s="13"/>
      <c r="M6575" s="14"/>
      <c r="N6575" s="15"/>
      <c r="O6575" s="15"/>
      <c r="P6575" s="15"/>
      <c r="Q6575" s="15"/>
      <c r="R6575" s="422"/>
      <c r="S6575" s="15"/>
      <c r="T6575" s="15"/>
      <c r="U6575" s="15"/>
      <c r="V6575" s="15"/>
      <c r="W6575" s="15"/>
      <c r="X6575" s="15"/>
      <c r="Y6575" s="15"/>
      <c r="Z6575" s="15"/>
      <c r="AA6575" s="15"/>
    </row>
    <row r="6576">
      <c r="A6576" s="15"/>
      <c r="B6576" s="15"/>
      <c r="C6576" s="14"/>
      <c r="D6576" s="14"/>
      <c r="E6576" s="14"/>
      <c r="F6576" s="433"/>
      <c r="G6576" s="434"/>
      <c r="H6576" s="14"/>
      <c r="I6576" s="423"/>
      <c r="J6576" s="14"/>
      <c r="K6576" s="13"/>
      <c r="L6576" s="13"/>
      <c r="M6576" s="14"/>
      <c r="N6576" s="15"/>
      <c r="O6576" s="15"/>
      <c r="P6576" s="15"/>
      <c r="Q6576" s="15"/>
      <c r="R6576" s="422"/>
      <c r="S6576" s="15"/>
      <c r="T6576" s="15"/>
      <c r="U6576" s="15"/>
      <c r="V6576" s="15"/>
      <c r="W6576" s="15"/>
      <c r="X6576" s="15"/>
      <c r="Y6576" s="15"/>
      <c r="Z6576" s="15"/>
      <c r="AA6576" s="15"/>
    </row>
    <row r="6577">
      <c r="A6577" s="15"/>
      <c r="B6577" s="15"/>
      <c r="C6577" s="14"/>
      <c r="D6577" s="14"/>
      <c r="E6577" s="14"/>
      <c r="F6577" s="433"/>
      <c r="G6577" s="434"/>
      <c r="H6577" s="14"/>
      <c r="I6577" s="423"/>
      <c r="J6577" s="14"/>
      <c r="K6577" s="13"/>
      <c r="L6577" s="13"/>
      <c r="M6577" s="14"/>
      <c r="N6577" s="15"/>
      <c r="O6577" s="15"/>
      <c r="P6577" s="15"/>
      <c r="Q6577" s="15"/>
      <c r="R6577" s="422"/>
      <c r="S6577" s="15"/>
      <c r="T6577" s="15"/>
      <c r="U6577" s="15"/>
      <c r="V6577" s="15"/>
      <c r="W6577" s="15"/>
      <c r="X6577" s="15"/>
      <c r="Y6577" s="15"/>
      <c r="Z6577" s="15"/>
      <c r="AA6577" s="15"/>
    </row>
    <row r="6578">
      <c r="A6578" s="15"/>
      <c r="B6578" s="15"/>
      <c r="C6578" s="14"/>
      <c r="D6578" s="14"/>
      <c r="E6578" s="14"/>
      <c r="F6578" s="433"/>
      <c r="G6578" s="434"/>
      <c r="H6578" s="14"/>
      <c r="I6578" s="423"/>
      <c r="J6578" s="14"/>
      <c r="K6578" s="13"/>
      <c r="L6578" s="13"/>
      <c r="M6578" s="14"/>
      <c r="N6578" s="15"/>
      <c r="O6578" s="15"/>
      <c r="P6578" s="15"/>
      <c r="Q6578" s="15"/>
      <c r="R6578" s="422"/>
      <c r="S6578" s="15"/>
      <c r="T6578" s="15"/>
      <c r="U6578" s="15"/>
      <c r="V6578" s="15"/>
      <c r="W6578" s="15"/>
      <c r="X6578" s="15"/>
      <c r="Y6578" s="15"/>
      <c r="Z6578" s="15"/>
      <c r="AA6578" s="15"/>
    </row>
    <row r="6579">
      <c r="A6579" s="15"/>
      <c r="B6579" s="15"/>
      <c r="C6579" s="14"/>
      <c r="D6579" s="14"/>
      <c r="E6579" s="14"/>
      <c r="F6579" s="433"/>
      <c r="G6579" s="434"/>
      <c r="H6579" s="14"/>
      <c r="I6579" s="423"/>
      <c r="J6579" s="14"/>
      <c r="K6579" s="13"/>
      <c r="L6579" s="13"/>
      <c r="M6579" s="14"/>
      <c r="N6579" s="15"/>
      <c r="O6579" s="15"/>
      <c r="P6579" s="15"/>
      <c r="Q6579" s="15"/>
      <c r="R6579" s="422"/>
      <c r="S6579" s="15"/>
      <c r="T6579" s="15"/>
      <c r="U6579" s="15"/>
      <c r="V6579" s="15"/>
      <c r="W6579" s="15"/>
      <c r="X6579" s="15"/>
      <c r="Y6579" s="15"/>
      <c r="Z6579" s="15"/>
      <c r="AA6579" s="15"/>
    </row>
    <row r="6580">
      <c r="A6580" s="15"/>
      <c r="B6580" s="15"/>
      <c r="C6580" s="14"/>
      <c r="D6580" s="14"/>
      <c r="E6580" s="14"/>
      <c r="F6580" s="433"/>
      <c r="G6580" s="434"/>
      <c r="H6580" s="14"/>
      <c r="I6580" s="423"/>
      <c r="J6580" s="14"/>
      <c r="K6580" s="13"/>
      <c r="L6580" s="13"/>
      <c r="M6580" s="14"/>
      <c r="N6580" s="15"/>
      <c r="O6580" s="15"/>
      <c r="P6580" s="15"/>
      <c r="Q6580" s="15"/>
      <c r="R6580" s="422"/>
      <c r="S6580" s="15"/>
      <c r="T6580" s="15"/>
      <c r="U6580" s="15"/>
      <c r="V6580" s="15"/>
      <c r="W6580" s="15"/>
      <c r="X6580" s="15"/>
      <c r="Y6580" s="15"/>
      <c r="Z6580" s="15"/>
      <c r="AA6580" s="15"/>
    </row>
    <row r="6581">
      <c r="A6581" s="15"/>
      <c r="B6581" s="15"/>
      <c r="C6581" s="14"/>
      <c r="D6581" s="14"/>
      <c r="E6581" s="14"/>
      <c r="F6581" s="433"/>
      <c r="G6581" s="434"/>
      <c r="H6581" s="14"/>
      <c r="I6581" s="423"/>
      <c r="J6581" s="14"/>
      <c r="K6581" s="13"/>
      <c r="L6581" s="13"/>
      <c r="M6581" s="14"/>
      <c r="N6581" s="15"/>
      <c r="O6581" s="15"/>
      <c r="P6581" s="15"/>
      <c r="Q6581" s="15"/>
      <c r="R6581" s="422"/>
      <c r="S6581" s="15"/>
      <c r="T6581" s="15"/>
      <c r="U6581" s="15"/>
      <c r="V6581" s="15"/>
      <c r="W6581" s="15"/>
      <c r="X6581" s="15"/>
      <c r="Y6581" s="15"/>
      <c r="Z6581" s="15"/>
      <c r="AA6581" s="15"/>
    </row>
    <row r="6582">
      <c r="A6582" s="15"/>
      <c r="B6582" s="15"/>
      <c r="C6582" s="14"/>
      <c r="D6582" s="14"/>
      <c r="E6582" s="14"/>
      <c r="F6582" s="433"/>
      <c r="G6582" s="434"/>
      <c r="H6582" s="14"/>
      <c r="I6582" s="423"/>
      <c r="J6582" s="14"/>
      <c r="K6582" s="13"/>
      <c r="L6582" s="13"/>
      <c r="M6582" s="14"/>
      <c r="N6582" s="15"/>
      <c r="O6582" s="15"/>
      <c r="P6582" s="15"/>
      <c r="Q6582" s="15"/>
      <c r="R6582" s="422"/>
      <c r="S6582" s="15"/>
      <c r="T6582" s="15"/>
      <c r="U6582" s="15"/>
      <c r="V6582" s="15"/>
      <c r="W6582" s="15"/>
      <c r="X6582" s="15"/>
      <c r="Y6582" s="15"/>
      <c r="Z6582" s="15"/>
      <c r="AA6582" s="15"/>
    </row>
    <row r="6583">
      <c r="A6583" s="15"/>
      <c r="B6583" s="15"/>
      <c r="C6583" s="14"/>
      <c r="D6583" s="14"/>
      <c r="E6583" s="14"/>
      <c r="F6583" s="433"/>
      <c r="G6583" s="434"/>
      <c r="H6583" s="14"/>
      <c r="I6583" s="423"/>
      <c r="J6583" s="14"/>
      <c r="K6583" s="13"/>
      <c r="L6583" s="13"/>
      <c r="M6583" s="14"/>
      <c r="N6583" s="15"/>
      <c r="O6583" s="15"/>
      <c r="P6583" s="15"/>
      <c r="Q6583" s="15"/>
      <c r="R6583" s="422"/>
      <c r="S6583" s="15"/>
      <c r="T6583" s="15"/>
      <c r="U6583" s="15"/>
      <c r="V6583" s="15"/>
      <c r="W6583" s="15"/>
      <c r="X6583" s="15"/>
      <c r="Y6583" s="15"/>
      <c r="Z6583" s="15"/>
      <c r="AA6583" s="15"/>
    </row>
    <row r="6584">
      <c r="A6584" s="15"/>
      <c r="B6584" s="15"/>
      <c r="C6584" s="14"/>
      <c r="D6584" s="14"/>
      <c r="E6584" s="14"/>
      <c r="F6584" s="433"/>
      <c r="G6584" s="434"/>
      <c r="H6584" s="14"/>
      <c r="I6584" s="423"/>
      <c r="J6584" s="14"/>
      <c r="K6584" s="13"/>
      <c r="L6584" s="13"/>
      <c r="M6584" s="14"/>
      <c r="N6584" s="15"/>
      <c r="O6584" s="15"/>
      <c r="P6584" s="15"/>
      <c r="Q6584" s="15"/>
      <c r="R6584" s="422"/>
      <c r="S6584" s="15"/>
      <c r="T6584" s="15"/>
      <c r="U6584" s="15"/>
      <c r="V6584" s="15"/>
      <c r="W6584" s="15"/>
      <c r="X6584" s="15"/>
      <c r="Y6584" s="15"/>
      <c r="Z6584" s="15"/>
      <c r="AA6584" s="15"/>
    </row>
    <row r="6585">
      <c r="A6585" s="15"/>
      <c r="B6585" s="15"/>
      <c r="C6585" s="14"/>
      <c r="D6585" s="14"/>
      <c r="E6585" s="14"/>
      <c r="F6585" s="433"/>
      <c r="G6585" s="434"/>
      <c r="H6585" s="14"/>
      <c r="I6585" s="423"/>
      <c r="J6585" s="14"/>
      <c r="K6585" s="13"/>
      <c r="L6585" s="13"/>
      <c r="M6585" s="14"/>
      <c r="N6585" s="15"/>
      <c r="O6585" s="15"/>
      <c r="P6585" s="15"/>
      <c r="Q6585" s="15"/>
      <c r="R6585" s="422"/>
      <c r="S6585" s="15"/>
      <c r="T6585" s="15"/>
      <c r="U6585" s="15"/>
      <c r="V6585" s="15"/>
      <c r="W6585" s="15"/>
      <c r="X6585" s="15"/>
      <c r="Y6585" s="15"/>
      <c r="Z6585" s="15"/>
      <c r="AA6585" s="15"/>
    </row>
    <row r="6586">
      <c r="A6586" s="15"/>
      <c r="B6586" s="15"/>
      <c r="C6586" s="14"/>
      <c r="D6586" s="14"/>
      <c r="E6586" s="14"/>
      <c r="F6586" s="433"/>
      <c r="G6586" s="434"/>
      <c r="H6586" s="14"/>
      <c r="I6586" s="423"/>
      <c r="J6586" s="14"/>
      <c r="K6586" s="13"/>
      <c r="L6586" s="13"/>
      <c r="M6586" s="14"/>
      <c r="N6586" s="15"/>
      <c r="O6586" s="15"/>
      <c r="P6586" s="15"/>
      <c r="Q6586" s="15"/>
      <c r="R6586" s="422"/>
      <c r="S6586" s="15"/>
      <c r="T6586" s="15"/>
      <c r="U6586" s="15"/>
      <c r="V6586" s="15"/>
      <c r="W6586" s="15"/>
      <c r="X6586" s="15"/>
      <c r="Y6586" s="15"/>
      <c r="Z6586" s="15"/>
      <c r="AA6586" s="15"/>
    </row>
    <row r="6587">
      <c r="A6587" s="15"/>
      <c r="B6587" s="15"/>
      <c r="C6587" s="14"/>
      <c r="D6587" s="14"/>
      <c r="E6587" s="14"/>
      <c r="F6587" s="433"/>
      <c r="G6587" s="434"/>
      <c r="H6587" s="14"/>
      <c r="I6587" s="423"/>
      <c r="J6587" s="14"/>
      <c r="K6587" s="13"/>
      <c r="L6587" s="13"/>
      <c r="M6587" s="14"/>
      <c r="N6587" s="15"/>
      <c r="O6587" s="15"/>
      <c r="P6587" s="15"/>
      <c r="Q6587" s="15"/>
      <c r="R6587" s="422"/>
      <c r="S6587" s="15"/>
      <c r="T6587" s="15"/>
      <c r="U6587" s="15"/>
      <c r="V6587" s="15"/>
      <c r="W6587" s="15"/>
      <c r="X6587" s="15"/>
      <c r="Y6587" s="15"/>
      <c r="Z6587" s="15"/>
      <c r="AA6587" s="15"/>
    </row>
    <row r="6588">
      <c r="A6588" s="15"/>
      <c r="B6588" s="15"/>
      <c r="C6588" s="14"/>
      <c r="D6588" s="14"/>
      <c r="E6588" s="14"/>
      <c r="F6588" s="433"/>
      <c r="G6588" s="434"/>
      <c r="H6588" s="14"/>
      <c r="I6588" s="423"/>
      <c r="J6588" s="14"/>
      <c r="K6588" s="13"/>
      <c r="L6588" s="13"/>
      <c r="M6588" s="14"/>
      <c r="N6588" s="15"/>
      <c r="O6588" s="15"/>
      <c r="P6588" s="15"/>
      <c r="Q6588" s="15"/>
      <c r="R6588" s="422"/>
      <c r="S6588" s="15"/>
      <c r="T6588" s="15"/>
      <c r="U6588" s="15"/>
      <c r="V6588" s="15"/>
      <c r="W6588" s="15"/>
      <c r="X6588" s="15"/>
      <c r="Y6588" s="15"/>
      <c r="Z6588" s="15"/>
      <c r="AA6588" s="15"/>
    </row>
    <row r="6589">
      <c r="A6589" s="15"/>
      <c r="B6589" s="15"/>
      <c r="C6589" s="14"/>
      <c r="D6589" s="14"/>
      <c r="E6589" s="14"/>
      <c r="F6589" s="433"/>
      <c r="G6589" s="434"/>
      <c r="H6589" s="14"/>
      <c r="I6589" s="423"/>
      <c r="J6589" s="14"/>
      <c r="K6589" s="13"/>
      <c r="L6589" s="13"/>
      <c r="M6589" s="14"/>
      <c r="N6589" s="15"/>
      <c r="O6589" s="15"/>
      <c r="P6589" s="15"/>
      <c r="Q6589" s="15"/>
      <c r="R6589" s="422"/>
      <c r="S6589" s="15"/>
      <c r="T6589" s="15"/>
      <c r="U6589" s="15"/>
      <c r="V6589" s="15"/>
      <c r="W6589" s="15"/>
      <c r="X6589" s="15"/>
      <c r="Y6589" s="15"/>
      <c r="Z6589" s="15"/>
      <c r="AA6589" s="15"/>
    </row>
    <row r="6590">
      <c r="A6590" s="15"/>
      <c r="B6590" s="15"/>
      <c r="C6590" s="14"/>
      <c r="D6590" s="14"/>
      <c r="E6590" s="14"/>
      <c r="F6590" s="433"/>
      <c r="G6590" s="434"/>
      <c r="H6590" s="14"/>
      <c r="I6590" s="423"/>
      <c r="J6590" s="14"/>
      <c r="K6590" s="13"/>
      <c r="L6590" s="13"/>
      <c r="M6590" s="14"/>
      <c r="N6590" s="15"/>
      <c r="O6590" s="15"/>
      <c r="P6590" s="15"/>
      <c r="Q6590" s="15"/>
      <c r="R6590" s="422"/>
      <c r="S6590" s="15"/>
      <c r="T6590" s="15"/>
      <c r="U6590" s="15"/>
      <c r="V6590" s="15"/>
      <c r="W6590" s="15"/>
      <c r="X6590" s="15"/>
      <c r="Y6590" s="15"/>
      <c r="Z6590" s="15"/>
      <c r="AA6590" s="15"/>
    </row>
    <row r="6591">
      <c r="A6591" s="15"/>
      <c r="B6591" s="15"/>
      <c r="C6591" s="14"/>
      <c r="D6591" s="14"/>
      <c r="E6591" s="14"/>
      <c r="F6591" s="433"/>
      <c r="G6591" s="434"/>
      <c r="H6591" s="14"/>
      <c r="I6591" s="423"/>
      <c r="J6591" s="14"/>
      <c r="K6591" s="13"/>
      <c r="L6591" s="13"/>
      <c r="M6591" s="14"/>
      <c r="N6591" s="15"/>
      <c r="O6591" s="15"/>
      <c r="P6591" s="15"/>
      <c r="Q6591" s="15"/>
      <c r="R6591" s="422"/>
      <c r="S6591" s="15"/>
      <c r="T6591" s="15"/>
      <c r="U6591" s="15"/>
      <c r="V6591" s="15"/>
      <c r="W6591" s="15"/>
      <c r="X6591" s="15"/>
      <c r="Y6591" s="15"/>
      <c r="Z6591" s="15"/>
      <c r="AA6591" s="15"/>
    </row>
    <row r="6592">
      <c r="A6592" s="15"/>
      <c r="B6592" s="15"/>
      <c r="C6592" s="14"/>
      <c r="D6592" s="14"/>
      <c r="E6592" s="14"/>
      <c r="F6592" s="433"/>
      <c r="G6592" s="434"/>
      <c r="H6592" s="14"/>
      <c r="I6592" s="423"/>
      <c r="J6592" s="14"/>
      <c r="K6592" s="13"/>
      <c r="L6592" s="13"/>
      <c r="M6592" s="14"/>
      <c r="N6592" s="15"/>
      <c r="O6592" s="15"/>
      <c r="P6592" s="15"/>
      <c r="Q6592" s="15"/>
      <c r="R6592" s="422"/>
      <c r="S6592" s="15"/>
      <c r="T6592" s="15"/>
      <c r="U6592" s="15"/>
      <c r="V6592" s="15"/>
      <c r="W6592" s="15"/>
      <c r="X6592" s="15"/>
      <c r="Y6592" s="15"/>
      <c r="Z6592" s="15"/>
      <c r="AA6592" s="15"/>
    </row>
    <row r="6593">
      <c r="A6593" s="15"/>
      <c r="B6593" s="15"/>
      <c r="C6593" s="14"/>
      <c r="D6593" s="14"/>
      <c r="E6593" s="14"/>
      <c r="F6593" s="433"/>
      <c r="G6593" s="434"/>
      <c r="H6593" s="14"/>
      <c r="I6593" s="423"/>
      <c r="J6593" s="14"/>
      <c r="K6593" s="13"/>
      <c r="L6593" s="13"/>
      <c r="M6593" s="14"/>
      <c r="N6593" s="15"/>
      <c r="O6593" s="15"/>
      <c r="P6593" s="15"/>
      <c r="Q6593" s="15"/>
      <c r="R6593" s="422"/>
      <c r="S6593" s="15"/>
      <c r="T6593" s="15"/>
      <c r="U6593" s="15"/>
      <c r="V6593" s="15"/>
      <c r="W6593" s="15"/>
      <c r="X6593" s="15"/>
      <c r="Y6593" s="15"/>
      <c r="Z6593" s="15"/>
      <c r="AA6593" s="15"/>
    </row>
    <row r="6594">
      <c r="A6594" s="15"/>
      <c r="B6594" s="15"/>
      <c r="C6594" s="14"/>
      <c r="D6594" s="14"/>
      <c r="E6594" s="14"/>
      <c r="F6594" s="433"/>
      <c r="G6594" s="434"/>
      <c r="H6594" s="14"/>
      <c r="I6594" s="423"/>
      <c r="J6594" s="14"/>
      <c r="K6594" s="13"/>
      <c r="L6594" s="13"/>
      <c r="M6594" s="14"/>
      <c r="N6594" s="15"/>
      <c r="O6594" s="15"/>
      <c r="P6594" s="15"/>
      <c r="Q6594" s="15"/>
      <c r="R6594" s="422"/>
      <c r="S6594" s="15"/>
      <c r="T6594" s="15"/>
      <c r="U6594" s="15"/>
      <c r="V6594" s="15"/>
      <c r="W6594" s="15"/>
      <c r="X6594" s="15"/>
      <c r="Y6594" s="15"/>
      <c r="Z6594" s="15"/>
      <c r="AA6594" s="15"/>
    </row>
    <row r="6595">
      <c r="A6595" s="15"/>
      <c r="B6595" s="15"/>
      <c r="C6595" s="14"/>
      <c r="D6595" s="14"/>
      <c r="E6595" s="14"/>
      <c r="F6595" s="433"/>
      <c r="G6595" s="434"/>
      <c r="H6595" s="14"/>
      <c r="I6595" s="423"/>
      <c r="J6595" s="14"/>
      <c r="K6595" s="13"/>
      <c r="L6595" s="13"/>
      <c r="M6595" s="14"/>
      <c r="N6595" s="15"/>
      <c r="O6595" s="15"/>
      <c r="P6595" s="15"/>
      <c r="Q6595" s="15"/>
      <c r="R6595" s="422"/>
      <c r="S6595" s="15"/>
      <c r="T6595" s="15"/>
      <c r="U6595" s="15"/>
      <c r="V6595" s="15"/>
      <c r="W6595" s="15"/>
      <c r="X6595" s="15"/>
      <c r="Y6595" s="15"/>
      <c r="Z6595" s="15"/>
      <c r="AA6595" s="15"/>
    </row>
    <row r="6596">
      <c r="A6596" s="15"/>
      <c r="B6596" s="15"/>
      <c r="C6596" s="14"/>
      <c r="D6596" s="14"/>
      <c r="E6596" s="14"/>
      <c r="F6596" s="433"/>
      <c r="G6596" s="434"/>
      <c r="H6596" s="14"/>
      <c r="I6596" s="423"/>
      <c r="J6596" s="14"/>
      <c r="K6596" s="13"/>
      <c r="L6596" s="13"/>
      <c r="M6596" s="14"/>
      <c r="N6596" s="15"/>
      <c r="O6596" s="15"/>
      <c r="P6596" s="15"/>
      <c r="Q6596" s="15"/>
      <c r="R6596" s="422"/>
      <c r="S6596" s="15"/>
      <c r="T6596" s="15"/>
      <c r="U6596" s="15"/>
      <c r="V6596" s="15"/>
      <c r="W6596" s="15"/>
      <c r="X6596" s="15"/>
      <c r="Y6596" s="15"/>
      <c r="Z6596" s="15"/>
      <c r="AA6596" s="15"/>
    </row>
    <row r="6597">
      <c r="A6597" s="15"/>
      <c r="B6597" s="15"/>
      <c r="C6597" s="14"/>
      <c r="D6597" s="14"/>
      <c r="E6597" s="14"/>
      <c r="F6597" s="433"/>
      <c r="G6597" s="434"/>
      <c r="H6597" s="14"/>
      <c r="I6597" s="423"/>
      <c r="J6597" s="14"/>
      <c r="K6597" s="13"/>
      <c r="L6597" s="13"/>
      <c r="M6597" s="14"/>
      <c r="N6597" s="15"/>
      <c r="O6597" s="15"/>
      <c r="P6597" s="15"/>
      <c r="Q6597" s="15"/>
      <c r="R6597" s="422"/>
      <c r="S6597" s="15"/>
      <c r="T6597" s="15"/>
      <c r="U6597" s="15"/>
      <c r="V6597" s="15"/>
      <c r="W6597" s="15"/>
      <c r="X6597" s="15"/>
      <c r="Y6597" s="15"/>
      <c r="Z6597" s="15"/>
      <c r="AA6597" s="15"/>
    </row>
    <row r="6598">
      <c r="A6598" s="15"/>
      <c r="B6598" s="15"/>
      <c r="C6598" s="14"/>
      <c r="D6598" s="14"/>
      <c r="E6598" s="14"/>
      <c r="F6598" s="433"/>
      <c r="G6598" s="434"/>
      <c r="H6598" s="14"/>
      <c r="I6598" s="423"/>
      <c r="J6598" s="14"/>
      <c r="K6598" s="13"/>
      <c r="L6598" s="13"/>
      <c r="M6598" s="14"/>
      <c r="N6598" s="15"/>
      <c r="O6598" s="15"/>
      <c r="P6598" s="15"/>
      <c r="Q6598" s="15"/>
      <c r="R6598" s="422"/>
      <c r="S6598" s="15"/>
      <c r="T6598" s="15"/>
      <c r="U6598" s="15"/>
      <c r="V6598" s="15"/>
      <c r="W6598" s="15"/>
      <c r="X6598" s="15"/>
      <c r="Y6598" s="15"/>
      <c r="Z6598" s="15"/>
      <c r="AA6598" s="15"/>
    </row>
    <row r="6599">
      <c r="A6599" s="15"/>
      <c r="B6599" s="15"/>
      <c r="C6599" s="14"/>
      <c r="D6599" s="14"/>
      <c r="E6599" s="14"/>
      <c r="F6599" s="433"/>
      <c r="G6599" s="434"/>
      <c r="H6599" s="14"/>
      <c r="I6599" s="423"/>
      <c r="J6599" s="14"/>
      <c r="K6599" s="13"/>
      <c r="L6599" s="13"/>
      <c r="M6599" s="14"/>
      <c r="N6599" s="15"/>
      <c r="O6599" s="15"/>
      <c r="P6599" s="15"/>
      <c r="Q6599" s="15"/>
      <c r="R6599" s="422"/>
      <c r="S6599" s="15"/>
      <c r="T6599" s="15"/>
      <c r="U6599" s="15"/>
      <c r="V6599" s="15"/>
      <c r="W6599" s="15"/>
      <c r="X6599" s="15"/>
      <c r="Y6599" s="15"/>
      <c r="Z6599" s="15"/>
      <c r="AA6599" s="15"/>
    </row>
    <row r="6600">
      <c r="A6600" s="15"/>
      <c r="B6600" s="15"/>
      <c r="C6600" s="14"/>
      <c r="D6600" s="14"/>
      <c r="E6600" s="14"/>
      <c r="F6600" s="433"/>
      <c r="G6600" s="434"/>
      <c r="H6600" s="14"/>
      <c r="I6600" s="423"/>
      <c r="J6600" s="14"/>
      <c r="K6600" s="13"/>
      <c r="L6600" s="13"/>
      <c r="M6600" s="14"/>
      <c r="N6600" s="15"/>
      <c r="O6600" s="15"/>
      <c r="P6600" s="15"/>
      <c r="Q6600" s="15"/>
      <c r="R6600" s="422"/>
      <c r="S6600" s="15"/>
      <c r="T6600" s="15"/>
      <c r="U6600" s="15"/>
      <c r="V6600" s="15"/>
      <c r="W6600" s="15"/>
      <c r="X6600" s="15"/>
      <c r="Y6600" s="15"/>
      <c r="Z6600" s="15"/>
      <c r="AA6600" s="15"/>
    </row>
    <row r="6601">
      <c r="A6601" s="15"/>
      <c r="B6601" s="15"/>
      <c r="C6601" s="14"/>
      <c r="D6601" s="14"/>
      <c r="E6601" s="14"/>
      <c r="F6601" s="433"/>
      <c r="G6601" s="434"/>
      <c r="H6601" s="14"/>
      <c r="I6601" s="423"/>
      <c r="J6601" s="14"/>
      <c r="K6601" s="13"/>
      <c r="L6601" s="13"/>
      <c r="M6601" s="14"/>
      <c r="N6601" s="15"/>
      <c r="O6601" s="15"/>
      <c r="P6601" s="15"/>
      <c r="Q6601" s="15"/>
      <c r="R6601" s="422"/>
      <c r="S6601" s="15"/>
      <c r="T6601" s="15"/>
      <c r="U6601" s="15"/>
      <c r="V6601" s="15"/>
      <c r="W6601" s="15"/>
      <c r="X6601" s="15"/>
      <c r="Y6601" s="15"/>
      <c r="Z6601" s="15"/>
      <c r="AA6601" s="15"/>
    </row>
    <row r="6602">
      <c r="A6602" s="15"/>
      <c r="B6602" s="15"/>
      <c r="C6602" s="14"/>
      <c r="D6602" s="14"/>
      <c r="E6602" s="14"/>
      <c r="F6602" s="433"/>
      <c r="G6602" s="434"/>
      <c r="H6602" s="14"/>
      <c r="I6602" s="423"/>
      <c r="J6602" s="14"/>
      <c r="K6602" s="13"/>
      <c r="L6602" s="13"/>
      <c r="M6602" s="14"/>
      <c r="N6602" s="15"/>
      <c r="O6602" s="15"/>
      <c r="P6602" s="15"/>
      <c r="Q6602" s="15"/>
      <c r="R6602" s="422"/>
      <c r="S6602" s="15"/>
      <c r="T6602" s="15"/>
      <c r="U6602" s="15"/>
      <c r="V6602" s="15"/>
      <c r="W6602" s="15"/>
      <c r="X6602" s="15"/>
      <c r="Y6602" s="15"/>
      <c r="Z6602" s="15"/>
      <c r="AA6602" s="15"/>
    </row>
    <row r="6603">
      <c r="A6603" s="15"/>
      <c r="B6603" s="15"/>
      <c r="C6603" s="14"/>
      <c r="D6603" s="14"/>
      <c r="E6603" s="14"/>
      <c r="F6603" s="433"/>
      <c r="G6603" s="434"/>
      <c r="H6603" s="14"/>
      <c r="I6603" s="423"/>
      <c r="J6603" s="14"/>
      <c r="K6603" s="13"/>
      <c r="L6603" s="13"/>
      <c r="M6603" s="14"/>
      <c r="N6603" s="15"/>
      <c r="O6603" s="15"/>
      <c r="P6603" s="15"/>
      <c r="Q6603" s="15"/>
      <c r="R6603" s="422"/>
      <c r="S6603" s="15"/>
      <c r="T6603" s="15"/>
      <c r="U6603" s="15"/>
      <c r="V6603" s="15"/>
      <c r="W6603" s="15"/>
      <c r="X6603" s="15"/>
      <c r="Y6603" s="15"/>
      <c r="Z6603" s="15"/>
      <c r="AA6603" s="15"/>
    </row>
    <row r="6604">
      <c r="A6604" s="15"/>
      <c r="B6604" s="15"/>
      <c r="C6604" s="14"/>
      <c r="D6604" s="14"/>
      <c r="E6604" s="14"/>
      <c r="F6604" s="433"/>
      <c r="G6604" s="434"/>
      <c r="H6604" s="14"/>
      <c r="I6604" s="423"/>
      <c r="J6604" s="14"/>
      <c r="K6604" s="13"/>
      <c r="L6604" s="13"/>
      <c r="M6604" s="14"/>
      <c r="N6604" s="15"/>
      <c r="O6604" s="15"/>
      <c r="P6604" s="15"/>
      <c r="Q6604" s="15"/>
      <c r="R6604" s="422"/>
      <c r="S6604" s="15"/>
      <c r="T6604" s="15"/>
      <c r="U6604" s="15"/>
      <c r="V6604" s="15"/>
      <c r="W6604" s="15"/>
      <c r="X6604" s="15"/>
      <c r="Y6604" s="15"/>
      <c r="Z6604" s="15"/>
      <c r="AA6604" s="15"/>
    </row>
    <row r="6605">
      <c r="A6605" s="15"/>
      <c r="B6605" s="15"/>
      <c r="C6605" s="14"/>
      <c r="D6605" s="14"/>
      <c r="E6605" s="14"/>
      <c r="F6605" s="433"/>
      <c r="G6605" s="434"/>
      <c r="H6605" s="14"/>
      <c r="I6605" s="423"/>
      <c r="J6605" s="14"/>
      <c r="K6605" s="13"/>
      <c r="L6605" s="13"/>
      <c r="M6605" s="14"/>
      <c r="N6605" s="15"/>
      <c r="O6605" s="15"/>
      <c r="P6605" s="15"/>
      <c r="Q6605" s="15"/>
      <c r="R6605" s="422"/>
      <c r="S6605" s="15"/>
      <c r="T6605" s="15"/>
      <c r="U6605" s="15"/>
      <c r="V6605" s="15"/>
      <c r="W6605" s="15"/>
      <c r="X6605" s="15"/>
      <c r="Y6605" s="15"/>
      <c r="Z6605" s="15"/>
      <c r="AA6605" s="15"/>
    </row>
    <row r="6606">
      <c r="A6606" s="15"/>
      <c r="B6606" s="15"/>
      <c r="C6606" s="14"/>
      <c r="D6606" s="14"/>
      <c r="E6606" s="14"/>
      <c r="F6606" s="433"/>
      <c r="G6606" s="434"/>
      <c r="H6606" s="14"/>
      <c r="I6606" s="423"/>
      <c r="J6606" s="14"/>
      <c r="K6606" s="13"/>
      <c r="L6606" s="13"/>
      <c r="M6606" s="14"/>
      <c r="N6606" s="15"/>
      <c r="O6606" s="15"/>
      <c r="P6606" s="15"/>
      <c r="Q6606" s="15"/>
      <c r="R6606" s="422"/>
      <c r="S6606" s="15"/>
      <c r="T6606" s="15"/>
      <c r="U6606" s="15"/>
      <c r="V6606" s="15"/>
      <c r="W6606" s="15"/>
      <c r="X6606" s="15"/>
      <c r="Y6606" s="15"/>
      <c r="Z6606" s="15"/>
      <c r="AA6606" s="15"/>
    </row>
    <row r="6607">
      <c r="A6607" s="15"/>
      <c r="B6607" s="15"/>
      <c r="C6607" s="14"/>
      <c r="D6607" s="14"/>
      <c r="E6607" s="14"/>
      <c r="F6607" s="433"/>
      <c r="G6607" s="434"/>
      <c r="H6607" s="14"/>
      <c r="I6607" s="423"/>
      <c r="J6607" s="14"/>
      <c r="K6607" s="13"/>
      <c r="L6607" s="13"/>
      <c r="M6607" s="14"/>
      <c r="N6607" s="15"/>
      <c r="O6607" s="15"/>
      <c r="P6607" s="15"/>
      <c r="Q6607" s="15"/>
      <c r="R6607" s="422"/>
      <c r="S6607" s="15"/>
      <c r="T6607" s="15"/>
      <c r="U6607" s="15"/>
      <c r="V6607" s="15"/>
      <c r="W6607" s="15"/>
      <c r="X6607" s="15"/>
      <c r="Y6607" s="15"/>
      <c r="Z6607" s="15"/>
      <c r="AA6607" s="15"/>
    </row>
    <row r="6608">
      <c r="A6608" s="15"/>
      <c r="B6608" s="15"/>
      <c r="C6608" s="14"/>
      <c r="D6608" s="14"/>
      <c r="E6608" s="14"/>
      <c r="F6608" s="433"/>
      <c r="G6608" s="434"/>
      <c r="H6608" s="14"/>
      <c r="I6608" s="423"/>
      <c r="J6608" s="14"/>
      <c r="K6608" s="13"/>
      <c r="L6608" s="13"/>
      <c r="M6608" s="14"/>
      <c r="N6608" s="15"/>
      <c r="O6608" s="15"/>
      <c r="P6608" s="15"/>
      <c r="Q6608" s="15"/>
      <c r="R6608" s="422"/>
      <c r="S6608" s="15"/>
      <c r="T6608" s="15"/>
      <c r="U6608" s="15"/>
      <c r="V6608" s="15"/>
      <c r="W6608" s="15"/>
      <c r="X6608" s="15"/>
      <c r="Y6608" s="15"/>
      <c r="Z6608" s="15"/>
      <c r="AA6608" s="15"/>
    </row>
    <row r="6609">
      <c r="A6609" s="15"/>
      <c r="B6609" s="15"/>
      <c r="C6609" s="14"/>
      <c r="D6609" s="14"/>
      <c r="E6609" s="14"/>
      <c r="F6609" s="433"/>
      <c r="G6609" s="434"/>
      <c r="H6609" s="14"/>
      <c r="I6609" s="423"/>
      <c r="J6609" s="14"/>
      <c r="K6609" s="13"/>
      <c r="L6609" s="13"/>
      <c r="M6609" s="14"/>
      <c r="N6609" s="15"/>
      <c r="O6609" s="15"/>
      <c r="P6609" s="15"/>
      <c r="Q6609" s="15"/>
      <c r="R6609" s="422"/>
      <c r="S6609" s="15"/>
      <c r="T6609" s="15"/>
      <c r="U6609" s="15"/>
      <c r="V6609" s="15"/>
      <c r="W6609" s="15"/>
      <c r="X6609" s="15"/>
      <c r="Y6609" s="15"/>
      <c r="Z6609" s="15"/>
      <c r="AA6609" s="15"/>
    </row>
    <row r="6610">
      <c r="A6610" s="15"/>
      <c r="B6610" s="15"/>
      <c r="C6610" s="14"/>
      <c r="D6610" s="14"/>
      <c r="E6610" s="14"/>
      <c r="F6610" s="433"/>
      <c r="G6610" s="434"/>
      <c r="H6610" s="14"/>
      <c r="I6610" s="423"/>
      <c r="J6610" s="14"/>
      <c r="K6610" s="13"/>
      <c r="L6610" s="13"/>
      <c r="M6610" s="14"/>
      <c r="N6610" s="15"/>
      <c r="O6610" s="15"/>
      <c r="P6610" s="15"/>
      <c r="Q6610" s="15"/>
      <c r="R6610" s="422"/>
      <c r="S6610" s="15"/>
      <c r="T6610" s="15"/>
      <c r="U6610" s="15"/>
      <c r="V6610" s="15"/>
      <c r="W6610" s="15"/>
      <c r="X6610" s="15"/>
      <c r="Y6610" s="15"/>
      <c r="Z6610" s="15"/>
      <c r="AA6610" s="15"/>
    </row>
    <row r="6611">
      <c r="A6611" s="15"/>
      <c r="B6611" s="15"/>
      <c r="C6611" s="14"/>
      <c r="D6611" s="14"/>
      <c r="E6611" s="14"/>
      <c r="F6611" s="433"/>
      <c r="G6611" s="434"/>
      <c r="H6611" s="14"/>
      <c r="I6611" s="423"/>
      <c r="J6611" s="14"/>
      <c r="K6611" s="13"/>
      <c r="L6611" s="13"/>
      <c r="M6611" s="14"/>
      <c r="N6611" s="15"/>
      <c r="O6611" s="15"/>
      <c r="P6611" s="15"/>
      <c r="Q6611" s="15"/>
      <c r="R6611" s="422"/>
      <c r="S6611" s="15"/>
      <c r="T6611" s="15"/>
      <c r="U6611" s="15"/>
      <c r="V6611" s="15"/>
      <c r="W6611" s="15"/>
      <c r="X6611" s="15"/>
      <c r="Y6611" s="15"/>
      <c r="Z6611" s="15"/>
      <c r="AA6611" s="15"/>
    </row>
    <row r="6612">
      <c r="A6612" s="15"/>
      <c r="B6612" s="15"/>
      <c r="C6612" s="14"/>
      <c r="D6612" s="14"/>
      <c r="E6612" s="14"/>
      <c r="F6612" s="433"/>
      <c r="G6612" s="434"/>
      <c r="H6612" s="14"/>
      <c r="I6612" s="423"/>
      <c r="J6612" s="14"/>
      <c r="K6612" s="13"/>
      <c r="L6612" s="13"/>
      <c r="M6612" s="14"/>
      <c r="N6612" s="15"/>
      <c r="O6612" s="15"/>
      <c r="P6612" s="15"/>
      <c r="Q6612" s="15"/>
      <c r="R6612" s="422"/>
      <c r="S6612" s="15"/>
      <c r="T6612" s="15"/>
      <c r="U6612" s="15"/>
      <c r="V6612" s="15"/>
      <c r="W6612" s="15"/>
      <c r="X6612" s="15"/>
      <c r="Y6612" s="15"/>
      <c r="Z6612" s="15"/>
      <c r="AA6612" s="15"/>
    </row>
    <row r="6613">
      <c r="A6613" s="15"/>
      <c r="B6613" s="15"/>
      <c r="C6613" s="14"/>
      <c r="D6613" s="14"/>
      <c r="E6613" s="14"/>
      <c r="F6613" s="433"/>
      <c r="G6613" s="434"/>
      <c r="H6613" s="14"/>
      <c r="I6613" s="423"/>
      <c r="J6613" s="14"/>
      <c r="K6613" s="13"/>
      <c r="L6613" s="13"/>
      <c r="M6613" s="14"/>
      <c r="N6613" s="15"/>
      <c r="O6613" s="15"/>
      <c r="P6613" s="15"/>
      <c r="Q6613" s="15"/>
      <c r="R6613" s="422"/>
      <c r="S6613" s="15"/>
      <c r="T6613" s="15"/>
      <c r="U6613" s="15"/>
      <c r="V6613" s="15"/>
      <c r="W6613" s="15"/>
      <c r="X6613" s="15"/>
      <c r="Y6613" s="15"/>
      <c r="Z6613" s="15"/>
      <c r="AA6613" s="15"/>
    </row>
    <row r="6614">
      <c r="A6614" s="15"/>
      <c r="B6614" s="15"/>
      <c r="C6614" s="14"/>
      <c r="D6614" s="14"/>
      <c r="E6614" s="14"/>
      <c r="F6614" s="433"/>
      <c r="G6614" s="434"/>
      <c r="H6614" s="14"/>
      <c r="I6614" s="423"/>
      <c r="J6614" s="14"/>
      <c r="K6614" s="13"/>
      <c r="L6614" s="13"/>
      <c r="M6614" s="14"/>
      <c r="N6614" s="15"/>
      <c r="O6614" s="15"/>
      <c r="P6614" s="15"/>
      <c r="Q6614" s="15"/>
      <c r="R6614" s="422"/>
      <c r="S6614" s="15"/>
      <c r="T6614" s="15"/>
      <c r="U6614" s="15"/>
      <c r="V6614" s="15"/>
      <c r="W6614" s="15"/>
      <c r="X6614" s="15"/>
      <c r="Y6614" s="15"/>
      <c r="Z6614" s="15"/>
      <c r="AA6614" s="15"/>
    </row>
    <row r="6615">
      <c r="A6615" s="15"/>
      <c r="B6615" s="15"/>
      <c r="C6615" s="14"/>
      <c r="D6615" s="14"/>
      <c r="E6615" s="14"/>
      <c r="F6615" s="433"/>
      <c r="G6615" s="434"/>
      <c r="H6615" s="14"/>
      <c r="I6615" s="423"/>
      <c r="J6615" s="14"/>
      <c r="K6615" s="13"/>
      <c r="L6615" s="13"/>
      <c r="M6615" s="14"/>
      <c r="N6615" s="15"/>
      <c r="O6615" s="15"/>
      <c r="P6615" s="15"/>
      <c r="Q6615" s="15"/>
      <c r="R6615" s="422"/>
      <c r="S6615" s="15"/>
      <c r="T6615" s="15"/>
      <c r="U6615" s="15"/>
      <c r="V6615" s="15"/>
      <c r="W6615" s="15"/>
      <c r="X6615" s="15"/>
      <c r="Y6615" s="15"/>
      <c r="Z6615" s="15"/>
      <c r="AA6615" s="15"/>
    </row>
    <row r="6616">
      <c r="A6616" s="15"/>
      <c r="B6616" s="15"/>
      <c r="C6616" s="14"/>
      <c r="D6616" s="14"/>
      <c r="E6616" s="14"/>
      <c r="F6616" s="433"/>
      <c r="G6616" s="434"/>
      <c r="H6616" s="14"/>
      <c r="I6616" s="423"/>
      <c r="J6616" s="14"/>
      <c r="K6616" s="13"/>
      <c r="L6616" s="13"/>
      <c r="M6616" s="14"/>
      <c r="N6616" s="15"/>
      <c r="O6616" s="15"/>
      <c r="P6616" s="15"/>
      <c r="Q6616" s="15"/>
      <c r="R6616" s="422"/>
      <c r="S6616" s="15"/>
      <c r="T6616" s="15"/>
      <c r="U6616" s="15"/>
      <c r="V6616" s="15"/>
      <c r="W6616" s="15"/>
      <c r="X6616" s="15"/>
      <c r="Y6616" s="15"/>
      <c r="Z6616" s="15"/>
      <c r="AA6616" s="15"/>
    </row>
    <row r="6617">
      <c r="A6617" s="15"/>
      <c r="B6617" s="15"/>
      <c r="C6617" s="14"/>
      <c r="D6617" s="14"/>
      <c r="E6617" s="14"/>
      <c r="F6617" s="433"/>
      <c r="G6617" s="434"/>
      <c r="H6617" s="14"/>
      <c r="I6617" s="423"/>
      <c r="J6617" s="14"/>
      <c r="K6617" s="13"/>
      <c r="L6617" s="13"/>
      <c r="M6617" s="14"/>
      <c r="N6617" s="15"/>
      <c r="O6617" s="15"/>
      <c r="P6617" s="15"/>
      <c r="Q6617" s="15"/>
      <c r="R6617" s="422"/>
      <c r="S6617" s="15"/>
      <c r="T6617" s="15"/>
      <c r="U6617" s="15"/>
      <c r="V6617" s="15"/>
      <c r="W6617" s="15"/>
      <c r="X6617" s="15"/>
      <c r="Y6617" s="15"/>
      <c r="Z6617" s="15"/>
      <c r="AA6617" s="15"/>
    </row>
    <row r="6618">
      <c r="A6618" s="15"/>
      <c r="B6618" s="15"/>
      <c r="C6618" s="14"/>
      <c r="D6618" s="14"/>
      <c r="E6618" s="14"/>
      <c r="F6618" s="433"/>
      <c r="G6618" s="434"/>
      <c r="H6618" s="14"/>
      <c r="I6618" s="423"/>
      <c r="J6618" s="14"/>
      <c r="K6618" s="13"/>
      <c r="L6618" s="13"/>
      <c r="M6618" s="14"/>
      <c r="N6618" s="15"/>
      <c r="O6618" s="15"/>
      <c r="P6618" s="15"/>
      <c r="Q6618" s="15"/>
      <c r="R6618" s="422"/>
      <c r="S6618" s="15"/>
      <c r="T6618" s="15"/>
      <c r="U6618" s="15"/>
      <c r="V6618" s="15"/>
      <c r="W6618" s="15"/>
      <c r="X6618" s="15"/>
      <c r="Y6618" s="15"/>
      <c r="Z6618" s="15"/>
      <c r="AA6618" s="15"/>
    </row>
    <row r="6619">
      <c r="A6619" s="15"/>
      <c r="B6619" s="15"/>
      <c r="C6619" s="14"/>
      <c r="D6619" s="14"/>
      <c r="E6619" s="14"/>
      <c r="F6619" s="433"/>
      <c r="G6619" s="434"/>
      <c r="H6619" s="14"/>
      <c r="I6619" s="423"/>
      <c r="J6619" s="14"/>
      <c r="K6619" s="13"/>
      <c r="L6619" s="13"/>
      <c r="M6619" s="14"/>
      <c r="N6619" s="15"/>
      <c r="O6619" s="15"/>
      <c r="P6619" s="15"/>
      <c r="Q6619" s="15"/>
      <c r="R6619" s="422"/>
      <c r="S6619" s="15"/>
      <c r="T6619" s="15"/>
      <c r="U6619" s="15"/>
      <c r="V6619" s="15"/>
      <c r="W6619" s="15"/>
      <c r="X6619" s="15"/>
      <c r="Y6619" s="15"/>
      <c r="Z6619" s="15"/>
      <c r="AA6619" s="15"/>
    </row>
    <row r="6620">
      <c r="A6620" s="15"/>
      <c r="B6620" s="15"/>
      <c r="C6620" s="14"/>
      <c r="D6620" s="14"/>
      <c r="E6620" s="14"/>
      <c r="F6620" s="433"/>
      <c r="G6620" s="434"/>
      <c r="H6620" s="14"/>
      <c r="I6620" s="423"/>
      <c r="J6620" s="14"/>
      <c r="K6620" s="13"/>
      <c r="L6620" s="13"/>
      <c r="M6620" s="14"/>
      <c r="N6620" s="15"/>
      <c r="O6620" s="15"/>
      <c r="P6620" s="15"/>
      <c r="Q6620" s="15"/>
      <c r="R6620" s="422"/>
      <c r="S6620" s="15"/>
      <c r="T6620" s="15"/>
      <c r="U6620" s="15"/>
      <c r="V6620" s="15"/>
      <c r="W6620" s="15"/>
      <c r="X6620" s="15"/>
      <c r="Y6620" s="15"/>
      <c r="Z6620" s="15"/>
      <c r="AA6620" s="15"/>
    </row>
    <row r="6621">
      <c r="A6621" s="15"/>
      <c r="B6621" s="15"/>
      <c r="C6621" s="14"/>
      <c r="D6621" s="14"/>
      <c r="E6621" s="14"/>
      <c r="F6621" s="433"/>
      <c r="G6621" s="434"/>
      <c r="H6621" s="14"/>
      <c r="I6621" s="423"/>
      <c r="J6621" s="14"/>
      <c r="K6621" s="13"/>
      <c r="L6621" s="13"/>
      <c r="M6621" s="14"/>
      <c r="N6621" s="15"/>
      <c r="O6621" s="15"/>
      <c r="P6621" s="15"/>
      <c r="Q6621" s="15"/>
      <c r="R6621" s="422"/>
      <c r="S6621" s="15"/>
      <c r="T6621" s="15"/>
      <c r="U6621" s="15"/>
      <c r="V6621" s="15"/>
      <c r="W6621" s="15"/>
      <c r="X6621" s="15"/>
      <c r="Y6621" s="15"/>
      <c r="Z6621" s="15"/>
      <c r="AA6621" s="15"/>
    </row>
    <row r="6622">
      <c r="A6622" s="15"/>
      <c r="B6622" s="15"/>
      <c r="C6622" s="14"/>
      <c r="D6622" s="14"/>
      <c r="E6622" s="14"/>
      <c r="F6622" s="433"/>
      <c r="G6622" s="434"/>
      <c r="H6622" s="14"/>
      <c r="I6622" s="423"/>
      <c r="J6622" s="14"/>
      <c r="K6622" s="13"/>
      <c r="L6622" s="13"/>
      <c r="M6622" s="14"/>
      <c r="N6622" s="15"/>
      <c r="O6622" s="15"/>
      <c r="P6622" s="15"/>
      <c r="Q6622" s="15"/>
      <c r="R6622" s="422"/>
      <c r="S6622" s="15"/>
      <c r="T6622" s="15"/>
      <c r="U6622" s="15"/>
      <c r="V6622" s="15"/>
      <c r="W6622" s="15"/>
      <c r="X6622" s="15"/>
      <c r="Y6622" s="15"/>
      <c r="Z6622" s="15"/>
      <c r="AA6622" s="15"/>
    </row>
    <row r="6623">
      <c r="A6623" s="15"/>
      <c r="B6623" s="15"/>
      <c r="C6623" s="14"/>
      <c r="D6623" s="14"/>
      <c r="E6623" s="14"/>
      <c r="F6623" s="433"/>
      <c r="G6623" s="434"/>
      <c r="H6623" s="14"/>
      <c r="I6623" s="423"/>
      <c r="J6623" s="14"/>
      <c r="K6623" s="13"/>
      <c r="L6623" s="13"/>
      <c r="M6623" s="14"/>
      <c r="N6623" s="15"/>
      <c r="O6623" s="15"/>
      <c r="P6623" s="15"/>
      <c r="Q6623" s="15"/>
      <c r="R6623" s="422"/>
      <c r="S6623" s="15"/>
      <c r="T6623" s="15"/>
      <c r="U6623" s="15"/>
      <c r="V6623" s="15"/>
      <c r="W6623" s="15"/>
      <c r="X6623" s="15"/>
      <c r="Y6623" s="15"/>
      <c r="Z6623" s="15"/>
      <c r="AA6623" s="15"/>
    </row>
    <row r="6624">
      <c r="A6624" s="15"/>
      <c r="B6624" s="15"/>
      <c r="C6624" s="14"/>
      <c r="D6624" s="14"/>
      <c r="E6624" s="14"/>
      <c r="F6624" s="433"/>
      <c r="G6624" s="434"/>
      <c r="H6624" s="14"/>
      <c r="I6624" s="423"/>
      <c r="J6624" s="14"/>
      <c r="K6624" s="13"/>
      <c r="L6624" s="13"/>
      <c r="M6624" s="14"/>
      <c r="N6624" s="15"/>
      <c r="O6624" s="15"/>
      <c r="P6624" s="15"/>
      <c r="Q6624" s="15"/>
      <c r="R6624" s="422"/>
      <c r="S6624" s="15"/>
      <c r="T6624" s="15"/>
      <c r="U6624" s="15"/>
      <c r="V6624" s="15"/>
      <c r="W6624" s="15"/>
      <c r="X6624" s="15"/>
      <c r="Y6624" s="15"/>
      <c r="Z6624" s="15"/>
      <c r="AA6624" s="15"/>
    </row>
    <row r="6625">
      <c r="A6625" s="15"/>
      <c r="B6625" s="15"/>
      <c r="C6625" s="14"/>
      <c r="D6625" s="14"/>
      <c r="E6625" s="14"/>
      <c r="F6625" s="433"/>
      <c r="G6625" s="434"/>
      <c r="H6625" s="14"/>
      <c r="I6625" s="423"/>
      <c r="J6625" s="14"/>
      <c r="K6625" s="13"/>
      <c r="L6625" s="13"/>
      <c r="M6625" s="14"/>
      <c r="N6625" s="15"/>
      <c r="O6625" s="15"/>
      <c r="P6625" s="15"/>
      <c r="Q6625" s="15"/>
      <c r="R6625" s="422"/>
      <c r="S6625" s="15"/>
      <c r="T6625" s="15"/>
      <c r="U6625" s="15"/>
      <c r="V6625" s="15"/>
      <c r="W6625" s="15"/>
      <c r="X6625" s="15"/>
      <c r="Y6625" s="15"/>
      <c r="Z6625" s="15"/>
      <c r="AA6625" s="15"/>
    </row>
    <row r="6626">
      <c r="A6626" s="15"/>
      <c r="B6626" s="15"/>
      <c r="C6626" s="14"/>
      <c r="D6626" s="14"/>
      <c r="E6626" s="14"/>
      <c r="F6626" s="433"/>
      <c r="G6626" s="434"/>
      <c r="H6626" s="14"/>
      <c r="I6626" s="423"/>
      <c r="J6626" s="14"/>
      <c r="K6626" s="13"/>
      <c r="L6626" s="13"/>
      <c r="M6626" s="14"/>
      <c r="N6626" s="15"/>
      <c r="O6626" s="15"/>
      <c r="P6626" s="15"/>
      <c r="Q6626" s="15"/>
      <c r="R6626" s="422"/>
      <c r="S6626" s="15"/>
      <c r="T6626" s="15"/>
      <c r="U6626" s="15"/>
      <c r="V6626" s="15"/>
      <c r="W6626" s="15"/>
      <c r="X6626" s="15"/>
      <c r="Y6626" s="15"/>
      <c r="Z6626" s="15"/>
      <c r="AA6626" s="15"/>
    </row>
    <row r="6627">
      <c r="A6627" s="15"/>
      <c r="B6627" s="15"/>
      <c r="C6627" s="14"/>
      <c r="D6627" s="14"/>
      <c r="E6627" s="14"/>
      <c r="F6627" s="433"/>
      <c r="G6627" s="434"/>
      <c r="H6627" s="14"/>
      <c r="I6627" s="423"/>
      <c r="J6627" s="14"/>
      <c r="K6627" s="13"/>
      <c r="L6627" s="13"/>
      <c r="M6627" s="14"/>
      <c r="N6627" s="15"/>
      <c r="O6627" s="15"/>
      <c r="P6627" s="15"/>
      <c r="Q6627" s="15"/>
      <c r="R6627" s="422"/>
      <c r="S6627" s="15"/>
      <c r="T6627" s="15"/>
      <c r="U6627" s="15"/>
      <c r="V6627" s="15"/>
      <c r="W6627" s="15"/>
      <c r="X6627" s="15"/>
      <c r="Y6627" s="15"/>
      <c r="Z6627" s="15"/>
      <c r="AA6627" s="15"/>
    </row>
    <row r="6628">
      <c r="A6628" s="15"/>
      <c r="B6628" s="15"/>
      <c r="C6628" s="14"/>
      <c r="D6628" s="14"/>
      <c r="E6628" s="14"/>
      <c r="F6628" s="433"/>
      <c r="G6628" s="434"/>
      <c r="H6628" s="14"/>
      <c r="I6628" s="423"/>
      <c r="J6628" s="14"/>
      <c r="K6628" s="13"/>
      <c r="L6628" s="13"/>
      <c r="M6628" s="14"/>
      <c r="N6628" s="15"/>
      <c r="O6628" s="15"/>
      <c r="P6628" s="15"/>
      <c r="Q6628" s="15"/>
      <c r="R6628" s="422"/>
      <c r="S6628" s="15"/>
      <c r="T6628" s="15"/>
      <c r="U6628" s="15"/>
      <c r="V6628" s="15"/>
      <c r="W6628" s="15"/>
      <c r="X6628" s="15"/>
      <c r="Y6628" s="15"/>
      <c r="Z6628" s="15"/>
      <c r="AA6628" s="15"/>
    </row>
    <row r="6629">
      <c r="A6629" s="15"/>
      <c r="B6629" s="15"/>
      <c r="C6629" s="14"/>
      <c r="D6629" s="14"/>
      <c r="E6629" s="14"/>
      <c r="F6629" s="433"/>
      <c r="G6629" s="434"/>
      <c r="H6629" s="14"/>
      <c r="I6629" s="423"/>
      <c r="J6629" s="14"/>
      <c r="K6629" s="13"/>
      <c r="L6629" s="13"/>
      <c r="M6629" s="14"/>
      <c r="N6629" s="15"/>
      <c r="O6629" s="15"/>
      <c r="P6629" s="15"/>
      <c r="Q6629" s="15"/>
      <c r="R6629" s="422"/>
      <c r="S6629" s="15"/>
      <c r="T6629" s="15"/>
      <c r="U6629" s="15"/>
      <c r="V6629" s="15"/>
      <c r="W6629" s="15"/>
      <c r="X6629" s="15"/>
      <c r="Y6629" s="15"/>
      <c r="Z6629" s="15"/>
      <c r="AA6629" s="15"/>
    </row>
    <row r="6630">
      <c r="A6630" s="15"/>
      <c r="B6630" s="15"/>
      <c r="C6630" s="14"/>
      <c r="D6630" s="14"/>
      <c r="E6630" s="14"/>
      <c r="F6630" s="433"/>
      <c r="G6630" s="434"/>
      <c r="H6630" s="14"/>
      <c r="I6630" s="423"/>
      <c r="J6630" s="14"/>
      <c r="K6630" s="13"/>
      <c r="L6630" s="13"/>
      <c r="M6630" s="14"/>
      <c r="N6630" s="15"/>
      <c r="O6630" s="15"/>
      <c r="P6630" s="15"/>
      <c r="Q6630" s="15"/>
      <c r="R6630" s="422"/>
      <c r="S6630" s="15"/>
      <c r="T6630" s="15"/>
      <c r="U6630" s="15"/>
      <c r="V6630" s="15"/>
      <c r="W6630" s="15"/>
      <c r="X6630" s="15"/>
      <c r="Y6630" s="15"/>
      <c r="Z6630" s="15"/>
      <c r="AA6630" s="15"/>
    </row>
    <row r="6631">
      <c r="A6631" s="15"/>
      <c r="B6631" s="15"/>
      <c r="C6631" s="14"/>
      <c r="D6631" s="14"/>
      <c r="E6631" s="14"/>
      <c r="F6631" s="433"/>
      <c r="G6631" s="434"/>
      <c r="H6631" s="14"/>
      <c r="I6631" s="423"/>
      <c r="J6631" s="14"/>
      <c r="K6631" s="13"/>
      <c r="L6631" s="13"/>
      <c r="M6631" s="14"/>
      <c r="N6631" s="15"/>
      <c r="O6631" s="15"/>
      <c r="P6631" s="15"/>
      <c r="Q6631" s="15"/>
      <c r="R6631" s="422"/>
      <c r="S6631" s="15"/>
      <c r="T6631" s="15"/>
      <c r="U6631" s="15"/>
      <c r="V6631" s="15"/>
      <c r="W6631" s="15"/>
      <c r="X6631" s="15"/>
      <c r="Y6631" s="15"/>
      <c r="Z6631" s="15"/>
      <c r="AA6631" s="15"/>
    </row>
    <row r="6632">
      <c r="A6632" s="15"/>
      <c r="B6632" s="15"/>
      <c r="C6632" s="14"/>
      <c r="D6632" s="14"/>
      <c r="E6632" s="14"/>
      <c r="F6632" s="433"/>
      <c r="G6632" s="434"/>
      <c r="H6632" s="14"/>
      <c r="I6632" s="423"/>
      <c r="J6632" s="14"/>
      <c r="K6632" s="13"/>
      <c r="L6632" s="13"/>
      <c r="M6632" s="14"/>
      <c r="N6632" s="15"/>
      <c r="O6632" s="15"/>
      <c r="P6632" s="15"/>
      <c r="Q6632" s="15"/>
      <c r="R6632" s="422"/>
      <c r="S6632" s="15"/>
      <c r="T6632" s="15"/>
      <c r="U6632" s="15"/>
      <c r="V6632" s="15"/>
      <c r="W6632" s="15"/>
      <c r="X6632" s="15"/>
      <c r="Y6632" s="15"/>
      <c r="Z6632" s="15"/>
      <c r="AA6632" s="15"/>
    </row>
    <row r="6633">
      <c r="A6633" s="15"/>
      <c r="B6633" s="15"/>
      <c r="C6633" s="14"/>
      <c r="D6633" s="14"/>
      <c r="E6633" s="14"/>
      <c r="F6633" s="433"/>
      <c r="G6633" s="434"/>
      <c r="H6633" s="14"/>
      <c r="I6633" s="423"/>
      <c r="J6633" s="14"/>
      <c r="K6633" s="13"/>
      <c r="L6633" s="13"/>
      <c r="M6633" s="14"/>
      <c r="N6633" s="15"/>
      <c r="O6633" s="15"/>
      <c r="P6633" s="15"/>
      <c r="Q6633" s="15"/>
      <c r="R6633" s="422"/>
      <c r="S6633" s="15"/>
      <c r="T6633" s="15"/>
      <c r="U6633" s="15"/>
      <c r="V6633" s="15"/>
      <c r="W6633" s="15"/>
      <c r="X6633" s="15"/>
      <c r="Y6633" s="15"/>
      <c r="Z6633" s="15"/>
      <c r="AA6633" s="15"/>
    </row>
    <row r="6634">
      <c r="A6634" s="15"/>
      <c r="B6634" s="15"/>
      <c r="C6634" s="14"/>
      <c r="D6634" s="14"/>
      <c r="E6634" s="14"/>
      <c r="F6634" s="433"/>
      <c r="G6634" s="434"/>
      <c r="H6634" s="14"/>
      <c r="I6634" s="423"/>
      <c r="J6634" s="14"/>
      <c r="K6634" s="13"/>
      <c r="L6634" s="13"/>
      <c r="M6634" s="14"/>
      <c r="N6634" s="15"/>
      <c r="O6634" s="15"/>
      <c r="P6634" s="15"/>
      <c r="Q6634" s="15"/>
      <c r="R6634" s="422"/>
      <c r="S6634" s="15"/>
      <c r="T6634" s="15"/>
      <c r="U6634" s="15"/>
      <c r="V6634" s="15"/>
      <c r="W6634" s="15"/>
      <c r="X6634" s="15"/>
      <c r="Y6634" s="15"/>
      <c r="Z6634" s="15"/>
      <c r="AA6634" s="15"/>
    </row>
    <row r="6635">
      <c r="A6635" s="15"/>
      <c r="B6635" s="15"/>
      <c r="C6635" s="14"/>
      <c r="D6635" s="14"/>
      <c r="E6635" s="14"/>
      <c r="F6635" s="433"/>
      <c r="G6635" s="434"/>
      <c r="H6635" s="14"/>
      <c r="I6635" s="423"/>
      <c r="J6635" s="14"/>
      <c r="K6635" s="13"/>
      <c r="L6635" s="13"/>
      <c r="M6635" s="14"/>
      <c r="N6635" s="15"/>
      <c r="O6635" s="15"/>
      <c r="P6635" s="15"/>
      <c r="Q6635" s="15"/>
      <c r="R6635" s="422"/>
      <c r="S6635" s="15"/>
      <c r="T6635" s="15"/>
      <c r="U6635" s="15"/>
      <c r="V6635" s="15"/>
      <c r="W6635" s="15"/>
      <c r="X6635" s="15"/>
      <c r="Y6635" s="15"/>
      <c r="Z6635" s="15"/>
      <c r="AA6635" s="15"/>
    </row>
    <row r="6636">
      <c r="A6636" s="15"/>
      <c r="B6636" s="15"/>
      <c r="C6636" s="14"/>
      <c r="D6636" s="14"/>
      <c r="E6636" s="14"/>
      <c r="F6636" s="433"/>
      <c r="G6636" s="434"/>
      <c r="H6636" s="14"/>
      <c r="I6636" s="423"/>
      <c r="J6636" s="14"/>
      <c r="K6636" s="13"/>
      <c r="L6636" s="13"/>
      <c r="M6636" s="14"/>
      <c r="N6636" s="15"/>
      <c r="O6636" s="15"/>
      <c r="P6636" s="15"/>
      <c r="Q6636" s="15"/>
      <c r="R6636" s="422"/>
      <c r="S6636" s="15"/>
      <c r="T6636" s="15"/>
      <c r="U6636" s="15"/>
      <c r="V6636" s="15"/>
      <c r="W6636" s="15"/>
      <c r="X6636" s="15"/>
      <c r="Y6636" s="15"/>
      <c r="Z6636" s="15"/>
      <c r="AA6636" s="15"/>
    </row>
    <row r="6637">
      <c r="A6637" s="15"/>
      <c r="B6637" s="15"/>
      <c r="C6637" s="14"/>
      <c r="D6637" s="14"/>
      <c r="E6637" s="14"/>
      <c r="F6637" s="433"/>
      <c r="G6637" s="434"/>
      <c r="H6637" s="14"/>
      <c r="I6637" s="423"/>
      <c r="J6637" s="14"/>
      <c r="K6637" s="13"/>
      <c r="L6637" s="13"/>
      <c r="M6637" s="14"/>
      <c r="N6637" s="15"/>
      <c r="O6637" s="15"/>
      <c r="P6637" s="15"/>
      <c r="Q6637" s="15"/>
      <c r="R6637" s="422"/>
      <c r="S6637" s="15"/>
      <c r="T6637" s="15"/>
      <c r="U6637" s="15"/>
      <c r="V6637" s="15"/>
      <c r="W6637" s="15"/>
      <c r="X6637" s="15"/>
      <c r="Y6637" s="15"/>
      <c r="Z6637" s="15"/>
      <c r="AA6637" s="15"/>
    </row>
    <row r="6638">
      <c r="A6638" s="15"/>
      <c r="B6638" s="15"/>
      <c r="C6638" s="14"/>
      <c r="D6638" s="14"/>
      <c r="E6638" s="14"/>
      <c r="F6638" s="433"/>
      <c r="G6638" s="434"/>
      <c r="H6638" s="14"/>
      <c r="I6638" s="423"/>
      <c r="J6638" s="14"/>
      <c r="K6638" s="13"/>
      <c r="L6638" s="13"/>
      <c r="M6638" s="14"/>
      <c r="N6638" s="15"/>
      <c r="O6638" s="15"/>
      <c r="P6638" s="15"/>
      <c r="Q6638" s="15"/>
      <c r="R6638" s="422"/>
      <c r="S6638" s="15"/>
      <c r="T6638" s="15"/>
      <c r="U6638" s="15"/>
      <c r="V6638" s="15"/>
      <c r="W6638" s="15"/>
      <c r="X6638" s="15"/>
      <c r="Y6638" s="15"/>
      <c r="Z6638" s="15"/>
      <c r="AA6638" s="15"/>
    </row>
    <row r="6639">
      <c r="A6639" s="15"/>
      <c r="B6639" s="15"/>
      <c r="C6639" s="14"/>
      <c r="D6639" s="14"/>
      <c r="E6639" s="14"/>
      <c r="F6639" s="433"/>
      <c r="G6639" s="434"/>
      <c r="H6639" s="14"/>
      <c r="I6639" s="423"/>
      <c r="J6639" s="14"/>
      <c r="K6639" s="13"/>
      <c r="L6639" s="13"/>
      <c r="M6639" s="14"/>
      <c r="N6639" s="15"/>
      <c r="O6639" s="15"/>
      <c r="P6639" s="15"/>
      <c r="Q6639" s="15"/>
      <c r="R6639" s="422"/>
      <c r="S6639" s="15"/>
      <c r="T6639" s="15"/>
      <c r="U6639" s="15"/>
      <c r="V6639" s="15"/>
      <c r="W6639" s="15"/>
      <c r="X6639" s="15"/>
      <c r="Y6639" s="15"/>
      <c r="Z6639" s="15"/>
      <c r="AA6639" s="15"/>
    </row>
    <row r="6640">
      <c r="A6640" s="15"/>
      <c r="B6640" s="15"/>
      <c r="C6640" s="14"/>
      <c r="D6640" s="14"/>
      <c r="E6640" s="14"/>
      <c r="F6640" s="433"/>
      <c r="G6640" s="434"/>
      <c r="H6640" s="14"/>
      <c r="I6640" s="423"/>
      <c r="J6640" s="14"/>
      <c r="K6640" s="13"/>
      <c r="L6640" s="13"/>
      <c r="M6640" s="14"/>
      <c r="N6640" s="15"/>
      <c r="O6640" s="15"/>
      <c r="P6640" s="15"/>
      <c r="Q6640" s="15"/>
      <c r="R6640" s="422"/>
      <c r="S6640" s="15"/>
      <c r="T6640" s="15"/>
      <c r="U6640" s="15"/>
      <c r="V6640" s="15"/>
      <c r="W6640" s="15"/>
      <c r="X6640" s="15"/>
      <c r="Y6640" s="15"/>
      <c r="Z6640" s="15"/>
      <c r="AA6640" s="15"/>
    </row>
    <row r="6641">
      <c r="A6641" s="15"/>
      <c r="B6641" s="15"/>
      <c r="C6641" s="14"/>
      <c r="D6641" s="14"/>
      <c r="E6641" s="14"/>
      <c r="F6641" s="433"/>
      <c r="G6641" s="434"/>
      <c r="H6641" s="14"/>
      <c r="I6641" s="423"/>
      <c r="J6641" s="14"/>
      <c r="K6641" s="13"/>
      <c r="L6641" s="13"/>
      <c r="M6641" s="14"/>
      <c r="N6641" s="15"/>
      <c r="O6641" s="15"/>
      <c r="P6641" s="15"/>
      <c r="Q6641" s="15"/>
      <c r="R6641" s="422"/>
      <c r="S6641" s="15"/>
      <c r="T6641" s="15"/>
      <c r="U6641" s="15"/>
      <c r="V6641" s="15"/>
      <c r="W6641" s="15"/>
      <c r="X6641" s="15"/>
      <c r="Y6641" s="15"/>
      <c r="Z6641" s="15"/>
      <c r="AA6641" s="15"/>
    </row>
    <row r="6642">
      <c r="A6642" s="15"/>
      <c r="B6642" s="15"/>
      <c r="C6642" s="14"/>
      <c r="D6642" s="14"/>
      <c r="E6642" s="14"/>
      <c r="F6642" s="433"/>
      <c r="G6642" s="434"/>
      <c r="H6642" s="14"/>
      <c r="I6642" s="423"/>
      <c r="J6642" s="14"/>
      <c r="K6642" s="13"/>
      <c r="L6642" s="13"/>
      <c r="M6642" s="14"/>
      <c r="N6642" s="15"/>
      <c r="O6642" s="15"/>
      <c r="P6642" s="15"/>
      <c r="Q6642" s="15"/>
      <c r="R6642" s="422"/>
      <c r="S6642" s="15"/>
      <c r="T6642" s="15"/>
      <c r="U6642" s="15"/>
      <c r="V6642" s="15"/>
      <c r="W6642" s="15"/>
      <c r="X6642" s="15"/>
      <c r="Y6642" s="15"/>
      <c r="Z6642" s="15"/>
      <c r="AA6642" s="15"/>
    </row>
    <row r="6643">
      <c r="A6643" s="15"/>
      <c r="B6643" s="15"/>
      <c r="C6643" s="14"/>
      <c r="D6643" s="14"/>
      <c r="E6643" s="14"/>
      <c r="F6643" s="433"/>
      <c r="G6643" s="434"/>
      <c r="H6643" s="14"/>
      <c r="I6643" s="423"/>
      <c r="J6643" s="14"/>
      <c r="K6643" s="13"/>
      <c r="L6643" s="13"/>
      <c r="M6643" s="14"/>
      <c r="N6643" s="15"/>
      <c r="O6643" s="15"/>
      <c r="P6643" s="15"/>
      <c r="Q6643" s="15"/>
      <c r="R6643" s="422"/>
      <c r="S6643" s="15"/>
      <c r="T6643" s="15"/>
      <c r="U6643" s="15"/>
      <c r="V6643" s="15"/>
      <c r="W6643" s="15"/>
      <c r="X6643" s="15"/>
      <c r="Y6643" s="15"/>
      <c r="Z6643" s="15"/>
      <c r="AA6643" s="15"/>
    </row>
    <row r="6644">
      <c r="A6644" s="15"/>
      <c r="B6644" s="15"/>
      <c r="C6644" s="14"/>
      <c r="D6644" s="14"/>
      <c r="E6644" s="14"/>
      <c r="F6644" s="433"/>
      <c r="G6644" s="434"/>
      <c r="H6644" s="14"/>
      <c r="I6644" s="423"/>
      <c r="J6644" s="14"/>
      <c r="K6644" s="13"/>
      <c r="L6644" s="13"/>
      <c r="M6644" s="14"/>
      <c r="N6644" s="15"/>
      <c r="O6644" s="15"/>
      <c r="P6644" s="15"/>
      <c r="Q6644" s="15"/>
      <c r="R6644" s="422"/>
      <c r="S6644" s="15"/>
      <c r="T6644" s="15"/>
      <c r="U6644" s="15"/>
      <c r="V6644" s="15"/>
      <c r="W6644" s="15"/>
      <c r="X6644" s="15"/>
      <c r="Y6644" s="15"/>
      <c r="Z6644" s="15"/>
      <c r="AA6644" s="15"/>
    </row>
    <row r="6645">
      <c r="A6645" s="15"/>
      <c r="B6645" s="15"/>
      <c r="C6645" s="14"/>
      <c r="D6645" s="14"/>
      <c r="E6645" s="14"/>
      <c r="F6645" s="433"/>
      <c r="G6645" s="434"/>
      <c r="H6645" s="14"/>
      <c r="I6645" s="423"/>
      <c r="J6645" s="14"/>
      <c r="K6645" s="13"/>
      <c r="L6645" s="13"/>
      <c r="M6645" s="14"/>
      <c r="N6645" s="15"/>
      <c r="O6645" s="15"/>
      <c r="P6645" s="15"/>
      <c r="Q6645" s="15"/>
      <c r="R6645" s="422"/>
      <c r="S6645" s="15"/>
      <c r="T6645" s="15"/>
      <c r="U6645" s="15"/>
      <c r="V6645" s="15"/>
      <c r="W6645" s="15"/>
      <c r="X6645" s="15"/>
      <c r="Y6645" s="15"/>
      <c r="Z6645" s="15"/>
      <c r="AA6645" s="15"/>
    </row>
    <row r="6646">
      <c r="A6646" s="15"/>
      <c r="B6646" s="15"/>
      <c r="C6646" s="14"/>
      <c r="D6646" s="14"/>
      <c r="E6646" s="14"/>
      <c r="F6646" s="433"/>
      <c r="G6646" s="434"/>
      <c r="H6646" s="14"/>
      <c r="I6646" s="423"/>
      <c r="J6646" s="14"/>
      <c r="K6646" s="13"/>
      <c r="L6646" s="13"/>
      <c r="M6646" s="14"/>
      <c r="N6646" s="15"/>
      <c r="O6646" s="15"/>
      <c r="P6646" s="15"/>
      <c r="Q6646" s="15"/>
      <c r="R6646" s="422"/>
      <c r="S6646" s="15"/>
      <c r="T6646" s="15"/>
      <c r="U6646" s="15"/>
      <c r="V6646" s="15"/>
      <c r="W6646" s="15"/>
      <c r="X6646" s="15"/>
      <c r="Y6646" s="15"/>
      <c r="Z6646" s="15"/>
      <c r="AA6646" s="15"/>
    </row>
    <row r="6647">
      <c r="A6647" s="15"/>
      <c r="B6647" s="15"/>
      <c r="C6647" s="14"/>
      <c r="D6647" s="14"/>
      <c r="E6647" s="14"/>
      <c r="F6647" s="433"/>
      <c r="G6647" s="434"/>
      <c r="H6647" s="14"/>
      <c r="I6647" s="423"/>
      <c r="J6647" s="14"/>
      <c r="K6647" s="13"/>
      <c r="L6647" s="13"/>
      <c r="M6647" s="14"/>
      <c r="N6647" s="15"/>
      <c r="O6647" s="15"/>
      <c r="P6647" s="15"/>
      <c r="Q6647" s="15"/>
      <c r="R6647" s="422"/>
      <c r="S6647" s="15"/>
      <c r="T6647" s="15"/>
      <c r="U6647" s="15"/>
      <c r="V6647" s="15"/>
      <c r="W6647" s="15"/>
      <c r="X6647" s="15"/>
      <c r="Y6647" s="15"/>
      <c r="Z6647" s="15"/>
      <c r="AA6647" s="15"/>
    </row>
    <row r="6648">
      <c r="A6648" s="15"/>
      <c r="B6648" s="15"/>
      <c r="C6648" s="14"/>
      <c r="D6648" s="14"/>
      <c r="E6648" s="14"/>
      <c r="F6648" s="433"/>
      <c r="G6648" s="434"/>
      <c r="H6648" s="14"/>
      <c r="I6648" s="423"/>
      <c r="J6648" s="14"/>
      <c r="K6648" s="13"/>
      <c r="L6648" s="13"/>
      <c r="M6648" s="14"/>
      <c r="N6648" s="15"/>
      <c r="O6648" s="15"/>
      <c r="P6648" s="15"/>
      <c r="Q6648" s="15"/>
      <c r="R6648" s="422"/>
      <c r="S6648" s="15"/>
      <c r="T6648" s="15"/>
      <c r="U6648" s="15"/>
      <c r="V6648" s="15"/>
      <c r="W6648" s="15"/>
      <c r="X6648" s="15"/>
      <c r="Y6648" s="15"/>
      <c r="Z6648" s="15"/>
      <c r="AA6648" s="15"/>
    </row>
    <row r="6649">
      <c r="A6649" s="15"/>
      <c r="B6649" s="15"/>
      <c r="C6649" s="14"/>
      <c r="D6649" s="14"/>
      <c r="E6649" s="14"/>
      <c r="F6649" s="433"/>
      <c r="G6649" s="434"/>
      <c r="H6649" s="14"/>
      <c r="I6649" s="423"/>
      <c r="J6649" s="14"/>
      <c r="K6649" s="13"/>
      <c r="L6649" s="13"/>
      <c r="M6649" s="14"/>
      <c r="N6649" s="15"/>
      <c r="O6649" s="15"/>
      <c r="P6649" s="15"/>
      <c r="Q6649" s="15"/>
      <c r="R6649" s="422"/>
      <c r="S6649" s="15"/>
      <c r="T6649" s="15"/>
      <c r="U6649" s="15"/>
      <c r="V6649" s="15"/>
      <c r="W6649" s="15"/>
      <c r="X6649" s="15"/>
      <c r="Y6649" s="15"/>
      <c r="Z6649" s="15"/>
      <c r="AA6649" s="15"/>
    </row>
    <row r="6650">
      <c r="A6650" s="15"/>
      <c r="B6650" s="15"/>
      <c r="C6650" s="14"/>
      <c r="D6650" s="14"/>
      <c r="E6650" s="14"/>
      <c r="F6650" s="433"/>
      <c r="G6650" s="434"/>
      <c r="H6650" s="14"/>
      <c r="I6650" s="423"/>
      <c r="J6650" s="14"/>
      <c r="K6650" s="13"/>
      <c r="L6650" s="13"/>
      <c r="M6650" s="14"/>
      <c r="N6650" s="15"/>
      <c r="O6650" s="15"/>
      <c r="P6650" s="15"/>
      <c r="Q6650" s="15"/>
      <c r="R6650" s="422"/>
      <c r="S6650" s="15"/>
      <c r="T6650" s="15"/>
      <c r="U6650" s="15"/>
      <c r="V6650" s="15"/>
      <c r="W6650" s="15"/>
      <c r="X6650" s="15"/>
      <c r="Y6650" s="15"/>
      <c r="Z6650" s="15"/>
      <c r="AA6650" s="15"/>
    </row>
    <row r="6651">
      <c r="A6651" s="15"/>
      <c r="B6651" s="15"/>
      <c r="C6651" s="14"/>
      <c r="D6651" s="14"/>
      <c r="E6651" s="14"/>
      <c r="F6651" s="433"/>
      <c r="G6651" s="434"/>
      <c r="H6651" s="14"/>
      <c r="I6651" s="423"/>
      <c r="J6651" s="14"/>
      <c r="K6651" s="13"/>
      <c r="L6651" s="13"/>
      <c r="M6651" s="14"/>
      <c r="N6651" s="15"/>
      <c r="O6651" s="15"/>
      <c r="P6651" s="15"/>
      <c r="Q6651" s="15"/>
      <c r="R6651" s="422"/>
      <c r="S6651" s="15"/>
      <c r="T6651" s="15"/>
      <c r="U6651" s="15"/>
      <c r="V6651" s="15"/>
      <c r="W6651" s="15"/>
      <c r="X6651" s="15"/>
      <c r="Y6651" s="15"/>
      <c r="Z6651" s="15"/>
      <c r="AA6651" s="15"/>
    </row>
    <row r="6652">
      <c r="A6652" s="15"/>
      <c r="B6652" s="15"/>
      <c r="C6652" s="14"/>
      <c r="D6652" s="14"/>
      <c r="E6652" s="14"/>
      <c r="F6652" s="433"/>
      <c r="G6652" s="434"/>
      <c r="H6652" s="14"/>
      <c r="I6652" s="423"/>
      <c r="J6652" s="14"/>
      <c r="K6652" s="13"/>
      <c r="L6652" s="13"/>
      <c r="M6652" s="14"/>
      <c r="N6652" s="15"/>
      <c r="O6652" s="15"/>
      <c r="P6652" s="15"/>
      <c r="Q6652" s="15"/>
      <c r="R6652" s="422"/>
      <c r="S6652" s="15"/>
      <c r="T6652" s="15"/>
      <c r="U6652" s="15"/>
      <c r="V6652" s="15"/>
      <c r="W6652" s="15"/>
      <c r="X6652" s="15"/>
      <c r="Y6652" s="15"/>
      <c r="Z6652" s="15"/>
      <c r="AA6652" s="15"/>
    </row>
    <row r="6653">
      <c r="A6653" s="15"/>
      <c r="B6653" s="15"/>
      <c r="C6653" s="14"/>
      <c r="D6653" s="14"/>
      <c r="E6653" s="14"/>
      <c r="F6653" s="433"/>
      <c r="G6653" s="434"/>
      <c r="H6653" s="14"/>
      <c r="I6653" s="423"/>
      <c r="J6653" s="14"/>
      <c r="K6653" s="13"/>
      <c r="L6653" s="13"/>
      <c r="M6653" s="14"/>
      <c r="N6653" s="15"/>
      <c r="O6653" s="15"/>
      <c r="P6653" s="15"/>
      <c r="Q6653" s="15"/>
      <c r="R6653" s="422"/>
      <c r="S6653" s="15"/>
      <c r="T6653" s="15"/>
      <c r="U6653" s="15"/>
      <c r="V6653" s="15"/>
      <c r="W6653" s="15"/>
      <c r="X6653" s="15"/>
      <c r="Y6653" s="15"/>
      <c r="Z6653" s="15"/>
      <c r="AA6653" s="15"/>
    </row>
    <row r="6654">
      <c r="A6654" s="15"/>
      <c r="B6654" s="15"/>
      <c r="C6654" s="14"/>
      <c r="D6654" s="14"/>
      <c r="E6654" s="14"/>
      <c r="F6654" s="433"/>
      <c r="G6654" s="434"/>
      <c r="H6654" s="14"/>
      <c r="I6654" s="423"/>
      <c r="J6654" s="14"/>
      <c r="K6654" s="13"/>
      <c r="L6654" s="13"/>
      <c r="M6654" s="14"/>
      <c r="N6654" s="15"/>
      <c r="O6654" s="15"/>
      <c r="P6654" s="15"/>
      <c r="Q6654" s="15"/>
      <c r="R6654" s="422"/>
      <c r="S6654" s="15"/>
      <c r="T6654" s="15"/>
      <c r="U6654" s="15"/>
      <c r="V6654" s="15"/>
      <c r="W6654" s="15"/>
      <c r="X6654" s="15"/>
      <c r="Y6654" s="15"/>
      <c r="Z6654" s="15"/>
      <c r="AA6654" s="15"/>
    </row>
    <row r="6655">
      <c r="A6655" s="15"/>
      <c r="B6655" s="15"/>
      <c r="C6655" s="14"/>
      <c r="D6655" s="14"/>
      <c r="E6655" s="14"/>
      <c r="F6655" s="433"/>
      <c r="G6655" s="434"/>
      <c r="H6655" s="14"/>
      <c r="I6655" s="423"/>
      <c r="J6655" s="14"/>
      <c r="K6655" s="13"/>
      <c r="L6655" s="13"/>
      <c r="M6655" s="14"/>
      <c r="N6655" s="15"/>
      <c r="O6655" s="15"/>
      <c r="P6655" s="15"/>
      <c r="Q6655" s="15"/>
      <c r="R6655" s="422"/>
      <c r="S6655" s="15"/>
      <c r="T6655" s="15"/>
      <c r="U6655" s="15"/>
      <c r="V6655" s="15"/>
      <c r="W6655" s="15"/>
      <c r="X6655" s="15"/>
      <c r="Y6655" s="15"/>
      <c r="Z6655" s="15"/>
      <c r="AA6655" s="15"/>
    </row>
    <row r="6656">
      <c r="A6656" s="15"/>
      <c r="B6656" s="15"/>
      <c r="C6656" s="14"/>
      <c r="D6656" s="14"/>
      <c r="E6656" s="14"/>
      <c r="F6656" s="433"/>
      <c r="G6656" s="434"/>
      <c r="H6656" s="14"/>
      <c r="I6656" s="423"/>
      <c r="J6656" s="14"/>
      <c r="K6656" s="13"/>
      <c r="L6656" s="13"/>
      <c r="M6656" s="14"/>
      <c r="N6656" s="15"/>
      <c r="O6656" s="15"/>
      <c r="P6656" s="15"/>
      <c r="Q6656" s="15"/>
      <c r="R6656" s="422"/>
      <c r="S6656" s="15"/>
      <c r="T6656" s="15"/>
      <c r="U6656" s="15"/>
      <c r="V6656" s="15"/>
      <c r="W6656" s="15"/>
      <c r="X6656" s="15"/>
      <c r="Y6656" s="15"/>
      <c r="Z6656" s="15"/>
      <c r="AA6656" s="15"/>
    </row>
    <row r="6657">
      <c r="A6657" s="15"/>
      <c r="B6657" s="15"/>
      <c r="C6657" s="14"/>
      <c r="D6657" s="14"/>
      <c r="E6657" s="14"/>
      <c r="F6657" s="433"/>
      <c r="G6657" s="434"/>
      <c r="H6657" s="14"/>
      <c r="I6657" s="423"/>
      <c r="J6657" s="14"/>
      <c r="K6657" s="13"/>
      <c r="L6657" s="13"/>
      <c r="M6657" s="14"/>
      <c r="N6657" s="15"/>
      <c r="O6657" s="15"/>
      <c r="P6657" s="15"/>
      <c r="Q6657" s="15"/>
      <c r="R6657" s="422"/>
      <c r="S6657" s="15"/>
      <c r="T6657" s="15"/>
      <c r="U6657" s="15"/>
      <c r="V6657" s="15"/>
      <c r="W6657" s="15"/>
      <c r="X6657" s="15"/>
      <c r="Y6657" s="15"/>
      <c r="Z6657" s="15"/>
      <c r="AA6657" s="15"/>
    </row>
    <row r="6658">
      <c r="A6658" s="15"/>
      <c r="B6658" s="15"/>
      <c r="C6658" s="14"/>
      <c r="D6658" s="14"/>
      <c r="E6658" s="14"/>
      <c r="F6658" s="433"/>
      <c r="G6658" s="434"/>
      <c r="H6658" s="14"/>
      <c r="I6658" s="423"/>
      <c r="J6658" s="14"/>
      <c r="K6658" s="13"/>
      <c r="L6658" s="13"/>
      <c r="M6658" s="14"/>
      <c r="N6658" s="15"/>
      <c r="O6658" s="15"/>
      <c r="P6658" s="15"/>
      <c r="Q6658" s="15"/>
      <c r="R6658" s="422"/>
      <c r="S6658" s="15"/>
      <c r="T6658" s="15"/>
      <c r="U6658" s="15"/>
      <c r="V6658" s="15"/>
      <c r="W6658" s="15"/>
      <c r="X6658" s="15"/>
      <c r="Y6658" s="15"/>
      <c r="Z6658" s="15"/>
      <c r="AA6658" s="15"/>
    </row>
    <row r="6659">
      <c r="A6659" s="15"/>
      <c r="B6659" s="15"/>
      <c r="C6659" s="14"/>
      <c r="D6659" s="14"/>
      <c r="E6659" s="14"/>
      <c r="F6659" s="433"/>
      <c r="G6659" s="434"/>
      <c r="H6659" s="14"/>
      <c r="I6659" s="423"/>
      <c r="J6659" s="14"/>
      <c r="K6659" s="13"/>
      <c r="L6659" s="13"/>
      <c r="M6659" s="14"/>
      <c r="N6659" s="15"/>
      <c r="O6659" s="15"/>
      <c r="P6659" s="15"/>
      <c r="Q6659" s="15"/>
      <c r="R6659" s="422"/>
      <c r="S6659" s="15"/>
      <c r="T6659" s="15"/>
      <c r="U6659" s="15"/>
      <c r="V6659" s="15"/>
      <c r="W6659" s="15"/>
      <c r="X6659" s="15"/>
      <c r="Y6659" s="15"/>
      <c r="Z6659" s="15"/>
      <c r="AA6659" s="15"/>
    </row>
    <row r="6660">
      <c r="A6660" s="15"/>
      <c r="B6660" s="15"/>
      <c r="C6660" s="14"/>
      <c r="D6660" s="14"/>
      <c r="E6660" s="14"/>
      <c r="F6660" s="433"/>
      <c r="G6660" s="434"/>
      <c r="H6660" s="14"/>
      <c r="I6660" s="423"/>
      <c r="J6660" s="14"/>
      <c r="K6660" s="13"/>
      <c r="L6660" s="13"/>
      <c r="M6660" s="14"/>
      <c r="N6660" s="15"/>
      <c r="O6660" s="15"/>
      <c r="P6660" s="15"/>
      <c r="Q6660" s="15"/>
      <c r="R6660" s="422"/>
      <c r="S6660" s="15"/>
      <c r="T6660" s="15"/>
      <c r="U6660" s="15"/>
      <c r="V6660" s="15"/>
      <c r="W6660" s="15"/>
      <c r="X6660" s="15"/>
      <c r="Y6660" s="15"/>
      <c r="Z6660" s="15"/>
      <c r="AA6660" s="15"/>
    </row>
    <row r="6661">
      <c r="A6661" s="15"/>
      <c r="B6661" s="15"/>
      <c r="C6661" s="14"/>
      <c r="D6661" s="14"/>
      <c r="E6661" s="14"/>
      <c r="F6661" s="433"/>
      <c r="G6661" s="434"/>
      <c r="H6661" s="14"/>
      <c r="I6661" s="423"/>
      <c r="J6661" s="14"/>
      <c r="K6661" s="13"/>
      <c r="L6661" s="13"/>
      <c r="M6661" s="14"/>
      <c r="N6661" s="15"/>
      <c r="O6661" s="15"/>
      <c r="P6661" s="15"/>
      <c r="Q6661" s="15"/>
      <c r="R6661" s="422"/>
      <c r="S6661" s="15"/>
      <c r="T6661" s="15"/>
      <c r="U6661" s="15"/>
      <c r="V6661" s="15"/>
      <c r="W6661" s="15"/>
      <c r="X6661" s="15"/>
      <c r="Y6661" s="15"/>
      <c r="Z6661" s="15"/>
      <c r="AA6661" s="15"/>
    </row>
    <row r="6662">
      <c r="A6662" s="15"/>
      <c r="B6662" s="15"/>
      <c r="C6662" s="14"/>
      <c r="D6662" s="14"/>
      <c r="E6662" s="14"/>
      <c r="F6662" s="433"/>
      <c r="G6662" s="434"/>
      <c r="H6662" s="14"/>
      <c r="I6662" s="423"/>
      <c r="J6662" s="14"/>
      <c r="K6662" s="13"/>
      <c r="L6662" s="13"/>
      <c r="M6662" s="14"/>
      <c r="N6662" s="15"/>
      <c r="O6662" s="15"/>
      <c r="P6662" s="15"/>
      <c r="Q6662" s="15"/>
      <c r="R6662" s="422"/>
      <c r="S6662" s="15"/>
      <c r="T6662" s="15"/>
      <c r="U6662" s="15"/>
      <c r="V6662" s="15"/>
      <c r="W6662" s="15"/>
      <c r="X6662" s="15"/>
      <c r="Y6662" s="15"/>
      <c r="Z6662" s="15"/>
      <c r="AA6662" s="15"/>
    </row>
    <row r="6663">
      <c r="A6663" s="15"/>
      <c r="B6663" s="15"/>
      <c r="C6663" s="14"/>
      <c r="D6663" s="14"/>
      <c r="E6663" s="14"/>
      <c r="F6663" s="433"/>
      <c r="G6663" s="434"/>
      <c r="H6663" s="14"/>
      <c r="I6663" s="423"/>
      <c r="J6663" s="14"/>
      <c r="K6663" s="13"/>
      <c r="L6663" s="13"/>
      <c r="M6663" s="14"/>
      <c r="N6663" s="15"/>
      <c r="O6663" s="15"/>
      <c r="P6663" s="15"/>
      <c r="Q6663" s="15"/>
      <c r="R6663" s="422"/>
      <c r="S6663" s="15"/>
      <c r="T6663" s="15"/>
      <c r="U6663" s="15"/>
      <c r="V6663" s="15"/>
      <c r="W6663" s="15"/>
      <c r="X6663" s="15"/>
      <c r="Y6663" s="15"/>
      <c r="Z6663" s="15"/>
      <c r="AA6663" s="15"/>
    </row>
    <row r="6664">
      <c r="A6664" s="15"/>
      <c r="B6664" s="15"/>
      <c r="C6664" s="14"/>
      <c r="D6664" s="14"/>
      <c r="E6664" s="14"/>
      <c r="F6664" s="433"/>
      <c r="G6664" s="434"/>
      <c r="H6664" s="14"/>
      <c r="I6664" s="423"/>
      <c r="J6664" s="14"/>
      <c r="K6664" s="13"/>
      <c r="L6664" s="13"/>
      <c r="M6664" s="14"/>
      <c r="N6664" s="15"/>
      <c r="O6664" s="15"/>
      <c r="P6664" s="15"/>
      <c r="Q6664" s="15"/>
      <c r="R6664" s="422"/>
      <c r="S6664" s="15"/>
      <c r="T6664" s="15"/>
      <c r="U6664" s="15"/>
      <c r="V6664" s="15"/>
      <c r="W6664" s="15"/>
      <c r="X6664" s="15"/>
      <c r="Y6664" s="15"/>
      <c r="Z6664" s="15"/>
      <c r="AA6664" s="15"/>
    </row>
    <row r="6665">
      <c r="A6665" s="15"/>
      <c r="B6665" s="15"/>
      <c r="C6665" s="14"/>
      <c r="D6665" s="14"/>
      <c r="E6665" s="14"/>
      <c r="F6665" s="433"/>
      <c r="G6665" s="434"/>
      <c r="H6665" s="14"/>
      <c r="I6665" s="423"/>
      <c r="J6665" s="14"/>
      <c r="K6665" s="13"/>
      <c r="L6665" s="13"/>
      <c r="M6665" s="14"/>
      <c r="N6665" s="15"/>
      <c r="O6665" s="15"/>
      <c r="P6665" s="15"/>
      <c r="Q6665" s="15"/>
      <c r="R6665" s="422"/>
      <c r="S6665" s="15"/>
      <c r="T6665" s="15"/>
      <c r="U6665" s="15"/>
      <c r="V6665" s="15"/>
      <c r="W6665" s="15"/>
      <c r="X6665" s="15"/>
      <c r="Y6665" s="15"/>
      <c r="Z6665" s="15"/>
      <c r="AA6665" s="15"/>
    </row>
    <row r="6666">
      <c r="A6666" s="15"/>
      <c r="B6666" s="15"/>
      <c r="C6666" s="14"/>
      <c r="D6666" s="14"/>
      <c r="E6666" s="14"/>
      <c r="F6666" s="433"/>
      <c r="G6666" s="434"/>
      <c r="H6666" s="14"/>
      <c r="I6666" s="423"/>
      <c r="J6666" s="14"/>
      <c r="K6666" s="13"/>
      <c r="L6666" s="13"/>
      <c r="M6666" s="14"/>
      <c r="N6666" s="15"/>
      <c r="O6666" s="15"/>
      <c r="P6666" s="15"/>
      <c r="Q6666" s="15"/>
      <c r="R6666" s="422"/>
      <c r="S6666" s="15"/>
      <c r="T6666" s="15"/>
      <c r="U6666" s="15"/>
      <c r="V6666" s="15"/>
      <c r="W6666" s="15"/>
      <c r="X6666" s="15"/>
      <c r="Y6666" s="15"/>
      <c r="Z6666" s="15"/>
      <c r="AA6666" s="15"/>
    </row>
    <row r="6667">
      <c r="A6667" s="15"/>
      <c r="B6667" s="15"/>
      <c r="C6667" s="14"/>
      <c r="D6667" s="14"/>
      <c r="E6667" s="14"/>
      <c r="F6667" s="433"/>
      <c r="G6667" s="434"/>
      <c r="H6667" s="14"/>
      <c r="I6667" s="423"/>
      <c r="J6667" s="14"/>
      <c r="K6667" s="13"/>
      <c r="L6667" s="13"/>
      <c r="M6667" s="14"/>
      <c r="N6667" s="15"/>
      <c r="O6667" s="15"/>
      <c r="P6667" s="15"/>
      <c r="Q6667" s="15"/>
      <c r="R6667" s="422"/>
      <c r="S6667" s="15"/>
      <c r="T6667" s="15"/>
      <c r="U6667" s="15"/>
      <c r="V6667" s="15"/>
      <c r="W6667" s="15"/>
      <c r="X6667" s="15"/>
      <c r="Y6667" s="15"/>
      <c r="Z6667" s="15"/>
      <c r="AA6667" s="15"/>
    </row>
    <row r="6668">
      <c r="A6668" s="15"/>
      <c r="B6668" s="15"/>
      <c r="C6668" s="14"/>
      <c r="D6668" s="14"/>
      <c r="E6668" s="14"/>
      <c r="F6668" s="433"/>
      <c r="G6668" s="434"/>
      <c r="H6668" s="14"/>
      <c r="I6668" s="423"/>
      <c r="J6668" s="14"/>
      <c r="K6668" s="13"/>
      <c r="L6668" s="13"/>
      <c r="M6668" s="14"/>
      <c r="N6668" s="15"/>
      <c r="O6668" s="15"/>
      <c r="P6668" s="15"/>
      <c r="Q6668" s="15"/>
      <c r="R6668" s="422"/>
      <c r="S6668" s="15"/>
      <c r="T6668" s="15"/>
      <c r="U6668" s="15"/>
      <c r="V6668" s="15"/>
      <c r="W6668" s="15"/>
      <c r="X6668" s="15"/>
      <c r="Y6668" s="15"/>
      <c r="Z6668" s="15"/>
      <c r="AA6668" s="15"/>
    </row>
    <row r="6669">
      <c r="A6669" s="15"/>
      <c r="B6669" s="15"/>
      <c r="C6669" s="14"/>
      <c r="D6669" s="14"/>
      <c r="E6669" s="14"/>
      <c r="F6669" s="433"/>
      <c r="G6669" s="434"/>
      <c r="H6669" s="14"/>
      <c r="I6669" s="423"/>
      <c r="J6669" s="14"/>
      <c r="K6669" s="13"/>
      <c r="L6669" s="13"/>
      <c r="M6669" s="14"/>
      <c r="N6669" s="15"/>
      <c r="O6669" s="15"/>
      <c r="P6669" s="15"/>
      <c r="Q6669" s="15"/>
      <c r="R6669" s="422"/>
      <c r="S6669" s="15"/>
      <c r="T6669" s="15"/>
      <c r="U6669" s="15"/>
      <c r="V6669" s="15"/>
      <c r="W6669" s="15"/>
      <c r="X6669" s="15"/>
      <c r="Y6669" s="15"/>
      <c r="Z6669" s="15"/>
      <c r="AA6669" s="15"/>
    </row>
    <row r="6670">
      <c r="A6670" s="15"/>
      <c r="B6670" s="15"/>
      <c r="C6670" s="14"/>
      <c r="D6670" s="14"/>
      <c r="E6670" s="14"/>
      <c r="F6670" s="433"/>
      <c r="G6670" s="434"/>
      <c r="H6670" s="14"/>
      <c r="I6670" s="423"/>
      <c r="J6670" s="14"/>
      <c r="K6670" s="13"/>
      <c r="L6670" s="13"/>
      <c r="M6670" s="14"/>
      <c r="N6670" s="15"/>
      <c r="O6670" s="15"/>
      <c r="P6670" s="15"/>
      <c r="Q6670" s="15"/>
      <c r="R6670" s="422"/>
      <c r="S6670" s="15"/>
      <c r="T6670" s="15"/>
      <c r="U6670" s="15"/>
      <c r="V6670" s="15"/>
      <c r="W6670" s="15"/>
      <c r="X6670" s="15"/>
      <c r="Y6670" s="15"/>
      <c r="Z6670" s="15"/>
      <c r="AA6670" s="15"/>
    </row>
    <row r="6671">
      <c r="A6671" s="15"/>
      <c r="B6671" s="15"/>
      <c r="C6671" s="14"/>
      <c r="D6671" s="14"/>
      <c r="E6671" s="14"/>
      <c r="F6671" s="433"/>
      <c r="G6671" s="434"/>
      <c r="H6671" s="14"/>
      <c r="I6671" s="423"/>
      <c r="J6671" s="14"/>
      <c r="K6671" s="13"/>
      <c r="L6671" s="13"/>
      <c r="M6671" s="14"/>
      <c r="N6671" s="15"/>
      <c r="O6671" s="15"/>
      <c r="P6671" s="15"/>
      <c r="Q6671" s="15"/>
      <c r="R6671" s="422"/>
      <c r="S6671" s="15"/>
      <c r="T6671" s="15"/>
      <c r="U6671" s="15"/>
      <c r="V6671" s="15"/>
      <c r="W6671" s="15"/>
      <c r="X6671" s="15"/>
      <c r="Y6671" s="15"/>
      <c r="Z6671" s="15"/>
      <c r="AA6671" s="15"/>
    </row>
    <row r="6672">
      <c r="A6672" s="15"/>
      <c r="B6672" s="15"/>
      <c r="C6672" s="14"/>
      <c r="D6672" s="14"/>
      <c r="E6672" s="14"/>
      <c r="F6672" s="433"/>
      <c r="G6672" s="434"/>
      <c r="H6672" s="14"/>
      <c r="I6672" s="423"/>
      <c r="J6672" s="14"/>
      <c r="K6672" s="13"/>
      <c r="L6672" s="13"/>
      <c r="M6672" s="14"/>
      <c r="N6672" s="15"/>
      <c r="O6672" s="15"/>
      <c r="P6672" s="15"/>
      <c r="Q6672" s="15"/>
      <c r="R6672" s="422"/>
      <c r="S6672" s="15"/>
      <c r="T6672" s="15"/>
      <c r="U6672" s="15"/>
      <c r="V6672" s="15"/>
      <c r="W6672" s="15"/>
      <c r="X6672" s="15"/>
      <c r="Y6672" s="15"/>
      <c r="Z6672" s="15"/>
      <c r="AA6672" s="15"/>
    </row>
    <row r="6673">
      <c r="A6673" s="15"/>
      <c r="B6673" s="15"/>
      <c r="C6673" s="14"/>
      <c r="D6673" s="14"/>
      <c r="E6673" s="14"/>
      <c r="F6673" s="433"/>
      <c r="G6673" s="434"/>
      <c r="H6673" s="14"/>
      <c r="I6673" s="423"/>
      <c r="J6673" s="14"/>
      <c r="K6673" s="13"/>
      <c r="L6673" s="13"/>
      <c r="M6673" s="14"/>
      <c r="N6673" s="15"/>
      <c r="O6673" s="15"/>
      <c r="P6673" s="15"/>
      <c r="Q6673" s="15"/>
      <c r="R6673" s="422"/>
      <c r="S6673" s="15"/>
      <c r="T6673" s="15"/>
      <c r="U6673" s="15"/>
      <c r="V6673" s="15"/>
      <c r="W6673" s="15"/>
      <c r="X6673" s="15"/>
      <c r="Y6673" s="15"/>
      <c r="Z6673" s="15"/>
      <c r="AA6673" s="15"/>
    </row>
    <row r="6674">
      <c r="A6674" s="15"/>
      <c r="B6674" s="15"/>
      <c r="C6674" s="14"/>
      <c r="D6674" s="14"/>
      <c r="E6674" s="14"/>
      <c r="F6674" s="433"/>
      <c r="G6674" s="434"/>
      <c r="H6674" s="14"/>
      <c r="I6674" s="423"/>
      <c r="J6674" s="14"/>
      <c r="K6674" s="13"/>
      <c r="L6674" s="13"/>
      <c r="M6674" s="14"/>
      <c r="N6674" s="15"/>
      <c r="O6674" s="15"/>
      <c r="P6674" s="15"/>
      <c r="Q6674" s="15"/>
      <c r="R6674" s="422"/>
      <c r="S6674" s="15"/>
      <c r="T6674" s="15"/>
      <c r="U6674" s="15"/>
      <c r="V6674" s="15"/>
      <c r="W6674" s="15"/>
      <c r="X6674" s="15"/>
      <c r="Y6674" s="15"/>
      <c r="Z6674" s="15"/>
      <c r="AA6674" s="15"/>
    </row>
    <row r="6675">
      <c r="A6675" s="15"/>
      <c r="B6675" s="15"/>
      <c r="C6675" s="14"/>
      <c r="D6675" s="14"/>
      <c r="E6675" s="14"/>
      <c r="F6675" s="433"/>
      <c r="G6675" s="434"/>
      <c r="H6675" s="14"/>
      <c r="I6675" s="423"/>
      <c r="J6675" s="14"/>
      <c r="K6675" s="13"/>
      <c r="L6675" s="13"/>
      <c r="M6675" s="14"/>
      <c r="N6675" s="15"/>
      <c r="O6675" s="15"/>
      <c r="P6675" s="15"/>
      <c r="Q6675" s="15"/>
      <c r="R6675" s="422"/>
      <c r="S6675" s="15"/>
      <c r="T6675" s="15"/>
      <c r="U6675" s="15"/>
      <c r="V6675" s="15"/>
      <c r="W6675" s="15"/>
      <c r="X6675" s="15"/>
      <c r="Y6675" s="15"/>
      <c r="Z6675" s="15"/>
      <c r="AA6675" s="15"/>
    </row>
    <row r="6676">
      <c r="A6676" s="15"/>
      <c r="B6676" s="15"/>
      <c r="C6676" s="14"/>
      <c r="D6676" s="14"/>
      <c r="E6676" s="14"/>
      <c r="F6676" s="433"/>
      <c r="G6676" s="434"/>
      <c r="H6676" s="14"/>
      <c r="I6676" s="423"/>
      <c r="J6676" s="14"/>
      <c r="K6676" s="13"/>
      <c r="L6676" s="13"/>
      <c r="M6676" s="14"/>
      <c r="N6676" s="15"/>
      <c r="O6676" s="15"/>
      <c r="P6676" s="15"/>
      <c r="Q6676" s="15"/>
      <c r="R6676" s="422"/>
      <c r="S6676" s="15"/>
      <c r="T6676" s="15"/>
      <c r="U6676" s="15"/>
      <c r="V6676" s="15"/>
      <c r="W6676" s="15"/>
      <c r="X6676" s="15"/>
      <c r="Y6676" s="15"/>
      <c r="Z6676" s="15"/>
      <c r="AA6676" s="15"/>
    </row>
    <row r="6677">
      <c r="A6677" s="15"/>
      <c r="B6677" s="15"/>
      <c r="C6677" s="14"/>
      <c r="D6677" s="14"/>
      <c r="E6677" s="14"/>
      <c r="F6677" s="433"/>
      <c r="G6677" s="434"/>
      <c r="H6677" s="14"/>
      <c r="I6677" s="423"/>
      <c r="J6677" s="14"/>
      <c r="K6677" s="13"/>
      <c r="L6677" s="13"/>
      <c r="M6677" s="14"/>
      <c r="N6677" s="15"/>
      <c r="O6677" s="15"/>
      <c r="P6677" s="15"/>
      <c r="Q6677" s="15"/>
      <c r="R6677" s="422"/>
      <c r="S6677" s="15"/>
      <c r="T6677" s="15"/>
      <c r="U6677" s="15"/>
      <c r="V6677" s="15"/>
      <c r="W6677" s="15"/>
      <c r="X6677" s="15"/>
      <c r="Y6677" s="15"/>
      <c r="Z6677" s="15"/>
      <c r="AA6677" s="15"/>
    </row>
    <row r="6678">
      <c r="A6678" s="15"/>
      <c r="B6678" s="15"/>
      <c r="C6678" s="14"/>
      <c r="D6678" s="14"/>
      <c r="E6678" s="14"/>
      <c r="F6678" s="433"/>
      <c r="G6678" s="434"/>
      <c r="H6678" s="14"/>
      <c r="I6678" s="423"/>
      <c r="J6678" s="14"/>
      <c r="K6678" s="13"/>
      <c r="L6678" s="13"/>
      <c r="M6678" s="14"/>
      <c r="N6678" s="15"/>
      <c r="O6678" s="15"/>
      <c r="P6678" s="15"/>
      <c r="Q6678" s="15"/>
      <c r="R6678" s="422"/>
      <c r="S6678" s="15"/>
      <c r="T6678" s="15"/>
      <c r="U6678" s="15"/>
      <c r="V6678" s="15"/>
      <c r="W6678" s="15"/>
      <c r="X6678" s="15"/>
      <c r="Y6678" s="15"/>
      <c r="Z6678" s="15"/>
      <c r="AA6678" s="15"/>
    </row>
    <row r="6679">
      <c r="A6679" s="15"/>
      <c r="B6679" s="15"/>
      <c r="C6679" s="14"/>
      <c r="D6679" s="14"/>
      <c r="E6679" s="14"/>
      <c r="F6679" s="433"/>
      <c r="G6679" s="434"/>
      <c r="H6679" s="14"/>
      <c r="I6679" s="423"/>
      <c r="J6679" s="14"/>
      <c r="K6679" s="13"/>
      <c r="L6679" s="13"/>
      <c r="M6679" s="14"/>
      <c r="N6679" s="15"/>
      <c r="O6679" s="15"/>
      <c r="P6679" s="15"/>
      <c r="Q6679" s="15"/>
      <c r="R6679" s="422"/>
      <c r="S6679" s="15"/>
      <c r="T6679" s="15"/>
      <c r="U6679" s="15"/>
      <c r="V6679" s="15"/>
      <c r="W6679" s="15"/>
      <c r="X6679" s="15"/>
      <c r="Y6679" s="15"/>
      <c r="Z6679" s="15"/>
      <c r="AA6679" s="15"/>
    </row>
    <row r="6680">
      <c r="A6680" s="15"/>
      <c r="B6680" s="15"/>
      <c r="C6680" s="14"/>
      <c r="D6680" s="14"/>
      <c r="E6680" s="14"/>
      <c r="F6680" s="433"/>
      <c r="G6680" s="434"/>
      <c r="H6680" s="14"/>
      <c r="I6680" s="423"/>
      <c r="J6680" s="14"/>
      <c r="K6680" s="13"/>
      <c r="L6680" s="13"/>
      <c r="M6680" s="14"/>
      <c r="N6680" s="15"/>
      <c r="O6680" s="15"/>
      <c r="P6680" s="15"/>
      <c r="Q6680" s="15"/>
      <c r="R6680" s="422"/>
      <c r="S6680" s="15"/>
      <c r="T6680" s="15"/>
      <c r="U6680" s="15"/>
      <c r="V6680" s="15"/>
      <c r="W6680" s="15"/>
      <c r="X6680" s="15"/>
      <c r="Y6680" s="15"/>
      <c r="Z6680" s="15"/>
      <c r="AA6680" s="15"/>
    </row>
    <row r="6681">
      <c r="A6681" s="15"/>
      <c r="B6681" s="15"/>
      <c r="C6681" s="14"/>
      <c r="D6681" s="14"/>
      <c r="E6681" s="14"/>
      <c r="F6681" s="433"/>
      <c r="G6681" s="434"/>
      <c r="H6681" s="14"/>
      <c r="I6681" s="423"/>
      <c r="J6681" s="14"/>
      <c r="K6681" s="13"/>
      <c r="L6681" s="13"/>
      <c r="M6681" s="14"/>
      <c r="N6681" s="15"/>
      <c r="O6681" s="15"/>
      <c r="P6681" s="15"/>
      <c r="Q6681" s="15"/>
      <c r="R6681" s="422"/>
      <c r="S6681" s="15"/>
      <c r="T6681" s="15"/>
      <c r="U6681" s="15"/>
      <c r="V6681" s="15"/>
      <c r="W6681" s="15"/>
      <c r="X6681" s="15"/>
      <c r="Y6681" s="15"/>
      <c r="Z6681" s="15"/>
      <c r="AA6681" s="15"/>
    </row>
    <row r="6682">
      <c r="A6682" s="15"/>
      <c r="B6682" s="15"/>
      <c r="C6682" s="14"/>
      <c r="D6682" s="14"/>
      <c r="E6682" s="14"/>
      <c r="F6682" s="433"/>
      <c r="G6682" s="434"/>
      <c r="H6682" s="14"/>
      <c r="I6682" s="423"/>
      <c r="J6682" s="14"/>
      <c r="K6682" s="13"/>
      <c r="L6682" s="13"/>
      <c r="M6682" s="14"/>
      <c r="N6682" s="15"/>
      <c r="O6682" s="15"/>
      <c r="P6682" s="15"/>
      <c r="Q6682" s="15"/>
      <c r="R6682" s="422"/>
      <c r="S6682" s="15"/>
      <c r="T6682" s="15"/>
      <c r="U6682" s="15"/>
      <c r="V6682" s="15"/>
      <c r="W6682" s="15"/>
      <c r="X6682" s="15"/>
      <c r="Y6682" s="15"/>
      <c r="Z6682" s="15"/>
      <c r="AA6682" s="15"/>
    </row>
    <row r="6683">
      <c r="A6683" s="15"/>
      <c r="B6683" s="15"/>
      <c r="C6683" s="14"/>
      <c r="D6683" s="14"/>
      <c r="E6683" s="14"/>
      <c r="F6683" s="433"/>
      <c r="G6683" s="434"/>
      <c r="H6683" s="14"/>
      <c r="I6683" s="423"/>
      <c r="J6683" s="14"/>
      <c r="K6683" s="13"/>
      <c r="L6683" s="13"/>
      <c r="M6683" s="14"/>
      <c r="N6683" s="15"/>
      <c r="O6683" s="15"/>
      <c r="P6683" s="15"/>
      <c r="Q6683" s="15"/>
      <c r="R6683" s="422"/>
      <c r="S6683" s="15"/>
      <c r="T6683" s="15"/>
      <c r="U6683" s="15"/>
      <c r="V6683" s="15"/>
      <c r="W6683" s="15"/>
      <c r="X6683" s="15"/>
      <c r="Y6683" s="15"/>
      <c r="Z6683" s="15"/>
      <c r="AA6683" s="15"/>
    </row>
    <row r="6684">
      <c r="A6684" s="15"/>
      <c r="B6684" s="15"/>
      <c r="C6684" s="14"/>
      <c r="D6684" s="14"/>
      <c r="E6684" s="14"/>
      <c r="F6684" s="433"/>
      <c r="G6684" s="434"/>
      <c r="H6684" s="14"/>
      <c r="I6684" s="423"/>
      <c r="J6684" s="14"/>
      <c r="K6684" s="13"/>
      <c r="L6684" s="13"/>
      <c r="M6684" s="14"/>
      <c r="N6684" s="15"/>
      <c r="O6684" s="15"/>
      <c r="P6684" s="15"/>
      <c r="Q6684" s="15"/>
      <c r="R6684" s="422"/>
      <c r="S6684" s="15"/>
      <c r="T6684" s="15"/>
      <c r="U6684" s="15"/>
      <c r="V6684" s="15"/>
      <c r="W6684" s="15"/>
      <c r="X6684" s="15"/>
      <c r="Y6684" s="15"/>
      <c r="Z6684" s="15"/>
      <c r="AA6684" s="15"/>
    </row>
    <row r="6685">
      <c r="A6685" s="15"/>
      <c r="B6685" s="15"/>
      <c r="C6685" s="14"/>
      <c r="D6685" s="14"/>
      <c r="E6685" s="14"/>
      <c r="F6685" s="433"/>
      <c r="G6685" s="434"/>
      <c r="H6685" s="14"/>
      <c r="I6685" s="423"/>
      <c r="J6685" s="14"/>
      <c r="K6685" s="13"/>
      <c r="L6685" s="13"/>
      <c r="M6685" s="14"/>
      <c r="N6685" s="15"/>
      <c r="O6685" s="15"/>
      <c r="P6685" s="15"/>
      <c r="Q6685" s="15"/>
      <c r="R6685" s="422"/>
      <c r="S6685" s="15"/>
      <c r="T6685" s="15"/>
      <c r="U6685" s="15"/>
      <c r="V6685" s="15"/>
      <c r="W6685" s="15"/>
      <c r="X6685" s="15"/>
      <c r="Y6685" s="15"/>
      <c r="Z6685" s="15"/>
      <c r="AA6685" s="15"/>
    </row>
    <row r="6686">
      <c r="A6686" s="15"/>
      <c r="B6686" s="15"/>
      <c r="C6686" s="14"/>
      <c r="D6686" s="14"/>
      <c r="E6686" s="14"/>
      <c r="F6686" s="433"/>
      <c r="G6686" s="434"/>
      <c r="H6686" s="14"/>
      <c r="I6686" s="423"/>
      <c r="J6686" s="14"/>
      <c r="K6686" s="13"/>
      <c r="L6686" s="13"/>
      <c r="M6686" s="14"/>
      <c r="N6686" s="15"/>
      <c r="O6686" s="15"/>
      <c r="P6686" s="15"/>
      <c r="Q6686" s="15"/>
      <c r="R6686" s="422"/>
      <c r="S6686" s="15"/>
      <c r="T6686" s="15"/>
      <c r="U6686" s="15"/>
      <c r="V6686" s="15"/>
      <c r="W6686" s="15"/>
      <c r="X6686" s="15"/>
      <c r="Y6686" s="15"/>
      <c r="Z6686" s="15"/>
      <c r="AA6686" s="15"/>
    </row>
    <row r="6687">
      <c r="A6687" s="15"/>
      <c r="B6687" s="15"/>
      <c r="C6687" s="14"/>
      <c r="D6687" s="14"/>
      <c r="E6687" s="14"/>
      <c r="F6687" s="433"/>
      <c r="G6687" s="434"/>
      <c r="H6687" s="14"/>
      <c r="I6687" s="423"/>
      <c r="J6687" s="14"/>
      <c r="K6687" s="13"/>
      <c r="L6687" s="13"/>
      <c r="M6687" s="14"/>
      <c r="N6687" s="15"/>
      <c r="O6687" s="15"/>
      <c r="P6687" s="15"/>
      <c r="Q6687" s="15"/>
      <c r="R6687" s="422"/>
      <c r="S6687" s="15"/>
      <c r="T6687" s="15"/>
      <c r="U6687" s="15"/>
      <c r="V6687" s="15"/>
      <c r="W6687" s="15"/>
      <c r="X6687" s="15"/>
      <c r="Y6687" s="15"/>
      <c r="Z6687" s="15"/>
      <c r="AA6687" s="15"/>
    </row>
    <row r="6688">
      <c r="A6688" s="15"/>
      <c r="B6688" s="15"/>
      <c r="C6688" s="14"/>
      <c r="D6688" s="14"/>
      <c r="E6688" s="14"/>
      <c r="F6688" s="433"/>
      <c r="G6688" s="434"/>
      <c r="H6688" s="14"/>
      <c r="I6688" s="423"/>
      <c r="J6688" s="14"/>
      <c r="K6688" s="13"/>
      <c r="L6688" s="13"/>
      <c r="M6688" s="14"/>
      <c r="N6688" s="15"/>
      <c r="O6688" s="15"/>
      <c r="P6688" s="15"/>
      <c r="Q6688" s="15"/>
      <c r="R6688" s="422"/>
      <c r="S6688" s="15"/>
      <c r="T6688" s="15"/>
      <c r="U6688" s="15"/>
      <c r="V6688" s="15"/>
      <c r="W6688" s="15"/>
      <c r="X6688" s="15"/>
      <c r="Y6688" s="15"/>
      <c r="Z6688" s="15"/>
      <c r="AA6688" s="15"/>
    </row>
    <row r="6689">
      <c r="A6689" s="15"/>
      <c r="B6689" s="15"/>
      <c r="C6689" s="14"/>
      <c r="D6689" s="14"/>
      <c r="E6689" s="14"/>
      <c r="F6689" s="433"/>
      <c r="G6689" s="434"/>
      <c r="H6689" s="14"/>
      <c r="I6689" s="423"/>
      <c r="J6689" s="14"/>
      <c r="K6689" s="13"/>
      <c r="L6689" s="13"/>
      <c r="M6689" s="14"/>
      <c r="N6689" s="15"/>
      <c r="O6689" s="15"/>
      <c r="P6689" s="15"/>
      <c r="Q6689" s="15"/>
      <c r="R6689" s="422"/>
      <c r="S6689" s="15"/>
      <c r="T6689" s="15"/>
      <c r="U6689" s="15"/>
      <c r="V6689" s="15"/>
      <c r="W6689" s="15"/>
      <c r="X6689" s="15"/>
      <c r="Y6689" s="15"/>
      <c r="Z6689" s="15"/>
      <c r="AA6689" s="15"/>
    </row>
    <row r="6690">
      <c r="A6690" s="15"/>
      <c r="B6690" s="15"/>
      <c r="C6690" s="14"/>
      <c r="D6690" s="14"/>
      <c r="E6690" s="14"/>
      <c r="F6690" s="433"/>
      <c r="G6690" s="434"/>
      <c r="H6690" s="14"/>
      <c r="I6690" s="423"/>
      <c r="J6690" s="14"/>
      <c r="K6690" s="13"/>
      <c r="L6690" s="13"/>
      <c r="M6690" s="14"/>
      <c r="N6690" s="15"/>
      <c r="O6690" s="15"/>
      <c r="P6690" s="15"/>
      <c r="Q6690" s="15"/>
      <c r="R6690" s="422"/>
      <c r="S6690" s="15"/>
      <c r="T6690" s="15"/>
      <c r="U6690" s="15"/>
      <c r="V6690" s="15"/>
      <c r="W6690" s="15"/>
      <c r="X6690" s="15"/>
      <c r="Y6690" s="15"/>
      <c r="Z6690" s="15"/>
      <c r="AA6690" s="15"/>
    </row>
    <row r="6691">
      <c r="A6691" s="15"/>
      <c r="B6691" s="15"/>
      <c r="C6691" s="14"/>
      <c r="D6691" s="14"/>
      <c r="E6691" s="14"/>
      <c r="F6691" s="433"/>
      <c r="G6691" s="434"/>
      <c r="H6691" s="14"/>
      <c r="I6691" s="423"/>
      <c r="J6691" s="14"/>
      <c r="K6691" s="13"/>
      <c r="L6691" s="13"/>
      <c r="M6691" s="14"/>
      <c r="N6691" s="15"/>
      <c r="O6691" s="15"/>
      <c r="P6691" s="15"/>
      <c r="Q6691" s="15"/>
      <c r="R6691" s="422"/>
      <c r="S6691" s="15"/>
      <c r="T6691" s="15"/>
      <c r="U6691" s="15"/>
      <c r="V6691" s="15"/>
      <c r="W6691" s="15"/>
      <c r="X6691" s="15"/>
      <c r="Y6691" s="15"/>
      <c r="Z6691" s="15"/>
      <c r="AA6691" s="15"/>
    </row>
    <row r="6692">
      <c r="A6692" s="15"/>
      <c r="B6692" s="15"/>
      <c r="C6692" s="14"/>
      <c r="D6692" s="14"/>
      <c r="E6692" s="14"/>
      <c r="F6692" s="433"/>
      <c r="G6692" s="434"/>
      <c r="H6692" s="14"/>
      <c r="I6692" s="423"/>
      <c r="J6692" s="14"/>
      <c r="K6692" s="13"/>
      <c r="L6692" s="13"/>
      <c r="M6692" s="14"/>
      <c r="N6692" s="15"/>
      <c r="O6692" s="15"/>
      <c r="P6692" s="15"/>
      <c r="Q6692" s="15"/>
      <c r="R6692" s="422"/>
      <c r="S6692" s="15"/>
      <c r="T6692" s="15"/>
      <c r="U6692" s="15"/>
      <c r="V6692" s="15"/>
      <c r="W6692" s="15"/>
      <c r="X6692" s="15"/>
      <c r="Y6692" s="15"/>
      <c r="Z6692" s="15"/>
      <c r="AA6692" s="15"/>
    </row>
    <row r="6693">
      <c r="A6693" s="15"/>
      <c r="B6693" s="15"/>
      <c r="C6693" s="14"/>
      <c r="D6693" s="14"/>
      <c r="E6693" s="14"/>
      <c r="F6693" s="433"/>
      <c r="G6693" s="434"/>
      <c r="H6693" s="14"/>
      <c r="I6693" s="423"/>
      <c r="J6693" s="14"/>
      <c r="K6693" s="13"/>
      <c r="L6693" s="13"/>
      <c r="M6693" s="14"/>
      <c r="N6693" s="15"/>
      <c r="O6693" s="15"/>
      <c r="P6693" s="15"/>
      <c r="Q6693" s="15"/>
      <c r="R6693" s="422"/>
      <c r="S6693" s="15"/>
      <c r="T6693" s="15"/>
      <c r="U6693" s="15"/>
      <c r="V6693" s="15"/>
      <c r="W6693" s="15"/>
      <c r="X6693" s="15"/>
      <c r="Y6693" s="15"/>
      <c r="Z6693" s="15"/>
      <c r="AA6693" s="15"/>
    </row>
    <row r="6694">
      <c r="A6694" s="15"/>
      <c r="B6694" s="15"/>
      <c r="C6694" s="14"/>
      <c r="D6694" s="14"/>
      <c r="E6694" s="14"/>
      <c r="F6694" s="433"/>
      <c r="G6694" s="434"/>
      <c r="H6694" s="14"/>
      <c r="I6694" s="423"/>
      <c r="J6694" s="14"/>
      <c r="K6694" s="13"/>
      <c r="L6694" s="13"/>
      <c r="M6694" s="14"/>
      <c r="N6694" s="15"/>
      <c r="O6694" s="15"/>
      <c r="P6694" s="15"/>
      <c r="Q6694" s="15"/>
      <c r="R6694" s="422"/>
      <c r="S6694" s="15"/>
      <c r="T6694" s="15"/>
      <c r="U6694" s="15"/>
      <c r="V6694" s="15"/>
      <c r="W6694" s="15"/>
      <c r="X6694" s="15"/>
      <c r="Y6694" s="15"/>
      <c r="Z6694" s="15"/>
      <c r="AA6694" s="15"/>
    </row>
    <row r="6695">
      <c r="A6695" s="15"/>
      <c r="B6695" s="15"/>
      <c r="C6695" s="14"/>
      <c r="D6695" s="14"/>
      <c r="E6695" s="14"/>
      <c r="F6695" s="433"/>
      <c r="G6695" s="434"/>
      <c r="H6695" s="14"/>
      <c r="I6695" s="423"/>
      <c r="J6695" s="14"/>
      <c r="K6695" s="13"/>
      <c r="L6695" s="13"/>
      <c r="M6695" s="14"/>
      <c r="N6695" s="15"/>
      <c r="O6695" s="15"/>
      <c r="P6695" s="15"/>
      <c r="Q6695" s="15"/>
      <c r="R6695" s="422"/>
      <c r="S6695" s="15"/>
      <c r="T6695" s="15"/>
      <c r="U6695" s="15"/>
      <c r="V6695" s="15"/>
      <c r="W6695" s="15"/>
      <c r="X6695" s="15"/>
      <c r="Y6695" s="15"/>
      <c r="Z6695" s="15"/>
      <c r="AA6695" s="15"/>
    </row>
    <row r="6696">
      <c r="A6696" s="15"/>
      <c r="B6696" s="15"/>
      <c r="C6696" s="14"/>
      <c r="D6696" s="14"/>
      <c r="E6696" s="14"/>
      <c r="F6696" s="433"/>
      <c r="G6696" s="434"/>
      <c r="H6696" s="14"/>
      <c r="I6696" s="423"/>
      <c r="J6696" s="14"/>
      <c r="K6696" s="13"/>
      <c r="L6696" s="13"/>
      <c r="M6696" s="14"/>
      <c r="N6696" s="15"/>
      <c r="O6696" s="15"/>
      <c r="P6696" s="15"/>
      <c r="Q6696" s="15"/>
      <c r="R6696" s="422"/>
      <c r="S6696" s="15"/>
      <c r="T6696" s="15"/>
      <c r="U6696" s="15"/>
      <c r="V6696" s="15"/>
      <c r="W6696" s="15"/>
      <c r="X6696" s="15"/>
      <c r="Y6696" s="15"/>
      <c r="Z6696" s="15"/>
      <c r="AA6696" s="15"/>
    </row>
    <row r="6697">
      <c r="A6697" s="15"/>
      <c r="B6697" s="15"/>
      <c r="C6697" s="14"/>
      <c r="D6697" s="14"/>
      <c r="E6697" s="14"/>
      <c r="F6697" s="433"/>
      <c r="G6697" s="434"/>
      <c r="H6697" s="14"/>
      <c r="I6697" s="423"/>
      <c r="J6697" s="14"/>
      <c r="K6697" s="13"/>
      <c r="L6697" s="13"/>
      <c r="M6697" s="14"/>
      <c r="N6697" s="15"/>
      <c r="O6697" s="15"/>
      <c r="P6697" s="15"/>
      <c r="Q6697" s="15"/>
      <c r="R6697" s="422"/>
      <c r="S6697" s="15"/>
      <c r="T6697" s="15"/>
      <c r="U6697" s="15"/>
      <c r="V6697" s="15"/>
      <c r="W6697" s="15"/>
      <c r="X6697" s="15"/>
      <c r="Y6697" s="15"/>
      <c r="Z6697" s="15"/>
      <c r="AA6697" s="15"/>
    </row>
    <row r="6698">
      <c r="A6698" s="15"/>
      <c r="B6698" s="15"/>
      <c r="C6698" s="14"/>
      <c r="D6698" s="14"/>
      <c r="E6698" s="14"/>
      <c r="F6698" s="433"/>
      <c r="G6698" s="434"/>
      <c r="H6698" s="14"/>
      <c r="I6698" s="423"/>
      <c r="J6698" s="14"/>
      <c r="K6698" s="13"/>
      <c r="L6698" s="13"/>
      <c r="M6698" s="14"/>
      <c r="N6698" s="15"/>
      <c r="O6698" s="15"/>
      <c r="P6698" s="15"/>
      <c r="Q6698" s="15"/>
      <c r="R6698" s="422"/>
      <c r="S6698" s="15"/>
      <c r="T6698" s="15"/>
      <c r="U6698" s="15"/>
      <c r="V6698" s="15"/>
      <c r="W6698" s="15"/>
      <c r="X6698" s="15"/>
      <c r="Y6698" s="15"/>
      <c r="Z6698" s="15"/>
      <c r="AA6698" s="15"/>
    </row>
    <row r="6699">
      <c r="A6699" s="15"/>
      <c r="B6699" s="15"/>
      <c r="C6699" s="14"/>
      <c r="D6699" s="14"/>
      <c r="E6699" s="14"/>
      <c r="F6699" s="433"/>
      <c r="G6699" s="434"/>
      <c r="H6699" s="14"/>
      <c r="I6699" s="423"/>
      <c r="J6699" s="14"/>
      <c r="K6699" s="13"/>
      <c r="L6699" s="13"/>
      <c r="M6699" s="14"/>
      <c r="N6699" s="15"/>
      <c r="O6699" s="15"/>
      <c r="P6699" s="15"/>
      <c r="Q6699" s="15"/>
      <c r="R6699" s="422"/>
      <c r="S6699" s="15"/>
      <c r="T6699" s="15"/>
      <c r="U6699" s="15"/>
      <c r="V6699" s="15"/>
      <c r="W6699" s="15"/>
      <c r="X6699" s="15"/>
      <c r="Y6699" s="15"/>
      <c r="Z6699" s="15"/>
      <c r="AA6699" s="15"/>
    </row>
    <row r="6700">
      <c r="A6700" s="15"/>
      <c r="B6700" s="15"/>
      <c r="C6700" s="14"/>
      <c r="D6700" s="14"/>
      <c r="E6700" s="14"/>
      <c r="F6700" s="433"/>
      <c r="G6700" s="434"/>
      <c r="H6700" s="14"/>
      <c r="I6700" s="423"/>
      <c r="J6700" s="14"/>
      <c r="K6700" s="13"/>
      <c r="L6700" s="13"/>
      <c r="M6700" s="14"/>
      <c r="N6700" s="15"/>
      <c r="O6700" s="15"/>
      <c r="P6700" s="15"/>
      <c r="Q6700" s="15"/>
      <c r="R6700" s="422"/>
      <c r="S6700" s="15"/>
      <c r="T6700" s="15"/>
      <c r="U6700" s="15"/>
      <c r="V6700" s="15"/>
      <c r="W6700" s="15"/>
      <c r="X6700" s="15"/>
      <c r="Y6700" s="15"/>
      <c r="Z6700" s="15"/>
      <c r="AA6700" s="15"/>
    </row>
    <row r="6701">
      <c r="A6701" s="15"/>
      <c r="B6701" s="15"/>
      <c r="C6701" s="14"/>
      <c r="D6701" s="14"/>
      <c r="E6701" s="14"/>
      <c r="F6701" s="433"/>
      <c r="G6701" s="434"/>
      <c r="H6701" s="14"/>
      <c r="I6701" s="423"/>
      <c r="J6701" s="14"/>
      <c r="K6701" s="13"/>
      <c r="L6701" s="13"/>
      <c r="M6701" s="14"/>
      <c r="N6701" s="15"/>
      <c r="O6701" s="15"/>
      <c r="P6701" s="15"/>
      <c r="Q6701" s="15"/>
      <c r="R6701" s="422"/>
      <c r="S6701" s="15"/>
      <c r="T6701" s="15"/>
      <c r="U6701" s="15"/>
      <c r="V6701" s="15"/>
      <c r="W6701" s="15"/>
      <c r="X6701" s="15"/>
      <c r="Y6701" s="15"/>
      <c r="Z6701" s="15"/>
      <c r="AA6701" s="15"/>
    </row>
    <row r="6702">
      <c r="A6702" s="15"/>
      <c r="B6702" s="15"/>
      <c r="C6702" s="14"/>
      <c r="D6702" s="14"/>
      <c r="E6702" s="14"/>
      <c r="F6702" s="433"/>
      <c r="G6702" s="434"/>
      <c r="H6702" s="14"/>
      <c r="I6702" s="423"/>
      <c r="J6702" s="14"/>
      <c r="K6702" s="13"/>
      <c r="L6702" s="13"/>
      <c r="M6702" s="14"/>
      <c r="N6702" s="15"/>
      <c r="O6702" s="15"/>
      <c r="P6702" s="15"/>
      <c r="Q6702" s="15"/>
      <c r="R6702" s="422"/>
      <c r="S6702" s="15"/>
      <c r="T6702" s="15"/>
      <c r="U6702" s="15"/>
      <c r="V6702" s="15"/>
      <c r="W6702" s="15"/>
      <c r="X6702" s="15"/>
      <c r="Y6702" s="15"/>
      <c r="Z6702" s="15"/>
      <c r="AA6702" s="15"/>
    </row>
    <row r="6703">
      <c r="A6703" s="15"/>
      <c r="B6703" s="15"/>
      <c r="C6703" s="14"/>
      <c r="D6703" s="14"/>
      <c r="E6703" s="14"/>
      <c r="F6703" s="433"/>
      <c r="G6703" s="434"/>
      <c r="H6703" s="14"/>
      <c r="I6703" s="423"/>
      <c r="J6703" s="14"/>
      <c r="K6703" s="13"/>
      <c r="L6703" s="13"/>
      <c r="M6703" s="14"/>
      <c r="N6703" s="15"/>
      <c r="O6703" s="15"/>
      <c r="P6703" s="15"/>
      <c r="Q6703" s="15"/>
      <c r="R6703" s="422"/>
      <c r="S6703" s="15"/>
      <c r="T6703" s="15"/>
      <c r="U6703" s="15"/>
      <c r="V6703" s="15"/>
      <c r="W6703" s="15"/>
      <c r="X6703" s="15"/>
      <c r="Y6703" s="15"/>
      <c r="Z6703" s="15"/>
      <c r="AA6703" s="15"/>
    </row>
    <row r="6704">
      <c r="A6704" s="15"/>
      <c r="B6704" s="15"/>
      <c r="C6704" s="14"/>
      <c r="D6704" s="14"/>
      <c r="E6704" s="14"/>
      <c r="F6704" s="433"/>
      <c r="G6704" s="434"/>
      <c r="H6704" s="14"/>
      <c r="I6704" s="423"/>
      <c r="J6704" s="14"/>
      <c r="K6704" s="13"/>
      <c r="L6704" s="13"/>
      <c r="M6704" s="14"/>
      <c r="N6704" s="15"/>
      <c r="O6704" s="15"/>
      <c r="P6704" s="15"/>
      <c r="Q6704" s="15"/>
      <c r="R6704" s="422"/>
      <c r="S6704" s="15"/>
      <c r="T6704" s="15"/>
      <c r="U6704" s="15"/>
      <c r="V6704" s="15"/>
      <c r="W6704" s="15"/>
      <c r="X6704" s="15"/>
      <c r="Y6704" s="15"/>
      <c r="Z6704" s="15"/>
      <c r="AA6704" s="15"/>
    </row>
    <row r="6705">
      <c r="A6705" s="15"/>
      <c r="B6705" s="15"/>
      <c r="C6705" s="14"/>
      <c r="D6705" s="14"/>
      <c r="E6705" s="14"/>
      <c r="F6705" s="433"/>
      <c r="G6705" s="434"/>
      <c r="H6705" s="14"/>
      <c r="I6705" s="423"/>
      <c r="J6705" s="14"/>
      <c r="K6705" s="13"/>
      <c r="L6705" s="13"/>
      <c r="M6705" s="14"/>
      <c r="N6705" s="15"/>
      <c r="O6705" s="15"/>
      <c r="P6705" s="15"/>
      <c r="Q6705" s="15"/>
      <c r="R6705" s="422"/>
      <c r="S6705" s="15"/>
      <c r="T6705" s="15"/>
      <c r="U6705" s="15"/>
      <c r="V6705" s="15"/>
      <c r="W6705" s="15"/>
      <c r="X6705" s="15"/>
      <c r="Y6705" s="15"/>
      <c r="Z6705" s="15"/>
      <c r="AA6705" s="15"/>
    </row>
    <row r="6706">
      <c r="A6706" s="15"/>
      <c r="B6706" s="15"/>
      <c r="C6706" s="14"/>
      <c r="D6706" s="14"/>
      <c r="E6706" s="14"/>
      <c r="F6706" s="433"/>
      <c r="G6706" s="434"/>
      <c r="H6706" s="14"/>
      <c r="I6706" s="423"/>
      <c r="J6706" s="14"/>
      <c r="K6706" s="13"/>
      <c r="L6706" s="13"/>
      <c r="M6706" s="14"/>
      <c r="N6706" s="15"/>
      <c r="O6706" s="15"/>
      <c r="P6706" s="15"/>
      <c r="Q6706" s="15"/>
      <c r="R6706" s="422"/>
      <c r="S6706" s="15"/>
      <c r="T6706" s="15"/>
      <c r="U6706" s="15"/>
      <c r="V6706" s="15"/>
      <c r="W6706" s="15"/>
      <c r="X6706" s="15"/>
      <c r="Y6706" s="15"/>
      <c r="Z6706" s="15"/>
      <c r="AA6706" s="15"/>
    </row>
    <row r="6707">
      <c r="A6707" s="15"/>
      <c r="B6707" s="15"/>
      <c r="C6707" s="14"/>
      <c r="D6707" s="14"/>
      <c r="E6707" s="14"/>
      <c r="F6707" s="433"/>
      <c r="G6707" s="434"/>
      <c r="H6707" s="14"/>
      <c r="I6707" s="423"/>
      <c r="J6707" s="14"/>
      <c r="K6707" s="13"/>
      <c r="L6707" s="13"/>
      <c r="M6707" s="14"/>
      <c r="N6707" s="15"/>
      <c r="O6707" s="15"/>
      <c r="P6707" s="15"/>
      <c r="Q6707" s="15"/>
      <c r="R6707" s="422"/>
      <c r="S6707" s="15"/>
      <c r="T6707" s="15"/>
      <c r="U6707" s="15"/>
      <c r="V6707" s="15"/>
      <c r="W6707" s="15"/>
      <c r="X6707" s="15"/>
      <c r="Y6707" s="15"/>
      <c r="Z6707" s="15"/>
      <c r="AA6707" s="15"/>
    </row>
    <row r="6708">
      <c r="A6708" s="15"/>
      <c r="B6708" s="15"/>
      <c r="C6708" s="14"/>
      <c r="D6708" s="14"/>
      <c r="E6708" s="14"/>
      <c r="F6708" s="433"/>
      <c r="G6708" s="434"/>
      <c r="H6708" s="14"/>
      <c r="I6708" s="423"/>
      <c r="J6708" s="14"/>
      <c r="K6708" s="13"/>
      <c r="L6708" s="13"/>
      <c r="M6708" s="14"/>
      <c r="N6708" s="15"/>
      <c r="O6708" s="15"/>
      <c r="P6708" s="15"/>
      <c r="Q6708" s="15"/>
      <c r="R6708" s="422"/>
      <c r="S6708" s="15"/>
      <c r="T6708" s="15"/>
      <c r="U6708" s="15"/>
      <c r="V6708" s="15"/>
      <c r="W6708" s="15"/>
      <c r="X6708" s="15"/>
      <c r="Y6708" s="15"/>
      <c r="Z6708" s="15"/>
      <c r="AA6708" s="15"/>
    </row>
    <row r="6709">
      <c r="A6709" s="15"/>
      <c r="B6709" s="15"/>
      <c r="C6709" s="14"/>
      <c r="D6709" s="14"/>
      <c r="E6709" s="14"/>
      <c r="F6709" s="433"/>
      <c r="G6709" s="434"/>
      <c r="H6709" s="14"/>
      <c r="I6709" s="423"/>
      <c r="J6709" s="14"/>
      <c r="K6709" s="13"/>
      <c r="L6709" s="13"/>
      <c r="M6709" s="14"/>
      <c r="N6709" s="15"/>
      <c r="O6709" s="15"/>
      <c r="P6709" s="15"/>
      <c r="Q6709" s="15"/>
      <c r="R6709" s="422"/>
      <c r="S6709" s="15"/>
      <c r="T6709" s="15"/>
      <c r="U6709" s="15"/>
      <c r="V6709" s="15"/>
      <c r="W6709" s="15"/>
      <c r="X6709" s="15"/>
      <c r="Y6709" s="15"/>
      <c r="Z6709" s="15"/>
      <c r="AA6709" s="15"/>
    </row>
    <row r="6710">
      <c r="A6710" s="15"/>
      <c r="B6710" s="15"/>
      <c r="C6710" s="14"/>
      <c r="D6710" s="14"/>
      <c r="E6710" s="14"/>
      <c r="F6710" s="433"/>
      <c r="G6710" s="434"/>
      <c r="H6710" s="14"/>
      <c r="I6710" s="423"/>
      <c r="J6710" s="14"/>
      <c r="K6710" s="13"/>
      <c r="L6710" s="13"/>
      <c r="M6710" s="14"/>
      <c r="N6710" s="15"/>
      <c r="O6710" s="15"/>
      <c r="P6710" s="15"/>
      <c r="Q6710" s="15"/>
      <c r="R6710" s="422"/>
      <c r="S6710" s="15"/>
      <c r="T6710" s="15"/>
      <c r="U6710" s="15"/>
      <c r="V6710" s="15"/>
      <c r="W6710" s="15"/>
      <c r="X6710" s="15"/>
      <c r="Y6710" s="15"/>
      <c r="Z6710" s="15"/>
      <c r="AA6710" s="15"/>
    </row>
    <row r="6711">
      <c r="A6711" s="15"/>
      <c r="B6711" s="15"/>
      <c r="C6711" s="14"/>
      <c r="D6711" s="14"/>
      <c r="E6711" s="14"/>
      <c r="F6711" s="433"/>
      <c r="G6711" s="434"/>
      <c r="H6711" s="14"/>
      <c r="I6711" s="423"/>
      <c r="J6711" s="14"/>
      <c r="K6711" s="13"/>
      <c r="L6711" s="13"/>
      <c r="M6711" s="14"/>
      <c r="N6711" s="15"/>
      <c r="O6711" s="15"/>
      <c r="P6711" s="15"/>
      <c r="Q6711" s="15"/>
      <c r="R6711" s="422"/>
      <c r="S6711" s="15"/>
      <c r="T6711" s="15"/>
      <c r="U6711" s="15"/>
      <c r="V6711" s="15"/>
      <c r="W6711" s="15"/>
      <c r="X6711" s="15"/>
      <c r="Y6711" s="15"/>
      <c r="Z6711" s="15"/>
      <c r="AA6711" s="15"/>
    </row>
    <row r="6712">
      <c r="A6712" s="15"/>
      <c r="B6712" s="15"/>
      <c r="C6712" s="14"/>
      <c r="D6712" s="14"/>
      <c r="E6712" s="14"/>
      <c r="F6712" s="433"/>
      <c r="G6712" s="434"/>
      <c r="H6712" s="14"/>
      <c r="I6712" s="423"/>
      <c r="J6712" s="14"/>
      <c r="K6712" s="13"/>
      <c r="L6712" s="13"/>
      <c r="M6712" s="14"/>
      <c r="N6712" s="15"/>
      <c r="O6712" s="15"/>
      <c r="P6712" s="15"/>
      <c r="Q6712" s="15"/>
      <c r="R6712" s="422"/>
      <c r="S6712" s="15"/>
      <c r="T6712" s="15"/>
      <c r="U6712" s="15"/>
      <c r="V6712" s="15"/>
      <c r="W6712" s="15"/>
      <c r="X6712" s="15"/>
      <c r="Y6712" s="15"/>
      <c r="Z6712" s="15"/>
      <c r="AA6712" s="15"/>
    </row>
    <row r="6713">
      <c r="A6713" s="15"/>
      <c r="B6713" s="15"/>
      <c r="C6713" s="14"/>
      <c r="D6713" s="14"/>
      <c r="E6713" s="14"/>
      <c r="F6713" s="433"/>
      <c r="G6713" s="434"/>
      <c r="H6713" s="14"/>
      <c r="I6713" s="423"/>
      <c r="J6713" s="14"/>
      <c r="K6713" s="13"/>
      <c r="L6713" s="13"/>
      <c r="M6713" s="14"/>
      <c r="N6713" s="15"/>
      <c r="O6713" s="15"/>
      <c r="P6713" s="15"/>
      <c r="Q6713" s="15"/>
      <c r="R6713" s="422"/>
      <c r="S6713" s="15"/>
      <c r="T6713" s="15"/>
      <c r="U6713" s="15"/>
      <c r="V6713" s="15"/>
      <c r="W6713" s="15"/>
      <c r="X6713" s="15"/>
      <c r="Y6713" s="15"/>
      <c r="Z6713" s="15"/>
      <c r="AA6713" s="15"/>
    </row>
    <row r="6714">
      <c r="A6714" s="15"/>
      <c r="B6714" s="15"/>
      <c r="C6714" s="14"/>
      <c r="D6714" s="14"/>
      <c r="E6714" s="14"/>
      <c r="F6714" s="433"/>
      <c r="G6714" s="434"/>
      <c r="H6714" s="14"/>
      <c r="I6714" s="423"/>
      <c r="J6714" s="14"/>
      <c r="K6714" s="13"/>
      <c r="L6714" s="13"/>
      <c r="M6714" s="14"/>
      <c r="N6714" s="15"/>
      <c r="O6714" s="15"/>
      <c r="P6714" s="15"/>
      <c r="Q6714" s="15"/>
      <c r="R6714" s="422"/>
      <c r="S6714" s="15"/>
      <c r="T6714" s="15"/>
      <c r="U6714" s="15"/>
      <c r="V6714" s="15"/>
      <c r="W6714" s="15"/>
      <c r="X6714" s="15"/>
      <c r="Y6714" s="15"/>
      <c r="Z6714" s="15"/>
      <c r="AA6714" s="15"/>
    </row>
    <row r="6715">
      <c r="A6715" s="15"/>
      <c r="B6715" s="15"/>
      <c r="C6715" s="14"/>
      <c r="D6715" s="14"/>
      <c r="E6715" s="14"/>
      <c r="F6715" s="433"/>
      <c r="G6715" s="434"/>
      <c r="H6715" s="14"/>
      <c r="I6715" s="423"/>
      <c r="J6715" s="14"/>
      <c r="K6715" s="13"/>
      <c r="L6715" s="13"/>
      <c r="M6715" s="14"/>
      <c r="N6715" s="15"/>
      <c r="O6715" s="15"/>
      <c r="P6715" s="15"/>
      <c r="Q6715" s="15"/>
      <c r="R6715" s="422"/>
      <c r="S6715" s="15"/>
      <c r="T6715" s="15"/>
      <c r="U6715" s="15"/>
      <c r="V6715" s="15"/>
      <c r="W6715" s="15"/>
      <c r="X6715" s="15"/>
      <c r="Y6715" s="15"/>
      <c r="Z6715" s="15"/>
      <c r="AA6715" s="15"/>
    </row>
    <row r="6716">
      <c r="A6716" s="15"/>
      <c r="B6716" s="15"/>
      <c r="C6716" s="14"/>
      <c r="D6716" s="14"/>
      <c r="E6716" s="14"/>
      <c r="F6716" s="433"/>
      <c r="G6716" s="434"/>
      <c r="H6716" s="14"/>
      <c r="I6716" s="423"/>
      <c r="J6716" s="14"/>
      <c r="K6716" s="13"/>
      <c r="L6716" s="13"/>
      <c r="M6716" s="14"/>
      <c r="N6716" s="15"/>
      <c r="O6716" s="15"/>
      <c r="P6716" s="15"/>
      <c r="Q6716" s="15"/>
      <c r="R6716" s="422"/>
      <c r="S6716" s="15"/>
      <c r="T6716" s="15"/>
      <c r="U6716" s="15"/>
      <c r="V6716" s="15"/>
      <c r="W6716" s="15"/>
      <c r="X6716" s="15"/>
      <c r="Y6716" s="15"/>
      <c r="Z6716" s="15"/>
      <c r="AA6716" s="15"/>
    </row>
    <row r="6717">
      <c r="A6717" s="15"/>
      <c r="B6717" s="15"/>
      <c r="C6717" s="14"/>
      <c r="D6717" s="14"/>
      <c r="E6717" s="14"/>
      <c r="F6717" s="433"/>
      <c r="G6717" s="434"/>
      <c r="H6717" s="14"/>
      <c r="I6717" s="423"/>
      <c r="J6717" s="14"/>
      <c r="K6717" s="13"/>
      <c r="L6717" s="13"/>
      <c r="M6717" s="14"/>
      <c r="N6717" s="15"/>
      <c r="O6717" s="15"/>
      <c r="P6717" s="15"/>
      <c r="Q6717" s="15"/>
      <c r="R6717" s="422"/>
      <c r="S6717" s="15"/>
      <c r="T6717" s="15"/>
      <c r="U6717" s="15"/>
      <c r="V6717" s="15"/>
      <c r="W6717" s="15"/>
      <c r="X6717" s="15"/>
      <c r="Y6717" s="15"/>
      <c r="Z6717" s="15"/>
      <c r="AA6717" s="15"/>
    </row>
    <row r="6718">
      <c r="A6718" s="15"/>
      <c r="B6718" s="15"/>
      <c r="C6718" s="14"/>
      <c r="D6718" s="14"/>
      <c r="E6718" s="14"/>
      <c r="F6718" s="433"/>
      <c r="G6718" s="434"/>
      <c r="H6718" s="14"/>
      <c r="I6718" s="423"/>
      <c r="J6718" s="14"/>
      <c r="K6718" s="13"/>
      <c r="L6718" s="13"/>
      <c r="M6718" s="14"/>
      <c r="N6718" s="15"/>
      <c r="O6718" s="15"/>
      <c r="P6718" s="15"/>
      <c r="Q6718" s="15"/>
      <c r="R6718" s="422"/>
      <c r="S6718" s="15"/>
      <c r="T6718" s="15"/>
      <c r="U6718" s="15"/>
      <c r="V6718" s="15"/>
      <c r="W6718" s="15"/>
      <c r="X6718" s="15"/>
      <c r="Y6718" s="15"/>
      <c r="Z6718" s="15"/>
      <c r="AA6718" s="15"/>
    </row>
    <row r="6719">
      <c r="A6719" s="15"/>
      <c r="B6719" s="15"/>
      <c r="C6719" s="14"/>
      <c r="D6719" s="14"/>
      <c r="E6719" s="14"/>
      <c r="F6719" s="433"/>
      <c r="G6719" s="434"/>
      <c r="H6719" s="14"/>
      <c r="I6719" s="423"/>
      <c r="J6719" s="14"/>
      <c r="K6719" s="13"/>
      <c r="L6719" s="13"/>
      <c r="M6719" s="14"/>
      <c r="N6719" s="15"/>
      <c r="O6719" s="15"/>
      <c r="P6719" s="15"/>
      <c r="Q6719" s="15"/>
      <c r="R6719" s="422"/>
      <c r="S6719" s="15"/>
      <c r="T6719" s="15"/>
      <c r="U6719" s="15"/>
      <c r="V6719" s="15"/>
      <c r="W6719" s="15"/>
      <c r="X6719" s="15"/>
      <c r="Y6719" s="15"/>
      <c r="Z6719" s="15"/>
      <c r="AA6719" s="15"/>
    </row>
    <row r="6720">
      <c r="A6720" s="15"/>
      <c r="B6720" s="15"/>
      <c r="C6720" s="14"/>
      <c r="D6720" s="14"/>
      <c r="E6720" s="14"/>
      <c r="F6720" s="433"/>
      <c r="G6720" s="434"/>
      <c r="H6720" s="14"/>
      <c r="I6720" s="423"/>
      <c r="J6720" s="14"/>
      <c r="K6720" s="13"/>
      <c r="L6720" s="13"/>
      <c r="M6720" s="14"/>
      <c r="N6720" s="15"/>
      <c r="O6720" s="15"/>
      <c r="P6720" s="15"/>
      <c r="Q6720" s="15"/>
      <c r="R6720" s="422"/>
      <c r="S6720" s="15"/>
      <c r="T6720" s="15"/>
      <c r="U6720" s="15"/>
      <c r="V6720" s="15"/>
      <c r="W6720" s="15"/>
      <c r="X6720" s="15"/>
      <c r="Y6720" s="15"/>
      <c r="Z6720" s="15"/>
      <c r="AA6720" s="15"/>
    </row>
    <row r="6721">
      <c r="A6721" s="15"/>
      <c r="B6721" s="15"/>
      <c r="C6721" s="14"/>
      <c r="D6721" s="14"/>
      <c r="E6721" s="14"/>
      <c r="F6721" s="433"/>
      <c r="G6721" s="434"/>
      <c r="H6721" s="14"/>
      <c r="I6721" s="423"/>
      <c r="J6721" s="14"/>
      <c r="K6721" s="13"/>
      <c r="L6721" s="13"/>
      <c r="M6721" s="14"/>
      <c r="N6721" s="15"/>
      <c r="O6721" s="15"/>
      <c r="P6721" s="15"/>
      <c r="Q6721" s="15"/>
      <c r="R6721" s="422"/>
      <c r="S6721" s="15"/>
      <c r="T6721" s="15"/>
      <c r="U6721" s="15"/>
      <c r="V6721" s="15"/>
      <c r="W6721" s="15"/>
      <c r="X6721" s="15"/>
      <c r="Y6721" s="15"/>
      <c r="Z6721" s="15"/>
      <c r="AA6721" s="15"/>
    </row>
    <row r="6722">
      <c r="A6722" s="15"/>
      <c r="B6722" s="15"/>
      <c r="C6722" s="14"/>
      <c r="D6722" s="14"/>
      <c r="E6722" s="14"/>
      <c r="F6722" s="433"/>
      <c r="G6722" s="434"/>
      <c r="H6722" s="14"/>
      <c r="I6722" s="423"/>
      <c r="J6722" s="14"/>
      <c r="K6722" s="13"/>
      <c r="L6722" s="13"/>
      <c r="M6722" s="14"/>
      <c r="N6722" s="15"/>
      <c r="O6722" s="15"/>
      <c r="P6722" s="15"/>
      <c r="Q6722" s="15"/>
      <c r="R6722" s="422"/>
      <c r="S6722" s="15"/>
      <c r="T6722" s="15"/>
      <c r="U6722" s="15"/>
      <c r="V6722" s="15"/>
      <c r="W6722" s="15"/>
      <c r="X6722" s="15"/>
      <c r="Y6722" s="15"/>
      <c r="Z6722" s="15"/>
      <c r="AA6722" s="15"/>
    </row>
    <row r="6723">
      <c r="A6723" s="15"/>
      <c r="B6723" s="15"/>
      <c r="C6723" s="14"/>
      <c r="D6723" s="14"/>
      <c r="E6723" s="14"/>
      <c r="F6723" s="433"/>
      <c r="G6723" s="434"/>
      <c r="H6723" s="14"/>
      <c r="I6723" s="423"/>
      <c r="J6723" s="14"/>
      <c r="K6723" s="13"/>
      <c r="L6723" s="13"/>
      <c r="M6723" s="14"/>
      <c r="N6723" s="15"/>
      <c r="O6723" s="15"/>
      <c r="P6723" s="15"/>
      <c r="Q6723" s="15"/>
      <c r="R6723" s="422"/>
      <c r="S6723" s="15"/>
      <c r="T6723" s="15"/>
      <c r="U6723" s="15"/>
      <c r="V6723" s="15"/>
      <c r="W6723" s="15"/>
      <c r="X6723" s="15"/>
      <c r="Y6723" s="15"/>
      <c r="Z6723" s="15"/>
      <c r="AA6723" s="15"/>
    </row>
    <row r="6724">
      <c r="A6724" s="15"/>
      <c r="B6724" s="15"/>
      <c r="C6724" s="14"/>
      <c r="D6724" s="14"/>
      <c r="E6724" s="14"/>
      <c r="F6724" s="433"/>
      <c r="G6724" s="434"/>
      <c r="H6724" s="14"/>
      <c r="I6724" s="423"/>
      <c r="J6724" s="14"/>
      <c r="K6724" s="13"/>
      <c r="L6724" s="13"/>
      <c r="M6724" s="14"/>
      <c r="N6724" s="15"/>
      <c r="O6724" s="15"/>
      <c r="P6724" s="15"/>
      <c r="Q6724" s="15"/>
      <c r="R6724" s="422"/>
      <c r="S6724" s="15"/>
      <c r="T6724" s="15"/>
      <c r="U6724" s="15"/>
      <c r="V6724" s="15"/>
      <c r="W6724" s="15"/>
      <c r="X6724" s="15"/>
      <c r="Y6724" s="15"/>
      <c r="Z6724" s="15"/>
      <c r="AA6724" s="15"/>
    </row>
    <row r="6725">
      <c r="A6725" s="15"/>
      <c r="B6725" s="15"/>
      <c r="C6725" s="14"/>
      <c r="D6725" s="14"/>
      <c r="E6725" s="14"/>
      <c r="F6725" s="433"/>
      <c r="G6725" s="434"/>
      <c r="H6725" s="14"/>
      <c r="I6725" s="423"/>
      <c r="J6725" s="14"/>
      <c r="K6725" s="13"/>
      <c r="L6725" s="13"/>
      <c r="M6725" s="14"/>
      <c r="N6725" s="15"/>
      <c r="O6725" s="15"/>
      <c r="P6725" s="15"/>
      <c r="Q6725" s="15"/>
      <c r="R6725" s="422"/>
      <c r="S6725" s="15"/>
      <c r="T6725" s="15"/>
      <c r="U6725" s="15"/>
      <c r="V6725" s="15"/>
      <c r="W6725" s="15"/>
      <c r="X6725" s="15"/>
      <c r="Y6725" s="15"/>
      <c r="Z6725" s="15"/>
      <c r="AA6725" s="15"/>
    </row>
    <row r="6726">
      <c r="A6726" s="15"/>
      <c r="B6726" s="15"/>
      <c r="C6726" s="14"/>
      <c r="D6726" s="14"/>
      <c r="E6726" s="14"/>
      <c r="F6726" s="433"/>
      <c r="G6726" s="434"/>
      <c r="H6726" s="14"/>
      <c r="I6726" s="423"/>
      <c r="J6726" s="14"/>
      <c r="K6726" s="13"/>
      <c r="L6726" s="13"/>
      <c r="M6726" s="14"/>
      <c r="N6726" s="15"/>
      <c r="O6726" s="15"/>
      <c r="P6726" s="15"/>
      <c r="Q6726" s="15"/>
      <c r="R6726" s="422"/>
      <c r="S6726" s="15"/>
      <c r="T6726" s="15"/>
      <c r="U6726" s="15"/>
      <c r="V6726" s="15"/>
      <c r="W6726" s="15"/>
      <c r="X6726" s="15"/>
      <c r="Y6726" s="15"/>
      <c r="Z6726" s="15"/>
      <c r="AA6726" s="15"/>
    </row>
    <row r="6727">
      <c r="A6727" s="15"/>
      <c r="B6727" s="15"/>
      <c r="C6727" s="14"/>
      <c r="D6727" s="14"/>
      <c r="E6727" s="14"/>
      <c r="F6727" s="433"/>
      <c r="G6727" s="434"/>
      <c r="H6727" s="14"/>
      <c r="I6727" s="423"/>
      <c r="J6727" s="14"/>
      <c r="K6727" s="13"/>
      <c r="L6727" s="13"/>
      <c r="M6727" s="14"/>
      <c r="N6727" s="15"/>
      <c r="O6727" s="15"/>
      <c r="P6727" s="15"/>
      <c r="Q6727" s="15"/>
      <c r="R6727" s="422"/>
      <c r="S6727" s="15"/>
      <c r="T6727" s="15"/>
      <c r="U6727" s="15"/>
      <c r="V6727" s="15"/>
      <c r="W6727" s="15"/>
      <c r="X6727" s="15"/>
      <c r="Y6727" s="15"/>
      <c r="Z6727" s="15"/>
      <c r="AA6727" s="15"/>
    </row>
    <row r="6728">
      <c r="A6728" s="15"/>
      <c r="B6728" s="15"/>
      <c r="C6728" s="14"/>
      <c r="D6728" s="14"/>
      <c r="E6728" s="14"/>
      <c r="F6728" s="433"/>
      <c r="G6728" s="434"/>
      <c r="H6728" s="14"/>
      <c r="I6728" s="423"/>
      <c r="J6728" s="14"/>
      <c r="K6728" s="13"/>
      <c r="L6728" s="13"/>
      <c r="M6728" s="14"/>
      <c r="N6728" s="15"/>
      <c r="O6728" s="15"/>
      <c r="P6728" s="15"/>
      <c r="Q6728" s="15"/>
      <c r="R6728" s="422"/>
      <c r="S6728" s="15"/>
      <c r="T6728" s="15"/>
      <c r="U6728" s="15"/>
      <c r="V6728" s="15"/>
      <c r="W6728" s="15"/>
      <c r="X6728" s="15"/>
      <c r="Y6728" s="15"/>
      <c r="Z6728" s="15"/>
      <c r="AA6728" s="15"/>
    </row>
    <row r="6729">
      <c r="A6729" s="15"/>
      <c r="B6729" s="15"/>
      <c r="C6729" s="14"/>
      <c r="D6729" s="14"/>
      <c r="E6729" s="14"/>
      <c r="F6729" s="433"/>
      <c r="G6729" s="434"/>
      <c r="H6729" s="14"/>
      <c r="I6729" s="423"/>
      <c r="J6729" s="14"/>
      <c r="K6729" s="13"/>
      <c r="L6729" s="13"/>
      <c r="M6729" s="14"/>
      <c r="N6729" s="15"/>
      <c r="O6729" s="15"/>
      <c r="P6729" s="15"/>
      <c r="Q6729" s="15"/>
      <c r="R6729" s="422"/>
      <c r="S6729" s="15"/>
      <c r="T6729" s="15"/>
      <c r="U6729" s="15"/>
      <c r="V6729" s="15"/>
      <c r="W6729" s="15"/>
      <c r="X6729" s="15"/>
      <c r="Y6729" s="15"/>
      <c r="Z6729" s="15"/>
      <c r="AA6729" s="15"/>
    </row>
    <row r="6730">
      <c r="A6730" s="15"/>
      <c r="B6730" s="15"/>
      <c r="C6730" s="14"/>
      <c r="D6730" s="14"/>
      <c r="E6730" s="14"/>
      <c r="F6730" s="433"/>
      <c r="G6730" s="434"/>
      <c r="H6730" s="14"/>
      <c r="I6730" s="423"/>
      <c r="J6730" s="14"/>
      <c r="K6730" s="13"/>
      <c r="L6730" s="13"/>
      <c r="M6730" s="14"/>
      <c r="N6730" s="15"/>
      <c r="O6730" s="15"/>
      <c r="P6730" s="15"/>
      <c r="Q6730" s="15"/>
      <c r="R6730" s="422"/>
      <c r="S6730" s="15"/>
      <c r="T6730" s="15"/>
      <c r="U6730" s="15"/>
      <c r="V6730" s="15"/>
      <c r="W6730" s="15"/>
      <c r="X6730" s="15"/>
      <c r="Y6730" s="15"/>
      <c r="Z6730" s="15"/>
      <c r="AA6730" s="15"/>
    </row>
    <row r="6731">
      <c r="A6731" s="15"/>
      <c r="B6731" s="15"/>
      <c r="C6731" s="14"/>
      <c r="D6731" s="14"/>
      <c r="E6731" s="14"/>
      <c r="F6731" s="433"/>
      <c r="G6731" s="434"/>
      <c r="H6731" s="14"/>
      <c r="I6731" s="423"/>
      <c r="J6731" s="14"/>
      <c r="K6731" s="13"/>
      <c r="L6731" s="13"/>
      <c r="M6731" s="14"/>
      <c r="N6731" s="15"/>
      <c r="O6731" s="15"/>
      <c r="P6731" s="15"/>
      <c r="Q6731" s="15"/>
      <c r="R6731" s="422"/>
      <c r="S6731" s="15"/>
      <c r="T6731" s="15"/>
      <c r="U6731" s="15"/>
      <c r="V6731" s="15"/>
      <c r="W6731" s="15"/>
      <c r="X6731" s="15"/>
      <c r="Y6731" s="15"/>
      <c r="Z6731" s="15"/>
      <c r="AA6731" s="15"/>
    </row>
    <row r="6732">
      <c r="A6732" s="15"/>
      <c r="B6732" s="15"/>
      <c r="C6732" s="14"/>
      <c r="D6732" s="14"/>
      <c r="E6732" s="14"/>
      <c r="F6732" s="433"/>
      <c r="G6732" s="434"/>
      <c r="H6732" s="14"/>
      <c r="I6732" s="423"/>
      <c r="J6732" s="14"/>
      <c r="K6732" s="13"/>
      <c r="L6732" s="13"/>
      <c r="M6732" s="14"/>
      <c r="N6732" s="15"/>
      <c r="O6732" s="15"/>
      <c r="P6732" s="15"/>
      <c r="Q6732" s="15"/>
      <c r="R6732" s="422"/>
      <c r="S6732" s="15"/>
      <c r="T6732" s="15"/>
      <c r="U6732" s="15"/>
      <c r="V6732" s="15"/>
      <c r="W6732" s="15"/>
      <c r="X6732" s="15"/>
      <c r="Y6732" s="15"/>
      <c r="Z6732" s="15"/>
      <c r="AA6732" s="15"/>
    </row>
    <row r="6733">
      <c r="A6733" s="15"/>
      <c r="B6733" s="15"/>
      <c r="C6733" s="14"/>
      <c r="D6733" s="14"/>
      <c r="E6733" s="14"/>
      <c r="F6733" s="433"/>
      <c r="G6733" s="434"/>
      <c r="H6733" s="14"/>
      <c r="I6733" s="423"/>
      <c r="J6733" s="14"/>
      <c r="K6733" s="13"/>
      <c r="L6733" s="13"/>
      <c r="M6733" s="14"/>
      <c r="N6733" s="15"/>
      <c r="O6733" s="15"/>
      <c r="P6733" s="15"/>
      <c r="Q6733" s="15"/>
      <c r="R6733" s="422"/>
      <c r="S6733" s="15"/>
      <c r="T6733" s="15"/>
      <c r="U6733" s="15"/>
      <c r="V6733" s="15"/>
      <c r="W6733" s="15"/>
      <c r="X6733" s="15"/>
      <c r="Y6733" s="15"/>
      <c r="Z6733" s="15"/>
      <c r="AA6733" s="15"/>
    </row>
    <row r="6734">
      <c r="A6734" s="15"/>
      <c r="B6734" s="15"/>
      <c r="C6734" s="14"/>
      <c r="D6734" s="14"/>
      <c r="E6734" s="14"/>
      <c r="F6734" s="433"/>
      <c r="G6734" s="434"/>
      <c r="H6734" s="14"/>
      <c r="I6734" s="423"/>
      <c r="J6734" s="14"/>
      <c r="K6734" s="13"/>
      <c r="L6734" s="13"/>
      <c r="M6734" s="14"/>
      <c r="N6734" s="15"/>
      <c r="O6734" s="15"/>
      <c r="P6734" s="15"/>
      <c r="Q6734" s="15"/>
      <c r="R6734" s="422"/>
      <c r="S6734" s="15"/>
      <c r="T6734" s="15"/>
      <c r="U6734" s="15"/>
      <c r="V6734" s="15"/>
      <c r="W6734" s="15"/>
      <c r="X6734" s="15"/>
      <c r="Y6734" s="15"/>
      <c r="Z6734" s="15"/>
      <c r="AA6734" s="15"/>
    </row>
    <row r="6735">
      <c r="A6735" s="15"/>
      <c r="B6735" s="15"/>
      <c r="C6735" s="14"/>
      <c r="D6735" s="14"/>
      <c r="E6735" s="14"/>
      <c r="F6735" s="433"/>
      <c r="G6735" s="434"/>
      <c r="H6735" s="14"/>
      <c r="I6735" s="423"/>
      <c r="J6735" s="14"/>
      <c r="K6735" s="13"/>
      <c r="L6735" s="13"/>
      <c r="M6735" s="14"/>
      <c r="N6735" s="15"/>
      <c r="O6735" s="15"/>
      <c r="P6735" s="15"/>
      <c r="Q6735" s="15"/>
      <c r="R6735" s="422"/>
      <c r="S6735" s="15"/>
      <c r="T6735" s="15"/>
      <c r="U6735" s="15"/>
      <c r="V6735" s="15"/>
      <c r="W6735" s="15"/>
      <c r="X6735" s="15"/>
      <c r="Y6735" s="15"/>
      <c r="Z6735" s="15"/>
      <c r="AA6735" s="15"/>
    </row>
    <row r="6736">
      <c r="A6736" s="15"/>
      <c r="B6736" s="15"/>
      <c r="C6736" s="14"/>
      <c r="D6736" s="14"/>
      <c r="E6736" s="14"/>
      <c r="F6736" s="433"/>
      <c r="G6736" s="434"/>
      <c r="H6736" s="14"/>
      <c r="I6736" s="423"/>
      <c r="J6736" s="14"/>
      <c r="K6736" s="13"/>
      <c r="L6736" s="13"/>
      <c r="M6736" s="14"/>
      <c r="N6736" s="15"/>
      <c r="O6736" s="15"/>
      <c r="P6736" s="15"/>
      <c r="Q6736" s="15"/>
      <c r="R6736" s="422"/>
      <c r="S6736" s="15"/>
      <c r="T6736" s="15"/>
      <c r="U6736" s="15"/>
      <c r="V6736" s="15"/>
      <c r="W6736" s="15"/>
      <c r="X6736" s="15"/>
      <c r="Y6736" s="15"/>
      <c r="Z6736" s="15"/>
      <c r="AA6736" s="15"/>
    </row>
    <row r="6737">
      <c r="A6737" s="15"/>
      <c r="B6737" s="15"/>
      <c r="C6737" s="14"/>
      <c r="D6737" s="14"/>
      <c r="E6737" s="14"/>
      <c r="F6737" s="433"/>
      <c r="G6737" s="434"/>
      <c r="H6737" s="14"/>
      <c r="I6737" s="423"/>
      <c r="J6737" s="14"/>
      <c r="K6737" s="13"/>
      <c r="L6737" s="13"/>
      <c r="M6737" s="14"/>
      <c r="N6737" s="15"/>
      <c r="O6737" s="15"/>
      <c r="P6737" s="15"/>
      <c r="Q6737" s="15"/>
      <c r="R6737" s="422"/>
      <c r="S6737" s="15"/>
      <c r="T6737" s="15"/>
      <c r="U6737" s="15"/>
      <c r="V6737" s="15"/>
      <c r="W6737" s="15"/>
      <c r="X6737" s="15"/>
      <c r="Y6737" s="15"/>
      <c r="Z6737" s="15"/>
      <c r="AA6737" s="15"/>
    </row>
    <row r="6738">
      <c r="A6738" s="15"/>
      <c r="B6738" s="15"/>
      <c r="C6738" s="14"/>
      <c r="D6738" s="14"/>
      <c r="E6738" s="14"/>
      <c r="F6738" s="433"/>
      <c r="G6738" s="434"/>
      <c r="H6738" s="14"/>
      <c r="I6738" s="423"/>
      <c r="J6738" s="14"/>
      <c r="K6738" s="13"/>
      <c r="L6738" s="13"/>
      <c r="M6738" s="14"/>
      <c r="N6738" s="15"/>
      <c r="O6738" s="15"/>
      <c r="P6738" s="15"/>
      <c r="Q6738" s="15"/>
      <c r="R6738" s="422"/>
      <c r="S6738" s="15"/>
      <c r="T6738" s="15"/>
      <c r="U6738" s="15"/>
      <c r="V6738" s="15"/>
      <c r="W6738" s="15"/>
      <c r="X6738" s="15"/>
      <c r="Y6738" s="15"/>
      <c r="Z6738" s="15"/>
      <c r="AA6738" s="15"/>
    </row>
    <row r="6739">
      <c r="A6739" s="15"/>
      <c r="B6739" s="15"/>
      <c r="C6739" s="14"/>
      <c r="D6739" s="14"/>
      <c r="E6739" s="14"/>
      <c r="F6739" s="433"/>
      <c r="G6739" s="434"/>
      <c r="H6739" s="14"/>
      <c r="I6739" s="423"/>
      <c r="J6739" s="14"/>
      <c r="K6739" s="13"/>
      <c r="L6739" s="13"/>
      <c r="M6739" s="14"/>
      <c r="N6739" s="15"/>
      <c r="O6739" s="15"/>
      <c r="P6739" s="15"/>
      <c r="Q6739" s="15"/>
      <c r="R6739" s="422"/>
      <c r="S6739" s="15"/>
      <c r="T6739" s="15"/>
      <c r="U6739" s="15"/>
      <c r="V6739" s="15"/>
      <c r="W6739" s="15"/>
      <c r="X6739" s="15"/>
      <c r="Y6739" s="15"/>
      <c r="Z6739" s="15"/>
      <c r="AA6739" s="15"/>
    </row>
    <row r="6740">
      <c r="A6740" s="15"/>
      <c r="B6740" s="15"/>
      <c r="C6740" s="14"/>
      <c r="D6740" s="14"/>
      <c r="E6740" s="14"/>
      <c r="F6740" s="433"/>
      <c r="G6740" s="434"/>
      <c r="H6740" s="14"/>
      <c r="I6740" s="423"/>
      <c r="J6740" s="14"/>
      <c r="K6740" s="13"/>
      <c r="L6740" s="13"/>
      <c r="M6740" s="14"/>
      <c r="N6740" s="15"/>
      <c r="O6740" s="15"/>
      <c r="P6740" s="15"/>
      <c r="Q6740" s="15"/>
      <c r="R6740" s="422"/>
      <c r="S6740" s="15"/>
      <c r="T6740" s="15"/>
      <c r="U6740" s="15"/>
      <c r="V6740" s="15"/>
      <c r="W6740" s="15"/>
      <c r="X6740" s="15"/>
      <c r="Y6740" s="15"/>
      <c r="Z6740" s="15"/>
      <c r="AA6740" s="15"/>
    </row>
    <row r="6741">
      <c r="A6741" s="15"/>
      <c r="B6741" s="15"/>
      <c r="C6741" s="14"/>
      <c r="D6741" s="14"/>
      <c r="E6741" s="14"/>
      <c r="F6741" s="433"/>
      <c r="G6741" s="434"/>
      <c r="H6741" s="14"/>
      <c r="I6741" s="423"/>
      <c r="J6741" s="14"/>
      <c r="K6741" s="13"/>
      <c r="L6741" s="13"/>
      <c r="M6741" s="14"/>
      <c r="N6741" s="15"/>
      <c r="O6741" s="15"/>
      <c r="P6741" s="15"/>
      <c r="Q6741" s="15"/>
      <c r="R6741" s="422"/>
      <c r="S6741" s="15"/>
      <c r="T6741" s="15"/>
      <c r="U6741" s="15"/>
      <c r="V6741" s="15"/>
      <c r="W6741" s="15"/>
      <c r="X6741" s="15"/>
      <c r="Y6741" s="15"/>
      <c r="Z6741" s="15"/>
      <c r="AA6741" s="15"/>
    </row>
    <row r="6742">
      <c r="A6742" s="15"/>
      <c r="B6742" s="15"/>
      <c r="C6742" s="14"/>
      <c r="D6742" s="14"/>
      <c r="E6742" s="14"/>
      <c r="F6742" s="433"/>
      <c r="G6742" s="434"/>
      <c r="H6742" s="14"/>
      <c r="I6742" s="423"/>
      <c r="J6742" s="14"/>
      <c r="K6742" s="13"/>
      <c r="L6742" s="13"/>
      <c r="M6742" s="14"/>
      <c r="N6742" s="15"/>
      <c r="O6742" s="15"/>
      <c r="P6742" s="15"/>
      <c r="Q6742" s="15"/>
      <c r="R6742" s="422"/>
      <c r="S6742" s="15"/>
      <c r="T6742" s="15"/>
      <c r="U6742" s="15"/>
      <c r="V6742" s="15"/>
      <c r="W6742" s="15"/>
      <c r="X6742" s="15"/>
      <c r="Y6742" s="15"/>
      <c r="Z6742" s="15"/>
      <c r="AA6742" s="15"/>
    </row>
    <row r="6743">
      <c r="A6743" s="15"/>
      <c r="B6743" s="15"/>
      <c r="C6743" s="14"/>
      <c r="D6743" s="14"/>
      <c r="E6743" s="14"/>
      <c r="F6743" s="433"/>
      <c r="G6743" s="434"/>
      <c r="H6743" s="14"/>
      <c r="I6743" s="423"/>
      <c r="J6743" s="14"/>
      <c r="K6743" s="13"/>
      <c r="L6743" s="13"/>
      <c r="M6743" s="14"/>
      <c r="N6743" s="15"/>
      <c r="O6743" s="15"/>
      <c r="P6743" s="15"/>
      <c r="Q6743" s="15"/>
      <c r="R6743" s="422"/>
      <c r="S6743" s="15"/>
      <c r="T6743" s="15"/>
      <c r="U6743" s="15"/>
      <c r="V6743" s="15"/>
      <c r="W6743" s="15"/>
      <c r="X6743" s="15"/>
      <c r="Y6743" s="15"/>
      <c r="Z6743" s="15"/>
      <c r="AA6743" s="15"/>
    </row>
    <row r="6744">
      <c r="A6744" s="15"/>
      <c r="B6744" s="15"/>
      <c r="C6744" s="14"/>
      <c r="D6744" s="14"/>
      <c r="E6744" s="14"/>
      <c r="F6744" s="433"/>
      <c r="G6744" s="434"/>
      <c r="H6744" s="14"/>
      <c r="I6744" s="423"/>
      <c r="J6744" s="14"/>
      <c r="K6744" s="13"/>
      <c r="L6744" s="13"/>
      <c r="M6744" s="14"/>
      <c r="N6744" s="15"/>
      <c r="O6744" s="15"/>
      <c r="P6744" s="15"/>
      <c r="Q6744" s="15"/>
      <c r="R6744" s="422"/>
      <c r="S6744" s="15"/>
      <c r="T6744" s="15"/>
      <c r="U6744" s="15"/>
      <c r="V6744" s="15"/>
      <c r="W6744" s="15"/>
      <c r="X6744" s="15"/>
      <c r="Y6744" s="15"/>
      <c r="Z6744" s="15"/>
      <c r="AA6744" s="15"/>
    </row>
    <row r="6745">
      <c r="A6745" s="15"/>
      <c r="B6745" s="15"/>
      <c r="C6745" s="14"/>
      <c r="D6745" s="14"/>
      <c r="E6745" s="14"/>
      <c r="F6745" s="433"/>
      <c r="G6745" s="434"/>
      <c r="H6745" s="14"/>
      <c r="I6745" s="423"/>
      <c r="J6745" s="14"/>
      <c r="K6745" s="13"/>
      <c r="L6745" s="13"/>
      <c r="M6745" s="14"/>
      <c r="N6745" s="15"/>
      <c r="O6745" s="15"/>
      <c r="P6745" s="15"/>
      <c r="Q6745" s="15"/>
      <c r="R6745" s="422"/>
      <c r="S6745" s="15"/>
      <c r="T6745" s="15"/>
      <c r="U6745" s="15"/>
      <c r="V6745" s="15"/>
      <c r="W6745" s="15"/>
      <c r="X6745" s="15"/>
      <c r="Y6745" s="15"/>
      <c r="Z6745" s="15"/>
      <c r="AA6745" s="15"/>
    </row>
    <row r="6746">
      <c r="A6746" s="15"/>
      <c r="B6746" s="15"/>
      <c r="C6746" s="14"/>
      <c r="D6746" s="14"/>
      <c r="E6746" s="14"/>
      <c r="F6746" s="433"/>
      <c r="G6746" s="434"/>
      <c r="H6746" s="14"/>
      <c r="I6746" s="423"/>
      <c r="J6746" s="14"/>
      <c r="K6746" s="13"/>
      <c r="L6746" s="13"/>
      <c r="M6746" s="14"/>
      <c r="N6746" s="15"/>
      <c r="O6746" s="15"/>
      <c r="P6746" s="15"/>
      <c r="Q6746" s="15"/>
      <c r="R6746" s="422"/>
      <c r="S6746" s="15"/>
      <c r="T6746" s="15"/>
      <c r="U6746" s="15"/>
      <c r="V6746" s="15"/>
      <c r="W6746" s="15"/>
      <c r="X6746" s="15"/>
      <c r="Y6746" s="15"/>
      <c r="Z6746" s="15"/>
      <c r="AA6746" s="15"/>
    </row>
    <row r="6747">
      <c r="A6747" s="15"/>
      <c r="B6747" s="15"/>
      <c r="C6747" s="14"/>
      <c r="D6747" s="14"/>
      <c r="E6747" s="14"/>
      <c r="F6747" s="433"/>
      <c r="G6747" s="434"/>
      <c r="H6747" s="14"/>
      <c r="I6747" s="423"/>
      <c r="J6747" s="14"/>
      <c r="K6747" s="13"/>
      <c r="L6747" s="13"/>
      <c r="M6747" s="14"/>
      <c r="N6747" s="15"/>
      <c r="O6747" s="15"/>
      <c r="P6747" s="15"/>
      <c r="Q6747" s="15"/>
      <c r="R6747" s="422"/>
      <c r="S6747" s="15"/>
      <c r="T6747" s="15"/>
      <c r="U6747" s="15"/>
      <c r="V6747" s="15"/>
      <c r="W6747" s="15"/>
      <c r="X6747" s="15"/>
      <c r="Y6747" s="15"/>
      <c r="Z6747" s="15"/>
      <c r="AA6747" s="15"/>
    </row>
    <row r="6748">
      <c r="A6748" s="15"/>
      <c r="B6748" s="15"/>
      <c r="C6748" s="14"/>
      <c r="D6748" s="14"/>
      <c r="E6748" s="14"/>
      <c r="F6748" s="433"/>
      <c r="G6748" s="434"/>
      <c r="H6748" s="14"/>
      <c r="I6748" s="423"/>
      <c r="J6748" s="14"/>
      <c r="K6748" s="13"/>
      <c r="L6748" s="13"/>
      <c r="M6748" s="14"/>
      <c r="N6748" s="15"/>
      <c r="O6748" s="15"/>
      <c r="P6748" s="15"/>
      <c r="Q6748" s="15"/>
      <c r="R6748" s="422"/>
      <c r="S6748" s="15"/>
      <c r="T6748" s="15"/>
      <c r="U6748" s="15"/>
      <c r="V6748" s="15"/>
      <c r="W6748" s="15"/>
      <c r="X6748" s="15"/>
      <c r="Y6748" s="15"/>
      <c r="Z6748" s="15"/>
      <c r="AA6748" s="15"/>
    </row>
    <row r="6749">
      <c r="A6749" s="15"/>
      <c r="B6749" s="15"/>
      <c r="C6749" s="14"/>
      <c r="D6749" s="14"/>
      <c r="E6749" s="14"/>
      <c r="F6749" s="433"/>
      <c r="G6749" s="434"/>
      <c r="H6749" s="14"/>
      <c r="I6749" s="423"/>
      <c r="J6749" s="14"/>
      <c r="K6749" s="13"/>
      <c r="L6749" s="13"/>
      <c r="M6749" s="14"/>
      <c r="N6749" s="15"/>
      <c r="O6749" s="15"/>
      <c r="P6749" s="15"/>
      <c r="Q6749" s="15"/>
      <c r="R6749" s="422"/>
      <c r="S6749" s="15"/>
      <c r="T6749" s="15"/>
      <c r="U6749" s="15"/>
      <c r="V6749" s="15"/>
      <c r="W6749" s="15"/>
      <c r="X6749" s="15"/>
      <c r="Y6749" s="15"/>
      <c r="Z6749" s="15"/>
      <c r="AA6749" s="15"/>
    </row>
    <row r="6750">
      <c r="A6750" s="15"/>
      <c r="B6750" s="15"/>
      <c r="C6750" s="14"/>
      <c r="D6750" s="14"/>
      <c r="E6750" s="14"/>
      <c r="F6750" s="433"/>
      <c r="G6750" s="434"/>
      <c r="H6750" s="14"/>
      <c r="I6750" s="423"/>
      <c r="J6750" s="14"/>
      <c r="K6750" s="13"/>
      <c r="L6750" s="13"/>
      <c r="M6750" s="14"/>
      <c r="N6750" s="15"/>
      <c r="O6750" s="15"/>
      <c r="P6750" s="15"/>
      <c r="Q6750" s="15"/>
      <c r="R6750" s="422"/>
      <c r="S6750" s="15"/>
      <c r="T6750" s="15"/>
      <c r="U6750" s="15"/>
      <c r="V6750" s="15"/>
      <c r="W6750" s="15"/>
      <c r="X6750" s="15"/>
      <c r="Y6750" s="15"/>
      <c r="Z6750" s="15"/>
      <c r="AA6750" s="15"/>
    </row>
    <row r="6751">
      <c r="A6751" s="15"/>
      <c r="B6751" s="15"/>
      <c r="C6751" s="14"/>
      <c r="D6751" s="14"/>
      <c r="E6751" s="14"/>
      <c r="F6751" s="433"/>
      <c r="G6751" s="434"/>
      <c r="H6751" s="14"/>
      <c r="I6751" s="423"/>
      <c r="J6751" s="14"/>
      <c r="K6751" s="13"/>
      <c r="L6751" s="13"/>
      <c r="M6751" s="14"/>
      <c r="N6751" s="15"/>
      <c r="O6751" s="15"/>
      <c r="P6751" s="15"/>
      <c r="Q6751" s="15"/>
      <c r="R6751" s="422"/>
      <c r="S6751" s="15"/>
      <c r="T6751" s="15"/>
      <c r="U6751" s="15"/>
      <c r="V6751" s="15"/>
      <c r="W6751" s="15"/>
      <c r="X6751" s="15"/>
      <c r="Y6751" s="15"/>
      <c r="Z6751" s="15"/>
      <c r="AA6751" s="15"/>
    </row>
    <row r="6752">
      <c r="A6752" s="15"/>
      <c r="B6752" s="15"/>
      <c r="C6752" s="14"/>
      <c r="D6752" s="14"/>
      <c r="E6752" s="14"/>
      <c r="F6752" s="433"/>
      <c r="G6752" s="434"/>
      <c r="H6752" s="14"/>
      <c r="I6752" s="423"/>
      <c r="J6752" s="14"/>
      <c r="K6752" s="13"/>
      <c r="L6752" s="13"/>
      <c r="M6752" s="14"/>
      <c r="N6752" s="15"/>
      <c r="O6752" s="15"/>
      <c r="P6752" s="15"/>
      <c r="Q6752" s="15"/>
      <c r="R6752" s="422"/>
      <c r="S6752" s="15"/>
      <c r="T6752" s="15"/>
      <c r="U6752" s="15"/>
      <c r="V6752" s="15"/>
      <c r="W6752" s="15"/>
      <c r="X6752" s="15"/>
      <c r="Y6752" s="15"/>
      <c r="Z6752" s="15"/>
      <c r="AA6752" s="15"/>
    </row>
    <row r="6753">
      <c r="A6753" s="15"/>
      <c r="B6753" s="15"/>
      <c r="C6753" s="14"/>
      <c r="D6753" s="14"/>
      <c r="E6753" s="14"/>
      <c r="F6753" s="433"/>
      <c r="G6753" s="434"/>
      <c r="H6753" s="14"/>
      <c r="I6753" s="423"/>
      <c r="J6753" s="14"/>
      <c r="K6753" s="13"/>
      <c r="L6753" s="13"/>
      <c r="M6753" s="14"/>
      <c r="N6753" s="15"/>
      <c r="O6753" s="15"/>
      <c r="P6753" s="15"/>
      <c r="Q6753" s="15"/>
      <c r="R6753" s="422"/>
      <c r="S6753" s="15"/>
      <c r="T6753" s="15"/>
      <c r="U6753" s="15"/>
      <c r="V6753" s="15"/>
      <c r="W6753" s="15"/>
      <c r="X6753" s="15"/>
      <c r="Y6753" s="15"/>
      <c r="Z6753" s="15"/>
      <c r="AA6753" s="15"/>
    </row>
    <row r="6754">
      <c r="A6754" s="15"/>
      <c r="B6754" s="15"/>
      <c r="C6754" s="14"/>
      <c r="D6754" s="14"/>
      <c r="E6754" s="14"/>
      <c r="F6754" s="433"/>
      <c r="G6754" s="434"/>
      <c r="H6754" s="14"/>
      <c r="I6754" s="423"/>
      <c r="J6754" s="14"/>
      <c r="K6754" s="13"/>
      <c r="L6754" s="13"/>
      <c r="M6754" s="14"/>
      <c r="N6754" s="15"/>
      <c r="O6754" s="15"/>
      <c r="P6754" s="15"/>
      <c r="Q6754" s="15"/>
      <c r="R6754" s="422"/>
      <c r="S6754" s="15"/>
      <c r="T6754" s="15"/>
      <c r="U6754" s="15"/>
      <c r="V6754" s="15"/>
      <c r="W6754" s="15"/>
      <c r="X6754" s="15"/>
      <c r="Y6754" s="15"/>
      <c r="Z6754" s="15"/>
      <c r="AA6754" s="15"/>
    </row>
    <row r="6755">
      <c r="A6755" s="15"/>
      <c r="B6755" s="15"/>
      <c r="C6755" s="14"/>
      <c r="D6755" s="14"/>
      <c r="E6755" s="14"/>
      <c r="F6755" s="433"/>
      <c r="G6755" s="434"/>
      <c r="H6755" s="14"/>
      <c r="I6755" s="423"/>
      <c r="J6755" s="14"/>
      <c r="K6755" s="13"/>
      <c r="L6755" s="13"/>
      <c r="M6755" s="14"/>
      <c r="N6755" s="15"/>
      <c r="O6755" s="15"/>
      <c r="P6755" s="15"/>
      <c r="Q6755" s="15"/>
      <c r="R6755" s="422"/>
      <c r="S6755" s="15"/>
      <c r="T6755" s="15"/>
      <c r="U6755" s="15"/>
      <c r="V6755" s="15"/>
      <c r="W6755" s="15"/>
      <c r="X6755" s="15"/>
      <c r="Y6755" s="15"/>
      <c r="Z6755" s="15"/>
      <c r="AA6755" s="15"/>
    </row>
    <row r="6756">
      <c r="A6756" s="15"/>
      <c r="B6756" s="15"/>
      <c r="C6756" s="14"/>
      <c r="D6756" s="14"/>
      <c r="E6756" s="14"/>
      <c r="F6756" s="433"/>
      <c r="G6756" s="434"/>
      <c r="H6756" s="14"/>
      <c r="I6756" s="423"/>
      <c r="J6756" s="14"/>
      <c r="K6756" s="13"/>
      <c r="L6756" s="13"/>
      <c r="M6756" s="14"/>
      <c r="N6756" s="15"/>
      <c r="O6756" s="15"/>
      <c r="P6756" s="15"/>
      <c r="Q6756" s="15"/>
      <c r="R6756" s="422"/>
      <c r="S6756" s="15"/>
      <c r="T6756" s="15"/>
      <c r="U6756" s="15"/>
      <c r="V6756" s="15"/>
      <c r="W6756" s="15"/>
      <c r="X6756" s="15"/>
      <c r="Y6756" s="15"/>
      <c r="Z6756" s="15"/>
      <c r="AA6756" s="15"/>
    </row>
    <row r="6757">
      <c r="A6757" s="15"/>
      <c r="B6757" s="15"/>
      <c r="C6757" s="14"/>
      <c r="D6757" s="14"/>
      <c r="E6757" s="14"/>
      <c r="F6757" s="433"/>
      <c r="G6757" s="434"/>
      <c r="H6757" s="14"/>
      <c r="I6757" s="423"/>
      <c r="J6757" s="14"/>
      <c r="K6757" s="13"/>
      <c r="L6757" s="13"/>
      <c r="M6757" s="14"/>
      <c r="N6757" s="15"/>
      <c r="O6757" s="15"/>
      <c r="P6757" s="15"/>
      <c r="Q6757" s="15"/>
      <c r="R6757" s="422"/>
      <c r="S6757" s="15"/>
      <c r="T6757" s="15"/>
      <c r="U6757" s="15"/>
      <c r="V6757" s="15"/>
      <c r="W6757" s="15"/>
      <c r="X6757" s="15"/>
      <c r="Y6757" s="15"/>
      <c r="Z6757" s="15"/>
      <c r="AA6757" s="15"/>
    </row>
    <row r="6758">
      <c r="A6758" s="15"/>
      <c r="B6758" s="15"/>
      <c r="C6758" s="14"/>
      <c r="D6758" s="14"/>
      <c r="E6758" s="14"/>
      <c r="F6758" s="433"/>
      <c r="G6758" s="434"/>
      <c r="H6758" s="14"/>
      <c r="I6758" s="423"/>
      <c r="J6758" s="14"/>
      <c r="K6758" s="13"/>
      <c r="L6758" s="13"/>
      <c r="M6758" s="14"/>
      <c r="N6758" s="15"/>
      <c r="O6758" s="15"/>
      <c r="P6758" s="15"/>
      <c r="Q6758" s="15"/>
      <c r="R6758" s="422"/>
      <c r="S6758" s="15"/>
      <c r="T6758" s="15"/>
      <c r="U6758" s="15"/>
      <c r="V6758" s="15"/>
      <c r="W6758" s="15"/>
      <c r="X6758" s="15"/>
      <c r="Y6758" s="15"/>
      <c r="Z6758" s="15"/>
      <c r="AA6758" s="15"/>
    </row>
    <row r="6759">
      <c r="A6759" s="15"/>
      <c r="B6759" s="15"/>
      <c r="C6759" s="14"/>
      <c r="D6759" s="14"/>
      <c r="E6759" s="14"/>
      <c r="F6759" s="433"/>
      <c r="G6759" s="434"/>
      <c r="H6759" s="14"/>
      <c r="I6759" s="423"/>
      <c r="J6759" s="14"/>
      <c r="K6759" s="13"/>
      <c r="L6759" s="13"/>
      <c r="M6759" s="14"/>
      <c r="N6759" s="15"/>
      <c r="O6759" s="15"/>
      <c r="P6759" s="15"/>
      <c r="Q6759" s="15"/>
      <c r="R6759" s="422"/>
      <c r="S6759" s="15"/>
      <c r="T6759" s="15"/>
      <c r="U6759" s="15"/>
      <c r="V6759" s="15"/>
      <c r="W6759" s="15"/>
      <c r="X6759" s="15"/>
      <c r="Y6759" s="15"/>
      <c r="Z6759" s="15"/>
      <c r="AA6759" s="15"/>
    </row>
    <row r="6760">
      <c r="A6760" s="15"/>
      <c r="B6760" s="15"/>
      <c r="C6760" s="14"/>
      <c r="D6760" s="14"/>
      <c r="E6760" s="14"/>
      <c r="F6760" s="433"/>
      <c r="G6760" s="434"/>
      <c r="H6760" s="14"/>
      <c r="I6760" s="423"/>
      <c r="J6760" s="14"/>
      <c r="K6760" s="13"/>
      <c r="L6760" s="13"/>
      <c r="M6760" s="14"/>
      <c r="N6760" s="15"/>
      <c r="O6760" s="15"/>
      <c r="P6760" s="15"/>
      <c r="Q6760" s="15"/>
      <c r="R6760" s="422"/>
      <c r="S6760" s="15"/>
      <c r="T6760" s="15"/>
      <c r="U6760" s="15"/>
      <c r="V6760" s="15"/>
      <c r="W6760" s="15"/>
      <c r="X6760" s="15"/>
      <c r="Y6760" s="15"/>
      <c r="Z6760" s="15"/>
      <c r="AA6760" s="15"/>
    </row>
    <row r="6761">
      <c r="A6761" s="15"/>
      <c r="B6761" s="15"/>
      <c r="C6761" s="14"/>
      <c r="D6761" s="14"/>
      <c r="E6761" s="14"/>
      <c r="F6761" s="433"/>
      <c r="G6761" s="434"/>
      <c r="H6761" s="14"/>
      <c r="I6761" s="423"/>
      <c r="J6761" s="14"/>
      <c r="K6761" s="13"/>
      <c r="L6761" s="13"/>
      <c r="M6761" s="14"/>
      <c r="N6761" s="15"/>
      <c r="O6761" s="15"/>
      <c r="P6761" s="15"/>
      <c r="Q6761" s="15"/>
      <c r="R6761" s="422"/>
      <c r="S6761" s="15"/>
      <c r="T6761" s="15"/>
      <c r="U6761" s="15"/>
      <c r="V6761" s="15"/>
      <c r="W6761" s="15"/>
      <c r="X6761" s="15"/>
      <c r="Y6761" s="15"/>
      <c r="Z6761" s="15"/>
      <c r="AA6761" s="15"/>
    </row>
    <row r="6762">
      <c r="A6762" s="15"/>
      <c r="B6762" s="15"/>
      <c r="C6762" s="14"/>
      <c r="D6762" s="14"/>
      <c r="E6762" s="14"/>
      <c r="F6762" s="433"/>
      <c r="G6762" s="434"/>
      <c r="H6762" s="14"/>
      <c r="I6762" s="423"/>
      <c r="J6762" s="14"/>
      <c r="K6762" s="13"/>
      <c r="L6762" s="13"/>
      <c r="M6762" s="14"/>
      <c r="N6762" s="15"/>
      <c r="O6762" s="15"/>
      <c r="P6762" s="15"/>
      <c r="Q6762" s="15"/>
      <c r="R6762" s="422"/>
      <c r="S6762" s="15"/>
      <c r="T6762" s="15"/>
      <c r="U6762" s="15"/>
      <c r="V6762" s="15"/>
      <c r="W6762" s="15"/>
      <c r="X6762" s="15"/>
      <c r="Y6762" s="15"/>
      <c r="Z6762" s="15"/>
      <c r="AA6762" s="15"/>
    </row>
    <row r="6763">
      <c r="A6763" s="15"/>
      <c r="B6763" s="15"/>
      <c r="C6763" s="14"/>
      <c r="D6763" s="14"/>
      <c r="E6763" s="14"/>
      <c r="F6763" s="433"/>
      <c r="G6763" s="434"/>
      <c r="H6763" s="14"/>
      <c r="I6763" s="423"/>
      <c r="J6763" s="14"/>
      <c r="K6763" s="13"/>
      <c r="L6763" s="13"/>
      <c r="M6763" s="14"/>
      <c r="N6763" s="15"/>
      <c r="O6763" s="15"/>
      <c r="P6763" s="15"/>
      <c r="Q6763" s="15"/>
      <c r="R6763" s="422"/>
      <c r="S6763" s="15"/>
      <c r="T6763" s="15"/>
      <c r="U6763" s="15"/>
      <c r="V6763" s="15"/>
      <c r="W6763" s="15"/>
      <c r="X6763" s="15"/>
      <c r="Y6763" s="15"/>
      <c r="Z6763" s="15"/>
      <c r="AA6763" s="15"/>
    </row>
    <row r="6764">
      <c r="A6764" s="15"/>
      <c r="B6764" s="15"/>
      <c r="C6764" s="14"/>
      <c r="D6764" s="14"/>
      <c r="E6764" s="14"/>
      <c r="F6764" s="433"/>
      <c r="G6764" s="434"/>
      <c r="H6764" s="14"/>
      <c r="I6764" s="423"/>
      <c r="J6764" s="14"/>
      <c r="K6764" s="13"/>
      <c r="L6764" s="13"/>
      <c r="M6764" s="14"/>
      <c r="N6764" s="15"/>
      <c r="O6764" s="15"/>
      <c r="P6764" s="15"/>
      <c r="Q6764" s="15"/>
      <c r="R6764" s="422"/>
      <c r="S6764" s="15"/>
      <c r="T6764" s="15"/>
      <c r="U6764" s="15"/>
      <c r="V6764" s="15"/>
      <c r="W6764" s="15"/>
      <c r="X6764" s="15"/>
      <c r="Y6764" s="15"/>
      <c r="Z6764" s="15"/>
      <c r="AA6764" s="15"/>
    </row>
    <row r="6765">
      <c r="A6765" s="15"/>
      <c r="B6765" s="15"/>
      <c r="C6765" s="14"/>
      <c r="D6765" s="14"/>
      <c r="E6765" s="14"/>
      <c r="F6765" s="433"/>
      <c r="G6765" s="434"/>
      <c r="H6765" s="14"/>
      <c r="I6765" s="423"/>
      <c r="J6765" s="14"/>
      <c r="K6765" s="13"/>
      <c r="L6765" s="13"/>
      <c r="M6765" s="14"/>
      <c r="N6765" s="15"/>
      <c r="O6765" s="15"/>
      <c r="P6765" s="15"/>
      <c r="Q6765" s="15"/>
      <c r="R6765" s="422"/>
      <c r="S6765" s="15"/>
      <c r="T6765" s="15"/>
      <c r="U6765" s="15"/>
      <c r="V6765" s="15"/>
      <c r="W6765" s="15"/>
      <c r="X6765" s="15"/>
      <c r="Y6765" s="15"/>
      <c r="Z6765" s="15"/>
      <c r="AA6765" s="15"/>
    </row>
    <row r="6766">
      <c r="A6766" s="15"/>
      <c r="B6766" s="15"/>
      <c r="C6766" s="14"/>
      <c r="D6766" s="14"/>
      <c r="E6766" s="14"/>
      <c r="F6766" s="433"/>
      <c r="G6766" s="434"/>
      <c r="H6766" s="14"/>
      <c r="I6766" s="423"/>
      <c r="J6766" s="14"/>
      <c r="K6766" s="13"/>
      <c r="L6766" s="13"/>
      <c r="M6766" s="14"/>
      <c r="N6766" s="15"/>
      <c r="O6766" s="15"/>
      <c r="P6766" s="15"/>
      <c r="Q6766" s="15"/>
      <c r="R6766" s="422"/>
      <c r="S6766" s="15"/>
      <c r="T6766" s="15"/>
      <c r="U6766" s="15"/>
      <c r="V6766" s="15"/>
      <c r="W6766" s="15"/>
      <c r="X6766" s="15"/>
      <c r="Y6766" s="15"/>
      <c r="Z6766" s="15"/>
      <c r="AA6766" s="15"/>
    </row>
    <row r="6767">
      <c r="A6767" s="15"/>
      <c r="B6767" s="15"/>
      <c r="C6767" s="14"/>
      <c r="D6767" s="14"/>
      <c r="E6767" s="14"/>
      <c r="F6767" s="433"/>
      <c r="G6767" s="434"/>
      <c r="H6767" s="14"/>
      <c r="I6767" s="423"/>
      <c r="J6767" s="14"/>
      <c r="K6767" s="13"/>
      <c r="L6767" s="13"/>
      <c r="M6767" s="14"/>
      <c r="N6767" s="15"/>
      <c r="O6767" s="15"/>
      <c r="P6767" s="15"/>
      <c r="Q6767" s="15"/>
      <c r="R6767" s="422"/>
      <c r="S6767" s="15"/>
      <c r="T6767" s="15"/>
      <c r="U6767" s="15"/>
      <c r="V6767" s="15"/>
      <c r="W6767" s="15"/>
      <c r="X6767" s="15"/>
      <c r="Y6767" s="15"/>
      <c r="Z6767" s="15"/>
      <c r="AA6767" s="15"/>
    </row>
    <row r="6768">
      <c r="A6768" s="15"/>
      <c r="B6768" s="15"/>
      <c r="C6768" s="14"/>
      <c r="D6768" s="14"/>
      <c r="E6768" s="14"/>
      <c r="F6768" s="433"/>
      <c r="G6768" s="434"/>
      <c r="H6768" s="14"/>
      <c r="I6768" s="423"/>
      <c r="J6768" s="14"/>
      <c r="K6768" s="13"/>
      <c r="L6768" s="13"/>
      <c r="M6768" s="14"/>
      <c r="N6768" s="15"/>
      <c r="O6768" s="15"/>
      <c r="P6768" s="15"/>
      <c r="Q6768" s="15"/>
      <c r="R6768" s="422"/>
      <c r="S6768" s="15"/>
      <c r="T6768" s="15"/>
      <c r="U6768" s="15"/>
      <c r="V6768" s="15"/>
      <c r="W6768" s="15"/>
      <c r="X6768" s="15"/>
      <c r="Y6768" s="15"/>
      <c r="Z6768" s="15"/>
      <c r="AA6768" s="15"/>
    </row>
    <row r="6769">
      <c r="A6769" s="15"/>
      <c r="B6769" s="15"/>
      <c r="C6769" s="14"/>
      <c r="D6769" s="14"/>
      <c r="E6769" s="14"/>
      <c r="F6769" s="433"/>
      <c r="G6769" s="434"/>
      <c r="H6769" s="14"/>
      <c r="I6769" s="423"/>
      <c r="J6769" s="14"/>
      <c r="K6769" s="13"/>
      <c r="L6769" s="13"/>
      <c r="M6769" s="14"/>
      <c r="N6769" s="15"/>
      <c r="O6769" s="15"/>
      <c r="P6769" s="15"/>
      <c r="Q6769" s="15"/>
      <c r="R6769" s="422"/>
      <c r="S6769" s="15"/>
      <c r="T6769" s="15"/>
      <c r="U6769" s="15"/>
      <c r="V6769" s="15"/>
      <c r="W6769" s="15"/>
      <c r="X6769" s="15"/>
      <c r="Y6769" s="15"/>
      <c r="Z6769" s="15"/>
      <c r="AA6769" s="15"/>
    </row>
    <row r="6770">
      <c r="A6770" s="15"/>
      <c r="B6770" s="15"/>
      <c r="C6770" s="14"/>
      <c r="D6770" s="14"/>
      <c r="E6770" s="14"/>
      <c r="F6770" s="433"/>
      <c r="G6770" s="434"/>
      <c r="H6770" s="14"/>
      <c r="I6770" s="423"/>
      <c r="J6770" s="14"/>
      <c r="K6770" s="13"/>
      <c r="L6770" s="13"/>
      <c r="M6770" s="14"/>
      <c r="N6770" s="15"/>
      <c r="O6770" s="15"/>
      <c r="P6770" s="15"/>
      <c r="Q6770" s="15"/>
      <c r="R6770" s="422"/>
      <c r="S6770" s="15"/>
      <c r="T6770" s="15"/>
      <c r="U6770" s="15"/>
      <c r="V6770" s="15"/>
      <c r="W6770" s="15"/>
      <c r="X6770" s="15"/>
      <c r="Y6770" s="15"/>
      <c r="Z6770" s="15"/>
      <c r="AA6770" s="15"/>
    </row>
    <row r="6771">
      <c r="A6771" s="15"/>
      <c r="B6771" s="15"/>
      <c r="C6771" s="14"/>
      <c r="D6771" s="14"/>
      <c r="E6771" s="14"/>
      <c r="F6771" s="433"/>
      <c r="G6771" s="434"/>
      <c r="H6771" s="14"/>
      <c r="I6771" s="423"/>
      <c r="J6771" s="14"/>
      <c r="K6771" s="13"/>
      <c r="L6771" s="13"/>
      <c r="M6771" s="14"/>
      <c r="N6771" s="15"/>
      <c r="O6771" s="15"/>
      <c r="P6771" s="15"/>
      <c r="Q6771" s="15"/>
      <c r="R6771" s="422"/>
      <c r="S6771" s="15"/>
      <c r="T6771" s="15"/>
      <c r="U6771" s="15"/>
      <c r="V6771" s="15"/>
      <c r="W6771" s="15"/>
      <c r="X6771" s="15"/>
      <c r="Y6771" s="15"/>
      <c r="Z6771" s="15"/>
      <c r="AA6771" s="15"/>
    </row>
    <row r="6772">
      <c r="A6772" s="15"/>
      <c r="B6772" s="15"/>
      <c r="C6772" s="14"/>
      <c r="D6772" s="14"/>
      <c r="E6772" s="14"/>
      <c r="F6772" s="433"/>
      <c r="G6772" s="434"/>
      <c r="H6772" s="14"/>
      <c r="I6772" s="423"/>
      <c r="J6772" s="14"/>
      <c r="K6772" s="13"/>
      <c r="L6772" s="13"/>
      <c r="M6772" s="14"/>
      <c r="N6772" s="15"/>
      <c r="O6772" s="15"/>
      <c r="P6772" s="15"/>
      <c r="Q6772" s="15"/>
      <c r="R6772" s="422"/>
      <c r="S6772" s="15"/>
      <c r="T6772" s="15"/>
      <c r="U6772" s="15"/>
      <c r="V6772" s="15"/>
      <c r="W6772" s="15"/>
      <c r="X6772" s="15"/>
      <c r="Y6772" s="15"/>
      <c r="Z6772" s="15"/>
      <c r="AA6772" s="15"/>
    </row>
    <row r="6773">
      <c r="A6773" s="15"/>
      <c r="B6773" s="15"/>
      <c r="C6773" s="14"/>
      <c r="D6773" s="14"/>
      <c r="E6773" s="14"/>
      <c r="F6773" s="433"/>
      <c r="G6773" s="434"/>
      <c r="H6773" s="14"/>
      <c r="I6773" s="423"/>
      <c r="J6773" s="14"/>
      <c r="K6773" s="13"/>
      <c r="L6773" s="13"/>
      <c r="M6773" s="14"/>
      <c r="N6773" s="15"/>
      <c r="O6773" s="15"/>
      <c r="P6773" s="15"/>
      <c r="Q6773" s="15"/>
      <c r="R6773" s="422"/>
      <c r="S6773" s="15"/>
      <c r="T6773" s="15"/>
      <c r="U6773" s="15"/>
      <c r="V6773" s="15"/>
      <c r="W6773" s="15"/>
      <c r="X6773" s="15"/>
      <c r="Y6773" s="15"/>
      <c r="Z6773" s="15"/>
      <c r="AA6773" s="15"/>
    </row>
    <row r="6774">
      <c r="A6774" s="15"/>
      <c r="B6774" s="15"/>
      <c r="C6774" s="14"/>
      <c r="D6774" s="14"/>
      <c r="E6774" s="14"/>
      <c r="F6774" s="433"/>
      <c r="G6774" s="434"/>
      <c r="H6774" s="14"/>
      <c r="I6774" s="423"/>
      <c r="J6774" s="14"/>
      <c r="K6774" s="13"/>
      <c r="L6774" s="13"/>
      <c r="M6774" s="14"/>
      <c r="N6774" s="15"/>
      <c r="O6774" s="15"/>
      <c r="P6774" s="15"/>
      <c r="Q6774" s="15"/>
      <c r="R6774" s="422"/>
      <c r="S6774" s="15"/>
      <c r="T6774" s="15"/>
      <c r="U6774" s="15"/>
      <c r="V6774" s="15"/>
      <c r="W6774" s="15"/>
      <c r="X6774" s="15"/>
      <c r="Y6774" s="15"/>
      <c r="Z6774" s="15"/>
      <c r="AA6774" s="15"/>
    </row>
    <row r="6775">
      <c r="A6775" s="15"/>
      <c r="B6775" s="15"/>
      <c r="C6775" s="14"/>
      <c r="D6775" s="14"/>
      <c r="E6775" s="14"/>
      <c r="F6775" s="433"/>
      <c r="G6775" s="434"/>
      <c r="H6775" s="14"/>
      <c r="I6775" s="423"/>
      <c r="J6775" s="14"/>
      <c r="K6775" s="13"/>
      <c r="L6775" s="13"/>
      <c r="M6775" s="14"/>
      <c r="N6775" s="15"/>
      <c r="O6775" s="15"/>
      <c r="P6775" s="15"/>
      <c r="Q6775" s="15"/>
      <c r="R6775" s="422"/>
      <c r="S6775" s="15"/>
      <c r="T6775" s="15"/>
      <c r="U6775" s="15"/>
      <c r="V6775" s="15"/>
      <c r="W6775" s="15"/>
      <c r="X6775" s="15"/>
      <c r="Y6775" s="15"/>
      <c r="Z6775" s="15"/>
      <c r="AA6775" s="15"/>
    </row>
    <row r="6776">
      <c r="A6776" s="15"/>
      <c r="B6776" s="15"/>
      <c r="C6776" s="14"/>
      <c r="D6776" s="14"/>
      <c r="E6776" s="14"/>
      <c r="F6776" s="433"/>
      <c r="G6776" s="434"/>
      <c r="H6776" s="14"/>
      <c r="I6776" s="423"/>
      <c r="J6776" s="14"/>
      <c r="K6776" s="13"/>
      <c r="L6776" s="13"/>
      <c r="M6776" s="14"/>
      <c r="N6776" s="15"/>
      <c r="O6776" s="15"/>
      <c r="P6776" s="15"/>
      <c r="Q6776" s="15"/>
      <c r="R6776" s="422"/>
      <c r="S6776" s="15"/>
      <c r="T6776" s="15"/>
      <c r="U6776" s="15"/>
      <c r="V6776" s="15"/>
      <c r="W6776" s="15"/>
      <c r="X6776" s="15"/>
      <c r="Y6776" s="15"/>
      <c r="Z6776" s="15"/>
      <c r="AA6776" s="15"/>
    </row>
    <row r="6777">
      <c r="A6777" s="15"/>
      <c r="B6777" s="15"/>
      <c r="C6777" s="14"/>
      <c r="D6777" s="14"/>
      <c r="E6777" s="14"/>
      <c r="F6777" s="433"/>
      <c r="G6777" s="434"/>
      <c r="H6777" s="14"/>
      <c r="I6777" s="423"/>
      <c r="J6777" s="14"/>
      <c r="K6777" s="13"/>
      <c r="L6777" s="13"/>
      <c r="M6777" s="14"/>
      <c r="N6777" s="15"/>
      <c r="O6777" s="15"/>
      <c r="P6777" s="15"/>
      <c r="Q6777" s="15"/>
      <c r="R6777" s="422"/>
      <c r="S6777" s="15"/>
      <c r="T6777" s="15"/>
      <c r="U6777" s="15"/>
      <c r="V6777" s="15"/>
      <c r="W6777" s="15"/>
      <c r="X6777" s="15"/>
      <c r="Y6777" s="15"/>
      <c r="Z6777" s="15"/>
      <c r="AA6777" s="15"/>
    </row>
    <row r="6778">
      <c r="A6778" s="15"/>
      <c r="B6778" s="15"/>
      <c r="C6778" s="14"/>
      <c r="D6778" s="14"/>
      <c r="E6778" s="14"/>
      <c r="F6778" s="433"/>
      <c r="G6778" s="434"/>
      <c r="H6778" s="14"/>
      <c r="I6778" s="423"/>
      <c r="J6778" s="14"/>
      <c r="K6778" s="13"/>
      <c r="L6778" s="13"/>
      <c r="M6778" s="14"/>
      <c r="N6778" s="15"/>
      <c r="O6778" s="15"/>
      <c r="P6778" s="15"/>
      <c r="Q6778" s="15"/>
      <c r="R6778" s="422"/>
      <c r="S6778" s="15"/>
      <c r="T6778" s="15"/>
      <c r="U6778" s="15"/>
      <c r="V6778" s="15"/>
      <c r="W6778" s="15"/>
      <c r="X6778" s="15"/>
      <c r="Y6778" s="15"/>
      <c r="Z6778" s="15"/>
      <c r="AA6778" s="15"/>
    </row>
    <row r="6779">
      <c r="A6779" s="15"/>
      <c r="B6779" s="15"/>
      <c r="C6779" s="14"/>
      <c r="D6779" s="14"/>
      <c r="E6779" s="14"/>
      <c r="F6779" s="433"/>
      <c r="G6779" s="434"/>
      <c r="H6779" s="14"/>
      <c r="I6779" s="423"/>
      <c r="J6779" s="14"/>
      <c r="K6779" s="13"/>
      <c r="L6779" s="13"/>
      <c r="M6779" s="14"/>
      <c r="N6779" s="15"/>
      <c r="O6779" s="15"/>
      <c r="P6779" s="15"/>
      <c r="Q6779" s="15"/>
      <c r="R6779" s="422"/>
      <c r="S6779" s="15"/>
      <c r="T6779" s="15"/>
      <c r="U6779" s="15"/>
      <c r="V6779" s="15"/>
      <c r="W6779" s="15"/>
      <c r="X6779" s="15"/>
      <c r="Y6779" s="15"/>
      <c r="Z6779" s="15"/>
      <c r="AA6779" s="15"/>
    </row>
    <row r="6780">
      <c r="A6780" s="15"/>
      <c r="B6780" s="15"/>
      <c r="C6780" s="14"/>
      <c r="D6780" s="14"/>
      <c r="E6780" s="14"/>
      <c r="F6780" s="433"/>
      <c r="G6780" s="434"/>
      <c r="H6780" s="14"/>
      <c r="I6780" s="423"/>
      <c r="J6780" s="14"/>
      <c r="K6780" s="13"/>
      <c r="L6780" s="13"/>
      <c r="M6780" s="14"/>
      <c r="N6780" s="15"/>
      <c r="O6780" s="15"/>
      <c r="P6780" s="15"/>
      <c r="Q6780" s="15"/>
      <c r="R6780" s="422"/>
      <c r="S6780" s="15"/>
      <c r="T6780" s="15"/>
      <c r="U6780" s="15"/>
      <c r="V6780" s="15"/>
      <c r="W6780" s="15"/>
      <c r="X6780" s="15"/>
      <c r="Y6780" s="15"/>
      <c r="Z6780" s="15"/>
      <c r="AA6780" s="15"/>
    </row>
    <row r="6781">
      <c r="A6781" s="15"/>
      <c r="B6781" s="15"/>
      <c r="C6781" s="14"/>
      <c r="D6781" s="14"/>
      <c r="E6781" s="14"/>
      <c r="F6781" s="433"/>
      <c r="G6781" s="434"/>
      <c r="H6781" s="14"/>
      <c r="I6781" s="423"/>
      <c r="J6781" s="14"/>
      <c r="K6781" s="13"/>
      <c r="L6781" s="13"/>
      <c r="M6781" s="14"/>
      <c r="N6781" s="15"/>
      <c r="O6781" s="15"/>
      <c r="P6781" s="15"/>
      <c r="Q6781" s="15"/>
      <c r="R6781" s="422"/>
      <c r="S6781" s="15"/>
      <c r="T6781" s="15"/>
      <c r="U6781" s="15"/>
      <c r="V6781" s="15"/>
      <c r="W6781" s="15"/>
      <c r="X6781" s="15"/>
      <c r="Y6781" s="15"/>
      <c r="Z6781" s="15"/>
      <c r="AA6781" s="15"/>
    </row>
    <row r="6782">
      <c r="A6782" s="15"/>
      <c r="B6782" s="15"/>
      <c r="C6782" s="14"/>
      <c r="D6782" s="14"/>
      <c r="E6782" s="14"/>
      <c r="F6782" s="433"/>
      <c r="G6782" s="434"/>
      <c r="H6782" s="14"/>
      <c r="I6782" s="423"/>
      <c r="J6782" s="14"/>
      <c r="K6782" s="13"/>
      <c r="L6782" s="13"/>
      <c r="M6782" s="14"/>
      <c r="N6782" s="15"/>
      <c r="O6782" s="15"/>
      <c r="P6782" s="15"/>
      <c r="Q6782" s="15"/>
      <c r="R6782" s="422"/>
      <c r="S6782" s="15"/>
      <c r="T6782" s="15"/>
      <c r="U6782" s="15"/>
      <c r="V6782" s="15"/>
      <c r="W6782" s="15"/>
      <c r="X6782" s="15"/>
      <c r="Y6782" s="15"/>
      <c r="Z6782" s="15"/>
      <c r="AA6782" s="15"/>
    </row>
    <row r="6783">
      <c r="A6783" s="15"/>
      <c r="B6783" s="15"/>
      <c r="C6783" s="14"/>
      <c r="D6783" s="14"/>
      <c r="E6783" s="14"/>
      <c r="F6783" s="433"/>
      <c r="G6783" s="434"/>
      <c r="H6783" s="14"/>
      <c r="I6783" s="423"/>
      <c r="J6783" s="14"/>
      <c r="K6783" s="13"/>
      <c r="L6783" s="13"/>
      <c r="M6783" s="14"/>
      <c r="N6783" s="15"/>
      <c r="O6783" s="15"/>
      <c r="P6783" s="15"/>
      <c r="Q6783" s="15"/>
      <c r="R6783" s="422"/>
      <c r="S6783" s="15"/>
      <c r="T6783" s="15"/>
      <c r="U6783" s="15"/>
      <c r="V6783" s="15"/>
      <c r="W6783" s="15"/>
      <c r="X6783" s="15"/>
      <c r="Y6783" s="15"/>
      <c r="Z6783" s="15"/>
      <c r="AA6783" s="15"/>
    </row>
    <row r="6784">
      <c r="A6784" s="15"/>
      <c r="B6784" s="15"/>
      <c r="C6784" s="14"/>
      <c r="D6784" s="14"/>
      <c r="E6784" s="14"/>
      <c r="F6784" s="433"/>
      <c r="G6784" s="434"/>
      <c r="H6784" s="14"/>
      <c r="I6784" s="423"/>
      <c r="J6784" s="14"/>
      <c r="K6784" s="13"/>
      <c r="L6784" s="13"/>
      <c r="M6784" s="14"/>
      <c r="N6784" s="15"/>
      <c r="O6784" s="15"/>
      <c r="P6784" s="15"/>
      <c r="Q6784" s="15"/>
      <c r="R6784" s="422"/>
      <c r="S6784" s="15"/>
      <c r="T6784" s="15"/>
      <c r="U6784" s="15"/>
      <c r="V6784" s="15"/>
      <c r="W6784" s="15"/>
      <c r="X6784" s="15"/>
      <c r="Y6784" s="15"/>
      <c r="Z6784" s="15"/>
      <c r="AA6784" s="15"/>
    </row>
    <row r="6785">
      <c r="A6785" s="15"/>
      <c r="B6785" s="15"/>
      <c r="C6785" s="14"/>
      <c r="D6785" s="14"/>
      <c r="E6785" s="14"/>
      <c r="F6785" s="433"/>
      <c r="G6785" s="434"/>
      <c r="H6785" s="14"/>
      <c r="I6785" s="423"/>
      <c r="J6785" s="14"/>
      <c r="K6785" s="13"/>
      <c r="L6785" s="13"/>
      <c r="M6785" s="14"/>
      <c r="N6785" s="15"/>
      <c r="O6785" s="15"/>
      <c r="P6785" s="15"/>
      <c r="Q6785" s="15"/>
      <c r="R6785" s="422"/>
      <c r="S6785" s="15"/>
      <c r="T6785" s="15"/>
      <c r="U6785" s="15"/>
      <c r="V6785" s="15"/>
      <c r="W6785" s="15"/>
      <c r="X6785" s="15"/>
      <c r="Y6785" s="15"/>
      <c r="Z6785" s="15"/>
      <c r="AA6785" s="15"/>
    </row>
    <row r="6786">
      <c r="A6786" s="15"/>
      <c r="B6786" s="15"/>
      <c r="C6786" s="14"/>
      <c r="D6786" s="14"/>
      <c r="E6786" s="14"/>
      <c r="F6786" s="433"/>
      <c r="G6786" s="434"/>
      <c r="H6786" s="14"/>
      <c r="I6786" s="423"/>
      <c r="J6786" s="14"/>
      <c r="K6786" s="13"/>
      <c r="L6786" s="13"/>
      <c r="M6786" s="14"/>
      <c r="N6786" s="15"/>
      <c r="O6786" s="15"/>
      <c r="P6786" s="15"/>
      <c r="Q6786" s="15"/>
      <c r="R6786" s="422"/>
      <c r="S6786" s="15"/>
      <c r="T6786" s="15"/>
      <c r="U6786" s="15"/>
      <c r="V6786" s="15"/>
      <c r="W6786" s="15"/>
      <c r="X6786" s="15"/>
      <c r="Y6786" s="15"/>
      <c r="Z6786" s="15"/>
      <c r="AA6786" s="15"/>
    </row>
    <row r="6787">
      <c r="A6787" s="15"/>
      <c r="B6787" s="15"/>
      <c r="C6787" s="14"/>
      <c r="D6787" s="14"/>
      <c r="E6787" s="14"/>
      <c r="F6787" s="433"/>
      <c r="G6787" s="434"/>
      <c r="H6787" s="14"/>
      <c r="I6787" s="423"/>
      <c r="J6787" s="14"/>
      <c r="K6787" s="13"/>
      <c r="L6787" s="13"/>
      <c r="M6787" s="14"/>
      <c r="N6787" s="15"/>
      <c r="O6787" s="15"/>
      <c r="P6787" s="15"/>
      <c r="Q6787" s="15"/>
      <c r="R6787" s="422"/>
      <c r="S6787" s="15"/>
      <c r="T6787" s="15"/>
      <c r="U6787" s="15"/>
      <c r="V6787" s="15"/>
      <c r="W6787" s="15"/>
      <c r="X6787" s="15"/>
      <c r="Y6787" s="15"/>
      <c r="Z6787" s="15"/>
      <c r="AA6787" s="15"/>
    </row>
    <row r="6788">
      <c r="A6788" s="15"/>
      <c r="B6788" s="15"/>
      <c r="C6788" s="14"/>
      <c r="D6788" s="14"/>
      <c r="E6788" s="14"/>
      <c r="F6788" s="433"/>
      <c r="G6788" s="434"/>
      <c r="H6788" s="14"/>
      <c r="I6788" s="423"/>
      <c r="J6788" s="14"/>
      <c r="K6788" s="13"/>
      <c r="L6788" s="13"/>
      <c r="M6788" s="14"/>
      <c r="N6788" s="15"/>
      <c r="O6788" s="15"/>
      <c r="P6788" s="15"/>
      <c r="Q6788" s="15"/>
      <c r="R6788" s="422"/>
      <c r="S6788" s="15"/>
      <c r="T6788" s="15"/>
      <c r="U6788" s="15"/>
      <c r="V6788" s="15"/>
      <c r="W6788" s="15"/>
      <c r="X6788" s="15"/>
      <c r="Y6788" s="15"/>
      <c r="Z6788" s="15"/>
      <c r="AA6788" s="15"/>
    </row>
    <row r="6789">
      <c r="A6789" s="15"/>
      <c r="B6789" s="15"/>
      <c r="C6789" s="14"/>
      <c r="D6789" s="14"/>
      <c r="E6789" s="14"/>
      <c r="F6789" s="433"/>
      <c r="G6789" s="434"/>
      <c r="H6789" s="14"/>
      <c r="I6789" s="423"/>
      <c r="J6789" s="14"/>
      <c r="K6789" s="13"/>
      <c r="L6789" s="13"/>
      <c r="M6789" s="14"/>
      <c r="N6789" s="15"/>
      <c r="O6789" s="15"/>
      <c r="P6789" s="15"/>
      <c r="Q6789" s="15"/>
      <c r="R6789" s="422"/>
      <c r="S6789" s="15"/>
      <c r="T6789" s="15"/>
      <c r="U6789" s="15"/>
      <c r="V6789" s="15"/>
      <c r="W6789" s="15"/>
      <c r="X6789" s="15"/>
      <c r="Y6789" s="15"/>
      <c r="Z6789" s="15"/>
      <c r="AA6789" s="15"/>
    </row>
    <row r="6790">
      <c r="A6790" s="15"/>
      <c r="B6790" s="15"/>
      <c r="C6790" s="14"/>
      <c r="D6790" s="14"/>
      <c r="E6790" s="14"/>
      <c r="F6790" s="433"/>
      <c r="G6790" s="434"/>
      <c r="H6790" s="14"/>
      <c r="I6790" s="423"/>
      <c r="J6790" s="14"/>
      <c r="K6790" s="13"/>
      <c r="L6790" s="13"/>
      <c r="M6790" s="14"/>
      <c r="N6790" s="15"/>
      <c r="O6790" s="15"/>
      <c r="P6790" s="15"/>
      <c r="Q6790" s="15"/>
      <c r="R6790" s="422"/>
      <c r="S6790" s="15"/>
      <c r="T6790" s="15"/>
      <c r="U6790" s="15"/>
      <c r="V6790" s="15"/>
      <c r="W6790" s="15"/>
      <c r="X6790" s="15"/>
      <c r="Y6790" s="15"/>
      <c r="Z6790" s="15"/>
      <c r="AA6790" s="15"/>
    </row>
    <row r="6791">
      <c r="A6791" s="15"/>
      <c r="B6791" s="15"/>
      <c r="C6791" s="14"/>
      <c r="D6791" s="14"/>
      <c r="E6791" s="14"/>
      <c r="F6791" s="433"/>
      <c r="G6791" s="434"/>
      <c r="H6791" s="14"/>
      <c r="I6791" s="423"/>
      <c r="J6791" s="14"/>
      <c r="K6791" s="13"/>
      <c r="L6791" s="13"/>
      <c r="M6791" s="14"/>
      <c r="N6791" s="15"/>
      <c r="O6791" s="15"/>
      <c r="P6791" s="15"/>
      <c r="Q6791" s="15"/>
      <c r="R6791" s="422"/>
      <c r="S6791" s="15"/>
      <c r="T6791" s="15"/>
      <c r="U6791" s="15"/>
      <c r="V6791" s="15"/>
      <c r="W6791" s="15"/>
      <c r="X6791" s="15"/>
      <c r="Y6791" s="15"/>
      <c r="Z6791" s="15"/>
      <c r="AA6791" s="15"/>
    </row>
    <row r="6792">
      <c r="A6792" s="15"/>
      <c r="B6792" s="15"/>
      <c r="C6792" s="14"/>
      <c r="D6792" s="14"/>
      <c r="E6792" s="14"/>
      <c r="F6792" s="433"/>
      <c r="G6792" s="434"/>
      <c r="H6792" s="14"/>
      <c r="I6792" s="423"/>
      <c r="J6792" s="14"/>
      <c r="K6792" s="13"/>
      <c r="L6792" s="13"/>
      <c r="M6792" s="14"/>
      <c r="N6792" s="15"/>
      <c r="O6792" s="15"/>
      <c r="P6792" s="15"/>
      <c r="Q6792" s="15"/>
      <c r="R6792" s="422"/>
      <c r="S6792" s="15"/>
      <c r="T6792" s="15"/>
      <c r="U6792" s="15"/>
      <c r="V6792" s="15"/>
      <c r="W6792" s="15"/>
      <c r="X6792" s="15"/>
      <c r="Y6792" s="15"/>
      <c r="Z6792" s="15"/>
      <c r="AA6792" s="15"/>
    </row>
    <row r="6793">
      <c r="A6793" s="15"/>
      <c r="B6793" s="15"/>
      <c r="C6793" s="14"/>
      <c r="D6793" s="14"/>
      <c r="E6793" s="14"/>
      <c r="F6793" s="433"/>
      <c r="G6793" s="434"/>
      <c r="H6793" s="14"/>
      <c r="I6793" s="423"/>
      <c r="J6793" s="14"/>
      <c r="K6793" s="13"/>
      <c r="L6793" s="13"/>
      <c r="M6793" s="14"/>
      <c r="N6793" s="15"/>
      <c r="O6793" s="15"/>
      <c r="P6793" s="15"/>
      <c r="Q6793" s="15"/>
      <c r="R6793" s="422"/>
      <c r="S6793" s="15"/>
      <c r="T6793" s="15"/>
      <c r="U6793" s="15"/>
      <c r="V6793" s="15"/>
      <c r="W6793" s="15"/>
      <c r="X6793" s="15"/>
      <c r="Y6793" s="15"/>
      <c r="Z6793" s="15"/>
      <c r="AA6793" s="15"/>
    </row>
    <row r="6794">
      <c r="A6794" s="15"/>
      <c r="B6794" s="15"/>
      <c r="C6794" s="14"/>
      <c r="D6794" s="14"/>
      <c r="E6794" s="14"/>
      <c r="F6794" s="433"/>
      <c r="G6794" s="434"/>
      <c r="H6794" s="14"/>
      <c r="I6794" s="423"/>
      <c r="J6794" s="14"/>
      <c r="K6794" s="13"/>
      <c r="L6794" s="13"/>
      <c r="M6794" s="14"/>
      <c r="N6794" s="15"/>
      <c r="O6794" s="15"/>
      <c r="P6794" s="15"/>
      <c r="Q6794" s="15"/>
      <c r="R6794" s="422"/>
      <c r="S6794" s="15"/>
      <c r="T6794" s="15"/>
      <c r="U6794" s="15"/>
      <c r="V6794" s="15"/>
      <c r="W6794" s="15"/>
      <c r="X6794" s="15"/>
      <c r="Y6794" s="15"/>
      <c r="Z6794" s="15"/>
      <c r="AA6794" s="15"/>
    </row>
    <row r="6795">
      <c r="A6795" s="15"/>
      <c r="B6795" s="15"/>
      <c r="C6795" s="14"/>
      <c r="D6795" s="14"/>
      <c r="E6795" s="14"/>
      <c r="F6795" s="433"/>
      <c r="G6795" s="434"/>
      <c r="H6795" s="14"/>
      <c r="I6795" s="423"/>
      <c r="J6795" s="14"/>
      <c r="K6795" s="13"/>
      <c r="L6795" s="13"/>
      <c r="M6795" s="14"/>
      <c r="N6795" s="15"/>
      <c r="O6795" s="15"/>
      <c r="P6795" s="15"/>
      <c r="Q6795" s="15"/>
      <c r="R6795" s="422"/>
      <c r="S6795" s="15"/>
      <c r="T6795" s="15"/>
      <c r="U6795" s="15"/>
      <c r="V6795" s="15"/>
      <c r="W6795" s="15"/>
      <c r="X6795" s="15"/>
      <c r="Y6795" s="15"/>
      <c r="Z6795" s="15"/>
      <c r="AA6795" s="15"/>
    </row>
    <row r="6796">
      <c r="A6796" s="15"/>
      <c r="B6796" s="15"/>
      <c r="C6796" s="14"/>
      <c r="D6796" s="14"/>
      <c r="E6796" s="14"/>
      <c r="F6796" s="433"/>
      <c r="G6796" s="434"/>
      <c r="H6796" s="14"/>
      <c r="I6796" s="423"/>
      <c r="J6796" s="14"/>
      <c r="K6796" s="13"/>
      <c r="L6796" s="13"/>
      <c r="M6796" s="14"/>
      <c r="N6796" s="15"/>
      <c r="O6796" s="15"/>
      <c r="P6796" s="15"/>
      <c r="Q6796" s="15"/>
      <c r="R6796" s="422"/>
      <c r="S6796" s="15"/>
      <c r="T6796" s="15"/>
      <c r="U6796" s="15"/>
      <c r="V6796" s="15"/>
      <c r="W6796" s="15"/>
      <c r="X6796" s="15"/>
      <c r="Y6796" s="15"/>
      <c r="Z6796" s="15"/>
      <c r="AA6796" s="15"/>
    </row>
    <row r="6797">
      <c r="A6797" s="15"/>
      <c r="B6797" s="15"/>
      <c r="C6797" s="14"/>
      <c r="D6797" s="14"/>
      <c r="E6797" s="14"/>
      <c r="F6797" s="433"/>
      <c r="G6797" s="434"/>
      <c r="H6797" s="14"/>
      <c r="I6797" s="423"/>
      <c r="J6797" s="14"/>
      <c r="K6797" s="13"/>
      <c r="L6797" s="13"/>
      <c r="M6797" s="14"/>
      <c r="N6797" s="15"/>
      <c r="O6797" s="15"/>
      <c r="P6797" s="15"/>
      <c r="Q6797" s="15"/>
      <c r="R6797" s="422"/>
      <c r="S6797" s="15"/>
      <c r="T6797" s="15"/>
      <c r="U6797" s="15"/>
      <c r="V6797" s="15"/>
      <c r="W6797" s="15"/>
      <c r="X6797" s="15"/>
      <c r="Y6797" s="15"/>
      <c r="Z6797" s="15"/>
      <c r="AA6797" s="15"/>
    </row>
    <row r="6798">
      <c r="A6798" s="15"/>
      <c r="B6798" s="15"/>
      <c r="C6798" s="14"/>
      <c r="D6798" s="14"/>
      <c r="E6798" s="14"/>
      <c r="F6798" s="433"/>
      <c r="G6798" s="434"/>
      <c r="H6798" s="14"/>
      <c r="I6798" s="423"/>
      <c r="J6798" s="14"/>
      <c r="K6798" s="13"/>
      <c r="L6798" s="13"/>
      <c r="M6798" s="14"/>
      <c r="N6798" s="15"/>
      <c r="O6798" s="15"/>
      <c r="P6798" s="15"/>
      <c r="Q6798" s="15"/>
      <c r="R6798" s="422"/>
      <c r="S6798" s="15"/>
      <c r="T6798" s="15"/>
      <c r="U6798" s="15"/>
      <c r="V6798" s="15"/>
      <c r="W6798" s="15"/>
      <c r="X6798" s="15"/>
      <c r="Y6798" s="15"/>
      <c r="Z6798" s="15"/>
      <c r="AA6798" s="15"/>
    </row>
    <row r="6799">
      <c r="A6799" s="15"/>
      <c r="B6799" s="15"/>
      <c r="C6799" s="14"/>
      <c r="D6799" s="14"/>
      <c r="E6799" s="14"/>
      <c r="F6799" s="433"/>
      <c r="G6799" s="434"/>
      <c r="H6799" s="14"/>
      <c r="I6799" s="423"/>
      <c r="J6799" s="14"/>
      <c r="K6799" s="13"/>
      <c r="L6799" s="13"/>
      <c r="M6799" s="14"/>
      <c r="N6799" s="15"/>
      <c r="O6799" s="15"/>
      <c r="P6799" s="15"/>
      <c r="Q6799" s="15"/>
      <c r="R6799" s="422"/>
      <c r="S6799" s="15"/>
      <c r="T6799" s="15"/>
      <c r="U6799" s="15"/>
      <c r="V6799" s="15"/>
      <c r="W6799" s="15"/>
      <c r="X6799" s="15"/>
      <c r="Y6799" s="15"/>
      <c r="Z6799" s="15"/>
      <c r="AA6799" s="15"/>
    </row>
    <row r="6800">
      <c r="A6800" s="15"/>
      <c r="B6800" s="15"/>
      <c r="C6800" s="14"/>
      <c r="D6800" s="14"/>
      <c r="E6800" s="14"/>
      <c r="F6800" s="433"/>
      <c r="G6800" s="434"/>
      <c r="H6800" s="14"/>
      <c r="I6800" s="423"/>
      <c r="J6800" s="14"/>
      <c r="K6800" s="13"/>
      <c r="L6800" s="13"/>
      <c r="M6800" s="14"/>
      <c r="N6800" s="15"/>
      <c r="O6800" s="15"/>
      <c r="P6800" s="15"/>
      <c r="Q6800" s="15"/>
      <c r="R6800" s="422"/>
      <c r="S6800" s="15"/>
      <c r="T6800" s="15"/>
      <c r="U6800" s="15"/>
      <c r="V6800" s="15"/>
      <c r="W6800" s="15"/>
      <c r="X6800" s="15"/>
      <c r="Y6800" s="15"/>
      <c r="Z6800" s="15"/>
      <c r="AA6800" s="15"/>
    </row>
    <row r="6801">
      <c r="A6801" s="15"/>
      <c r="B6801" s="15"/>
      <c r="C6801" s="14"/>
      <c r="D6801" s="14"/>
      <c r="E6801" s="14"/>
      <c r="F6801" s="433"/>
      <c r="G6801" s="434"/>
      <c r="H6801" s="14"/>
      <c r="I6801" s="423"/>
      <c r="J6801" s="14"/>
      <c r="K6801" s="13"/>
      <c r="L6801" s="13"/>
      <c r="M6801" s="14"/>
      <c r="N6801" s="15"/>
      <c r="O6801" s="15"/>
      <c r="P6801" s="15"/>
      <c r="Q6801" s="15"/>
      <c r="R6801" s="422"/>
      <c r="S6801" s="15"/>
      <c r="T6801" s="15"/>
      <c r="U6801" s="15"/>
      <c r="V6801" s="15"/>
      <c r="W6801" s="15"/>
      <c r="X6801" s="15"/>
      <c r="Y6801" s="15"/>
      <c r="Z6801" s="15"/>
      <c r="AA6801" s="15"/>
    </row>
    <row r="6802">
      <c r="A6802" s="15"/>
      <c r="B6802" s="15"/>
      <c r="C6802" s="14"/>
      <c r="D6802" s="14"/>
      <c r="E6802" s="14"/>
      <c r="F6802" s="433"/>
      <c r="G6802" s="434"/>
      <c r="H6802" s="14"/>
      <c r="I6802" s="423"/>
      <c r="J6802" s="14"/>
      <c r="K6802" s="13"/>
      <c r="L6802" s="13"/>
      <c r="M6802" s="14"/>
      <c r="N6802" s="15"/>
      <c r="O6802" s="15"/>
      <c r="P6802" s="15"/>
      <c r="Q6802" s="15"/>
      <c r="R6802" s="422"/>
      <c r="S6802" s="15"/>
      <c r="T6802" s="15"/>
      <c r="U6802" s="15"/>
      <c r="V6802" s="15"/>
      <c r="W6802" s="15"/>
      <c r="X6802" s="15"/>
      <c r="Y6802" s="15"/>
      <c r="Z6802" s="15"/>
      <c r="AA6802" s="15"/>
    </row>
    <row r="6803">
      <c r="A6803" s="15"/>
      <c r="B6803" s="15"/>
      <c r="C6803" s="14"/>
      <c r="D6803" s="14"/>
      <c r="E6803" s="14"/>
      <c r="F6803" s="433"/>
      <c r="G6803" s="434"/>
      <c r="H6803" s="14"/>
      <c r="I6803" s="423"/>
      <c r="J6803" s="14"/>
      <c r="K6803" s="13"/>
      <c r="L6803" s="13"/>
      <c r="M6803" s="14"/>
      <c r="N6803" s="15"/>
      <c r="O6803" s="15"/>
      <c r="P6803" s="15"/>
      <c r="Q6803" s="15"/>
      <c r="R6803" s="422"/>
      <c r="S6803" s="15"/>
      <c r="T6803" s="15"/>
      <c r="U6803" s="15"/>
      <c r="V6803" s="15"/>
      <c r="W6803" s="15"/>
      <c r="X6803" s="15"/>
      <c r="Y6803" s="15"/>
      <c r="Z6803" s="15"/>
      <c r="AA6803" s="15"/>
    </row>
    <row r="6804">
      <c r="A6804" s="15"/>
      <c r="B6804" s="15"/>
      <c r="C6804" s="14"/>
      <c r="D6804" s="14"/>
      <c r="E6804" s="14"/>
      <c r="F6804" s="433"/>
      <c r="G6804" s="434"/>
      <c r="H6804" s="14"/>
      <c r="I6804" s="423"/>
      <c r="J6804" s="14"/>
      <c r="K6804" s="13"/>
      <c r="L6804" s="13"/>
      <c r="M6804" s="14"/>
      <c r="N6804" s="15"/>
      <c r="O6804" s="15"/>
      <c r="P6804" s="15"/>
      <c r="Q6804" s="15"/>
      <c r="R6804" s="422"/>
      <c r="S6804" s="15"/>
      <c r="T6804" s="15"/>
      <c r="U6804" s="15"/>
      <c r="V6804" s="15"/>
      <c r="W6804" s="15"/>
      <c r="X6804" s="15"/>
      <c r="Y6804" s="15"/>
      <c r="Z6804" s="15"/>
      <c r="AA6804" s="15"/>
    </row>
    <row r="6805">
      <c r="A6805" s="15"/>
      <c r="B6805" s="15"/>
      <c r="C6805" s="14"/>
      <c r="D6805" s="14"/>
      <c r="E6805" s="14"/>
      <c r="F6805" s="433"/>
      <c r="G6805" s="434"/>
      <c r="H6805" s="14"/>
      <c r="I6805" s="423"/>
      <c r="J6805" s="14"/>
      <c r="K6805" s="13"/>
      <c r="L6805" s="13"/>
      <c r="M6805" s="14"/>
      <c r="N6805" s="15"/>
      <c r="O6805" s="15"/>
      <c r="P6805" s="15"/>
      <c r="Q6805" s="15"/>
      <c r="R6805" s="422"/>
      <c r="S6805" s="15"/>
      <c r="T6805" s="15"/>
      <c r="U6805" s="15"/>
      <c r="V6805" s="15"/>
      <c r="W6805" s="15"/>
      <c r="X6805" s="15"/>
      <c r="Y6805" s="15"/>
      <c r="Z6805" s="15"/>
      <c r="AA6805" s="15"/>
    </row>
    <row r="6806">
      <c r="A6806" s="15"/>
      <c r="B6806" s="15"/>
      <c r="C6806" s="14"/>
      <c r="D6806" s="14"/>
      <c r="E6806" s="14"/>
      <c r="F6806" s="433"/>
      <c r="G6806" s="434"/>
      <c r="H6806" s="14"/>
      <c r="I6806" s="423"/>
      <c r="J6806" s="14"/>
      <c r="K6806" s="13"/>
      <c r="L6806" s="13"/>
      <c r="M6806" s="14"/>
      <c r="N6806" s="15"/>
      <c r="O6806" s="15"/>
      <c r="P6806" s="15"/>
      <c r="Q6806" s="15"/>
      <c r="R6806" s="422"/>
      <c r="S6806" s="15"/>
      <c r="T6806" s="15"/>
      <c r="U6806" s="15"/>
      <c r="V6806" s="15"/>
      <c r="W6806" s="15"/>
      <c r="X6806" s="15"/>
      <c r="Y6806" s="15"/>
      <c r="Z6806" s="15"/>
      <c r="AA6806" s="15"/>
    </row>
    <row r="6807">
      <c r="A6807" s="15"/>
      <c r="B6807" s="15"/>
      <c r="C6807" s="14"/>
      <c r="D6807" s="14"/>
      <c r="E6807" s="14"/>
      <c r="F6807" s="433"/>
      <c r="G6807" s="434"/>
      <c r="H6807" s="14"/>
      <c r="I6807" s="423"/>
      <c r="J6807" s="14"/>
      <c r="K6807" s="13"/>
      <c r="L6807" s="13"/>
      <c r="M6807" s="14"/>
      <c r="N6807" s="15"/>
      <c r="O6807" s="15"/>
      <c r="P6807" s="15"/>
      <c r="Q6807" s="15"/>
      <c r="R6807" s="422"/>
      <c r="S6807" s="15"/>
      <c r="T6807" s="15"/>
      <c r="U6807" s="15"/>
      <c r="V6807" s="15"/>
      <c r="W6807" s="15"/>
      <c r="X6807" s="15"/>
      <c r="Y6807" s="15"/>
      <c r="Z6807" s="15"/>
      <c r="AA6807" s="15"/>
    </row>
    <row r="6808">
      <c r="A6808" s="15"/>
      <c r="B6808" s="15"/>
      <c r="C6808" s="14"/>
      <c r="D6808" s="14"/>
      <c r="E6808" s="14"/>
      <c r="F6808" s="433"/>
      <c r="G6808" s="434"/>
      <c r="H6808" s="14"/>
      <c r="I6808" s="423"/>
      <c r="J6808" s="14"/>
      <c r="K6808" s="13"/>
      <c r="L6808" s="13"/>
      <c r="M6808" s="14"/>
      <c r="N6808" s="15"/>
      <c r="O6808" s="15"/>
      <c r="P6808" s="15"/>
      <c r="Q6808" s="15"/>
      <c r="R6808" s="422"/>
      <c r="S6808" s="15"/>
      <c r="T6808" s="15"/>
      <c r="U6808" s="15"/>
      <c r="V6808" s="15"/>
      <c r="W6808" s="15"/>
      <c r="X6808" s="15"/>
      <c r="Y6808" s="15"/>
      <c r="Z6808" s="15"/>
      <c r="AA6808" s="15"/>
    </row>
    <row r="6809">
      <c r="A6809" s="15"/>
      <c r="B6809" s="15"/>
      <c r="C6809" s="14"/>
      <c r="D6809" s="14"/>
      <c r="E6809" s="14"/>
      <c r="F6809" s="433"/>
      <c r="G6809" s="434"/>
      <c r="H6809" s="14"/>
      <c r="I6809" s="423"/>
      <c r="J6809" s="14"/>
      <c r="K6809" s="13"/>
      <c r="L6809" s="13"/>
      <c r="M6809" s="14"/>
      <c r="N6809" s="15"/>
      <c r="O6809" s="15"/>
      <c r="P6809" s="15"/>
      <c r="Q6809" s="15"/>
      <c r="R6809" s="422"/>
      <c r="S6809" s="15"/>
      <c r="T6809" s="15"/>
      <c r="U6809" s="15"/>
      <c r="V6809" s="15"/>
      <c r="W6809" s="15"/>
      <c r="X6809" s="15"/>
      <c r="Y6809" s="15"/>
      <c r="Z6809" s="15"/>
      <c r="AA6809" s="15"/>
    </row>
    <row r="6810">
      <c r="A6810" s="15"/>
      <c r="B6810" s="15"/>
      <c r="C6810" s="14"/>
      <c r="D6810" s="14"/>
      <c r="E6810" s="14"/>
      <c r="F6810" s="433"/>
      <c r="G6810" s="434"/>
      <c r="H6810" s="14"/>
      <c r="I6810" s="423"/>
      <c r="J6810" s="14"/>
      <c r="K6810" s="13"/>
      <c r="L6810" s="13"/>
      <c r="M6810" s="14"/>
      <c r="N6810" s="15"/>
      <c r="O6810" s="15"/>
      <c r="P6810" s="15"/>
      <c r="Q6810" s="15"/>
      <c r="R6810" s="422"/>
      <c r="S6810" s="15"/>
      <c r="T6810" s="15"/>
      <c r="U6810" s="15"/>
      <c r="V6810" s="15"/>
      <c r="W6810" s="15"/>
      <c r="X6810" s="15"/>
      <c r="Y6810" s="15"/>
      <c r="Z6810" s="15"/>
      <c r="AA6810" s="15"/>
    </row>
    <row r="6811">
      <c r="A6811" s="15"/>
      <c r="B6811" s="15"/>
      <c r="C6811" s="14"/>
      <c r="D6811" s="14"/>
      <c r="E6811" s="14"/>
      <c r="F6811" s="433"/>
      <c r="G6811" s="434"/>
      <c r="H6811" s="14"/>
      <c r="I6811" s="423"/>
      <c r="J6811" s="14"/>
      <c r="K6811" s="13"/>
      <c r="L6811" s="13"/>
      <c r="M6811" s="14"/>
      <c r="N6811" s="15"/>
      <c r="O6811" s="15"/>
      <c r="P6811" s="15"/>
      <c r="Q6811" s="15"/>
      <c r="R6811" s="422"/>
      <c r="S6811" s="15"/>
      <c r="T6811" s="15"/>
      <c r="U6811" s="15"/>
      <c r="V6811" s="15"/>
      <c r="W6811" s="15"/>
      <c r="X6811" s="15"/>
      <c r="Y6811" s="15"/>
      <c r="Z6811" s="15"/>
      <c r="AA6811" s="15"/>
    </row>
    <row r="6812">
      <c r="A6812" s="15"/>
      <c r="B6812" s="15"/>
      <c r="C6812" s="14"/>
      <c r="D6812" s="14"/>
      <c r="E6812" s="14"/>
      <c r="F6812" s="433"/>
      <c r="G6812" s="434"/>
      <c r="H6812" s="14"/>
      <c r="I6812" s="423"/>
      <c r="J6812" s="14"/>
      <c r="K6812" s="13"/>
      <c r="L6812" s="13"/>
      <c r="M6812" s="14"/>
      <c r="N6812" s="15"/>
      <c r="O6812" s="15"/>
      <c r="P6812" s="15"/>
      <c r="Q6812" s="15"/>
      <c r="R6812" s="422"/>
      <c r="S6812" s="15"/>
      <c r="T6812" s="15"/>
      <c r="U6812" s="15"/>
      <c r="V6812" s="15"/>
      <c r="W6812" s="15"/>
      <c r="X6812" s="15"/>
      <c r="Y6812" s="15"/>
      <c r="Z6812" s="15"/>
      <c r="AA6812" s="15"/>
    </row>
    <row r="6813">
      <c r="A6813" s="15"/>
      <c r="B6813" s="15"/>
      <c r="C6813" s="14"/>
      <c r="D6813" s="14"/>
      <c r="E6813" s="14"/>
      <c r="F6813" s="433"/>
      <c r="G6813" s="434"/>
      <c r="H6813" s="14"/>
      <c r="I6813" s="423"/>
      <c r="J6813" s="14"/>
      <c r="K6813" s="13"/>
      <c r="L6813" s="13"/>
      <c r="M6813" s="14"/>
      <c r="N6813" s="15"/>
      <c r="O6813" s="15"/>
      <c r="P6813" s="15"/>
      <c r="Q6813" s="15"/>
      <c r="R6813" s="422"/>
      <c r="S6813" s="15"/>
      <c r="T6813" s="15"/>
      <c r="U6813" s="15"/>
      <c r="V6813" s="15"/>
      <c r="W6813" s="15"/>
      <c r="X6813" s="15"/>
      <c r="Y6813" s="15"/>
      <c r="Z6813" s="15"/>
      <c r="AA6813" s="15"/>
    </row>
    <row r="6814">
      <c r="A6814" s="15"/>
      <c r="B6814" s="15"/>
      <c r="C6814" s="14"/>
      <c r="D6814" s="14"/>
      <c r="E6814" s="14"/>
      <c r="F6814" s="433"/>
      <c r="G6814" s="434"/>
      <c r="H6814" s="14"/>
      <c r="I6814" s="423"/>
      <c r="J6814" s="14"/>
      <c r="K6814" s="13"/>
      <c r="L6814" s="13"/>
      <c r="M6814" s="14"/>
      <c r="N6814" s="15"/>
      <c r="O6814" s="15"/>
      <c r="P6814" s="15"/>
      <c r="Q6814" s="15"/>
      <c r="R6814" s="422"/>
      <c r="S6814" s="15"/>
      <c r="T6814" s="15"/>
      <c r="U6814" s="15"/>
      <c r="V6814" s="15"/>
      <c r="W6814" s="15"/>
      <c r="X6814" s="15"/>
      <c r="Y6814" s="15"/>
      <c r="Z6814" s="15"/>
      <c r="AA6814" s="15"/>
    </row>
    <row r="6815">
      <c r="A6815" s="15"/>
      <c r="B6815" s="15"/>
      <c r="C6815" s="14"/>
      <c r="D6815" s="14"/>
      <c r="E6815" s="14"/>
      <c r="F6815" s="433"/>
      <c r="G6815" s="434"/>
      <c r="H6815" s="14"/>
      <c r="I6815" s="423"/>
      <c r="J6815" s="14"/>
      <c r="K6815" s="13"/>
      <c r="L6815" s="13"/>
      <c r="M6815" s="14"/>
      <c r="N6815" s="15"/>
      <c r="O6815" s="15"/>
      <c r="P6815" s="15"/>
      <c r="Q6815" s="15"/>
      <c r="R6815" s="422"/>
      <c r="S6815" s="15"/>
      <c r="T6815" s="15"/>
      <c r="U6815" s="15"/>
      <c r="V6815" s="15"/>
      <c r="W6815" s="15"/>
      <c r="X6815" s="15"/>
      <c r="Y6815" s="15"/>
      <c r="Z6815" s="15"/>
      <c r="AA6815" s="15"/>
    </row>
    <row r="6816">
      <c r="A6816" s="15"/>
      <c r="B6816" s="15"/>
      <c r="C6816" s="14"/>
      <c r="D6816" s="14"/>
      <c r="E6816" s="14"/>
      <c r="F6816" s="433"/>
      <c r="G6816" s="434"/>
      <c r="H6816" s="14"/>
      <c r="I6816" s="423"/>
      <c r="J6816" s="14"/>
      <c r="K6816" s="13"/>
      <c r="L6816" s="13"/>
      <c r="M6816" s="14"/>
      <c r="N6816" s="15"/>
      <c r="O6816" s="15"/>
      <c r="P6816" s="15"/>
      <c r="Q6816" s="15"/>
      <c r="R6816" s="422"/>
      <c r="S6816" s="15"/>
      <c r="T6816" s="15"/>
      <c r="U6816" s="15"/>
      <c r="V6816" s="15"/>
      <c r="W6816" s="15"/>
      <c r="X6816" s="15"/>
      <c r="Y6816" s="15"/>
      <c r="Z6816" s="15"/>
      <c r="AA6816" s="15"/>
    </row>
    <row r="6817">
      <c r="A6817" s="15"/>
      <c r="B6817" s="15"/>
      <c r="C6817" s="14"/>
      <c r="D6817" s="14"/>
      <c r="E6817" s="14"/>
      <c r="F6817" s="433"/>
      <c r="G6817" s="434"/>
      <c r="H6817" s="14"/>
      <c r="I6817" s="423"/>
      <c r="J6817" s="14"/>
      <c r="K6817" s="13"/>
      <c r="L6817" s="13"/>
      <c r="M6817" s="14"/>
      <c r="N6817" s="15"/>
      <c r="O6817" s="15"/>
      <c r="P6817" s="15"/>
      <c r="Q6817" s="15"/>
      <c r="R6817" s="422"/>
      <c r="S6817" s="15"/>
      <c r="T6817" s="15"/>
      <c r="U6817" s="15"/>
      <c r="V6817" s="15"/>
      <c r="W6817" s="15"/>
      <c r="X6817" s="15"/>
      <c r="Y6817" s="15"/>
      <c r="Z6817" s="15"/>
      <c r="AA6817" s="15"/>
    </row>
    <row r="6818">
      <c r="A6818" s="15"/>
      <c r="B6818" s="15"/>
      <c r="C6818" s="14"/>
      <c r="D6818" s="14"/>
      <c r="E6818" s="14"/>
      <c r="F6818" s="433"/>
      <c r="G6818" s="434"/>
      <c r="H6818" s="14"/>
      <c r="I6818" s="423"/>
      <c r="J6818" s="14"/>
      <c r="K6818" s="13"/>
      <c r="L6818" s="13"/>
      <c r="M6818" s="14"/>
      <c r="N6818" s="15"/>
      <c r="O6818" s="15"/>
      <c r="P6818" s="15"/>
      <c r="Q6818" s="15"/>
      <c r="R6818" s="422"/>
      <c r="S6818" s="15"/>
      <c r="T6818" s="15"/>
      <c r="U6818" s="15"/>
      <c r="V6818" s="15"/>
      <c r="W6818" s="15"/>
      <c r="X6818" s="15"/>
      <c r="Y6818" s="15"/>
      <c r="Z6818" s="15"/>
      <c r="AA6818" s="15"/>
    </row>
    <row r="6819">
      <c r="A6819" s="15"/>
      <c r="B6819" s="15"/>
      <c r="C6819" s="14"/>
      <c r="D6819" s="14"/>
      <c r="E6819" s="14"/>
      <c r="F6819" s="433"/>
      <c r="G6819" s="434"/>
      <c r="H6819" s="14"/>
      <c r="I6819" s="423"/>
      <c r="J6819" s="14"/>
      <c r="K6819" s="13"/>
      <c r="L6819" s="13"/>
      <c r="M6819" s="14"/>
      <c r="N6819" s="15"/>
      <c r="O6819" s="15"/>
      <c r="P6819" s="15"/>
      <c r="Q6819" s="15"/>
      <c r="R6819" s="422"/>
      <c r="S6819" s="15"/>
      <c r="T6819" s="15"/>
      <c r="U6819" s="15"/>
      <c r="V6819" s="15"/>
      <c r="W6819" s="15"/>
      <c r="X6819" s="15"/>
      <c r="Y6819" s="15"/>
      <c r="Z6819" s="15"/>
      <c r="AA6819" s="15"/>
    </row>
    <row r="6820">
      <c r="A6820" s="15"/>
      <c r="B6820" s="15"/>
      <c r="C6820" s="14"/>
      <c r="D6820" s="14"/>
      <c r="E6820" s="14"/>
      <c r="F6820" s="433"/>
      <c r="G6820" s="434"/>
      <c r="H6820" s="14"/>
      <c r="I6820" s="423"/>
      <c r="J6820" s="14"/>
      <c r="K6820" s="13"/>
      <c r="L6820" s="13"/>
      <c r="M6820" s="14"/>
      <c r="N6820" s="15"/>
      <c r="O6820" s="15"/>
      <c r="P6820" s="15"/>
      <c r="Q6820" s="15"/>
      <c r="R6820" s="422"/>
      <c r="S6820" s="15"/>
      <c r="T6820" s="15"/>
      <c r="U6820" s="15"/>
      <c r="V6820" s="15"/>
      <c r="W6820" s="15"/>
      <c r="X6820" s="15"/>
      <c r="Y6820" s="15"/>
      <c r="Z6820" s="15"/>
      <c r="AA6820" s="15"/>
    </row>
    <row r="6821">
      <c r="A6821" s="15"/>
      <c r="B6821" s="15"/>
      <c r="C6821" s="14"/>
      <c r="D6821" s="14"/>
      <c r="E6821" s="14"/>
      <c r="F6821" s="433"/>
      <c r="G6821" s="434"/>
      <c r="H6821" s="14"/>
      <c r="I6821" s="423"/>
      <c r="J6821" s="14"/>
      <c r="K6821" s="13"/>
      <c r="L6821" s="13"/>
      <c r="M6821" s="14"/>
      <c r="N6821" s="15"/>
      <c r="O6821" s="15"/>
      <c r="P6821" s="15"/>
      <c r="Q6821" s="15"/>
      <c r="R6821" s="422"/>
      <c r="S6821" s="15"/>
      <c r="T6821" s="15"/>
      <c r="U6821" s="15"/>
      <c r="V6821" s="15"/>
      <c r="W6821" s="15"/>
      <c r="X6821" s="15"/>
      <c r="Y6821" s="15"/>
      <c r="Z6821" s="15"/>
      <c r="AA6821" s="15"/>
    </row>
    <row r="6822">
      <c r="A6822" s="15"/>
      <c r="B6822" s="15"/>
      <c r="C6822" s="14"/>
      <c r="D6822" s="14"/>
      <c r="E6822" s="14"/>
      <c r="F6822" s="433"/>
      <c r="G6822" s="434"/>
      <c r="H6822" s="14"/>
      <c r="I6822" s="423"/>
      <c r="J6822" s="14"/>
      <c r="K6822" s="13"/>
      <c r="L6822" s="13"/>
      <c r="M6822" s="14"/>
      <c r="N6822" s="15"/>
      <c r="O6822" s="15"/>
      <c r="P6822" s="15"/>
      <c r="Q6822" s="15"/>
      <c r="R6822" s="422"/>
      <c r="S6822" s="15"/>
      <c r="T6822" s="15"/>
      <c r="U6822" s="15"/>
      <c r="V6822" s="15"/>
      <c r="W6822" s="15"/>
      <c r="X6822" s="15"/>
      <c r="Y6822" s="15"/>
      <c r="Z6822" s="15"/>
      <c r="AA6822" s="15"/>
    </row>
    <row r="6823">
      <c r="A6823" s="15"/>
      <c r="B6823" s="15"/>
      <c r="C6823" s="14"/>
      <c r="D6823" s="14"/>
      <c r="E6823" s="14"/>
      <c r="F6823" s="433"/>
      <c r="G6823" s="434"/>
      <c r="H6823" s="14"/>
      <c r="I6823" s="423"/>
      <c r="J6823" s="14"/>
      <c r="K6823" s="13"/>
      <c r="L6823" s="13"/>
      <c r="M6823" s="14"/>
      <c r="N6823" s="15"/>
      <c r="O6823" s="15"/>
      <c r="P6823" s="15"/>
      <c r="Q6823" s="15"/>
      <c r="R6823" s="422"/>
      <c r="S6823" s="15"/>
      <c r="T6823" s="15"/>
      <c r="U6823" s="15"/>
      <c r="V6823" s="15"/>
      <c r="W6823" s="15"/>
      <c r="X6823" s="15"/>
      <c r="Y6823" s="15"/>
      <c r="Z6823" s="15"/>
      <c r="AA6823" s="15"/>
    </row>
    <row r="6824">
      <c r="A6824" s="15"/>
      <c r="B6824" s="15"/>
      <c r="C6824" s="14"/>
      <c r="D6824" s="14"/>
      <c r="E6824" s="14"/>
      <c r="F6824" s="433"/>
      <c r="G6824" s="434"/>
      <c r="H6824" s="14"/>
      <c r="I6824" s="423"/>
      <c r="J6824" s="14"/>
      <c r="K6824" s="13"/>
      <c r="L6824" s="13"/>
      <c r="M6824" s="14"/>
      <c r="N6824" s="15"/>
      <c r="O6824" s="15"/>
      <c r="P6824" s="15"/>
      <c r="Q6824" s="15"/>
      <c r="R6824" s="422"/>
      <c r="S6824" s="15"/>
      <c r="T6824" s="15"/>
      <c r="U6824" s="15"/>
      <c r="V6824" s="15"/>
      <c r="W6824" s="15"/>
      <c r="X6824" s="15"/>
      <c r="Y6824" s="15"/>
      <c r="Z6824" s="15"/>
      <c r="AA6824" s="15"/>
    </row>
    <row r="6825">
      <c r="A6825" s="15"/>
      <c r="B6825" s="15"/>
      <c r="C6825" s="14"/>
      <c r="D6825" s="14"/>
      <c r="E6825" s="14"/>
      <c r="F6825" s="433"/>
      <c r="G6825" s="434"/>
      <c r="H6825" s="14"/>
      <c r="I6825" s="423"/>
      <c r="J6825" s="14"/>
      <c r="K6825" s="13"/>
      <c r="L6825" s="13"/>
      <c r="M6825" s="14"/>
      <c r="N6825" s="15"/>
      <c r="O6825" s="15"/>
      <c r="P6825" s="15"/>
      <c r="Q6825" s="15"/>
      <c r="R6825" s="422"/>
      <c r="S6825" s="15"/>
      <c r="T6825" s="15"/>
      <c r="U6825" s="15"/>
      <c r="V6825" s="15"/>
      <c r="W6825" s="15"/>
      <c r="X6825" s="15"/>
      <c r="Y6825" s="15"/>
      <c r="Z6825" s="15"/>
      <c r="AA6825" s="15"/>
    </row>
    <row r="6826">
      <c r="A6826" s="15"/>
      <c r="B6826" s="15"/>
      <c r="C6826" s="14"/>
      <c r="D6826" s="14"/>
      <c r="E6826" s="14"/>
      <c r="F6826" s="433"/>
      <c r="G6826" s="434"/>
      <c r="H6826" s="14"/>
      <c r="I6826" s="423"/>
      <c r="J6826" s="14"/>
      <c r="K6826" s="13"/>
      <c r="L6826" s="13"/>
      <c r="M6826" s="14"/>
      <c r="N6826" s="15"/>
      <c r="O6826" s="15"/>
      <c r="P6826" s="15"/>
      <c r="Q6826" s="15"/>
      <c r="R6826" s="422"/>
      <c r="S6826" s="15"/>
      <c r="T6826" s="15"/>
      <c r="U6826" s="15"/>
      <c r="V6826" s="15"/>
      <c r="W6826" s="15"/>
      <c r="X6826" s="15"/>
      <c r="Y6826" s="15"/>
      <c r="Z6826" s="15"/>
      <c r="AA6826" s="15"/>
    </row>
    <row r="6827">
      <c r="A6827" s="15"/>
      <c r="B6827" s="15"/>
      <c r="C6827" s="14"/>
      <c r="D6827" s="14"/>
      <c r="E6827" s="14"/>
      <c r="F6827" s="433"/>
      <c r="G6827" s="434"/>
      <c r="H6827" s="14"/>
      <c r="I6827" s="423"/>
      <c r="J6827" s="14"/>
      <c r="K6827" s="13"/>
      <c r="L6827" s="13"/>
      <c r="M6827" s="14"/>
      <c r="N6827" s="15"/>
      <c r="O6827" s="15"/>
      <c r="P6827" s="15"/>
      <c r="Q6827" s="15"/>
      <c r="R6827" s="422"/>
      <c r="S6827" s="15"/>
      <c r="T6827" s="15"/>
      <c r="U6827" s="15"/>
      <c r="V6827" s="15"/>
      <c r="W6827" s="15"/>
      <c r="X6827" s="15"/>
      <c r="Y6827" s="15"/>
      <c r="Z6827" s="15"/>
      <c r="AA6827" s="15"/>
    </row>
    <row r="6828">
      <c r="A6828" s="15"/>
      <c r="B6828" s="15"/>
      <c r="C6828" s="14"/>
      <c r="D6828" s="14"/>
      <c r="E6828" s="14"/>
      <c r="F6828" s="433"/>
      <c r="G6828" s="434"/>
      <c r="H6828" s="14"/>
      <c r="I6828" s="423"/>
      <c r="J6828" s="14"/>
      <c r="K6828" s="13"/>
      <c r="L6828" s="13"/>
      <c r="M6828" s="14"/>
      <c r="N6828" s="15"/>
      <c r="O6828" s="15"/>
      <c r="P6828" s="15"/>
      <c r="Q6828" s="15"/>
      <c r="R6828" s="422"/>
      <c r="S6828" s="15"/>
      <c r="T6828" s="15"/>
      <c r="U6828" s="15"/>
      <c r="V6828" s="15"/>
      <c r="W6828" s="15"/>
      <c r="X6828" s="15"/>
      <c r="Y6828" s="15"/>
      <c r="Z6828" s="15"/>
      <c r="AA6828" s="15"/>
    </row>
    <row r="6829">
      <c r="A6829" s="15"/>
      <c r="B6829" s="15"/>
      <c r="C6829" s="14"/>
      <c r="D6829" s="14"/>
      <c r="E6829" s="14"/>
      <c r="F6829" s="433"/>
      <c r="G6829" s="434"/>
      <c r="H6829" s="14"/>
      <c r="I6829" s="423"/>
      <c r="J6829" s="14"/>
      <c r="K6829" s="13"/>
      <c r="L6829" s="13"/>
      <c r="M6829" s="14"/>
      <c r="N6829" s="15"/>
      <c r="O6829" s="15"/>
      <c r="P6829" s="15"/>
      <c r="Q6829" s="15"/>
      <c r="R6829" s="422"/>
      <c r="S6829" s="15"/>
      <c r="T6829" s="15"/>
      <c r="U6829" s="15"/>
      <c r="V6829" s="15"/>
      <c r="W6829" s="15"/>
      <c r="X6829" s="15"/>
      <c r="Y6829" s="15"/>
      <c r="Z6829" s="15"/>
      <c r="AA6829" s="15"/>
    </row>
    <row r="6830">
      <c r="A6830" s="15"/>
      <c r="B6830" s="15"/>
      <c r="C6830" s="14"/>
      <c r="D6830" s="14"/>
      <c r="E6830" s="14"/>
      <c r="F6830" s="433"/>
      <c r="G6830" s="434"/>
      <c r="H6830" s="14"/>
      <c r="I6830" s="423"/>
      <c r="J6830" s="14"/>
      <c r="K6830" s="13"/>
      <c r="L6830" s="13"/>
      <c r="M6830" s="14"/>
      <c r="N6830" s="15"/>
      <c r="O6830" s="15"/>
      <c r="P6830" s="15"/>
      <c r="Q6830" s="15"/>
      <c r="R6830" s="422"/>
      <c r="S6830" s="15"/>
      <c r="T6830" s="15"/>
      <c r="U6830" s="15"/>
      <c r="V6830" s="15"/>
      <c r="W6830" s="15"/>
      <c r="X6830" s="15"/>
      <c r="Y6830" s="15"/>
      <c r="Z6830" s="15"/>
      <c r="AA6830" s="15"/>
    </row>
    <row r="6831">
      <c r="A6831" s="15"/>
      <c r="B6831" s="15"/>
      <c r="C6831" s="14"/>
      <c r="D6831" s="14"/>
      <c r="E6831" s="14"/>
      <c r="F6831" s="433"/>
      <c r="G6831" s="434"/>
      <c r="H6831" s="14"/>
      <c r="I6831" s="423"/>
      <c r="J6831" s="14"/>
      <c r="K6831" s="13"/>
      <c r="L6831" s="13"/>
      <c r="M6831" s="14"/>
      <c r="N6831" s="15"/>
      <c r="O6831" s="15"/>
      <c r="P6831" s="15"/>
      <c r="Q6831" s="15"/>
      <c r="R6831" s="422"/>
      <c r="S6831" s="15"/>
      <c r="T6831" s="15"/>
      <c r="U6831" s="15"/>
      <c r="V6831" s="15"/>
      <c r="W6831" s="15"/>
      <c r="X6831" s="15"/>
      <c r="Y6831" s="15"/>
      <c r="Z6831" s="15"/>
      <c r="AA6831" s="15"/>
    </row>
    <row r="6832">
      <c r="A6832" s="15"/>
      <c r="B6832" s="15"/>
      <c r="C6832" s="14"/>
      <c r="D6832" s="14"/>
      <c r="E6832" s="14"/>
      <c r="F6832" s="433"/>
      <c r="G6832" s="434"/>
      <c r="H6832" s="14"/>
      <c r="I6832" s="423"/>
      <c r="J6832" s="14"/>
      <c r="K6832" s="13"/>
      <c r="L6832" s="13"/>
      <c r="M6832" s="14"/>
      <c r="N6832" s="15"/>
      <c r="O6832" s="15"/>
      <c r="P6832" s="15"/>
      <c r="Q6832" s="15"/>
      <c r="R6832" s="422"/>
      <c r="S6832" s="15"/>
      <c r="T6832" s="15"/>
      <c r="U6832" s="15"/>
      <c r="V6832" s="15"/>
      <c r="W6832" s="15"/>
      <c r="X6832" s="15"/>
      <c r="Y6832" s="15"/>
      <c r="Z6832" s="15"/>
      <c r="AA6832" s="15"/>
    </row>
  </sheetData>
  <customSheetViews>
    <customSheetView guid="{7135AB89-1EEE-484E-ACBD-DA9AA8963D30}" filter="1" showAutoFilter="1">
      <autoFilter ref="$B$1:$S$150"/>
    </customSheetView>
    <customSheetView guid="{B4531981-A4CE-453D-8587-9AA845E79581}" filter="1" showAutoFilter="1">
      <autoFilter ref="$E$1:$E$6832"/>
    </customSheetView>
    <customSheetView guid="{AC629CD1-325B-4094-BE88-0DF37113B543}" filter="1" showAutoFilter="1">
      <autoFilter ref="$B$1:$S$150"/>
    </customSheetView>
    <customSheetView guid="{93E59F9B-08E8-4FA8-9318-CDA599B1E35B}" filter="1" showAutoFilter="1">
      <autoFilter ref="$A$633:$S$4251">
        <filterColumn colId="4">
          <filters>
            <filter val="Pet coke"/>
            <filter val="Zinc Hydroxide"/>
            <filter val="Ferric Chloride"/>
            <filter val="Bentonite Powder (ashapura)"/>
            <filter val="Sodium sulphate"/>
            <filter val="ACETIC ACID"/>
            <filter val="Technical Grade Urea"/>
            <filter val="Molecular sieves"/>
            <filter val="Rice Bran wax"/>
            <filter val="Liquid ammonia"/>
            <filter val="Calcium carbonate"/>
            <filter val="Iso propyl Alcohol"/>
            <filter val="Marble Dust Powder"/>
            <filter val="HCL, Nitric Acid, Sulphuric Acid"/>
            <filter val="Sodium Silicate,Sodium Sulphate,AciD slurry"/>
            <filter val="Bentonite powder"/>
            <filter val="Urea (Ujjwala Brand)"/>
            <filter val="SoapStone Powder"/>
            <filter val="Fluorspar powder"/>
            <filter val="Bleaching powder"/>
            <filter val="Urea"/>
            <filter val="GUAR GUM"/>
            <filter val="Sodium Bi carbonate"/>
            <filter val="Epsom Salt"/>
            <filter val="Gypsum powder"/>
            <filter val="Sodium Silicate powder"/>
            <filter val="Technical Urea"/>
            <filter val="Quartz sand"/>
            <filter val="potassium Permanganate"/>
            <filter val="Charcoal powder"/>
            <filter val="Sodium percarbonate"/>
            <filter val="Zinc picolinate"/>
            <filter val="Non ferric Alum powder"/>
            <filter val="SIlica Gel"/>
            <filter val="China clay"/>
            <filter val="Wood charcoal"/>
            <filter val="Perlite ore"/>
            <filter val="Paraffin wax"/>
            <filter val="Sodium SIllicate"/>
          </filters>
        </filterColumn>
      </autoFilter>
    </customSheetView>
    <customSheetView guid="{7273A58A-CA66-448E-8ADF-7F0EC762D857}" filter="1" showAutoFilter="1">
      <autoFilter ref="$E$1:$E$6832">
        <filterColumn colId="0">
          <filters>
            <filter val="Soda ASh"/>
            <filter val="Pet coke"/>
            <filter val="charcoal"/>
            <filter val="Cream of Tartar"/>
            <filter val="Aos Liquid"/>
            <filter val="Bentonite, Gypsum , Sodium Sulphate Powder"/>
            <filter val="Bentonite Powder (ashapura)"/>
            <filter val="Ferric chloride"/>
            <filter val="Sodium sulphate"/>
            <filter val="Liquid ammonia"/>
            <filter val="Sodium Silicate Powder,sodium sulphate"/>
            <filter val="Craboriser"/>
            <filter val="Marble Dust Powder"/>
            <filter val="HCL, Nitric Acid, Sulphuric Acid"/>
            <filter val="Sodium Thiosufate"/>
            <filter val="Feldspar, Sodium Meta Silicate, Phosphoric Acid"/>
            <filter val="Sodium Silicate,Sodium Sulphate,AciD slurry"/>
            <filter val="Bentonite powder"/>
            <filter val="SoapStone Powder"/>
            <filter val="Dolomite powder"/>
            <filter val="soap base"/>
            <filter val="Fluorspar powder"/>
            <filter val="Bleaching powder"/>
            <filter val="Guar Gum Powder"/>
            <filter val="GUAR GUM"/>
            <filter val="Gypsum powder"/>
            <filter val="Maize Stach"/>
            <filter val="SLS Powder"/>
            <filter val="gypsum powder"/>
            <filter val="Calcium Chloride Prills"/>
            <filter val="Charcoal &amp; Salt"/>
            <filter val="Ferric Alum powder"/>
            <filter val="Di Methyl Ether"/>
            <filter val="ISO Propyl Alcohol"/>
            <filter val="Alum, Bleaching"/>
            <filter val="Nitrobenzene, Bentonite Granules"/>
            <filter val="Sodium percarbonate"/>
            <filter val="Sodium Meta Bi Sulphite"/>
            <filter val="Paraffin wax"/>
            <filter val="Sodium SIllicate"/>
            <filter val="Tributyl Amine"/>
            <filter val="Zinc Hydroxide"/>
            <filter val="Caustic Soda lye"/>
            <filter val="Vermiculite powder"/>
            <filter val="Nitrobenzene"/>
            <filter val="Calcium Carbonate Precipitated"/>
            <filter val="ACETIC ACID"/>
            <filter val="Zinc Stearate"/>
            <filter val="Molecular sieves"/>
            <filter val="Rice Bran wax"/>
            <filter val="Glass powder"/>
            <filter val="Calcium carbonate"/>
            <filter val="raw perlite"/>
            <filter val="Kcl,Boric Acid"/>
            <filter val="Di Calcium Phosphate"/>
            <filter val="Iso propyl Alcohol"/>
            <filter val="Charcoal, Salt"/>
            <filter val="MTO"/>
            <filter val="DAP, Urea"/>
            <filter val="Lithophone powder"/>
            <filter val="Technical Grade Urea."/>
            <filter val="Sodium Bi carbonate"/>
            <filter val="Epsom Salt"/>
            <filter val="wood charcoal"/>
            <filter val="Sodium Silicate powder"/>
            <filter val="Sodium benzoate"/>
            <filter val="Unroasted Bentonite Granules"/>
            <filter val="Potassium chloride"/>
            <filter val="manganese ore"/>
            <filter val="Caustic Soda, Hypochlorite"/>
            <filter val="Boron"/>
            <filter val="Lime Stone Lump"/>
            <filter val="Quartz sand"/>
            <filter val="potassium Permanganate"/>
            <filter val="Charcoal powder"/>
            <filter val="oxygen absorber"/>
            <filter val="Fire clay"/>
            <filter val="Bentonite Granules"/>
            <filter val="Zinc picolinate"/>
            <filter val="Propionic Acid"/>
            <filter val="Non ferric Alum powder"/>
            <filter val="SIlica Gel"/>
            <filter val="China clay"/>
            <filter val="Wood charcoal"/>
            <filter val="Perlite ore"/>
          </filters>
        </filterColumn>
      </autoFilter>
    </customSheetView>
  </customSheetViews>
  <mergeCells count="1">
    <mergeCell ref="A866:B866"/>
  </mergeCells>
  <dataValidations>
    <dataValidation type="list" allowBlank="1" sqref="R2:R2105 Q2106:R2106 R2107:R2641">
      <formula1>"INFO CALL,QUOTATION,FOLLOW UP,LOST,PAYMENT,DISPATCH,CLOSED,RETAIL FOLLOW UP"</formula1>
    </dataValidation>
    <dataValidation type="list" allowBlank="1" sqref="R2642:R4759">
      <formula1>"INFO CALL,QUOTATION,FOLLOW UP,LOST,PAYMENT,DISPATCH,CLOSED"</formula1>
    </dataValidation>
  </dataValidations>
  <hyperlinks>
    <hyperlink r:id="rId4" location="id=36146&amp;action=152&amp;model=crm.lead&amp;view_type=form&amp;menu_id=111" ref="B1"/>
    <hyperlink r:id="rId5" location="id=80234&amp;cids=1&amp;menu_id=111&amp;action=152&amp;model=crm.lead&amp;view_type=form" ref="B5"/>
    <hyperlink r:id="rId6" ref="G5"/>
    <hyperlink r:id="rId7" location="id=80250&amp;cids=1&amp;menu_id=111&amp;action=152&amp;model=crm.lead&amp;view_type=form" ref="B6"/>
    <hyperlink r:id="rId8" location="id=80220&amp;cids=1&amp;menu_id=111&amp;action=152&amp;model=crm.lead&amp;view_type=form" ref="B7"/>
    <hyperlink r:id="rId9" location="id=80183&amp;cids=1&amp;menu_id=111&amp;action=152&amp;model=crm.lead&amp;view_type=form" ref="B8"/>
    <hyperlink r:id="rId10" location="id=80161&amp;cids=1&amp;menu_id=111&amp;action=152&amp;model=crm.lead&amp;view_type=form" ref="B9"/>
    <hyperlink r:id="rId11" ref="G9"/>
    <hyperlink r:id="rId12" location="id=80148&amp;cids=1&amp;menu_id=111&amp;action=152&amp;model=crm.lead&amp;view_type=form" ref="B10"/>
    <hyperlink r:id="rId13" ref="G10"/>
    <hyperlink r:id="rId14" location="id=80112&amp;cids=1&amp;menu_id=111&amp;action=152&amp;model=crm.lead&amp;view_type=form" ref="B11"/>
    <hyperlink r:id="rId15" ref="G11"/>
    <hyperlink r:id="rId16" location="id=80071&amp;cids=1&amp;menu_id=111&amp;action=152&amp;model=crm.lead&amp;view_type=form" ref="B12"/>
    <hyperlink r:id="rId17" ref="G12"/>
    <hyperlink r:id="rId18" location="id=80042&amp;cids=1&amp;menu_id=111&amp;action=152&amp;model=crm.lead&amp;view_type=form" ref="B13"/>
    <hyperlink r:id="rId19" location="id=80039&amp;cids=1&amp;menu_id=111&amp;action=152&amp;model=crm.lead&amp;view_type=form" ref="B14"/>
    <hyperlink r:id="rId20" location="id=79997&amp;cids=1&amp;menu_id=111&amp;action=152&amp;model=crm.lead&amp;view_type=form" ref="B15"/>
    <hyperlink r:id="rId21" ref="G15"/>
    <hyperlink r:id="rId22" location="id=79977&amp;cids=1&amp;menu_id=111&amp;action=152&amp;model=crm.lead&amp;view_type=form" ref="B16"/>
    <hyperlink r:id="rId23" ref="G16"/>
    <hyperlink r:id="rId24" location="id=79957&amp;cids=1&amp;menu_id=111&amp;action=152&amp;model=crm.lead&amp;view_type=form" ref="B17"/>
    <hyperlink r:id="rId25" location="id=79955&amp;cids=1&amp;menu_id=111&amp;action=152&amp;model=crm.lead&amp;view_type=form" ref="B18"/>
    <hyperlink r:id="rId26" location="id=79896&amp;cids=1&amp;menu_id=111&amp;action=152&amp;model=crm.lead&amp;view_type=form" ref="B19"/>
    <hyperlink r:id="rId27" location="id=79861&amp;cids=1&amp;menu_id=111&amp;action=152&amp;model=crm.lead&amp;view_type=form" ref="B20"/>
    <hyperlink r:id="rId28" location="id=79820&amp;cids=1&amp;menu_id=111&amp;action=152&amp;model=crm.lead&amp;view_type=form" ref="B21"/>
    <hyperlink r:id="rId29" ref="G21"/>
    <hyperlink r:id="rId30" location="id=79825&amp;cids=1&amp;menu_id=111&amp;action=152&amp;model=crm.lead&amp;view_type=form" ref="B22"/>
    <hyperlink r:id="rId31" ref="G22"/>
    <hyperlink r:id="rId32" location="id=79816&amp;cids=1&amp;menu_id=111&amp;action=152&amp;model=crm.lead&amp;view_type=form" ref="B23"/>
    <hyperlink r:id="rId33" ref="G23"/>
    <hyperlink r:id="rId34" location="id=79810&amp;cids=1&amp;menu_id=111&amp;action=152&amp;model=crm.lead&amp;view_type=form" ref="B24"/>
    <hyperlink r:id="rId35" location="id=79714&amp;cids=1&amp;menu_id=111&amp;action=152&amp;model=crm.lead&amp;view_type=form" ref="B25"/>
    <hyperlink r:id="rId36" location="id=79684&amp;cids=1&amp;menu_id=111&amp;action=152&amp;model=crm.lead&amp;view_type=form" ref="B26"/>
    <hyperlink r:id="rId37" ref="G26"/>
    <hyperlink r:id="rId38" location="id=79685&amp;cids=1&amp;menu_id=111&amp;action=152&amp;model=crm.lead&amp;view_type=form" ref="B27"/>
    <hyperlink r:id="rId39" ref="G27"/>
    <hyperlink r:id="rId40" location="id=79647&amp;cids=1&amp;menu_id=111&amp;action=152&amp;model=crm.lead&amp;view_type=form" ref="B28"/>
    <hyperlink r:id="rId41" location="id=79635&amp;cids=1&amp;menu_id=111&amp;action=152&amp;model=crm.lead&amp;view_type=form" ref="B29"/>
    <hyperlink r:id="rId42" ref="G29"/>
    <hyperlink r:id="rId43" location="id=79646&amp;cids=1&amp;menu_id=111&amp;action=152&amp;model=crm.lead&amp;view_type=form" ref="B30"/>
    <hyperlink r:id="rId44" location="id=79586&amp;cids=1&amp;menu_id=111&amp;action=152&amp;model=crm.lead&amp;view_type=form" ref="B31"/>
    <hyperlink r:id="rId45" ref="G31"/>
    <hyperlink r:id="rId46" location="id=79583&amp;cids=1&amp;menu_id=111&amp;action=152&amp;model=crm.lead&amp;view_type=form" ref="B32"/>
    <hyperlink r:id="rId47" ref="G32"/>
    <hyperlink r:id="rId48" location="id=79548&amp;cids=1&amp;menu_id=111&amp;action=152&amp;model=crm.lead&amp;view_type=form" ref="B33"/>
    <hyperlink r:id="rId49" ref="G33"/>
    <hyperlink r:id="rId50" location="id=79455&amp;cids=1&amp;menu_id=111&amp;action=152&amp;model=crm.lead&amp;view_type=form" ref="B34"/>
    <hyperlink r:id="rId51" location="id=79451&amp;cids=1&amp;menu_id=111&amp;action=152&amp;model=crm.lead&amp;view_type=form" ref="B35"/>
    <hyperlink r:id="rId52" ref="G35"/>
    <hyperlink r:id="rId53" location="id=79389&amp;cids=1&amp;menu_id=111&amp;action=152&amp;model=crm.lead&amp;view_type=form" ref="B36"/>
    <hyperlink r:id="rId54" location="id=79292&amp;cids=1&amp;menu_id=111&amp;action=152&amp;model=crm.lead&amp;view_type=form" ref="B37"/>
    <hyperlink r:id="rId55" ref="G37"/>
    <hyperlink r:id="rId56" location="id=78645&amp;cids=1&amp;menu_id=111&amp;action=152&amp;model=crm.lead&amp;view_type=form" ref="B38"/>
    <hyperlink r:id="rId57" ref="G38"/>
    <hyperlink r:id="rId58" location="id=78649&amp;cids=1&amp;menu_id=111&amp;action=152&amp;model=crm.lead&amp;view_type=form" ref="B39"/>
    <hyperlink r:id="rId59" ref="G39"/>
    <hyperlink r:id="rId60" location="id=78516&amp;cids=1&amp;menu_id=111&amp;action=152&amp;model=crm.lead&amp;view_type=form" ref="B40"/>
    <hyperlink r:id="rId61" ref="G40"/>
    <hyperlink r:id="rId62" location="id=78522&amp;cids=1&amp;menu_id=111&amp;action=152&amp;model=crm.lead&amp;view_type=form" ref="B41"/>
    <hyperlink r:id="rId63" location="id=78366&amp;cids=1&amp;menu_id=111&amp;action=152&amp;model=crm.lead&amp;view_type=form" ref="B42"/>
    <hyperlink r:id="rId64" ref="G42"/>
    <hyperlink r:id="rId65" location="id=78353&amp;cids=1&amp;menu_id=111&amp;action=152&amp;model=crm.lead&amp;view_type=form" ref="B43"/>
    <hyperlink r:id="rId66" ref="G43"/>
    <hyperlink r:id="rId67" location="id=78165&amp;cids=1&amp;menu_id=111&amp;action=152&amp;model=crm.lead&amp;view_type=form" ref="B47"/>
    <hyperlink r:id="rId68" ref="G47"/>
    <hyperlink r:id="rId69" location="id=78048&amp;cids=1&amp;menu_id=111&amp;action=152&amp;model=crm.lead&amp;view_type=form" ref="B48"/>
    <hyperlink r:id="rId70" ref="G48"/>
    <hyperlink r:id="rId71" location="id=77971&amp;cids=1&amp;menu_id=111&amp;action=152&amp;model=crm.lead&amp;view_type=form" ref="B49"/>
    <hyperlink r:id="rId72" ref="G49"/>
    <hyperlink r:id="rId73" location="id=77948&amp;cids=1&amp;menu_id=111&amp;action=152&amp;model=crm.lead&amp;view_type=form" ref="B50"/>
    <hyperlink r:id="rId74" ref="G50"/>
    <hyperlink r:id="rId75" location="id=77811&amp;cids=1&amp;menu_id=111&amp;action=152&amp;model=crm.lead&amp;view_type=form" ref="B51"/>
    <hyperlink r:id="rId76" location="id=77683&amp;cids=1&amp;menu_id=111&amp;action=152&amp;model=crm.lead&amp;view_type=form" ref="B52"/>
    <hyperlink r:id="rId77" ref="G52"/>
    <hyperlink r:id="rId78" location="id=77671&amp;cids=1&amp;menu_id=111&amp;action=152&amp;model=crm.lead&amp;view_type=form" ref="B53"/>
    <hyperlink r:id="rId79" ref="G53"/>
    <hyperlink r:id="rId80" location="id=77590&amp;cids=1&amp;menu_id=111&amp;action=152&amp;model=crm.lead&amp;view_type=form" ref="B54"/>
    <hyperlink r:id="rId81" ref="G54"/>
    <hyperlink r:id="rId82" location="id=77596&amp;cids=1&amp;menu_id=111&amp;action=152&amp;model=crm.lead&amp;view_type=form" ref="B55"/>
    <hyperlink r:id="rId83" ref="G55"/>
    <hyperlink r:id="rId84" location="id=77618&amp;cids=1&amp;menu_id=111&amp;action=152&amp;model=crm.lead&amp;view_type=form" ref="B56"/>
    <hyperlink r:id="rId85" location="id=77473&amp;cids=1&amp;menu_id=111&amp;action=152&amp;model=crm.lead&amp;view_type=form" ref="B57"/>
    <hyperlink r:id="rId86" location="id=77316&amp;cids=1&amp;menu_id=111&amp;action=152&amp;model=crm.lead&amp;view_type=form" ref="B58"/>
    <hyperlink r:id="rId87" ref="G58"/>
    <hyperlink r:id="rId88" location="id=77312&amp;cids=1&amp;menu_id=111&amp;action=152&amp;model=crm.lead&amp;view_type=form" ref="B59"/>
    <hyperlink r:id="rId89" location="id=77299&amp;cids=1&amp;menu_id=111&amp;action=152&amp;model=crm.lead&amp;view_type=form" ref="B60"/>
    <hyperlink r:id="rId90" ref="G60"/>
    <hyperlink r:id="rId91" location="id=77184&amp;cids=1&amp;menu_id=111&amp;action=152&amp;model=crm.lead&amp;view_type=form" ref="B61"/>
    <hyperlink r:id="rId92" ref="G61"/>
    <hyperlink r:id="rId93" location="id=77179&amp;cids=1&amp;menu_id=111&amp;action=152&amp;model=crm.lead&amp;view_type=form" ref="B62"/>
    <hyperlink r:id="rId94" ref="G62"/>
    <hyperlink r:id="rId95" location="id=77112&amp;cids=1&amp;menu_id=111&amp;action=152&amp;model=crm.lead&amp;view_type=form" ref="B63"/>
    <hyperlink r:id="rId96" ref="G63"/>
    <hyperlink r:id="rId97" location="id=77069&amp;cids=1&amp;menu_id=111&amp;action=152&amp;model=crm.lead&amp;view_type=form" ref="B64"/>
    <hyperlink r:id="rId98" location="id=77064&amp;cids=1&amp;menu_id=111&amp;action=152&amp;model=crm.lead&amp;view_type=form" ref="B65"/>
    <hyperlink r:id="rId99" location="id=76975&amp;cids=1&amp;menu_id=111&amp;action=152&amp;model=crm.lead&amp;view_type=form" ref="B66"/>
    <hyperlink r:id="rId100" ref="G66"/>
    <hyperlink r:id="rId101" location="id=76883&amp;cids=1&amp;menu_id=111&amp;action=152&amp;model=crm.lead&amp;view_type=form" ref="B67"/>
    <hyperlink r:id="rId102" ref="G67"/>
    <hyperlink r:id="rId103" location="id=76871&amp;cids=1&amp;menu_id=111&amp;action=152&amp;model=crm.lead&amp;view_type=form" ref="B68"/>
    <hyperlink r:id="rId104" location="id=76812&amp;cids=1&amp;menu_id=111&amp;action=152&amp;model=crm.lead&amp;view_type=form" ref="B69"/>
    <hyperlink r:id="rId105" ref="G69"/>
    <hyperlink r:id="rId106" location="id=76791&amp;cids=1&amp;menu_id=111&amp;action=152&amp;model=crm.lead&amp;view_type=form" ref="B70"/>
    <hyperlink r:id="rId107" ref="G70"/>
    <hyperlink r:id="rId108" location="id=76760&amp;cids=1&amp;menu_id=111&amp;action=152&amp;model=crm.lead&amp;view_type=form" ref="B71"/>
    <hyperlink r:id="rId109" location="id=76692&amp;cids=1&amp;menu_id=111&amp;action=152&amp;model=crm.lead&amp;view_type=form" ref="B72"/>
    <hyperlink r:id="rId110" ref="G72"/>
    <hyperlink r:id="rId111" location="id=76683&amp;cids=1&amp;menu_id=111&amp;action=152&amp;model=crm.lead&amp;view_type=form" ref="B73"/>
    <hyperlink r:id="rId112" ref="G73"/>
    <hyperlink r:id="rId113" location="id=76488&amp;cids=1&amp;menu_id=111&amp;action=152&amp;model=crm.lead&amp;view_type=form" ref="B74"/>
    <hyperlink r:id="rId114" ref="G74"/>
    <hyperlink r:id="rId115" location="id=76636&amp;cids=1&amp;menu_id=111&amp;action=152&amp;model=crm.lead&amp;view_type=form" ref="B75"/>
    <hyperlink r:id="rId116" ref="G75"/>
    <hyperlink r:id="rId117" location="id=76638&amp;cids=1&amp;menu_id=111&amp;action=152&amp;model=crm.lead&amp;view_type=form" ref="B76"/>
    <hyperlink r:id="rId118" location="id=76630&amp;cids=1&amp;menu_id=111&amp;action=152&amp;model=crm.lead&amp;view_type=form" ref="B77"/>
    <hyperlink r:id="rId119" ref="G77"/>
    <hyperlink r:id="rId120" location="id=76521&amp;cids=1&amp;menu_id=111&amp;action=152&amp;model=crm.lead&amp;view_type=form" ref="B78"/>
    <hyperlink r:id="rId121" ref="G78"/>
    <hyperlink r:id="rId122" location="id=76471&amp;cids=1&amp;menu_id=111&amp;action=152&amp;model=crm.lead&amp;view_type=form" ref="B79"/>
    <hyperlink r:id="rId123" ref="G79"/>
    <hyperlink r:id="rId124" location="id=76450&amp;cids=1&amp;menu_id=111&amp;action=152&amp;model=crm.lead&amp;view_type=form" ref="B80"/>
    <hyperlink r:id="rId125" location="id=76391&amp;cids=1&amp;menu_id=111&amp;action=152&amp;model=crm.lead&amp;view_type=form" ref="B81"/>
    <hyperlink r:id="rId126" ref="G81"/>
    <hyperlink r:id="rId127" location="id=76360&amp;cids=1&amp;menu_id=111&amp;action=152&amp;model=crm.lead&amp;view_type=form" ref="B82"/>
    <hyperlink r:id="rId128" location="id=76327&amp;cids=1&amp;menu_id=111&amp;action=152&amp;model=crm.lead&amp;view_type=form" ref="B83"/>
    <hyperlink r:id="rId129" ref="G83"/>
    <hyperlink r:id="rId130" location="id=76336&amp;cids=1&amp;menu_id=111&amp;action=152&amp;model=crm.lead&amp;view_type=form" ref="B84"/>
    <hyperlink r:id="rId131" ref="G84"/>
    <hyperlink r:id="rId132" location="id=76292&amp;cids=1&amp;menu_id=111&amp;action=152&amp;model=crm.lead&amp;view_type=form" ref="B85"/>
    <hyperlink r:id="rId133" location="id=76288&amp;cids=1&amp;menu_id=111&amp;action=152&amp;model=crm.lead&amp;view_type=form" ref="B86"/>
    <hyperlink r:id="rId134" ref="G86"/>
    <hyperlink r:id="rId135" location="id=76211&amp;cids=1&amp;menu_id=111&amp;action=152&amp;model=crm.lead&amp;view_type=form" ref="B87"/>
    <hyperlink r:id="rId136" ref="G87"/>
    <hyperlink r:id="rId137" location="id=76173&amp;cids=1&amp;menu_id=111&amp;action=152&amp;model=crm.lead&amp;view_type=form" ref="B88"/>
    <hyperlink r:id="rId138" ref="G88"/>
    <hyperlink r:id="rId139" location="id=76089&amp;cids=1&amp;menu_id=111&amp;action=152&amp;model=crm.lead&amp;view_type=form" ref="B89"/>
    <hyperlink r:id="rId140" ref="G89"/>
    <hyperlink r:id="rId141" location="id=76078&amp;cids=1&amp;menu_id=111&amp;action=152&amp;model=crm.lead&amp;view_type=form" ref="B90"/>
    <hyperlink r:id="rId142" ref="G90"/>
    <hyperlink r:id="rId143" location="id=76069&amp;cids=1&amp;menu_id=111&amp;action=152&amp;model=crm.lead&amp;view_type=form" ref="B91"/>
    <hyperlink r:id="rId144" ref="G91"/>
    <hyperlink r:id="rId145" location="id=76038&amp;cids=1&amp;menu_id=111&amp;action=152&amp;model=crm.lead&amp;view_type=form" ref="B92"/>
    <hyperlink r:id="rId146" location="id=75943&amp;cids=1&amp;menu_id=111&amp;action=152&amp;model=crm.lead&amp;view_type=form" ref="B93"/>
    <hyperlink r:id="rId147" ref="G93"/>
    <hyperlink r:id="rId148" location="id=75993&amp;cids=1&amp;menu_id=111&amp;action=152&amp;model=crm.lead&amp;view_type=form" ref="B94"/>
    <hyperlink r:id="rId149" ref="G94"/>
    <hyperlink r:id="rId150" location="id=75991&amp;cids=1&amp;menu_id=111&amp;action=152&amp;model=crm.lead&amp;view_type=form" ref="B95"/>
    <hyperlink r:id="rId151" ref="G95"/>
    <hyperlink r:id="rId152" location="id=75871&amp;cids=1&amp;menu_id=111&amp;action=152&amp;model=crm.lead&amp;view_type=form" ref="B96"/>
    <hyperlink r:id="rId153" ref="G96"/>
    <hyperlink r:id="rId154" location="id=75896&amp;cids=1&amp;menu_id=111&amp;action=152&amp;model=crm.lead&amp;view_type=form" ref="B97"/>
    <hyperlink r:id="rId155" ref="G97"/>
    <hyperlink r:id="rId156" location="id=75890&amp;cids=1&amp;menu_id=111&amp;action=152&amp;model=crm.lead&amp;view_type=form" ref="B98"/>
    <hyperlink r:id="rId157" ref="G98"/>
    <hyperlink r:id="rId158" location="id=75836&amp;cids=1&amp;menu_id=111&amp;action=152&amp;model=crm.lead&amp;view_type=form" ref="B99"/>
    <hyperlink r:id="rId159" ref="G99"/>
    <hyperlink r:id="rId160" location="id=75787&amp;cids=1&amp;menu_id=111&amp;action=152&amp;model=crm.lead&amp;view_type=form" ref="B100"/>
    <hyperlink r:id="rId161" ref="G100"/>
    <hyperlink r:id="rId162" location="id=75813&amp;cids=1&amp;menu_id=111&amp;action=152&amp;model=crm.lead&amp;view_type=form" ref="B101"/>
    <hyperlink r:id="rId163" ref="G101"/>
    <hyperlink r:id="rId164" location="id=75735&amp;cids=1&amp;menu_id=111&amp;action=152&amp;model=crm.lead&amp;view_type=form" ref="B102"/>
    <hyperlink r:id="rId165" ref="G102"/>
    <hyperlink r:id="rId166" location="id=75696&amp;cids=1&amp;menu_id=111&amp;action=152&amp;model=crm.lead&amp;view_type=form" ref="B103"/>
    <hyperlink r:id="rId167" ref="G103"/>
    <hyperlink r:id="rId168" location="id=75712&amp;cids=1&amp;menu_id=111&amp;action=152&amp;model=crm.lead&amp;view_type=form" ref="B104"/>
    <hyperlink r:id="rId169" ref="G104"/>
    <hyperlink r:id="rId170" location="id=75593&amp;menu_id=111&amp;cids=1&amp;action=152&amp;model=crm.lead&amp;view_type=form" ref="B105"/>
    <hyperlink r:id="rId171" ref="G105"/>
    <hyperlink r:id="rId172" location="id=75595&amp;menu_id=111&amp;cids=1&amp;action=152&amp;model=crm.lead&amp;view_type=form" ref="B106"/>
    <hyperlink r:id="rId173" location="id=75584&amp;menu_id=111&amp;cids=1&amp;action=152&amp;model=crm.lead&amp;view_type=form" ref="B107"/>
    <hyperlink r:id="rId174" ref="G107"/>
    <hyperlink r:id="rId175" location="id=75538&amp;menu_id=111&amp;cids=1&amp;action=152&amp;model=crm.lead&amp;view_type=form" ref="B108"/>
    <hyperlink r:id="rId176" ref="G108"/>
    <hyperlink r:id="rId177" location="id=75523&amp;menu_id=111&amp;cids=1&amp;action=152&amp;model=crm.lead&amp;view_type=form" ref="B109"/>
    <hyperlink r:id="rId178" ref="G109"/>
    <hyperlink r:id="rId179" location="id=75442&amp;menu_id=111&amp;cids=1&amp;action=152&amp;model=crm.lead&amp;view_type=form" ref="B110"/>
    <hyperlink r:id="rId180" location="id=75438&amp;menu_id=111&amp;cids=1&amp;action=152&amp;model=crm.lead&amp;view_type=form" ref="B111"/>
    <hyperlink r:id="rId181" location="id=75402&amp;menu_id=111&amp;cids=1&amp;action=152&amp;model=crm.lead&amp;view_type=form" ref="B112"/>
    <hyperlink r:id="rId182" ref="G112"/>
    <hyperlink r:id="rId183" location="id=75287&amp;menu_id=111&amp;cids=1&amp;action=152&amp;model=crm.lead&amp;view_type=form" ref="B113"/>
    <hyperlink r:id="rId184" ref="G113"/>
    <hyperlink r:id="rId185" location="id=75277&amp;menu_id=111&amp;cids=1&amp;action=152&amp;model=crm.lead&amp;view_type=form" ref="B114"/>
    <hyperlink r:id="rId186" ref="G114"/>
    <hyperlink r:id="rId187" location="id=75211&amp;menu_id=111&amp;cids=1&amp;action=152&amp;model=crm.lead&amp;view_type=form" ref="B116"/>
    <hyperlink r:id="rId188" ref="G116"/>
    <hyperlink r:id="rId189" location="id=75195&amp;menu_id=111&amp;cids=1&amp;action=152&amp;model=crm.lead&amp;view_type=form" ref="B117"/>
    <hyperlink r:id="rId190" location="id=75189&amp;menu_id=111&amp;cids=1&amp;action=152&amp;model=crm.lead&amp;view_type=form" ref="B118"/>
    <hyperlink r:id="rId191" ref="G118"/>
    <hyperlink r:id="rId192" location="id=75133&amp;menu_id=111&amp;cids=1&amp;action=152&amp;model=crm.lead&amp;view_type=form" ref="B119"/>
    <hyperlink r:id="rId193" ref="G120"/>
    <hyperlink r:id="rId194" location="id=75059&amp;menu_id=111&amp;cids=1&amp;action=152&amp;model=crm.lead&amp;view_type=form" ref="B121"/>
    <hyperlink r:id="rId195" ref="G121"/>
    <hyperlink r:id="rId196" location="id=75074&amp;menu_id=111&amp;cids=1&amp;action=152&amp;model=crm.lead&amp;view_type=form" ref="B122"/>
    <hyperlink r:id="rId197" ref="G122"/>
    <hyperlink r:id="rId198" location="id=75073&amp;menu_id=111&amp;cids=1&amp;action=152&amp;model=crm.lead&amp;view_type=form" ref="B123"/>
    <hyperlink r:id="rId199" location="id=74992&amp;menu_id=111&amp;cids=1&amp;action=152&amp;model=crm.lead&amp;view_type=form" ref="B124"/>
    <hyperlink r:id="rId200" ref="G124"/>
    <hyperlink r:id="rId201" location="id=74903&amp;menu_id=111&amp;cids=1&amp;action=152&amp;model=crm.lead&amp;view_type=form" ref="B125"/>
    <hyperlink r:id="rId202" ref="G125"/>
    <hyperlink r:id="rId203" location="id=74898&amp;menu_id=111&amp;cids=1&amp;action=152&amp;model=crm.lead&amp;view_type=form" ref="B126"/>
    <hyperlink r:id="rId204" ref="G126"/>
    <hyperlink r:id="rId205" location="id=74878&amp;menu_id=111&amp;cids=1&amp;action=152&amp;model=crm.lead&amp;view_type=form" ref="B127"/>
    <hyperlink r:id="rId206" ref="G127"/>
    <hyperlink r:id="rId207" location="id=74828&amp;menu_id=111&amp;cids=1&amp;action=152&amp;model=crm.lead&amp;view_type=form" ref="B128"/>
    <hyperlink r:id="rId208" ref="G128"/>
    <hyperlink r:id="rId209" location="id=74834&amp;menu_id=111&amp;cids=1&amp;action=152&amp;model=crm.lead&amp;view_type=form" ref="B129"/>
    <hyperlink r:id="rId210" ref="G129"/>
    <hyperlink r:id="rId211" location="id=74795&amp;menu_id=111&amp;cids=1&amp;action=152&amp;model=crm.lead&amp;view_type=form" ref="B130"/>
    <hyperlink r:id="rId212" ref="G130"/>
    <hyperlink r:id="rId213" location="id=74660&amp;menu_id=111&amp;cids=1&amp;action=152&amp;model=crm.lead&amp;view_type=form" ref="B131"/>
    <hyperlink r:id="rId214" ref="G131"/>
    <hyperlink r:id="rId215" location="id=74651&amp;menu_id=111&amp;cids=1&amp;action=152&amp;model=crm.lead&amp;view_type=form" ref="B132"/>
    <hyperlink r:id="rId216" ref="G132"/>
    <hyperlink r:id="rId217" location="id=74575&amp;menu_id=111&amp;cids=1&amp;action=152&amp;model=crm.lead&amp;view_type=form" ref="B133"/>
    <hyperlink r:id="rId218" ref="G133"/>
    <hyperlink r:id="rId219" location="id=74562&amp;menu_id=111&amp;cids=1&amp;action=152&amp;model=crm.lead&amp;view_type=form" ref="B134"/>
    <hyperlink r:id="rId220" ref="G134"/>
    <hyperlink r:id="rId221" location="id=74544&amp;menu_id=111&amp;cids=1&amp;action=152&amp;model=crm.lead&amp;view_type=form" ref="B135"/>
    <hyperlink r:id="rId222" ref="G135"/>
    <hyperlink r:id="rId223" location="id=74532&amp;menu_id=111&amp;cids=1&amp;action=152&amp;model=crm.lead&amp;view_type=form" ref="B136"/>
    <hyperlink r:id="rId224" location="id=74500&amp;menu_id=111&amp;cids=1&amp;action=152&amp;model=crm.lead&amp;view_type=form" ref="B137"/>
    <hyperlink r:id="rId225" ref="G137"/>
    <hyperlink r:id="rId226" location="id=74486&amp;menu_id=111&amp;cids=1&amp;action=152&amp;model=crm.lead&amp;view_type=form" ref="B138"/>
    <hyperlink r:id="rId227" location="id=74490&amp;menu_id=111&amp;cids=1&amp;action=152&amp;model=crm.lead&amp;view_type=form" ref="B139"/>
    <hyperlink r:id="rId228" location="id=74499&amp;menu_id=111&amp;cids=1&amp;action=152&amp;model=crm.lead&amp;view_type=form" ref="B140"/>
    <hyperlink r:id="rId229" ref="G140"/>
    <hyperlink r:id="rId230" location="id=74498&amp;menu_id=111&amp;cids=1&amp;action=152&amp;model=crm.lead&amp;view_type=form" ref="B141"/>
    <hyperlink r:id="rId231" ref="G141"/>
    <hyperlink r:id="rId232" location="id=74479&amp;menu_id=111&amp;cids=1&amp;action=152&amp;model=crm.lead&amp;view_type=form" ref="B142"/>
    <hyperlink r:id="rId233" ref="G142"/>
    <hyperlink r:id="rId234" location="id=74381&amp;menu_id=111&amp;cids=1&amp;action=152&amp;model=crm.lead&amp;view_type=form" ref="B143"/>
    <hyperlink r:id="rId235" ref="G143"/>
    <hyperlink r:id="rId236" location="id=74265&amp;menu_id=111&amp;cids=1&amp;action=152&amp;model=crm.lead&amp;view_type=form" ref="B144"/>
    <hyperlink r:id="rId237" ref="G144"/>
    <hyperlink r:id="rId238" ref="G145"/>
    <hyperlink r:id="rId239" ref="I145"/>
    <hyperlink r:id="rId240" location="id=74200&amp;menu_id=111&amp;cids=1&amp;action=152&amp;model=crm.lead&amp;view_type=form" ref="B146"/>
    <hyperlink r:id="rId241" location="id=74175&amp;menu_id=111&amp;cids=1&amp;action=152&amp;model=crm.lead&amp;view_type=form" ref="B147"/>
    <hyperlink r:id="rId242" ref="G147"/>
    <hyperlink r:id="rId243" location="id=74194&amp;menu_id=111&amp;cids=1&amp;action=152&amp;model=crm.lead&amp;view_type=form" ref="B149"/>
    <hyperlink r:id="rId244" ref="G149"/>
    <hyperlink r:id="rId245" ref="G150"/>
    <hyperlink r:id="rId246" ref="I150"/>
    <hyperlink r:id="rId247" location="id=73977&amp;menu_id=111&amp;cids=1&amp;action=152&amp;model=crm.lead&amp;view_type=form" ref="B151"/>
    <hyperlink r:id="rId248" ref="G151"/>
    <hyperlink r:id="rId249" location="id=74089&amp;menu_id=111&amp;cids=1&amp;action=152&amp;model=crm.lead&amp;view_type=form" ref="B152"/>
    <hyperlink r:id="rId250" location="id=74068&amp;menu_id=111&amp;cids=1&amp;action=152&amp;model=crm.lead&amp;view_type=form" ref="B153"/>
    <hyperlink r:id="rId251" location="id=74060&amp;menu_id=111&amp;cids=1&amp;action=152&amp;model=crm.lead&amp;view_type=form" ref="B154"/>
    <hyperlink r:id="rId252" location="id=74016&amp;menu_id=111&amp;cids=1&amp;action=152&amp;model=crm.lead&amp;view_type=form" ref="B155"/>
    <hyperlink r:id="rId253" ref="G155"/>
    <hyperlink r:id="rId254" location="id=74000&amp;menu_id=111&amp;cids=1&amp;action=152&amp;model=crm.lead&amp;view_type=form" ref="B156"/>
    <hyperlink r:id="rId255" location="id=73986&amp;menu_id=111&amp;cids=1&amp;action=152&amp;model=crm.lead&amp;view_type=form" ref="B157"/>
    <hyperlink r:id="rId256" location="id=73944&amp;menu_id=111&amp;cids=1&amp;action=152&amp;model=crm.lead&amp;view_type=form" ref="B158"/>
    <hyperlink r:id="rId257" ref="G158"/>
    <hyperlink r:id="rId258" location="id=73939&amp;menu_id=111&amp;cids=1&amp;action=152&amp;model=crm.lead&amp;view_type=form" ref="B159"/>
    <hyperlink r:id="rId259" location="id=73804&amp;menu_id=111&amp;cids=1&amp;action=152&amp;model=crm.lead&amp;view_type=form" ref="B160"/>
    <hyperlink r:id="rId260" ref="G160"/>
    <hyperlink r:id="rId261" location="id=73834&amp;menu_id=111&amp;cids=1&amp;action=152&amp;model=crm.lead&amp;view_type=form" ref="B161"/>
    <hyperlink r:id="rId262" location="id=73737&amp;menu_id=111&amp;cids=1&amp;action=152&amp;model=crm.lead&amp;view_type=form" ref="B162"/>
    <hyperlink r:id="rId263" ref="G162"/>
    <hyperlink r:id="rId264" location="id=73764&amp;menu_id=111&amp;cids=1&amp;action=152&amp;model=crm.lead&amp;view_type=form" ref="B163"/>
    <hyperlink r:id="rId265" ref="G163"/>
    <hyperlink r:id="rId266" location="id=73760&amp;menu_id=111&amp;cids=1&amp;action=152&amp;model=crm.lead&amp;view_type=form" ref="B164"/>
    <hyperlink r:id="rId267" location="id=73717&amp;menu_id=111&amp;cids=1&amp;action=152&amp;model=crm.lead&amp;view_type=form" ref="B165"/>
    <hyperlink r:id="rId268" location="id=73624&amp;menu_id=111&amp;cids=1&amp;action=152&amp;model=crm.lead&amp;view_type=form" ref="B166"/>
    <hyperlink r:id="rId269" ref="G166"/>
    <hyperlink r:id="rId270" location="id=73658&amp;menu_id=111&amp;cids=1&amp;action=152&amp;model=crm.lead&amp;view_type=form" ref="B167"/>
    <hyperlink r:id="rId271" location="id=73613&amp;menu_id=111&amp;cids=1&amp;action=152&amp;model=crm.lead&amp;view_type=form" ref="B168"/>
    <hyperlink r:id="rId272" location="id=73580&amp;menu_id=111&amp;cids=1&amp;action=152&amp;model=crm.lead&amp;view_type=form" ref="B169"/>
    <hyperlink r:id="rId273" location="id=73522&amp;menu_id=111&amp;cids=1&amp;action=152&amp;model=crm.lead&amp;view_type=form" ref="B170"/>
    <hyperlink r:id="rId274" location="id=73533&amp;menu_id=111&amp;cids=1&amp;action=152&amp;model=crm.lead&amp;view_type=form" ref="B171"/>
    <hyperlink r:id="rId275" ref="G171"/>
    <hyperlink r:id="rId276" location="id=73441&amp;menu_id=111&amp;cids=1&amp;action=152&amp;model=crm.lead&amp;view_type=form" ref="B172"/>
    <hyperlink r:id="rId277" ref="G172"/>
    <hyperlink r:id="rId278" location="id=73432&amp;menu_id=111&amp;cids=1&amp;action=152&amp;model=crm.lead&amp;view_type=form" ref="B173"/>
    <hyperlink r:id="rId279" ref="G173"/>
    <hyperlink r:id="rId280" location="id=73434&amp;menu_id=111&amp;cids=1&amp;action=152&amp;model=crm.lead&amp;view_type=form" ref="B174"/>
    <hyperlink r:id="rId281" ref="G174"/>
    <hyperlink r:id="rId282" location="id=73381&amp;menu_id=111&amp;cids=1&amp;action=152&amp;model=crm.lead&amp;view_type=form" ref="B175"/>
    <hyperlink r:id="rId283" location="id=73365&amp;menu_id=111&amp;cids=1&amp;action=152&amp;model=crm.lead&amp;view_type=form" ref="B176"/>
    <hyperlink r:id="rId284" location="id=73347&amp;menu_id=111&amp;cids=1&amp;action=152&amp;model=crm.lead&amp;view_type=form" ref="B178"/>
    <hyperlink r:id="rId285" location="id=73303&amp;menu_id=111&amp;cids=1&amp;action=152&amp;model=crm.lead&amp;view_type=form" ref="B179"/>
    <hyperlink r:id="rId286" location="id=73289&amp;menu_id=111&amp;cids=1&amp;action=152&amp;model=crm.lead&amp;view_type=form" ref="B180"/>
    <hyperlink r:id="rId287" ref="G180"/>
    <hyperlink r:id="rId288" location="id=73248&amp;menu_id=111&amp;cids=1&amp;action=152&amp;model=crm.lead&amp;view_type=form" ref="B181"/>
    <hyperlink r:id="rId289" ref="G181"/>
    <hyperlink r:id="rId290" location="id=73175&amp;menu_id=111&amp;cids=1&amp;action=152&amp;model=crm.lead&amp;view_type=form" ref="B182"/>
    <hyperlink r:id="rId291" location="id=73173&amp;menu_id=111&amp;cids=1&amp;action=152&amp;model=crm.lead&amp;view_type=form" ref="B183"/>
    <hyperlink r:id="rId292" ref="G183"/>
    <hyperlink r:id="rId293" location="id=73092&amp;menu_id=111&amp;cids=1&amp;action=152&amp;model=crm.lead&amp;view_type=form" ref="B184"/>
    <hyperlink r:id="rId294" ref="G184"/>
    <hyperlink r:id="rId295" location="id=73045&amp;menu_id=111&amp;cids=1&amp;action=152&amp;model=crm.lead&amp;view_type=form" ref="B185"/>
    <hyperlink r:id="rId296" ref="G185"/>
    <hyperlink r:id="rId297" location="id=73044&amp;menu_id=111&amp;cids=1&amp;action=152&amp;model=crm.lead&amp;view_type=form" ref="B186"/>
    <hyperlink r:id="rId298" location="id=73019&amp;menu_id=111&amp;cids=1&amp;action=152&amp;model=crm.lead&amp;view_type=form" ref="B187"/>
    <hyperlink r:id="rId299" location="id=73020&amp;menu_id=111&amp;cids=1&amp;action=152&amp;model=crm.lead&amp;view_type=form" ref="B188"/>
    <hyperlink r:id="rId300" ref="G188"/>
    <hyperlink r:id="rId301" location="id=72953&amp;menu_id=111&amp;cids=1&amp;action=152&amp;model=crm.lead&amp;view_type=form" ref="B189"/>
    <hyperlink r:id="rId302" ref="G189"/>
    <hyperlink r:id="rId303" location="id=72950&amp;menu_id=111&amp;cids=1&amp;action=152&amp;model=crm.lead&amp;view_type=form" ref="B190"/>
    <hyperlink r:id="rId304" location="id=72941&amp;menu_id=111&amp;cids=1&amp;action=152&amp;model=crm.lead&amp;view_type=form" ref="B191"/>
    <hyperlink r:id="rId305" location="id=72933&amp;menu_id=111&amp;cids=1&amp;action=152&amp;model=crm.lead&amp;view_type=form" ref="B192"/>
    <hyperlink r:id="rId306" ref="G192"/>
    <hyperlink r:id="rId307" location="id=72901&amp;menu_id=111&amp;cids=1&amp;action=152&amp;model=crm.lead&amp;view_type=form" ref="B193"/>
    <hyperlink r:id="rId308" location="id=72898&amp;menu_id=111&amp;cids=1&amp;action=152&amp;model=crm.lead&amp;view_type=form" ref="B194"/>
    <hyperlink r:id="rId309" ref="G194"/>
    <hyperlink r:id="rId310" location="id=72888&amp;menu_id=111&amp;cids=1&amp;action=152&amp;model=crm.lead&amp;view_type=form" ref="B195"/>
    <hyperlink r:id="rId311" location="id=72884&amp;menu_id=111&amp;cids=1&amp;action=152&amp;model=crm.lead&amp;view_type=form" ref="B196"/>
    <hyperlink r:id="rId312" ref="G196"/>
    <hyperlink r:id="rId313" location="id=72867&amp;menu_id=111&amp;cids=1&amp;action=152&amp;model=crm.lead&amp;view_type=form" ref="B197"/>
    <hyperlink r:id="rId314" ref="G197"/>
    <hyperlink r:id="rId315" location="id=72847&amp;menu_id=111&amp;cids=1&amp;action=152&amp;model=crm.lead&amp;view_type=form" ref="B198"/>
    <hyperlink r:id="rId316" ref="G198"/>
    <hyperlink r:id="rId317" location="id=72854&amp;menu_id=111&amp;cids=1&amp;action=152&amp;model=crm.lead&amp;view_type=form" ref="B199"/>
    <hyperlink r:id="rId318" ref="G199"/>
    <hyperlink r:id="rId319" location="id=72836&amp;menu_id=111&amp;cids=1&amp;action=152&amp;model=crm.lead&amp;view_type=form" ref="B200"/>
    <hyperlink r:id="rId320" ref="G200"/>
    <hyperlink r:id="rId321" location="id=72771&amp;menu_id=111&amp;cids=1&amp;action=152&amp;model=crm.lead&amp;view_type=form" ref="B201"/>
    <hyperlink r:id="rId322" location="id=72739&amp;menu_id=111&amp;cids=1&amp;action=152&amp;model=crm.lead&amp;view_type=form" ref="B202"/>
    <hyperlink r:id="rId323" location="id=72733&amp;menu_id=111&amp;cids=1&amp;action=152&amp;model=crm.lead&amp;view_type=form" ref="B203"/>
    <hyperlink r:id="rId324" location="id=72681&amp;menu_id=111&amp;cids=1&amp;action=152&amp;model=crm.lead&amp;view_type=form" ref="B204"/>
    <hyperlink r:id="rId325" ref="G204"/>
    <hyperlink r:id="rId326" location="id=72656&amp;menu_id=111&amp;cids=1&amp;action=152&amp;model=crm.lead&amp;view_type=form" ref="B205"/>
    <hyperlink r:id="rId327" ref="G205"/>
    <hyperlink r:id="rId328" location="id=72679&amp;menu_id=111&amp;cids=1&amp;action=152&amp;model=crm.lead&amp;view_type=form" ref="B206"/>
    <hyperlink r:id="rId329" ref="G206"/>
    <hyperlink r:id="rId330" location="id=72673&amp;menu_id=111&amp;cids=1&amp;action=152&amp;model=crm.lead&amp;view_type=form" ref="B207"/>
    <hyperlink r:id="rId331" ref="G207"/>
    <hyperlink r:id="rId332" location="id=72646&amp;menu_id=111&amp;cids=1&amp;action=152&amp;model=crm.lead&amp;view_type=form" ref="B208"/>
    <hyperlink r:id="rId333" location="id=72614&amp;menu_id=111&amp;cids=1&amp;action=152&amp;model=crm.lead&amp;view_type=form" ref="B209"/>
    <hyperlink r:id="rId334" ref="G209"/>
    <hyperlink r:id="rId335" location="id=72610&amp;menu_id=111&amp;cids=1&amp;action=152&amp;model=crm.lead&amp;view_type=form" ref="B210"/>
    <hyperlink r:id="rId336" ref="G210"/>
    <hyperlink r:id="rId337" location="id=72634&amp;menu_id=111&amp;cids=1&amp;action=152&amp;model=crm.lead&amp;view_type=form" ref="B211"/>
    <hyperlink r:id="rId338" ref="G211"/>
    <hyperlink r:id="rId339" location="id=72574&amp;menu_id=111&amp;cids=1&amp;action=152&amp;model=crm.lead&amp;view_type=form" ref="B212"/>
    <hyperlink r:id="rId340" ref="G212"/>
    <hyperlink r:id="rId341" location="id=72530&amp;menu_id=111&amp;cids=1&amp;action=152&amp;model=crm.lead&amp;view_type=form" ref="B213"/>
    <hyperlink r:id="rId342" location="id=72482&amp;menu_id=111&amp;cids=1&amp;action=152&amp;model=crm.lead&amp;view_type=form" ref="B214"/>
    <hyperlink r:id="rId343" ref="G214"/>
    <hyperlink r:id="rId344" location="id=72518&amp;menu_id=111&amp;cids=1&amp;action=152&amp;model=crm.lead&amp;view_type=form" ref="B215"/>
    <hyperlink r:id="rId345" ref="G215"/>
    <hyperlink r:id="rId346" location="id=72514&amp;menu_id=111&amp;cids=1&amp;action=152&amp;model=crm.lead&amp;view_type=form" ref="B216"/>
    <hyperlink r:id="rId347" location="id=72493&amp;menu_id=111&amp;cids=1&amp;action=152&amp;model=crm.lead&amp;view_type=form" ref="B217"/>
    <hyperlink r:id="rId348" ref="G217"/>
    <hyperlink r:id="rId349" location="id=72509&amp;menu_id=111&amp;cids=1&amp;action=152&amp;model=crm.lead&amp;view_type=form" ref="B218"/>
    <hyperlink r:id="rId350" location="id=72489&amp;menu_id=111&amp;cids=1&amp;action=152&amp;model=crm.lead&amp;view_type=form" ref="B219"/>
    <hyperlink r:id="rId351" ref="G219"/>
    <hyperlink r:id="rId352" location="id=72488&amp;menu_id=111&amp;cids=1&amp;action=152&amp;model=crm.lead&amp;view_type=form" ref="B220"/>
    <hyperlink r:id="rId353" ref="G220"/>
    <hyperlink r:id="rId354" location="id=72369&amp;menu_id=111&amp;cids=1&amp;action=152&amp;model=crm.lead&amp;view_type=form" ref="B221"/>
    <hyperlink r:id="rId355" ref="G221"/>
    <hyperlink r:id="rId356" location="id=72446&amp;menu_id=111&amp;cids=1&amp;action=152&amp;model=crm.lead&amp;view_type=form" ref="B222"/>
    <hyperlink r:id="rId357" location="id=72435&amp;menu_id=111&amp;cids=1&amp;action=152&amp;model=crm.lead&amp;view_type=form" ref="B223"/>
    <hyperlink r:id="rId358" location="id=72393&amp;menu_id=111&amp;cids=1&amp;action=152&amp;model=crm.lead&amp;view_type=form" ref="B224"/>
    <hyperlink r:id="rId359" ref="G224"/>
    <hyperlink r:id="rId360" location="id=72387&amp;menu_id=111&amp;cids=1&amp;action=152&amp;model=crm.lead&amp;view_type=form" ref="B225"/>
    <hyperlink r:id="rId361" ref="G225"/>
    <hyperlink r:id="rId362" location="id=72353&amp;menu_id=111&amp;cids=1&amp;action=152&amp;model=crm.lead&amp;view_type=form" ref="B227"/>
    <hyperlink r:id="rId363" ref="G227"/>
    <hyperlink r:id="rId364" location="id=72121&amp;action=152&amp;model=crm.lead&amp;view_type=form&amp;menu_id=111" ref="B228"/>
    <hyperlink r:id="rId365" ref="G228"/>
    <hyperlink r:id="rId366" location="id=72127&amp;action=152&amp;model=crm.lead&amp;view_type=form&amp;menu_id=111" ref="B229"/>
    <hyperlink r:id="rId367" ref="G229"/>
    <hyperlink r:id="rId368" location="id=72213&amp;action=152&amp;model=crm.lead&amp;view_type=form&amp;menu_id=111" ref="B230"/>
    <hyperlink r:id="rId369" location="id=72207&amp;action=152&amp;model=crm.lead&amp;view_type=form&amp;menu_id=111" ref="B231"/>
    <hyperlink r:id="rId370" ref="G231"/>
    <hyperlink r:id="rId371" location="id=72183&amp;action=152&amp;model=crm.lead&amp;view_type=form&amp;menu_id=111" ref="B232"/>
    <hyperlink r:id="rId372" location="id=72179&amp;action=152&amp;model=crm.lead&amp;view_type=form&amp;menu_id=111" ref="B233"/>
    <hyperlink r:id="rId373" location="id=72165&amp;action=152&amp;model=crm.lead&amp;view_type=form&amp;menu_id=111" ref="B234"/>
    <hyperlink r:id="rId374" ref="G234"/>
    <hyperlink r:id="rId375" location="id=72102&amp;action=152&amp;model=crm.lead&amp;view_type=form&amp;menu_id=111" ref="B235"/>
    <hyperlink r:id="rId376" ref="G235"/>
    <hyperlink r:id="rId377" location="id=72048&amp;action=152&amp;model=crm.lead&amp;view_type=form&amp;menu_id=111" ref="B236"/>
    <hyperlink r:id="rId378" ref="G236"/>
    <hyperlink r:id="rId379" location="id=72077&amp;action=152&amp;model=crm.lead&amp;view_type=form&amp;menu_id=111" ref="B237"/>
    <hyperlink r:id="rId380" ref="G237"/>
    <hyperlink r:id="rId381" location="id=72066&amp;action=152&amp;model=crm.lead&amp;view_type=form&amp;menu_id=111" ref="B238"/>
    <hyperlink r:id="rId382" ref="G238"/>
    <hyperlink r:id="rId383" location="id=72067&amp;action=152&amp;model=crm.lead&amp;view_type=form&amp;menu_id=111" ref="B239"/>
    <hyperlink r:id="rId384" ref="G239"/>
    <hyperlink r:id="rId385" location="id=72044&amp;action=152&amp;model=crm.lead&amp;view_type=form&amp;menu_id=111" ref="B240"/>
    <hyperlink r:id="rId386" ref="G240"/>
    <hyperlink r:id="rId387" location="id=72043&amp;action=152&amp;model=crm.lead&amp;view_type=form&amp;menu_id=111" ref="B241"/>
    <hyperlink r:id="rId388" ref="G241"/>
    <hyperlink r:id="rId389" location="id=72017&amp;action=152&amp;model=crm.lead&amp;view_type=form&amp;menu_id=111" ref="B242"/>
    <hyperlink r:id="rId390" ref="G242"/>
    <hyperlink r:id="rId391" location="id=72002&amp;action=152&amp;model=crm.lead&amp;view_type=form&amp;menu_id=111" ref="B244"/>
    <hyperlink r:id="rId392" ref="G244"/>
    <hyperlink r:id="rId393" location="id=71970&amp;action=152&amp;model=crm.lead&amp;view_type=form&amp;menu_id=111" ref="B245"/>
    <hyperlink r:id="rId394" ref="G245"/>
    <hyperlink r:id="rId395" location="id=71961&amp;action=152&amp;model=crm.lead&amp;view_type=form&amp;menu_id=111" ref="B246"/>
    <hyperlink r:id="rId396" ref="G246"/>
    <hyperlink r:id="rId397" location="id=71913&amp;action=152&amp;model=crm.lead&amp;view_type=form&amp;menu_id=111" ref="B247"/>
    <hyperlink r:id="rId398" location="id=71922&amp;action=152&amp;model=crm.lead&amp;view_type=form&amp;menu_id=111" ref="B248"/>
    <hyperlink r:id="rId399" ref="G248"/>
    <hyperlink r:id="rId400" location="id=71845&amp;action=152&amp;model=crm.lead&amp;view_type=form&amp;menu_id=111" ref="B250"/>
    <hyperlink r:id="rId401" ref="G250"/>
    <hyperlink r:id="rId402" location="id=71694&amp;action=152&amp;model=crm.lead&amp;view_type=form&amp;menu_id=111" ref="B251"/>
    <hyperlink r:id="rId403" location="id=71770&amp;action=152&amp;model=crm.lead&amp;view_type=form&amp;menu_id=111" ref="B252"/>
    <hyperlink r:id="rId404" ref="G252"/>
    <hyperlink r:id="rId405" location="id=71775&amp;action=152&amp;model=crm.lead&amp;view_type=form&amp;menu_id=111" ref="B253"/>
    <hyperlink r:id="rId406" ref="G253"/>
    <hyperlink r:id="rId407" location="id=71683&amp;action=152&amp;model=crm.lead&amp;view_type=form&amp;menu_id=111" ref="B255"/>
    <hyperlink r:id="rId408" ref="G255"/>
    <hyperlink r:id="rId409" location="id=71702&amp;action=152&amp;model=crm.lead&amp;view_type=form&amp;menu_id=111" ref="B256"/>
    <hyperlink r:id="rId410" location="id=71646&amp;action=152&amp;model=crm.lead&amp;view_type=form&amp;menu_id=111" ref="B257"/>
    <hyperlink r:id="rId411" ref="G257"/>
    <hyperlink r:id="rId412" location="id=71637&amp;action=152&amp;model=crm.lead&amp;view_type=form&amp;menu_id=111" ref="B258"/>
    <hyperlink r:id="rId413" ref="G258"/>
    <hyperlink r:id="rId414" location="id=71653&amp;action=152&amp;model=crm.lead&amp;view_type=form&amp;menu_id=111" ref="B259"/>
    <hyperlink r:id="rId415" ref="G259"/>
    <hyperlink r:id="rId416" location="id=71601&amp;action=152&amp;model=crm.lead&amp;view_type=form&amp;menu_id=111" ref="B260"/>
    <hyperlink r:id="rId417" location="id=71661&amp;action=152&amp;model=crm.lead&amp;view_type=form&amp;menu_id=111" ref="B261"/>
    <hyperlink r:id="rId418" location="id=71534&amp;action=152&amp;model=crm.lead&amp;view_type=form&amp;menu_id=111" ref="B262"/>
    <hyperlink r:id="rId419" ref="G262"/>
    <hyperlink r:id="rId420" location="id=71531&amp;action=152&amp;model=crm.lead&amp;view_type=form&amp;menu_id=111" ref="B263"/>
    <hyperlink r:id="rId421" ref="G263"/>
    <hyperlink r:id="rId422" location="id=71455&amp;action=152&amp;model=crm.lead&amp;view_type=form&amp;menu_id=111" ref="B264"/>
    <hyperlink r:id="rId423" ref="G264"/>
    <hyperlink r:id="rId424" location="id=71490&amp;action=152&amp;model=crm.lead&amp;view_type=form&amp;menu_id=111" ref="B265"/>
    <hyperlink r:id="rId425" location="id=71489&amp;action=152&amp;model=crm.lead&amp;view_type=form&amp;menu_id=111" ref="B266"/>
    <hyperlink r:id="rId426" location="id=71449&amp;action=152&amp;model=crm.lead&amp;view_type=form&amp;menu_id=111" ref="B267"/>
    <hyperlink r:id="rId427" ref="G267"/>
    <hyperlink r:id="rId428" location="id=71475&amp;action=152&amp;model=crm.lead&amp;view_type=form&amp;menu_id=111" ref="B268"/>
    <hyperlink r:id="rId429" ref="G268"/>
    <hyperlink r:id="rId430" location="id=71446&amp;action=152&amp;model=crm.lead&amp;view_type=form&amp;menu_id=111" ref="B269"/>
    <hyperlink r:id="rId431" ref="G269"/>
    <hyperlink r:id="rId432" location="id=71433&amp;action=152&amp;model=crm.lead&amp;view_type=form&amp;menu_id=111" ref="B270"/>
    <hyperlink r:id="rId433" ref="G270"/>
    <hyperlink r:id="rId434" location="id=71401&amp;action=152&amp;model=crm.lead&amp;view_type=form&amp;menu_id=111" ref="B271"/>
    <hyperlink r:id="rId435" ref="G271"/>
    <hyperlink r:id="rId436" location="id=71428&amp;action=152&amp;model=crm.lead&amp;view_type=form&amp;menu_id=111" ref="B272"/>
    <hyperlink r:id="rId437" ref="G272"/>
    <hyperlink r:id="rId438" location="id=71393&amp;action=152&amp;model=crm.lead&amp;view_type=form&amp;menu_id=111" ref="B273"/>
    <hyperlink r:id="rId439" ref="G273"/>
    <hyperlink r:id="rId440" location="id=71386&amp;action=152&amp;model=crm.lead&amp;view_type=form&amp;menu_id=111" ref="B274"/>
    <hyperlink r:id="rId441" ref="G274"/>
    <hyperlink r:id="rId442" location="id=71382&amp;action=152&amp;model=crm.lead&amp;view_type=form&amp;menu_id=111" ref="B275"/>
    <hyperlink r:id="rId443" ref="G275"/>
    <hyperlink r:id="rId444" location="id=71352&amp;action=152&amp;model=crm.lead&amp;view_type=form&amp;menu_id=111" ref="B276"/>
    <hyperlink r:id="rId445" location="id=71311&amp;action=152&amp;model=crm.lead&amp;view_type=form&amp;menu_id=111" ref="B277"/>
    <hyperlink r:id="rId446" ref="G277"/>
    <hyperlink r:id="rId447" location="id=71339&amp;action=152&amp;model=crm.lead&amp;view_type=form&amp;menu_id=111" ref="B278"/>
    <hyperlink r:id="rId448" ref="G278"/>
    <hyperlink r:id="rId449" location="id=71290&amp;action=152&amp;model=crm.lead&amp;view_type=form&amp;menu_id=111" ref="B279"/>
    <hyperlink r:id="rId450" ref="G279"/>
    <hyperlink r:id="rId451" location="id=71291&amp;action=152&amp;model=crm.lead&amp;view_type=form&amp;menu_id=111" ref="B280"/>
    <hyperlink r:id="rId452" ref="G280"/>
    <hyperlink r:id="rId453" location="id=71198&amp;action=152&amp;model=crm.lead&amp;view_type=form&amp;menu_id=111" ref="B281"/>
    <hyperlink r:id="rId454" ref="G281"/>
    <hyperlink r:id="rId455" location="id=71192&amp;action=152&amp;model=crm.lead&amp;view_type=form&amp;menu_id=111" ref="B282"/>
    <hyperlink r:id="rId456" location="id=71193&amp;action=152&amp;model=crm.lead&amp;view_type=form&amp;menu_id=111" ref="B283"/>
    <hyperlink r:id="rId457" ref="G283"/>
    <hyperlink r:id="rId458" location="id=71176&amp;action=152&amp;model=crm.lead&amp;view_type=form&amp;menu_id=111" ref="B284"/>
    <hyperlink r:id="rId459" ref="G284"/>
    <hyperlink r:id="rId460" location="id=71151&amp;action=152&amp;model=crm.lead&amp;view_type=form&amp;menu_id=111" ref="B285"/>
    <hyperlink r:id="rId461" ref="G285"/>
    <hyperlink r:id="rId462" location="id=71147&amp;action=152&amp;model=crm.lead&amp;view_type=form&amp;menu_id=111" ref="B286"/>
    <hyperlink r:id="rId463" location="id=71111&amp;action=152&amp;model=crm.lead&amp;view_type=form&amp;menu_id=111" ref="B287"/>
    <hyperlink r:id="rId464" ref="G287"/>
    <hyperlink r:id="rId465" location="id=71087&amp;action=152&amp;model=crm.lead&amp;view_type=form&amp;menu_id=111" ref="B288"/>
    <hyperlink r:id="rId466" ref="G288"/>
    <hyperlink r:id="rId467" location="id=71041&amp;action=152&amp;model=crm.lead&amp;view_type=form&amp;menu_id=111" ref="B289"/>
    <hyperlink r:id="rId468" ref="G289"/>
    <hyperlink r:id="rId469" location="id=71047&amp;action=152&amp;model=crm.lead&amp;view_type=form&amp;menu_id=111" ref="B290"/>
    <hyperlink r:id="rId470" ref="G290"/>
    <hyperlink r:id="rId471" location="id=70985&amp;action=152&amp;model=crm.lead&amp;view_type=form&amp;menu_id=111" ref="B291"/>
    <hyperlink r:id="rId472" ref="G291"/>
    <hyperlink r:id="rId473" location="id=70915&amp;action=152&amp;model=crm.lead&amp;view_type=form&amp;menu_id=111" ref="B292"/>
    <hyperlink r:id="rId474" ref="G292"/>
    <hyperlink r:id="rId475" location="id=70919&amp;action=152&amp;model=crm.lead&amp;view_type=form&amp;menu_id=111" ref="B293"/>
    <hyperlink r:id="rId476" ref="G293"/>
    <hyperlink r:id="rId477" location="id=70938&amp;action=152&amp;model=crm.lead&amp;view_type=form&amp;menu_id=111" ref="B294"/>
    <hyperlink r:id="rId478" ref="G294"/>
    <hyperlink r:id="rId479" location="id=70939&amp;action=152&amp;model=crm.lead&amp;view_type=form&amp;menu_id=111" ref="B295"/>
    <hyperlink r:id="rId480" location="id=70892&amp;action=152&amp;model=crm.lead&amp;view_type=form&amp;menu_id=111" ref="B296"/>
    <hyperlink r:id="rId481" ref="G296"/>
    <hyperlink r:id="rId482" location="id=70839&amp;action=152&amp;model=crm.lead&amp;view_type=form&amp;menu_id=111" ref="B297"/>
    <hyperlink r:id="rId483" ref="G297"/>
    <hyperlink r:id="rId484" location="id=70792&amp;action=152&amp;model=crm.lead&amp;view_type=form&amp;menu_id=111" ref="B298"/>
    <hyperlink r:id="rId485" ref="G298"/>
    <hyperlink r:id="rId486" location="id=70825&amp;action=152&amp;model=crm.lead&amp;view_type=form&amp;menu_id=111" ref="B299"/>
    <hyperlink r:id="rId487" ref="G299"/>
    <hyperlink r:id="rId488" location="id=70808&amp;action=152&amp;model=crm.lead&amp;view_type=form&amp;menu_id=111" ref="B300"/>
    <hyperlink r:id="rId489" ref="G300"/>
    <hyperlink r:id="rId490" location="id=70811&amp;action=152&amp;model=crm.lead&amp;view_type=form&amp;menu_id=111" ref="B301"/>
    <hyperlink r:id="rId491" ref="G301"/>
    <hyperlink r:id="rId492" location="id=70795&amp;action=152&amp;model=crm.lead&amp;view_type=form&amp;menu_id=111" ref="B302"/>
    <hyperlink r:id="rId493" ref="G302"/>
    <hyperlink r:id="rId494" location="id=70732&amp;action=152&amp;model=crm.lead&amp;view_type=form&amp;menu_id=111" ref="B303"/>
    <hyperlink r:id="rId495" ref="G303"/>
    <hyperlink r:id="rId496" location="id=70673&amp;action=152&amp;model=crm.lead&amp;view_type=form&amp;menu_id=111" ref="B304"/>
    <hyperlink r:id="rId497" ref="G304"/>
    <hyperlink r:id="rId498" location="id=70784&amp;action=152&amp;model=crm.lead&amp;view_type=form&amp;menu_id=111" ref="B305"/>
    <hyperlink r:id="rId499" ref="G305"/>
    <hyperlink r:id="rId500" location="id=70767&amp;action=152&amp;model=crm.lead&amp;view_type=form&amp;menu_id=111" ref="B306"/>
    <hyperlink r:id="rId501" ref="G306"/>
    <hyperlink r:id="rId502" location="id=70782&amp;action=152&amp;model=crm.lead&amp;view_type=form&amp;menu_id=111" ref="B307"/>
    <hyperlink r:id="rId503" ref="G307"/>
    <hyperlink r:id="rId504" ref="G308"/>
    <hyperlink r:id="rId505" ref="I308"/>
    <hyperlink r:id="rId506" location="id=70577&amp;action=152&amp;model=crm.lead&amp;view_type=form&amp;menu_id=111" ref="B309"/>
    <hyperlink r:id="rId507" ref="G309"/>
    <hyperlink r:id="rId508" location="id=70544&amp;action=152&amp;model=crm.lead&amp;view_type=form&amp;menu_id=111" ref="B310"/>
    <hyperlink r:id="rId509" location="id=70451&amp;action=152&amp;model=crm.lead&amp;view_type=form&amp;menu_id=111" ref="B311"/>
    <hyperlink r:id="rId510" location="id=70402&amp;action=152&amp;model=crm.lead&amp;view_type=form&amp;menu_id=111" ref="B312"/>
    <hyperlink r:id="rId511" location="id=70345&amp;action=152&amp;model=crm.lead&amp;view_type=form&amp;menu_id=111" ref="B313"/>
    <hyperlink r:id="rId512" ref="G313"/>
    <hyperlink r:id="rId513" location="id=70390&amp;action=152&amp;model=crm.lead&amp;view_type=form&amp;menu_id=111" ref="B314"/>
    <hyperlink r:id="rId514" ref="G314"/>
    <hyperlink r:id="rId515" location="id=70360&amp;action=152&amp;model=crm.lead&amp;view_type=form&amp;menu_id=111" ref="B315"/>
    <hyperlink r:id="rId516" ref="G315"/>
    <hyperlink r:id="rId517" location="id=70343&amp;action=152&amp;model=crm.lead&amp;view_type=form&amp;menu_id=111" ref="B316"/>
    <hyperlink r:id="rId518" ref="G316"/>
    <hyperlink r:id="rId519" location="id=70300&amp;action=152&amp;model=crm.lead&amp;view_type=form&amp;menu_id=111" ref="B317"/>
    <hyperlink r:id="rId520" location="id=70284&amp;action=152&amp;model=crm.lead&amp;view_type=form&amp;menu_id=111" ref="B318"/>
    <hyperlink r:id="rId521" ref="G318"/>
    <hyperlink r:id="rId522" location="id=70248&amp;action=152&amp;model=crm.lead&amp;view_type=form&amp;menu_id=111" ref="B319"/>
    <hyperlink r:id="rId523" ref="G319"/>
    <hyperlink r:id="rId524" location="id=70240&amp;action=152&amp;model=crm.lead&amp;view_type=form&amp;menu_id=111" ref="B320"/>
    <hyperlink r:id="rId525" location="id=70223&amp;action=152&amp;model=crm.lead&amp;view_type=form&amp;menu_id=111" ref="B321"/>
    <hyperlink r:id="rId526" ref="G321"/>
    <hyperlink r:id="rId527" location="id=70170&amp;action=152&amp;model=crm.lead&amp;view_type=form&amp;menu_id=111" ref="B322"/>
    <hyperlink r:id="rId528" ref="G322"/>
    <hyperlink r:id="rId529" location="id=70142&amp;action=152&amp;model=crm.lead&amp;view_type=form&amp;menu_id=111" ref="B323"/>
    <hyperlink r:id="rId530" ref="G323"/>
    <hyperlink r:id="rId531" location="id=70145&amp;action=152&amp;model=crm.lead&amp;view_type=form&amp;menu_id=111" ref="B324"/>
    <hyperlink r:id="rId532" ref="G324"/>
    <hyperlink r:id="rId533" location="id=70123&amp;action=152&amp;model=crm.lead&amp;view_type=form&amp;menu_id=111" ref="B325"/>
    <hyperlink r:id="rId534" ref="G325"/>
    <hyperlink r:id="rId535" location="id=70122&amp;action=152&amp;model=crm.lead&amp;view_type=form&amp;menu_id=111" ref="B326"/>
    <hyperlink r:id="rId536" ref="G326"/>
    <hyperlink r:id="rId537" location="id=70119&amp;action=152&amp;model=crm.lead&amp;view_type=form&amp;menu_id=111" ref="B327"/>
    <hyperlink r:id="rId538" ref="G327"/>
    <hyperlink r:id="rId539" location="id=70107&amp;action=152&amp;model=crm.lead&amp;view_type=form&amp;menu_id=111" ref="B328"/>
    <hyperlink r:id="rId540" ref="G328"/>
    <hyperlink r:id="rId541" location="id=70104&amp;action=152&amp;model=crm.lead&amp;view_type=form&amp;menu_id=111" ref="B329"/>
    <hyperlink r:id="rId542" location="id=70083&amp;action=152&amp;model=crm.lead&amp;view_type=form&amp;menu_id=111" ref="B330"/>
    <hyperlink r:id="rId543" ref="G330"/>
    <hyperlink r:id="rId544" location="id=70084&amp;action=152&amp;model=crm.lead&amp;view_type=form&amp;menu_id=111" ref="B331"/>
    <hyperlink r:id="rId545" ref="G331"/>
    <hyperlink r:id="rId546" location="id=70080&amp;action=152&amp;model=crm.lead&amp;view_type=form&amp;menu_id=111" ref="B332"/>
    <hyperlink r:id="rId547" location="id=69934&amp;action=152&amp;model=crm.lead&amp;view_type=form&amp;menu_id=111" ref="B333"/>
    <hyperlink r:id="rId548" ref="G333"/>
    <hyperlink r:id="rId549" location="id=69922&amp;action=152&amp;model=crm.lead&amp;view_type=form&amp;menu_id=111" ref="B334"/>
    <hyperlink r:id="rId550" ref="G334"/>
    <hyperlink r:id="rId551" location="id=69886&amp;action=152&amp;model=crm.lead&amp;view_type=form&amp;menu_id=111" ref="B335"/>
    <hyperlink r:id="rId552" location="id=69897&amp;action=152&amp;model=crm.lead&amp;view_type=form&amp;menu_id=111" ref="B336"/>
    <hyperlink r:id="rId553" ref="G336"/>
    <hyperlink r:id="rId554" location="id=69861&amp;action=152&amp;model=crm.lead&amp;view_type=form&amp;menu_id=111" ref="B337"/>
    <hyperlink r:id="rId555" ref="G337"/>
    <hyperlink r:id="rId556" location="id=69837&amp;action=152&amp;model=crm.lead&amp;view_type=form&amp;menu_id=111" ref="B338"/>
    <hyperlink r:id="rId557" ref="G338"/>
    <hyperlink r:id="rId558" location="id=69829&amp;action=152&amp;model=crm.lead&amp;view_type=form&amp;menu_id=111" ref="B339"/>
    <hyperlink r:id="rId559" ref="G339"/>
    <hyperlink r:id="rId560" location="id=69798&amp;action=152&amp;model=crm.lead&amp;view_type=form&amp;menu_id=111" ref="B340"/>
    <hyperlink r:id="rId561" ref="G340"/>
    <hyperlink r:id="rId562" location="id=69777&amp;action=152&amp;model=crm.lead&amp;view_type=form&amp;menu_id=111" ref="B341"/>
    <hyperlink r:id="rId563" ref="G341"/>
    <hyperlink r:id="rId564" location="id=69696&amp;action=152&amp;model=crm.lead&amp;view_type=form&amp;menu_id=111" ref="B342"/>
    <hyperlink r:id="rId565" ref="G342"/>
    <hyperlink r:id="rId566" location="id=69664&amp;action=152&amp;model=crm.lead&amp;view_type=form&amp;menu_id=111" ref="B343"/>
    <hyperlink r:id="rId567" ref="G343"/>
    <hyperlink r:id="rId568" location="id=69654&amp;action=152&amp;model=crm.lead&amp;view_type=form&amp;menu_id=111" ref="B344"/>
    <hyperlink r:id="rId569" ref="G344"/>
    <hyperlink r:id="rId570" location="id=69659&amp;action=152&amp;model=crm.lead&amp;view_type=form&amp;menu_id=111" ref="B345"/>
    <hyperlink r:id="rId571" location="id=69613&amp;action=152&amp;model=crm.lead&amp;view_type=form&amp;menu_id=111" ref="B346"/>
    <hyperlink r:id="rId572" ref="G346"/>
    <hyperlink r:id="rId573" location="id=69551&amp;action=152&amp;model=crm.lead&amp;view_type=form&amp;menu_id=111" ref="B347"/>
    <hyperlink r:id="rId574" ref="G347"/>
    <hyperlink r:id="rId575" location="id=69584&amp;action=152&amp;model=crm.lead&amp;view_type=form&amp;menu_id=111" ref="B348"/>
    <hyperlink r:id="rId576" ref="G348"/>
    <hyperlink r:id="rId577" location="id=69587&amp;action=152&amp;model=crm.lead&amp;view_type=form&amp;menu_id=111" ref="B349"/>
    <hyperlink r:id="rId578" location="id=69555&amp;action=152&amp;model=crm.lead&amp;view_type=form&amp;menu_id=111" ref="B350"/>
    <hyperlink r:id="rId579" ref="G350"/>
    <hyperlink r:id="rId580" location="id=69497&amp;action=152&amp;model=crm.lead&amp;view_type=form&amp;menu_id=111" ref="B351"/>
    <hyperlink r:id="rId581" ref="G351"/>
    <hyperlink r:id="rId582" location="id=69452&amp;action=152&amp;model=crm.lead&amp;view_type=form&amp;menu_id=111" ref="B352"/>
    <hyperlink r:id="rId583" location="id=69440&amp;action=152&amp;model=crm.lead&amp;view_type=form&amp;menu_id=111" ref="B353"/>
    <hyperlink r:id="rId584" location="id=69460&amp;action=152&amp;model=crm.lead&amp;view_type=form&amp;menu_id=111" ref="B354"/>
    <hyperlink r:id="rId585" ref="G354"/>
    <hyperlink r:id="rId586" location="id=69461&amp;action=152&amp;model=crm.lead&amp;view_type=form&amp;menu_id=111" ref="B355"/>
    <hyperlink r:id="rId587" ref="G355"/>
    <hyperlink r:id="rId588" location="id=69393&amp;action=152&amp;model=crm.lead&amp;view_type=form&amp;menu_id=111" ref="B356"/>
    <hyperlink r:id="rId589" ref="G356"/>
    <hyperlink r:id="rId590" location="id=69384&amp;action=152&amp;model=crm.lead&amp;view_type=form&amp;menu_id=111" ref="B357"/>
    <hyperlink r:id="rId591" ref="G357"/>
    <hyperlink r:id="rId592" location="id=69377&amp;action=152&amp;model=crm.lead&amp;view_type=form&amp;menu_id=111" ref="B358"/>
    <hyperlink r:id="rId593" ref="G358"/>
    <hyperlink r:id="rId594" location="id=69351&amp;action=152&amp;model=crm.lead&amp;view_type=form&amp;menu_id=111" ref="B359"/>
    <hyperlink r:id="rId595" ref="G359"/>
    <hyperlink r:id="rId596" location="id=69327&amp;action=152&amp;model=crm.lead&amp;view_type=form&amp;menu_id=111" ref="B360"/>
    <hyperlink r:id="rId597" ref="G360"/>
    <hyperlink r:id="rId598" location="id=69308&amp;action=152&amp;model=crm.lead&amp;view_type=form&amp;menu_id=111" ref="B361"/>
    <hyperlink r:id="rId599" ref="G361"/>
    <hyperlink r:id="rId600" location="id=69270&amp;action=152&amp;model=crm.lead&amp;view_type=form&amp;menu_id=111" ref="B362"/>
    <hyperlink r:id="rId601" location="id=69260&amp;action=152&amp;model=crm.lead&amp;view_type=form&amp;menu_id=111" ref="B363"/>
    <hyperlink r:id="rId602" ref="G363"/>
    <hyperlink r:id="rId603" location="id=69184&amp;action=152&amp;model=crm.lead&amp;view_type=form&amp;menu_id=111" ref="B364"/>
    <hyperlink r:id="rId604" ref="G364"/>
    <hyperlink r:id="rId605" location="id=69190&amp;action=152&amp;model=crm.lead&amp;view_type=form&amp;menu_id=111" ref="B365"/>
    <hyperlink r:id="rId606" location="id=69148&amp;action=152&amp;model=crm.lead&amp;view_type=form&amp;menu_id=111" ref="B366"/>
    <hyperlink r:id="rId607" ref="G366"/>
    <hyperlink r:id="rId608" location="id=69143&amp;action=152&amp;model=crm.lead&amp;view_type=form&amp;menu_id=111" ref="B367"/>
    <hyperlink r:id="rId609" location="id=69141&amp;action=152&amp;model=crm.lead&amp;view_type=form&amp;menu_id=111" ref="B368"/>
    <hyperlink r:id="rId610" location="id=69137&amp;action=152&amp;model=crm.lead&amp;view_type=form&amp;menu_id=111" ref="B369"/>
    <hyperlink r:id="rId611" location="id=69035&amp;action=152&amp;model=crm.lead&amp;view_type=form&amp;menu_id=111" ref="B370"/>
    <hyperlink r:id="rId612" ref="G370"/>
    <hyperlink r:id="rId613" location="id=69033&amp;action=152&amp;model=crm.lead&amp;view_type=form&amp;menu_id=111" ref="B371"/>
    <hyperlink r:id="rId614" ref="G371"/>
    <hyperlink r:id="rId615" location="id=69029&amp;action=152&amp;model=crm.lead&amp;view_type=form&amp;menu_id=111" ref="B372"/>
    <hyperlink r:id="rId616" ref="G372"/>
    <hyperlink r:id="rId617" location="id=69012&amp;action=152&amp;model=crm.lead&amp;view_type=form&amp;menu_id=111" ref="B373"/>
    <hyperlink r:id="rId618" location="id=69016&amp;action=152&amp;model=crm.lead&amp;view_type=form&amp;menu_id=111" ref="B374"/>
    <hyperlink r:id="rId619" ref="G374"/>
    <hyperlink r:id="rId620" location="id=68990&amp;action=152&amp;model=crm.lead&amp;view_type=form&amp;menu_id=111" ref="B375"/>
    <hyperlink r:id="rId621" location="id=68982&amp;action=152&amp;model=crm.lead&amp;view_type=form&amp;menu_id=111" ref="B376"/>
    <hyperlink r:id="rId622" ref="G376"/>
    <hyperlink r:id="rId623" location="id=68975&amp;action=152&amp;model=crm.lead&amp;view_type=form&amp;menu_id=111" ref="B377"/>
    <hyperlink r:id="rId624" ref="G377"/>
    <hyperlink r:id="rId625" location="id=68974&amp;action=152&amp;model=crm.lead&amp;view_type=form&amp;menu_id=111" ref="B378"/>
    <hyperlink r:id="rId626" location="id=68852&amp;action=152&amp;model=crm.lead&amp;view_type=form&amp;menu_id=111" ref="B379"/>
    <hyperlink r:id="rId627" ref="G379"/>
    <hyperlink r:id="rId628" location="id=68909&amp;action=152&amp;model=crm.lead&amp;view_type=form&amp;menu_id=111" ref="B380"/>
    <hyperlink r:id="rId629" ref="G380"/>
    <hyperlink r:id="rId630" location="id=68928&amp;action=152&amp;model=crm.lead&amp;view_type=form&amp;menu_id=111" ref="B381"/>
    <hyperlink r:id="rId631" ref="G381"/>
    <hyperlink r:id="rId632" location="id=68931&amp;action=152&amp;model=crm.lead&amp;view_type=form&amp;menu_id=111" ref="B382"/>
    <hyperlink r:id="rId633" ref="G382"/>
    <hyperlink r:id="rId634" location="id=68925&amp;action=152&amp;model=crm.lead&amp;view_type=form&amp;menu_id=111" ref="B383"/>
    <hyperlink r:id="rId635" location="id=68921&amp;action=152&amp;model=crm.lead&amp;view_type=form&amp;menu_id=111" ref="B384"/>
    <hyperlink r:id="rId636" ref="G384"/>
    <hyperlink r:id="rId637" location="id=68901&amp;action=152&amp;model=crm.lead&amp;view_type=form&amp;menu_id=111" ref="B385"/>
    <hyperlink r:id="rId638" location="id=68899&amp;action=152&amp;model=crm.lead&amp;view_type=form&amp;menu_id=111" ref="B386"/>
    <hyperlink r:id="rId639" ref="G386"/>
    <hyperlink r:id="rId640" location="id=68891&amp;action=152&amp;model=crm.lead&amp;view_type=form&amp;menu_id=111" ref="B387"/>
    <hyperlink r:id="rId641" location="id=68876&amp;action=152&amp;model=crm.lead&amp;view_type=form&amp;menu_id=111" ref="B388"/>
    <hyperlink r:id="rId642" ref="G388"/>
    <hyperlink r:id="rId643" location="id=68802&amp;action=152&amp;model=crm.lead&amp;view_type=form&amp;menu_id=111" ref="B389"/>
    <hyperlink r:id="rId644" location="id=68839&amp;action=152&amp;model=crm.lead&amp;view_type=form&amp;menu_id=111" ref="B390"/>
    <hyperlink r:id="rId645" ref="G390"/>
    <hyperlink r:id="rId646" location="id=68784&amp;action=152&amp;model=crm.lead&amp;view_type=form&amp;menu_id=111" ref="B391"/>
    <hyperlink r:id="rId647" ref="G391"/>
    <hyperlink r:id="rId648" location="id=68751&amp;action=152&amp;model=crm.lead&amp;view_type=form&amp;menu_id=111" ref="B392"/>
    <hyperlink r:id="rId649" ref="G392"/>
    <hyperlink r:id="rId650" location="id=68750&amp;action=152&amp;model=crm.lead&amp;view_type=form&amp;menu_id=111" ref="B393"/>
    <hyperlink r:id="rId651" ref="G393"/>
    <hyperlink r:id="rId652" location="id=68743&amp;action=152&amp;model=crm.lead&amp;view_type=form&amp;menu_id=111" ref="B394"/>
    <hyperlink r:id="rId653" ref="G394"/>
    <hyperlink r:id="rId654" location="id=68738&amp;action=152&amp;model=crm.lead&amp;view_type=form&amp;menu_id=111" ref="B395"/>
    <hyperlink r:id="rId655" ref="G395"/>
    <hyperlink r:id="rId656" location="id=68693&amp;action=152&amp;model=crm.lead&amp;view_type=form&amp;menu_id=111" ref="B396"/>
    <hyperlink r:id="rId657" location="id=68696&amp;action=152&amp;model=crm.lead&amp;view_type=form&amp;menu_id=111" ref="B397"/>
    <hyperlink r:id="rId658" ref="G397"/>
    <hyperlink r:id="rId659" location="id=68652&amp;action=152&amp;model=crm.lead&amp;view_type=form&amp;menu_id=111" ref="B398"/>
    <hyperlink r:id="rId660" ref="G398"/>
    <hyperlink r:id="rId661" location="id=68672&amp;action=152&amp;model=crm.lead&amp;view_type=form&amp;menu_id=111" ref="B399"/>
    <hyperlink r:id="rId662" location="id=68631&amp;action=152&amp;model=crm.lead&amp;view_type=form&amp;menu_id=111" ref="B400"/>
    <hyperlink r:id="rId663" ref="G400"/>
    <hyperlink r:id="rId664" location="id=68629&amp;action=152&amp;model=crm.lead&amp;view_type=form&amp;menu_id=111" ref="B401"/>
    <hyperlink r:id="rId665" ref="G401"/>
    <hyperlink r:id="rId666" location="id=68593&amp;action=152&amp;model=crm.lead&amp;view_type=form&amp;menu_id=111" ref="B402"/>
    <hyperlink r:id="rId667" ref="G402"/>
    <hyperlink r:id="rId668" location="id=68576&amp;action=152&amp;model=crm.lead&amp;view_type=form&amp;menu_id=111" ref="B403"/>
    <hyperlink r:id="rId669" location="id=68500&amp;action=152&amp;model=crm.lead&amp;view_type=form&amp;menu_id=111" ref="B404"/>
    <hyperlink r:id="rId670" location="id=68511&amp;action=152&amp;model=crm.lead&amp;view_type=form&amp;menu_id=111" ref="B405"/>
    <hyperlink r:id="rId671" ref="G405"/>
    <hyperlink r:id="rId672" location="id=68451&amp;action=152&amp;model=crm.lead&amp;view_type=form&amp;menu_id=111" ref="B406"/>
    <hyperlink r:id="rId673" ref="G406"/>
    <hyperlink r:id="rId674" location="id=68444&amp;action=152&amp;model=crm.lead&amp;view_type=form&amp;menu_id=111" ref="B407"/>
    <hyperlink r:id="rId675" ref="G407"/>
    <hyperlink r:id="rId676" location="id=68441&amp;action=152&amp;model=crm.lead&amp;view_type=form&amp;menu_id=111" ref="B408"/>
    <hyperlink r:id="rId677" ref="G408"/>
    <hyperlink r:id="rId678" location="id=68318&amp;action=152&amp;model=crm.lead&amp;view_type=form&amp;menu_id=111" ref="B409"/>
    <hyperlink r:id="rId679" ref="G409"/>
    <hyperlink r:id="rId680" location="id=68382&amp;action=152&amp;model=crm.lead&amp;view_type=form&amp;menu_id=111" ref="B410"/>
    <hyperlink r:id="rId681" ref="G410"/>
    <hyperlink r:id="rId682" location="id=68277&amp;action=152&amp;model=crm.lead&amp;view_type=form&amp;menu_id=111" ref="B411"/>
    <hyperlink r:id="rId683" location="id=68289&amp;action=152&amp;model=crm.lead&amp;view_type=form&amp;menu_id=111" ref="B412"/>
    <hyperlink r:id="rId684" ref="G412"/>
    <hyperlink r:id="rId685" location="id=68324&amp;action=152&amp;model=crm.lead&amp;view_type=form&amp;menu_id=111" ref="B413"/>
    <hyperlink r:id="rId686" ref="I413"/>
    <hyperlink r:id="rId687" location="id=68308&amp;action=152&amp;model=crm.lead&amp;view_type=form&amp;menu_id=111" ref="B414"/>
    <hyperlink r:id="rId688" location="id=68306&amp;action=152&amp;model=crm.lead&amp;view_type=form&amp;menu_id=111" ref="B415"/>
    <hyperlink r:id="rId689" location="id=68278&amp;action=152&amp;model=crm.lead&amp;view_type=form&amp;menu_id=111" ref="B416"/>
    <hyperlink r:id="rId690" ref="G416"/>
    <hyperlink r:id="rId691" location="id=68254&amp;action=152&amp;model=crm.lead&amp;view_type=form&amp;menu_id=111" ref="B417"/>
    <hyperlink r:id="rId692" ref="G417"/>
    <hyperlink r:id="rId693" location="id=68222&amp;action=152&amp;model=crm.lead&amp;view_type=form&amp;menu_id=111" ref="B418"/>
    <hyperlink r:id="rId694" ref="G418"/>
    <hyperlink r:id="rId695" location="id=68174&amp;action=152&amp;model=crm.lead&amp;view_type=form&amp;menu_id=111" ref="B419"/>
    <hyperlink r:id="rId696" ref="G419"/>
    <hyperlink r:id="rId697" location="id=68161&amp;action=152&amp;model=crm.lead&amp;view_type=form&amp;menu_id=111" ref="B420"/>
    <hyperlink r:id="rId698" location="id=68169&amp;action=152&amp;model=crm.lead&amp;view_type=form&amp;menu_id=111" ref="B421"/>
    <hyperlink r:id="rId699" ref="G421"/>
    <hyperlink r:id="rId700" location="id=68167&amp;action=152&amp;model=crm.lead&amp;view_type=form&amp;menu_id=111" ref="B422"/>
    <hyperlink r:id="rId701" location="id=68126&amp;action=152&amp;model=crm.lead&amp;view_type=form&amp;menu_id=111" ref="B423"/>
    <hyperlink r:id="rId702" ref="G423"/>
    <hyperlink r:id="rId703" location="id=68115&amp;action=152&amp;model=crm.lead&amp;view_type=form&amp;menu_id=111" ref="B424"/>
    <hyperlink r:id="rId704" ref="G424"/>
    <hyperlink r:id="rId705" location="id=68079&amp;action=152&amp;model=crm.lead&amp;view_type=form&amp;menu_id=111" ref="B425"/>
    <hyperlink r:id="rId706" location="id=68072&amp;action=152&amp;model=crm.lead&amp;view_type=form&amp;menu_id=111" ref="B426"/>
    <hyperlink r:id="rId707" location="id=68032&amp;action=152&amp;model=crm.lead&amp;view_type=form&amp;menu_id=111" ref="B427"/>
    <hyperlink r:id="rId708" ref="G427"/>
    <hyperlink r:id="rId709" location="id=68036&amp;action=152&amp;model=crm.lead&amp;view_type=form&amp;menu_id=111" ref="B428"/>
    <hyperlink r:id="rId710" location="id=67960&amp;action=152&amp;model=crm.lead&amp;view_type=form&amp;menu_id=111" ref="B429"/>
    <hyperlink r:id="rId711" ref="G429"/>
    <hyperlink r:id="rId712" location="id=67979&amp;action=152&amp;model=crm.lead&amp;view_type=form&amp;menu_id=111" ref="B430"/>
    <hyperlink r:id="rId713" ref="G430"/>
    <hyperlink r:id="rId714" location="id=67944&amp;action=152&amp;model=crm.lead&amp;view_type=form&amp;menu_id=111" ref="B431"/>
    <hyperlink r:id="rId715" location="id=67902&amp;action=152&amp;model=crm.lead&amp;view_type=form&amp;menu_id=111" ref="B432"/>
    <hyperlink r:id="rId716" ref="G432"/>
    <hyperlink r:id="rId717" location="id=67881&amp;action=152&amp;model=crm.lead&amp;view_type=form&amp;menu_id=111" ref="B433"/>
    <hyperlink r:id="rId718" ref="G433"/>
    <hyperlink r:id="rId719" location="id=67949&amp;action=152&amp;model=crm.lead&amp;view_type=form&amp;menu_id=111" ref="B434"/>
    <hyperlink r:id="rId720" location="id=67888&amp;action=152&amp;model=crm.lead&amp;view_type=form&amp;menu_id=111" ref="B435"/>
    <hyperlink r:id="rId721" ref="G435"/>
    <hyperlink r:id="rId722" location="id=67882&amp;action=152&amp;model=crm.lead&amp;view_type=form&amp;menu_id=111" ref="B436"/>
    <hyperlink r:id="rId723" ref="G436"/>
    <hyperlink r:id="rId724" location="id=67880&amp;action=152&amp;model=crm.lead&amp;view_type=form&amp;menu_id=111" ref="B437"/>
    <hyperlink r:id="rId725" location="id=67879&amp;action=152&amp;model=crm.lead&amp;view_type=form&amp;menu_id=111" ref="B438"/>
    <hyperlink r:id="rId726" location="id=67866&amp;action=152&amp;model=crm.lead&amp;view_type=form&amp;menu_id=111" ref="B439"/>
    <hyperlink r:id="rId727" ref="G439"/>
    <hyperlink r:id="rId728" location="id=67838&amp;action=152&amp;model=crm.lead&amp;view_type=form&amp;menu_id=111" ref="B440"/>
    <hyperlink r:id="rId729" ref="G440"/>
    <hyperlink r:id="rId730" location="id=67833&amp;action=152&amp;model=crm.lead&amp;view_type=form&amp;menu_id=111" ref="B441"/>
    <hyperlink r:id="rId731" location="id=67830&amp;action=152&amp;model=crm.lead&amp;view_type=form&amp;menu_id=111" ref="B442"/>
    <hyperlink r:id="rId732" ref="G442"/>
    <hyperlink r:id="rId733" ref="G443"/>
    <hyperlink r:id="rId734" location="id=67794&amp;action=152&amp;model=crm.lead&amp;view_type=form&amp;menu_id=111" ref="B444"/>
    <hyperlink r:id="rId735" ref="G444"/>
    <hyperlink r:id="rId736" location="id=67795&amp;action=152&amp;model=crm.lead&amp;view_type=form&amp;menu_id=111" ref="B445"/>
    <hyperlink r:id="rId737" ref="G445"/>
    <hyperlink r:id="rId738" location="id=67781&amp;action=152&amp;model=crm.lead&amp;view_type=form&amp;menu_id=111" ref="B446"/>
    <hyperlink r:id="rId739" ref="G446"/>
    <hyperlink r:id="rId740" location="id=67742&amp;action=152&amp;model=crm.lead&amp;view_type=form&amp;menu_id=111" ref="B447"/>
    <hyperlink r:id="rId741" location="id=67747&amp;action=152&amp;model=crm.lead&amp;view_type=form&amp;menu_id=111" ref="B448"/>
    <hyperlink r:id="rId742" location="id=67734&amp;action=152&amp;model=crm.lead&amp;view_type=form&amp;menu_id=111" ref="B449"/>
    <hyperlink r:id="rId743" ref="G449"/>
    <hyperlink r:id="rId744" location="id=67737&amp;action=152&amp;model=crm.lead&amp;view_type=form&amp;menu_id=111" ref="B450"/>
    <hyperlink r:id="rId745" ref="G450"/>
    <hyperlink r:id="rId746" location="id=67714&amp;action=152&amp;model=crm.lead&amp;view_type=form&amp;menu_id=111" ref="B451"/>
    <hyperlink r:id="rId747" location="id=67689&amp;action=152&amp;model=crm.lead&amp;view_type=form&amp;menu_id=111" ref="B452"/>
    <hyperlink r:id="rId748" ref="G452"/>
    <hyperlink r:id="rId749" location="id=67632&amp;action=152&amp;model=crm.lead&amp;view_type=form&amp;menu_id=111" ref="B453"/>
    <hyperlink r:id="rId750" ref="G453"/>
    <hyperlink r:id="rId751" location="id=67671&amp;action=152&amp;model=crm.lead&amp;view_type=form&amp;menu_id=111" ref="B454"/>
    <hyperlink r:id="rId752" location="id=67666&amp;action=152&amp;model=crm.lead&amp;view_type=form&amp;menu_id=111" ref="B455"/>
    <hyperlink r:id="rId753" ref="G455"/>
    <hyperlink r:id="rId754" location="id=67653&amp;action=152&amp;model=crm.lead&amp;view_type=form&amp;menu_id=111" ref="B456"/>
    <hyperlink r:id="rId755" ref="G456"/>
    <hyperlink r:id="rId756" location="id=67656&amp;action=152&amp;model=crm.lead&amp;view_type=form&amp;menu_id=111" ref="B457"/>
    <hyperlink r:id="rId757" ref="G457"/>
    <hyperlink r:id="rId758" location="id=67646&amp;action=152&amp;model=crm.lead&amp;view_type=form&amp;menu_id=111" ref="B458"/>
    <hyperlink r:id="rId759" location="id=67650&amp;action=152&amp;model=crm.lead&amp;view_type=form&amp;menu_id=111" ref="B459"/>
    <hyperlink r:id="rId760" ref="G459"/>
    <hyperlink r:id="rId761" location="id=67593&amp;action=152&amp;model=crm.lead&amp;view_type=form&amp;menu_id=111" ref="B460"/>
    <hyperlink r:id="rId762" ref="G460"/>
    <hyperlink r:id="rId763" location="id=67604&amp;action=152&amp;model=crm.lead&amp;view_type=form&amp;menu_id=111" ref="B461"/>
    <hyperlink r:id="rId764" location="id=67588&amp;action=152&amp;model=crm.lead&amp;view_type=form&amp;menu_id=111" ref="B462"/>
    <hyperlink r:id="rId765" location="id=67600&amp;action=152&amp;model=crm.lead&amp;view_type=form&amp;menu_id=111" ref="B463"/>
    <hyperlink r:id="rId766" ref="G463"/>
    <hyperlink r:id="rId767" location="id=67597&amp;action=152&amp;model=crm.lead&amp;view_type=form&amp;menu_id=111" ref="B464"/>
    <hyperlink r:id="rId768" ref="G464"/>
    <hyperlink r:id="rId769" location="id=67568&amp;action=152&amp;model=crm.lead&amp;view_type=form&amp;menu_id=111" ref="B465"/>
    <hyperlink r:id="rId770" ref="G465"/>
    <hyperlink r:id="rId771" location="id=67558&amp;action=152&amp;model=crm.lead&amp;view_type=form&amp;menu_id=111" ref="B466"/>
    <hyperlink r:id="rId772" ref="G466"/>
    <hyperlink r:id="rId773" location="id=67557&amp;action=152&amp;model=crm.lead&amp;view_type=form&amp;menu_id=111" ref="B467"/>
    <hyperlink r:id="rId774" location="id=67521&amp;action=152&amp;model=crm.lead&amp;view_type=form&amp;menu_id=111" ref="B468"/>
    <hyperlink r:id="rId775" ref="G468"/>
    <hyperlink r:id="rId776" location="id=67554&amp;action=152&amp;model=crm.lead&amp;view_type=form&amp;menu_id=111" ref="B469"/>
    <hyperlink r:id="rId777" location="id=67543&amp;action=152&amp;model=crm.lead&amp;view_type=form&amp;menu_id=111" ref="B470"/>
    <hyperlink r:id="rId778" ref="G470"/>
    <hyperlink r:id="rId779" location="id=67544&amp;action=152&amp;model=crm.lead&amp;view_type=form&amp;menu_id=111" ref="B471"/>
    <hyperlink r:id="rId780" ref="G471"/>
    <hyperlink r:id="rId781" location="id=67514&amp;action=152&amp;model=crm.lead&amp;view_type=form&amp;menu_id=111" ref="B472"/>
    <hyperlink r:id="rId782" location="id=67507&amp;action=152&amp;model=crm.lead&amp;view_type=form&amp;menu_id=111" ref="B473"/>
    <hyperlink r:id="rId783" ref="G473"/>
    <hyperlink r:id="rId784" location="id=67506&amp;action=152&amp;model=crm.lead&amp;view_type=form&amp;menu_id=111" ref="B474"/>
    <hyperlink r:id="rId785" location="id=67486&amp;action=152&amp;model=crm.lead&amp;view_type=form&amp;menu_id=111" ref="B475"/>
    <hyperlink r:id="rId786" ref="G475"/>
    <hyperlink r:id="rId787" location="id=67485&amp;action=152&amp;model=crm.lead&amp;view_type=form&amp;menu_id=111" ref="B476"/>
    <hyperlink r:id="rId788" ref="G476"/>
    <hyperlink r:id="rId789" location="id=67478&amp;action=152&amp;model=crm.lead&amp;view_type=form&amp;menu_id=111" ref="B478"/>
    <hyperlink r:id="rId790" ref="G478"/>
    <hyperlink r:id="rId791" location="id=67442&amp;action=152&amp;model=crm.lead&amp;view_type=form&amp;menu_id=111" ref="B479"/>
    <hyperlink r:id="rId792" ref="G479"/>
    <hyperlink r:id="rId793" location="id=67468&amp;action=152&amp;model=crm.lead&amp;view_type=form&amp;menu_id=111" ref="B480"/>
    <hyperlink r:id="rId794" ref="G480"/>
    <hyperlink r:id="rId795" location="id=67463&amp;action=152&amp;model=crm.lead&amp;view_type=form&amp;menu_id=111" ref="B481"/>
    <hyperlink r:id="rId796" location="id=67456&amp;action=152&amp;model=crm.lead&amp;view_type=form&amp;menu_id=111" ref="B482"/>
    <hyperlink r:id="rId797" ref="G482"/>
    <hyperlink r:id="rId798" ref="G483"/>
    <hyperlink r:id="rId799" location="id=67436&amp;action=152&amp;model=crm.lead&amp;view_type=form&amp;menu_id=111" ref="B484"/>
    <hyperlink r:id="rId800" ref="G484"/>
    <hyperlink r:id="rId801" location="id=67439&amp;action=152&amp;model=crm.lead&amp;view_type=form&amp;menu_id=111" ref="B485"/>
    <hyperlink r:id="rId802" location="id=67433&amp;action=152&amp;model=crm.lead&amp;view_type=form&amp;menu_id=111" ref="B486"/>
    <hyperlink r:id="rId803" location="id=67428&amp;action=152&amp;model=crm.lead&amp;view_type=form&amp;menu_id=111" ref="B487"/>
    <hyperlink r:id="rId804" location="id=67423&amp;action=152&amp;model=crm.lead&amp;view_type=form&amp;menu_id=111" ref="B488"/>
    <hyperlink r:id="rId805" location="id=67392&amp;action=152&amp;model=crm.lead&amp;view_type=form&amp;menu_id=111" ref="B489"/>
    <hyperlink r:id="rId806" location="id=67391&amp;action=152&amp;model=crm.lead&amp;view_type=form&amp;menu_id=111" ref="B490"/>
    <hyperlink r:id="rId807" location="id=67359&amp;action=152&amp;model=crm.lead&amp;view_type=form&amp;menu_id=111" ref="B491"/>
    <hyperlink r:id="rId808" location="id=67353&amp;action=152&amp;model=crm.lead&amp;view_type=form&amp;menu_id=111" ref="B492"/>
    <hyperlink r:id="rId809" ref="G492"/>
    <hyperlink r:id="rId810" location="id=67288&amp;action=152&amp;model=crm.lead&amp;view_type=form&amp;menu_id=111" ref="B493"/>
    <hyperlink r:id="rId811" ref="G493"/>
    <hyperlink r:id="rId812" location="id=67325&amp;action=152&amp;model=crm.lead&amp;view_type=form&amp;menu_id=111" ref="B494"/>
    <hyperlink r:id="rId813" ref="G494"/>
    <hyperlink r:id="rId814" location="id=67320&amp;action=152&amp;model=crm.lead&amp;view_type=form&amp;menu_id=111" ref="B496"/>
    <hyperlink r:id="rId815" ref="G496"/>
    <hyperlink r:id="rId816" location="id=67290&amp;action=152&amp;model=crm.lead&amp;view_type=form&amp;menu_id=111" ref="B497"/>
    <hyperlink r:id="rId817" ref="G497"/>
    <hyperlink r:id="rId818" location="id=67299&amp;action=152&amp;model=crm.lead&amp;view_type=form&amp;menu_id=111" ref="B498"/>
    <hyperlink r:id="rId819" location="id=67312&amp;action=152&amp;model=crm.lead&amp;view_type=form&amp;menu_id=111" ref="B499"/>
    <hyperlink r:id="rId820" ref="G499"/>
    <hyperlink r:id="rId821" location="id=67315&amp;action=152&amp;model=crm.lead&amp;view_type=form&amp;menu_id=111" ref="B500"/>
    <hyperlink r:id="rId822" ref="G500"/>
    <hyperlink r:id="rId823" location="id=67278&amp;action=152&amp;model=crm.lead&amp;view_type=form&amp;menu_id=111" ref="B501"/>
    <hyperlink r:id="rId824" ref="G501"/>
    <hyperlink r:id="rId825" location="id=67268&amp;action=152&amp;model=crm.lead&amp;view_type=form&amp;menu_id=111" ref="B502"/>
    <hyperlink r:id="rId826" ref="G502"/>
    <hyperlink r:id="rId827" location="id=67275&amp;action=152&amp;model=crm.lead&amp;view_type=form&amp;menu_id=111" ref="B503"/>
    <hyperlink r:id="rId828" location="id=67262&amp;action=152&amp;model=crm.lead&amp;view_type=form&amp;menu_id=111" ref="B504"/>
    <hyperlink r:id="rId829" ref="G504"/>
    <hyperlink r:id="rId830" location="id=67271&amp;action=152&amp;model=crm.lead&amp;view_type=form&amp;menu_id=111" ref="B505"/>
    <hyperlink r:id="rId831" ref="G505"/>
    <hyperlink r:id="rId832" location="id=67270&amp;action=152&amp;model=crm.lead&amp;view_type=form&amp;menu_id=111" ref="B506"/>
    <hyperlink r:id="rId833" location="id=67251&amp;action=152&amp;model=crm.lead&amp;view_type=form&amp;menu_id=111" ref="B507"/>
    <hyperlink r:id="rId834" ref="G507"/>
    <hyperlink r:id="rId835" location="id=67246&amp;action=152&amp;model=crm.lead&amp;view_type=form&amp;menu_id=111" ref="B508"/>
    <hyperlink r:id="rId836" location="id=67240&amp;action=152&amp;model=crm.lead&amp;view_type=form&amp;menu_id=111" ref="B509"/>
    <hyperlink r:id="rId837" ref="G509"/>
    <hyperlink r:id="rId838" location="id=67239&amp;action=152&amp;model=crm.lead&amp;view_type=form&amp;menu_id=111" ref="B510"/>
    <hyperlink r:id="rId839" location="id=67238&amp;action=152&amp;model=crm.lead&amp;view_type=form&amp;menu_id=111" ref="B511"/>
    <hyperlink r:id="rId840" ref="G511"/>
    <hyperlink r:id="rId841" location="id=67237&amp;action=152&amp;model=crm.lead&amp;view_type=form&amp;menu_id=111" ref="B512"/>
    <hyperlink r:id="rId842" ref="G512"/>
    <hyperlink r:id="rId843" location="id=67236&amp;action=152&amp;model=crm.lead&amp;view_type=form&amp;menu_id=111" ref="B513"/>
    <hyperlink r:id="rId844" location="id=67229&amp;action=152&amp;model=crm.lead&amp;view_type=form&amp;menu_id=111" ref="B514"/>
    <hyperlink r:id="rId845" location="id=67233&amp;action=152&amp;model=crm.lead&amp;view_type=form&amp;menu_id=111" ref="B515"/>
    <hyperlink r:id="rId846" location="id=67219&amp;action=152&amp;model=crm.lead&amp;view_type=form&amp;menu_id=111" ref="B516"/>
    <hyperlink r:id="rId847" ref="G516"/>
    <hyperlink r:id="rId848" location="id=67210&amp;action=152&amp;model=crm.lead&amp;view_type=form&amp;menu_id=111" ref="B517"/>
    <hyperlink r:id="rId849" location="id=67208&amp;action=152&amp;model=crm.lead&amp;view_type=form&amp;menu_id=111" ref="B518"/>
    <hyperlink r:id="rId850" location="id=67201&amp;action=152&amp;model=crm.lead&amp;view_type=form&amp;menu_id=111" ref="B519"/>
    <hyperlink r:id="rId851" ref="G519"/>
    <hyperlink r:id="rId852" location="id=67193&amp;action=152&amp;model=crm.lead&amp;view_type=form&amp;menu_id=111" ref="B520"/>
    <hyperlink r:id="rId853" ref="G520"/>
    <hyperlink r:id="rId854" location="id=67162&amp;action=152&amp;model=crm.lead&amp;view_type=form&amp;menu_id=111" ref="B521"/>
    <hyperlink r:id="rId855" location="id=67140&amp;action=152&amp;model=crm.lead&amp;view_type=form&amp;menu_id=111" ref="B522"/>
    <hyperlink r:id="rId856" ref="G522"/>
    <hyperlink r:id="rId857" location="id=67144&amp;action=152&amp;model=crm.lead&amp;view_type=form&amp;menu_id=111" ref="B523"/>
    <hyperlink r:id="rId858" location="id=67131&amp;action=152&amp;model=crm.lead&amp;view_type=form&amp;menu_id=111" ref="B524"/>
    <hyperlink r:id="rId859" location="id=67128&amp;action=152&amp;model=crm.lead&amp;view_type=form&amp;menu_id=111" ref="B525"/>
    <hyperlink r:id="rId860" location="id=67126&amp;action=152&amp;model=crm.lead&amp;view_type=form&amp;menu_id=111" ref="B526"/>
    <hyperlink r:id="rId861" ref="G526"/>
    <hyperlink r:id="rId862" location="id=67124&amp;action=152&amp;model=crm.lead&amp;view_type=form&amp;menu_id=111" ref="B527"/>
    <hyperlink r:id="rId863" ref="G527"/>
    <hyperlink r:id="rId864" location="id=67123&amp;action=152&amp;model=crm.lead&amp;view_type=form&amp;menu_id=111" ref="B528"/>
    <hyperlink r:id="rId865" ref="G528"/>
    <hyperlink r:id="rId866" location="id=67089&amp;action=152&amp;model=crm.lead&amp;view_type=form&amp;menu_id=111" ref="B529"/>
    <hyperlink r:id="rId867" ref="G529"/>
    <hyperlink r:id="rId868" location="id=67050&amp;action=152&amp;model=crm.lead&amp;view_type=form&amp;menu_id=111" ref="B530"/>
    <hyperlink r:id="rId869" location="id=67063&amp;action=152&amp;model=crm.lead&amp;view_type=form&amp;menu_id=111" ref="B531"/>
    <hyperlink r:id="rId870" ref="G531"/>
    <hyperlink r:id="rId871" location="id=67105&amp;action=152&amp;model=crm.lead&amp;view_type=form&amp;menu_id=111" ref="B532"/>
    <hyperlink r:id="rId872" ref="G532"/>
    <hyperlink r:id="rId873" location="id=67108&amp;action=152&amp;model=crm.lead&amp;view_type=form&amp;menu_id=111" ref="B533"/>
    <hyperlink r:id="rId874" ref="G533"/>
    <hyperlink r:id="rId875" location="id=66794&amp;action=152&amp;model=crm.lead&amp;view_type=form&amp;menu_id=111" ref="B534"/>
    <hyperlink r:id="rId876" ref="G534"/>
    <hyperlink r:id="rId877" location="id=67051&amp;action=152&amp;model=crm.lead&amp;view_type=form&amp;menu_id=111" ref="B535"/>
    <hyperlink r:id="rId878" ref="G535"/>
    <hyperlink r:id="rId879" location="id=67021&amp;action=152&amp;model=crm.lead&amp;view_type=form&amp;menu_id=111" ref="B536"/>
    <hyperlink r:id="rId880" ref="G536"/>
    <hyperlink r:id="rId881" location="id=67034&amp;action=152&amp;model=crm.lead&amp;view_type=form&amp;menu_id=111" ref="B537"/>
    <hyperlink r:id="rId882" ref="G537"/>
    <hyperlink r:id="rId883" location="id=67040&amp;action=152&amp;model=crm.lead&amp;view_type=form&amp;menu_id=111" ref="B538"/>
    <hyperlink r:id="rId884" location="id=67013&amp;action=152&amp;model=crm.lead&amp;view_type=form&amp;menu_id=111" ref="B539"/>
    <hyperlink r:id="rId885" ref="G539"/>
    <hyperlink r:id="rId886" location="id=66989&amp;action=152&amp;model=crm.lead&amp;view_type=form&amp;menu_id=111" ref="B540"/>
    <hyperlink r:id="rId887" location="id=66994&amp;action=152&amp;model=crm.lead&amp;view_type=form&amp;menu_id=111" ref="B541"/>
    <hyperlink r:id="rId888" ref="G541"/>
    <hyperlink r:id="rId889" location="id=66993&amp;action=152&amp;model=crm.lead&amp;view_type=form&amp;menu_id=111" ref="B542"/>
    <hyperlink r:id="rId890" ref="G542"/>
    <hyperlink r:id="rId891" location="id=66985&amp;action=152&amp;model=crm.lead&amp;view_type=form&amp;menu_id=111" ref="B543"/>
    <hyperlink r:id="rId892" location="id=66981&amp;action=152&amp;model=crm.lead&amp;view_type=form&amp;menu_id=111" ref="B544"/>
    <hyperlink r:id="rId893" location="id=66934&amp;action=152&amp;model=crm.lead&amp;view_type=form&amp;menu_id=111" ref="B545"/>
    <hyperlink r:id="rId894" ref="G545"/>
    <hyperlink r:id="rId895" location="id=66977&amp;action=152&amp;model=crm.lead&amp;view_type=form&amp;menu_id=111" ref="B546"/>
    <hyperlink r:id="rId896" location="id=66906&amp;action=152&amp;model=crm.lead&amp;view_type=form&amp;menu_id=111" ref="B547"/>
    <hyperlink r:id="rId897" location="id=66932&amp;action=152&amp;model=crm.lead&amp;view_type=form&amp;menu_id=111" ref="B548"/>
    <hyperlink r:id="rId898" ref="G548"/>
    <hyperlink r:id="rId899" location="id=66971&amp;action=152&amp;model=crm.lead&amp;view_type=form&amp;menu_id=111" ref="B549"/>
    <hyperlink r:id="rId900" location="id=66964&amp;action=152&amp;model=crm.lead&amp;view_type=form&amp;menu_id=111" ref="B550"/>
    <hyperlink r:id="rId901" ref="G550"/>
    <hyperlink r:id="rId902" location="id=66960&amp;action=152&amp;model=crm.lead&amp;view_type=form&amp;menu_id=111" ref="B551"/>
    <hyperlink r:id="rId903" ref="G551"/>
    <hyperlink r:id="rId904" location="id=66961&amp;action=152&amp;model=crm.lead&amp;view_type=form&amp;menu_id=111" ref="B552"/>
    <hyperlink r:id="rId905" ref="G552"/>
    <hyperlink r:id="rId906" location="id=66930&amp;action=152&amp;model=crm.lead&amp;view_type=form&amp;menu_id=111" ref="B553"/>
    <hyperlink r:id="rId907" location="id=66920&amp;action=152&amp;model=crm.lead&amp;view_type=form&amp;menu_id=111" ref="B554"/>
    <hyperlink r:id="rId908" ref="G554"/>
    <hyperlink r:id="rId909" location="id=66913&amp;action=152&amp;model=crm.lead&amp;view_type=form&amp;menu_id=111" ref="B555"/>
    <hyperlink r:id="rId910" ref="G555"/>
    <hyperlink r:id="rId911" location="id=66889&amp;action=152&amp;model=crm.lead&amp;view_type=form&amp;menu_id=111" ref="B556"/>
    <hyperlink r:id="rId912" ref="G556"/>
    <hyperlink r:id="rId913" location="id=66885&amp;action=152&amp;model=crm.lead&amp;view_type=form&amp;menu_id=111" ref="B557"/>
    <hyperlink r:id="rId914" ref="G557"/>
    <hyperlink r:id="rId915" location="id=66888&amp;action=152&amp;model=crm.lead&amp;view_type=form&amp;menu_id=111" ref="B558"/>
    <hyperlink r:id="rId916" location="id=66873&amp;action=152&amp;model=crm.lead&amp;view_type=form&amp;menu_id=111" ref="B559"/>
    <hyperlink r:id="rId917" ref="G559"/>
    <hyperlink r:id="rId918" location="id=66856&amp;action=152&amp;model=crm.lead&amp;view_type=form&amp;menu_id=111" ref="B560"/>
    <hyperlink r:id="rId919" ref="G560"/>
    <hyperlink r:id="rId920" location="id=66857&amp;action=152&amp;model=crm.lead&amp;view_type=form&amp;menu_id=111" ref="B561"/>
    <hyperlink r:id="rId921" ref="G561"/>
    <hyperlink r:id="rId922" location="id=66786&amp;action=152&amp;model=crm.lead&amp;view_type=form&amp;menu_id=111" ref="B562"/>
    <hyperlink r:id="rId923" ref="G562"/>
    <hyperlink r:id="rId924" location="id=66842&amp;action=152&amp;model=crm.lead&amp;view_type=form&amp;menu_id=111" ref="B563"/>
    <hyperlink r:id="rId925" ref="G563"/>
    <hyperlink r:id="rId926" location="id=66825&amp;action=152&amp;model=crm.lead&amp;view_type=form&amp;menu_id=111" ref="B564"/>
    <hyperlink r:id="rId927" ref="G564"/>
    <hyperlink r:id="rId928" location="id=66819&amp;action=152&amp;model=crm.lead&amp;view_type=form&amp;menu_id=111" ref="B565"/>
    <hyperlink r:id="rId929" ref="G565"/>
    <hyperlink r:id="rId930" location="id=66834&amp;action=152&amp;model=crm.lead&amp;view_type=form&amp;menu_id=111" ref="B566"/>
    <hyperlink r:id="rId931" ref="G566"/>
    <hyperlink r:id="rId932" location="id=66837&amp;action=152&amp;model=crm.lead&amp;view_type=form&amp;menu_id=111" ref="B567"/>
    <hyperlink r:id="rId933" ref="G567"/>
    <hyperlink r:id="rId934" location="id=66839&amp;action=152&amp;model=crm.lead&amp;view_type=form&amp;menu_id=111" ref="B568"/>
    <hyperlink r:id="rId935" ref="G568"/>
    <hyperlink r:id="rId936" location="id=66765&amp;action=152&amp;model=crm.lead&amp;view_type=form&amp;menu_id=111" ref="B569"/>
    <hyperlink r:id="rId937" location="id=66769&amp;action=152&amp;model=crm.lead&amp;view_type=form&amp;menu_id=111" ref="B570"/>
    <hyperlink r:id="rId938" location="id=66762&amp;action=152&amp;model=crm.lead&amp;view_type=form&amp;menu_id=111" ref="B571"/>
    <hyperlink r:id="rId939" ref="G571"/>
    <hyperlink r:id="rId940" location="id=66759&amp;action=152&amp;model=crm.lead&amp;view_type=form&amp;menu_id=111" ref="B572"/>
    <hyperlink r:id="rId941" location="id=66757&amp;action=152&amp;model=crm.lead&amp;view_type=form&amp;menu_id=111" ref="B573"/>
    <hyperlink r:id="rId942" location="id=66752&amp;action=152&amp;model=crm.lead&amp;view_type=form&amp;menu_id=111" ref="B574"/>
    <hyperlink r:id="rId943" ref="G574"/>
    <hyperlink r:id="rId944" location="id=66754&amp;action=152&amp;model=crm.lead&amp;view_type=form&amp;menu_id=111" ref="B575"/>
    <hyperlink r:id="rId945" ref="G575"/>
    <hyperlink r:id="rId946" location="id=66673&amp;action=152&amp;model=crm.lead&amp;view_type=form&amp;menu_id=111" ref="B576"/>
    <hyperlink r:id="rId947" ref="G576"/>
    <hyperlink r:id="rId948" location="id=66714&amp;action=152&amp;model=crm.lead&amp;view_type=form&amp;menu_id=111" ref="B577"/>
    <hyperlink r:id="rId949" ref="G577"/>
    <hyperlink r:id="rId950" location="id=66715&amp;action=152&amp;model=crm.lead&amp;view_type=form&amp;menu_id=111" ref="B578"/>
    <hyperlink r:id="rId951" location="id=66735&amp;action=152&amp;model=crm.lead&amp;view_type=form&amp;menu_id=111" ref="B579"/>
    <hyperlink r:id="rId952" location="id=66717&amp;action=152&amp;model=crm.lead&amp;view_type=form&amp;menu_id=111" ref="B580"/>
    <hyperlink r:id="rId953" ref="G580"/>
    <hyperlink r:id="rId954" location="id=66707&amp;action=152&amp;model=crm.lead&amp;view_type=form&amp;menu_id=111" ref="B581"/>
    <hyperlink r:id="rId955" ref="G581"/>
    <hyperlink r:id="rId956" location="id=66701&amp;action=152&amp;model=crm.lead&amp;view_type=form&amp;menu_id=111" ref="B582"/>
    <hyperlink r:id="rId957" location="id=66669&amp;action=152&amp;model=crm.lead&amp;view_type=form&amp;menu_id=111" ref="B583"/>
    <hyperlink r:id="rId958" ref="G583"/>
    <hyperlink r:id="rId959" location="id=66686&amp;action=152&amp;model=crm.lead&amp;view_type=form&amp;menu_id=111" ref="B584"/>
    <hyperlink r:id="rId960" location="id=66664&amp;action=152&amp;model=crm.lead&amp;view_type=form&amp;menu_id=111" ref="B585"/>
    <hyperlink r:id="rId961" ref="G585"/>
    <hyperlink r:id="rId962" location="id=66665&amp;action=152&amp;model=crm.lead&amp;view_type=form&amp;menu_id=111" ref="B586"/>
    <hyperlink r:id="rId963" location="id=66658&amp;action=152&amp;model=crm.lead&amp;view_type=form&amp;menu_id=111" ref="B587"/>
    <hyperlink r:id="rId964" location="id=66629&amp;action=152&amp;model=crm.lead&amp;view_type=form&amp;menu_id=111" ref="B588"/>
    <hyperlink r:id="rId965" ref="G588"/>
    <hyperlink r:id="rId966" location="id=66654&amp;action=152&amp;model=crm.lead&amp;view_type=form&amp;menu_id=111" ref="B589"/>
    <hyperlink r:id="rId967" ref="G589"/>
    <hyperlink r:id="rId968" location="id=66653&amp;action=152&amp;model=crm.lead&amp;view_type=form&amp;menu_id=111" ref="B590"/>
    <hyperlink r:id="rId969" ref="G590"/>
    <hyperlink r:id="rId970" location="id=66646&amp;action=152&amp;model=crm.lead&amp;view_type=form&amp;menu_id=111" ref="B591"/>
    <hyperlink r:id="rId971" ref="G591"/>
    <hyperlink r:id="rId972" location="id=66624&amp;action=152&amp;model=crm.lead&amp;view_type=form&amp;menu_id=111" ref="B592"/>
    <hyperlink r:id="rId973" ref="G592"/>
    <hyperlink r:id="rId974" location="id=66608&amp;action=152&amp;model=crm.lead&amp;view_type=form&amp;menu_id=111" ref="B593"/>
    <hyperlink r:id="rId975" ref="G593"/>
    <hyperlink r:id="rId976" location="id=66593&amp;action=152&amp;model=crm.lead&amp;view_type=form&amp;menu_id=111" ref="B594"/>
    <hyperlink r:id="rId977" ref="G594"/>
    <hyperlink r:id="rId978" location="id=66585&amp;action=152&amp;model=crm.lead&amp;view_type=form&amp;menu_id=111" ref="B595"/>
    <hyperlink r:id="rId979" ref="G595"/>
    <hyperlink r:id="rId980" location="id=66583&amp;action=152&amp;model=crm.lead&amp;view_type=form&amp;menu_id=111" ref="B596"/>
    <hyperlink r:id="rId981" location="id=66512&amp;action=152&amp;model=crm.lead&amp;view_type=form&amp;menu_id=111" ref="B597"/>
    <hyperlink r:id="rId982" ref="G597"/>
    <hyperlink r:id="rId983" location="id=66578&amp;action=152&amp;model=crm.lead&amp;view_type=form&amp;menu_id=111" ref="B598"/>
    <hyperlink r:id="rId984" ref="G598"/>
    <hyperlink r:id="rId985" location="id=66574&amp;action=152&amp;model=crm.lead&amp;view_type=form&amp;menu_id=111" ref="B599"/>
    <hyperlink r:id="rId986" location="id=66547&amp;action=152&amp;model=crm.lead&amp;view_type=form&amp;menu_id=111" ref="B600"/>
    <hyperlink r:id="rId987" ref="G600"/>
    <hyperlink r:id="rId988" location="id=66570&amp;action=152&amp;model=crm.lead&amp;view_type=form&amp;menu_id=111" ref="B601"/>
    <hyperlink r:id="rId989" location="id=66523&amp;action=152&amp;model=crm.lead&amp;view_type=form&amp;menu_id=111" ref="B602"/>
    <hyperlink r:id="rId990" ref="G602"/>
    <hyperlink r:id="rId991" location="id=66562&amp;action=152&amp;model=crm.lead&amp;view_type=form&amp;menu_id=111" ref="B603"/>
    <hyperlink r:id="rId992" ref="G603"/>
    <hyperlink r:id="rId993" location="id=66508&amp;action=152&amp;model=crm.lead&amp;view_type=form&amp;menu_id=111" ref="B604"/>
    <hyperlink r:id="rId994" location="id=66505&amp;action=152&amp;model=crm.lead&amp;view_type=form&amp;menu_id=111" ref="B605"/>
    <hyperlink r:id="rId995" ref="G605"/>
    <hyperlink r:id="rId996" location="id=66501&amp;action=152&amp;model=crm.lead&amp;view_type=form&amp;menu_id=111" ref="B606"/>
    <hyperlink r:id="rId997" ref="G606"/>
    <hyperlink r:id="rId998" location="id=66494&amp;action=152&amp;model=crm.lead&amp;view_type=form&amp;menu_id=111" ref="B607"/>
    <hyperlink r:id="rId999" location="id=66493&amp;action=152&amp;model=crm.lead&amp;view_type=form&amp;menu_id=111" ref="B608"/>
    <hyperlink r:id="rId1000" location="id=66471&amp;action=152&amp;model=crm.lead&amp;view_type=form&amp;menu_id=111" ref="B609"/>
    <hyperlink r:id="rId1001" location="id=66472&amp;action=152&amp;model=crm.lead&amp;view_type=form&amp;menu_id=111" ref="B610"/>
    <hyperlink r:id="rId1002" ref="G610"/>
    <hyperlink r:id="rId1003" location="id=66469&amp;action=152&amp;model=crm.lead&amp;view_type=form&amp;menu_id=111" ref="B611"/>
    <hyperlink r:id="rId1004" location="id=66464&amp;action=152&amp;model=crm.lead&amp;view_type=form&amp;menu_id=111" ref="B612"/>
    <hyperlink r:id="rId1005" ref="G612"/>
    <hyperlink r:id="rId1006" location="id=66462&amp;action=152&amp;model=crm.lead&amp;view_type=form&amp;menu_id=111" ref="B613"/>
    <hyperlink r:id="rId1007" location="id=66417&amp;action=152&amp;model=crm.lead&amp;view_type=form&amp;menu_id=111" ref="B614"/>
    <hyperlink r:id="rId1008" ref="G614"/>
    <hyperlink r:id="rId1009" location="id=66455&amp;action=152&amp;model=crm.lead&amp;view_type=form&amp;menu_id=111" ref="B615"/>
    <hyperlink r:id="rId1010" location="id=66445&amp;action=152&amp;model=crm.lead&amp;view_type=form&amp;menu_id=111" ref="B616"/>
    <hyperlink r:id="rId1011" location="id=66449&amp;action=152&amp;model=crm.lead&amp;view_type=form&amp;menu_id=111" ref="B617"/>
    <hyperlink r:id="rId1012" ref="G617"/>
    <hyperlink r:id="rId1013" location="id=66431&amp;action=152&amp;model=crm.lead&amp;view_type=form&amp;menu_id=111" ref="B618"/>
    <hyperlink r:id="rId1014" ref="G618"/>
    <hyperlink r:id="rId1015" location="id=66425&amp;action=152&amp;model=crm.lead&amp;view_type=form&amp;menu_id=111" ref="B619"/>
    <hyperlink r:id="rId1016" location="id=66405&amp;action=152&amp;model=crm.lead&amp;view_type=form&amp;menu_id=111" ref="B620"/>
    <hyperlink r:id="rId1017" ref="G620"/>
    <hyperlink r:id="rId1018" location="id=66384&amp;action=152&amp;model=crm.lead&amp;view_type=form&amp;menu_id=111" ref="B621"/>
    <hyperlink r:id="rId1019" ref="G621"/>
    <hyperlink r:id="rId1020" location="id=66400&amp;action=152&amp;model=crm.lead&amp;view_type=form&amp;menu_id=111" ref="B622"/>
    <hyperlink r:id="rId1021" ref="G622"/>
    <hyperlink r:id="rId1022" location="id=66403&amp;action=152&amp;model=crm.lead&amp;view_type=form&amp;menu_id=111" ref="B623"/>
    <hyperlink r:id="rId1023" ref="G623"/>
    <hyperlink r:id="rId1024" location="id=66396&amp;action=152&amp;model=crm.lead&amp;view_type=form&amp;menu_id=111" ref="B624"/>
    <hyperlink r:id="rId1025" ref="G624"/>
    <hyperlink r:id="rId1026" location="id=66394&amp;action=152&amp;model=crm.lead&amp;view_type=form&amp;menu_id=111" ref="B625"/>
    <hyperlink r:id="rId1027" ref="G625"/>
    <hyperlink r:id="rId1028" location="id=66381&amp;action=152&amp;model=crm.lead&amp;view_type=form&amp;menu_id=111" ref="B626"/>
    <hyperlink r:id="rId1029" location="id=66240&amp;action=152&amp;model=crm.lead&amp;view_type=form&amp;menu_id=111" ref="B627"/>
    <hyperlink r:id="rId1030" ref="G627"/>
    <hyperlink r:id="rId1031" location="id=66374&amp;action=152&amp;model=crm.lead&amp;view_type=form&amp;menu_id=111" ref="B628"/>
    <hyperlink r:id="rId1032" location="id=66372&amp;action=152&amp;model=crm.lead&amp;view_type=form&amp;menu_id=111" ref="B629"/>
    <hyperlink r:id="rId1033" location="id=66368&amp;action=152&amp;model=crm.lead&amp;view_type=form&amp;menu_id=111" ref="B630"/>
    <hyperlink r:id="rId1034" location="id=66339&amp;action=152&amp;model=crm.lead&amp;view_type=form&amp;menu_id=111" ref="B631"/>
    <hyperlink r:id="rId1035" ref="G631"/>
    <hyperlink r:id="rId1036" location="id=66363&amp;action=152&amp;model=crm.lead&amp;view_type=form&amp;menu_id=111" ref="B632"/>
    <hyperlink r:id="rId1037" ref="G632"/>
    <hyperlink r:id="rId1038" location="id=66361&amp;action=152&amp;model=crm.lead&amp;view_type=form&amp;menu_id=111" ref="B633"/>
    <hyperlink r:id="rId1039" location="id=66360&amp;action=152&amp;model=crm.lead&amp;view_type=form&amp;menu_id=111" ref="B634"/>
    <hyperlink r:id="rId1040" location="id=66312&amp;action=152&amp;model=crm.lead&amp;view_type=form&amp;menu_id=111" ref="B635"/>
    <hyperlink r:id="rId1041" ref="G635"/>
    <hyperlink r:id="rId1042" location="id=66340&amp;action=152&amp;model=crm.lead&amp;view_type=form&amp;menu_id=111" ref="B636"/>
    <hyperlink r:id="rId1043" ref="G636"/>
    <hyperlink r:id="rId1044" location="id=66331&amp;action=152&amp;model=crm.lead&amp;view_type=form&amp;menu_id=111" ref="B637"/>
    <hyperlink r:id="rId1045" location="id=66286&amp;action=152&amp;model=crm.lead&amp;view_type=form&amp;menu_id=111" ref="B638"/>
    <hyperlink r:id="rId1046" ref="G638"/>
    <hyperlink r:id="rId1047" location="id=66297&amp;action=152&amp;model=crm.lead&amp;view_type=form&amp;menu_id=111" ref="B639"/>
    <hyperlink r:id="rId1048" ref="G639"/>
    <hyperlink r:id="rId1049" location="id=66302&amp;action=152&amp;model=crm.lead&amp;view_type=form&amp;menu_id=111" ref="B640"/>
    <hyperlink r:id="rId1050" ref="G640"/>
    <hyperlink r:id="rId1051" location="id=66316&amp;action=152&amp;model=crm.lead&amp;view_type=form&amp;menu_id=111" ref="B641"/>
    <hyperlink r:id="rId1052" ref="G641"/>
    <hyperlink r:id="rId1053" location="id=66279&amp;action=152&amp;model=crm.lead&amp;view_type=form&amp;menu_id=111" ref="B642"/>
    <hyperlink r:id="rId1054" location="id=66265&amp;action=152&amp;model=crm.lead&amp;view_type=form&amp;menu_id=111" ref="B643"/>
    <hyperlink r:id="rId1055" ref="G643"/>
    <hyperlink r:id="rId1056" location="id=66221&amp;action=152&amp;model=crm.lead&amp;view_type=form&amp;menu_id=111" ref="B644"/>
    <hyperlink r:id="rId1057" ref="G644"/>
    <hyperlink r:id="rId1058" location="id=66244&amp;action=152&amp;model=crm.lead&amp;view_type=form&amp;menu_id=111" ref="B645"/>
    <hyperlink r:id="rId1059" location="id=66261&amp;action=152&amp;model=crm.lead&amp;view_type=form&amp;menu_id=111" ref="B646"/>
    <hyperlink r:id="rId1060" ref="G646"/>
    <hyperlink r:id="rId1061" location="id=66258&amp;action=152&amp;model=crm.lead&amp;view_type=form&amp;menu_id=111" ref="B647"/>
    <hyperlink r:id="rId1062" location="id=66248&amp;action=152&amp;model=crm.lead&amp;view_type=form&amp;menu_id=111" ref="B648"/>
    <hyperlink r:id="rId1063" ref="G648"/>
    <hyperlink r:id="rId1064" location="id=66203&amp;action=152&amp;model=crm.lead&amp;view_type=form&amp;menu_id=111" ref="B649"/>
    <hyperlink r:id="rId1065" location="id=66202&amp;action=152&amp;model=crm.lead&amp;view_type=form&amp;menu_id=111" ref="B650"/>
    <hyperlink r:id="rId1066" ref="G650"/>
    <hyperlink r:id="rId1067" location="id=66190&amp;action=152&amp;model=crm.lead&amp;view_type=form&amp;menu_id=111" ref="B651"/>
    <hyperlink r:id="rId1068" ref="G651"/>
    <hyperlink r:id="rId1069" location="id=66191&amp;action=152&amp;model=crm.lead&amp;view_type=form&amp;menu_id=111" ref="B652"/>
    <hyperlink r:id="rId1070" ref="G652"/>
    <hyperlink r:id="rId1071" location="id=66197&amp;action=152&amp;model=crm.lead&amp;view_type=form&amp;menu_id=111" ref="B653"/>
    <hyperlink r:id="rId1072" ref="G653"/>
    <hyperlink r:id="rId1073" location="id=66184&amp;action=152&amp;model=crm.lead&amp;view_type=form&amp;menu_id=111" ref="B654"/>
    <hyperlink r:id="rId1074" ref="G654"/>
    <hyperlink r:id="rId1075" location="id=66181&amp;action=152&amp;model=crm.lead&amp;view_type=form&amp;menu_id=111" ref="B655"/>
    <hyperlink r:id="rId1076" ref="G655"/>
    <hyperlink r:id="rId1077" location="id=66179&amp;action=152&amp;model=crm.lead&amp;view_type=form&amp;menu_id=111" ref="B656"/>
    <hyperlink r:id="rId1078" ref="G656"/>
    <hyperlink r:id="rId1079" location="id=66174&amp;action=152&amp;model=crm.lead&amp;view_type=form&amp;menu_id=111" ref="B657"/>
    <hyperlink r:id="rId1080" location="id=66155&amp;action=152&amp;model=crm.lead&amp;view_type=form&amp;menu_id=111" ref="B658"/>
    <hyperlink r:id="rId1081" location="id=66166&amp;action=152&amp;model=crm.lead&amp;view_type=form&amp;menu_id=111" ref="B659"/>
    <hyperlink r:id="rId1082" location="id=66162&amp;action=152&amp;model=crm.lead&amp;view_type=form&amp;menu_id=111" ref="B660"/>
    <hyperlink r:id="rId1083" ref="G660"/>
    <hyperlink r:id="rId1084" location="id=66148&amp;action=152&amp;model=crm.lead&amp;view_type=form&amp;menu_id=111" ref="B661"/>
    <hyperlink r:id="rId1085" location="id=66147&amp;action=152&amp;model=crm.lead&amp;view_type=form&amp;menu_id=111" ref="B662"/>
    <hyperlink r:id="rId1086" location="id=66142&amp;action=152&amp;model=crm.lead&amp;view_type=form&amp;menu_id=111" ref="B663"/>
    <hyperlink r:id="rId1087" location="id=66136&amp;action=152&amp;model=crm.lead&amp;view_type=form&amp;menu_id=111" ref="B664"/>
    <hyperlink r:id="rId1088" location="id=66139&amp;action=152&amp;model=crm.lead&amp;view_type=form&amp;menu_id=111" ref="B665"/>
    <hyperlink r:id="rId1089" location="id=66130&amp;action=152&amp;model=crm.lead&amp;view_type=form&amp;menu_id=111" ref="B666"/>
    <hyperlink r:id="rId1090" ref="G666"/>
    <hyperlink r:id="rId1091" location="id=66127&amp;action=152&amp;model=crm.lead&amp;view_type=form&amp;menu_id=111" ref="B667"/>
    <hyperlink r:id="rId1092" ref="G667"/>
    <hyperlink r:id="rId1093" location="id=66110&amp;action=152&amp;model=crm.lead&amp;view_type=form&amp;menu_id=111" ref="B668"/>
    <hyperlink r:id="rId1094" location="id=66105&amp;action=152&amp;model=crm.lead&amp;view_type=form&amp;menu_id=111" ref="B669"/>
    <hyperlink r:id="rId1095" location="id=66103&amp;action=152&amp;model=crm.lead&amp;view_type=form&amp;menu_id=111" ref="B670"/>
    <hyperlink r:id="rId1096" location="id=66102&amp;action=152&amp;model=crm.lead&amp;view_type=form&amp;menu_id=111" ref="B671"/>
    <hyperlink r:id="rId1097" location="id=66097&amp;action=152&amp;model=crm.lead&amp;view_type=form&amp;menu_id=111" ref="B672"/>
    <hyperlink r:id="rId1098" location="id=66095&amp;action=152&amp;model=crm.lead&amp;view_type=form&amp;menu_id=111" ref="B673"/>
    <hyperlink r:id="rId1099" location="id=66090&amp;action=152&amp;model=crm.lead&amp;view_type=form&amp;menu_id=111" ref="B674"/>
    <hyperlink r:id="rId1100" ref="G674"/>
    <hyperlink r:id="rId1101" location="id=66076&amp;action=152&amp;model=crm.lead&amp;view_type=form&amp;menu_id=111" ref="B675"/>
    <hyperlink r:id="rId1102" location="id=66075&amp;action=152&amp;model=crm.lead&amp;view_type=form&amp;menu_id=111" ref="B676"/>
    <hyperlink r:id="rId1103" location="id=66072&amp;action=152&amp;model=crm.lead&amp;view_type=form&amp;menu_id=111" ref="B677"/>
    <hyperlink r:id="rId1104" ref="G677"/>
    <hyperlink r:id="rId1105" location="id=66069&amp;action=152&amp;model=crm.lead&amp;view_type=form&amp;menu_id=111" ref="B678"/>
    <hyperlink r:id="rId1106" location="id=66056&amp;action=152&amp;model=crm.lead&amp;view_type=form&amp;menu_id=111" ref="B679"/>
    <hyperlink r:id="rId1107" ref="G679"/>
    <hyperlink r:id="rId1108" location="id=66067&amp;action=152&amp;model=crm.lead&amp;view_type=form&amp;menu_id=111" ref="B680"/>
    <hyperlink r:id="rId1109" location="id=66038&amp;action=152&amp;model=crm.lead&amp;view_type=form&amp;menu_id=111" ref="B681"/>
    <hyperlink r:id="rId1110" location="id=66037&amp;action=152&amp;model=crm.lead&amp;view_type=form&amp;menu_id=111" ref="B682"/>
    <hyperlink r:id="rId1111" location="id=66033&amp;action=152&amp;model=crm.lead&amp;view_type=form&amp;menu_id=111" ref="B683"/>
    <hyperlink r:id="rId1112" location="id=66031&amp;action=152&amp;model=crm.lead&amp;view_type=form&amp;menu_id=111" ref="B684"/>
    <hyperlink r:id="rId1113" location="id=66007&amp;action=152&amp;model=crm.lead&amp;view_type=form&amp;menu_id=111" ref="B685"/>
    <hyperlink r:id="rId1114" ref="G685"/>
    <hyperlink r:id="rId1115" location="id=66001&amp;action=152&amp;model=crm.lead&amp;view_type=form&amp;menu_id=111" ref="B686"/>
    <hyperlink r:id="rId1116" ref="G686"/>
    <hyperlink r:id="rId1117" location="id=65996&amp;action=152&amp;model=crm.lead&amp;view_type=form&amp;menu_id=111" ref="B687"/>
    <hyperlink r:id="rId1118" ref="G687"/>
    <hyperlink r:id="rId1119" location="id=66014&amp;action=152&amp;model=crm.lead&amp;view_type=form&amp;menu_id=111" ref="B688"/>
    <hyperlink r:id="rId1120" ref="G688"/>
    <hyperlink r:id="rId1121" location="id=66024&amp;action=152&amp;model=crm.lead&amp;view_type=form&amp;menu_id=111" ref="B689"/>
    <hyperlink r:id="rId1122" ref="G689"/>
    <hyperlink r:id="rId1123" location="id=66025&amp;action=152&amp;model=crm.lead&amp;view_type=form&amp;menu_id=111" ref="B690"/>
    <hyperlink r:id="rId1124" ref="G690"/>
    <hyperlink r:id="rId1125" location="id=65978&amp;action=152&amp;model=crm.lead&amp;view_type=form&amp;menu_id=111" ref="B691"/>
    <hyperlink r:id="rId1126" ref="G691"/>
    <hyperlink r:id="rId1127" location="id=65982&amp;action=152&amp;model=crm.lead&amp;view_type=form&amp;menu_id=111" ref="B692"/>
    <hyperlink r:id="rId1128" ref="G692"/>
    <hyperlink r:id="rId1129" location="id=65983&amp;action=152&amp;model=crm.lead&amp;view_type=form&amp;menu_id=111" ref="B693"/>
    <hyperlink r:id="rId1130" location="id=65974&amp;action=152&amp;model=crm.lead&amp;view_type=form&amp;menu_id=111" ref="B694"/>
    <hyperlink r:id="rId1131" location="id=65973&amp;action=152&amp;model=crm.lead&amp;view_type=form&amp;menu_id=111" ref="B695"/>
    <hyperlink r:id="rId1132" ref="G695"/>
    <hyperlink r:id="rId1133" location="id=65945&amp;action=152&amp;model=crm.lead&amp;view_type=form&amp;menu_id=111" ref="B696"/>
    <hyperlink r:id="rId1134" ref="G696"/>
    <hyperlink r:id="rId1135" location="id=65959&amp;action=152&amp;model=crm.lead&amp;view_type=form&amp;menu_id=111" ref="B697"/>
    <hyperlink r:id="rId1136" ref="G697"/>
    <hyperlink r:id="rId1137" location="id=65939&amp;action=152&amp;model=crm.lead&amp;view_type=form&amp;menu_id=111" ref="B698"/>
    <hyperlink r:id="rId1138" location="id=65929&amp;action=152&amp;model=crm.lead&amp;view_type=form&amp;menu_id=111" ref="B699"/>
    <hyperlink r:id="rId1139" ref="G699"/>
    <hyperlink r:id="rId1140" location="id=65918&amp;action=152&amp;model=crm.lead&amp;view_type=form&amp;menu_id=111" ref="B700"/>
    <hyperlink r:id="rId1141" ref="G700"/>
    <hyperlink r:id="rId1142" location="id=65927&amp;action=152&amp;model=crm.lead&amp;view_type=form&amp;menu_id=111" ref="B701"/>
    <hyperlink r:id="rId1143" location="id=65902&amp;action=152&amp;model=crm.lead&amp;view_type=form&amp;menu_id=111" ref="B702"/>
    <hyperlink r:id="rId1144" location="id=65897&amp;action=152&amp;model=crm.lead&amp;view_type=form&amp;menu_id=111" ref="B703"/>
    <hyperlink r:id="rId1145" ref="G703"/>
    <hyperlink r:id="rId1146" location="id=65892&amp;action=152&amp;model=crm.lead&amp;view_type=form&amp;menu_id=111" ref="B704"/>
    <hyperlink r:id="rId1147" ref="G704"/>
    <hyperlink r:id="rId1148" location="id=65890&amp;action=152&amp;model=crm.lead&amp;view_type=form&amp;menu_id=111" ref="B705"/>
    <hyperlink r:id="rId1149" ref="G705"/>
    <hyperlink r:id="rId1150" location="id=65891&amp;action=152&amp;model=crm.lead&amp;view_type=form&amp;menu_id=111" ref="B706"/>
    <hyperlink r:id="rId1151" ref="G706"/>
    <hyperlink r:id="rId1152" location="id=65885&amp;action=152&amp;model=crm.lead&amp;view_type=form&amp;menu_id=111" ref="B707"/>
    <hyperlink r:id="rId1153" ref="G707"/>
    <hyperlink r:id="rId1154" location="id=65883&amp;action=152&amp;model=crm.lead&amp;view_type=form&amp;menu_id=111" ref="B708"/>
    <hyperlink r:id="rId1155" location="id=65882&amp;action=152&amp;model=crm.lead&amp;view_type=form&amp;menu_id=111" ref="B709"/>
    <hyperlink r:id="rId1156" location="id=65879&amp;action=152&amp;model=crm.lead&amp;view_type=form&amp;menu_id=111" ref="B710"/>
    <hyperlink r:id="rId1157" location="id=65874&amp;action=152&amp;model=crm.lead&amp;view_type=form&amp;menu_id=111" ref="B711"/>
    <hyperlink r:id="rId1158" ref="G711"/>
    <hyperlink r:id="rId1159" location="id=65873&amp;action=152&amp;model=crm.lead&amp;view_type=form&amp;menu_id=111" ref="B712"/>
    <hyperlink r:id="rId1160" ref="G712"/>
    <hyperlink r:id="rId1161" location="id=65871&amp;action=152&amp;model=crm.lead&amp;view_type=form&amp;menu_id=111" ref="B713"/>
    <hyperlink r:id="rId1162" location="id=65869&amp;action=152&amp;model=crm.lead&amp;view_type=form&amp;menu_id=111" ref="B714"/>
    <hyperlink r:id="rId1163" ref="G714"/>
    <hyperlink r:id="rId1164" location="id=65857&amp;action=152&amp;model=crm.lead&amp;view_type=form&amp;menu_id=111" ref="B715"/>
    <hyperlink r:id="rId1165" ref="G715"/>
    <hyperlink r:id="rId1166" location="id=65853&amp;action=152&amp;model=crm.lead&amp;view_type=form&amp;menu_id=111" ref="B716"/>
    <hyperlink r:id="rId1167" ref="G716"/>
    <hyperlink r:id="rId1168" location="id=65843&amp;action=152&amp;model=crm.lead&amp;view_type=form&amp;menu_id=111" ref="B717"/>
    <hyperlink r:id="rId1169" ref="G717"/>
    <hyperlink r:id="rId1170" location="id=65820&amp;action=152&amp;model=crm.lead&amp;view_type=form&amp;menu_id=111" ref="B718"/>
    <hyperlink r:id="rId1171" ref="G718"/>
    <hyperlink r:id="rId1172" location="id=65816&amp;action=152&amp;model=crm.lead&amp;view_type=form&amp;menu_id=111" ref="B719"/>
    <hyperlink r:id="rId1173" ref="G719"/>
    <hyperlink r:id="rId1174" location="id=65799&amp;action=152&amp;model=crm.lead&amp;view_type=form&amp;menu_id=111" ref="B720"/>
    <hyperlink r:id="rId1175" location="id=65796&amp;action=152&amp;model=crm.lead&amp;view_type=form&amp;menu_id=111" ref="B721"/>
    <hyperlink r:id="rId1176" location="id=65758&amp;action=152&amp;model=crm.lead&amp;view_type=form&amp;menu_id=111" ref="B722"/>
    <hyperlink r:id="rId1177" ref="G722"/>
    <hyperlink r:id="rId1178" location="id=65757&amp;action=152&amp;model=crm.lead&amp;view_type=form&amp;menu_id=111" ref="B723"/>
    <hyperlink r:id="rId1179" ref="G723"/>
    <hyperlink r:id="rId1180" location="id=65751&amp;action=152&amp;model=crm.lead&amp;view_type=form&amp;menu_id=111" ref="B724"/>
    <hyperlink r:id="rId1181" location="id=65750&amp;action=152&amp;model=crm.lead&amp;view_type=form&amp;menu_id=111" ref="B725"/>
    <hyperlink r:id="rId1182" location="id=65748&amp;action=152&amp;model=crm.lead&amp;view_type=form&amp;menu_id=111" ref="B726"/>
    <hyperlink r:id="rId1183" ref="G726"/>
    <hyperlink r:id="rId1184" location="id=65718&amp;action=152&amp;model=crm.lead&amp;view_type=form&amp;menu_id=111" ref="B727"/>
    <hyperlink r:id="rId1185" ref="G727"/>
    <hyperlink r:id="rId1186" location="id=65715&amp;action=152&amp;model=crm.lead&amp;view_type=form&amp;menu_id=111" ref="B728"/>
    <hyperlink r:id="rId1187" ref="G728"/>
    <hyperlink r:id="rId1188" location="id=65723&amp;action=152&amp;model=crm.lead&amp;view_type=form&amp;menu_id=111" ref="B729"/>
    <hyperlink r:id="rId1189" ref="G729"/>
    <hyperlink r:id="rId1190" location="id=65720&amp;action=152&amp;model=crm.lead&amp;view_type=form&amp;menu_id=111" ref="B730"/>
    <hyperlink r:id="rId1191" ref="G730"/>
    <hyperlink r:id="rId1192" location="id=65699&amp;action=152&amp;model=crm.lead&amp;view_type=form&amp;menu_id=111" ref="B731"/>
    <hyperlink r:id="rId1193" ref="G731"/>
    <hyperlink r:id="rId1194" location="id=65676&amp;action=152&amp;model=crm.lead&amp;view_type=form&amp;menu_id=111" ref="B732"/>
    <hyperlink r:id="rId1195" ref="G732"/>
    <hyperlink r:id="rId1196" location="id=65663&amp;action=152&amp;model=crm.lead&amp;view_type=form&amp;menu_id=111" ref="B733"/>
    <hyperlink r:id="rId1197" ref="G733"/>
    <hyperlink r:id="rId1198" location="id=65643&amp;action=152&amp;model=crm.lead&amp;view_type=form&amp;menu_id=111" ref="B734"/>
    <hyperlink r:id="rId1199" ref="G734"/>
    <hyperlink r:id="rId1200" location="id=65621&amp;action=152&amp;model=crm.lead&amp;view_type=form&amp;menu_id=111" ref="B735"/>
    <hyperlink r:id="rId1201" ref="G735"/>
    <hyperlink r:id="rId1202" location="id=65613&amp;action=152&amp;model=crm.lead&amp;view_type=form&amp;menu_id=111" ref="B736"/>
    <hyperlink r:id="rId1203" location="id=65612&amp;action=152&amp;model=crm.lead&amp;view_type=form&amp;menu_id=111" ref="B737"/>
    <hyperlink r:id="rId1204" location="id=65597&amp;action=152&amp;model=crm.lead&amp;view_type=form&amp;menu_id=111" ref="B738"/>
    <hyperlink r:id="rId1205" ref="G738"/>
    <hyperlink r:id="rId1206" location="id=65596&amp;action=152&amp;model=crm.lead&amp;view_type=form&amp;menu_id=111" ref="B739"/>
    <hyperlink r:id="rId1207" location="id=65595&amp;action=152&amp;model=crm.lead&amp;view_type=form&amp;menu_id=111" ref="B740"/>
    <hyperlink r:id="rId1208" location="id=65588&amp;action=152&amp;model=crm.lead&amp;view_type=form&amp;menu_id=111" ref="B741"/>
    <hyperlink r:id="rId1209" ref="G741"/>
    <hyperlink r:id="rId1210" location="id=65577&amp;action=152&amp;model=crm.lead&amp;view_type=form&amp;menu_id=111" ref="B742"/>
    <hyperlink r:id="rId1211" ref="G742"/>
    <hyperlink r:id="rId1212" location="id=65574&amp;action=152&amp;model=crm.lead&amp;view_type=form&amp;menu_id=111" ref="B743"/>
    <hyperlink r:id="rId1213" location="id=65568&amp;action=152&amp;model=crm.lead&amp;view_type=form&amp;menu_id=111" ref="B744"/>
    <hyperlink r:id="rId1214" ref="G744"/>
    <hyperlink r:id="rId1215" location="id=65549&amp;action=152&amp;model=crm.lead&amp;view_type=form&amp;menu_id=111" ref="B745"/>
    <hyperlink r:id="rId1216" location="id=65513&amp;action=152&amp;model=crm.lead&amp;view_type=form&amp;menu_id=111" ref="B746"/>
    <hyperlink r:id="rId1217" location="id=65496&amp;action=152&amp;model=crm.lead&amp;view_type=form&amp;menu_id=111" ref="B747"/>
    <hyperlink r:id="rId1218" ref="G747"/>
    <hyperlink r:id="rId1219" location="id=65492&amp;action=152&amp;model=crm.lead&amp;view_type=form&amp;menu_id=111" ref="B748"/>
    <hyperlink r:id="rId1220" ref="G748"/>
    <hyperlink r:id="rId1221" location="id=65491&amp;action=152&amp;model=crm.lead&amp;view_type=form&amp;menu_id=111" ref="B749"/>
    <hyperlink r:id="rId1222" location="id=65489&amp;action=152&amp;model=crm.lead&amp;view_type=form&amp;menu_id=111" ref="B750"/>
    <hyperlink r:id="rId1223" location="id=65487&amp;action=152&amp;model=crm.lead&amp;view_type=form&amp;menu_id=111" ref="B751"/>
    <hyperlink r:id="rId1224" ref="G751"/>
    <hyperlink r:id="rId1225" location="id=65466&amp;action=152&amp;model=crm.lead&amp;view_type=form&amp;menu_id=111" ref="B752"/>
    <hyperlink r:id="rId1226" ref="G752"/>
    <hyperlink r:id="rId1227" location="id=65486&amp;action=152&amp;model=crm.lead&amp;view_type=form&amp;menu_id=111" ref="B753"/>
    <hyperlink r:id="rId1228" location="id=65464&amp;action=152&amp;model=crm.lead&amp;view_type=form&amp;menu_id=111" ref="B754"/>
    <hyperlink r:id="rId1229" ref="G754"/>
    <hyperlink r:id="rId1230" location="id=65461&amp;action=152&amp;model=crm.lead&amp;view_type=form&amp;menu_id=111" ref="B755"/>
    <hyperlink r:id="rId1231" ref="G755"/>
    <hyperlink r:id="rId1232" location="id=64693&amp;action=152&amp;model=crm.lead&amp;view_type=form&amp;menu_id=111" ref="B756"/>
    <hyperlink r:id="rId1233" ref="G756"/>
    <hyperlink r:id="rId1234" location="id=65445&amp;action=152&amp;model=crm.lead&amp;view_type=form&amp;menu_id=111" ref="B757"/>
    <hyperlink r:id="rId1235" location="id=65453&amp;action=152&amp;model=crm.lead&amp;view_type=form&amp;menu_id=111" ref="B758"/>
    <hyperlink r:id="rId1236" location="id=65416&amp;action=152&amp;model=crm.lead&amp;view_type=form&amp;menu_id=111" ref="B759"/>
    <hyperlink r:id="rId1237" ref="G759"/>
    <hyperlink r:id="rId1238" location="id=65387&amp;action=152&amp;model=crm.lead&amp;view_type=form&amp;menu_id=111" ref="B760"/>
    <hyperlink r:id="rId1239" ref="G760"/>
    <hyperlink r:id="rId1240" location="id=65380&amp;action=152&amp;model=crm.lead&amp;view_type=form&amp;menu_id=111" ref="B761"/>
    <hyperlink r:id="rId1241" ref="G761"/>
    <hyperlink r:id="rId1242" location="id=65377&amp;action=152&amp;model=crm.lead&amp;view_type=form&amp;menu_id=111" ref="B762"/>
    <hyperlink r:id="rId1243" location="id=65327&amp;action=152&amp;model=crm.lead&amp;view_type=form&amp;menu_id=111" ref="B763"/>
    <hyperlink r:id="rId1244" ref="G763"/>
    <hyperlink r:id="rId1245" location="id=65296&amp;action=152&amp;model=crm.lead&amp;view_type=form&amp;menu_id=111" ref="B764"/>
    <hyperlink r:id="rId1246" ref="G764"/>
    <hyperlink r:id="rId1247" location="id=65345&amp;action=152&amp;model=crm.lead&amp;view_type=form&amp;menu_id=111" ref="B765"/>
    <hyperlink r:id="rId1248" location="id=65347&amp;action=152&amp;model=crm.lead&amp;view_type=form&amp;menu_id=111" ref="B766"/>
    <hyperlink r:id="rId1249" location="id=65342&amp;action=152&amp;model=crm.lead&amp;view_type=form&amp;menu_id=111" ref="B767"/>
    <hyperlink r:id="rId1250" location="id=65308&amp;action=152&amp;model=crm.lead&amp;view_type=form&amp;menu_id=111" ref="B769"/>
    <hyperlink r:id="rId1251" ref="G769"/>
    <hyperlink r:id="rId1252" location="id=65304&amp;action=152&amp;model=crm.lead&amp;view_type=form&amp;menu_id=111" ref="B770"/>
    <hyperlink r:id="rId1253" ref="G770"/>
    <hyperlink r:id="rId1254" location="id=64887&amp;action=152&amp;model=crm.lead&amp;view_type=form&amp;menu_id=111" ref="B771"/>
    <hyperlink r:id="rId1255" ref="G771"/>
    <hyperlink r:id="rId1256" location="id=65086&amp;action=152&amp;model=crm.lead&amp;view_type=form&amp;menu_id=111" ref="B772"/>
    <hyperlink r:id="rId1257" ref="G772"/>
    <hyperlink r:id="rId1258" location="id=65278&amp;action=152&amp;model=crm.lead&amp;view_type=form&amp;menu_id=111" ref="B773"/>
    <hyperlink r:id="rId1259" ref="G773"/>
    <hyperlink r:id="rId1260" location="id=65151&amp;action=152&amp;model=crm.lead&amp;view_type=form&amp;menu_id=111" ref="B774"/>
    <hyperlink r:id="rId1261" ref="G774"/>
    <hyperlink r:id="rId1262" location="id=65243&amp;action=152&amp;model=crm.lead&amp;view_type=form&amp;menu_id=111" ref="B775"/>
    <hyperlink r:id="rId1263" ref="G775"/>
    <hyperlink r:id="rId1264" location="id=65231&amp;action=152&amp;model=crm.lead&amp;view_type=form&amp;menu_id=111" ref="B776"/>
    <hyperlink r:id="rId1265" ref="G776"/>
    <hyperlink r:id="rId1266" location="id=65248&amp;action=152&amp;model=crm.lead&amp;view_type=form&amp;menu_id=111" ref="B777"/>
    <hyperlink r:id="rId1267" ref="G777"/>
    <hyperlink r:id="rId1268" location="id=65232&amp;action=152&amp;model=crm.lead&amp;view_type=form&amp;menu_id=111" ref="B778"/>
    <hyperlink r:id="rId1269" location="id=65212&amp;action=152&amp;model=crm.lead&amp;view_type=form&amp;menu_id=111" ref="B779"/>
    <hyperlink r:id="rId1270" ref="G779"/>
    <hyperlink r:id="rId1271" location="id=65214&amp;action=152&amp;model=crm.lead&amp;view_type=form&amp;menu_id=111" ref="B780"/>
    <hyperlink r:id="rId1272" ref="G780"/>
    <hyperlink r:id="rId1273" location="id=65132&amp;action=152&amp;model=crm.lead&amp;view_type=form&amp;menu_id=111" ref="B781"/>
    <hyperlink r:id="rId1274" ref="G781"/>
    <hyperlink r:id="rId1275" location="id=65078&amp;action=152&amp;model=crm.lead&amp;view_type=form&amp;menu_id=111" ref="B782"/>
    <hyperlink r:id="rId1276" location="id=65139&amp;action=152&amp;model=crm.lead&amp;view_type=form&amp;menu_id=111" ref="B783"/>
    <hyperlink r:id="rId1277" ref="G783"/>
    <hyperlink r:id="rId1278" location="id=65175&amp;action=152&amp;model=crm.lead&amp;view_type=form&amp;menu_id=111" ref="B784"/>
    <hyperlink r:id="rId1279" ref="G784"/>
    <hyperlink r:id="rId1280" location="id=65131&amp;action=152&amp;model=crm.lead&amp;view_type=form&amp;menu_id=111" ref="B785"/>
    <hyperlink r:id="rId1281" ref="G785"/>
    <hyperlink r:id="rId1282" location="id=65046&amp;action=152&amp;model=crm.lead&amp;view_type=form&amp;menu_id=111" ref="B786"/>
    <hyperlink r:id="rId1283" ref="G786"/>
    <hyperlink r:id="rId1284" location="id=65091&amp;action=152&amp;model=crm.lead&amp;view_type=form&amp;menu_id=111" ref="B787"/>
    <hyperlink r:id="rId1285" location="id=65089&amp;action=152&amp;model=crm.lead&amp;view_type=form&amp;menu_id=111" ref="B788"/>
    <hyperlink r:id="rId1286" ref="G788"/>
    <hyperlink r:id="rId1287" location="id=65109&amp;action=152&amp;model=crm.lead&amp;view_type=form&amp;menu_id=111" ref="B789"/>
    <hyperlink r:id="rId1288" location="id=64949&amp;action=152&amp;model=crm.lead&amp;view_type=form&amp;menu_id=111" ref="B790"/>
    <hyperlink r:id="rId1289" ref="G790"/>
    <hyperlink r:id="rId1290" location="id=65013&amp;action=152&amp;model=crm.lead&amp;view_type=form&amp;menu_id=111" ref="B791"/>
    <hyperlink r:id="rId1291" location="id=64990&amp;action=152&amp;model=crm.lead&amp;view_type=form&amp;menu_id=111" ref="B792"/>
    <hyperlink r:id="rId1292" ref="G792"/>
    <hyperlink r:id="rId1293" location="id=64973&amp;action=152&amp;model=crm.lead&amp;view_type=form&amp;menu_id=111" ref="B793"/>
    <hyperlink r:id="rId1294" ref="G793"/>
    <hyperlink r:id="rId1295" location="id=64965&amp;action=152&amp;model=crm.lead&amp;view_type=form&amp;menu_id=111" ref="B794"/>
    <hyperlink r:id="rId1296" ref="G794"/>
    <hyperlink r:id="rId1297" location="id=64932&amp;action=152&amp;model=crm.lead&amp;view_type=form&amp;menu_id=111" ref="B795"/>
    <hyperlink r:id="rId1298" ref="G795"/>
    <hyperlink r:id="rId1299" location="id=64940&amp;action=152&amp;model=crm.lead&amp;view_type=form&amp;menu_id=111" ref="B796"/>
    <hyperlink r:id="rId1300" ref="G796"/>
    <hyperlink r:id="rId1301" location="id=64858&amp;action=152&amp;model=crm.lead&amp;view_type=form&amp;menu_id=111" ref="B797"/>
    <hyperlink r:id="rId1302" ref="G797"/>
    <hyperlink r:id="rId1303" location="id=64867&amp;action=152&amp;model=crm.lead&amp;view_type=form&amp;menu_id=111" ref="B798"/>
    <hyperlink r:id="rId1304" ref="G798"/>
    <hyperlink r:id="rId1305" location="id=64871&amp;action=152&amp;model=crm.lead&amp;view_type=form&amp;menu_id=111" ref="B799"/>
    <hyperlink r:id="rId1306" ref="G799"/>
    <hyperlink r:id="rId1307" location="id=64894&amp;action=152&amp;model=crm.lead&amp;view_type=form&amp;menu_id=111" ref="B800"/>
    <hyperlink r:id="rId1308" ref="G800"/>
    <hyperlink r:id="rId1309" location="id=64897&amp;action=152&amp;model=crm.lead&amp;view_type=form&amp;menu_id=111" ref="B801"/>
    <hyperlink r:id="rId1310" ref="G801"/>
    <hyperlink r:id="rId1311" location="id=64905&amp;action=152&amp;model=crm.lead&amp;view_type=form&amp;menu_id=111" ref="B802"/>
    <hyperlink r:id="rId1312" location="id=64880&amp;action=152&amp;model=crm.lead&amp;view_type=form&amp;menu_id=111" ref="B803"/>
    <hyperlink r:id="rId1313" location="id=64834&amp;action=152&amp;model=crm.lead&amp;view_type=form&amp;menu_id=111" ref="B804"/>
    <hyperlink r:id="rId1314" ref="G804"/>
    <hyperlink r:id="rId1315" location="id=64818&amp;action=152&amp;model=crm.lead&amp;view_type=form&amp;menu_id=111" ref="B805"/>
    <hyperlink r:id="rId1316" ref="G805"/>
    <hyperlink r:id="rId1317" location="id=64717&amp;action=152&amp;model=crm.lead&amp;view_type=form&amp;menu_id=111" ref="B806"/>
    <hyperlink r:id="rId1318" ref="G806"/>
    <hyperlink r:id="rId1319" location="id=64776&amp;action=152&amp;model=crm.lead&amp;view_type=form&amp;menu_id=111" ref="B807"/>
    <hyperlink r:id="rId1320" location="id=64775&amp;action=152&amp;model=crm.lead&amp;view_type=form&amp;menu_id=111" ref="B808"/>
    <hyperlink r:id="rId1321" ref="G808"/>
    <hyperlink r:id="rId1322" location="id=64756&amp;action=152&amp;model=crm.lead&amp;view_type=form&amp;menu_id=111" ref="B809"/>
    <hyperlink r:id="rId1323" ref="G809"/>
    <hyperlink r:id="rId1324" location="id=64755&amp;action=152&amp;model=crm.lead&amp;view_type=form&amp;menu_id=111" ref="B810"/>
    <hyperlink r:id="rId1325" ref="G810"/>
    <hyperlink r:id="rId1326" location="id=64752&amp;action=152&amp;model=crm.lead&amp;view_type=form&amp;menu_id=111" ref="B811"/>
    <hyperlink r:id="rId1327" ref="G811"/>
    <hyperlink r:id="rId1328" location="id=64754&amp;action=152&amp;model=crm.lead&amp;view_type=form&amp;menu_id=111" ref="B812"/>
    <hyperlink r:id="rId1329" location="id=64726&amp;action=152&amp;model=crm.lead&amp;view_type=form&amp;menu_id=111" ref="B813"/>
    <hyperlink r:id="rId1330" ref="G813"/>
    <hyperlink r:id="rId1331" location="id=64736&amp;action=152&amp;model=crm.lead&amp;view_type=form&amp;menu_id=111" ref="B814"/>
    <hyperlink r:id="rId1332" ref="G814"/>
    <hyperlink r:id="rId1333" location="id=64729&amp;action=152&amp;model=crm.lead&amp;view_type=form&amp;menu_id=111" ref="B815"/>
    <hyperlink r:id="rId1334" location="id=64711&amp;action=152&amp;model=crm.lead&amp;view_type=form&amp;menu_id=111" ref="B816"/>
    <hyperlink r:id="rId1335" ref="G816"/>
    <hyperlink r:id="rId1336" location="id=64683&amp;action=152&amp;model=crm.lead&amp;view_type=form&amp;menu_id=111" ref="B817"/>
    <hyperlink r:id="rId1337" location="id=64618&amp;action=152&amp;model=crm.lead&amp;view_type=form&amp;menu_id=111" ref="B818"/>
    <hyperlink r:id="rId1338" ref="G818"/>
    <hyperlink r:id="rId1339" location="id=64664&amp;action=152&amp;model=crm.lead&amp;view_type=form&amp;menu_id=111" ref="B819"/>
    <hyperlink r:id="rId1340" ref="G819"/>
    <hyperlink r:id="rId1341" location="id=64669&amp;action=152&amp;model=crm.lead&amp;view_type=form&amp;menu_id=111" ref="B820"/>
    <hyperlink r:id="rId1342" ref="G820"/>
    <hyperlink r:id="rId1343" location="id=64567&amp;action=152&amp;model=crm.lead&amp;view_type=form&amp;menu_id=111" ref="B821"/>
    <hyperlink r:id="rId1344" ref="G821"/>
    <hyperlink r:id="rId1345" location="id=64573&amp;action=152&amp;model=crm.lead&amp;view_type=form&amp;menu_id=111" ref="B822"/>
    <hyperlink r:id="rId1346" ref="G822"/>
    <hyperlink r:id="rId1347" location="id=64541&amp;action=152&amp;model=crm.lead&amp;view_type=form&amp;menu_id=111" ref="B823"/>
    <hyperlink r:id="rId1348" ref="G823"/>
    <hyperlink r:id="rId1349" location="id=64544&amp;action=152&amp;model=crm.lead&amp;view_type=form&amp;menu_id=111" ref="B824"/>
    <hyperlink r:id="rId1350" location="id=64546&amp;action=152&amp;model=crm.lead&amp;view_type=form&amp;menu_id=111" ref="B825"/>
    <hyperlink r:id="rId1351" location="id=64533&amp;action=152&amp;model=crm.lead&amp;view_type=form&amp;menu_id=111" ref="B826"/>
    <hyperlink r:id="rId1352" ref="G826"/>
    <hyperlink r:id="rId1353" location="id=64537&amp;action=152&amp;model=crm.lead&amp;view_type=form&amp;menu_id=111" ref="B827"/>
    <hyperlink r:id="rId1354" ref="G827"/>
    <hyperlink r:id="rId1355" location="id=64538&amp;action=152&amp;model=crm.lead&amp;view_type=form&amp;menu_id=111" ref="B828"/>
    <hyperlink r:id="rId1356" ref="G828"/>
    <hyperlink r:id="rId1357" location="id=64521&amp;action=152&amp;model=crm.lead&amp;view_type=form&amp;menu_id=111" ref="B829"/>
    <hyperlink r:id="rId1358" ref="G829"/>
    <hyperlink r:id="rId1359" location="id=64480&amp;action=152&amp;model=crm.lead&amp;view_type=form&amp;menu_id=111" ref="B830"/>
    <hyperlink r:id="rId1360" ref="G830"/>
    <hyperlink r:id="rId1361" location="id=64496&amp;action=152&amp;model=crm.lead&amp;view_type=form&amp;menu_id=111" ref="B831"/>
    <hyperlink r:id="rId1362" ref="G831"/>
    <hyperlink r:id="rId1363" location="id=64479&amp;action=152&amp;model=crm.lead&amp;view_type=form&amp;menu_id=111" ref="B832"/>
    <hyperlink r:id="rId1364" ref="G832"/>
    <hyperlink r:id="rId1365" location="id=64471&amp;action=152&amp;model=crm.lead&amp;view_type=form&amp;menu_id=111" ref="B833"/>
    <hyperlink r:id="rId1366" ref="G833"/>
    <hyperlink r:id="rId1367" location="id=64461&amp;action=152&amp;model=crm.lead&amp;view_type=form&amp;menu_id=111" ref="B834"/>
    <hyperlink r:id="rId1368" ref="G834"/>
    <hyperlink r:id="rId1369" location="id=64443&amp;action=152&amp;model=crm.lead&amp;view_type=form&amp;menu_id=111" ref="B835"/>
    <hyperlink r:id="rId1370" ref="G835"/>
    <hyperlink r:id="rId1371" location="id=64425&amp;action=152&amp;model=crm.lead&amp;view_type=form&amp;menu_id=111" ref="B836"/>
    <hyperlink r:id="rId1372" ref="G836"/>
    <hyperlink r:id="rId1373" location="id=64438&amp;action=152&amp;model=crm.lead&amp;view_type=form&amp;menu_id=111" ref="B837"/>
    <hyperlink r:id="rId1374" ref="G837"/>
    <hyperlink r:id="rId1375" location="id=64389&amp;action=152&amp;model=crm.lead&amp;view_type=form&amp;menu_id=111" ref="B838"/>
    <hyperlink r:id="rId1376" ref="G838"/>
    <hyperlink r:id="rId1377" location="id=64379&amp;action=152&amp;model=crm.lead&amp;view_type=form&amp;menu_id=111" ref="B839"/>
    <hyperlink r:id="rId1378" ref="G839"/>
    <hyperlink r:id="rId1379" location="id=64346&amp;action=152&amp;model=crm.lead&amp;view_type=form&amp;menu_id=111" ref="B840"/>
    <hyperlink r:id="rId1380" location="id=64344&amp;action=152&amp;model=crm.lead&amp;view_type=form&amp;menu_id=111" ref="B841"/>
    <hyperlink r:id="rId1381" ref="G841"/>
    <hyperlink r:id="rId1382" location="id=64336&amp;action=152&amp;model=crm.lead&amp;view_type=form&amp;menu_id=111" ref="B842"/>
    <hyperlink r:id="rId1383" location="id=64335&amp;action=152&amp;model=crm.lead&amp;view_type=form&amp;menu_id=111" ref="B843"/>
    <hyperlink r:id="rId1384" ref="G843"/>
    <hyperlink r:id="rId1385" location="id=64313&amp;action=152&amp;model=crm.lead&amp;view_type=form&amp;menu_id=111" ref="B844"/>
    <hyperlink r:id="rId1386" ref="G844"/>
    <hyperlink r:id="rId1387" location="id=64319&amp;action=152&amp;model=crm.lead&amp;view_type=form&amp;menu_id=111" ref="B845"/>
    <hyperlink r:id="rId1388" location="id=64242&amp;action=152&amp;model=crm.lead&amp;view_type=form&amp;menu_id=111" ref="B846"/>
    <hyperlink r:id="rId1389" ref="G846"/>
    <hyperlink r:id="rId1390" location="id=64252&amp;action=152&amp;model=crm.lead&amp;view_type=form&amp;menu_id=111" ref="B847"/>
    <hyperlink r:id="rId1391" ref="G847"/>
    <hyperlink r:id="rId1392" location="id=64256&amp;action=152&amp;model=crm.lead&amp;view_type=form&amp;menu_id=111" ref="B848"/>
    <hyperlink r:id="rId1393" ref="G848"/>
    <hyperlink r:id="rId1394" location="id=64219&amp;action=152&amp;model=crm.lead&amp;view_type=form&amp;menu_id=111" ref="B849"/>
    <hyperlink r:id="rId1395" ref="G849"/>
    <hyperlink r:id="rId1396" location="id=64212&amp;action=152&amp;model=crm.lead&amp;view_type=form&amp;menu_id=111" ref="B850"/>
    <hyperlink r:id="rId1397" location="id=64205&amp;action=152&amp;model=crm.lead&amp;view_type=form&amp;menu_id=111" ref="B851"/>
    <hyperlink r:id="rId1398" ref="G851"/>
    <hyperlink r:id="rId1399" location="id=64180&amp;action=152&amp;model=crm.lead&amp;view_type=form&amp;menu_id=111" ref="B852"/>
    <hyperlink r:id="rId1400" ref="G852"/>
    <hyperlink r:id="rId1401" location="id=64188&amp;action=152&amp;model=crm.lead&amp;view_type=form&amp;menu_id=111" ref="B853"/>
    <hyperlink r:id="rId1402" ref="G853"/>
    <hyperlink r:id="rId1403" location="id=64171&amp;action=152&amp;model=crm.lead&amp;view_type=form&amp;menu_id=111" ref="B854"/>
    <hyperlink r:id="rId1404" ref="G854"/>
    <hyperlink r:id="rId1405" location="id=64115&amp;action=152&amp;model=crm.lead&amp;view_type=form&amp;menu_id=111" ref="B855"/>
    <hyperlink r:id="rId1406" location="id=64167&amp;action=152&amp;model=crm.lead&amp;view_type=form&amp;menu_id=111" ref="B856"/>
    <hyperlink r:id="rId1407" ref="G856"/>
    <hyperlink r:id="rId1408" location="id=64146&amp;action=152&amp;model=crm.lead&amp;view_type=form&amp;menu_id=111" ref="B857"/>
    <hyperlink r:id="rId1409" ref="G857"/>
    <hyperlink r:id="rId1410" location="id=64042&amp;action=152&amp;model=crm.lead&amp;view_type=form&amp;menu_id=111" ref="B858"/>
    <hyperlink r:id="rId1411" ref="G858"/>
    <hyperlink r:id="rId1412" location="id=64081&amp;action=152&amp;model=crm.lead&amp;view_type=form&amp;menu_id=111" ref="B859"/>
    <hyperlink r:id="rId1413" location="id=63993&amp;action=152&amp;model=crm.lead&amp;view_type=form&amp;menu_id=111" ref="B860"/>
    <hyperlink r:id="rId1414" ref="G860"/>
    <hyperlink r:id="rId1415" location="id=63972&amp;action=152&amp;model=crm.lead&amp;view_type=form&amp;menu_id=111" ref="B861"/>
    <hyperlink r:id="rId1416" location="id=63945&amp;action=152&amp;model=crm.lead&amp;view_type=form&amp;menu_id=111" ref="B862"/>
    <hyperlink r:id="rId1417" location="id=63875&amp;action=152&amp;model=crm.lead&amp;view_type=form&amp;menu_id=111" ref="B863"/>
    <hyperlink r:id="rId1418" location="id=63873&amp;action=152&amp;model=crm.lead&amp;view_type=form&amp;menu_id=111" ref="B864"/>
    <hyperlink r:id="rId1419" ref="G864"/>
    <hyperlink r:id="rId1420" location="id=63871&amp;action=152&amp;model=crm.lead&amp;view_type=form&amp;menu_id=111" ref="B865"/>
    <hyperlink r:id="rId1421" location="id=63832&amp;action=152&amp;model=crm.lead&amp;view_type=form&amp;menu_id=111" ref="B867"/>
    <hyperlink r:id="rId1422" ref="G867"/>
    <hyperlink r:id="rId1423" location="id=63824&amp;action=152&amp;model=crm.lead&amp;view_type=form&amp;menu_id=111" ref="B868"/>
    <hyperlink r:id="rId1424" location="id=63803&amp;action=152&amp;model=crm.lead&amp;view_type=form&amp;menu_id=111" ref="B869"/>
    <hyperlink r:id="rId1425" location="id=63784&amp;action=152&amp;model=crm.lead&amp;view_type=form&amp;menu_id=111" ref="B870"/>
    <hyperlink r:id="rId1426" location="id=63781&amp;action=152&amp;model=crm.lead&amp;view_type=form&amp;menu_id=111" ref="B871"/>
    <hyperlink r:id="rId1427" ref="G871"/>
    <hyperlink r:id="rId1428" location="id=63780&amp;action=152&amp;model=crm.lead&amp;view_type=form&amp;menu_id=111" ref="B872"/>
    <hyperlink r:id="rId1429" ref="G872"/>
    <hyperlink r:id="rId1430" location="id=63762&amp;action=152&amp;model=crm.lead&amp;view_type=form&amp;menu_id=111" ref="B873"/>
    <hyperlink r:id="rId1431" ref="G873"/>
    <hyperlink r:id="rId1432" location="id=63779&amp;action=152&amp;model=crm.lead&amp;view_type=form&amp;menu_id=111" ref="B874"/>
    <hyperlink r:id="rId1433" ref="G874"/>
    <hyperlink r:id="rId1434" location="id=63717&amp;action=152&amp;model=crm.lead&amp;view_type=form&amp;menu_id=111" ref="B876"/>
    <hyperlink r:id="rId1435" ref="G876"/>
    <hyperlink r:id="rId1436" location="id=63720&amp;action=152&amp;model=crm.lead&amp;view_type=form&amp;menu_id=111" ref="B877"/>
    <hyperlink r:id="rId1437" location="id=63702&amp;action=152&amp;model=crm.lead&amp;view_type=form&amp;menu_id=111" ref="B878"/>
    <hyperlink r:id="rId1438" ref="G878"/>
    <hyperlink r:id="rId1439" location="id=63698&amp;action=152&amp;model=crm.lead&amp;view_type=form&amp;menu_id=111" ref="B879"/>
    <hyperlink r:id="rId1440" ref="G879"/>
    <hyperlink r:id="rId1441" location="id=63650&amp;action=152&amp;model=crm.lead&amp;view_type=form&amp;menu_id=111" ref="B880"/>
    <hyperlink r:id="rId1442" ref="G880"/>
    <hyperlink r:id="rId1443" location="id=63666&amp;action=152&amp;model=crm.lead&amp;view_type=form&amp;menu_id=111" ref="B881"/>
    <hyperlink r:id="rId1444" ref="G881"/>
    <hyperlink r:id="rId1445" location="id=63654&amp;action=152&amp;model=crm.lead&amp;view_type=form&amp;menu_id=111" ref="B882"/>
    <hyperlink r:id="rId1446" ref="G882"/>
    <hyperlink r:id="rId1447" location="id=63137&amp;action=152&amp;model=crm.lead&amp;view_type=form&amp;menu_id=111" ref="B883"/>
    <hyperlink r:id="rId1448" ref="G883"/>
    <hyperlink r:id="rId1449" location="id=63452&amp;action=152&amp;model=crm.lead&amp;view_type=form&amp;menu_id=111" ref="B884"/>
    <hyperlink r:id="rId1450" ref="G884"/>
    <hyperlink r:id="rId1451" location="id=63569&amp;action=152&amp;model=crm.lead&amp;view_type=form&amp;menu_id=111" ref="B885"/>
    <hyperlink r:id="rId1452" ref="G885"/>
    <hyperlink r:id="rId1453" location="id=63637&amp;action=152&amp;model=crm.lead&amp;view_type=form&amp;menu_id=111" ref="B886"/>
    <hyperlink r:id="rId1454" ref="G886"/>
    <hyperlink r:id="rId1455" location="id=63586&amp;action=152&amp;model=crm.lead&amp;view_type=form&amp;menu_id=111" ref="B887"/>
    <hyperlink r:id="rId1456" ref="G887"/>
    <hyperlink r:id="rId1457" location="id=63616&amp;action=152&amp;model=crm.lead&amp;view_type=form&amp;menu_id=111" ref="B888"/>
    <hyperlink r:id="rId1458" ref="G888"/>
    <hyperlink r:id="rId1459" location="id=63617&amp;action=152&amp;model=crm.lead&amp;view_type=form&amp;menu_id=111" ref="B889"/>
    <hyperlink r:id="rId1460" ref="G889"/>
    <hyperlink r:id="rId1461" location="id=63558&amp;action=152&amp;model=crm.lead&amp;view_type=form&amp;menu_id=111" ref="B890"/>
    <hyperlink r:id="rId1462" ref="G890"/>
    <hyperlink r:id="rId1463" location="id=63460&amp;action=152&amp;model=crm.lead&amp;view_type=form&amp;menu_id=111" ref="B891"/>
    <hyperlink r:id="rId1464" ref="G891"/>
    <hyperlink r:id="rId1465" location="id=63421&amp;action=152&amp;model=crm.lead&amp;view_type=form&amp;menu_id=111" ref="B892"/>
    <hyperlink r:id="rId1466" location="id=63362&amp;action=152&amp;model=crm.lead&amp;view_type=form&amp;menu_id=111" ref="B893"/>
    <hyperlink r:id="rId1467" ref="G893"/>
    <hyperlink r:id="rId1468" location="id=63477&amp;action=152&amp;model=crm.lead&amp;view_type=form&amp;menu_id=111" ref="B894"/>
    <hyperlink r:id="rId1469" ref="G894"/>
    <hyperlink r:id="rId1470" location="id=63462&amp;action=152&amp;model=crm.lead&amp;view_type=form&amp;menu_id=111" ref="B895"/>
    <hyperlink r:id="rId1471" ref="G895"/>
    <hyperlink r:id="rId1472" location="id=63530&amp;action=152&amp;model=crm.lead&amp;view_type=form&amp;menu_id=111" ref="B896"/>
    <hyperlink r:id="rId1473" location="id=63411&amp;action=152&amp;model=crm.lead&amp;view_type=form&amp;menu_id=111" ref="B897"/>
    <hyperlink r:id="rId1474" ref="G897"/>
    <hyperlink r:id="rId1475" location="id=63389&amp;action=152&amp;model=crm.lead&amp;view_type=form&amp;menu_id=111" ref="B898"/>
    <hyperlink r:id="rId1476" ref="G898"/>
    <hyperlink r:id="rId1477" location="id=63390&amp;action=152&amp;model=crm.lead&amp;view_type=form&amp;menu_id=111" ref="B899"/>
    <hyperlink r:id="rId1478" ref="G899"/>
    <hyperlink r:id="rId1479" location="id=63404&amp;action=152&amp;model=crm.lead&amp;view_type=form&amp;menu_id=111" ref="B900"/>
    <hyperlink r:id="rId1480" ref="G900"/>
    <hyperlink r:id="rId1481" location="id=63395&amp;action=152&amp;model=crm.lead&amp;view_type=form&amp;menu_id=111" ref="B901"/>
    <hyperlink r:id="rId1482" location="id=63356&amp;action=152&amp;model=crm.lead&amp;view_type=form&amp;menu_id=111" ref="B902"/>
    <hyperlink r:id="rId1483" ref="G902"/>
    <hyperlink r:id="rId1484" location="id=63274&amp;action=152&amp;model=crm.lead&amp;view_type=form&amp;menu_id=111" ref="B903"/>
    <hyperlink r:id="rId1485" ref="G903"/>
    <hyperlink r:id="rId1486" location="id=63289&amp;action=152&amp;model=crm.lead&amp;view_type=form&amp;menu_id=111" ref="B904"/>
    <hyperlink r:id="rId1487" ref="G904"/>
    <hyperlink r:id="rId1488" location="id=63292&amp;action=152&amp;model=crm.lead&amp;view_type=form&amp;menu_id=111" ref="B905"/>
    <hyperlink r:id="rId1489" ref="G905"/>
    <hyperlink r:id="rId1490" location="id=63281&amp;action=152&amp;model=crm.lead&amp;view_type=form&amp;menu_id=111" ref="B906"/>
    <hyperlink r:id="rId1491" ref="G906"/>
    <hyperlink r:id="rId1492" location="id=63245&amp;action=152&amp;model=crm.lead&amp;view_type=form&amp;menu_id=111" ref="B907"/>
    <hyperlink r:id="rId1493" ref="G907"/>
    <hyperlink r:id="rId1494" location="id=63230&amp;action=152&amp;model=crm.lead&amp;view_type=form&amp;menu_id=111" ref="B908"/>
    <hyperlink r:id="rId1495" ref="G908"/>
    <hyperlink r:id="rId1496" location="id=63243&amp;action=152&amp;model=crm.lead&amp;view_type=form&amp;menu_id=111" ref="B909"/>
    <hyperlink r:id="rId1497" ref="G909"/>
    <hyperlink r:id="rId1498" location="id=63271&amp;action=152&amp;model=crm.lead&amp;view_type=form&amp;menu_id=111" ref="B910"/>
    <hyperlink r:id="rId1499" location="id=63242&amp;action=152&amp;model=crm.lead&amp;view_type=form&amp;menu_id=111" ref="B911"/>
    <hyperlink r:id="rId1500" ref="G911"/>
    <hyperlink r:id="rId1501" location="id=62902&amp;action=152&amp;model=crm.lead&amp;view_type=form&amp;menu_id=111" ref="B912"/>
    <hyperlink r:id="rId1502" ref="G912"/>
    <hyperlink r:id="rId1503" location="id=62703&amp;action=152&amp;model=crm.lead&amp;view_type=form&amp;menu_id=111" ref="B913"/>
    <hyperlink r:id="rId1504" ref="G913"/>
    <hyperlink r:id="rId1505" location="id=63232&amp;action=152&amp;model=crm.lead&amp;view_type=form&amp;menu_id=111" ref="B914"/>
    <hyperlink r:id="rId1506" ref="G914"/>
    <hyperlink r:id="rId1507" location="id=63224&amp;action=152&amp;model=crm.lead&amp;view_type=form&amp;menu_id=111" ref="B915"/>
    <hyperlink r:id="rId1508" ref="G915"/>
    <hyperlink r:id="rId1509" location="id=63208&amp;action=152&amp;model=crm.lead&amp;view_type=form&amp;menu_id=111" ref="B916"/>
    <hyperlink r:id="rId1510" ref="G916"/>
    <hyperlink r:id="rId1511" location="id=63216&amp;action=152&amp;model=crm.lead&amp;view_type=form&amp;menu_id=111" ref="B917"/>
    <hyperlink r:id="rId1512" ref="G917"/>
    <hyperlink r:id="rId1513" location="id=63201&amp;action=152&amp;model=crm.lead&amp;view_type=form&amp;menu_id=111" ref="B918"/>
    <hyperlink r:id="rId1514" ref="G918"/>
    <hyperlink r:id="rId1515" location="id=63191&amp;action=152&amp;model=crm.lead&amp;view_type=form&amp;menu_id=111" ref="B919"/>
    <hyperlink r:id="rId1516" ref="G919"/>
    <hyperlink r:id="rId1517" location="id=63132&amp;action=152&amp;model=crm.lead&amp;view_type=form&amp;menu_id=111" ref="B920"/>
    <hyperlink r:id="rId1518" ref="G920"/>
    <hyperlink r:id="rId1519" location="id=63133&amp;action=152&amp;model=crm.lead&amp;view_type=form&amp;menu_id=111" ref="B921"/>
    <hyperlink r:id="rId1520" ref="G921"/>
    <hyperlink r:id="rId1521" location="id=63089&amp;action=152&amp;model=crm.lead&amp;view_type=form&amp;menu_id=111" ref="B922"/>
    <hyperlink r:id="rId1522" location="id=63046&amp;action=152&amp;model=crm.lead&amp;view_type=form&amp;menu_id=111" ref="B923"/>
    <hyperlink r:id="rId1523" ref="G923"/>
    <hyperlink r:id="rId1524" location="id=63052&amp;action=152&amp;model=crm.lead&amp;view_type=form&amp;menu_id=111" ref="B924"/>
    <hyperlink r:id="rId1525" location="id=63023&amp;action=152&amp;model=crm.lead&amp;view_type=form&amp;menu_id=111" ref="B925"/>
    <hyperlink r:id="rId1526" ref="G925"/>
    <hyperlink r:id="rId1527" location="id=62962&amp;action=152&amp;model=crm.lead&amp;view_type=form&amp;menu_id=111" ref="B926"/>
    <hyperlink r:id="rId1528" ref="G926"/>
    <hyperlink r:id="rId1529" location="id=62955&amp;action=152&amp;model=crm.lead&amp;view_type=form&amp;menu_id=111" ref="B927"/>
    <hyperlink r:id="rId1530" ref="G927"/>
    <hyperlink r:id="rId1531" location="id=62916&amp;action=152&amp;model=crm.lead&amp;view_type=form&amp;menu_id=111" ref="B928"/>
    <hyperlink r:id="rId1532" location="id=62932&amp;action=152&amp;model=crm.lead&amp;view_type=form&amp;menu_id=111" ref="B929"/>
    <hyperlink r:id="rId1533" location="id=62921&amp;action=152&amp;model=crm.lead&amp;view_type=form&amp;menu_id=111" ref="B930"/>
    <hyperlink r:id="rId1534" ref="G930"/>
    <hyperlink r:id="rId1535" location="id=62891&amp;action=152&amp;model=crm.lead&amp;view_type=form&amp;menu_id=111" ref="B931"/>
    <hyperlink r:id="rId1536" ref="G931"/>
    <hyperlink r:id="rId1537" location="id=62775&amp;action=152&amp;model=crm.lead&amp;view_type=form&amp;menu_id=111" ref="B932"/>
    <hyperlink r:id="rId1538" ref="G932"/>
    <hyperlink r:id="rId1539" location="id=62869&amp;action=152&amp;model=crm.lead&amp;view_type=form&amp;menu_id=111" ref="B933"/>
    <hyperlink r:id="rId1540" ref="G933"/>
    <hyperlink r:id="rId1541" location="id=62866&amp;action=152&amp;model=crm.lead&amp;view_type=form&amp;menu_id=111" ref="B934"/>
    <hyperlink r:id="rId1542" ref="G934"/>
    <hyperlink r:id="rId1543" location="id=62867&amp;action=152&amp;model=crm.lead&amp;view_type=form&amp;menu_id=111" ref="B935"/>
    <hyperlink r:id="rId1544" ref="G935"/>
    <hyperlink r:id="rId1545" location="id=62855&amp;action=152&amp;model=crm.lead&amp;view_type=form&amp;menu_id=111" ref="B936"/>
    <hyperlink r:id="rId1546" ref="G936"/>
    <hyperlink r:id="rId1547" location="id=62707&amp;action=152&amp;model=crm.lead&amp;view_type=form&amp;menu_id=111" ref="B937"/>
    <hyperlink r:id="rId1548" ref="G937"/>
    <hyperlink r:id="rId1549" location="id=62725&amp;action=152&amp;model=crm.lead&amp;view_type=form&amp;menu_id=111" ref="B938"/>
    <hyperlink r:id="rId1550" ref="G938"/>
    <hyperlink r:id="rId1551" location="id=62789&amp;action=152&amp;model=crm.lead&amp;view_type=form&amp;menu_id=111" ref="B939"/>
    <hyperlink r:id="rId1552" ref="G939"/>
    <hyperlink r:id="rId1553" location="id=62779&amp;action=152&amp;model=crm.lead&amp;view_type=form&amp;menu_id=111" ref="B940"/>
    <hyperlink r:id="rId1554" ref="G940"/>
    <hyperlink r:id="rId1555" location="id=62745&amp;action=152&amp;model=crm.lead&amp;view_type=form&amp;menu_id=111" ref="B941"/>
    <hyperlink r:id="rId1556" ref="G941"/>
    <hyperlink r:id="rId1557" location="id=62758&amp;action=152&amp;model=crm.lead&amp;view_type=form&amp;menu_id=111" ref="B942"/>
    <hyperlink r:id="rId1558" ref="G942"/>
    <hyperlink r:id="rId1559" location="id=62743&amp;action=152&amp;model=crm.lead&amp;view_type=form&amp;menu_id=111" ref="B943"/>
    <hyperlink r:id="rId1560" ref="G943"/>
    <hyperlink r:id="rId1561" location="id=62761&amp;action=152&amp;model=crm.lead&amp;view_type=form&amp;menu_id=111" ref="B944"/>
    <hyperlink r:id="rId1562" ref="G944"/>
    <hyperlink r:id="rId1563" location="id=62728&amp;action=152&amp;model=crm.lead&amp;view_type=form&amp;menu_id=111" ref="B945"/>
    <hyperlink r:id="rId1564" ref="G945"/>
    <hyperlink r:id="rId1565" location="id=62694&amp;action=152&amp;model=crm.lead&amp;view_type=form&amp;menu_id=111" ref="B946"/>
    <hyperlink r:id="rId1566" location="id=62685&amp;action=152&amp;model=crm.lead&amp;view_type=form&amp;menu_id=111" ref="B947"/>
    <hyperlink r:id="rId1567" ref="G947"/>
    <hyperlink r:id="rId1568" location="id=62686&amp;action=152&amp;model=crm.lead&amp;view_type=form&amp;menu_id=111" ref="B948"/>
    <hyperlink r:id="rId1569" ref="G948"/>
    <hyperlink r:id="rId1570" location="id=62641&amp;action=152&amp;model=crm.lead&amp;view_type=form&amp;menu_id=111" ref="B949"/>
    <hyperlink r:id="rId1571" ref="G949"/>
    <hyperlink r:id="rId1572" location="id=62645&amp;action=152&amp;model=crm.lead&amp;view_type=form&amp;menu_id=111" ref="B950"/>
    <hyperlink r:id="rId1573" ref="G950"/>
    <hyperlink r:id="rId1574" location="id=62647&amp;action=152&amp;model=crm.lead&amp;view_type=form&amp;menu_id=111" ref="B951"/>
    <hyperlink r:id="rId1575" ref="G951"/>
    <hyperlink r:id="rId1576" location="id=62657&amp;action=152&amp;model=crm.lead&amp;view_type=form&amp;menu_id=111" ref="B952"/>
    <hyperlink r:id="rId1577" ref="G952"/>
    <hyperlink r:id="rId1578" location="id=62677&amp;action=152&amp;model=crm.lead&amp;view_type=form&amp;menu_id=111" ref="B953"/>
    <hyperlink r:id="rId1579" ref="G953"/>
    <hyperlink r:id="rId1580" location="id=62608&amp;action=152&amp;model=crm.lead&amp;view_type=form&amp;menu_id=111" ref="B954"/>
    <hyperlink r:id="rId1581" ref="G954"/>
    <hyperlink r:id="rId1582" location="id=62583&amp;action=152&amp;model=crm.lead&amp;view_type=form&amp;menu_id=111" ref="B955"/>
    <hyperlink r:id="rId1583" ref="G955"/>
    <hyperlink r:id="rId1584" location="id=62586&amp;action=152&amp;model=crm.lead&amp;view_type=form&amp;menu_id=111" ref="B957"/>
    <hyperlink r:id="rId1585" ref="G957"/>
    <hyperlink r:id="rId1586" location="id=62461&amp;action=152&amp;model=crm.lead&amp;view_type=form&amp;menu_id=111" ref="B958"/>
    <hyperlink r:id="rId1587" location="id=62524&amp;action=152&amp;model=crm.lead&amp;view_type=form&amp;menu_id=111" ref="B959"/>
    <hyperlink r:id="rId1588" ref="G959"/>
    <hyperlink r:id="rId1589" location="id=62562&amp;action=152&amp;model=crm.lead&amp;view_type=form&amp;menu_id=111" ref="B960"/>
    <hyperlink r:id="rId1590" ref="G960"/>
    <hyperlink r:id="rId1591" location="id=62544&amp;action=152&amp;model=crm.lead&amp;view_type=form&amp;menu_id=111" ref="B961"/>
    <hyperlink r:id="rId1592" ref="G961"/>
    <hyperlink r:id="rId1593" location="id=62559&amp;action=152&amp;model=crm.lead&amp;view_type=form&amp;menu_id=111" ref="B962"/>
    <hyperlink r:id="rId1594" location="id=62539&amp;action=152&amp;model=crm.lead&amp;view_type=form&amp;menu_id=111" ref="B963"/>
    <hyperlink r:id="rId1595" ref="G963"/>
    <hyperlink r:id="rId1596" location="id=62493&amp;action=152&amp;model=crm.lead&amp;view_type=form&amp;menu_id=111" ref="B964"/>
    <hyperlink r:id="rId1597" ref="G964"/>
    <hyperlink r:id="rId1598" location="id=62486&amp;action=152&amp;model=crm.lead&amp;view_type=form&amp;menu_id=111" ref="B965"/>
    <hyperlink r:id="rId1599" ref="G965"/>
    <hyperlink r:id="rId1600" location="id=62482&amp;action=152&amp;model=crm.lead&amp;view_type=form&amp;menu_id=111" ref="B966"/>
    <hyperlink r:id="rId1601" ref="G966"/>
    <hyperlink r:id="rId1602" location="id=62452&amp;action=152&amp;model=crm.lead&amp;view_type=form&amp;menu_id=111" ref="B967"/>
    <hyperlink r:id="rId1603" ref="G967"/>
    <hyperlink r:id="rId1604" location="id=62448&amp;action=152&amp;model=crm.lead&amp;view_type=form&amp;menu_id=111" ref="B968"/>
    <hyperlink r:id="rId1605" ref="G968"/>
    <hyperlink r:id="rId1606" location="id=62443&amp;action=152&amp;model=crm.lead&amp;view_type=form&amp;menu_id=111" ref="B969"/>
    <hyperlink r:id="rId1607" ref="G969"/>
    <hyperlink r:id="rId1608" location="id=62439&amp;action=152&amp;model=crm.lead&amp;view_type=form&amp;menu_id=111" ref="B970"/>
    <hyperlink r:id="rId1609" location="id=62414&amp;action=152&amp;model=crm.lead&amp;view_type=form&amp;menu_id=111" ref="B971"/>
    <hyperlink r:id="rId1610" ref="G971"/>
    <hyperlink r:id="rId1611" location="id=62429&amp;action=152&amp;model=crm.lead&amp;view_type=form&amp;menu_id=111" ref="B972"/>
    <hyperlink r:id="rId1612" ref="G972"/>
    <hyperlink r:id="rId1613" location="id=62430&amp;action=152&amp;model=crm.lead&amp;view_type=form&amp;menu_id=111" ref="B973"/>
    <hyperlink r:id="rId1614" ref="G973"/>
    <hyperlink r:id="rId1615" location="id=62410&amp;action=152&amp;model=crm.lead&amp;view_type=form&amp;menu_id=111" ref="B974"/>
    <hyperlink r:id="rId1616" ref="G974"/>
    <hyperlink r:id="rId1617" location="id=62393&amp;action=152&amp;model=crm.lead&amp;view_type=form&amp;menu_id=111" ref="B975"/>
    <hyperlink r:id="rId1618" location="id=62314&amp;action=152&amp;model=crm.lead&amp;view_type=form&amp;menu_id=111" ref="B976"/>
    <hyperlink r:id="rId1619" location="id=62310&amp;action=152&amp;model=crm.lead&amp;view_type=form&amp;menu_id=111" ref="B977"/>
    <hyperlink r:id="rId1620" location="id=62380&amp;action=152&amp;model=crm.lead&amp;view_type=form&amp;menu_id=111" ref="B978"/>
    <hyperlink r:id="rId1621" location="id=62340&amp;action=152&amp;model=crm.lead&amp;view_type=form&amp;menu_id=111" ref="B979"/>
    <hyperlink r:id="rId1622" location="id=62360&amp;action=152&amp;model=crm.lead&amp;view_type=form&amp;menu_id=111" ref="B980"/>
    <hyperlink r:id="rId1623" location="id=62377&amp;action=152&amp;model=crm.lead&amp;view_type=form&amp;menu_id=111" ref="B981"/>
    <hyperlink r:id="rId1624" location="id=62346&amp;action=152&amp;model=crm.lead&amp;view_type=form&amp;menu_id=111" ref="B982"/>
    <hyperlink r:id="rId1625" location="id=62262&amp;action=152&amp;model=crm.lead&amp;view_type=form&amp;menu_id=111" ref="B983"/>
    <hyperlink r:id="rId1626" location="id=62273&amp;action=152&amp;model=crm.lead&amp;view_type=form&amp;menu_id=111" ref="B984"/>
    <hyperlink r:id="rId1627" location="id=62272&amp;action=152&amp;model=crm.lead&amp;view_type=form&amp;menu_id=111" ref="B985"/>
    <hyperlink r:id="rId1628" location="id=62268&amp;action=152&amp;model=crm.lead&amp;view_type=form&amp;menu_id=111" ref="B986"/>
    <hyperlink r:id="rId1629" location="id=62253&amp;action=152&amp;model=crm.lead&amp;view_type=form&amp;menu_id=111" ref="B987"/>
    <hyperlink r:id="rId1630" location="id=62260&amp;action=152&amp;model=crm.lead&amp;view_type=form&amp;menu_id=111" ref="B988"/>
    <hyperlink r:id="rId1631" location="id=62210&amp;action=152&amp;model=crm.lead&amp;view_type=form&amp;menu_id=111" ref="B989"/>
    <hyperlink r:id="rId1632" location="id=62197&amp;action=152&amp;model=crm.lead&amp;view_type=form&amp;menu_id=111" ref="B990"/>
    <hyperlink r:id="rId1633" location="id=62156&amp;action=152&amp;model=crm.lead&amp;view_type=form&amp;menu_id=111" ref="B991"/>
    <hyperlink r:id="rId1634" location="id=62151&amp;action=152&amp;model=crm.lead&amp;view_type=form&amp;menu_id=111" ref="B992"/>
    <hyperlink r:id="rId1635" location="id=62138&amp;action=152&amp;model=crm.lead&amp;view_type=form&amp;menu_id=111" ref="B993"/>
    <hyperlink r:id="rId1636" location="id=62133&amp;action=152&amp;model=crm.lead&amp;view_type=form&amp;menu_id=111" ref="B994"/>
    <hyperlink r:id="rId1637" location="id=62111&amp;action=152&amp;model=crm.lead&amp;view_type=form&amp;menu_id=111" ref="B995"/>
    <hyperlink r:id="rId1638" location="id=62123&amp;action=152&amp;model=crm.lead&amp;view_type=form&amp;menu_id=111" ref="B996"/>
    <hyperlink r:id="rId1639" location="id=62115&amp;action=152&amp;model=crm.lead&amp;view_type=form&amp;menu_id=111" ref="B997"/>
    <hyperlink r:id="rId1640" location="id=62120&amp;action=152&amp;model=crm.lead&amp;view_type=form&amp;menu_id=111" ref="B998"/>
    <hyperlink r:id="rId1641" location="id=62074&amp;action=152&amp;model=crm.lead&amp;view_type=form&amp;menu_id=111" ref="B999"/>
    <hyperlink r:id="rId1642" location="id=62073&amp;action=152&amp;model=crm.lead&amp;view_type=form&amp;menu_id=111" ref="B1000"/>
    <hyperlink r:id="rId1643" location="id=62061&amp;action=152&amp;model=crm.lead&amp;view_type=form&amp;menu_id=111" ref="B1001"/>
    <hyperlink r:id="rId1644" location="id=62060&amp;action=152&amp;model=crm.lead&amp;view_type=form&amp;menu_id=111" ref="B1002"/>
    <hyperlink r:id="rId1645" location="id=62054&amp;action=152&amp;model=crm.lead&amp;view_type=form&amp;menu_id=111" ref="B1003"/>
    <hyperlink r:id="rId1646" location="id=62051&amp;action=152&amp;model=crm.lead&amp;view_type=form&amp;menu_id=111" ref="B1004"/>
    <hyperlink r:id="rId1647" location="id=62023&amp;action=152&amp;model=crm.lead&amp;view_type=form&amp;menu_id=111" ref="B1005"/>
    <hyperlink r:id="rId1648" location="id=62039&amp;action=152&amp;model=crm.lead&amp;view_type=form&amp;menu_id=111" ref="B1006"/>
    <hyperlink r:id="rId1649" location="id=62024&amp;action=152&amp;model=crm.lead&amp;view_type=form&amp;menu_id=111" ref="B1007"/>
    <hyperlink r:id="rId1650" location="id=62027&amp;action=152&amp;model=crm.lead&amp;view_type=form&amp;menu_id=111" ref="B1008"/>
    <hyperlink r:id="rId1651" location="id=62037&amp;action=152&amp;model=crm.lead&amp;view_type=form&amp;menu_id=111" ref="B1009"/>
    <hyperlink r:id="rId1652" location="id=62016&amp;action=152&amp;model=crm.lead&amp;view_type=form&amp;menu_id=111" ref="B1010"/>
    <hyperlink r:id="rId1653" location="id=62010&amp;action=152&amp;model=crm.lead&amp;view_type=form&amp;menu_id=111" ref="B1011"/>
    <hyperlink r:id="rId1654" location="id=62009&amp;action=152&amp;model=crm.lead&amp;view_type=form&amp;menu_id=111" ref="B1012"/>
    <hyperlink r:id="rId1655" location="id=62007&amp;action=152&amp;model=crm.lead&amp;view_type=form&amp;menu_id=111" ref="B1013"/>
    <hyperlink r:id="rId1656" location="id=61985&amp;action=152&amp;model=crm.lead&amp;view_type=form&amp;menu_id=111" ref="B1014"/>
    <hyperlink r:id="rId1657" location="id=61929&amp;action=152&amp;model=crm.lead&amp;view_type=form&amp;menu_id=111" ref="B1015"/>
    <hyperlink r:id="rId1658" location="id=61945&amp;action=152&amp;model=crm.lead&amp;view_type=form&amp;menu_id=111" ref="B1016"/>
    <hyperlink r:id="rId1659" location="id=61991&amp;action=152&amp;model=crm.lead&amp;view_type=form&amp;menu_id=111" ref="B1017"/>
    <hyperlink r:id="rId1660" location="id=61933&amp;action=152&amp;model=crm.lead&amp;view_type=form&amp;menu_id=111" ref="B1018"/>
    <hyperlink r:id="rId1661" location="id=61899&amp;action=152&amp;model=crm.lead&amp;view_type=form&amp;menu_id=111" ref="B1019"/>
    <hyperlink r:id="rId1662" location="id=61886&amp;action=152&amp;model=crm.lead&amp;view_type=form&amp;menu_id=111" ref="B1020"/>
    <hyperlink r:id="rId1663" location="id=61859&amp;action=152&amp;model=crm.lead&amp;view_type=form&amp;menu_id=111" ref="B1021"/>
    <hyperlink r:id="rId1664" location="id=61847&amp;action=152&amp;model=crm.lead&amp;view_type=form&amp;menu_id=111" ref="B1022"/>
    <hyperlink r:id="rId1665" location="id=61842&amp;action=152&amp;model=crm.lead&amp;view_type=form&amp;menu_id=111" ref="B1023"/>
    <hyperlink r:id="rId1666" location="id=61838&amp;action=152&amp;model=crm.lead&amp;view_type=form&amp;menu_id=111" ref="B1024"/>
    <hyperlink r:id="rId1667" location="id=61873&amp;action=152&amp;model=crm.lead&amp;view_type=form&amp;menu_id=111" ref="B1025"/>
    <hyperlink r:id="rId1668" location="id=61927&amp;action=152&amp;model=crm.lead&amp;view_type=form&amp;menu_id=111" ref="B1026"/>
    <hyperlink r:id="rId1669" location="id=61902&amp;action=152&amp;model=crm.lead&amp;view_type=form&amp;menu_id=111" ref="B1027"/>
    <hyperlink r:id="rId1670" location="id=61903&amp;action=152&amp;model=crm.lead&amp;view_type=form&amp;menu_id=111" ref="B1028"/>
    <hyperlink r:id="rId1671" location="id=61906&amp;action=152&amp;model=crm.lead&amp;view_type=form&amp;menu_id=111" ref="B1029"/>
    <hyperlink r:id="rId1672" location="id=61909&amp;action=152&amp;model=crm.lead&amp;view_type=form&amp;menu_id=111" ref="B1030"/>
    <hyperlink r:id="rId1673" location="id=61826&amp;action=152&amp;model=crm.lead&amp;view_type=form&amp;menu_id=111" ref="B1031"/>
    <hyperlink r:id="rId1674" location="id=61825&amp;action=152&amp;model=crm.lead&amp;view_type=form&amp;menu_id=111" ref="B1032"/>
    <hyperlink r:id="rId1675" location="id=61824&amp;action=152&amp;model=crm.lead&amp;view_type=form&amp;menu_id=111" ref="B1033"/>
    <hyperlink r:id="rId1676" location="id=61820&amp;action=152&amp;model=crm.lead&amp;view_type=form&amp;menu_id=111" ref="B1034"/>
    <hyperlink r:id="rId1677" location="id=61812&amp;action=152&amp;model=crm.lead&amp;view_type=form&amp;menu_id=111" ref="B1035"/>
    <hyperlink r:id="rId1678" location="id=61813&amp;action=152&amp;model=crm.lead&amp;view_type=form&amp;menu_id=111" ref="B1036"/>
    <hyperlink r:id="rId1679" location="id=61803&amp;action=152&amp;model=crm.lead&amp;view_type=form&amp;menu_id=111" ref="B1037"/>
    <hyperlink r:id="rId1680" location="id=61787&amp;action=152&amp;model=crm.lead&amp;view_type=form&amp;menu_id=111" ref="B1038"/>
    <hyperlink r:id="rId1681" location="id=61800&amp;action=152&amp;model=crm.lead&amp;view_type=form&amp;menu_id=111" ref="B1039"/>
    <hyperlink r:id="rId1682" location="id=61774&amp;action=152&amp;model=crm.lead&amp;view_type=form&amp;menu_id=111" ref="B1040"/>
    <hyperlink r:id="rId1683" location="id=61766&amp;action=152&amp;model=crm.lead&amp;view_type=form&amp;menu_id=111" ref="B1041"/>
    <hyperlink r:id="rId1684" location="id=61724&amp;action=152&amp;model=crm.lead&amp;view_type=form&amp;menu_id=111" ref="B1042"/>
    <hyperlink r:id="rId1685" location="id=61744&amp;action=152&amp;model=crm.lead&amp;view_type=form&amp;menu_id=111" ref="B1043"/>
    <hyperlink r:id="rId1686" location="id=61743&amp;action=152&amp;model=crm.lead&amp;view_type=form&amp;menu_id=111" ref="B1044"/>
    <hyperlink r:id="rId1687" location="id=61707&amp;action=152&amp;model=crm.lead&amp;view_type=form&amp;menu_id=111" ref="B1045"/>
    <hyperlink r:id="rId1688" location="id=61734&amp;action=152&amp;model=crm.lead&amp;view_type=form&amp;menu_id=111" ref="B1046"/>
    <hyperlink r:id="rId1689" location="id=61702&amp;action=152&amp;model=crm.lead&amp;view_type=form&amp;menu_id=111" ref="B1047"/>
    <hyperlink r:id="rId1690" location="id=61641&amp;action=152&amp;model=crm.lead&amp;view_type=form&amp;menu_id=111" ref="B1048"/>
    <hyperlink r:id="rId1691" location="id=61693&amp;action=152&amp;model=crm.lead&amp;view_type=form&amp;menu_id=111" ref="B1049"/>
    <hyperlink r:id="rId1692" location="id=61676&amp;action=152&amp;model=crm.lead&amp;view_type=form&amp;menu_id=111" ref="B1050"/>
    <hyperlink r:id="rId1693" location="id=61685&amp;action=152&amp;model=crm.lead&amp;view_type=form&amp;menu_id=111" ref="B1051"/>
    <hyperlink r:id="rId1694" location="id=61683&amp;action=152&amp;model=crm.lead&amp;view_type=form&amp;menu_id=111" ref="B1052"/>
    <hyperlink r:id="rId1695" location="id=61680&amp;action=152&amp;model=crm.lead&amp;view_type=form&amp;menu_id=111" ref="B1053"/>
    <hyperlink r:id="rId1696" location="id=61681&amp;action=152&amp;model=crm.lead&amp;view_type=form&amp;menu_id=111" ref="B1054"/>
    <hyperlink r:id="rId1697" location="id=61678&amp;action=152&amp;model=crm.lead&amp;view_type=form&amp;menu_id=111" ref="B1055"/>
    <hyperlink r:id="rId1698" location="id=61671&amp;action=152&amp;model=crm.lead&amp;view_type=form&amp;menu_id=111" ref="B1056"/>
    <hyperlink r:id="rId1699" location="id=61670&amp;action=152&amp;model=crm.lead&amp;view_type=form&amp;menu_id=111" ref="B1057"/>
    <hyperlink r:id="rId1700" location="id=61659&amp;action=152&amp;model=crm.lead&amp;view_type=form&amp;menu_id=111" ref="B1058"/>
    <hyperlink r:id="rId1701" location="id=61656&amp;action=152&amp;model=crm.lead&amp;view_type=form&amp;menu_id=111" ref="B1059"/>
    <hyperlink r:id="rId1702" location="id=61653&amp;action=152&amp;model=crm.lead&amp;view_type=form&amp;menu_id=111" ref="B1060"/>
    <hyperlink r:id="rId1703" location="id=61652&amp;action=152&amp;model=crm.lead&amp;view_type=form&amp;menu_id=111" ref="B1061"/>
    <hyperlink r:id="rId1704" location="id=61640&amp;action=152&amp;model=crm.lead&amp;view_type=form&amp;menu_id=111" ref="B1062"/>
    <hyperlink r:id="rId1705" location="id=61638&amp;action=152&amp;model=crm.lead&amp;view_type=form&amp;menu_id=111" ref="B1063"/>
    <hyperlink r:id="rId1706" location="id=61610&amp;action=152&amp;model=crm.lead&amp;view_type=form&amp;menu_id=111" ref="B1064"/>
    <hyperlink r:id="rId1707" location="id=61618&amp;action=152&amp;model=crm.lead&amp;view_type=form&amp;menu_id=111" ref="B1065"/>
    <hyperlink r:id="rId1708" location="id=61626&amp;action=152&amp;model=crm.lead&amp;view_type=form&amp;menu_id=111" ref="B1066"/>
    <hyperlink r:id="rId1709" location="id=61625&amp;action=152&amp;model=crm.lead&amp;view_type=form&amp;menu_id=111" ref="B1067"/>
    <hyperlink r:id="rId1710" location="id=61563&amp;action=152&amp;model=crm.lead&amp;view_type=form&amp;menu_id=111" ref="B1068"/>
    <hyperlink r:id="rId1711" location="id=61565&amp;action=152&amp;model=crm.lead&amp;view_type=form&amp;menu_id=111" ref="B1069"/>
    <hyperlink r:id="rId1712" location="id=61557&amp;action=152&amp;model=crm.lead&amp;view_type=form&amp;menu_id=111" ref="B1070"/>
    <hyperlink r:id="rId1713" location="id=61546&amp;action=152&amp;model=crm.lead&amp;view_type=form&amp;menu_id=111" ref="B1071"/>
    <hyperlink r:id="rId1714" location="id=61551&amp;action=152&amp;model=crm.lead&amp;view_type=form&amp;menu_id=111" ref="B1072"/>
    <hyperlink r:id="rId1715" location="id=61530&amp;action=152&amp;model=crm.lead&amp;view_type=form&amp;menu_id=111" ref="B1073"/>
    <hyperlink r:id="rId1716" location="id=61522&amp;action=152&amp;model=crm.lead&amp;view_type=form&amp;menu_id=111" ref="B1074"/>
    <hyperlink r:id="rId1717" location="id=61510&amp;action=152&amp;model=crm.lead&amp;view_type=form&amp;menu_id=111" ref="B1075"/>
    <hyperlink r:id="rId1718" location="id=61501&amp;action=152&amp;model=crm.lead&amp;view_type=form&amp;menu_id=111" ref="B1076"/>
    <hyperlink r:id="rId1719" location="id=61455&amp;action=152&amp;model=crm.lead&amp;view_type=form&amp;menu_id=111" ref="B1077"/>
    <hyperlink r:id="rId1720" location="id=61398&amp;action=152&amp;model=crm.lead&amp;view_type=form&amp;menu_id=111" ref="B1078"/>
    <hyperlink r:id="rId1721" location="id=61394&amp;action=152&amp;model=crm.lead&amp;view_type=form&amp;menu_id=111" ref="B1079"/>
    <hyperlink r:id="rId1722" location="id=61391&amp;action=152&amp;model=crm.lead&amp;view_type=form&amp;menu_id=111" ref="B1080"/>
    <hyperlink r:id="rId1723" location="id=61384&amp;action=152&amp;model=crm.lead&amp;view_type=form&amp;menu_id=111" ref="B1081"/>
    <hyperlink r:id="rId1724" location="id=61381&amp;action=152&amp;model=crm.lead&amp;view_type=form&amp;menu_id=111" ref="B1082"/>
    <hyperlink r:id="rId1725" location="id=61367&amp;action=152&amp;model=crm.lead&amp;view_type=form&amp;menu_id=111" ref="B1083"/>
    <hyperlink r:id="rId1726" location="id=61363&amp;action=152&amp;model=crm.lead&amp;view_type=form&amp;menu_id=111" ref="B1084"/>
    <hyperlink r:id="rId1727" location="id=61365&amp;action=152&amp;model=crm.lead&amp;view_type=form&amp;menu_id=111" ref="B1085"/>
    <hyperlink r:id="rId1728" location="id=61352&amp;action=152&amp;model=crm.lead&amp;view_type=form&amp;menu_id=111" ref="B1086"/>
    <hyperlink r:id="rId1729" location="id=61346&amp;action=152&amp;model=crm.lead&amp;view_type=form&amp;menu_id=111" ref="B1087"/>
    <hyperlink r:id="rId1730" location="id=61361&amp;action=152&amp;model=crm.lead&amp;view_type=form&amp;menu_id=111" ref="B1088"/>
    <hyperlink r:id="rId1731" location="id=61324&amp;action=152&amp;model=crm.lead&amp;view_type=form&amp;menu_id=111" ref="B1089"/>
    <hyperlink r:id="rId1732" location="id=61330&amp;action=152&amp;model=crm.lead&amp;view_type=form&amp;menu_id=111" ref="B1090"/>
    <hyperlink r:id="rId1733" location="id=61325&amp;action=152&amp;model=crm.lead&amp;view_type=form&amp;menu_id=111" ref="B1091"/>
    <hyperlink r:id="rId1734" location="id=61327&amp;action=152&amp;model=crm.lead&amp;view_type=form&amp;menu_id=111" ref="B1092"/>
    <hyperlink r:id="rId1735" location="id=61315&amp;action=152&amp;model=crm.lead&amp;view_type=form&amp;menu_id=111" ref="B1093"/>
    <hyperlink r:id="rId1736" location="id=61307&amp;action=152&amp;model=crm.lead&amp;view_type=form&amp;menu_id=111" ref="B1094"/>
    <hyperlink r:id="rId1737" location="id=61317&amp;action=152&amp;model=crm.lead&amp;view_type=form&amp;menu_id=111" ref="B1095"/>
    <hyperlink r:id="rId1738" location="id=61310&amp;action=152&amp;model=crm.lead&amp;view_type=form&amp;menu_id=111" ref="B1096"/>
    <hyperlink r:id="rId1739" location="id=61284&amp;action=152&amp;model=crm.lead&amp;view_type=form&amp;menu_id=111" ref="B1097"/>
    <hyperlink r:id="rId1740" location="id=61288&amp;action=152&amp;model=crm.lead&amp;view_type=form&amp;menu_id=111" ref="B1098"/>
    <hyperlink r:id="rId1741" location="id=61230&amp;action=152&amp;model=crm.lead&amp;view_type=form&amp;menu_id=111" ref="B1099"/>
    <hyperlink r:id="rId1742" location="id=61182&amp;action=152&amp;model=crm.lead&amp;view_type=form&amp;menu_id=111" ref="B1100"/>
    <hyperlink r:id="rId1743" location="id=61194&amp;action=152&amp;model=crm.lead&amp;view_type=form&amp;menu_id=111" ref="B1101"/>
    <hyperlink r:id="rId1744" location="id=61124&amp;action=152&amp;model=crm.lead&amp;view_type=form&amp;menu_id=111" ref="B1102"/>
    <hyperlink r:id="rId1745" location="id=61050&amp;action=152&amp;model=crm.lead&amp;view_type=form&amp;menu_id=111" ref="B1103"/>
    <hyperlink r:id="rId1746" location="id=61007&amp;action=152&amp;model=crm.lead&amp;view_type=form&amp;menu_id=111" ref="B1104"/>
    <hyperlink r:id="rId1747" location="id=60990&amp;action=152&amp;model=crm.lead&amp;view_type=form&amp;menu_id=111" ref="B1105"/>
    <hyperlink r:id="rId1748" location="id=60975&amp;action=152&amp;model=crm.lead&amp;view_type=form&amp;menu_id=111" ref="B1106"/>
    <hyperlink r:id="rId1749" location="id=61156&amp;action=152&amp;model=crm.lead&amp;view_type=form&amp;menu_id=111" ref="B1107"/>
    <hyperlink r:id="rId1750" location="id=61146&amp;action=152&amp;model=crm.lead&amp;view_type=form&amp;menu_id=111" ref="B1108"/>
    <hyperlink r:id="rId1751" location="id=61118&amp;action=152&amp;model=crm.lead&amp;view_type=form&amp;menu_id=111" ref="B1109"/>
    <hyperlink r:id="rId1752" location="id=61137&amp;action=152&amp;model=crm.lead&amp;view_type=form&amp;menu_id=111" ref="B1110"/>
    <hyperlink r:id="rId1753" location="id=61036&amp;action=152&amp;model=crm.lead&amp;view_type=form&amp;menu_id=111" ref="B1111"/>
    <hyperlink r:id="rId1754" location="id=61032&amp;action=152&amp;model=crm.lead&amp;view_type=form&amp;menu_id=111" ref="B1112"/>
    <hyperlink r:id="rId1755" location="id=61011&amp;action=152&amp;model=crm.lead&amp;view_type=form&amp;menu_id=111" ref="B1113"/>
    <hyperlink r:id="rId1756" location="id=60974&amp;action=152&amp;model=crm.lead&amp;view_type=form&amp;menu_id=111" ref="B1114"/>
    <hyperlink r:id="rId1757" location="id=60970&amp;action=152&amp;model=crm.lead&amp;view_type=form&amp;menu_id=111" ref="B1115"/>
    <hyperlink r:id="rId1758" location="id=61013&amp;action=152&amp;model=crm.lead&amp;view_type=form&amp;menu_id=111" ref="B1116"/>
    <hyperlink r:id="rId1759" location="id=61105&amp;action=152&amp;model=crm.lead&amp;view_type=form&amp;menu_id=111" ref="B1117"/>
    <hyperlink r:id="rId1760" location="id=61103&amp;action=152&amp;model=crm.lead&amp;view_type=form&amp;menu_id=111" ref="B1118"/>
    <hyperlink r:id="rId1761" location="id=61053&amp;action=152&amp;model=crm.lead&amp;view_type=form&amp;menu_id=111" ref="B1119"/>
    <hyperlink r:id="rId1762" location="id=61100&amp;action=152&amp;model=crm.lead&amp;view_type=form&amp;menu_id=111" ref="B1120"/>
    <hyperlink r:id="rId1763" location="id=61099&amp;action=152&amp;model=crm.lead&amp;view_type=form&amp;menu_id=111" ref="B1121"/>
    <hyperlink r:id="rId1764" location="id=61098&amp;action=152&amp;model=crm.lead&amp;view_type=form&amp;menu_id=111" ref="B1122"/>
    <hyperlink r:id="rId1765" location="id=61096&amp;action=152&amp;model=crm.lead&amp;view_type=form&amp;menu_id=111" ref="B1123"/>
    <hyperlink r:id="rId1766" location="id=61017&amp;action=152&amp;model=crm.lead&amp;view_type=form&amp;menu_id=111" ref="B1124"/>
    <hyperlink r:id="rId1767" location="id=61030&amp;action=152&amp;model=crm.lead&amp;view_type=form&amp;menu_id=111" ref="B1125"/>
    <hyperlink r:id="rId1768" location="id=61033&amp;action=152&amp;model=crm.lead&amp;view_type=form&amp;menu_id=111" ref="B1126"/>
    <hyperlink r:id="rId1769" location="id=61042&amp;action=152&amp;model=crm.lead&amp;view_type=form&amp;menu_id=111" ref="B1127"/>
    <hyperlink r:id="rId1770" location="id=61063&amp;action=152&amp;model=crm.lead&amp;view_type=form&amp;menu_id=111" ref="B1128"/>
    <hyperlink r:id="rId1771" location="id=61076&amp;action=152&amp;model=crm.lead&amp;view_type=form&amp;menu_id=111" ref="B1129"/>
    <hyperlink r:id="rId1772" location="id=61080&amp;action=152&amp;model=crm.lead&amp;view_type=form&amp;menu_id=111" ref="B1130"/>
    <hyperlink r:id="rId1773" location="id=60963&amp;action=152&amp;model=crm.lead&amp;view_type=form&amp;menu_id=111" ref="B1131"/>
    <hyperlink r:id="rId1774" location="id=60884&amp;action=152&amp;model=crm.lead&amp;view_type=form&amp;menu_id=111" ref="B1132"/>
    <hyperlink r:id="rId1775" location="id=60954&amp;action=152&amp;model=crm.lead&amp;view_type=form&amp;menu_id=111" ref="B1133"/>
    <hyperlink r:id="rId1776" location="id=60916&amp;action=152&amp;model=crm.lead&amp;view_type=form&amp;menu_id=111" ref="B1134"/>
    <hyperlink r:id="rId1777" location="id=60938&amp;action=152&amp;model=crm.lead&amp;view_type=form&amp;menu_id=111" ref="B1135"/>
    <hyperlink r:id="rId1778" location="id=60943&amp;action=152&amp;model=crm.lead&amp;view_type=form&amp;menu_id=111" ref="B1136"/>
    <hyperlink r:id="rId1779" location="id=60945&amp;action=152&amp;model=crm.lead&amp;view_type=form&amp;menu_id=111" ref="B1137"/>
    <hyperlink r:id="rId1780" location="id=60928&amp;action=152&amp;model=crm.lead&amp;view_type=form&amp;menu_id=111" ref="B1138"/>
    <hyperlink r:id="rId1781" location="id=60939&amp;action=152&amp;model=crm.lead&amp;view_type=form&amp;menu_id=111" ref="B1139"/>
    <hyperlink r:id="rId1782" location="id=60907&amp;action=152&amp;model=crm.lead&amp;view_type=form&amp;menu_id=111" ref="B1140"/>
    <hyperlink r:id="rId1783" location="id=60882&amp;action=152&amp;model=crm.lead&amp;view_type=form&amp;menu_id=111" ref="B1141"/>
    <hyperlink r:id="rId1784" location="id=60891&amp;action=152&amp;model=crm.lead&amp;view_type=form&amp;menu_id=111" ref="B1142"/>
    <hyperlink r:id="rId1785" location="id=60878&amp;action=152&amp;model=crm.lead&amp;view_type=form&amp;menu_id=111" ref="B1143"/>
    <hyperlink r:id="rId1786" location="id=60867&amp;action=152&amp;model=crm.lead&amp;view_type=form&amp;menu_id=111" ref="B1144"/>
    <hyperlink r:id="rId1787" location="id=60859&amp;action=152&amp;model=crm.lead&amp;view_type=form&amp;menu_id=111" ref="B1145"/>
    <hyperlink r:id="rId1788" location="id=60851&amp;action=152&amp;model=crm.lead&amp;view_type=form&amp;menu_id=111" ref="B1146"/>
    <hyperlink r:id="rId1789" location="id=60825&amp;action=152&amp;model=crm.lead&amp;view_type=form&amp;menu_id=111" ref="B1147"/>
    <hyperlink r:id="rId1790" location="id=60822&amp;action=152&amp;model=crm.lead&amp;view_type=form&amp;menu_id=111" ref="B1148"/>
    <hyperlink r:id="rId1791" location="id=60818&amp;action=152&amp;model=crm.lead&amp;view_type=form&amp;menu_id=111" ref="B1149"/>
    <hyperlink r:id="rId1792" location="id=60813&amp;action=152&amp;model=crm.lead&amp;view_type=form&amp;menu_id=111" ref="B1150"/>
    <hyperlink r:id="rId1793" location="id=60800&amp;action=152&amp;model=crm.lead&amp;view_type=form&amp;menu_id=111" ref="B1151"/>
    <hyperlink r:id="rId1794" location="id=60736&amp;action=152&amp;model=crm.lead&amp;view_type=form&amp;menu_id=111" ref="B1152"/>
    <hyperlink r:id="rId1795" location="id=60789&amp;action=152&amp;model=crm.lead&amp;view_type=form&amp;menu_id=111" ref="B1153"/>
    <hyperlink r:id="rId1796" location="id=60783&amp;action=152&amp;model=crm.lead&amp;view_type=form&amp;menu_id=111" ref="B1154"/>
    <hyperlink r:id="rId1797" location="id=60778&amp;action=152&amp;model=crm.lead&amp;view_type=form&amp;menu_id=111" ref="B1155"/>
    <hyperlink r:id="rId1798" location="id=60753&amp;action=152&amp;model=crm.lead&amp;view_type=form&amp;menu_id=111" ref="B1156"/>
    <hyperlink r:id="rId1799" location="id=60755&amp;action=152&amp;model=crm.lead&amp;view_type=form&amp;menu_id=111" ref="B1157"/>
    <hyperlink r:id="rId1800" location="id=60756&amp;action=152&amp;model=crm.lead&amp;view_type=form&amp;menu_id=111" ref="B1158"/>
    <hyperlink r:id="rId1801" location="id=60763&amp;action=152&amp;model=crm.lead&amp;view_type=form&amp;menu_id=111" ref="B1159"/>
    <hyperlink r:id="rId1802" location="id=60770&amp;action=152&amp;model=crm.lead&amp;view_type=form&amp;menu_id=111" ref="B1160"/>
    <hyperlink r:id="rId1803" location="id=60713&amp;action=152&amp;model=crm.lead&amp;view_type=form&amp;menu_id=111" ref="B1161"/>
    <hyperlink r:id="rId1804" location="id=60710&amp;action=152&amp;model=crm.lead&amp;view_type=form&amp;menu_id=111" ref="B1162"/>
    <hyperlink r:id="rId1805" location="id=60697&amp;action=152&amp;model=crm.lead&amp;view_type=form&amp;menu_id=111" ref="B1163"/>
    <hyperlink r:id="rId1806" location="id=60702&amp;action=152&amp;model=crm.lead&amp;view_type=form&amp;menu_id=111" ref="B1164"/>
    <hyperlink r:id="rId1807" location="id=60657&amp;action=152&amp;model=crm.lead&amp;view_type=form&amp;menu_id=111" ref="B1165"/>
    <hyperlink r:id="rId1808" location="id=60690&amp;action=152&amp;model=crm.lead&amp;view_type=form&amp;menu_id=111" ref="B1166"/>
    <hyperlink r:id="rId1809" location="id=60691&amp;action=152&amp;model=crm.lead&amp;view_type=form&amp;menu_id=111" ref="B1167"/>
    <hyperlink r:id="rId1810" location="id=60629&amp;action=152&amp;model=crm.lead&amp;view_type=form&amp;menu_id=111" ref="B1168"/>
    <hyperlink r:id="rId1811" location="id=60623&amp;action=152&amp;model=crm.lead&amp;view_type=form&amp;menu_id=111" ref="B1169"/>
    <hyperlink r:id="rId1812" location="id=60627&amp;action=152&amp;model=crm.lead&amp;view_type=form&amp;menu_id=111" ref="B1170"/>
    <hyperlink r:id="rId1813" location="id=60582&amp;action=152&amp;model=crm.lead&amp;view_type=form&amp;menu_id=111" ref="B1171"/>
    <hyperlink r:id="rId1814" location="id=60598&amp;action=152&amp;model=crm.lead&amp;view_type=form&amp;menu_id=111" ref="B1172"/>
    <hyperlink r:id="rId1815" location="id=60607&amp;action=152&amp;model=crm.lead&amp;view_type=form&amp;menu_id=111" ref="B1173"/>
    <hyperlink r:id="rId1816" location="id=60609&amp;action=152&amp;model=crm.lead&amp;view_type=form&amp;menu_id=111" ref="B1174"/>
    <hyperlink r:id="rId1817" location="id=60611&amp;action=152&amp;model=crm.lead&amp;view_type=form&amp;menu_id=111" ref="B1175"/>
    <hyperlink r:id="rId1818" location="id=60604&amp;action=152&amp;model=crm.lead&amp;view_type=form&amp;menu_id=111" ref="B1176"/>
    <hyperlink r:id="rId1819" location="id=60584&amp;action=152&amp;model=crm.lead&amp;view_type=form&amp;menu_id=111" ref="B1177"/>
    <hyperlink r:id="rId1820" location="id=60600&amp;action=152&amp;model=crm.lead&amp;view_type=form&amp;menu_id=111" ref="B1178"/>
    <hyperlink r:id="rId1821" location="id=60596&amp;action=152&amp;model=crm.lead&amp;view_type=form&amp;menu_id=111" ref="B1179"/>
    <hyperlink r:id="rId1822" location="id=60588&amp;action=152&amp;model=crm.lead&amp;view_type=form&amp;menu_id=111" ref="B1180"/>
    <hyperlink r:id="rId1823" location="id=60559&amp;action=152&amp;model=crm.lead&amp;view_type=form&amp;menu_id=111" ref="B1181"/>
    <hyperlink r:id="rId1824" location="id=60587&amp;action=152&amp;model=crm.lead&amp;view_type=form&amp;menu_id=111" ref="B1182"/>
    <hyperlink r:id="rId1825" location="id=60533&amp;action=152&amp;model=crm.lead&amp;view_type=form&amp;menu_id=111" ref="B1183"/>
    <hyperlink r:id="rId1826" location="id=60526&amp;action=152&amp;model=crm.lead&amp;view_type=form&amp;menu_id=111" ref="B1184"/>
    <hyperlink r:id="rId1827" location="id=60525&amp;action=152&amp;model=crm.lead&amp;view_type=form&amp;menu_id=111" ref="B1185"/>
    <hyperlink r:id="rId1828" location="id=60504&amp;action=152&amp;model=crm.lead&amp;view_type=form&amp;menu_id=111" ref="B1186"/>
    <hyperlink r:id="rId1829" location="id=60516&amp;action=152&amp;model=crm.lead&amp;view_type=form&amp;menu_id=111" ref="B1187"/>
    <hyperlink r:id="rId1830" location="id=60501&amp;action=152&amp;model=crm.lead&amp;view_type=form&amp;menu_id=111" ref="B1188"/>
    <hyperlink r:id="rId1831" location="id=60499&amp;action=152&amp;model=crm.lead&amp;view_type=form&amp;menu_id=111" ref="B1189"/>
    <hyperlink r:id="rId1832" location="id=60498&amp;action=152&amp;model=crm.lead&amp;view_type=form&amp;menu_id=111" ref="B1190"/>
    <hyperlink r:id="rId1833" location="id=60490&amp;action=152&amp;model=crm.lead&amp;view_type=form&amp;menu_id=111" ref="B1191"/>
    <hyperlink r:id="rId1834" location="id=60491&amp;action=152&amp;model=crm.lead&amp;view_type=form&amp;menu_id=111" ref="B1192"/>
    <hyperlink r:id="rId1835" location="id=60432&amp;action=152&amp;model=crm.lead&amp;view_type=form&amp;menu_id=111" ref="B1193"/>
    <hyperlink r:id="rId1836" location="id=60402&amp;action=152&amp;model=crm.lead&amp;view_type=form&amp;menu_id=111" ref="B1194"/>
    <hyperlink r:id="rId1837" location="id=60412&amp;action=152&amp;model=crm.lead&amp;view_type=form&amp;menu_id=111" ref="B1195"/>
    <hyperlink r:id="rId1838" location="id=60383&amp;action=152&amp;model=crm.lead&amp;view_type=form&amp;menu_id=111" ref="B1196"/>
    <hyperlink r:id="rId1839" location="id=60359&amp;action=152&amp;model=crm.lead&amp;view_type=form&amp;menu_id=111" ref="B1197"/>
    <hyperlink r:id="rId1840" location="id=60366&amp;action=152&amp;model=crm.lead&amp;view_type=form&amp;menu_id=111" ref="B1198"/>
    <hyperlink r:id="rId1841" location="id=60355&amp;action=152&amp;model=crm.lead&amp;view_type=form&amp;menu_id=111" ref="B1199"/>
    <hyperlink r:id="rId1842" location="id=60342&amp;action=152&amp;model=crm.lead&amp;view_type=form&amp;menu_id=111" ref="B1200"/>
    <hyperlink r:id="rId1843" location="id=60326&amp;action=152&amp;model=crm.lead&amp;view_type=form&amp;menu_id=111" ref="B1201"/>
    <hyperlink r:id="rId1844" location="id=60324&amp;action=152&amp;model=crm.lead&amp;view_type=form&amp;menu_id=111" ref="B1202"/>
    <hyperlink r:id="rId1845" location="id=60319&amp;action=152&amp;model=crm.lead&amp;view_type=form&amp;menu_id=111" ref="B1203"/>
    <hyperlink r:id="rId1846" location="id=60318&amp;action=152&amp;model=crm.lead&amp;view_type=form&amp;menu_id=111" ref="B1204"/>
    <hyperlink r:id="rId1847" location="id=60313&amp;action=152&amp;model=crm.lead&amp;view_type=form&amp;menu_id=111" ref="B1205"/>
    <hyperlink r:id="rId1848" location="id=60287&amp;action=152&amp;model=crm.lead&amp;view_type=form&amp;menu_id=111" ref="B1206"/>
    <hyperlink r:id="rId1849" location="id=60280&amp;action=152&amp;model=crm.lead&amp;view_type=form&amp;menu_id=111" ref="B1207"/>
    <hyperlink r:id="rId1850" location="id=60275&amp;action=152&amp;model=crm.lead&amp;view_type=form&amp;menu_id=111" ref="B1208"/>
    <hyperlink r:id="rId1851" location="id=60265&amp;action=152&amp;model=crm.lead&amp;view_type=form&amp;menu_id=111" ref="B1209"/>
    <hyperlink r:id="rId1852" location="id=60250&amp;action=152&amp;model=crm.lead&amp;view_type=form&amp;menu_id=111" ref="B1210"/>
    <hyperlink r:id="rId1853" location="id=60247&amp;action=152&amp;model=crm.lead&amp;view_type=form&amp;menu_id=111" ref="B1211"/>
    <hyperlink r:id="rId1854" location="id=60244&amp;action=152&amp;model=crm.lead&amp;view_type=form&amp;menu_id=111" ref="B1212"/>
    <hyperlink r:id="rId1855" location="id=60238&amp;action=152&amp;model=crm.lead&amp;view_type=form&amp;menu_id=111" ref="B1213"/>
    <hyperlink r:id="rId1856" location="id=60233&amp;action=152&amp;model=crm.lead&amp;view_type=form&amp;menu_id=111" ref="B1214"/>
    <hyperlink r:id="rId1857" location="id=60212&amp;action=152&amp;model=crm.lead&amp;view_type=form&amp;menu_id=111" ref="B1215"/>
    <hyperlink r:id="rId1858" location="id=60180&amp;action=152&amp;model=crm.lead&amp;view_type=form&amp;menu_id=111" ref="B1216"/>
    <hyperlink r:id="rId1859" location="id=60192&amp;action=152&amp;model=crm.lead&amp;view_type=form&amp;menu_id=111" ref="B1217"/>
    <hyperlink r:id="rId1860" location="id=60202&amp;action=152&amp;model=crm.lead&amp;view_type=form&amp;menu_id=111" ref="B1218"/>
    <hyperlink r:id="rId1861" location="id=60219&amp;action=152&amp;model=crm.lead&amp;view_type=form&amp;menu_id=111" ref="B1219"/>
    <hyperlink r:id="rId1862" location="id=60221&amp;action=152&amp;model=crm.lead&amp;view_type=form&amp;menu_id=111" ref="B1220"/>
    <hyperlink r:id="rId1863" location="id=60172&amp;action=152&amp;model=crm.lead&amp;view_type=form&amp;menu_id=111" ref="B1221"/>
    <hyperlink r:id="rId1864" location="id=60167&amp;action=152&amp;model=crm.lead&amp;view_type=form&amp;menu_id=111" ref="B1222"/>
    <hyperlink r:id="rId1865" location="id=60142&amp;action=152&amp;model=crm.lead&amp;view_type=form&amp;menu_id=111" ref="B1223"/>
    <hyperlink r:id="rId1866" location="id=60155&amp;action=152&amp;model=crm.lead&amp;view_type=form&amp;menu_id=111" ref="B1224"/>
    <hyperlink r:id="rId1867" location="id=60120&amp;action=152&amp;model=crm.lead&amp;view_type=form&amp;menu_id=111" ref="B1225"/>
    <hyperlink r:id="rId1868" location="id=60112&amp;action=152&amp;model=crm.lead&amp;view_type=form&amp;menu_id=111" ref="B1226"/>
    <hyperlink r:id="rId1869" location="id=60109&amp;action=152&amp;model=crm.lead&amp;view_type=form&amp;menu_id=111" ref="B1227"/>
    <hyperlink r:id="rId1870" location="id=60101&amp;action=152&amp;model=crm.lead&amp;view_type=form&amp;menu_id=111" ref="B1228"/>
    <hyperlink r:id="rId1871" location="id=60096&amp;action=152&amp;model=crm.lead&amp;view_type=form&amp;menu_id=111" ref="B1229"/>
    <hyperlink r:id="rId1872" location="id=60073&amp;action=152&amp;model=crm.lead&amp;view_type=form&amp;menu_id=111" ref="B1230"/>
    <hyperlink r:id="rId1873" location="id=60067&amp;action=152&amp;model=crm.lead&amp;view_type=form&amp;menu_id=111" ref="B1231"/>
    <hyperlink r:id="rId1874" location="id=60059&amp;action=152&amp;model=crm.lead&amp;view_type=form&amp;menu_id=111" ref="B1232"/>
    <hyperlink r:id="rId1875" location="id=60027&amp;action=152&amp;model=crm.lead&amp;view_type=form&amp;menu_id=111" ref="B1233"/>
    <hyperlink r:id="rId1876" location="id=60036&amp;action=152&amp;model=crm.lead&amp;view_type=form&amp;menu_id=111" ref="B1234"/>
    <hyperlink r:id="rId1877" location="id=60034&amp;action=152&amp;model=crm.lead&amp;view_type=form&amp;menu_id=111" ref="B1235"/>
    <hyperlink r:id="rId1878" location="id=59999&amp;action=152&amp;model=crm.lead&amp;view_type=form&amp;menu_id=111" ref="B1236"/>
    <hyperlink r:id="rId1879" location="id=59964&amp;action=152&amp;model=crm.lead&amp;view_type=form&amp;menu_id=111" ref="B1237"/>
    <hyperlink r:id="rId1880" location="id=59951&amp;action=152&amp;model=crm.lead&amp;view_type=form&amp;menu_id=111" ref="B1238"/>
    <hyperlink r:id="rId1881" location="id=59942&amp;action=152&amp;model=crm.lead&amp;view_type=form&amp;menu_id=111" ref="B1239"/>
    <hyperlink r:id="rId1882" location="id=59937&amp;action=152&amp;model=crm.lead&amp;view_type=form&amp;menu_id=111" ref="B1240"/>
    <hyperlink r:id="rId1883" location="id=59890&amp;action=152&amp;model=crm.lead&amp;view_type=form&amp;menu_id=111" ref="B1241"/>
    <hyperlink r:id="rId1884" location="id=59914&amp;action=152&amp;model=crm.lead&amp;view_type=form&amp;menu_id=111" ref="B1242"/>
    <hyperlink r:id="rId1885" location="id=59896&amp;action=152&amp;model=crm.lead&amp;view_type=form&amp;menu_id=111" ref="B1243"/>
    <hyperlink r:id="rId1886" location="id=59864&amp;action=152&amp;model=crm.lead&amp;view_type=form&amp;menu_id=111" ref="B1244"/>
    <hyperlink r:id="rId1887" location="id=59857&amp;action=152&amp;model=crm.lead&amp;view_type=form&amp;menu_id=111" ref="B1245"/>
    <hyperlink r:id="rId1888" location="id=59836&amp;action=152&amp;model=crm.lead&amp;view_type=form&amp;menu_id=111" ref="B1246"/>
    <hyperlink r:id="rId1889" location="id=59838&amp;action=152&amp;model=crm.lead&amp;view_type=form&amp;menu_id=111" ref="B1247"/>
    <hyperlink r:id="rId1890" location="id=59784&amp;action=152&amp;model=crm.lead&amp;view_type=form&amp;menu_id=111" ref="B1248"/>
    <hyperlink r:id="rId1891" location="id=59778&amp;action=152&amp;model=crm.lead&amp;view_type=form&amp;menu_id=111" ref="B1249"/>
    <hyperlink r:id="rId1892" location="id=59770&amp;action=152&amp;model=crm.lead&amp;view_type=form&amp;menu_id=111" ref="B1250"/>
    <hyperlink r:id="rId1893" location="id=59772&amp;action=152&amp;model=crm.lead&amp;view_type=form&amp;menu_id=111" ref="B1251"/>
    <hyperlink r:id="rId1894" location="id=59733&amp;action=152&amp;model=crm.lead&amp;view_type=form&amp;menu_id=111" ref="B1252"/>
    <hyperlink r:id="rId1895" location="id=59662&amp;action=152&amp;model=crm.lead&amp;view_type=form&amp;menu_id=111" ref="B1253"/>
    <hyperlink r:id="rId1896" location="id=59669&amp;action=152&amp;model=crm.lead&amp;view_type=form&amp;menu_id=111" ref="B1254"/>
    <hyperlink r:id="rId1897" location="id=59679&amp;action=152&amp;model=crm.lead&amp;view_type=form&amp;menu_id=111" ref="B1255"/>
    <hyperlink r:id="rId1898" location="id=59685&amp;action=152&amp;model=crm.lead&amp;view_type=form&amp;menu_id=111" ref="B1256"/>
    <hyperlink r:id="rId1899" location="id=59612&amp;action=152&amp;model=crm.lead&amp;view_type=form&amp;menu_id=111" ref="B1257"/>
    <hyperlink r:id="rId1900" location="id=59609&amp;action=152&amp;model=crm.lead&amp;view_type=form&amp;menu_id=111" ref="B1258"/>
    <hyperlink r:id="rId1901" location="id=59572&amp;action=152&amp;model=crm.lead&amp;view_type=form&amp;menu_id=111" ref="B1259"/>
    <hyperlink r:id="rId1902" location="id=59567&amp;action=152&amp;model=crm.lead&amp;view_type=form&amp;menu_id=111" ref="B1260"/>
    <hyperlink r:id="rId1903" location="id=59556&amp;action=152&amp;model=crm.lead&amp;view_type=form&amp;menu_id=111" ref="B1261"/>
    <hyperlink r:id="rId1904" location="id=59554&amp;action=152&amp;model=crm.lead&amp;view_type=form&amp;menu_id=111" ref="B1262"/>
    <hyperlink r:id="rId1905" location="id=59532&amp;action=152&amp;model=crm.lead&amp;view_type=form&amp;menu_id=111" ref="B1263"/>
    <hyperlink r:id="rId1906" location="id=59520&amp;action=152&amp;model=crm.lead&amp;view_type=form&amp;menu_id=111" ref="B1264"/>
    <hyperlink r:id="rId1907" location="id=59478&amp;action=152&amp;model=crm.lead&amp;view_type=form&amp;menu_id=111" ref="B1265"/>
    <hyperlink r:id="rId1908" location="id=59487&amp;action=152&amp;model=crm.lead&amp;view_type=form&amp;menu_id=111" ref="B1266"/>
    <hyperlink r:id="rId1909" location="id=59497&amp;action=152&amp;model=crm.lead&amp;view_type=form&amp;menu_id=111" ref="B1267"/>
    <hyperlink r:id="rId1910" location="id=59456&amp;action=152&amp;model=crm.lead&amp;view_type=form&amp;menu_id=111" ref="B1269"/>
    <hyperlink r:id="rId1911" location="id=59402&amp;action=152&amp;model=crm.lead&amp;view_type=form&amp;menu_id=111" ref="B1270"/>
    <hyperlink r:id="rId1912" location="id=59421&amp;action=152&amp;model=crm.lead&amp;view_type=form&amp;menu_id=111" ref="B1271"/>
    <hyperlink r:id="rId1913" location="id=59414&amp;action=152&amp;model=crm.lead&amp;view_type=form&amp;menu_id=111" ref="B1272"/>
    <hyperlink r:id="rId1914" location="id=59410&amp;action=152&amp;model=crm.lead&amp;view_type=form&amp;menu_id=111" ref="B1273"/>
    <hyperlink r:id="rId1915" location="id=59365&amp;action=152&amp;model=crm.lead&amp;view_type=form&amp;menu_id=111" ref="B1274"/>
    <hyperlink r:id="rId1916" location="id=59358&amp;action=152&amp;model=crm.lead&amp;view_type=form&amp;menu_id=111" ref="B1275"/>
    <hyperlink r:id="rId1917" location="id=59352&amp;action=152&amp;model=crm.lead&amp;view_type=form&amp;menu_id=111" ref="B1276"/>
    <hyperlink r:id="rId1918" location="id=59343&amp;action=152&amp;model=crm.lead&amp;view_type=form&amp;menu_id=111" ref="B1277"/>
    <hyperlink r:id="rId1919" location="id=59246&amp;action=152&amp;model=crm.lead&amp;view_type=form&amp;menu_id=111" ref="B1278"/>
    <hyperlink r:id="rId1920" location="id=59241&amp;action=152&amp;model=crm.lead&amp;view_type=form&amp;menu_id=111" ref="B1279"/>
    <hyperlink r:id="rId1921" location="id=59193&amp;action=152&amp;model=crm.lead&amp;view_type=form&amp;menu_id=111" ref="B1280"/>
    <hyperlink r:id="rId1922" location="id=59179&amp;action=152&amp;model=crm.lead&amp;view_type=form&amp;menu_id=111" ref="B1281"/>
    <hyperlink r:id="rId1923" location="id=59178&amp;action=152&amp;model=crm.lead&amp;view_type=form&amp;menu_id=111" ref="B1282"/>
    <hyperlink r:id="rId1924" location="id=59163&amp;action=152&amp;model=crm.lead&amp;view_type=form&amp;menu_id=111" ref="B1283"/>
    <hyperlink r:id="rId1925" location="id=59146&amp;action=152&amp;model=crm.lead&amp;view_type=form&amp;menu_id=111" ref="B1284"/>
    <hyperlink r:id="rId1926" location="id=59138&amp;action=152&amp;model=crm.lead&amp;view_type=form&amp;menu_id=111" ref="B1285"/>
    <hyperlink r:id="rId1927" location="id=59133&amp;action=152&amp;model=crm.lead&amp;view_type=form&amp;menu_id=111" ref="B1286"/>
    <hyperlink r:id="rId1928" location="id=59132&amp;action=152&amp;model=crm.lead&amp;view_type=form&amp;menu_id=111" ref="B1287"/>
    <hyperlink r:id="rId1929" location="id=59086&amp;action=152&amp;model=crm.lead&amp;view_type=form&amp;menu_id=111" ref="B1288"/>
    <hyperlink r:id="rId1930" location="id=59056&amp;action=152&amp;model=crm.lead&amp;view_type=form&amp;menu_id=111" ref="B1289"/>
    <hyperlink r:id="rId1931" location="id=58980&amp;action=152&amp;model=crm.lead&amp;view_type=form&amp;menu_id=111" ref="B1290"/>
    <hyperlink r:id="rId1932" location="id=59050&amp;action=152&amp;model=crm.lead&amp;view_type=form&amp;menu_id=111" ref="B1291"/>
    <hyperlink r:id="rId1933" location="id=58972&amp;action=152&amp;model=crm.lead&amp;view_type=form&amp;menu_id=111" ref="B1292"/>
    <hyperlink r:id="rId1934" location="id=59038&amp;action=152&amp;model=crm.lead&amp;view_type=form&amp;menu_id=111" ref="B1293"/>
    <hyperlink r:id="rId1935" location="id=59043&amp;action=152&amp;model=crm.lead&amp;view_type=form&amp;menu_id=111" ref="B1294"/>
    <hyperlink r:id="rId1936" location="id=58989&amp;action=152&amp;model=crm.lead&amp;view_type=form&amp;menu_id=111" ref="B1295"/>
    <hyperlink r:id="rId1937" location="id=58983&amp;action=152&amp;model=crm.lead&amp;view_type=form&amp;menu_id=111" ref="B1296"/>
    <hyperlink r:id="rId1938" location="id=59031&amp;action=152&amp;model=crm.lead&amp;view_type=form&amp;menu_id=111" ref="B1297"/>
    <hyperlink r:id="rId1939" location="id=59036&amp;action=152&amp;model=crm.lead&amp;view_type=form&amp;menu_id=111" ref="B1298"/>
    <hyperlink r:id="rId1940" location="id=58967&amp;action=152&amp;model=crm.lead&amp;view_type=form&amp;menu_id=111" ref="B1299"/>
    <hyperlink r:id="rId1941" location="id=58927&amp;action=152&amp;model=crm.lead&amp;view_type=form&amp;menu_id=111" ref="B1300"/>
    <hyperlink r:id="rId1942" location="id=58931&amp;action=152&amp;model=crm.lead&amp;view_type=form&amp;menu_id=111" ref="B1301"/>
    <hyperlink r:id="rId1943" location="id=58928&amp;action=152&amp;model=crm.lead&amp;view_type=form&amp;menu_id=111" ref="B1302"/>
    <hyperlink r:id="rId1944" location="id=58920&amp;action=152&amp;model=crm.lead&amp;view_type=form&amp;menu_id=111" ref="B1303"/>
    <hyperlink r:id="rId1945" location="id=58912&amp;action=152&amp;model=crm.lead&amp;view_type=form&amp;menu_id=111" ref="B1304"/>
    <hyperlink r:id="rId1946" location="id=58874&amp;action=152&amp;model=crm.lead&amp;view_type=form&amp;menu_id=111" ref="B1305"/>
    <hyperlink r:id="rId1947" location="id=58869&amp;action=152&amp;model=crm.lead&amp;view_type=form&amp;menu_id=111" ref="B1306"/>
    <hyperlink r:id="rId1948" location="id=58821&amp;action=152&amp;model=crm.lead&amp;view_type=form&amp;menu_id=111" ref="B1307"/>
    <hyperlink r:id="rId1949" location="id=58799&amp;action=152&amp;model=crm.lead&amp;view_type=form&amp;menu_id=111" ref="B1308"/>
    <hyperlink r:id="rId1950" location="id=58769&amp;action=152&amp;model=crm.lead&amp;view_type=form&amp;menu_id=111" ref="B1309"/>
    <hyperlink r:id="rId1951" location="id=58764&amp;action=152&amp;model=crm.lead&amp;view_type=form&amp;menu_id=111" ref="B1310"/>
    <hyperlink r:id="rId1952" location="id=58747&amp;action=152&amp;model=crm.lead&amp;view_type=form&amp;menu_id=111" ref="B1311"/>
    <hyperlink r:id="rId1953" location="id=58755&amp;action=152&amp;model=crm.lead&amp;view_type=form&amp;menu_id=111" ref="B1312"/>
    <hyperlink r:id="rId1954" location="id=58737&amp;action=152&amp;model=crm.lead&amp;view_type=form&amp;menu_id=111" ref="B1313"/>
    <hyperlink r:id="rId1955" location="id=58722&amp;action=152&amp;model=crm.lead&amp;view_type=form&amp;menu_id=111" ref="B1314"/>
    <hyperlink r:id="rId1956" location="id=58723&amp;action=152&amp;model=crm.lead&amp;view_type=form&amp;menu_id=111" ref="B1315"/>
    <hyperlink r:id="rId1957" location="id=58721&amp;action=152&amp;model=crm.lead&amp;view_type=form&amp;menu_id=111" ref="B1316"/>
    <hyperlink r:id="rId1958" location="id=58673&amp;action=152&amp;model=crm.lead&amp;view_type=form&amp;menu_id=111" ref="B1317"/>
    <hyperlink r:id="rId1959" location="id=58684&amp;action=152&amp;model=crm.lead&amp;view_type=form&amp;menu_id=111" ref="B1318"/>
    <hyperlink r:id="rId1960" location="id=58695&amp;action=152&amp;model=crm.lead&amp;view_type=form&amp;menu_id=111" ref="B1319"/>
    <hyperlink r:id="rId1961" location="id=58703&amp;action=152&amp;model=crm.lead&amp;view_type=form&amp;menu_id=111" ref="B1320"/>
    <hyperlink r:id="rId1962" location="id=58663&amp;action=152&amp;model=crm.lead&amp;view_type=form&amp;menu_id=111" ref="B1321"/>
    <hyperlink r:id="rId1963" location="id=58660&amp;action=152&amp;model=crm.lead&amp;view_type=form&amp;menu_id=111" ref="B1322"/>
    <hyperlink r:id="rId1964" location="id=58634&amp;action=152&amp;model=crm.lead&amp;view_type=form&amp;menu_id=111" ref="B1323"/>
    <hyperlink r:id="rId1965" location="id=58642&amp;action=152&amp;model=crm.lead&amp;view_type=form&amp;menu_id=111" ref="B1324"/>
    <hyperlink r:id="rId1966" location="id=58625&amp;action=152&amp;model=crm.lead&amp;view_type=form&amp;menu_id=111" ref="B1325"/>
    <hyperlink r:id="rId1967" location="id=58613&amp;action=152&amp;model=crm.lead&amp;view_type=form&amp;menu_id=111" ref="B1326"/>
    <hyperlink r:id="rId1968" location="id=58583&amp;action=152&amp;model=crm.lead&amp;view_type=form&amp;menu_id=111" ref="B1327"/>
    <hyperlink r:id="rId1969" location="id=58594&amp;action=152&amp;model=crm.lead&amp;view_type=form&amp;menu_id=111" ref="B1328"/>
    <hyperlink r:id="rId1970" location="id=58609&amp;action=152&amp;model=crm.lead&amp;view_type=form&amp;menu_id=111" ref="B1329"/>
    <hyperlink r:id="rId1971" location="id=58581&amp;action=152&amp;model=crm.lead&amp;view_type=form&amp;menu_id=111" ref="B1330"/>
    <hyperlink r:id="rId1972" location="id=58578&amp;action=152&amp;model=crm.lead&amp;view_type=form&amp;menu_id=111" ref="B1331"/>
    <hyperlink r:id="rId1973" location="id=58569&amp;action=152&amp;model=crm.lead&amp;view_type=form&amp;menu_id=111" ref="B1332"/>
    <hyperlink r:id="rId1974" location="id=58538&amp;action=152&amp;model=crm.lead&amp;view_type=form&amp;menu_id=111" ref="B1333"/>
    <hyperlink r:id="rId1975" location="id=58531&amp;action=152&amp;model=crm.lead&amp;view_type=form&amp;menu_id=111" ref="B1334"/>
    <hyperlink r:id="rId1976" location="id=58526&amp;action=152&amp;model=crm.lead&amp;view_type=form&amp;menu_id=111" ref="B1335"/>
    <hyperlink r:id="rId1977" location="id=58494&amp;action=152&amp;model=crm.lead&amp;view_type=form&amp;menu_id=111" ref="B1336"/>
    <hyperlink r:id="rId1978" location="id=58453&amp;action=152&amp;model=crm.lead&amp;view_type=form&amp;menu_id=111" ref="B1337"/>
    <hyperlink r:id="rId1979" location="id=58447&amp;action=152&amp;model=crm.lead&amp;view_type=form&amp;menu_id=111" ref="B1338"/>
    <hyperlink r:id="rId1980" location="id=58442&amp;action=152&amp;model=crm.lead&amp;view_type=form&amp;menu_id=111" ref="B1339"/>
    <hyperlink r:id="rId1981" location="id=58430&amp;action=152&amp;model=crm.lead&amp;view_type=form&amp;menu_id=111" ref="B1340"/>
    <hyperlink r:id="rId1982" location="id=58405&amp;action=152&amp;model=crm.lead&amp;view_type=form&amp;menu_id=111" ref="B1341"/>
    <hyperlink r:id="rId1983" location="id=58431&amp;action=152&amp;model=crm.lead&amp;view_type=form&amp;menu_id=111" ref="B1342"/>
    <hyperlink r:id="rId1984" location="id=58434&amp;action=152&amp;model=crm.lead&amp;view_type=form&amp;menu_id=111" ref="B1343"/>
    <hyperlink r:id="rId1985" location="id=58336&amp;action=152&amp;model=crm.lead&amp;view_type=form&amp;menu_id=111" ref="B1344"/>
    <hyperlink r:id="rId1986" location="id=58321&amp;action=152&amp;model=crm.lead&amp;view_type=form&amp;menu_id=111" ref="B1345"/>
    <hyperlink r:id="rId1987" location="id=58315&amp;action=152&amp;model=crm.lead&amp;view_type=form&amp;menu_id=111" ref="B1346"/>
    <hyperlink r:id="rId1988" location="id=58307&amp;action=152&amp;model=crm.lead&amp;view_type=form&amp;menu_id=111" ref="B1347"/>
    <hyperlink r:id="rId1989" location="id=58289&amp;action=152&amp;model=crm.lead&amp;view_type=form&amp;menu_id=111" ref="B1348"/>
    <hyperlink r:id="rId1990" location="id=58273&amp;action=152&amp;model=crm.lead&amp;view_type=form&amp;menu_id=111" ref="B1349"/>
    <hyperlink r:id="rId1991" location="id=58269&amp;action=152&amp;model=crm.lead&amp;view_type=form&amp;menu_id=111" ref="B1350"/>
    <hyperlink r:id="rId1992" location="id=58247&amp;action=152&amp;model=crm.lead&amp;view_type=form&amp;menu_id=111" ref="B1351"/>
    <hyperlink r:id="rId1993" location="id=58210&amp;action=152&amp;model=crm.lead&amp;view_type=form&amp;menu_id=111" ref="B1352"/>
    <hyperlink r:id="rId1994" location="id=58225&amp;action=152&amp;model=crm.lead&amp;view_type=form&amp;menu_id=111" ref="B1353"/>
    <hyperlink r:id="rId1995" location="id=58189&amp;action=152&amp;model=crm.lead&amp;view_type=form&amp;menu_id=111" ref="B1354"/>
    <hyperlink r:id="rId1996" location="id=58074&amp;action=152&amp;model=crm.lead&amp;view_type=form&amp;menu_id=111" ref="B1355"/>
    <hyperlink r:id="rId1997" location="id=58080&amp;action=152&amp;model=crm.lead&amp;view_type=form&amp;menu_id=111" ref="B1356"/>
    <hyperlink r:id="rId1998" location="id=58130&amp;action=152&amp;model=crm.lead&amp;view_type=form&amp;menu_id=111" ref="B1357"/>
    <hyperlink r:id="rId1999" location="id=58129&amp;action=152&amp;model=crm.lead&amp;view_type=form&amp;menu_id=111" ref="B1358"/>
    <hyperlink r:id="rId2000" location="id=58124&amp;action=152&amp;model=crm.lead&amp;view_type=form&amp;menu_id=111" ref="B1359"/>
    <hyperlink r:id="rId2001" location="id=58070&amp;action=152&amp;model=crm.lead&amp;view_type=form&amp;menu_id=111" ref="B1360"/>
    <hyperlink r:id="rId2002" location="id=58075&amp;action=152&amp;model=crm.lead&amp;view_type=form&amp;menu_id=111" ref="B1361"/>
    <hyperlink r:id="rId2003" location="id=58101&amp;action=152&amp;model=crm.lead&amp;view_type=form&amp;menu_id=111" ref="B1362"/>
    <hyperlink r:id="rId2004" location="id=58105&amp;action=152&amp;model=crm.lead&amp;view_type=form&amp;menu_id=111" ref="B1363"/>
    <hyperlink r:id="rId2005" location="id=57765&amp;action=152&amp;model=crm.lead&amp;view_type=form&amp;menu_id=111" ref="B1364"/>
    <hyperlink r:id="rId2006" location="id=58031&amp;action=152&amp;model=crm.lead&amp;view_type=form&amp;menu_id=111" ref="B1365"/>
    <hyperlink r:id="rId2007" location="id=58020&amp;action=152&amp;model=crm.lead&amp;view_type=form&amp;menu_id=111" ref="B1366"/>
    <hyperlink r:id="rId2008" location="id=57983&amp;action=152&amp;model=crm.lead&amp;view_type=form&amp;menu_id=111" ref="B1367"/>
    <hyperlink r:id="rId2009" ref="G1367"/>
    <hyperlink r:id="rId2010" location="id=58002&amp;action=152&amp;model=crm.lead&amp;view_type=form&amp;menu_id=111" ref="B1368"/>
    <hyperlink r:id="rId2011" ref="G1368"/>
    <hyperlink r:id="rId2012" location="id=57998&amp;action=152&amp;model=crm.lead&amp;view_type=form&amp;menu_id=111" ref="B1369"/>
    <hyperlink r:id="rId2013" location="id=57958&amp;action=152&amp;model=crm.lead&amp;view_type=form&amp;menu_id=111" ref="B1370"/>
    <hyperlink r:id="rId2014" ref="G1370"/>
    <hyperlink r:id="rId2015" location="id=57953&amp;action=152&amp;model=crm.lead&amp;view_type=form&amp;menu_id=111" ref="B1371"/>
    <hyperlink r:id="rId2016" ref="G1371"/>
    <hyperlink r:id="rId2017" location="id=57951&amp;action=152&amp;model=crm.lead&amp;view_type=form&amp;menu_id=111" ref="B1372"/>
    <hyperlink r:id="rId2018" ref="G1372"/>
    <hyperlink r:id="rId2019" location="id=57957&amp;action=152&amp;model=crm.lead&amp;view_type=form&amp;menu_id=111" ref="B1373"/>
    <hyperlink r:id="rId2020" location="id=57935&amp;action=152&amp;model=crm.lead&amp;view_type=form&amp;menu_id=111" ref="B1374"/>
    <hyperlink r:id="rId2021" ref="G1374"/>
    <hyperlink r:id="rId2022" location="id=57938&amp;action=152&amp;model=crm.lead&amp;view_type=form&amp;menu_id=111" ref="B1375"/>
    <hyperlink r:id="rId2023" ref="G1375"/>
    <hyperlink r:id="rId2024" location="id=57855&amp;action=152&amp;model=crm.lead&amp;view_type=form&amp;menu_id=111" ref="B1376"/>
    <hyperlink r:id="rId2025" ref="G1376"/>
    <hyperlink r:id="rId2026" location="id=57889&amp;action=152&amp;model=crm.lead&amp;view_type=form&amp;menu_id=111" ref="B1377"/>
    <hyperlink r:id="rId2027" ref="G1377"/>
    <hyperlink r:id="rId2028" location="id=57884&amp;action=152&amp;model=crm.lead&amp;view_type=form&amp;menu_id=111" ref="B1378"/>
    <hyperlink r:id="rId2029" ref="G1378"/>
    <hyperlink r:id="rId2030" location="id=57853&amp;action=152&amp;model=crm.lead&amp;view_type=form&amp;menu_id=111" ref="B1379"/>
    <hyperlink r:id="rId2031" ref="G1379"/>
    <hyperlink r:id="rId2032" location="id=57850&amp;action=152&amp;model=crm.lead&amp;view_type=form&amp;menu_id=111" ref="B1380"/>
    <hyperlink r:id="rId2033" location="id=57823&amp;action=152&amp;model=crm.lead&amp;view_type=form&amp;menu_id=111" ref="B1381"/>
    <hyperlink r:id="rId2034" ref="G1381"/>
    <hyperlink r:id="rId2035" location="id=57806&amp;action=152&amp;model=crm.lead&amp;view_type=form&amp;menu_id=111" ref="B1382"/>
    <hyperlink r:id="rId2036" ref="G1382"/>
    <hyperlink r:id="rId2037" location="id=57767&amp;action=152&amp;model=crm.lead&amp;view_type=form&amp;menu_id=111" ref="B1383"/>
    <hyperlink r:id="rId2038" ref="G1383"/>
    <hyperlink r:id="rId2039" location="id=57788&amp;action=152&amp;model=crm.lead&amp;view_type=form&amp;menu_id=111" ref="B1384"/>
    <hyperlink r:id="rId2040" location="id=57792&amp;action=152&amp;model=crm.lead&amp;view_type=form&amp;menu_id=111" ref="B1385"/>
    <hyperlink r:id="rId2041" ref="G1385"/>
    <hyperlink r:id="rId2042" location="id=57679&amp;action=152&amp;model=crm.lead&amp;view_type=form&amp;menu_id=111" ref="B1386"/>
    <hyperlink r:id="rId2043" ref="G1386"/>
    <hyperlink r:id="rId2044" location="id=57714&amp;action=152&amp;model=crm.lead&amp;view_type=form&amp;menu_id=111" ref="B1387"/>
    <hyperlink r:id="rId2045" ref="G1387"/>
    <hyperlink r:id="rId2046" location="id=57667&amp;action=152&amp;model=crm.lead&amp;view_type=form&amp;menu_id=111" ref="B1388"/>
    <hyperlink r:id="rId2047" ref="G1388"/>
    <hyperlink r:id="rId2048" location="id=57687&amp;action=152&amp;model=crm.lead&amp;view_type=form&amp;menu_id=111" ref="B1389"/>
    <hyperlink r:id="rId2049" ref="G1389"/>
    <hyperlink r:id="rId2050" location="id=57693&amp;action=152&amp;model=crm.lead&amp;view_type=form&amp;menu_id=111" ref="B1390"/>
    <hyperlink r:id="rId2051" ref="G1390"/>
    <hyperlink r:id="rId2052" location="id=57697&amp;action=152&amp;model=crm.lead&amp;view_type=form&amp;menu_id=111" ref="B1391"/>
    <hyperlink r:id="rId2053" ref="G1391"/>
    <hyperlink r:id="rId2054" location="id=57698&amp;action=152&amp;model=crm.lead&amp;view_type=form&amp;menu_id=111" ref="B1392"/>
    <hyperlink r:id="rId2055" ref="G1392"/>
    <hyperlink r:id="rId2056" location="id=57699&amp;action=152&amp;model=crm.lead&amp;view_type=form&amp;menu_id=111" ref="B1393"/>
    <hyperlink r:id="rId2057" ref="G1393"/>
    <hyperlink r:id="rId2058" location="id=57670&amp;action=152&amp;model=crm.lead&amp;view_type=form&amp;menu_id=111" ref="B1394"/>
    <hyperlink r:id="rId2059" location="id=57625&amp;action=152&amp;model=crm.lead&amp;view_type=form&amp;menu_id=111" ref="B1395"/>
    <hyperlink r:id="rId2060" location="id=57617&amp;action=152&amp;model=crm.lead&amp;view_type=form&amp;menu_id=111" ref="B1396"/>
    <hyperlink r:id="rId2061" location="id=57615&amp;action=152&amp;model=crm.lead&amp;view_type=form&amp;menu_id=111" ref="B1397"/>
    <hyperlink r:id="rId2062" location="id=57613&amp;action=152&amp;model=crm.lead&amp;view_type=form&amp;menu_id=111" ref="B1398"/>
    <hyperlink r:id="rId2063" location="id=57610&amp;action=152&amp;model=crm.lead&amp;view_type=form&amp;menu_id=111" ref="B1399"/>
    <hyperlink r:id="rId2064" location="id=57583&amp;action=152&amp;model=crm.lead&amp;view_type=form&amp;menu_id=111" ref="B1400"/>
    <hyperlink r:id="rId2065" location="id=57572&amp;action=152&amp;model=crm.lead&amp;view_type=form&amp;menu_id=111" ref="B1401"/>
    <hyperlink r:id="rId2066" location="id=57552&amp;action=152&amp;model=crm.lead&amp;view_type=form&amp;menu_id=111" ref="B1402"/>
    <hyperlink r:id="rId2067" location="id=57553&amp;action=152&amp;model=crm.lead&amp;view_type=form&amp;menu_id=111" ref="B1403"/>
    <hyperlink r:id="rId2068" location="id=57544&amp;action=152&amp;model=crm.lead&amp;view_type=form&amp;menu_id=111" ref="B1404"/>
    <hyperlink r:id="rId2069" location="id=57534&amp;action=152&amp;model=crm.lead&amp;view_type=form&amp;menu_id=111" ref="B1405"/>
    <hyperlink r:id="rId2070" location="id=57533&amp;action=152&amp;model=crm.lead&amp;view_type=form&amp;menu_id=111" ref="B1406"/>
    <hyperlink r:id="rId2071" location="id=57532&amp;action=152&amp;model=crm.lead&amp;view_type=form&amp;menu_id=111" ref="B1407"/>
    <hyperlink r:id="rId2072" location="id=57529&amp;action=152&amp;model=crm.lead&amp;view_type=form&amp;menu_id=111" ref="B1408"/>
    <hyperlink r:id="rId2073" location="id=57527&amp;action=152&amp;model=crm.lead&amp;view_type=form&amp;menu_id=111" ref="B1409"/>
    <hyperlink r:id="rId2074" location="id=57525&amp;action=152&amp;model=crm.lead&amp;view_type=form&amp;menu_id=111" ref="B1410"/>
    <hyperlink r:id="rId2075" location="id=57512&amp;action=152&amp;model=crm.lead&amp;view_type=form&amp;menu_id=111" ref="B1411"/>
    <hyperlink r:id="rId2076" location="id=57515&amp;action=152&amp;model=crm.lead&amp;view_type=form&amp;menu_id=111" ref="B1412"/>
    <hyperlink r:id="rId2077" location="id=57493&amp;action=152&amp;model=crm.lead&amp;view_type=form&amp;menu_id=111" ref="B1413"/>
    <hyperlink r:id="rId2078" location="id=57442&amp;action=152&amp;model=crm.lead&amp;view_type=form&amp;menu_id=111" ref="B1414"/>
    <hyperlink r:id="rId2079" location="id=57467&amp;action=152&amp;model=crm.lead&amp;view_type=form&amp;menu_id=111" ref="B1415"/>
    <hyperlink r:id="rId2080" location="id=57435&amp;action=152&amp;model=crm.lead&amp;view_type=form&amp;menu_id=111" ref="B1416"/>
    <hyperlink r:id="rId2081" location="id=57445&amp;action=152&amp;model=crm.lead&amp;view_type=form&amp;menu_id=111" ref="B1417"/>
    <hyperlink r:id="rId2082" location="id=57475&amp;action=152&amp;model=crm.lead&amp;view_type=form&amp;menu_id=111" ref="B1418"/>
    <hyperlink r:id="rId2083" location="id=57456&amp;action=152&amp;model=crm.lead&amp;view_type=form&amp;menu_id=111" ref="B1419"/>
    <hyperlink r:id="rId2084" location="id=57458&amp;action=152&amp;model=crm.lead&amp;view_type=form&amp;menu_id=111" ref="B1420"/>
    <hyperlink r:id="rId2085" location="id=57463&amp;action=152&amp;model=crm.lead&amp;view_type=form&amp;menu_id=111" ref="B1421"/>
    <hyperlink r:id="rId2086" location="id=57465&amp;action=152&amp;model=crm.lead&amp;view_type=form&amp;menu_id=111" ref="B1422"/>
    <hyperlink r:id="rId2087" location="id=57416&amp;action=152&amp;model=crm.lead&amp;view_type=form&amp;menu_id=111" ref="B1423"/>
    <hyperlink r:id="rId2088" location="id=57412&amp;action=152&amp;model=crm.lead&amp;view_type=form&amp;menu_id=111" ref="B1424"/>
    <hyperlink r:id="rId2089" location="id=57403&amp;action=152&amp;model=crm.lead&amp;view_type=form&amp;menu_id=111" ref="B1425"/>
    <hyperlink r:id="rId2090" location="id=57379&amp;action=152&amp;model=crm.lead&amp;view_type=form&amp;menu_id=111" ref="B1426"/>
    <hyperlink r:id="rId2091" location="id=57388&amp;action=152&amp;model=crm.lead&amp;view_type=form&amp;menu_id=111" ref="B1427"/>
    <hyperlink r:id="rId2092" location="id=57389&amp;action=152&amp;model=crm.lead&amp;view_type=form&amp;menu_id=111" ref="B1428"/>
    <hyperlink r:id="rId2093" location="id=57369&amp;action=152&amp;model=crm.lead&amp;view_type=form&amp;menu_id=111" ref="B1429"/>
    <hyperlink r:id="rId2094" location="id=57354&amp;action=152&amp;model=crm.lead&amp;view_type=form&amp;menu_id=111" ref="B1430"/>
    <hyperlink r:id="rId2095" location="id=57355&amp;action=152&amp;model=crm.lead&amp;view_type=form&amp;menu_id=111" ref="B1431"/>
    <hyperlink r:id="rId2096" location="id=57349&amp;action=152&amp;model=crm.lead&amp;view_type=form&amp;menu_id=111" ref="B1432"/>
    <hyperlink r:id="rId2097" location="id=57348&amp;action=152&amp;model=crm.lead&amp;view_type=form&amp;menu_id=111" ref="B1433"/>
    <hyperlink r:id="rId2098" location="id=57347&amp;action=152&amp;model=crm.lead&amp;view_type=form&amp;menu_id=111" ref="B1434"/>
    <hyperlink r:id="rId2099" location="id=57345&amp;action=152&amp;model=crm.lead&amp;view_type=form&amp;menu_id=111" ref="B1435"/>
    <hyperlink r:id="rId2100" location="id=57336&amp;action=152&amp;model=crm.lead&amp;view_type=form&amp;menu_id=111" ref="B1436"/>
    <hyperlink r:id="rId2101" location="id=57327&amp;action=152&amp;model=crm.lead&amp;view_type=form&amp;menu_id=111" ref="B1437"/>
    <hyperlink r:id="rId2102" location="id=57325&amp;action=152&amp;model=crm.lead&amp;view_type=form&amp;menu_id=111" ref="B1438"/>
    <hyperlink r:id="rId2103" location="id=57322&amp;action=152&amp;model=crm.lead&amp;view_type=form&amp;menu_id=111" ref="B1439"/>
    <hyperlink r:id="rId2104" location="id=57320&amp;action=152&amp;model=crm.lead&amp;view_type=form&amp;menu_id=111" ref="B1440"/>
    <hyperlink r:id="rId2105" location="id=57273&amp;action=152&amp;model=crm.lead&amp;view_type=form&amp;menu_id=111" ref="B1441"/>
    <hyperlink r:id="rId2106" location="id=57314&amp;action=152&amp;model=crm.lead&amp;view_type=form&amp;menu_id=111" ref="B1442"/>
    <hyperlink r:id="rId2107" location="id=57310&amp;action=152&amp;model=crm.lead&amp;view_type=form&amp;menu_id=111" ref="B1443"/>
    <hyperlink r:id="rId2108" location="id=57253&amp;action=152&amp;model=crm.lead&amp;view_type=form&amp;menu_id=111" ref="B1444"/>
    <hyperlink r:id="rId2109" location="id=57299&amp;action=152&amp;model=crm.lead&amp;view_type=form&amp;menu_id=111" ref="B1445"/>
    <hyperlink r:id="rId2110" location="id=57301&amp;action=152&amp;model=crm.lead&amp;view_type=form&amp;menu_id=111" ref="B1446"/>
    <hyperlink r:id="rId2111" location="id=57302&amp;action=152&amp;model=crm.lead&amp;view_type=form&amp;menu_id=111" ref="B1447"/>
    <hyperlink r:id="rId2112" location="id=57303&amp;action=152&amp;model=crm.lead&amp;view_type=form&amp;menu_id=111" ref="B1448"/>
    <hyperlink r:id="rId2113" location="id=57304&amp;action=152&amp;model=crm.lead&amp;view_type=form&amp;menu_id=111" ref="B1449"/>
    <hyperlink r:id="rId2114" location="id=57283&amp;action=152&amp;model=crm.lead&amp;view_type=form&amp;menu_id=111" ref="B1450"/>
    <hyperlink r:id="rId2115" location="id=57258&amp;action=152&amp;model=crm.lead&amp;view_type=form&amp;menu_id=111" ref="B1451"/>
    <hyperlink r:id="rId2116" location="id=57272&amp;action=152&amp;model=crm.lead&amp;view_type=form&amp;menu_id=111" ref="B1452"/>
    <hyperlink r:id="rId2117" location="id=57274&amp;action=152&amp;model=crm.lead&amp;view_type=form&amp;menu_id=111" ref="B1453"/>
    <hyperlink r:id="rId2118" location="id=57269&amp;action=152&amp;model=crm.lead&amp;view_type=form&amp;menu_id=111" ref="B1454"/>
    <hyperlink r:id="rId2119" location="id=57225&amp;action=152&amp;model=crm.lead&amp;view_type=form&amp;menu_id=111" ref="B1455"/>
    <hyperlink r:id="rId2120" location="id=57227&amp;action=152&amp;model=crm.lead&amp;view_type=form&amp;menu_id=111" ref="B1456"/>
    <hyperlink r:id="rId2121" location="id=57173&amp;action=152&amp;model=crm.lead&amp;view_type=form&amp;menu_id=111" ref="B1457"/>
    <hyperlink r:id="rId2122" location="id=57170&amp;action=152&amp;model=crm.lead&amp;view_type=form&amp;menu_id=111" ref="B1458"/>
    <hyperlink r:id="rId2123" location="id=57155&amp;action=152&amp;model=crm.lead&amp;view_type=form&amp;menu_id=111" ref="B1459"/>
    <hyperlink r:id="rId2124" location="id=57142&amp;action=152&amp;model=crm.lead&amp;view_type=form&amp;menu_id=111" ref="B1460"/>
    <hyperlink r:id="rId2125" location="id=57104&amp;action=152&amp;model=crm.lead&amp;view_type=form&amp;menu_id=111" ref="B1461"/>
    <hyperlink r:id="rId2126" location="id=57115&amp;action=152&amp;model=crm.lead&amp;view_type=form&amp;menu_id=111" ref="B1462"/>
    <hyperlink r:id="rId2127" location="id=57123&amp;action=152&amp;model=crm.lead&amp;view_type=form&amp;menu_id=111" ref="B1463"/>
    <hyperlink r:id="rId2128" location="id=57133&amp;action=152&amp;model=crm.lead&amp;view_type=form&amp;menu_id=111" ref="B1464"/>
    <hyperlink r:id="rId2129" location="id=57096&amp;action=152&amp;model=crm.lead&amp;view_type=form&amp;menu_id=111" ref="B1465"/>
    <hyperlink r:id="rId2130" location="id=57090&amp;action=152&amp;model=crm.lead&amp;view_type=form&amp;menu_id=111" ref="B1466"/>
    <hyperlink r:id="rId2131" location="id=57071&amp;action=152&amp;model=crm.lead&amp;view_type=form&amp;menu_id=111" ref="B1467"/>
    <hyperlink r:id="rId2132" location="id=57082&amp;action=152&amp;model=crm.lead&amp;view_type=form&amp;menu_id=111" ref="B1468"/>
    <hyperlink r:id="rId2133" location="id=57058&amp;action=152&amp;model=crm.lead&amp;view_type=form&amp;menu_id=111" ref="B1469"/>
    <hyperlink r:id="rId2134" location="id=57053&amp;action=152&amp;model=crm.lead&amp;view_type=form&amp;menu_id=111" ref="B1470"/>
    <hyperlink r:id="rId2135" location="id=57044&amp;action=152&amp;model=crm.lead&amp;view_type=form&amp;menu_id=111" ref="B1471"/>
    <hyperlink r:id="rId2136" location="id=57033&amp;action=152&amp;model=crm.lead&amp;view_type=form&amp;menu_id=111" ref="B1472"/>
    <hyperlink r:id="rId2137" location="id=57027&amp;action=152&amp;model=crm.lead&amp;view_type=form&amp;menu_id=111" ref="B1473"/>
    <hyperlink r:id="rId2138" location="id=57009&amp;action=152&amp;model=crm.lead&amp;view_type=form&amp;menu_id=111" ref="B1474"/>
    <hyperlink r:id="rId2139" location="id=56999&amp;action=152&amp;model=crm.lead&amp;view_type=form&amp;menu_id=111" ref="B1475"/>
    <hyperlink r:id="rId2140" location="id=56982&amp;action=152&amp;model=crm.lead&amp;view_type=form&amp;menu_id=111" ref="B1480"/>
    <hyperlink r:id="rId2141" location="id=56989&amp;action=152&amp;model=crm.lead&amp;view_type=form&amp;menu_id=111" ref="B1482"/>
    <hyperlink r:id="rId2142" location="id=56993&amp;action=152&amp;model=crm.lead&amp;view_type=form&amp;menu_id=111" ref="B1483"/>
    <hyperlink r:id="rId2143" location="id=56912&amp;action=152&amp;model=crm.lead&amp;view_type=form&amp;menu_id=111" ref="B1484"/>
    <hyperlink r:id="rId2144" location="id=56916&amp;action=152&amp;model=crm.lead&amp;view_type=form&amp;menu_id=111" ref="B1485"/>
    <hyperlink r:id="rId2145" location="id=56923&amp;action=152&amp;model=crm.lead&amp;view_type=form&amp;menu_id=111" ref="B1486"/>
    <hyperlink r:id="rId2146" location="id=56903&amp;action=152&amp;model=crm.lead&amp;view_type=form&amp;menu_id=111" ref="B1488"/>
    <hyperlink r:id="rId2147" location="id=56896&amp;action=152&amp;model=crm.lead&amp;view_type=form&amp;menu_id=111" ref="B1489"/>
    <hyperlink r:id="rId2148" location="id=56861&amp;action=152&amp;model=crm.lead&amp;view_type=form&amp;menu_id=111" ref="B1490"/>
    <hyperlink r:id="rId2149" location="id=56883&amp;action=152&amp;model=crm.lead&amp;view_type=form&amp;menu_id=111" ref="B1491"/>
    <hyperlink r:id="rId2150" location="id=56871&amp;action=152&amp;model=crm.lead&amp;view_type=form&amp;menu_id=111" ref="B1492"/>
    <hyperlink r:id="rId2151" location="id=56855&amp;action=152&amp;model=crm.lead&amp;view_type=form&amp;menu_id=111" ref="B1493"/>
    <hyperlink r:id="rId2152" location="id=56850&amp;action=152&amp;model=crm.lead&amp;view_type=form&amp;menu_id=111" ref="B1494"/>
    <hyperlink r:id="rId2153" location="id=56847&amp;action=152&amp;model=crm.lead&amp;view_type=form&amp;menu_id=111" ref="B1495"/>
    <hyperlink r:id="rId2154" location="id=56833&amp;action=152&amp;model=crm.lead&amp;view_type=form&amp;menu_id=111" ref="B1497"/>
    <hyperlink r:id="rId2155" location="id=56816&amp;action=152&amp;model=crm.lead&amp;view_type=form&amp;menu_id=111" ref="B1498"/>
    <hyperlink r:id="rId2156" location="id=56802&amp;action=152&amp;model=crm.lead&amp;view_type=form&amp;menu_id=111" ref="B1500"/>
    <hyperlink r:id="rId2157" location="id=56797&amp;action=152&amp;model=crm.lead&amp;view_type=form&amp;menu_id=111" ref="B1501"/>
    <hyperlink r:id="rId2158" location="id=56790&amp;action=152&amp;model=crm.lead&amp;view_type=form&amp;menu_id=111" ref="B1503"/>
    <hyperlink r:id="rId2159" location="id=56786&amp;action=152&amp;model=crm.lead&amp;view_type=form&amp;menu_id=111" ref="B1504"/>
    <hyperlink r:id="rId2160" location="id=56763&amp;action=152&amp;model=crm.lead&amp;view_type=form&amp;menu_id=111" ref="B1507"/>
    <hyperlink r:id="rId2161" location="id=56750&amp;action=152&amp;model=crm.lead&amp;view_type=form&amp;menu_id=111" ref="B1508"/>
    <hyperlink r:id="rId2162" location="id=56745&amp;action=152&amp;model=crm.lead&amp;view_type=form&amp;menu_id=111" ref="B1509"/>
    <hyperlink r:id="rId2163" location="id=56734&amp;action=152&amp;model=crm.lead&amp;view_type=form&amp;menu_id=111" ref="B1510"/>
    <hyperlink r:id="rId2164" location="id=56726&amp;action=152&amp;model=crm.lead&amp;view_type=form&amp;menu_id=111" ref="B1511"/>
    <hyperlink r:id="rId2165" location="id=56720&amp;action=152&amp;model=crm.lead&amp;view_type=form&amp;menu_id=111" ref="B1512"/>
    <hyperlink r:id="rId2166" location="id=56714&amp;action=152&amp;model=crm.lead&amp;view_type=form&amp;menu_id=111" ref="B1513"/>
    <hyperlink r:id="rId2167" location="id=56709&amp;action=152&amp;model=crm.lead&amp;view_type=form&amp;menu_id=111" ref="B1514"/>
    <hyperlink r:id="rId2168" location="id=56707&amp;action=152&amp;model=crm.lead&amp;view_type=form&amp;menu_id=111" ref="B1515"/>
    <hyperlink r:id="rId2169" location="id=56706&amp;action=152&amp;model=crm.lead&amp;view_type=form&amp;menu_id=111" ref="B1516"/>
    <hyperlink r:id="rId2170" location="id=56703&amp;action=152&amp;model=crm.lead&amp;view_type=form&amp;menu_id=111" ref="B1517"/>
    <hyperlink r:id="rId2171" location="id=56607&amp;action=152&amp;model=crm.lead&amp;view_type=form&amp;menu_id=111" ref="B1519"/>
    <hyperlink r:id="rId2172" location="id=56605&amp;action=152&amp;model=crm.lead&amp;view_type=form&amp;menu_id=111" ref="B1520"/>
    <hyperlink r:id="rId2173" location="id=56597&amp;action=152&amp;model=crm.lead&amp;view_type=form&amp;menu_id=111" ref="B1521"/>
    <hyperlink r:id="rId2174" location="id=56579&amp;action=152&amp;model=crm.lead&amp;view_type=form&amp;menu_id=111" ref="B1522"/>
    <hyperlink r:id="rId2175" location="id=56567&amp;action=152&amp;model=crm.lead&amp;view_type=form&amp;menu_id=111" ref="B1523"/>
    <hyperlink r:id="rId2176" location="id=56571&amp;action=152&amp;model=crm.lead&amp;view_type=form&amp;menu_id=111" ref="B1524"/>
    <hyperlink r:id="rId2177" location="id=56572&amp;action=152&amp;model=crm.lead&amp;view_type=form&amp;menu_id=111" ref="B1525"/>
    <hyperlink r:id="rId2178" location="id=56558&amp;action=152&amp;model=crm.lead&amp;view_type=form&amp;menu_id=111" ref="B1526"/>
    <hyperlink r:id="rId2179" location="id=56555&amp;action=152&amp;model=crm.lead&amp;view_type=form&amp;menu_id=111" ref="B1527"/>
    <hyperlink r:id="rId2180" location="id=56489&amp;action=152&amp;model=crm.lead&amp;view_type=form&amp;menu_id=111" ref="B1528"/>
    <hyperlink r:id="rId2181" location="id=56487&amp;action=152&amp;model=crm.lead&amp;view_type=form&amp;menu_id=111" ref="B1529"/>
    <hyperlink r:id="rId2182" location="id=56501&amp;action=152&amp;model=crm.lead&amp;view_type=form&amp;menu_id=111" ref="B1530"/>
    <hyperlink r:id="rId2183" location="id=56511&amp;action=152&amp;model=crm.lead&amp;view_type=form&amp;menu_id=111" ref="B1531"/>
    <hyperlink r:id="rId2184" ref="B1532"/>
    <hyperlink r:id="rId2185" location="id=56529&amp;action=152&amp;model=crm.lead&amp;view_type=form&amp;menu_id=111" ref="B1533"/>
    <hyperlink r:id="rId2186" location="id=56399&amp;action=152&amp;model=crm.lead&amp;view_type=form&amp;menu_id=111" ref="B1534"/>
    <hyperlink r:id="rId2187" location="id=56432&amp;action=152&amp;model=crm.lead&amp;view_type=form&amp;menu_id=111" ref="B1535"/>
    <hyperlink r:id="rId2188" location="id=56387&amp;action=152&amp;model=crm.lead&amp;view_type=form&amp;menu_id=111" ref="B1536"/>
    <hyperlink r:id="rId2189" location="id=56319&amp;action=152&amp;model=crm.lead&amp;view_type=form&amp;menu_id=111" ref="B1537"/>
    <hyperlink r:id="rId2190" location="id=56218&amp;action=152&amp;model=crm.lead&amp;view_type=form&amp;menu_id=111" ref="B1538"/>
    <hyperlink r:id="rId2191" location="id=56215&amp;action=152&amp;model=crm.lead&amp;view_type=form&amp;menu_id=111" ref="B1539"/>
    <hyperlink r:id="rId2192" location="id=56403&amp;action=152&amp;model=crm.lead&amp;view_type=form&amp;menu_id=111" ref="B1540"/>
    <hyperlink r:id="rId2193" location="id=56211&amp;action=152&amp;model=crm.lead&amp;view_type=form&amp;menu_id=111" ref="B1541"/>
    <hyperlink r:id="rId2194" location="id=56176&amp;action=152&amp;model=crm.lead&amp;view_type=form&amp;menu_id=111" ref="B1542"/>
    <hyperlink r:id="rId2195" location="id=56128&amp;action=152&amp;model=crm.lead&amp;view_type=form&amp;menu_id=111" ref="B1543"/>
    <hyperlink r:id="rId2196" location="id=56120&amp;action=152&amp;model=crm.lead&amp;view_type=form&amp;menu_id=111" ref="B1544"/>
    <hyperlink r:id="rId2197" location="id=56317&amp;action=152&amp;model=crm.lead&amp;view_type=form&amp;menu_id=111" ref="B1545"/>
    <hyperlink r:id="rId2198" location="id=56170&amp;action=152&amp;model=crm.lead&amp;view_type=form&amp;menu_id=111" ref="B1546"/>
    <hyperlink r:id="rId2199" location="id=56175&amp;action=152&amp;model=crm.lead&amp;view_type=form&amp;menu_id=111" ref="B1547"/>
    <hyperlink r:id="rId2200" location="id=56196&amp;action=152&amp;model=crm.lead&amp;view_type=form&amp;menu_id=111" ref="B1548"/>
    <hyperlink r:id="rId2201" location="id=56189&amp;action=152&amp;model=crm.lead&amp;view_type=form&amp;menu_id=111" ref="B1549"/>
    <hyperlink r:id="rId2202" location="id=56146&amp;action=152&amp;model=crm.lead&amp;view_type=form&amp;menu_id=111" ref="B1550"/>
    <hyperlink r:id="rId2203" location="id=56144&amp;action=152&amp;model=crm.lead&amp;view_type=form&amp;menu_id=111" ref="B1551"/>
    <hyperlink r:id="rId2204" location="id=56138&amp;action=152&amp;model=crm.lead&amp;view_type=form&amp;menu_id=111" ref="B1552"/>
    <hyperlink r:id="rId2205" location="id=56139&amp;action=152&amp;model=crm.lead&amp;view_type=form&amp;menu_id=111" ref="B1553"/>
    <hyperlink r:id="rId2206" location="id=56098&amp;action=152&amp;model=crm.lead&amp;view_type=form&amp;menu_id=111" ref="B1554"/>
    <hyperlink r:id="rId2207" location="id=56074&amp;action=152&amp;model=crm.lead&amp;view_type=form&amp;menu_id=111" ref="B1555"/>
    <hyperlink r:id="rId2208" location="id=56048&amp;action=152&amp;model=crm.lead&amp;view_type=form&amp;menu_id=111" ref="B1556"/>
    <hyperlink r:id="rId2209" location="id=56043&amp;action=152&amp;model=crm.lead&amp;view_type=form&amp;menu_id=111" ref="B1557"/>
    <hyperlink r:id="rId2210" location="id=56029&amp;action=152&amp;model=crm.lead&amp;view_type=form&amp;menu_id=111" ref="B1558"/>
    <hyperlink r:id="rId2211" location="id=56016&amp;action=152&amp;model=crm.lead&amp;view_type=form&amp;menu_id=111" ref="B1559"/>
    <hyperlink display="C2014123" location="'Work Group'!B11" ref="B1560"/>
    <hyperlink r:id="rId2212" location="id=55990&amp;action=152&amp;model=crm.lead&amp;view_type=form&amp;menu_id=111" ref="B1561"/>
    <hyperlink r:id="rId2213" location="id=55956&amp;action=152&amp;model=crm.lead&amp;view_type=form&amp;menu_id=111" ref="B1562"/>
    <hyperlink r:id="rId2214" location="id=55968&amp;action=152&amp;model=crm.lead&amp;view_type=form&amp;menu_id=111" ref="B1563"/>
    <hyperlink r:id="rId2215" location="id=55951&amp;action=152&amp;model=crm.lead&amp;view_type=form&amp;menu_id=111" ref="B1564"/>
    <hyperlink r:id="rId2216" location="id=55943&amp;action=152&amp;model=crm.lead&amp;view_type=form&amp;menu_id=111" ref="B1565"/>
    <hyperlink r:id="rId2217" location="id=55928&amp;action=152&amp;model=crm.lead&amp;view_type=form&amp;menu_id=111" ref="B1566"/>
    <hyperlink r:id="rId2218" location="id=55857&amp;action=152&amp;model=crm.lead&amp;view_type=form&amp;menu_id=111" ref="B1567"/>
    <hyperlink r:id="rId2219" location="id=55877&amp;action=152&amp;model=crm.lead&amp;view_type=form&amp;menu_id=111" ref="B1568"/>
    <hyperlink r:id="rId2220" location="id=55917&amp;action=152&amp;model=crm.lead&amp;view_type=form&amp;menu_id=111" ref="B1569"/>
    <hyperlink r:id="rId2221" location="id=55910&amp;action=152&amp;model=crm.lead&amp;view_type=form&amp;menu_id=111" ref="B1570"/>
    <hyperlink r:id="rId2222" location="id=55902&amp;action=152&amp;model=crm.lead&amp;view_type=form&amp;menu_id=111" ref="B1571"/>
    <hyperlink r:id="rId2223" location="id=55901&amp;action=152&amp;model=crm.lead&amp;view_type=form&amp;menu_id=111" ref="B1572"/>
    <hyperlink r:id="rId2224" location="id=55870&amp;action=152&amp;model=crm.lead&amp;view_type=form&amp;menu_id=111" ref="B1573"/>
    <hyperlink r:id="rId2225" location="id=55865&amp;action=152&amp;model=crm.lead&amp;view_type=form&amp;menu_id=111" ref="B1574"/>
    <hyperlink r:id="rId2226" location="id=55851&amp;action=152&amp;model=crm.lead&amp;view_type=form&amp;menu_id=111" ref="B1575"/>
    <hyperlink r:id="rId2227" location="id=55832&amp;action=152&amp;model=crm.lead&amp;view_type=form&amp;menu_id=111" ref="B1576"/>
    <hyperlink r:id="rId2228" location="id=55794&amp;action=152&amp;model=crm.lead&amp;view_type=form&amp;menu_id=111" ref="B1577"/>
    <hyperlink r:id="rId2229" location="id=55791&amp;action=152&amp;model=crm.lead&amp;view_type=form&amp;menu_id=111" ref="B1578"/>
    <hyperlink r:id="rId2230" location="id=55783&amp;action=152&amp;model=crm.lead&amp;view_type=form&amp;menu_id=111" ref="B1579"/>
    <hyperlink r:id="rId2231" location="id=55788&amp;action=152&amp;model=crm.lead&amp;view_type=form&amp;menu_id=111" ref="B1580"/>
    <hyperlink r:id="rId2232" location="id=55768&amp;action=152&amp;model=crm.lead&amp;view_type=form&amp;menu_id=111" ref="B1581"/>
    <hyperlink r:id="rId2233" location="id=55760&amp;action=152&amp;model=crm.lead&amp;view_type=form&amp;menu_id=111" ref="B1582"/>
    <hyperlink r:id="rId2234" location="id=55757&amp;action=152&amp;model=crm.lead&amp;view_type=form&amp;menu_id=111" ref="B1583"/>
    <hyperlink r:id="rId2235" location="id=55739&amp;action=152&amp;model=crm.lead&amp;view_type=form&amp;menu_id=111" ref="B1584"/>
    <hyperlink r:id="rId2236" location="id=55744&amp;action=152&amp;model=crm.lead&amp;view_type=form&amp;menu_id=111" ref="B1585"/>
    <hyperlink r:id="rId2237" location="id=55747&amp;action=152&amp;model=crm.lead&amp;view_type=form&amp;menu_id=111" ref="B1586"/>
    <hyperlink r:id="rId2238" location="id=55722&amp;action=152&amp;model=crm.lead&amp;view_type=form&amp;menu_id=111" ref="B1587"/>
    <hyperlink r:id="rId2239" location="id=55720&amp;action=152&amp;model=crm.lead&amp;view_type=form&amp;menu_id=111" ref="B1588"/>
    <hyperlink r:id="rId2240" location="id=55690&amp;action=152&amp;model=crm.lead&amp;view_type=form&amp;menu_id=111" ref="B1589"/>
    <hyperlink r:id="rId2241" location="id=55705&amp;action=152&amp;model=crm.lead&amp;view_type=form&amp;menu_id=111" ref="B1590"/>
    <hyperlink r:id="rId2242" location="id=55660&amp;action=152&amp;model=crm.lead&amp;view_type=form&amp;menu_id=111" ref="B1591"/>
    <hyperlink r:id="rId2243" location="id=55649&amp;action=152&amp;model=crm.lead&amp;view_type=form&amp;menu_id=111" ref="B1592"/>
    <hyperlink r:id="rId2244" location="id=55646&amp;action=152&amp;model=crm.lead&amp;view_type=form&amp;menu_id=111" ref="B1593"/>
    <hyperlink r:id="rId2245" location="id=55642&amp;action=152&amp;model=crm.lead&amp;view_type=form&amp;menu_id=111" ref="B1594"/>
    <hyperlink r:id="rId2246" location="id=55632&amp;action=152&amp;model=crm.lead&amp;view_type=form&amp;menu_id=111" ref="B1595"/>
    <hyperlink r:id="rId2247" location="id=55583&amp;action=152&amp;model=crm.lead&amp;view_type=form&amp;menu_id=111" ref="B1597"/>
    <hyperlink r:id="rId2248" location="id=55575&amp;action=152&amp;model=crm.lead&amp;view_type=form&amp;menu_id=111" ref="B1598"/>
    <hyperlink r:id="rId2249" location="id=55572&amp;action=152&amp;model=crm.lead&amp;view_type=form&amp;menu_id=111" ref="B1599"/>
    <hyperlink r:id="rId2250" location="id=55565&amp;action=152&amp;model=crm.lead&amp;view_type=form&amp;menu_id=111" ref="B1600"/>
    <hyperlink r:id="rId2251" location="id=55561&amp;action=152&amp;model=crm.lead&amp;view_type=form&amp;menu_id=111" ref="B1601"/>
    <hyperlink r:id="rId2252" location="id=55559&amp;action=152&amp;model=crm.lead&amp;view_type=form&amp;menu_id=111" ref="B1602"/>
    <hyperlink r:id="rId2253" location="id=55556&amp;action=152&amp;model=crm.lead&amp;view_type=form&amp;menu_id=111" ref="B1603"/>
    <hyperlink r:id="rId2254" location="id=55545&amp;action=152&amp;model=crm.lead&amp;view_type=form&amp;menu_id=111" ref="B1604"/>
    <hyperlink r:id="rId2255" location="id=55504&amp;action=152&amp;model=crm.lead&amp;view_type=form&amp;menu_id=111" ref="B1605"/>
    <hyperlink r:id="rId2256" location="id=55510&amp;action=152&amp;model=crm.lead&amp;view_type=form&amp;menu_id=111" ref="B1606"/>
    <hyperlink r:id="rId2257" location="id=55516&amp;action=152&amp;model=crm.lead&amp;view_type=form&amp;menu_id=111" ref="B1607"/>
    <hyperlink r:id="rId2258" location="id=55491&amp;action=152&amp;model=crm.lead&amp;view_type=form&amp;menu_id=111" ref="B1608"/>
    <hyperlink r:id="rId2259" location="id=55460&amp;action=152&amp;model=crm.lead&amp;view_type=form&amp;menu_id=111" ref="B1609"/>
    <hyperlink r:id="rId2260" location="id=55474&amp;action=152&amp;model=crm.lead&amp;view_type=form&amp;menu_id=111" ref="B1610"/>
    <hyperlink r:id="rId2261" location="id=55476&amp;action=152&amp;model=crm.lead&amp;view_type=form&amp;menu_id=111" ref="B1611"/>
    <hyperlink r:id="rId2262" location="id=55472&amp;action=152&amp;model=crm.lead&amp;view_type=form&amp;menu_id=111" ref="B1612"/>
    <hyperlink r:id="rId2263" ref="B1614"/>
    <hyperlink r:id="rId2264" location="id=55464&amp;action=152&amp;model=crm.lead&amp;view_type=form&amp;menu_id=111" ref="B1615"/>
    <hyperlink r:id="rId2265" location="id=55445&amp;action=152&amp;model=crm.lead&amp;view_type=form&amp;menu_id=111" ref="B1616"/>
    <hyperlink r:id="rId2266" location="id=55443&amp;action=152&amp;model=crm.lead&amp;view_type=form&amp;menu_id=111" ref="B1617"/>
    <hyperlink r:id="rId2267" location="id=55440&amp;action=152&amp;model=crm.lead&amp;view_type=form&amp;menu_id=111" ref="B1618"/>
    <hyperlink r:id="rId2268" location="id=55430&amp;action=152&amp;model=crm.lead&amp;view_type=form&amp;menu_id=111" ref="B1619"/>
    <hyperlink r:id="rId2269" location="id=55420&amp;action=152&amp;model=crm.lead&amp;view_type=form&amp;menu_id=111" ref="B1620"/>
    <hyperlink r:id="rId2270" location="id=55410&amp;action=152&amp;model=crm.lead&amp;view_type=form&amp;menu_id=111" ref="B1621"/>
    <hyperlink r:id="rId2271" location="id=55421&amp;action=152&amp;model=crm.lead&amp;view_type=form&amp;menu_id=111" ref="B1622"/>
    <hyperlink r:id="rId2272" location="id=55423&amp;action=152&amp;model=crm.lead&amp;view_type=form&amp;menu_id=111" ref="B1623"/>
    <hyperlink r:id="rId2273" location="id=55395&amp;action=152&amp;model=crm.lead&amp;view_type=form&amp;menu_id=111" ref="B1624"/>
    <hyperlink r:id="rId2274" location="id=55382&amp;action=152&amp;model=crm.lead&amp;view_type=form&amp;menu_id=111" ref="B1625"/>
    <hyperlink r:id="rId2275" location="id=55385&amp;action=152&amp;model=crm.lead&amp;view_type=form&amp;menu_id=111" ref="B1626"/>
    <hyperlink r:id="rId2276" location="id=55360&amp;action=152&amp;model=crm.lead&amp;view_type=form&amp;menu_id=111" ref="B1627"/>
    <hyperlink r:id="rId2277" location="id=55357&amp;action=152&amp;model=crm.lead&amp;view_type=form&amp;menu_id=111" ref="B1628"/>
    <hyperlink r:id="rId2278" location="id=55352&amp;action=152&amp;model=crm.lead&amp;view_type=form&amp;menu_id=111" ref="B1629"/>
    <hyperlink r:id="rId2279" location="id=55350&amp;action=152&amp;model=crm.lead&amp;view_type=form&amp;menu_id=111" ref="B1630"/>
    <hyperlink r:id="rId2280" location="id=55258&amp;action=152&amp;model=crm.lead&amp;view_type=form&amp;menu_id=111" ref="B1631"/>
    <hyperlink r:id="rId2281" location="id=55263&amp;action=152&amp;model=crm.lead&amp;view_type=form&amp;menu_id=111" ref="B1632"/>
    <hyperlink r:id="rId2282" location="id=55291&amp;action=152&amp;model=crm.lead&amp;view_type=form&amp;menu_id=111" ref="B1633"/>
    <hyperlink r:id="rId2283" location="id=55246&amp;action=152&amp;model=crm.lead&amp;view_type=form&amp;menu_id=111" ref="B1634"/>
    <hyperlink r:id="rId2284" location="id=55249&amp;action=152&amp;model=crm.lead&amp;view_type=form&amp;menu_id=111" ref="B1635"/>
    <hyperlink r:id="rId2285" location="id=55252&amp;action=152&amp;model=crm.lead&amp;view_type=form&amp;menu_id=111" ref="B1636"/>
    <hyperlink r:id="rId2286" location="id=55265&amp;action=152&amp;model=crm.lead&amp;view_type=form&amp;menu_id=111" ref="B1637"/>
    <hyperlink r:id="rId2287" location="id=55272&amp;action=152&amp;model=crm.lead&amp;view_type=form&amp;menu_id=111" ref="B1638"/>
    <hyperlink r:id="rId2288" location="id=55277&amp;action=152&amp;model=crm.lead&amp;view_type=form&amp;menu_id=111" ref="B1639"/>
    <hyperlink r:id="rId2289" location="id=55283&amp;action=152&amp;model=crm.lead&amp;view_type=form&amp;menu_id=111" ref="B1640"/>
    <hyperlink r:id="rId2290" location="id=55288&amp;action=152&amp;model=crm.lead&amp;view_type=form&amp;menu_id=111" ref="B1641"/>
    <hyperlink r:id="rId2291" location="id=55323&amp;action=152&amp;model=crm.lead&amp;view_type=form&amp;menu_id=111" ref="B1642"/>
    <hyperlink r:id="rId2292" location="id=55218&amp;action=152&amp;model=crm.lead&amp;view_type=form&amp;menu_id=111" ref="B1643"/>
    <hyperlink r:id="rId2293" location="id=55219&amp;action=152&amp;model=crm.lead&amp;view_type=form&amp;menu_id=111" ref="B1644"/>
    <hyperlink r:id="rId2294" location="id=55209&amp;action=152&amp;model=crm.lead&amp;view_type=form&amp;menu_id=111" ref="B1645"/>
    <hyperlink r:id="rId2295" location="id=55184&amp;action=152&amp;model=crm.lead&amp;view_type=form&amp;menu_id=111" ref="B1647"/>
    <hyperlink r:id="rId2296" location="id=55179&amp;action=152&amp;model=crm.lead&amp;view_type=form&amp;menu_id=111" ref="B1648"/>
    <hyperlink r:id="rId2297" location="id=55180&amp;action=152&amp;model=crm.lead&amp;view_type=form&amp;menu_id=111" ref="B1649"/>
    <hyperlink r:id="rId2298" location="id=55119&amp;action=152&amp;model=crm.lead&amp;view_type=form&amp;menu_id=111" ref="B1651"/>
    <hyperlink r:id="rId2299" location="id=55132&amp;action=152&amp;model=crm.lead&amp;view_type=form&amp;menu_id=111" ref="B1652"/>
    <hyperlink r:id="rId2300" location="id=55141&amp;action=152&amp;model=crm.lead&amp;view_type=form&amp;menu_id=111" ref="B1653"/>
    <hyperlink r:id="rId2301" location="id=55089&amp;action=152&amp;model=crm.lead&amp;view_type=form&amp;menu_id=111" ref="B1654"/>
    <hyperlink r:id="rId2302" location="id=55065&amp;action=152&amp;model=crm.lead&amp;view_type=form&amp;menu_id=111" ref="B1656"/>
    <hyperlink r:id="rId2303" location="id=55064&amp;action=152&amp;model=crm.lead&amp;view_type=form&amp;menu_id=111" ref="B1657"/>
    <hyperlink r:id="rId2304" location="id=55052&amp;action=152&amp;model=crm.lead&amp;view_type=form&amp;menu_id=111" ref="B1658"/>
    <hyperlink r:id="rId2305" location="id=54955&amp;action=152&amp;model=crm.lead&amp;view_type=form&amp;menu_id=111" ref="B1659"/>
    <hyperlink r:id="rId2306" location="id=54957&amp;action=152&amp;model=crm.lead&amp;view_type=form&amp;menu_id=111" ref="B1660"/>
    <hyperlink r:id="rId2307" location="id=54973&amp;action=152&amp;model=crm.lead&amp;view_type=form&amp;menu_id=111" ref="B1661"/>
    <hyperlink r:id="rId2308" location="id=54972&amp;action=152&amp;model=crm.lead&amp;view_type=form&amp;menu_id=111" ref="B1662"/>
    <hyperlink r:id="rId2309" location="id=54990&amp;action=152&amp;model=crm.lead&amp;view_type=form&amp;menu_id=111" ref="B1663"/>
    <hyperlink r:id="rId2310" location="id=54987&amp;action=152&amp;model=crm.lead&amp;view_type=form&amp;menu_id=111" ref="B1664"/>
    <hyperlink r:id="rId2311" location="id=54922&amp;action=152&amp;model=crm.lead&amp;view_type=form&amp;menu_id=111" ref="B1665"/>
    <hyperlink r:id="rId2312" location="id=54903&amp;action=152&amp;model=crm.lead&amp;view_type=form&amp;menu_id=111" ref="B1666"/>
    <hyperlink r:id="rId2313" location="id=54904&amp;action=152&amp;model=crm.lead&amp;view_type=form&amp;menu_id=111" ref="B1667"/>
    <hyperlink r:id="rId2314" location="id=54892&amp;action=152&amp;model=crm.lead&amp;view_type=form&amp;menu_id=111" ref="B1668"/>
    <hyperlink r:id="rId2315" location="id=54854&amp;action=152&amp;model=crm.lead&amp;view_type=form&amp;menu_id=111" ref="B1669"/>
    <hyperlink r:id="rId2316" location="id=54872&amp;action=152&amp;model=crm.lead&amp;view_type=form&amp;menu_id=111" ref="B1670"/>
    <hyperlink r:id="rId2317" location="id=54846&amp;action=152&amp;model=crm.lead&amp;view_type=form&amp;menu_id=111" ref="B1671"/>
    <hyperlink r:id="rId2318" location="id=54848&amp;action=152&amp;model=crm.lead&amp;view_type=form&amp;menu_id=111" ref="B1672"/>
    <hyperlink r:id="rId2319" location="id=54844&amp;action=152&amp;model=crm.lead&amp;view_type=form&amp;menu_id=111" ref="B1673"/>
    <hyperlink r:id="rId2320" location="id=54783&amp;action=152&amp;model=crm.lead&amp;view_type=form&amp;menu_id=111" ref="B1674"/>
    <hyperlink r:id="rId2321" location="id=54697&amp;action=152&amp;model=crm.lead&amp;view_type=form&amp;menu_id=111" ref="B1675"/>
    <hyperlink r:id="rId2322" location="id=54701&amp;action=152&amp;model=crm.lead&amp;view_type=form&amp;menu_id=111" ref="B1676"/>
    <hyperlink r:id="rId2323" location="id=54790&amp;action=152&amp;model=crm.lead&amp;view_type=form&amp;menu_id=111" ref="B1677"/>
    <hyperlink r:id="rId2324" location="id=54737&amp;action=152&amp;model=crm.lead&amp;view_type=form&amp;menu_id=111" ref="B1678"/>
    <hyperlink r:id="rId2325" location="id=54750&amp;action=152&amp;model=crm.lead&amp;view_type=form&amp;menu_id=111" ref="B1679"/>
    <hyperlink r:id="rId2326" location="id=54755&amp;action=152&amp;model=crm.lead&amp;view_type=form&amp;menu_id=111" ref="B1680"/>
    <hyperlink r:id="rId2327" location="id=54768&amp;action=152&amp;model=crm.lead&amp;view_type=form&amp;menu_id=111" ref="B1681"/>
    <hyperlink r:id="rId2328" location="id=54771&amp;action=152&amp;model=crm.lead&amp;view_type=form&amp;menu_id=111" ref="B1682"/>
    <hyperlink r:id="rId2329" location="id=54778&amp;action=152&amp;model=crm.lead&amp;view_type=form&amp;menu_id=111" ref="B1683"/>
    <hyperlink r:id="rId2330" location="id=54782&amp;action=152&amp;model=crm.lead&amp;view_type=form&amp;menu_id=111" ref="B1684"/>
    <hyperlink r:id="rId2331" location="id=54748&amp;action=152&amp;model=crm.lead&amp;view_type=form&amp;menu_id=111" ref="B1685"/>
    <hyperlink r:id="rId2332" location="id=54679&amp;action=152&amp;model=crm.lead&amp;view_type=form&amp;menu_id=111" ref="B1686"/>
    <hyperlink r:id="rId2333" location="id=54677&amp;action=152&amp;model=crm.lead&amp;view_type=form&amp;menu_id=111" ref="B1687"/>
    <hyperlink r:id="rId2334" location="id=54672&amp;action=152&amp;model=crm.lead&amp;view_type=form&amp;menu_id=111" ref="B1688"/>
    <hyperlink r:id="rId2335" location="id=54670&amp;action=152&amp;model=crm.lead&amp;view_type=form&amp;menu_id=111" ref="B1689"/>
    <hyperlink r:id="rId2336" location="id=54663&amp;action=152&amp;model=crm.lead&amp;view_type=form&amp;menu_id=111" ref="B1690"/>
    <hyperlink r:id="rId2337" location="id=54647&amp;action=152&amp;model=crm.lead&amp;view_type=form&amp;menu_id=111" ref="B1691"/>
    <hyperlink r:id="rId2338" location="id=54639&amp;action=152&amp;model=crm.lead&amp;view_type=form&amp;menu_id=111" ref="B1692"/>
    <hyperlink r:id="rId2339" location="id=54614&amp;action=152&amp;model=crm.lead&amp;view_type=form&amp;menu_id=111" ref="B1693"/>
    <hyperlink r:id="rId2340" location="id=54627&amp;action=152&amp;model=crm.lead&amp;view_type=form&amp;menu_id=111" ref="B1694"/>
    <hyperlink r:id="rId2341" location="id=54628&amp;action=152&amp;model=crm.lead&amp;view_type=form&amp;menu_id=111" ref="B1695"/>
    <hyperlink r:id="rId2342" location="id=54598&amp;action=152&amp;model=crm.lead&amp;view_type=form&amp;menu_id=111" ref="B1696"/>
    <hyperlink r:id="rId2343" location="id=54559&amp;action=152&amp;model=crm.lead&amp;view_type=form&amp;menu_id=111" ref="B1697"/>
    <hyperlink r:id="rId2344" location="id=54560&amp;action=152&amp;model=crm.lead&amp;view_type=form&amp;menu_id=111" ref="B1698"/>
    <hyperlink r:id="rId2345" location="id=54546&amp;action=152&amp;model=crm.lead&amp;view_type=form&amp;menu_id=111" ref="B1699"/>
    <hyperlink r:id="rId2346" location="id=54541&amp;action=152&amp;model=crm.lead&amp;view_type=form&amp;menu_id=111" ref="B1700"/>
    <hyperlink r:id="rId2347" location="id=54544&amp;action=152&amp;model=crm.lead&amp;view_type=form&amp;menu_id=111" ref="B1701"/>
    <hyperlink r:id="rId2348" location="id=54522&amp;action=152&amp;model=crm.lead&amp;view_type=form&amp;menu_id=111" ref="B1702"/>
    <hyperlink r:id="rId2349" location="id=54523&amp;action=152&amp;model=crm.lead&amp;view_type=form&amp;menu_id=111" ref="B1703"/>
    <hyperlink r:id="rId2350" location="id=54505&amp;action=152&amp;model=crm.lead&amp;view_type=form&amp;menu_id=111" ref="B1704"/>
    <hyperlink r:id="rId2351" location="id=54508&amp;action=152&amp;model=crm.lead&amp;view_type=form&amp;menu_id=111" ref="B1705"/>
    <hyperlink r:id="rId2352" location="id=54507&amp;action=152&amp;model=crm.lead&amp;view_type=form&amp;menu_id=111" ref="B1706"/>
    <hyperlink r:id="rId2353" location="id=54506&amp;action=152&amp;model=crm.lead&amp;view_type=form&amp;menu_id=111" ref="B1707"/>
    <hyperlink r:id="rId2354" location="id=54499&amp;action=152&amp;model=crm.lead&amp;view_type=form&amp;menu_id=111" ref="B1708"/>
    <hyperlink r:id="rId2355" location="id=54498&amp;action=152&amp;model=crm.lead&amp;view_type=form&amp;menu_id=111" ref="B1709"/>
    <hyperlink r:id="rId2356" location="id=54480&amp;action=152&amp;model=crm.lead&amp;view_type=form&amp;menu_id=111" ref="B1710"/>
    <hyperlink r:id="rId2357" location="id=54487&amp;action=152&amp;model=crm.lead&amp;view_type=form&amp;menu_id=111" ref="B1711"/>
    <hyperlink r:id="rId2358" location="id=54468&amp;action=152&amp;model=crm.lead&amp;view_type=form&amp;menu_id=111" ref="B1712"/>
    <hyperlink r:id="rId2359" location="id=54467&amp;action=152&amp;model=crm.lead&amp;view_type=form&amp;menu_id=111" ref="B1713"/>
    <hyperlink r:id="rId2360" location="id=54456&amp;action=152&amp;model=crm.lead&amp;view_type=form&amp;menu_id=111" ref="B1714"/>
    <hyperlink r:id="rId2361" location="id=54404&amp;action=152&amp;model=crm.lead&amp;view_type=form&amp;menu_id=111" ref="B1715"/>
    <hyperlink r:id="rId2362" location="id=54426&amp;action=152&amp;model=crm.lead&amp;view_type=form&amp;menu_id=111" ref="B1716"/>
    <hyperlink r:id="rId2363" location="id=54381&amp;action=152&amp;model=crm.lead&amp;view_type=form&amp;menu_id=111" ref="B1717"/>
    <hyperlink r:id="rId2364" location="id=54383&amp;action=152&amp;model=crm.lead&amp;view_type=form&amp;menu_id=111" ref="B1718"/>
    <hyperlink r:id="rId2365" location="id=54379&amp;action=152&amp;model=crm.lead&amp;view_type=form&amp;menu_id=111" ref="B1719"/>
    <hyperlink r:id="rId2366" location="id=54356&amp;action=152&amp;model=crm.lead&amp;view_type=form&amp;menu_id=111" ref="B1720"/>
    <hyperlink r:id="rId2367" location="id=54362&amp;action=152&amp;model=crm.lead&amp;view_type=form&amp;menu_id=111" ref="B1721"/>
    <hyperlink r:id="rId2368" location="id=54353&amp;action=152&amp;model=crm.lead&amp;view_type=form&amp;menu_id=111" ref="B1722"/>
    <hyperlink r:id="rId2369" location="id=54359&amp;action=152&amp;model=crm.lead&amp;view_type=form&amp;menu_id=111" ref="B1723"/>
    <hyperlink r:id="rId2370" location="id=54338&amp;action=152&amp;model=crm.lead&amp;view_type=form&amp;menu_id=111" ref="B1724"/>
    <hyperlink r:id="rId2371" location="id=54318&amp;action=152&amp;model=crm.lead&amp;view_type=form&amp;menu_id=111" ref="B1725"/>
    <hyperlink r:id="rId2372" location="id=54286&amp;action=152&amp;model=crm.lead&amp;view_type=form&amp;menu_id=111" ref="B1726"/>
    <hyperlink r:id="rId2373" location="id=54233&amp;action=152&amp;model=crm.lead&amp;view_type=form&amp;menu_id=111" ref="B1727"/>
    <hyperlink r:id="rId2374" location="id=54275&amp;action=152&amp;model=crm.lead&amp;view_type=form&amp;menu_id=111" ref="B1728"/>
    <hyperlink r:id="rId2375" location="id=54269&amp;action=152&amp;model=crm.lead&amp;view_type=form&amp;menu_id=111" ref="B1729"/>
    <hyperlink r:id="rId2376" location="id=54242&amp;action=152&amp;model=crm.lead&amp;view_type=form&amp;menu_id=111" ref="B1730"/>
    <hyperlink r:id="rId2377" location="id=54253&amp;action=152&amp;model=crm.lead&amp;view_type=form&amp;menu_id=111" ref="B1731"/>
    <hyperlink r:id="rId2378" location="id=54254&amp;action=152&amp;model=crm.lead&amp;view_type=form&amp;menu_id=111" ref="B1732"/>
    <hyperlink r:id="rId2379" location="id=54229&amp;action=152&amp;model=crm.lead&amp;view_type=form&amp;menu_id=111" ref="B1733"/>
    <hyperlink r:id="rId2380" location="id=54190&amp;action=152&amp;model=crm.lead&amp;view_type=form&amp;menu_id=111" ref="B1734"/>
    <hyperlink r:id="rId2381" location="id=54217&amp;action=152&amp;model=crm.lead&amp;view_type=form&amp;menu_id=111" ref="B1735"/>
    <hyperlink r:id="rId2382" location="id=54216&amp;action=152&amp;model=crm.lead&amp;view_type=form&amp;menu_id=111" ref="B1736"/>
    <hyperlink r:id="rId2383" location="id=54205&amp;action=152&amp;model=crm.lead&amp;view_type=form&amp;menu_id=111" ref="B1737"/>
    <hyperlink r:id="rId2384" location="id=54085&amp;action=152&amp;model=crm.lead&amp;view_type=form&amp;menu_id=111" ref="B1738"/>
    <hyperlink r:id="rId2385" location="id=54187&amp;action=152&amp;model=crm.lead&amp;view_type=form&amp;menu_id=111" ref="B1739"/>
    <hyperlink r:id="rId2386" location="id=54179&amp;action=152&amp;model=crm.lead&amp;view_type=form&amp;menu_id=111" ref="B1741"/>
    <hyperlink r:id="rId2387" location="id=54174&amp;action=152&amp;model=crm.lead&amp;view_type=form&amp;menu_id=111" ref="B1742"/>
    <hyperlink r:id="rId2388" location="id=54158&amp;action=152&amp;model=crm.lead&amp;view_type=form&amp;menu_id=111" ref="B1743"/>
    <hyperlink r:id="rId2389" location="id=54160&amp;action=152&amp;model=crm.lead&amp;view_type=form&amp;menu_id=111" ref="B1744"/>
    <hyperlink r:id="rId2390" location="id=54142&amp;action=152&amp;model=crm.lead&amp;view_type=form&amp;menu_id=111" ref="B1745"/>
    <hyperlink r:id="rId2391" location="id=54086&amp;action=152&amp;model=crm.lead&amp;view_type=form&amp;menu_id=111" ref="B1746"/>
    <hyperlink r:id="rId2392" location="id=54091&amp;action=152&amp;model=crm.lead&amp;view_type=form&amp;menu_id=111" ref="B1747"/>
    <hyperlink r:id="rId2393" location="id=54118&amp;action=152&amp;model=crm.lead&amp;view_type=form&amp;menu_id=111" ref="B1748"/>
    <hyperlink r:id="rId2394" location="id=54121&amp;action=152&amp;model=crm.lead&amp;view_type=form&amp;menu_id=111" ref="B1749"/>
    <hyperlink r:id="rId2395" location="id=54014&amp;action=152&amp;model=crm.lead&amp;view_type=form&amp;menu_id=111" ref="B1750"/>
    <hyperlink r:id="rId2396" location="id=54066&amp;action=152&amp;model=crm.lead&amp;view_type=form&amp;menu_id=111" ref="B1751"/>
    <hyperlink r:id="rId2397" location="id=54060&amp;action=152&amp;model=crm.lead&amp;view_type=form&amp;menu_id=111" ref="B1752"/>
    <hyperlink r:id="rId2398" location="id=54005&amp;action=152&amp;model=crm.lead&amp;view_type=form&amp;menu_id=111" ref="B1754"/>
    <hyperlink r:id="rId2399" location="id=54028&amp;action=152&amp;model=crm.lead&amp;view_type=form&amp;menu_id=111" ref="B1755"/>
    <hyperlink r:id="rId2400" location="id=54002&amp;action=152&amp;model=crm.lead&amp;view_type=form&amp;menu_id=111" ref="B1756"/>
    <hyperlink r:id="rId2401" location="id=53998&amp;action=152&amp;model=crm.lead&amp;view_type=form&amp;menu_id=111" ref="B1757"/>
    <hyperlink r:id="rId2402" location="id=53996&amp;action=152&amp;model=crm.lead&amp;view_type=form&amp;menu_id=111" ref="B1758"/>
    <hyperlink r:id="rId2403" location="id=53995&amp;action=152&amp;model=crm.lead&amp;view_type=form&amp;menu_id=111" ref="B1759"/>
    <hyperlink r:id="rId2404" location="id=53982&amp;action=152&amp;model=crm.lead&amp;view_type=form&amp;menu_id=111" ref="B1760"/>
    <hyperlink r:id="rId2405" location="id=53934&amp;action=152&amp;model=crm.lead&amp;view_type=form&amp;menu_id=111" ref="B1761"/>
    <hyperlink r:id="rId2406" location="id=53923&amp;action=152&amp;model=crm.lead&amp;view_type=form&amp;menu_id=111" ref="B1762"/>
    <hyperlink r:id="rId2407" location="id=53932&amp;action=152&amp;model=crm.lead&amp;view_type=form&amp;menu_id=111" ref="B1763"/>
    <hyperlink r:id="rId2408" location="id=53896&amp;action=152&amp;model=crm.lead&amp;view_type=form&amp;menu_id=111" ref="B1764"/>
    <hyperlink r:id="rId2409" location="id=53874&amp;action=152&amp;model=crm.lead&amp;view_type=form&amp;menu_id=111" ref="B1766"/>
    <hyperlink r:id="rId2410" location="id=53873&amp;action=152&amp;model=crm.lead&amp;view_type=form&amp;menu_id=111" ref="B1767"/>
    <hyperlink r:id="rId2411" location="id=53855&amp;action=152&amp;model=crm.lead&amp;view_type=form&amp;menu_id=111" ref="B1768"/>
    <hyperlink r:id="rId2412" location="id=53844&amp;action=152&amp;model=crm.lead&amp;view_type=form&amp;menu_id=111" ref="B1769"/>
    <hyperlink r:id="rId2413" location="id=53798&amp;action=152&amp;model=crm.lead&amp;view_type=form&amp;menu_id=111" ref="B1770"/>
    <hyperlink r:id="rId2414" location="id=53811&amp;action=152&amp;model=crm.lead&amp;view_type=form&amp;menu_id=111" ref="B1771"/>
    <hyperlink r:id="rId2415" location="id=53763&amp;action=152&amp;model=crm.lead&amp;view_type=form&amp;menu_id=111" ref="B1772"/>
    <hyperlink r:id="rId2416" location="id=53762&amp;action=152&amp;model=crm.lead&amp;view_type=form&amp;menu_id=111" ref="B1773"/>
    <hyperlink r:id="rId2417" location="id=53744&amp;action=152&amp;model=crm.lead&amp;view_type=form&amp;menu_id=111" ref="B1775"/>
    <hyperlink r:id="rId2418" location="id=53746&amp;action=152&amp;model=crm.lead&amp;view_type=form&amp;menu_id=111" ref="B1776"/>
    <hyperlink r:id="rId2419" location="id=53745&amp;action=152&amp;model=crm.lead&amp;view_type=form&amp;menu_id=111" ref="B1777"/>
    <hyperlink r:id="rId2420" location="id=53692&amp;action=152&amp;model=crm.lead&amp;view_type=form&amp;menu_id=111" ref="B1778"/>
    <hyperlink r:id="rId2421" location="id=53707&amp;action=152&amp;model=crm.lead&amp;view_type=form&amp;menu_id=111" ref="B1779"/>
    <hyperlink r:id="rId2422" location="id=53667&amp;action=152&amp;model=crm.lead&amp;view_type=form&amp;menu_id=111" ref="B1780"/>
    <hyperlink r:id="rId2423" location="id=53653&amp;action=152&amp;model=crm.lead&amp;view_type=form&amp;menu_id=111" ref="B1781"/>
    <hyperlink r:id="rId2424" location="id=53658&amp;action=152&amp;model=crm.lead&amp;view_type=form&amp;menu_id=111" ref="B1782"/>
    <hyperlink r:id="rId2425" location="id=53664&amp;action=152&amp;model=crm.lead&amp;view_type=form&amp;menu_id=111" ref="B1783"/>
    <hyperlink r:id="rId2426" location="id=53632&amp;action=152&amp;model=crm.lead&amp;view_type=form&amp;menu_id=111" ref="B1784"/>
    <hyperlink r:id="rId2427" location="id=53622&amp;action=152&amp;model=crm.lead&amp;view_type=form&amp;menu_id=111" ref="B1785"/>
    <hyperlink r:id="rId2428" location="id=53621&amp;action=152&amp;model=crm.lead&amp;view_type=form&amp;menu_id=111" ref="B1786"/>
    <hyperlink r:id="rId2429" location="id=53612&amp;action=152&amp;model=crm.lead&amp;view_type=form&amp;menu_id=111" ref="B1787"/>
    <hyperlink r:id="rId2430" location="id=53615&amp;action=152&amp;model=crm.lead&amp;view_type=form&amp;menu_id=111" ref="B1788"/>
    <hyperlink r:id="rId2431" location="id=53606&amp;action=152&amp;model=crm.lead&amp;view_type=form&amp;menu_id=111" ref="B1789"/>
    <hyperlink r:id="rId2432" location="id=53583&amp;action=152&amp;model=crm.lead&amp;view_type=form&amp;menu_id=111" ref="B1790"/>
    <hyperlink r:id="rId2433" location="id=53592&amp;action=152&amp;model=crm.lead&amp;view_type=form&amp;menu_id=111" ref="B1791"/>
    <hyperlink r:id="rId2434" location="id=53588&amp;action=152&amp;model=crm.lead&amp;view_type=form&amp;menu_id=111" ref="B1792"/>
    <hyperlink r:id="rId2435" location="id=53557&amp;action=152&amp;model=crm.lead&amp;view_type=form&amp;menu_id=111" ref="B1793"/>
    <hyperlink r:id="rId2436" location="id=53558&amp;action=152&amp;model=crm.lead&amp;view_type=form&amp;menu_id=111" ref="B1794"/>
    <hyperlink r:id="rId2437" location="id=53550&amp;action=152&amp;model=crm.lead&amp;view_type=form&amp;menu_id=111" ref="B1795"/>
    <hyperlink r:id="rId2438" location="id=53516&amp;action=152&amp;model=crm.lead&amp;view_type=form&amp;menu_id=111" ref="B1796"/>
    <hyperlink r:id="rId2439" location="id=53523&amp;action=152&amp;model=crm.lead&amp;view_type=form&amp;menu_id=111" ref="B1797"/>
    <hyperlink r:id="rId2440" location="id=53538&amp;action=152&amp;model=crm.lead&amp;view_type=form&amp;menu_id=111" ref="B1798"/>
    <hyperlink r:id="rId2441" location="id=53547&amp;action=152&amp;model=crm.lead&amp;view_type=form&amp;menu_id=111" ref="B1799"/>
    <hyperlink r:id="rId2442" location="id=53489&amp;action=152&amp;model=crm.lead&amp;view_type=form&amp;menu_id=111" ref="B1800"/>
    <hyperlink r:id="rId2443" location="id=53460&amp;action=152&amp;model=crm.lead&amp;view_type=form&amp;menu_id=111" ref="B1801"/>
    <hyperlink r:id="rId2444" location="id=53436&amp;action=152&amp;model=crm.lead&amp;view_type=form&amp;menu_id=111" ref="B1802"/>
    <hyperlink r:id="rId2445" location="id=53433&amp;action=152&amp;model=crm.lead&amp;view_type=form&amp;menu_id=111" ref="B1803"/>
    <hyperlink r:id="rId2446" location="id=53415&amp;action=152&amp;model=crm.lead&amp;view_type=form&amp;menu_id=111" ref="B1804"/>
    <hyperlink r:id="rId2447" location="id=53424&amp;action=152&amp;model=crm.lead&amp;view_type=form&amp;menu_id=111" ref="B1805"/>
    <hyperlink r:id="rId2448" location="id=53418&amp;action=152&amp;model=crm.lead&amp;view_type=form&amp;menu_id=111" ref="B1806"/>
    <hyperlink r:id="rId2449" location="id=53388&amp;action=152&amp;model=crm.lead&amp;view_type=form&amp;menu_id=111" ref="B1807"/>
    <hyperlink r:id="rId2450" location="id=53382&amp;action=152&amp;model=crm.lead&amp;view_type=form&amp;menu_id=111" ref="B1808"/>
    <hyperlink r:id="rId2451" location="id=53307&amp;action=152&amp;model=crm.lead&amp;view_type=form&amp;menu_id=111" ref="B1809"/>
    <hyperlink r:id="rId2452" location="id=53305&amp;action=152&amp;model=crm.lead&amp;view_type=form&amp;menu_id=111" ref="B1810"/>
    <hyperlink r:id="rId2453" location="id=53279&amp;action=152&amp;model=crm.lead&amp;view_type=form&amp;menu_id=111" ref="B1811"/>
    <hyperlink r:id="rId2454" location="id=53177&amp;action=152&amp;model=crm.lead&amp;view_type=form&amp;menu_id=111" ref="B1812"/>
    <hyperlink r:id="rId2455" location="id=53270&amp;action=152&amp;model=crm.lead&amp;view_type=form&amp;menu_id=111" ref="B1813"/>
    <hyperlink r:id="rId2456" location="id=53222&amp;action=152&amp;model=crm.lead&amp;view_type=form&amp;menu_id=111" ref="B1814"/>
    <hyperlink r:id="rId2457" location="id=53239&amp;action=152&amp;model=crm.lead&amp;view_type=form&amp;menu_id=111" ref="B1815"/>
    <hyperlink r:id="rId2458" location="id=53242&amp;action=152&amp;model=crm.lead&amp;view_type=form&amp;menu_id=111" ref="B1816"/>
    <hyperlink r:id="rId2459" location="id=53249&amp;action=152&amp;model=crm.lead&amp;view_type=form&amp;menu_id=111" ref="B1817"/>
    <hyperlink r:id="rId2460" location="id=53253&amp;action=152&amp;model=crm.lead&amp;view_type=form&amp;menu_id=111" ref="B1818"/>
    <hyperlink r:id="rId2461" location="id=53181&amp;action=152&amp;model=crm.lead&amp;view_type=form&amp;menu_id=111" ref="B1819"/>
    <hyperlink r:id="rId2462" location="id=53192&amp;action=152&amp;model=crm.lead&amp;view_type=form&amp;menu_id=111" ref="B1820"/>
    <hyperlink r:id="rId2463" location="id=53163&amp;action=152&amp;model=crm.lead&amp;view_type=form&amp;menu_id=111" ref="B1821"/>
    <hyperlink r:id="rId2464" location="id=53162&amp;action=152&amp;model=crm.lead&amp;view_type=form&amp;menu_id=111" ref="B1822"/>
    <hyperlink r:id="rId2465" location="id=53122&amp;action=152&amp;model=crm.lead&amp;view_type=form&amp;menu_id=111" ref="B1823"/>
    <hyperlink r:id="rId2466" location="id=53121&amp;action=152&amp;model=crm.lead&amp;view_type=form&amp;menu_id=111" ref="B1824"/>
    <hyperlink r:id="rId2467" location="id=53117&amp;action=152&amp;model=crm.lead&amp;view_type=form&amp;menu_id=111" ref="B1825"/>
    <hyperlink r:id="rId2468" location="id=53071&amp;action=152&amp;model=crm.lead&amp;view_type=form&amp;menu_id=111" ref="B1826"/>
    <hyperlink r:id="rId2469" location="id=53062&amp;action=152&amp;model=crm.lead&amp;view_type=form&amp;menu_id=111" ref="B1827"/>
    <hyperlink r:id="rId2470" location="id=53044&amp;action=152&amp;model=crm.lead&amp;view_type=form&amp;menu_id=111" ref="B1828"/>
    <hyperlink r:id="rId2471" location="id=53020&amp;action=152&amp;model=crm.lead&amp;view_type=form&amp;menu_id=111" ref="B1829"/>
    <hyperlink r:id="rId2472" location="id=52918&amp;action=152&amp;model=crm.lead&amp;view_type=form&amp;menu_id=111" ref="B1831"/>
    <hyperlink r:id="rId2473" location="id=52932&amp;action=152&amp;model=crm.lead&amp;view_type=form&amp;menu_id=111" ref="B1833"/>
    <hyperlink r:id="rId2474" location="id=52832&amp;action=152&amp;model=crm.lead&amp;view_type=form&amp;menu_id=111" ref="B1834"/>
    <hyperlink r:id="rId2475" location="id=52820&amp;action=152&amp;model=crm.lead&amp;view_type=form&amp;menu_id=111" ref="B1835"/>
    <hyperlink r:id="rId2476" location="id=52809&amp;action=152&amp;model=crm.lead&amp;view_type=form&amp;menu_id=111" ref="B1836"/>
    <hyperlink r:id="rId2477" location="id=52800&amp;action=152&amp;model=crm.lead&amp;view_type=form&amp;menu_id=111" ref="B1837"/>
    <hyperlink r:id="rId2478" location="id=52797&amp;action=152&amp;model=crm.lead&amp;view_type=form&amp;menu_id=111" ref="B1838"/>
    <hyperlink r:id="rId2479" location="id=52794&amp;action=152&amp;model=crm.lead&amp;view_type=form&amp;menu_id=111" ref="B1839"/>
    <hyperlink r:id="rId2480" location="id=52792&amp;action=152&amp;model=crm.lead&amp;view_type=form&amp;menu_id=111" ref="B1840"/>
    <hyperlink r:id="rId2481" location="id=52774&amp;action=152&amp;model=crm.lead&amp;view_type=form&amp;menu_id=111" ref="B1841"/>
    <hyperlink r:id="rId2482" location="id=52783&amp;action=152&amp;model=crm.lead&amp;view_type=form&amp;menu_id=111" ref="B1842"/>
    <hyperlink r:id="rId2483" location="id=52750&amp;action=152&amp;model=crm.lead&amp;view_type=form&amp;menu_id=111" ref="B1843"/>
    <hyperlink r:id="rId2484" location="id=52711&amp;action=152&amp;model=crm.lead&amp;view_type=form&amp;menu_id=111" ref="B1844"/>
    <hyperlink r:id="rId2485" location="id=52701&amp;action=152&amp;model=crm.lead&amp;view_type=form&amp;menu_id=111" ref="B1845"/>
    <hyperlink r:id="rId2486" location="id=52706&amp;action=152&amp;model=crm.lead&amp;view_type=form&amp;menu_id=111" ref="B1846"/>
    <hyperlink r:id="rId2487" location="id=52558&amp;action=152&amp;model=crm.lead&amp;view_type=form&amp;menu_id=111" ref="B1847"/>
    <hyperlink r:id="rId2488" location="id=52544&amp;action=152&amp;model=crm.lead&amp;view_type=form&amp;menu_id=111" ref="B1848"/>
    <hyperlink r:id="rId2489" location="id=52518&amp;action=152&amp;model=crm.lead&amp;view_type=form&amp;menu_id=111" ref="B1849"/>
    <hyperlink r:id="rId2490" location="id=52520&amp;action=152&amp;model=crm.lead&amp;view_type=form&amp;menu_id=111" ref="B1850"/>
    <hyperlink r:id="rId2491" location="id=52568&amp;action=152&amp;model=crm.lead&amp;view_type=form&amp;menu_id=111" ref="B1851"/>
    <hyperlink r:id="rId2492" location="id=52506&amp;action=152&amp;model=crm.lead&amp;view_type=form&amp;menu_id=111" ref="B1852"/>
    <hyperlink r:id="rId2493" location="id=52490&amp;action=152&amp;model=crm.lead&amp;view_type=form&amp;menu_id=111" ref="B1853"/>
    <hyperlink r:id="rId2494" location="id=52482&amp;action=152&amp;model=crm.lead&amp;view_type=form&amp;menu_id=111" ref="B1854"/>
    <hyperlink r:id="rId2495" location="id=52486&amp;action=152&amp;model=crm.lead&amp;view_type=form&amp;menu_id=111" ref="B1855"/>
    <hyperlink r:id="rId2496" location="id=52492&amp;action=152&amp;model=crm.lead&amp;view_type=form&amp;menu_id=111" ref="B1856"/>
    <hyperlink r:id="rId2497" location="id=52498&amp;action=152&amp;model=crm.lead&amp;view_type=form&amp;menu_id=111" ref="B1857"/>
    <hyperlink r:id="rId2498" location="id=52466&amp;action=152&amp;model=crm.lead&amp;view_type=form&amp;menu_id=111" ref="B1858"/>
    <hyperlink r:id="rId2499" location="id=52465&amp;action=152&amp;model=crm.lead&amp;view_type=form&amp;menu_id=111" ref="B1859"/>
    <hyperlink r:id="rId2500" location="id=52463&amp;action=152&amp;model=crm.lead&amp;view_type=form&amp;menu_id=111" ref="B1860"/>
    <hyperlink r:id="rId2501" location="id=51510&amp;action=152&amp;model=crm.lead&amp;view_type=form&amp;menu_id=111" ref="B1861"/>
    <hyperlink r:id="rId2502" location="id=52460&amp;action=152&amp;model=crm.lead&amp;view_type=form&amp;menu_id=111" ref="B1862"/>
    <hyperlink r:id="rId2503" location="id=52455&amp;action=152&amp;model=crm.lead&amp;view_type=form&amp;menu_id=111" ref="B1863"/>
    <hyperlink r:id="rId2504" location="id=52458&amp;action=152&amp;model=crm.lead&amp;view_type=form&amp;menu_id=111" ref="B1864"/>
    <hyperlink r:id="rId2505" location="id=52370&amp;action=152&amp;model=crm.lead&amp;view_type=form&amp;menu_id=111" ref="B1865"/>
    <hyperlink r:id="rId2506" location="id=52445&amp;action=152&amp;model=crm.lead&amp;view_type=form&amp;menu_id=111" ref="B1866"/>
    <hyperlink r:id="rId2507" location="id=52411&amp;action=152&amp;model=crm.lead&amp;view_type=form&amp;menu_id=111" ref="B1867"/>
    <hyperlink r:id="rId2508" location="id=52401&amp;action=152&amp;model=crm.lead&amp;view_type=form&amp;menu_id=111" ref="B1868"/>
    <hyperlink r:id="rId2509" location="id=52391&amp;action=152&amp;model=crm.lead&amp;view_type=form&amp;menu_id=111" ref="B1869"/>
    <hyperlink r:id="rId2510" location="id=52342&amp;action=152&amp;model=crm.lead&amp;view_type=form&amp;menu_id=111" ref="B1870"/>
    <hyperlink r:id="rId2511" location="id=52334&amp;action=152&amp;model=crm.lead&amp;view_type=form&amp;menu_id=111" ref="B1871"/>
    <hyperlink r:id="rId2512" location="id=52328&amp;action=152&amp;model=crm.lead&amp;view_type=form&amp;menu_id=111" ref="B1872"/>
    <hyperlink r:id="rId2513" location="id=52290&amp;action=152&amp;model=crm.lead&amp;view_type=form&amp;menu_id=111" ref="B1873"/>
    <hyperlink r:id="rId2514" location="id=52311&amp;action=152&amp;model=crm.lead&amp;view_type=form&amp;menu_id=111" ref="B1874"/>
    <hyperlink r:id="rId2515" location="id=52288&amp;action=152&amp;model=crm.lead&amp;view_type=form&amp;menu_id=111" ref="B1875"/>
    <hyperlink r:id="rId2516" location="id=52284&amp;action=152&amp;model=crm.lead&amp;view_type=form&amp;menu_id=111" ref="B1876"/>
    <hyperlink r:id="rId2517" location="id=52275&amp;action=152&amp;model=crm.lead&amp;view_type=form&amp;menu_id=111" ref="B1877"/>
    <hyperlink r:id="rId2518" location="id=52264&amp;action=152&amp;model=crm.lead&amp;view_type=form&amp;menu_id=111" ref="B1879"/>
    <hyperlink r:id="rId2519" location="id=52149&amp;action=152&amp;model=crm.lead&amp;view_type=form&amp;menu_id=111" ref="B1880"/>
    <hyperlink r:id="rId2520" location="id=52114&amp;action=152&amp;model=crm.lead&amp;view_type=form&amp;menu_id=111" ref="B1881"/>
    <hyperlink r:id="rId2521" location="id=52075&amp;action=152&amp;model=crm.lead&amp;view_type=form&amp;menu_id=111" ref="B1882"/>
    <hyperlink r:id="rId2522" location="id=52030&amp;action=152&amp;model=crm.lead&amp;view_type=form&amp;menu_id=111" ref="B1883"/>
    <hyperlink r:id="rId2523" location="id=52007&amp;action=152&amp;model=crm.lead&amp;view_type=form&amp;menu_id=111" ref="B1884"/>
    <hyperlink r:id="rId2524" location="id=51901&amp;action=152&amp;model=crm.lead&amp;view_type=form&amp;menu_id=111" ref="B1886"/>
    <hyperlink r:id="rId2525" location="id=51878&amp;action=152&amp;model=crm.lead&amp;view_type=form&amp;menu_id=111" ref="B1887"/>
    <hyperlink r:id="rId2526" location="id=51868&amp;action=152&amp;model=crm.lead&amp;view_type=form&amp;menu_id=111" ref="B1888"/>
    <hyperlink r:id="rId2527" location="id=10415&amp;model=res.partner" ref="C1888"/>
    <hyperlink r:id="rId2528" location="id=51740&amp;action=152&amp;model=crm.lead&amp;view_type=form&amp;menu_id=111" ref="B1889"/>
    <hyperlink r:id="rId2529" ref="G1889"/>
    <hyperlink r:id="rId2530" location="id=51722&amp;action=152&amp;model=crm.lead&amp;view_type=form&amp;menu_id=111" ref="B1890"/>
    <hyperlink r:id="rId2531" ref="G1890"/>
    <hyperlink r:id="rId2532" location="id=51736&amp;action=152&amp;model=crm.lead&amp;view_type=form&amp;menu_id=111" ref="B1891"/>
    <hyperlink r:id="rId2533" location="id=51695&amp;action=152&amp;model=crm.lead&amp;view_type=form&amp;menu_id=111" ref="B1893"/>
    <hyperlink r:id="rId2534" location="id=51651&amp;action=152&amp;model=crm.lead&amp;view_type=form&amp;menu_id=111" ref="B1894"/>
    <hyperlink r:id="rId2535" ref="G1894"/>
    <hyperlink r:id="rId2536" location="id=51639&amp;action=152&amp;model=crm.lead&amp;view_type=form&amp;menu_id=111" ref="B1895"/>
    <hyperlink r:id="rId2537" ref="G1895"/>
    <hyperlink r:id="rId2538" location="id=51573&amp;action=152&amp;model=crm.lead&amp;view_type=form&amp;menu_id=111" ref="B1896"/>
    <hyperlink r:id="rId2539" location="id=51483&amp;action=152&amp;model=crm.lead&amp;view_type=form&amp;menu_id=111" ref="B1897"/>
    <hyperlink r:id="rId2540" location="id=51417&amp;action=152&amp;model=crm.lead&amp;view_type=form&amp;menu_id=111" ref="B1899"/>
    <hyperlink r:id="rId2541" ref="G1899"/>
    <hyperlink r:id="rId2542" location="id=51356&amp;action=152&amp;model=crm.lead&amp;view_type=form&amp;menu_id=111" ref="B1900"/>
    <hyperlink r:id="rId2543" location="id=51326&amp;action=152&amp;model=crm.lead&amp;view_type=form&amp;menu_id=111" ref="B1901"/>
    <hyperlink r:id="rId2544" location="id=51320&amp;action=152&amp;model=crm.lead&amp;view_type=form&amp;menu_id=111" ref="B1902"/>
    <hyperlink r:id="rId2545" ref="G1902"/>
    <hyperlink r:id="rId2546" location="id=51299&amp;action=152&amp;model=crm.lead&amp;view_type=form&amp;menu_id=111" ref="B1904"/>
    <hyperlink r:id="rId2547" location="id=51249&amp;action=152&amp;model=crm.lead&amp;view_type=form&amp;menu_id=111" ref="B1905"/>
    <hyperlink r:id="rId2548" location="id=51205&amp;action=152&amp;model=crm.lead&amp;view_type=form&amp;menu_id=111" ref="B1906"/>
    <hyperlink r:id="rId2549" ref="G1906"/>
    <hyperlink r:id="rId2550" location="id=51188&amp;action=152&amp;model=crm.lead&amp;view_type=form&amp;menu_id=111" ref="B1908"/>
    <hyperlink r:id="rId2551" ref="G1908"/>
    <hyperlink r:id="rId2552" location="id=51097&amp;action=152&amp;model=crm.lead&amp;view_type=form&amp;menu_id=111" ref="B1909"/>
    <hyperlink r:id="rId2553" ref="G1909"/>
    <hyperlink r:id="rId2554" location="id=50958&amp;action=152&amp;model=crm.lead&amp;view_type=form&amp;menu_id=111" ref="B1910"/>
    <hyperlink r:id="rId2555" location="id=50922&amp;action=152&amp;model=crm.lead&amp;view_type=form&amp;menu_id=111" ref="B1911"/>
    <hyperlink r:id="rId2556" ref="G1911"/>
    <hyperlink r:id="rId2557" location="id=50789&amp;action=152&amp;model=crm.lead&amp;view_type=form&amp;menu_id=111" ref="B1912"/>
    <hyperlink r:id="rId2558" ref="G1912"/>
    <hyperlink r:id="rId2559" location="id=50813&amp;action=152&amp;model=crm.lead&amp;view_type=form&amp;menu_id=111" ref="B1913"/>
    <hyperlink r:id="rId2560" ref="G1913"/>
    <hyperlink r:id="rId2561" location="id=50300&amp;action=152&amp;model=crm.lead&amp;view_type=form&amp;menu_id=111" ref="B1914"/>
    <hyperlink r:id="rId2562" location="id=49917&amp;action=152&amp;model=crm.lead&amp;view_type=form&amp;menu_id=111" ref="B1915"/>
    <hyperlink r:id="rId2563" location="id=49817&amp;action=152&amp;model=crm.lead&amp;view_type=form&amp;menu_id=111" ref="B1916"/>
    <hyperlink r:id="rId2564" ref="G1916"/>
    <hyperlink r:id="rId2565" location="id=49665&amp;action=152&amp;model=crm.lead&amp;view_type=form&amp;menu_id=111" ref="B1917"/>
    <hyperlink r:id="rId2566" ref="G1917"/>
    <hyperlink r:id="rId2567" location="id=49646&amp;action=152&amp;model=crm.lead&amp;view_type=form&amp;menu_id=111" ref="B1918"/>
    <hyperlink r:id="rId2568" ref="C1918"/>
    <hyperlink r:id="rId2569" location="id=49382&amp;action=152&amp;model=crm.lead&amp;view_type=form&amp;menu_id=111" ref="B1919"/>
    <hyperlink r:id="rId2570" location="id=49236&amp;action=152&amp;model=crm.lead&amp;view_type=form&amp;menu_id=111" ref="B1920"/>
    <hyperlink r:id="rId2571" location="id=49180&amp;action=152&amp;model=crm.lead&amp;view_type=form&amp;menu_id=111" ref="B1921"/>
    <hyperlink r:id="rId2572" location="id=48779&amp;action=152&amp;model=crm.lead&amp;view_type=form&amp;menu_id=111" ref="B1922"/>
    <hyperlink r:id="rId2573" location="id=48642&amp;action=152&amp;model=crm.lead&amp;view_type=form&amp;menu_id=111" ref="B1923"/>
    <hyperlink r:id="rId2574" location="id=48521&amp;action=152&amp;model=crm.lead&amp;view_type=form&amp;menu_id=111" ref="B1924"/>
    <hyperlink r:id="rId2575" ref="G1924"/>
    <hyperlink r:id="rId2576" location="id=48590&amp;action=152&amp;model=crm.lead&amp;view_type=form&amp;menu_id=111" ref="B1925"/>
    <hyperlink r:id="rId2577" ref="G1925"/>
    <hyperlink r:id="rId2578" location="id=48445&amp;action=152&amp;model=crm.lead&amp;view_type=form&amp;menu_id=111" ref="B1926"/>
    <hyperlink r:id="rId2579" location="id=48357&amp;action=152&amp;model=crm.lead&amp;view_type=form&amp;menu_id=111" ref="B1927"/>
    <hyperlink r:id="rId2580" ref="G1927"/>
    <hyperlink r:id="rId2581" location="id=48347&amp;action=152&amp;model=crm.lead&amp;view_type=form&amp;menu_id=111" ref="B1928"/>
    <hyperlink r:id="rId2582" ref="G1928"/>
    <hyperlink r:id="rId2583" location="id=48146&amp;action=152&amp;model=crm.lead&amp;view_type=form&amp;menu_id=111" ref="B1929"/>
    <hyperlink r:id="rId2584" ref="G1929"/>
    <hyperlink r:id="rId2585" location="id=48157&amp;action=152&amp;model=crm.lead&amp;view_type=form&amp;menu_id=111" ref="B1930"/>
    <hyperlink r:id="rId2586" ref="G1930"/>
    <hyperlink r:id="rId2587" location="id=46301&amp;action=152&amp;model=crm.lead&amp;view_type=form&amp;menu_id=111" ref="B1935"/>
    <hyperlink r:id="rId2588" location="id=46244&amp;action=152&amp;model=crm.lead&amp;view_type=form&amp;menu_id=111" ref="B1936"/>
    <hyperlink r:id="rId2589" location="id=46240&amp;action=152&amp;model=crm.lead&amp;view_type=form&amp;menu_id=111" ref="B1937"/>
    <hyperlink r:id="rId2590" location="id=46194&amp;action=152&amp;model=crm.lead&amp;view_type=form&amp;menu_id=111" ref="B1938"/>
    <hyperlink r:id="rId2591" location="id=46173&amp;action=152&amp;model=crm.lead&amp;view_type=form&amp;menu_id=111" ref="B1939"/>
    <hyperlink r:id="rId2592" location="id=46127&amp;action=152&amp;model=crm.lead&amp;view_type=form&amp;menu_id=111" ref="B1940"/>
    <hyperlink r:id="rId2593" location="id=46106&amp;action=152&amp;model=crm.lead&amp;view_type=form&amp;menu_id=111" ref="B1941"/>
    <hyperlink r:id="rId2594" location="id=46016&amp;action=152&amp;model=crm.lead&amp;view_type=form&amp;menu_id=111" ref="B1942"/>
    <hyperlink r:id="rId2595" location="id=45810&amp;action=152&amp;model=crm.lead&amp;view_type=form&amp;menu_id=111" ref="B1943"/>
    <hyperlink r:id="rId2596" location="id=45776&amp;action=152&amp;model=crm.lead&amp;view_type=form&amp;menu_id=111" ref="B1944"/>
    <hyperlink r:id="rId2597" location="id=45754&amp;action=152&amp;model=crm.lead&amp;view_type=form&amp;menu_id=111" ref="B1945"/>
    <hyperlink r:id="rId2598" location="id=45675&amp;action=152&amp;model=crm.lead&amp;view_type=form&amp;menu_id=111" ref="B1946"/>
    <hyperlink r:id="rId2599" location="id=45623&amp;action=152&amp;model=crm.lead&amp;view_type=form&amp;menu_id=111" ref="B1947"/>
    <hyperlink r:id="rId2600" location="id=45638&amp;action=152&amp;model=crm.lead&amp;view_type=form&amp;menu_id=111" ref="B1948"/>
    <hyperlink r:id="rId2601" location="id=45624&amp;action=152&amp;model=crm.lead&amp;view_type=form&amp;menu_id=111" ref="B1949"/>
    <hyperlink r:id="rId2602" location="id=45415&amp;action=152&amp;model=crm.lead&amp;view_type=form&amp;menu_id=111" ref="B1951"/>
    <hyperlink r:id="rId2603" location="id=45426&amp;action=152&amp;model=crm.lead&amp;view_type=form&amp;menu_id=111" ref="B1952"/>
    <hyperlink r:id="rId2604" location="id=45325&amp;action=152&amp;model=crm.lead&amp;view_type=form&amp;menu_id=111" ref="B1953"/>
    <hyperlink r:id="rId2605" location="id=45289&amp;action=152&amp;model=crm.lead&amp;view_type=form&amp;menu_id=111" ref="B1954"/>
    <hyperlink r:id="rId2606" location="id=45282&amp;action=152&amp;model=crm.lead&amp;view_type=form&amp;menu_id=111" ref="B1955"/>
    <hyperlink r:id="rId2607" location="id=44878&amp;action=152&amp;model=crm.lead&amp;view_type=form&amp;menu_id=111" ref="B1956"/>
    <hyperlink r:id="rId2608" location="id=45074&amp;action=152&amp;model=crm.lead&amp;view_type=form&amp;menu_id=111" ref="B1957"/>
    <hyperlink r:id="rId2609" location="id=44943&amp;action=152&amp;model=crm.lead&amp;view_type=form&amp;menu_id=111" ref="B1958"/>
    <hyperlink r:id="rId2610" location="id=45013&amp;action=152&amp;model=crm.lead&amp;view_type=form&amp;menu_id=111" ref="B1959"/>
    <hyperlink r:id="rId2611" location="id=44987&amp;action=152&amp;model=crm.lead&amp;view_type=form&amp;menu_id=111" ref="B1961"/>
    <hyperlink r:id="rId2612" location="id=44963&amp;action=152&amp;model=crm.lead&amp;view_type=form&amp;menu_id=111" ref="B1962"/>
    <hyperlink r:id="rId2613" location="id=44985&amp;action=152&amp;model=crm.lead&amp;view_type=form&amp;menu_id=111" ref="B1963"/>
    <hyperlink r:id="rId2614" location="id=44993&amp;action=152&amp;model=crm.lead&amp;view_type=form&amp;menu_id=111" ref="B1964"/>
    <hyperlink r:id="rId2615" location="id=44891&amp;action=152&amp;model=crm.lead&amp;view_type=form&amp;menu_id=111" ref="B1966"/>
    <hyperlink r:id="rId2616" location="id=44848&amp;action=152&amp;model=crm.lead&amp;view_type=form&amp;menu_id=111" ref="B1967"/>
    <hyperlink r:id="rId2617" location="id=44845&amp;action=152&amp;model=crm.lead&amp;view_type=form&amp;menu_id=111" ref="B1968"/>
    <hyperlink r:id="rId2618" location="id=44812&amp;action=152&amp;model=crm.lead&amp;view_type=form&amp;menu_id=111" ref="B1969"/>
    <hyperlink r:id="rId2619" location="id=44792&amp;action=152&amp;model=crm.lead&amp;view_type=form&amp;menu_id=111" ref="B1970"/>
    <hyperlink r:id="rId2620" location="id=44787&amp;action=152&amp;model=crm.lead&amp;view_type=form&amp;menu_id=111" ref="B1971"/>
    <hyperlink r:id="rId2621" location="id=44716&amp;action=152&amp;model=crm.lead&amp;view_type=form&amp;menu_id=111" ref="B1972"/>
    <hyperlink r:id="rId2622" location="id=44584&amp;action=152&amp;model=crm.lead&amp;view_type=form&amp;menu_id=111" ref="B1973"/>
    <hyperlink r:id="rId2623" location="id=44630&amp;action=152&amp;model=crm.lead&amp;view_type=form&amp;menu_id=111" ref="B1974"/>
    <hyperlink r:id="rId2624" location="id=44638&amp;action=152&amp;model=crm.lead&amp;view_type=form&amp;menu_id=111" ref="B1975"/>
    <hyperlink r:id="rId2625" location="id=44535&amp;action=152&amp;model=crm.lead&amp;view_type=form&amp;menu_id=111" ref="B1977"/>
    <hyperlink r:id="rId2626" location="id=44514&amp;action=152&amp;model=crm.lead&amp;view_type=form&amp;menu_id=111" ref="B1978"/>
    <hyperlink r:id="rId2627" location="id=44433&amp;action=152&amp;model=crm.lead&amp;view_type=form&amp;menu_id=111" ref="B1979"/>
    <hyperlink r:id="rId2628" location="id=44329&amp;action=152&amp;model=crm.lead&amp;view_type=form&amp;menu_id=111" ref="B1980"/>
    <hyperlink r:id="rId2629" location="id=44286&amp;action=152&amp;model=crm.lead&amp;view_type=form&amp;menu_id=111" ref="B1982"/>
    <hyperlink r:id="rId2630" location="id=44259&amp;action=152&amp;model=crm.lead&amp;view_type=form&amp;menu_id=111" ref="B1983"/>
    <hyperlink r:id="rId2631" location="id=44267&amp;action=152&amp;model=crm.lead&amp;view_type=form&amp;menu_id=111" ref="B1984"/>
    <hyperlink r:id="rId2632" location="id=44225&amp;action=152&amp;model=crm.lead&amp;view_type=form&amp;menu_id=111" ref="B1985"/>
    <hyperlink r:id="rId2633" location="id=44228&amp;action=152&amp;model=crm.lead&amp;view_type=form&amp;menu_id=111" ref="B1986"/>
    <hyperlink r:id="rId2634" location="id=44198&amp;action=152&amp;model=crm.lead&amp;view_type=form&amp;menu_id=111" ref="B1987"/>
    <hyperlink r:id="rId2635" location="id=44215&amp;action=152&amp;model=crm.lead&amp;view_type=form&amp;menu_id=111" ref="B1988"/>
    <hyperlink r:id="rId2636" location="id=44165&amp;action=152&amp;model=crm.lead&amp;view_type=form&amp;menu_id=111" ref="B1989"/>
    <hyperlink r:id="rId2637" location="id=10323&amp;model=res.partner" ref="C1990"/>
    <hyperlink r:id="rId2638" ref="G1990"/>
    <hyperlink r:id="rId2639" location="id=44124&amp;action=152&amp;model=crm.lead&amp;view_type=form&amp;menu_id=111" ref="B1991"/>
    <hyperlink r:id="rId2640" location="id=43988&amp;action=152&amp;model=crm.lead&amp;view_type=form&amp;menu_id=111" ref="B1992"/>
    <hyperlink r:id="rId2641" location="id=44028&amp;action=152&amp;model=crm.lead&amp;view_type=form&amp;menu_id=111" ref="B1993"/>
    <hyperlink r:id="rId2642" location="id=43810&amp;action=152&amp;model=crm.lead&amp;view_type=form&amp;menu_id=111" ref="B1994"/>
    <hyperlink r:id="rId2643" location="id=43753&amp;action=152&amp;model=crm.lead&amp;view_type=form&amp;menu_id=111" ref="B1995"/>
    <hyperlink r:id="rId2644" location="id=43754&amp;action=152&amp;model=crm.lead&amp;view_type=form&amp;menu_id=111" ref="B1996"/>
    <hyperlink r:id="rId2645" location="id=43668&amp;action=152&amp;model=crm.lead&amp;view_type=form&amp;menu_id=111" ref="B1997"/>
    <hyperlink r:id="rId2646" location="id=43571&amp;action=152&amp;model=crm.lead&amp;view_type=form&amp;menu_id=111" ref="B1998"/>
    <hyperlink r:id="rId2647" location="id=43586&amp;action=152&amp;model=crm.lead&amp;view_type=form&amp;menu_id=111" ref="B1999"/>
    <hyperlink r:id="rId2648" location="id=43532&amp;action=152&amp;model=crm.lead&amp;view_type=form&amp;menu_id=111" ref="B2000"/>
    <hyperlink r:id="rId2649" location="id=43501&amp;action=152&amp;model=crm.lead&amp;view_type=form&amp;menu_id=111" ref="B2001"/>
    <hyperlink r:id="rId2650" location="id=43451&amp;action=152&amp;model=crm.lead&amp;view_type=form&amp;menu_id=111" ref="B2002"/>
    <hyperlink r:id="rId2651" location="id=43323&amp;action=152&amp;model=crm.lead&amp;view_type=form&amp;menu_id=111" ref="B2003"/>
    <hyperlink r:id="rId2652" location="id=43316&amp;action=152&amp;model=crm.lead&amp;view_type=form&amp;menu_id=111" ref="B2004"/>
    <hyperlink r:id="rId2653" location="id=43176&amp;action=152&amp;model=crm.lead&amp;view_type=form&amp;menu_id=111" ref="B2005"/>
    <hyperlink r:id="rId2654" ref="G2006"/>
    <hyperlink r:id="rId2655" location="id=43090&amp;action=152&amp;model=crm.lead&amp;view_type=form&amp;menu_id=111" ref="B2007"/>
    <hyperlink r:id="rId2656" location="id=43100&amp;action=152&amp;model=crm.lead&amp;view_type=form&amp;menu_id=111" ref="B2008"/>
    <hyperlink r:id="rId2657" location="id=42988&amp;action=152&amp;model=crm.lead&amp;view_type=form&amp;menu_id=111" ref="B2009"/>
    <hyperlink r:id="rId2658" location="id=10303&amp;model=res.partner" ref="C2009"/>
    <hyperlink r:id="rId2659" ref="G2009"/>
    <hyperlink r:id="rId2660" location="id=42823&amp;action=152&amp;model=crm.lead&amp;view_type=form&amp;menu_id=111" ref="B2011"/>
    <hyperlink r:id="rId2661" location="id=42731&amp;action=152&amp;model=crm.lead&amp;view_type=form&amp;menu_id=111" ref="B2012"/>
    <hyperlink r:id="rId2662" location="id=42704&amp;action=152&amp;model=crm.lead&amp;view_type=form&amp;menu_id=111" ref="B2013"/>
    <hyperlink r:id="rId2663" location="id=42632&amp;action=152&amp;model=crm.lead&amp;view_type=form&amp;menu_id=111" ref="B2014"/>
    <hyperlink r:id="rId2664" location="id=42547&amp;action=152&amp;model=crm.lead&amp;view_type=form&amp;menu_id=111" ref="B2015"/>
    <hyperlink r:id="rId2665" location="id=42441&amp;action=152&amp;model=crm.lead&amp;view_type=form&amp;menu_id=111" ref="B2016"/>
    <hyperlink r:id="rId2666" location="id=42430&amp;action=152&amp;model=crm.lead&amp;view_type=form&amp;menu_id=111" ref="B2017"/>
    <hyperlink r:id="rId2667" location="id=42419&amp;action=152&amp;model=crm.lead&amp;view_type=form&amp;menu_id=111" ref="B2018"/>
    <hyperlink r:id="rId2668" location="id=42396&amp;action=152&amp;model=crm.lead&amp;view_type=form&amp;menu_id=111" ref="B2019"/>
    <hyperlink r:id="rId2669" location="id=42341&amp;action=152&amp;model=crm.lead&amp;view_type=form&amp;menu_id=111" ref="B2020"/>
    <hyperlink r:id="rId2670" location="id=42277&amp;action=152&amp;model=crm.lead&amp;view_type=form&amp;menu_id=111" ref="B2021"/>
    <hyperlink r:id="rId2671" location="id=42238&amp;action=152&amp;model=crm.lead&amp;view_type=form&amp;menu_id=111" ref="B2022"/>
    <hyperlink r:id="rId2672" location="id=10292&amp;model=res.partner" ref="C2022"/>
    <hyperlink r:id="rId2673" location="id=42236&amp;action=152&amp;model=crm.lead&amp;view_type=form&amp;menu_id=111" ref="B2023"/>
    <hyperlink r:id="rId2674" location="id=42214&amp;action=152&amp;model=crm.lead&amp;view_type=form&amp;menu_id=111" ref="B2024"/>
    <hyperlink r:id="rId2675" location="id=42183&amp;action=152&amp;model=crm.lead&amp;view_type=form&amp;menu_id=111" ref="B2025"/>
    <hyperlink r:id="rId2676" location="id=42176&amp;action=152&amp;model=crm.lead&amp;view_type=form&amp;menu_id=111" ref="B2026"/>
    <hyperlink r:id="rId2677" location="id=42137&amp;action=152&amp;model=crm.lead&amp;view_type=form&amp;menu_id=111" ref="B2027"/>
    <hyperlink r:id="rId2678" location="id=42124&amp;action=152&amp;model=crm.lead&amp;view_type=form&amp;menu_id=111" ref="B2028"/>
    <hyperlink r:id="rId2679" location="id=42006&amp;action=152&amp;model=crm.lead&amp;view_type=form&amp;menu_id=111" ref="B2029"/>
    <hyperlink r:id="rId2680" location="id=42000&amp;action=152&amp;model=crm.lead&amp;view_type=form&amp;menu_id=111" ref="B2030"/>
    <hyperlink r:id="rId2681" location="id=41996&amp;action=152&amp;model=crm.lead&amp;view_type=form&amp;menu_id=111" ref="B2031"/>
    <hyperlink r:id="rId2682" location="id=41975&amp;action=152&amp;model=crm.lead&amp;view_type=form&amp;menu_id=111" ref="B2032"/>
    <hyperlink r:id="rId2683" location="id=41932&amp;action=152&amp;model=crm.lead&amp;view_type=form&amp;menu_id=111" ref="B2033"/>
    <hyperlink r:id="rId2684" location="id=41870&amp;action=152&amp;model=crm.lead&amp;view_type=form&amp;menu_id=111" ref="B2034"/>
    <hyperlink r:id="rId2685" location="id=41909&amp;action=152&amp;model=crm.lead&amp;view_type=form&amp;menu_id=111" ref="B2035"/>
    <hyperlink r:id="rId2686" location="id=41837&amp;action=152&amp;model=crm.lead&amp;view_type=form&amp;menu_id=111" ref="B2036"/>
    <hyperlink r:id="rId2687" location="id=41810&amp;action=152&amp;model=crm.lead&amp;view_type=form&amp;menu_id=111" ref="B2037"/>
    <hyperlink r:id="rId2688" location="id=41816&amp;action=152&amp;model=crm.lead&amp;view_type=form&amp;menu_id=111" ref="B2038"/>
    <hyperlink r:id="rId2689" location="id=41819&amp;action=152&amp;model=crm.lead&amp;view_type=form&amp;menu_id=111" ref="B2039"/>
    <hyperlink r:id="rId2690" location="id=41809&amp;action=152&amp;model=crm.lead&amp;view_type=form&amp;menu_id=111" ref="B2040"/>
    <hyperlink r:id="rId2691" location="id=41779&amp;action=152&amp;model=crm.lead&amp;view_type=form&amp;menu_id=111" ref="B2041"/>
    <hyperlink r:id="rId2692" location="id=41775&amp;action=152&amp;model=crm.lead&amp;view_type=form&amp;menu_id=111" ref="B2042"/>
    <hyperlink r:id="rId2693" location="id=41737&amp;action=152&amp;model=crm.lead&amp;view_type=form&amp;menu_id=111" ref="B2043"/>
    <hyperlink r:id="rId2694" location="id=41754&amp;action=152&amp;model=crm.lead&amp;view_type=form&amp;menu_id=111" ref="B2044"/>
    <hyperlink r:id="rId2695" location="id=41713&amp;action=152&amp;model=crm.lead&amp;view_type=form&amp;menu_id=111" ref="B2045"/>
    <hyperlink r:id="rId2696" location="id=41676&amp;action=152&amp;model=crm.lead&amp;view_type=form&amp;menu_id=111" ref="B2046"/>
    <hyperlink r:id="rId2697" location="id=41680&amp;action=152&amp;model=crm.lead&amp;view_type=form&amp;menu_id=111" ref="B2047"/>
    <hyperlink r:id="rId2698" location="id=41656&amp;action=152&amp;model=crm.lead&amp;view_type=form&amp;menu_id=111" ref="B2048"/>
    <hyperlink r:id="rId2699" location="id=41614&amp;action=152&amp;model=crm.lead&amp;view_type=form&amp;menu_id=111" ref="B2049"/>
    <hyperlink r:id="rId2700" location="id=41588&amp;action=152&amp;model=crm.lead&amp;view_type=form&amp;menu_id=111" ref="B2050"/>
    <hyperlink r:id="rId2701" location="id=41581&amp;action=152&amp;model=crm.lead&amp;view_type=form&amp;menu_id=111" ref="B2051"/>
    <hyperlink r:id="rId2702" location="id=41536&amp;action=152&amp;model=crm.lead&amp;view_type=form&amp;menu_id=111" ref="B2052"/>
    <hyperlink r:id="rId2703" location="id=41391&amp;action=152&amp;model=crm.lead&amp;view_type=form&amp;menu_id=111" ref="B2053"/>
    <hyperlink r:id="rId2704" location="id=41369&amp;action=152&amp;model=crm.lead&amp;view_type=form&amp;menu_id=111" ref="B2054"/>
    <hyperlink r:id="rId2705" location="id=41349&amp;action=152&amp;model=crm.lead&amp;view_type=form&amp;menu_id=111" ref="B2055"/>
    <hyperlink r:id="rId2706" ref="G2055"/>
    <hyperlink r:id="rId2707" location="id=41331&amp;action=152&amp;model=crm.lead&amp;view_type=form&amp;menu_id=111" ref="B2056"/>
    <hyperlink r:id="rId2708" location="id=41303&amp;action=152&amp;model=crm.lead&amp;view_type=form&amp;menu_id=111" ref="B2057"/>
    <hyperlink r:id="rId2709" location="id=41299&amp;action=152&amp;model=crm.lead&amp;view_type=form&amp;menu_id=111" ref="B2058"/>
    <hyperlink r:id="rId2710" location="id=41296&amp;action=152&amp;model=crm.lead&amp;view_type=form&amp;menu_id=111" ref="B2059"/>
    <hyperlink r:id="rId2711" location="id=41239&amp;action=152&amp;model=crm.lead&amp;view_type=form&amp;menu_id=111" ref="B2060"/>
    <hyperlink r:id="rId2712" location="id=41233&amp;action=152&amp;model=crm.lead&amp;view_type=form&amp;menu_id=111" ref="B2061"/>
    <hyperlink r:id="rId2713" location="id=41213&amp;action=152&amp;model=crm.lead&amp;view_type=form&amp;menu_id=111" ref="B2062"/>
    <hyperlink r:id="rId2714" location="id=41209&amp;action=152&amp;model=crm.lead&amp;view_type=form&amp;menu_id=111" ref="B2063"/>
    <hyperlink r:id="rId2715" location="id=41199&amp;action=152&amp;model=crm.lead&amp;view_type=form&amp;menu_id=111" ref="B2064"/>
    <hyperlink r:id="rId2716" location="id=41193&amp;action=152&amp;model=crm.lead&amp;view_type=form&amp;menu_id=111" ref="B2065"/>
    <hyperlink r:id="rId2717" location="id=41130&amp;action=152&amp;model=crm.lead&amp;view_type=form&amp;menu_id=111" ref="B2066"/>
    <hyperlink r:id="rId2718" location="id=41049&amp;action=152&amp;model=crm.lead&amp;view_type=form&amp;menu_id=111" ref="B2067"/>
    <hyperlink r:id="rId2719" location="id=41022&amp;action=152&amp;model=crm.lead&amp;view_type=form&amp;menu_id=111" ref="B2068"/>
    <hyperlink r:id="rId2720" location="id=41027&amp;action=152&amp;model=crm.lead&amp;view_type=form&amp;menu_id=111" ref="B2069"/>
    <hyperlink r:id="rId2721" location="id=40986&amp;action=152&amp;model=crm.lead&amp;view_type=form&amp;menu_id=111" ref="B2070"/>
    <hyperlink r:id="rId2722" location="id=40981&amp;action=152&amp;model=crm.lead&amp;view_type=form&amp;menu_id=111" ref="B2071"/>
    <hyperlink r:id="rId2723" location="id=40948&amp;action=152&amp;model=crm.lead&amp;view_type=form&amp;menu_id=111" ref="B2072"/>
    <hyperlink r:id="rId2724" location="id=40932&amp;action=152&amp;model=crm.lead&amp;view_type=form&amp;menu_id=111" ref="B2073"/>
    <hyperlink r:id="rId2725" location="id=40883&amp;action=152&amp;model=crm.lead&amp;view_type=form&amp;menu_id=111" ref="B2074"/>
    <hyperlink r:id="rId2726" location="id=10239&amp;model=res.partner" ref="C2075"/>
    <hyperlink r:id="rId2727" location="id=40780&amp;action=152&amp;model=crm.lead&amp;view_type=form&amp;menu_id=111" ref="B2076"/>
    <hyperlink r:id="rId2728" location="id=40779&amp;action=152&amp;model=crm.lead&amp;view_type=form&amp;menu_id=111" ref="B2077"/>
    <hyperlink r:id="rId2729" location="id=40766&amp;action=152&amp;model=crm.lead&amp;view_type=form&amp;menu_id=111" ref="B2078"/>
    <hyperlink r:id="rId2730" location="id=40726&amp;action=152&amp;model=crm.lead&amp;view_type=form&amp;menu_id=111" ref="B2079"/>
    <hyperlink r:id="rId2731" location="id=40707&amp;action=152&amp;model=crm.lead&amp;view_type=form&amp;menu_id=111" ref="B2080"/>
    <hyperlink r:id="rId2732" location="id=40676&amp;action=152&amp;model=crm.lead&amp;view_type=form&amp;menu_id=111" ref="B2081"/>
    <hyperlink r:id="rId2733" location="id=40648&amp;action=152&amp;model=crm.lead&amp;view_type=form&amp;menu_id=111" ref="B2082"/>
    <hyperlink r:id="rId2734" location="id=40665&amp;action=152&amp;model=crm.lead&amp;view_type=form&amp;menu_id=111" ref="B2083"/>
    <hyperlink r:id="rId2735" location="id=40573&amp;action=152&amp;model=crm.lead&amp;view_type=form&amp;menu_id=111" ref="B2084"/>
    <hyperlink r:id="rId2736" location="id=40644&amp;action=152&amp;model=crm.lead&amp;view_type=form&amp;menu_id=111" ref="B2085"/>
    <hyperlink r:id="rId2737" location="id=40630&amp;action=152&amp;model=crm.lead&amp;view_type=form&amp;menu_id=111" ref="B2086"/>
    <hyperlink r:id="rId2738" location="id=40502&amp;action=152&amp;model=crm.lead&amp;view_type=form&amp;menu_id=111" ref="B2087"/>
    <hyperlink r:id="rId2739" location="id=40612&amp;action=152&amp;model=crm.lead&amp;view_type=form&amp;menu_id=111" ref="B2088"/>
    <hyperlink r:id="rId2740" location="id=40618&amp;action=152&amp;model=crm.lead&amp;view_type=form&amp;menu_id=111" ref="B2089"/>
    <hyperlink r:id="rId2741" location="id=40513&amp;action=152&amp;model=crm.lead&amp;view_type=form&amp;menu_id=111" ref="B2090"/>
    <hyperlink r:id="rId2742" location="id=40482&amp;action=152&amp;model=crm.lead&amp;view_type=form&amp;menu_id=111" ref="B2091"/>
    <hyperlink r:id="rId2743" location="id=40534&amp;action=152&amp;model=crm.lead&amp;view_type=form&amp;menu_id=111" ref="B2092"/>
    <hyperlink r:id="rId2744" location="id=40530&amp;action=152&amp;model=crm.lead&amp;view_type=form&amp;menu_id=111" ref="B2093"/>
    <hyperlink r:id="rId2745" location="id=40477&amp;action=152&amp;model=crm.lead&amp;view_type=form&amp;menu_id=111" ref="B2094"/>
    <hyperlink r:id="rId2746" location="id=40435&amp;action=152&amp;model=crm.lead&amp;view_type=form&amp;menu_id=111" ref="B2095"/>
    <hyperlink r:id="rId2747" location="id=40433&amp;action=152&amp;model=crm.lead&amp;view_type=form&amp;menu_id=111" ref="B2096"/>
    <hyperlink r:id="rId2748" location="id=40413&amp;action=152&amp;model=crm.lead&amp;view_type=form&amp;menu_id=111" ref="B2097"/>
    <hyperlink r:id="rId2749" location="id=40371&amp;action=152&amp;model=crm.lead&amp;view_type=form&amp;menu_id=111" ref="B2098"/>
    <hyperlink r:id="rId2750" location="id=10213&amp;model=res.partner" ref="C2098"/>
    <hyperlink r:id="rId2751" location="id=40355&amp;action=152&amp;model=crm.lead&amp;view_type=form&amp;menu_id=111" ref="B2099"/>
    <hyperlink r:id="rId2752" location="id=40291&amp;action=152&amp;model=crm.lead&amp;view_type=form&amp;menu_id=111" ref="B2100"/>
    <hyperlink r:id="rId2753" location="id=40292&amp;action=152&amp;model=crm.lead&amp;view_type=form&amp;menu_id=111" ref="B2101"/>
    <hyperlink r:id="rId2754" location="id=40276&amp;action=152&amp;model=crm.lead&amp;view_type=form&amp;menu_id=111" ref="B2102"/>
    <hyperlink r:id="rId2755" location="id=40256&amp;action=152&amp;model=crm.lead&amp;view_type=form&amp;menu_id=111" ref="B2103"/>
    <hyperlink r:id="rId2756" location="id=40232&amp;action=152&amp;model=crm.lead&amp;view_type=form&amp;menu_id=111" ref="B2104"/>
    <hyperlink r:id="rId2757" location="id=40197&amp;action=152&amp;model=crm.lead&amp;view_type=form&amp;menu_id=111" ref="B2105"/>
    <hyperlink r:id="rId2758" location="id=40227&amp;action=152&amp;model=crm.lead&amp;view_type=form&amp;menu_id=111" ref="B2106"/>
    <hyperlink r:id="rId2759" location="id=40229&amp;action=152&amp;model=crm.lead&amp;view_type=form&amp;menu_id=111" ref="B2107"/>
    <hyperlink r:id="rId2760" location="id=40228&amp;action=152&amp;model=crm.lead&amp;view_type=form&amp;menu_id=111" ref="B2108"/>
    <hyperlink r:id="rId2761" location="id=40153&amp;action=152&amp;model=crm.lead&amp;view_type=form&amp;menu_id=111" ref="B2109"/>
    <hyperlink r:id="rId2762" location="id=40087&amp;action=152&amp;model=crm.lead&amp;view_type=form&amp;menu_id=111" ref="B2111"/>
    <hyperlink r:id="rId2763" ref="G2111"/>
    <hyperlink r:id="rId2764" location="id=40064&amp;action=152&amp;model=crm.lead&amp;view_type=form&amp;menu_id=111" ref="B2112"/>
    <hyperlink r:id="rId2765" location="id=40067&amp;action=152&amp;model=crm.lead&amp;view_type=form&amp;menu_id=111" ref="B2113"/>
    <hyperlink r:id="rId2766" location="id=40077&amp;action=152&amp;model=crm.lead&amp;view_type=form&amp;menu_id=111" ref="B2114"/>
    <hyperlink r:id="rId2767" location="id=40041&amp;action=152&amp;model=crm.lead&amp;view_type=form&amp;menu_id=111" ref="B2115"/>
    <hyperlink r:id="rId2768" location="id=40032&amp;action=152&amp;model=crm.lead&amp;view_type=form&amp;menu_id=111" ref="B2117"/>
    <hyperlink r:id="rId2769" location="id=40010&amp;action=152&amp;model=crm.lead&amp;view_type=form&amp;menu_id=111" ref="B2118"/>
    <hyperlink r:id="rId2770" location="id=39997&amp;action=152&amp;model=crm.lead&amp;view_type=form&amp;menu_id=111" ref="B2119"/>
    <hyperlink r:id="rId2771" ref="G2119"/>
    <hyperlink r:id="rId2772" location="id=39974&amp;action=152&amp;model=crm.lead&amp;view_type=form&amp;menu_id=111" ref="B2120"/>
    <hyperlink r:id="rId2773" location="id=39934&amp;action=152&amp;model=crm.lead&amp;view_type=form&amp;menu_id=111" ref="B2121"/>
    <hyperlink r:id="rId2774" location="id=39966&amp;action=152&amp;model=crm.lead&amp;view_type=form&amp;menu_id=111" ref="B2122"/>
    <hyperlink r:id="rId2775" location="id=39963&amp;action=152&amp;model=crm.lead&amp;view_type=form&amp;menu_id=111" ref="B2123"/>
    <hyperlink r:id="rId2776" location="id=39719&amp;action=152&amp;model=crm.lead&amp;view_type=form&amp;menu_id=111" ref="B2124"/>
    <hyperlink r:id="rId2777" location="id=39854&amp;action=152&amp;model=crm.lead&amp;view_type=form&amp;menu_id=111" ref="B2125"/>
    <hyperlink r:id="rId2778" ref="G2125"/>
    <hyperlink r:id="rId2779" location="id=39835&amp;action=152&amp;model=crm.lead&amp;view_type=form&amp;menu_id=111" ref="B2126"/>
    <hyperlink r:id="rId2780" location="id=39748&amp;action=152&amp;model=crm.lead&amp;view_type=form&amp;menu_id=111" ref="B2127"/>
    <hyperlink r:id="rId2781" ref="G2127"/>
    <hyperlink r:id="rId2782" location="id=39746&amp;action=152&amp;model=crm.lead&amp;view_type=form&amp;menu_id=111" ref="B2128"/>
    <hyperlink r:id="rId2783" location="id=39736&amp;action=152&amp;model=crm.lead&amp;view_type=form&amp;menu_id=111" ref="B2129"/>
    <hyperlink r:id="rId2784" ref="G2129"/>
    <hyperlink r:id="rId2785" ref="I2129"/>
    <hyperlink r:id="rId2786" location="id=39719&amp;action=152&amp;model=crm.lead&amp;view_type=form&amp;menu_id=111" ref="B2130"/>
    <hyperlink r:id="rId2787" location="id=39580&amp;action=152&amp;model=crm.lead&amp;view_type=form&amp;menu_id=111" ref="B2131"/>
    <hyperlink r:id="rId2788" location="id=39567&amp;action=152&amp;model=crm.lead&amp;view_type=form&amp;menu_id=111" ref="B2132"/>
    <hyperlink r:id="rId2789" location="id=39571&amp;action=152&amp;model=crm.lead&amp;view_type=form&amp;menu_id=111" ref="B2133"/>
    <hyperlink r:id="rId2790" location="id=39471&amp;action=152&amp;model=crm.lead&amp;view_type=form&amp;menu_id=111" ref="B2134"/>
    <hyperlink r:id="rId2791" location="id=39470&amp;action=152&amp;model=crm.lead&amp;view_type=form&amp;menu_id=111" ref="B2135"/>
    <hyperlink r:id="rId2792" ref="G2135"/>
    <hyperlink r:id="rId2793" location="id=39444&amp;action=152&amp;model=crm.lead&amp;view_type=form&amp;menu_id=111" ref="B2136"/>
    <hyperlink r:id="rId2794" ref="G2136"/>
    <hyperlink r:id="rId2795" location="id=39415&amp;action=152&amp;model=crm.lead&amp;view_type=form&amp;menu_id=111" ref="B2137"/>
    <hyperlink r:id="rId2796" ref="G2137"/>
    <hyperlink r:id="rId2797" location="id=39434&amp;action=152&amp;model=crm.lead&amp;view_type=form&amp;menu_id=111" ref="B2138"/>
    <hyperlink r:id="rId2798" location="id=39409&amp;action=152&amp;model=crm.lead&amp;view_type=form&amp;menu_id=111" ref="B2139"/>
    <hyperlink r:id="rId2799" ref="G2139"/>
    <hyperlink r:id="rId2800" location="id=39314&amp;action=152&amp;model=crm.lead&amp;view_type=form&amp;menu_id=111" ref="B2140"/>
    <hyperlink r:id="rId2801" ref="G2140"/>
    <hyperlink r:id="rId2802" location="id=39278&amp;action=152&amp;model=crm.lead&amp;view_type=form&amp;menu_id=111" ref="B2141"/>
    <hyperlink r:id="rId2803" ref="G2141"/>
    <hyperlink r:id="rId2804" location="id=39277&amp;action=152&amp;model=crm.lead&amp;view_type=form&amp;menu_id=111" ref="B2142"/>
    <hyperlink r:id="rId2805" ref="G2142"/>
    <hyperlink r:id="rId2806" location="id=39274&amp;action=152&amp;model=crm.lead&amp;view_type=form&amp;menu_id=111" ref="B2143"/>
    <hyperlink r:id="rId2807" ref="G2143"/>
    <hyperlink r:id="rId2808" location="id=39268&amp;action=152&amp;model=crm.lead&amp;view_type=form&amp;menu_id=111" ref="B2144"/>
    <hyperlink r:id="rId2809" ref="G2144"/>
    <hyperlink r:id="rId2810" location="id=39236&amp;action=152&amp;model=crm.lead&amp;view_type=form&amp;menu_id=111" ref="B2145"/>
    <hyperlink r:id="rId2811" ref="G2145"/>
    <hyperlink r:id="rId2812" location="id=39239&amp;action=152&amp;model=crm.lead&amp;view_type=form&amp;menu_id=111" ref="B2146"/>
    <hyperlink r:id="rId2813" location="id=39234&amp;action=152&amp;model=crm.lead&amp;view_type=form&amp;menu_id=111" ref="B2147"/>
    <hyperlink r:id="rId2814" ref="G2147"/>
    <hyperlink r:id="rId2815" location="id=39250&amp;action=152&amp;model=crm.lead&amp;view_type=form&amp;menu_id=111" ref="B2148"/>
    <hyperlink r:id="rId2816" ref="G2148"/>
    <hyperlink r:id="rId2817" location="id=39252&amp;action=152&amp;model=crm.lead&amp;view_type=form&amp;menu_id=111" ref="B2149"/>
    <hyperlink r:id="rId2818" ref="G2149"/>
    <hyperlink r:id="rId2819" location="id=39206&amp;action=152&amp;model=crm.lead&amp;view_type=form&amp;menu_id=111" ref="B2150"/>
    <hyperlink r:id="rId2820" location="id=39141&amp;action=152&amp;model=crm.lead&amp;view_type=form&amp;menu_id=111" ref="B2151"/>
    <hyperlink r:id="rId2821" location="id=39128&amp;action=152&amp;model=crm.lead&amp;view_type=form&amp;menu_id=111" ref="B2152"/>
    <hyperlink r:id="rId2822" ref="G2152"/>
    <hyperlink r:id="rId2823" location="id=39116&amp;action=152&amp;model=crm.lead&amp;view_type=form&amp;menu_id=111" ref="B2153"/>
    <hyperlink r:id="rId2824" ref="G2153"/>
    <hyperlink r:id="rId2825" location="id=39043&amp;action=152&amp;model=crm.lead&amp;view_type=form&amp;menu_id=111" ref="B2154"/>
    <hyperlink r:id="rId2826" ref="G2154"/>
    <hyperlink r:id="rId2827" location="id=39061&amp;action=152&amp;model=crm.lead&amp;view_type=form&amp;menu_id=111" ref="B2155"/>
    <hyperlink r:id="rId2828" location="id=39014&amp;action=152&amp;model=crm.lead&amp;view_type=form&amp;menu_id=111" ref="B2156"/>
    <hyperlink r:id="rId2829" ref="G2156"/>
    <hyperlink r:id="rId2830" location="id=38996&amp;action=152&amp;model=crm.lead&amp;view_type=form&amp;menu_id=111" ref="B2157"/>
    <hyperlink r:id="rId2831" ref="G2157"/>
    <hyperlink r:id="rId2832" location="id=39005&amp;action=152&amp;model=crm.lead&amp;view_type=form&amp;menu_id=111" ref="B2158"/>
    <hyperlink r:id="rId2833" ref="G2158"/>
    <hyperlink r:id="rId2834" location="id=38915&amp;action=152&amp;model=crm.lead&amp;view_type=form&amp;menu_id=111" ref="B2159"/>
    <hyperlink r:id="rId2835" location="id=38929&amp;action=152&amp;model=crm.lead&amp;view_type=form&amp;menu_id=111" ref="B2160"/>
    <hyperlink r:id="rId2836" ref="G2160"/>
    <hyperlink r:id="rId2837" location="id=38914&amp;action=152&amp;model=crm.lead&amp;view_type=form&amp;menu_id=111" ref="B2161"/>
    <hyperlink r:id="rId2838" ref="G2161"/>
    <hyperlink r:id="rId2839" location="id=38869&amp;action=152&amp;model=crm.lead&amp;view_type=form&amp;menu_id=111" ref="B2162"/>
    <hyperlink r:id="rId2840" ref="G2162"/>
    <hyperlink r:id="rId2841" location="id=38803&amp;action=152&amp;model=crm.lead&amp;view_type=form&amp;menu_id=111" ref="B2163"/>
    <hyperlink r:id="rId2842" ref="G2163"/>
    <hyperlink r:id="rId2843" location="id=38809&amp;action=152&amp;model=crm.lead&amp;view_type=form&amp;menu_id=111" ref="B2164"/>
    <hyperlink r:id="rId2844" location="id=38783&amp;action=152&amp;model=crm.lead&amp;view_type=form&amp;menu_id=111" ref="B2165"/>
    <hyperlink r:id="rId2845" ref="G2165"/>
    <hyperlink r:id="rId2846" location="id=38800&amp;action=152&amp;model=crm.lead&amp;view_type=form&amp;menu_id=111" ref="B2166"/>
    <hyperlink r:id="rId2847" ref="G2166"/>
    <hyperlink r:id="rId2848" location="id=38779&amp;action=152&amp;model=crm.lead&amp;view_type=form&amp;menu_id=111" ref="B2167"/>
    <hyperlink r:id="rId2849" ref="G2167"/>
    <hyperlink r:id="rId2850" location="id=38831&amp;action=152&amp;model=crm.lead&amp;view_type=form&amp;menu_id=111" ref="B2168"/>
    <hyperlink r:id="rId2851" location="id=38763&amp;action=152&amp;model=crm.lead&amp;view_type=form&amp;menu_id=111" ref="B2170"/>
    <hyperlink r:id="rId2852" ref="G2170"/>
    <hyperlink r:id="rId2853" location="id=38761&amp;action=152&amp;model=crm.lead&amp;view_type=form&amp;menu_id=111" ref="B2171"/>
    <hyperlink r:id="rId2854" location="id=38755&amp;action=152&amp;model=crm.lead&amp;view_type=form&amp;menu_id=111" ref="B2172"/>
    <hyperlink r:id="rId2855" location="id=38753&amp;action=152&amp;model=crm.lead&amp;view_type=form&amp;menu_id=111" ref="B2173"/>
    <hyperlink r:id="rId2856" ref="G2173"/>
    <hyperlink r:id="rId2857" location="id=38689&amp;action=152&amp;model=crm.lead&amp;view_type=form&amp;menu_id=111" ref="B2174"/>
    <hyperlink r:id="rId2858" location="id=38629&amp;action=152&amp;model=crm.lead&amp;view_type=form&amp;menu_id=111" ref="B2175"/>
    <hyperlink r:id="rId2859" ref="G2175"/>
    <hyperlink r:id="rId2860" location="id=38628&amp;action=152&amp;model=crm.lead&amp;view_type=form&amp;menu_id=111" ref="B2176"/>
    <hyperlink r:id="rId2861" location="id=38626&amp;action=152&amp;model=crm.lead&amp;view_type=form&amp;menu_id=111" ref="B2177"/>
    <hyperlink r:id="rId2862" location="id=38575&amp;action=152&amp;model=crm.lead&amp;view_type=form&amp;menu_id=111" ref="B2178"/>
    <hyperlink r:id="rId2863" ref="G2178"/>
    <hyperlink r:id="rId2864" location="id=38616&amp;action=152&amp;model=crm.lead&amp;view_type=form&amp;menu_id=111" ref="B2179"/>
    <hyperlink r:id="rId2865" location="id=38585&amp;action=152&amp;model=crm.lead&amp;view_type=form&amp;menu_id=111" ref="B2180"/>
    <hyperlink r:id="rId2866" location="id=38526&amp;action=152&amp;model=crm.lead&amp;view_type=form&amp;menu_id=111" ref="B2181"/>
    <hyperlink r:id="rId2867" ref="G2181"/>
    <hyperlink r:id="rId2868" location="id=38519&amp;action=152&amp;model=crm.lead&amp;view_type=form&amp;menu_id=111" ref="B2182"/>
    <hyperlink r:id="rId2869" ref="G2182"/>
    <hyperlink r:id="rId2870" location="id=38421&amp;action=152&amp;model=crm.lead&amp;view_type=form&amp;menu_id=111" ref="B2183"/>
    <hyperlink r:id="rId2871" ref="G2183"/>
    <hyperlink r:id="rId2872" location="id=38416&amp;action=152&amp;model=crm.lead&amp;view_type=form&amp;menu_id=111" ref="B2184"/>
    <hyperlink r:id="rId2873" location="id=38350&amp;action=152&amp;model=crm.lead&amp;view_type=form&amp;menu_id=111" ref="B2185"/>
    <hyperlink r:id="rId2874" location="id=38299&amp;action=152&amp;model=crm.lead&amp;view_type=form&amp;menu_id=111" ref="B2186"/>
    <hyperlink r:id="rId2875" ref="G2186"/>
    <hyperlink r:id="rId2876" location="id=38284&amp;action=152&amp;model=crm.lead&amp;view_type=form&amp;menu_id=111" ref="B2187"/>
    <hyperlink r:id="rId2877" ref="G2187"/>
    <hyperlink r:id="rId2878" location="id=38207&amp;action=152&amp;model=crm.lead&amp;view_type=form&amp;menu_id=111" ref="B2188"/>
    <hyperlink r:id="rId2879" ref="G2188"/>
    <hyperlink r:id="rId2880" location="id=38224&amp;action=152&amp;model=crm.lead&amp;view_type=form&amp;menu_id=111" ref="B2189"/>
    <hyperlink r:id="rId2881" ref="G2189"/>
    <hyperlink r:id="rId2882" location="id=38259&amp;action=152&amp;model=crm.lead&amp;view_type=form&amp;menu_id=111" ref="B2190"/>
    <hyperlink r:id="rId2883" ref="G2190"/>
    <hyperlink r:id="rId2884" location="id=38241&amp;action=152&amp;model=crm.lead&amp;view_type=form&amp;menu_id=111" ref="B2191"/>
    <hyperlink r:id="rId2885" location="id=38235&amp;action=152&amp;model=crm.lead&amp;view_type=form&amp;menu_id=111" ref="B2192"/>
    <hyperlink r:id="rId2886" location="id=38143&amp;action=152&amp;model=crm.lead&amp;view_type=form&amp;menu_id=111" ref="B2193"/>
    <hyperlink r:id="rId2887" location="id=38087&amp;action=152&amp;model=crm.lead&amp;view_type=form&amp;menu_id=111" ref="B2194"/>
    <hyperlink r:id="rId2888" location="id=38200&amp;action=152&amp;model=crm.lead&amp;view_type=form&amp;menu_id=111" ref="B2195"/>
    <hyperlink r:id="rId2889" location="id=38217&amp;action=152&amp;model=crm.lead&amp;view_type=form&amp;menu_id=111" ref="B2196"/>
    <hyperlink r:id="rId2890" location="id=38086&amp;action=152&amp;model=crm.lead&amp;view_type=form&amp;menu_id=111" ref="B2197"/>
    <hyperlink r:id="rId2891" location="id=38085&amp;action=152&amp;model=crm.lead&amp;view_type=form&amp;menu_id=111" ref="B2198"/>
    <hyperlink r:id="rId2892" location="id=37990&amp;action=152&amp;model=crm.lead&amp;view_type=form&amp;menu_id=111" ref="B2199"/>
    <hyperlink r:id="rId2893" location="id=38175&amp;action=152&amp;model=crm.lead&amp;view_type=form&amp;menu_id=111" ref="B2200"/>
    <hyperlink r:id="rId2894" location="id=38177&amp;action=152&amp;model=crm.lead&amp;view_type=form&amp;menu_id=111" ref="B2201"/>
    <hyperlink r:id="rId2895" location="id=38185&amp;action=152&amp;model=crm.lead&amp;view_type=form&amp;menu_id=111" ref="B2202"/>
    <hyperlink r:id="rId2896" location="id=38192&amp;action=152&amp;model=crm.lead&amp;view_type=form&amp;menu_id=111" ref="B2203"/>
    <hyperlink r:id="rId2897" location="id=38034&amp;action=152&amp;model=crm.lead&amp;view_type=form&amp;menu_id=111" ref="B2204"/>
    <hyperlink r:id="rId2898" location="id=38071&amp;action=152&amp;model=crm.lead&amp;view_type=form&amp;menu_id=111" ref="B2205"/>
    <hyperlink r:id="rId2899" location="id=38108&amp;action=152&amp;model=crm.lead&amp;view_type=form&amp;menu_id=111" ref="B2206"/>
    <hyperlink r:id="rId2900" location="id=38115&amp;action=152&amp;model=crm.lead&amp;view_type=form&amp;menu_id=111" ref="B2207"/>
    <hyperlink r:id="rId2901" location="id=38117&amp;action=152&amp;model=crm.lead&amp;view_type=form&amp;menu_id=111" ref="B2208"/>
    <hyperlink r:id="rId2902" location="id=38137&amp;action=152&amp;model=crm.lead&amp;view_type=form&amp;menu_id=111" ref="B2209"/>
    <hyperlink r:id="rId2903" location="id=38145&amp;action=152&amp;model=crm.lead&amp;view_type=form&amp;menu_id=111" ref="B2210"/>
    <hyperlink r:id="rId2904" location="id=38021&amp;action=152&amp;model=crm.lead&amp;view_type=form&amp;menu_id=111" ref="B2211"/>
    <hyperlink r:id="rId2905" location="id=37992&amp;action=152&amp;model=crm.lead&amp;view_type=form&amp;menu_id=111" ref="B2212"/>
    <hyperlink r:id="rId2906" location="id=38015&amp;action=152&amp;model=crm.lead&amp;view_type=form&amp;menu_id=111" ref="B2213"/>
    <hyperlink r:id="rId2907" location="id=38022&amp;action=152&amp;model=crm.lead&amp;view_type=form&amp;menu_id=111" ref="B2214"/>
    <hyperlink r:id="rId2908" location="id=38050&amp;action=152&amp;model=crm.lead&amp;view_type=form&amp;menu_id=111" ref="B2215"/>
    <hyperlink r:id="rId2909" location="id=38023&amp;action=152&amp;model=crm.lead&amp;view_type=form&amp;menu_id=111" ref="B2216"/>
    <hyperlink r:id="rId2910" location="id=37956&amp;action=152&amp;model=crm.lead&amp;view_type=form&amp;menu_id=111" ref="B2217"/>
    <hyperlink r:id="rId2911" location="id=37954&amp;action=152&amp;model=crm.lead&amp;view_type=form&amp;menu_id=111" ref="B2218"/>
    <hyperlink r:id="rId2912" location="id=37984&amp;action=152&amp;model=crm.lead&amp;view_type=form&amp;menu_id=111" ref="B2219"/>
    <hyperlink r:id="rId2913" location="id=37927&amp;action=152&amp;model=crm.lead&amp;view_type=form&amp;menu_id=111" ref="B2220"/>
    <hyperlink r:id="rId2914" location="id=37952&amp;action=152&amp;model=crm.lead&amp;view_type=form&amp;menu_id=111" ref="B2221"/>
    <hyperlink r:id="rId2915" location="id=37955&amp;action=152&amp;model=crm.lead&amp;view_type=form&amp;menu_id=111" ref="B2222"/>
    <hyperlink r:id="rId2916" location="id=37957&amp;action=152&amp;model=crm.lead&amp;view_type=form&amp;menu_id=111" ref="B2223"/>
    <hyperlink r:id="rId2917" location="id=37971&amp;action=152&amp;model=crm.lead&amp;view_type=form&amp;menu_id=111" ref="B2224"/>
    <hyperlink r:id="rId2918" location="id=37917&amp;action=152&amp;model=crm.lead&amp;view_type=form&amp;menu_id=111" ref="B2225"/>
    <hyperlink r:id="rId2919" location="id=37925&amp;action=152&amp;model=crm.lead&amp;view_type=form&amp;menu_id=111" ref="B2226"/>
    <hyperlink r:id="rId2920" location="id=37885&amp;action=152&amp;model=crm.lead&amp;view_type=form&amp;menu_id=111" ref="B2227"/>
    <hyperlink r:id="rId2921" location="id=37884&amp;action=152&amp;model=crm.lead&amp;view_type=form&amp;menu_id=111" ref="B2228"/>
    <hyperlink r:id="rId2922" location="id=37906&amp;action=152&amp;model=crm.lead&amp;view_type=form&amp;menu_id=111" ref="B2229"/>
    <hyperlink r:id="rId2923" location="id=37891&amp;action=152&amp;model=crm.lead&amp;view_type=form&amp;menu_id=111" ref="B2230"/>
    <hyperlink r:id="rId2924" location="id=37862&amp;action=152&amp;model=crm.lead&amp;view_type=form&amp;menu_id=111" ref="B2231"/>
    <hyperlink r:id="rId2925" location="id=37819&amp;action=152&amp;model=crm.lead&amp;view_type=form&amp;menu_id=111" ref="B2232"/>
    <hyperlink r:id="rId2926" location="id=37881&amp;action=152&amp;model=crm.lead&amp;view_type=form&amp;menu_id=111" ref="B2233"/>
    <hyperlink r:id="rId2927" location="id=37826&amp;action=152&amp;model=crm.lead&amp;view_type=form&amp;menu_id=111" ref="B2234"/>
    <hyperlink r:id="rId2928" location="id=37764&amp;action=152&amp;model=crm.lead&amp;view_type=form&amp;menu_id=111" ref="B2235"/>
    <hyperlink r:id="rId2929" location="id=37762&amp;action=152&amp;model=crm.lead&amp;view_type=form&amp;menu_id=111" ref="B2236"/>
    <hyperlink r:id="rId2930" location="id=37728&amp;action=152&amp;model=crm.lead&amp;view_type=form&amp;menu_id=111" ref="B2237"/>
    <hyperlink r:id="rId2931" location="id=37647&amp;action=152&amp;model=crm.lead&amp;view_type=form&amp;menu_id=111" ref="B2238"/>
    <hyperlink r:id="rId2932" location="id=37851&amp;action=152&amp;model=crm.lead&amp;view_type=form&amp;menu_id=111" ref="B2239"/>
    <hyperlink r:id="rId2933" location="id=37805&amp;action=152&amp;model=crm.lead&amp;view_type=form&amp;menu_id=111" ref="B2240"/>
    <hyperlink r:id="rId2934" location="id=37780&amp;action=152&amp;model=crm.lead&amp;view_type=form&amp;menu_id=111" ref="B2241"/>
    <hyperlink r:id="rId2935" location="id=37834&amp;action=152&amp;model=crm.lead&amp;view_type=form&amp;menu_id=111" ref="B2242"/>
    <hyperlink r:id="rId2936" location="id=37829&amp;action=152&amp;model=crm.lead&amp;view_type=form&amp;menu_id=111" ref="B2243"/>
    <hyperlink r:id="rId2937" location="id=37733&amp;action=152&amp;model=crm.lead&amp;view_type=form&amp;menu_id=111" ref="B2244"/>
    <hyperlink r:id="rId2938" location="id=37721&amp;action=152&amp;model=crm.lead&amp;view_type=form&amp;menu_id=111" ref="B2245"/>
    <hyperlink r:id="rId2939" location="id=37703&amp;action=152&amp;model=crm.lead&amp;view_type=form&amp;menu_id=111" ref="B2246"/>
    <hyperlink r:id="rId2940" location="id=37751&amp;action=152&amp;model=crm.lead&amp;view_type=form&amp;menu_id=111" ref="B2247"/>
    <hyperlink r:id="rId2941" ref="G2247"/>
    <hyperlink r:id="rId2942" location="id=37757&amp;action=152&amp;model=crm.lead&amp;view_type=form&amp;menu_id=111" ref="B2248"/>
    <hyperlink r:id="rId2943" location="id=37757&amp;action=152&amp;model=crm.lead&amp;view_type=form&amp;menu_id=111" ref="B2249"/>
    <hyperlink r:id="rId2944" location="id=37755&amp;action=152&amp;model=crm.lead&amp;view_type=form&amp;menu_id=111" ref="B2250"/>
    <hyperlink r:id="rId2945" location="id=37723&amp;action=152&amp;model=crm.lead&amp;view_type=form&amp;menu_id=111" ref="B2251"/>
    <hyperlink r:id="rId2946" location="id=37738&amp;action=152&amp;model=crm.lead&amp;view_type=form&amp;menu_id=111" ref="B2252"/>
    <hyperlink r:id="rId2947" location="id=37747&amp;action=152&amp;model=crm.lead&amp;view_type=form&amp;menu_id=111" ref="B2253"/>
    <hyperlink r:id="rId2948" location="id=37608&amp;action=152&amp;model=crm.lead&amp;view_type=form&amp;menu_id=111" ref="B2254"/>
    <hyperlink r:id="rId2949" location="id=37601&amp;action=152&amp;model=crm.lead&amp;view_type=form&amp;menu_id=111" ref="B2255"/>
    <hyperlink r:id="rId2950" location="id=37583&amp;action=152&amp;model=crm.lead&amp;view_type=form&amp;menu_id=111" ref="B2256"/>
    <hyperlink r:id="rId2951" location="id=37555&amp;action=152&amp;model=crm.lead&amp;view_type=form&amp;menu_id=111" ref="B2257"/>
    <hyperlink r:id="rId2952" location="id=37423&amp;action=152&amp;model=crm.lead&amp;view_type=form&amp;menu_id=111" ref="B2258"/>
    <hyperlink r:id="rId2953" location="id=37519&amp;action=152&amp;model=crm.lead&amp;view_type=form&amp;menu_id=111" ref="B2259"/>
    <hyperlink r:id="rId2954" location="id=37650&amp;action=152&amp;model=crm.lead&amp;view_type=form&amp;menu_id=111" ref="B2260"/>
    <hyperlink r:id="rId2955" ref="G2260"/>
    <hyperlink r:id="rId2956" location="id=37512&amp;action=152&amp;model=crm.lead&amp;view_type=form&amp;menu_id=111" ref="B2261"/>
    <hyperlink r:id="rId2957" location="id=37510&amp;action=152&amp;model=crm.lead&amp;view_type=form&amp;menu_id=111" ref="B2262"/>
    <hyperlink r:id="rId2958" location="id=37666&amp;action=152&amp;model=crm.lead&amp;view_type=form&amp;menu_id=111" ref="B2263"/>
    <hyperlink r:id="rId2959" location="id=37676&amp;action=152&amp;model=crm.lead&amp;view_type=form&amp;menu_id=111" ref="B2264"/>
    <hyperlink r:id="rId2960" location="id=37675&amp;action=152&amp;model=crm.lead&amp;view_type=form&amp;menu_id=111" ref="B2265"/>
    <hyperlink r:id="rId2961" location="id=37668&amp;action=152&amp;model=crm.lead&amp;view_type=form&amp;menu_id=111" ref="B2266"/>
    <hyperlink r:id="rId2962" ref="P2266"/>
    <hyperlink r:id="rId2963" location="id=37660&amp;action=152&amp;model=crm.lead&amp;view_type=form&amp;menu_id=111" ref="B2267"/>
    <hyperlink r:id="rId2964" location="id=37661&amp;action=152&amp;model=crm.lead&amp;view_type=form&amp;menu_id=111" ref="B2268"/>
    <hyperlink r:id="rId2965" location="id=37631&amp;action=152&amp;model=crm.lead&amp;view_type=form&amp;menu_id=111" ref="B2269"/>
    <hyperlink r:id="rId2966" location="id=37487&amp;action=152&amp;model=crm.lead&amp;view_type=form&amp;menu_id=111" ref="B2270"/>
    <hyperlink r:id="rId2967" location="id=37618&amp;action=152&amp;model=crm.lead&amp;view_type=form&amp;menu_id=111" ref="B2271"/>
    <hyperlink r:id="rId2968" location="id=37580&amp;action=152&amp;model=crm.lead&amp;view_type=form&amp;menu_id=111" ref="B2272"/>
    <hyperlink r:id="rId2969" location="id=37610&amp;action=152&amp;model=crm.lead&amp;view_type=form&amp;menu_id=111" ref="B2273"/>
    <hyperlink r:id="rId2970" location="id=37502&amp;action=152&amp;model=crm.lead&amp;view_type=form&amp;menu_id=111" ref="B2274"/>
    <hyperlink r:id="rId2971" location="id=37486&amp;action=152&amp;model=crm.lead&amp;view_type=form&amp;menu_id=111" ref="B2275"/>
    <hyperlink r:id="rId2972" location="id=37535&amp;action=152&amp;model=crm.lead&amp;view_type=form&amp;menu_id=111" ref="B2276"/>
    <hyperlink r:id="rId2973" location="id=37531&amp;action=152&amp;model=crm.lead&amp;view_type=form&amp;menu_id=111" ref="B2277"/>
    <hyperlink r:id="rId2974" location="id=37477&amp;action=152&amp;model=crm.lead&amp;view_type=form&amp;menu_id=111" ref="B2278"/>
    <hyperlink r:id="rId2975" location="id=37473&amp;action=152&amp;model=crm.lead&amp;view_type=form&amp;menu_id=111" ref="B2279"/>
    <hyperlink r:id="rId2976" location="id=37483&amp;action=152&amp;model=crm.lead&amp;view_type=form&amp;menu_id=111" ref="B2280"/>
    <hyperlink r:id="rId2977" location="id=37475&amp;action=152&amp;model=crm.lead&amp;view_type=form&amp;menu_id=111" ref="B2281"/>
    <hyperlink r:id="rId2978" location="id=37444&amp;action=152&amp;model=crm.lead&amp;view_type=form&amp;menu_id=111" ref="B2282"/>
    <hyperlink r:id="rId2979" location="id=37446&amp;action=152&amp;model=crm.lead&amp;view_type=form&amp;menu_id=111" ref="B2283"/>
    <hyperlink r:id="rId2980" location="id=37410&amp;action=152&amp;model=crm.lead&amp;view_type=form&amp;menu_id=111" ref="B2284"/>
    <hyperlink r:id="rId2981" location="id=37419&amp;action=152&amp;model=crm.lead&amp;view_type=form&amp;menu_id=111" ref="B2285"/>
    <hyperlink r:id="rId2982" location="id=37402&amp;action=152&amp;model=crm.lead&amp;view_type=form&amp;menu_id=111" ref="B2286"/>
    <hyperlink r:id="rId2983" location="id=37396&amp;action=152&amp;model=crm.lead&amp;view_type=form&amp;menu_id=111" ref="B2287"/>
    <hyperlink r:id="rId2984" location="id=37392&amp;action=152&amp;model=crm.lead&amp;view_type=form&amp;menu_id=111" ref="B2288"/>
    <hyperlink r:id="rId2985" location="id=37356&amp;action=152&amp;model=crm.lead&amp;view_type=form&amp;menu_id=111" ref="B2289"/>
    <hyperlink r:id="rId2986" location="id=37350&amp;action=152&amp;model=crm.lead&amp;view_type=form&amp;menu_id=111" ref="B2290"/>
    <hyperlink r:id="rId2987" location="id=37355&amp;action=152&amp;model=crm.lead&amp;view_type=form&amp;menu_id=111" ref="B2291"/>
    <hyperlink r:id="rId2988" location="id=37333&amp;action=152&amp;model=crm.lead&amp;view_type=form&amp;menu_id=111" ref="B2292"/>
    <hyperlink r:id="rId2989" location="id=37306&amp;action=152&amp;model=crm.lead&amp;view_type=form&amp;menu_id=111" ref="B2293"/>
    <hyperlink r:id="rId2990" location="id=37195&amp;action=152&amp;model=crm.lead&amp;view_type=form&amp;menu_id=111" ref="B2294"/>
    <hyperlink r:id="rId2991" location="id=37298&amp;action=152&amp;model=crm.lead&amp;view_type=form&amp;menu_id=111" ref="B2295"/>
    <hyperlink r:id="rId2992" location="id=37258&amp;action=152&amp;model=crm.lead&amp;view_type=form&amp;menu_id=111" ref="B2296"/>
    <hyperlink r:id="rId2993" location="id=37270&amp;action=152&amp;model=crm.lead&amp;view_type=form&amp;menu_id=111" ref="B2297"/>
    <hyperlink r:id="rId2994" location="id=37284&amp;action=152&amp;model=crm.lead&amp;view_type=form&amp;menu_id=111" ref="B2298"/>
    <hyperlink r:id="rId2995" location="id=37286&amp;action=152&amp;model=crm.lead&amp;view_type=form&amp;menu_id=111" ref="B2299"/>
    <hyperlink r:id="rId2996" location="id=37200&amp;action=152&amp;model=crm.lead&amp;view_type=form&amp;menu_id=111" ref="B2300"/>
    <hyperlink r:id="rId2997" location="id=37204&amp;action=152&amp;model=crm.lead&amp;view_type=form&amp;menu_id=111" ref="B2301"/>
    <hyperlink r:id="rId2998" location="id=37224&amp;action=152&amp;model=crm.lead&amp;view_type=form&amp;menu_id=111" ref="B2302"/>
    <hyperlink r:id="rId2999" location="id=37263&amp;action=152&amp;model=crm.lead&amp;view_type=form&amp;menu_id=111" ref="B2303"/>
    <hyperlink r:id="rId3000" location="id=37251&amp;action=152&amp;model=crm.lead&amp;view_type=form&amp;menu_id=111" ref="B2304"/>
    <hyperlink r:id="rId3001" location="id=37257&amp;action=152&amp;model=crm.lead&amp;view_type=form&amp;menu_id=111" ref="B2305"/>
    <hyperlink r:id="rId3002" location="id=37254&amp;action=152&amp;model=crm.lead&amp;view_type=form&amp;menu_id=111" ref="B2306"/>
    <hyperlink r:id="rId3003" location="id=37249&amp;action=152&amp;model=crm.lead&amp;view_type=form&amp;menu_id=111" ref="B2307"/>
    <hyperlink r:id="rId3004" location="id=37230&amp;action=152&amp;model=crm.lead&amp;view_type=form&amp;menu_id=111" ref="B2308"/>
    <hyperlink r:id="rId3005" location="id=37235&amp;action=152&amp;model=crm.lead&amp;view_type=form&amp;menu_id=111" ref="B2309"/>
    <hyperlink r:id="rId3006" location="id=37174&amp;action=152&amp;model=crm.lead&amp;view_type=form&amp;menu_id=111" ref="B2310"/>
    <hyperlink r:id="rId3007" location="id=37180&amp;action=152&amp;model=crm.lead&amp;view_type=form&amp;menu_id=111" ref="B2311"/>
    <hyperlink r:id="rId3008" location="id=37172&amp;action=152&amp;model=crm.lead&amp;view_type=form&amp;menu_id=111" ref="B2312"/>
    <hyperlink r:id="rId3009" location="id=37162&amp;action=152&amp;model=crm.lead&amp;view_type=form&amp;menu_id=111" ref="B2313"/>
    <hyperlink r:id="rId3010" location="id=37158&amp;action=152&amp;model=crm.lead&amp;view_type=form&amp;menu_id=111" ref="B2314"/>
    <hyperlink r:id="rId3011" location="id=37059&amp;action=152&amp;model=crm.lead&amp;view_type=form&amp;menu_id=111" ref="B2315"/>
    <hyperlink r:id="rId3012" location="id=37060&amp;action=152&amp;model=crm.lead&amp;view_type=form&amp;menu_id=111" ref="B2316"/>
    <hyperlink r:id="rId3013" location="id=37065&amp;action=152&amp;model=crm.lead&amp;view_type=form&amp;menu_id=111" ref="B2317"/>
    <hyperlink r:id="rId3014" location="id=37103&amp;action=152&amp;model=crm.lead&amp;view_type=form&amp;menu_id=111" ref="B2318"/>
    <hyperlink r:id="rId3015" location="id=37131&amp;action=152&amp;model=crm.lead&amp;view_type=form&amp;menu_id=111" ref="B2319"/>
    <hyperlink r:id="rId3016" location="id=37132&amp;action=152&amp;model=crm.lead&amp;view_type=form&amp;menu_id=111" ref="B2320"/>
    <hyperlink r:id="rId3017" location="id=37125&amp;action=152&amp;model=crm.lead&amp;view_type=form&amp;menu_id=111" ref="B2321"/>
    <hyperlink r:id="rId3018" location="id=37093&amp;action=152&amp;model=crm.lead&amp;view_type=form&amp;menu_id=111" ref="B2322"/>
    <hyperlink r:id="rId3019" location="id=37088&amp;action=152&amp;model=crm.lead&amp;view_type=form&amp;menu_id=111" ref="B2323"/>
    <hyperlink r:id="rId3020" location="id=37047&amp;action=152&amp;model=crm.lead&amp;view_type=form&amp;menu_id=111" ref="B2324"/>
    <hyperlink r:id="rId3021" location="id=37048&amp;action=152&amp;model=crm.lead&amp;view_type=form&amp;menu_id=111" ref="B2325"/>
    <hyperlink r:id="rId3022" location="id=37064&amp;action=152&amp;model=crm.lead&amp;view_type=form&amp;menu_id=111" ref="B2326"/>
    <hyperlink r:id="rId3023" location="id=37071&amp;action=152&amp;model=crm.lead&amp;view_type=form&amp;menu_id=111" ref="B2327"/>
    <hyperlink r:id="rId3024" location="id=37010&amp;action=152&amp;model=crm.lead&amp;view_type=form&amp;menu_id=111" ref="B2328"/>
    <hyperlink r:id="rId3025" location="id=37042&amp;action=152&amp;model=crm.lead&amp;view_type=form&amp;menu_id=111" ref="B2329"/>
    <hyperlink r:id="rId3026" location="id=37043&amp;action=152&amp;model=crm.lead&amp;view_type=form&amp;menu_id=111" ref="B2330"/>
    <hyperlink r:id="rId3027" location="id=37035&amp;action=152&amp;model=crm.lead&amp;view_type=form&amp;menu_id=111" ref="B2331"/>
    <hyperlink r:id="rId3028" location="id=37039&amp;action=152&amp;model=crm.lead&amp;view_type=form&amp;menu_id=111" ref="B2332"/>
    <hyperlink r:id="rId3029" location="id=37006&amp;action=152&amp;model=crm.lead&amp;view_type=form&amp;menu_id=111" ref="B2333"/>
    <hyperlink r:id="rId3030" location="id=37009&amp;action=152&amp;model=crm.lead&amp;view_type=form&amp;menu_id=111" ref="B2334"/>
    <hyperlink r:id="rId3031" location="id=36985&amp;action=152&amp;model=crm.lead&amp;view_type=form&amp;menu_id=111" ref="B2335"/>
    <hyperlink r:id="rId3032" location="id=36995&amp;action=152&amp;model=crm.lead&amp;view_type=form&amp;menu_id=111" ref="B2336"/>
    <hyperlink r:id="rId3033" location="id=36892&amp;action=152&amp;model=crm.lead&amp;view_type=form&amp;menu_id=111" ref="B2337"/>
    <hyperlink r:id="rId3034" location="id=36989&amp;action=152&amp;model=crm.lead&amp;view_type=form&amp;menu_id=111" ref="B2338"/>
    <hyperlink r:id="rId3035" location="id=36986&amp;action=152&amp;model=crm.lead&amp;view_type=form&amp;menu_id=111" ref="B2339"/>
    <hyperlink r:id="rId3036" location="id=36875&amp;action=152&amp;model=crm.lead&amp;view_type=form&amp;menu_id=111" ref="B2340"/>
    <hyperlink r:id="rId3037" location="id=36856&amp;action=152&amp;model=crm.lead&amp;view_type=form&amp;menu_id=111" ref="B2341"/>
    <hyperlink r:id="rId3038" location="id=36855&amp;action=152&amp;model=crm.lead&amp;view_type=form&amp;menu_id=111" ref="B2342"/>
    <hyperlink r:id="rId3039" location="id=36938&amp;action=152&amp;model=crm.lead&amp;view_type=form&amp;menu_id=111" ref="B2343"/>
    <hyperlink r:id="rId3040" location="id=36858&amp;action=152&amp;model=crm.lead&amp;view_type=form&amp;menu_id=111" ref="B2344"/>
    <hyperlink r:id="rId3041" location="id=36876&amp;action=152&amp;model=crm.lead&amp;view_type=form&amp;menu_id=111" ref="B2345"/>
    <hyperlink r:id="rId3042" location="id=36887&amp;action=152&amp;model=crm.lead&amp;view_type=form&amp;menu_id=111" ref="B2346"/>
    <hyperlink r:id="rId3043" location="id=36888&amp;action=152&amp;model=crm.lead&amp;view_type=form&amp;menu_id=111" ref="B2347"/>
    <hyperlink r:id="rId3044" location="id=36891&amp;action=152&amp;model=crm.lead&amp;view_type=form&amp;menu_id=111" ref="B2348"/>
    <hyperlink r:id="rId3045" location="id=36895&amp;action=152&amp;model=crm.lead&amp;view_type=form&amp;menu_id=111" ref="B2349"/>
    <hyperlink r:id="rId3046" location="id=36896&amp;action=152&amp;model=crm.lead&amp;view_type=form&amp;menu_id=111" ref="B2350"/>
    <hyperlink r:id="rId3047" location="id=36904&amp;action=152&amp;model=crm.lead&amp;view_type=form&amp;menu_id=111" ref="B2351"/>
    <hyperlink r:id="rId3048" location="id=36851&amp;action=152&amp;model=crm.lead&amp;view_type=form&amp;menu_id=111" ref="B2352"/>
    <hyperlink r:id="rId3049" location="id=36854&amp;action=152&amp;model=crm.lead&amp;view_type=form&amp;menu_id=111" ref="B2353"/>
    <hyperlink r:id="rId3050" location="id=36843&amp;action=152&amp;model=crm.lead&amp;view_type=form&amp;menu_id=111" ref="B2354"/>
    <hyperlink r:id="rId3051" location="id=36849&amp;action=152&amp;model=crm.lead&amp;view_type=form&amp;menu_id=111" ref="B2355"/>
    <hyperlink r:id="rId3052" location="id=36839&amp;action=152&amp;model=crm.lead&amp;view_type=form&amp;menu_id=111" ref="B2356"/>
    <hyperlink r:id="rId3053" ref="G2356"/>
    <hyperlink r:id="rId3054" location="id=36841&amp;action=152&amp;model=crm.lead&amp;view_type=form&amp;menu_id=111" ref="B2357"/>
    <hyperlink r:id="rId3055" location="id=36818&amp;action=152&amp;model=crm.lead&amp;view_type=form&amp;menu_id=111" ref="B2358"/>
    <hyperlink r:id="rId3056" location="id=36828&amp;action=152&amp;model=crm.lead&amp;view_type=form&amp;menu_id=111" ref="B2359"/>
    <hyperlink r:id="rId3057" location="id=36829&amp;action=152&amp;model=crm.lead&amp;view_type=form&amp;menu_id=111" ref="B2360"/>
    <hyperlink r:id="rId3058" location="id=36832&amp;action=152&amp;model=crm.lead&amp;view_type=form&amp;menu_id=111" ref="B2361"/>
    <hyperlink r:id="rId3059" location="id=36809&amp;action=152&amp;model=crm.lead&amp;view_type=form&amp;menu_id=111" ref="B2362"/>
    <hyperlink r:id="rId3060" location="id=36788&amp;action=152&amp;model=crm.lead&amp;view_type=form&amp;menu_id=111" ref="B2363"/>
    <hyperlink r:id="rId3061" location="id=36800&amp;action=152&amp;model=crm.lead&amp;view_type=form&amp;menu_id=111" ref="B2364"/>
    <hyperlink r:id="rId3062" location="id=36770&amp;action=152&amp;model=crm.lead&amp;view_type=form&amp;menu_id=111" ref="B2365"/>
    <hyperlink r:id="rId3063" location="id=36764&amp;action=152&amp;model=crm.lead&amp;view_type=form&amp;menu_id=111" ref="B2366"/>
    <hyperlink r:id="rId3064" location="id=36776&amp;action=152&amp;model=crm.lead&amp;view_type=form&amp;menu_id=111" ref="B2367"/>
    <hyperlink r:id="rId3065" location="id=36759&amp;action=152&amp;model=crm.lead&amp;view_type=form&amp;menu_id=111" ref="B2368"/>
    <hyperlink r:id="rId3066" location="id=36760&amp;action=152&amp;model=crm.lead&amp;view_type=form&amp;menu_id=111" ref="B2369"/>
    <hyperlink r:id="rId3067" location="id=36761&amp;action=152&amp;model=crm.lead&amp;view_type=form&amp;menu_id=111" ref="B2370"/>
    <hyperlink r:id="rId3068" location="id=36763&amp;action=152&amp;model=crm.lead&amp;view_type=form&amp;menu_id=111" ref="B2371"/>
    <hyperlink r:id="rId3069" location="id=36768&amp;action=152&amp;model=crm.lead&amp;view_type=form&amp;menu_id=111" ref="B2372"/>
    <hyperlink r:id="rId3070" location="id=36780&amp;action=152&amp;model=crm.lead&amp;view_type=form&amp;menu_id=111" ref="B2373"/>
    <hyperlink r:id="rId3071" location="id=36758&amp;action=152&amp;model=crm.lead&amp;view_type=form&amp;menu_id=111" ref="B2374"/>
    <hyperlink r:id="rId3072" location="id=36212&amp;action=152&amp;model=crm.lead&amp;view_type=form&amp;menu_id=111" ref="B2375"/>
    <hyperlink r:id="rId3073" location="id=36385&amp;action=152&amp;model=crm.lead&amp;view_type=form&amp;menu_id=111" ref="B2376"/>
    <hyperlink r:id="rId3074" location="id=36745&amp;action=152&amp;model=crm.lead&amp;view_type=form&amp;menu_id=111" ref="B2377"/>
    <hyperlink r:id="rId3075" location="id=36749&amp;action=152&amp;model=crm.lead&amp;view_type=form&amp;menu_id=111" ref="B2378"/>
    <hyperlink r:id="rId3076" location="id=36391&amp;action=152&amp;model=crm.lead&amp;view_type=form&amp;menu_id=111" ref="B2379"/>
    <hyperlink r:id="rId3077" location="id=36743&amp;action=152&amp;model=crm.lead&amp;view_type=form&amp;menu_id=111" ref="B2380"/>
    <hyperlink r:id="rId3078" location="id=36702&amp;action=152&amp;model=crm.lead&amp;view_type=form&amp;menu_id=111" ref="B2381"/>
    <hyperlink r:id="rId3079" location="id=36728&amp;action=152&amp;model=crm.lead&amp;view_type=form&amp;menu_id=111" ref="B2382"/>
    <hyperlink r:id="rId3080" location="id=36735&amp;action=152&amp;model=crm.lead&amp;view_type=form&amp;menu_id=111" ref="B2383"/>
    <hyperlink r:id="rId3081" location="id=36229&amp;action=152&amp;model=crm.lead&amp;view_type=form&amp;menu_id=111" ref="B2384"/>
    <hyperlink r:id="rId3082" location="id=36707&amp;action=152&amp;model=crm.lead&amp;view_type=form&amp;menu_id=111" ref="B2385"/>
    <hyperlink r:id="rId3083" ref="G2385"/>
    <hyperlink r:id="rId3084" location="id=36703&amp;action=152&amp;model=crm.lead&amp;view_type=form&amp;menu_id=111" ref="B2386"/>
    <hyperlink r:id="rId3085" location="id=36267&amp;action=152&amp;model=crm.lead&amp;view_type=form&amp;menu_id=111" ref="B2387"/>
    <hyperlink r:id="rId3086" location="id=36333&amp;action=152&amp;model=crm.lead&amp;view_type=form&amp;menu_id=111" ref="B2388"/>
    <hyperlink r:id="rId3087" location="id=36381&amp;action=152&amp;model=crm.lead&amp;view_type=form&amp;menu_id=111" ref="B2389"/>
    <hyperlink r:id="rId3088" location="id=36448&amp;action=152&amp;model=crm.lead&amp;view_type=form&amp;menu_id=111" ref="B2390"/>
    <hyperlink r:id="rId3089" location="id=36657&amp;action=152&amp;model=crm.lead&amp;view_type=form&amp;menu_id=111" ref="B2391"/>
    <hyperlink r:id="rId3090" location="id=36686&amp;action=152&amp;model=crm.lead&amp;view_type=form&amp;menu_id=111" ref="B2392"/>
    <hyperlink r:id="rId3091" location="id=36672&amp;action=152&amp;model=crm.lead&amp;view_type=form&amp;menu_id=111" ref="B2393"/>
    <hyperlink r:id="rId3092" ref="G2393"/>
    <hyperlink r:id="rId3093" location="id=36675&amp;action=152&amp;model=crm.lead&amp;view_type=form&amp;menu_id=111" ref="B2394"/>
    <hyperlink r:id="rId3094" ref="G2394"/>
    <hyperlink r:id="rId3095" location="id=36680&amp;action=152&amp;model=crm.lead&amp;view_type=form&amp;menu_id=111" ref="B2395"/>
    <hyperlink r:id="rId3096" ref="G2395"/>
    <hyperlink r:id="rId3097" location="id=36592&amp;action=152&amp;model=crm.lead&amp;view_type=form&amp;menu_id=111" ref="B2396"/>
    <hyperlink r:id="rId3098" ref="G2396"/>
    <hyperlink r:id="rId3099" location="id=36648&amp;action=152&amp;model=crm.lead&amp;view_type=form&amp;menu_id=111" ref="B2397"/>
    <hyperlink r:id="rId3100" ref="G2397"/>
    <hyperlink r:id="rId3101" location="id=36636&amp;action=152&amp;model=crm.lead&amp;view_type=form&amp;menu_id=111" ref="B2398"/>
    <hyperlink r:id="rId3102" ref="G2398"/>
    <hyperlink r:id="rId3103" location="id=36537&amp;action=152&amp;model=crm.lead&amp;view_type=form&amp;menu_id=111" ref="B2399"/>
    <hyperlink r:id="rId3104" ref="G2399"/>
    <hyperlink r:id="rId3105" location="id=36564&amp;action=152&amp;model=crm.lead&amp;view_type=form&amp;menu_id=111" ref="B2400"/>
    <hyperlink r:id="rId3106" ref="G2400"/>
    <hyperlink r:id="rId3107" location="id=36634&amp;action=152&amp;model=crm.lead&amp;view_type=form&amp;menu_id=111" ref="B2401"/>
    <hyperlink r:id="rId3108" location="id=36566&amp;action=152&amp;model=crm.lead&amp;view_type=form&amp;menu_id=111" ref="B2402"/>
    <hyperlink r:id="rId3109" ref="G2402"/>
    <hyperlink r:id="rId3110" location="id=36567&amp;action=152&amp;model=crm.lead&amp;view_type=form&amp;menu_id=111" ref="B2403"/>
    <hyperlink r:id="rId3111" location="id=36617&amp;action=152&amp;model=crm.lead&amp;view_type=form&amp;menu_id=111" ref="B2404"/>
    <hyperlink r:id="rId3112" ref="G2404"/>
    <hyperlink r:id="rId3113" location="id=36510&amp;action=152&amp;model=crm.lead&amp;view_type=form&amp;menu_id=111" ref="B2405"/>
    <hyperlink r:id="rId3114" location="id=36487&amp;action=152&amp;model=crm.lead&amp;view_type=form&amp;menu_id=111" ref="B2406"/>
    <hyperlink r:id="rId3115" ref="G2406"/>
    <hyperlink r:id="rId3116" location="id=36492&amp;action=152&amp;model=crm.lead&amp;view_type=form&amp;menu_id=111" ref="B2407"/>
    <hyperlink r:id="rId3117" ref="G2407"/>
    <hyperlink r:id="rId3118" location="id=36498&amp;action=152&amp;model=crm.lead&amp;view_type=form&amp;menu_id=111" ref="B2408"/>
    <hyperlink r:id="rId3119" ref="G2408"/>
    <hyperlink r:id="rId3120" location="id=36470&amp;action=152&amp;model=crm.lead&amp;view_type=form&amp;menu_id=111" ref="B2409"/>
    <hyperlink r:id="rId3121" location="id=36469&amp;action=152&amp;model=crm.lead&amp;view_type=form&amp;menu_id=111" ref="B2410"/>
    <hyperlink r:id="rId3122" location="id=36431&amp;action=152&amp;model=crm.lead&amp;view_type=form&amp;menu_id=111" ref="B2411"/>
    <hyperlink r:id="rId3123" ref="G2411"/>
    <hyperlink r:id="rId3124" location="id=36434&amp;action=152&amp;model=crm.lead&amp;view_type=form&amp;menu_id=111" ref="B2412"/>
    <hyperlink r:id="rId3125" ref="G2412"/>
    <hyperlink r:id="rId3126" location="id=36435&amp;action=152&amp;model=crm.lead&amp;view_type=form&amp;menu_id=111" ref="B2413"/>
    <hyperlink r:id="rId3127" ref="G2413"/>
    <hyperlink r:id="rId3128" location="id=36437&amp;action=152&amp;model=crm.lead&amp;view_type=form&amp;menu_id=111" ref="B2414"/>
    <hyperlink r:id="rId3129" location="id=36439&amp;action=152&amp;model=crm.lead&amp;view_type=form&amp;menu_id=111" ref="B2415"/>
    <hyperlink r:id="rId3130" ref="G2415"/>
    <hyperlink r:id="rId3131" location="id=36441&amp;action=152&amp;model=crm.lead&amp;view_type=form&amp;menu_id=111" ref="B2416"/>
    <hyperlink r:id="rId3132" ref="G2416"/>
    <hyperlink r:id="rId3133" location="id=36399&amp;action=152&amp;model=crm.lead&amp;view_type=form&amp;menu_id=111" ref="B2417"/>
    <hyperlink r:id="rId3134" ref="G2417"/>
    <hyperlink r:id="rId3135" location="id=36377&amp;action=152&amp;model=crm.lead&amp;view_type=form&amp;menu_id=111" ref="B2418"/>
    <hyperlink r:id="rId3136" location="id=36366&amp;action=152&amp;model=crm.lead&amp;view_type=form&amp;menu_id=111" ref="B2419"/>
    <hyperlink r:id="rId3137" location="id=36363&amp;action=152&amp;model=crm.lead&amp;view_type=form&amp;menu_id=111" ref="B2420"/>
    <hyperlink r:id="rId3138" ref="G2420"/>
    <hyperlink r:id="rId3139" location="id=36357&amp;action=152&amp;model=crm.lead&amp;view_type=form&amp;menu_id=111" ref="B2421"/>
    <hyperlink r:id="rId3140" ref="G2421"/>
    <hyperlink r:id="rId3141" location="id=36269&amp;action=152&amp;model=crm.lead&amp;view_type=form&amp;menu_id=111" ref="B2422"/>
    <hyperlink r:id="rId3142" ref="G2422"/>
    <hyperlink r:id="rId3143" location="id=36335&amp;action=152&amp;model=crm.lead&amp;view_type=form&amp;menu_id=111" ref="B2423"/>
    <hyperlink r:id="rId3144" location="id=36337&amp;action=152&amp;model=crm.lead&amp;view_type=form&amp;menu_id=111" ref="B2424"/>
    <hyperlink r:id="rId3145" location="id=36327&amp;action=152&amp;model=crm.lead&amp;view_type=form&amp;menu_id=111" ref="B2425"/>
    <hyperlink r:id="rId3146" ref="G2425"/>
    <hyperlink r:id="rId3147" location="id=36330&amp;action=152&amp;model=crm.lead&amp;view_type=form&amp;menu_id=111" ref="B2426"/>
    <hyperlink r:id="rId3148" ref="G2426"/>
    <hyperlink r:id="rId3149" location="id=36293&amp;action=152&amp;model=crm.lead&amp;view_type=form&amp;menu_id=111" ref="B2427"/>
    <hyperlink r:id="rId3150" ref="G2427"/>
    <hyperlink r:id="rId3151" location="id=36316&amp;action=152&amp;model=crm.lead&amp;view_type=form&amp;menu_id=111" ref="B2428"/>
    <hyperlink r:id="rId3152" ref="G2428"/>
    <hyperlink r:id="rId3153" location="id=36250&amp;action=152&amp;model=crm.lead&amp;view_type=form&amp;menu_id=111" ref="B2429"/>
    <hyperlink r:id="rId3154" ref="G2429"/>
    <hyperlink r:id="rId3155" location="id=36252&amp;action=152&amp;model=crm.lead&amp;view_type=form&amp;menu_id=111" ref="B2430"/>
    <hyperlink r:id="rId3156" ref="G2430"/>
    <hyperlink r:id="rId3157" location="id=36238&amp;action=152&amp;model=crm.lead&amp;view_type=form&amp;menu_id=111" ref="B2431"/>
    <hyperlink r:id="rId3158" ref="G2431"/>
    <hyperlink r:id="rId3159" location="id=36231&amp;action=152&amp;model=crm.lead&amp;view_type=form&amp;menu_id=111" ref="B2432"/>
    <hyperlink r:id="rId3160" ref="G2432"/>
    <hyperlink r:id="rId3161" location="id=36244&amp;action=152&amp;model=crm.lead&amp;view_type=form&amp;menu_id=111" ref="B2433"/>
    <hyperlink r:id="rId3162" ref="G2433"/>
    <hyperlink r:id="rId3163" location="id=36245&amp;action=152&amp;model=crm.lead&amp;view_type=form&amp;menu_id=111" ref="B2434"/>
    <hyperlink r:id="rId3164" ref="G2434"/>
    <hyperlink r:id="rId3165" location="id=36201&amp;action=152&amp;model=crm.lead&amp;view_type=form&amp;menu_id=111" ref="B2435"/>
    <hyperlink r:id="rId3166" location="id=36223&amp;action=152&amp;model=crm.lead&amp;view_type=form&amp;menu_id=111" ref="B2436"/>
    <hyperlink r:id="rId3167" location="id=36217&amp;action=152&amp;model=crm.lead&amp;view_type=form&amp;menu_id=111" ref="B2437"/>
    <hyperlink r:id="rId3168" ref="G2437"/>
    <hyperlink r:id="rId3169" location="id=36220&amp;action=152&amp;model=crm.lead&amp;view_type=form&amp;menu_id=111" ref="B2438"/>
    <hyperlink r:id="rId3170" ref="G2438"/>
    <hyperlink r:id="rId3171" location="id=36221&amp;action=152&amp;model=crm.lead&amp;view_type=form&amp;menu_id=111" ref="B2439"/>
    <hyperlink r:id="rId3172" location="id=36195&amp;action=152&amp;model=crm.lead&amp;view_type=form&amp;menu_id=111" ref="B2440"/>
    <hyperlink r:id="rId3173" ref="G2440"/>
    <hyperlink r:id="rId3174" location="id=36197&amp;action=152&amp;model=crm.lead&amp;view_type=form&amp;menu_id=111" ref="B2441"/>
    <hyperlink r:id="rId3175" location="id=36202&amp;action=152&amp;model=crm.lead&amp;view_type=form&amp;menu_id=111" ref="B2442"/>
    <hyperlink r:id="rId3176" location="id=36209&amp;action=152&amp;model=crm.lead&amp;view_type=form&amp;menu_id=111" ref="B2443"/>
    <hyperlink r:id="rId3177" location="id=35944&amp;action=152&amp;model=crm.lead&amp;view_type=form&amp;menu_id=111" ref="B2444"/>
    <hyperlink r:id="rId3178" location="id=36010&amp;action=152&amp;model=crm.lead&amp;view_type=form&amp;menu_id=111" ref="B2445"/>
    <hyperlink r:id="rId3179" location="id=36155&amp;action=152&amp;model=crm.lead&amp;view_type=form&amp;menu_id=111" ref="B2446"/>
    <hyperlink r:id="rId3180" ref="G2446"/>
    <hyperlink r:id="rId3181" location="id=36164&amp;action=152&amp;model=crm.lead&amp;view_type=form&amp;menu_id=111" ref="B2447"/>
    <hyperlink r:id="rId3182" ref="G2447"/>
    <hyperlink r:id="rId3183" location="id=36158&amp;action=152&amp;model=crm.lead&amp;view_type=form&amp;menu_id=111" ref="B2448"/>
    <hyperlink r:id="rId3184" ref="G2448"/>
    <hyperlink r:id="rId3185" location="id=36163&amp;action=152&amp;model=crm.lead&amp;view_type=form&amp;menu_id=111" ref="B2449"/>
    <hyperlink r:id="rId3186" location="id=36019&amp;action=152&amp;model=crm.lead&amp;view_type=form&amp;menu_id=111" ref="B2450"/>
    <hyperlink r:id="rId3187" location="id=36021&amp;action=152&amp;model=crm.lead&amp;view_type=form&amp;menu_id=111" ref="B2451"/>
    <hyperlink r:id="rId3188" location="id=36035&amp;action=152&amp;model=crm.lead&amp;view_type=form&amp;menu_id=111" ref="B2452"/>
    <hyperlink r:id="rId3189" location="id=36144&amp;action=152&amp;model=crm.lead&amp;view_type=form&amp;menu_id=111" ref="B2453"/>
    <hyperlink r:id="rId3190" location="id=36142&amp;action=152&amp;model=crm.lead&amp;view_type=form&amp;menu_id=111" ref="B2454"/>
    <hyperlink r:id="rId3191" location="id=36123&amp;action=152&amp;model=crm.lead&amp;view_type=form&amp;menu_id=111" ref="B2455"/>
    <hyperlink r:id="rId3192" location="id=36131&amp;action=152&amp;model=crm.lead&amp;view_type=form&amp;menu_id=111" ref="B2456"/>
    <hyperlink r:id="rId3193" ref="G2456"/>
    <hyperlink r:id="rId3194" location="id=36128&amp;action=152&amp;model=crm.lead&amp;view_type=form&amp;menu_id=111" ref="B2457"/>
    <hyperlink r:id="rId3195" location="id=36136&amp;action=152&amp;model=crm.lead&amp;view_type=form&amp;menu_id=111" ref="B2458"/>
    <hyperlink r:id="rId3196" location="id=36135&amp;action=152&amp;model=crm.lead&amp;view_type=form&amp;menu_id=111" ref="B2459"/>
    <hyperlink r:id="rId3197" location="id=36132&amp;action=152&amp;model=crm.lead&amp;view_type=form&amp;menu_id=111" ref="B2460"/>
    <hyperlink r:id="rId3198" location="id=36086&amp;action=152&amp;model=crm.lead&amp;view_type=form&amp;menu_id=111" ref="B2461"/>
    <hyperlink r:id="rId3199" ref="G2461"/>
    <hyperlink r:id="rId3200" location="id=36124&amp;action=152&amp;model=crm.lead&amp;view_type=form&amp;menu_id=111" ref="B2462"/>
    <hyperlink r:id="rId3201" ref="G2462"/>
    <hyperlink r:id="rId3202" location="id=36107&amp;action=152&amp;model=crm.lead&amp;view_type=form&amp;menu_id=111" ref="B2463"/>
    <hyperlink r:id="rId3203" ref="G2463"/>
    <hyperlink r:id="rId3204" location="id=36100&amp;action=152&amp;model=crm.lead&amp;view_type=form&amp;menu_id=111" ref="B2464"/>
    <hyperlink r:id="rId3205" ref="G2464"/>
    <hyperlink r:id="rId3206" location="id=36104&amp;action=152&amp;model=crm.lead&amp;view_type=form&amp;menu_id=111" ref="B2465"/>
    <hyperlink r:id="rId3207" ref="G2465"/>
    <hyperlink r:id="rId3208" location="id=36112&amp;action=152&amp;model=crm.lead&amp;view_type=form&amp;menu_id=111" ref="B2466"/>
    <hyperlink r:id="rId3209" location="id=36028&amp;action=152&amp;model=crm.lead&amp;view_type=form&amp;menu_id=111" ref="B2467"/>
    <hyperlink r:id="rId3210" ref="G2467"/>
    <hyperlink r:id="rId3211" location="id=36085&amp;action=152&amp;model=crm.lead&amp;view_type=form&amp;menu_id=111" ref="B2468"/>
    <hyperlink r:id="rId3212" ref="G2468"/>
    <hyperlink r:id="rId3213" location="id=36094&amp;action=152&amp;model=crm.lead&amp;view_type=form&amp;menu_id=111" ref="B2469"/>
    <hyperlink r:id="rId3214" ref="G2469"/>
    <hyperlink r:id="rId3215" location="id=36078&amp;action=152&amp;model=crm.lead&amp;view_type=form&amp;menu_id=111" ref="B2470"/>
    <hyperlink r:id="rId3216" ref="G2470"/>
    <hyperlink r:id="rId3217" location="id=36073&amp;action=152&amp;model=crm.lead&amp;view_type=form&amp;menu_id=111" ref="B2471"/>
    <hyperlink r:id="rId3218" ref="G2471"/>
    <hyperlink r:id="rId3219" location="id=36072&amp;action=152&amp;model=crm.lead&amp;view_type=form&amp;menu_id=111" ref="B2472"/>
    <hyperlink r:id="rId3220" ref="G2472"/>
    <hyperlink r:id="rId3221" location="id=36069&amp;action=152&amp;model=crm.lead&amp;view_type=form&amp;menu_id=111" ref="B2473"/>
    <hyperlink r:id="rId3222" ref="G2473"/>
    <hyperlink r:id="rId3223" location="id=36037&amp;action=152&amp;model=crm.lead&amp;view_type=form&amp;menu_id=111" ref="B2474"/>
    <hyperlink r:id="rId3224" ref="G2474"/>
    <hyperlink r:id="rId3225" location="id=36049&amp;action=152&amp;model=crm.lead&amp;view_type=form&amp;menu_id=111" ref="B2475"/>
    <hyperlink r:id="rId3226" ref="G2475"/>
    <hyperlink r:id="rId3227" location="id=36045&amp;action=152&amp;model=crm.lead&amp;view_type=form&amp;menu_id=111" ref="B2476"/>
    <hyperlink r:id="rId3228" ref="G2476"/>
    <hyperlink r:id="rId3229" location="id=36061&amp;action=152&amp;model=crm.lead&amp;view_type=form&amp;menu_id=111" ref="B2477"/>
    <hyperlink r:id="rId3230" ref="G2477"/>
    <hyperlink r:id="rId3231" location="id=35979&amp;action=152&amp;model=crm.lead&amp;view_type=form&amp;menu_id=111" ref="B2478"/>
    <hyperlink r:id="rId3232" ref="G2478"/>
    <hyperlink r:id="rId3233" location="id=35978&amp;action=152&amp;model=crm.lead&amp;view_type=form&amp;menu_id=111" ref="B2479"/>
    <hyperlink r:id="rId3234" ref="G2479"/>
    <hyperlink r:id="rId3235" location="id=35952&amp;action=152&amp;model=crm.lead&amp;view_type=form&amp;menu_id=111" ref="B2480"/>
    <hyperlink r:id="rId3236" ref="G2480"/>
    <hyperlink r:id="rId3237" location="id=35993&amp;action=152&amp;model=crm.lead&amp;view_type=form&amp;menu_id=111" ref="B2481"/>
    <hyperlink r:id="rId3238" ref="G2481"/>
    <hyperlink r:id="rId3239" location="id=35996&amp;action=152&amp;model=crm.lead&amp;view_type=form&amp;menu_id=111" ref="B2482"/>
    <hyperlink r:id="rId3240" ref="G2482"/>
    <hyperlink r:id="rId3241" location="id=36001&amp;action=152&amp;model=crm.lead&amp;view_type=form&amp;menu_id=111" ref="B2483"/>
    <hyperlink r:id="rId3242" ref="G2483"/>
    <hyperlink r:id="rId3243" location="id=36014&amp;action=152&amp;model=crm.lead&amp;view_type=form&amp;menu_id=111" ref="B2484"/>
    <hyperlink r:id="rId3244" ref="G2484"/>
    <hyperlink r:id="rId3245" location="id=36026&amp;action=152&amp;model=crm.lead&amp;view_type=form&amp;menu_id=111" ref="B2485"/>
    <hyperlink r:id="rId3246" ref="G2485"/>
    <hyperlink r:id="rId3247" location="id=35961&amp;action=152&amp;model=crm.lead&amp;view_type=form&amp;menu_id=111" ref="B2486"/>
    <hyperlink r:id="rId3248" location="id=35953&amp;action=152&amp;model=crm.lead&amp;view_type=form&amp;menu_id=111" ref="B2487"/>
    <hyperlink r:id="rId3249" location="id=35943&amp;action=152&amp;model=crm.lead&amp;view_type=form&amp;menu_id=111" ref="B2488"/>
    <hyperlink r:id="rId3250" ref="G2488"/>
    <hyperlink r:id="rId3251" location="id=35941&amp;action=152&amp;model=crm.lead&amp;view_type=form&amp;menu_id=111" ref="B2489"/>
    <hyperlink r:id="rId3252" ref="G2489"/>
    <hyperlink r:id="rId3253" location="id=35937&amp;action=152&amp;model=crm.lead&amp;view_type=form&amp;menu_id=111" ref="B2490"/>
    <hyperlink r:id="rId3254" ref="G2490"/>
    <hyperlink r:id="rId3255" location="id=35930&amp;action=152&amp;model=crm.lead&amp;view_type=form&amp;menu_id=111" ref="B2491"/>
    <hyperlink r:id="rId3256" ref="G2491"/>
    <hyperlink r:id="rId3257" location="id=35672&amp;action=152&amp;model=crm.lead&amp;view_type=form&amp;menu_id=111" ref="B2492"/>
    <hyperlink r:id="rId3258" ref="G2492"/>
    <hyperlink r:id="rId3259" location="id=35920&amp;action=152&amp;model=crm.lead&amp;view_type=form&amp;menu_id=111" ref="B2493"/>
    <hyperlink r:id="rId3260" ref="G2493"/>
    <hyperlink r:id="rId3261" location="id=35921&amp;action=152&amp;model=crm.lead&amp;view_type=form&amp;menu_id=111" ref="B2494"/>
    <hyperlink r:id="rId3262" ref="G2494"/>
    <hyperlink r:id="rId3263" location="id=35729&amp;action=152&amp;model=crm.lead&amp;view_type=form&amp;menu_id=111" ref="B2495"/>
    <hyperlink r:id="rId3264" ref="G2495"/>
    <hyperlink r:id="rId3265" location="id=35746&amp;action=152&amp;model=crm.lead&amp;view_type=form&amp;menu_id=111" ref="B2496"/>
    <hyperlink r:id="rId3266" ref="G2496"/>
    <hyperlink r:id="rId3267" location="id=35880&amp;action=152&amp;model=crm.lead&amp;view_type=form&amp;menu_id=111" ref="B2497"/>
    <hyperlink r:id="rId3268" ref="G2497"/>
    <hyperlink r:id="rId3269" location="id=35910&amp;action=152&amp;model=crm.lead&amp;view_type=form&amp;menu_id=111" ref="B2498"/>
    <hyperlink r:id="rId3270" ref="G2498"/>
    <hyperlink r:id="rId3271" location="id=35908&amp;action=152&amp;model=crm.lead&amp;view_type=form&amp;menu_id=111" ref="B2499"/>
    <hyperlink r:id="rId3272" ref="G2499"/>
    <hyperlink r:id="rId3273" location="id=35904&amp;action=152&amp;model=crm.lead&amp;view_type=form&amp;menu_id=111" ref="B2500"/>
    <hyperlink r:id="rId3274" location="id=35918&amp;action=152&amp;model=crm.lead&amp;view_type=form&amp;menu_id=111" ref="B2501"/>
    <hyperlink r:id="rId3275" location="id=35905&amp;action=152&amp;model=crm.lead&amp;view_type=form&amp;menu_id=111" ref="B2502"/>
    <hyperlink r:id="rId3276" location="id=35900&amp;action=152&amp;model=crm.lead&amp;view_type=form&amp;menu_id=111" ref="B2503"/>
    <hyperlink r:id="rId3277" ref="G2503"/>
    <hyperlink r:id="rId3278" location="id=35897&amp;action=152&amp;model=crm.lead&amp;view_type=form&amp;menu_id=111" ref="B2504"/>
    <hyperlink r:id="rId3279" ref="G2504"/>
    <hyperlink r:id="rId3280" location="id=35885&amp;action=152&amp;model=crm.lead&amp;view_type=form&amp;menu_id=111" ref="B2505"/>
    <hyperlink r:id="rId3281" ref="G2505"/>
    <hyperlink r:id="rId3282" location="id=35884&amp;action=152&amp;model=crm.lead&amp;view_type=form&amp;menu_id=111" ref="B2506"/>
    <hyperlink r:id="rId3283" location="id=35875&amp;action=152&amp;model=crm.lead&amp;view_type=form&amp;menu_id=111" ref="B2507"/>
    <hyperlink r:id="rId3284" location="id=35862&amp;action=152&amp;model=crm.lead&amp;view_type=form&amp;menu_id=111" ref="B2508"/>
    <hyperlink r:id="rId3285" ref="G2508"/>
    <hyperlink r:id="rId3286" location="id=35864&amp;action=152&amp;model=crm.lead&amp;view_type=form&amp;menu_id=111" ref="B2509"/>
    <hyperlink r:id="rId3287" ref="G2509"/>
    <hyperlink r:id="rId3288" location="id=35852&amp;action=152&amp;model=crm.lead&amp;view_type=form&amp;menu_id=111" ref="B2510"/>
    <hyperlink r:id="rId3289" ref="G2510"/>
    <hyperlink r:id="rId3290" location="id=35850&amp;action=152&amp;model=crm.lead&amp;view_type=form&amp;menu_id=111" ref="B2511"/>
    <hyperlink r:id="rId3291" ref="G2511"/>
    <hyperlink r:id="rId3292" location="id=35845&amp;action=152&amp;model=crm.lead&amp;view_type=form&amp;menu_id=111" ref="B2512"/>
    <hyperlink r:id="rId3293" location="id=35843&amp;action=152&amp;model=crm.lead&amp;view_type=form&amp;menu_id=111" ref="B2513"/>
    <hyperlink r:id="rId3294" location="id=35749&amp;action=152&amp;model=crm.lead&amp;view_type=form&amp;menu_id=111" ref="B2514"/>
    <hyperlink r:id="rId3295" ref="G2514"/>
    <hyperlink r:id="rId3296" location="id=35831&amp;action=152&amp;model=crm.lead&amp;view_type=form&amp;menu_id=111" ref="B2515"/>
    <hyperlink r:id="rId3297" ref="G2515"/>
    <hyperlink r:id="rId3298" location="id=35842&amp;action=152&amp;model=crm.lead&amp;view_type=form&amp;menu_id=111" ref="B2516"/>
    <hyperlink r:id="rId3299" location="id=35830&amp;action=152&amp;model=crm.lead&amp;view_type=form&amp;menu_id=111" ref="B2517"/>
    <hyperlink r:id="rId3300" ref="G2517"/>
    <hyperlink r:id="rId3301" location="id=35818&amp;action=152&amp;model=crm.lead&amp;view_type=form&amp;menu_id=111" ref="B2518"/>
    <hyperlink r:id="rId3302" ref="G2518"/>
    <hyperlink r:id="rId3303" location="id=35806&amp;action=152&amp;model=crm.lead&amp;view_type=form&amp;menu_id=111" ref="B2519"/>
    <hyperlink r:id="rId3304" ref="G2519"/>
    <hyperlink r:id="rId3305" location="id=35804&amp;action=152&amp;model=crm.lead&amp;view_type=form&amp;menu_id=111" ref="B2520"/>
    <hyperlink r:id="rId3306" ref="G2520"/>
    <hyperlink r:id="rId3307" location="id=35800&amp;action=152&amp;model=crm.lead&amp;view_type=form&amp;menu_id=111" ref="B2521"/>
    <hyperlink r:id="rId3308" ref="G2521"/>
    <hyperlink r:id="rId3309" location="id=35782&amp;action=152&amp;model=crm.lead&amp;view_type=form&amp;menu_id=111" ref="B2522"/>
    <hyperlink r:id="rId3310" ref="G2522"/>
    <hyperlink r:id="rId3311" location="id=35778&amp;action=152&amp;model=crm.lead&amp;view_type=form&amp;menu_id=111" ref="B2523"/>
    <hyperlink r:id="rId3312" ref="G2523"/>
    <hyperlink r:id="rId3313" location="id=35776&amp;action=152&amp;model=crm.lead&amp;view_type=form&amp;menu_id=111" ref="B2524"/>
    <hyperlink r:id="rId3314" ref="G2524"/>
    <hyperlink r:id="rId3315" location="id=35768&amp;action=152&amp;model=crm.lead&amp;view_type=form&amp;menu_id=111" ref="B2525"/>
    <hyperlink r:id="rId3316" ref="G2525"/>
    <hyperlink r:id="rId3317" location="id=35759&amp;action=152&amp;model=crm.lead&amp;view_type=form&amp;menu_id=111" ref="B2526"/>
    <hyperlink r:id="rId3318" ref="G2526"/>
    <hyperlink r:id="rId3319" location="id=35751&amp;action=152&amp;model=crm.lead&amp;view_type=form&amp;menu_id=111" ref="B2527"/>
    <hyperlink r:id="rId3320" ref="G2527"/>
    <hyperlink r:id="rId3321" location="id=35606&amp;action=152&amp;model=crm.lead&amp;view_type=form&amp;menu_id=111" ref="B2528"/>
    <hyperlink r:id="rId3322" ref="G2528"/>
    <hyperlink r:id="rId3323" location="id=35643&amp;action=152&amp;model=crm.lead&amp;view_type=form&amp;menu_id=111" ref="B2529"/>
    <hyperlink r:id="rId3324" ref="G2529"/>
    <hyperlink r:id="rId3325" location="id=35646&amp;action=152&amp;model=crm.lead&amp;view_type=form&amp;menu_id=111" ref="B2530"/>
    <hyperlink r:id="rId3326" ref="G2530"/>
    <hyperlink r:id="rId3327" location="id=35663&amp;action=152&amp;model=crm.lead&amp;view_type=form&amp;menu_id=111" ref="B2531"/>
    <hyperlink r:id="rId3328" ref="G2531"/>
    <hyperlink r:id="rId3329" location="id=35673&amp;action=152&amp;model=crm.lead&amp;view_type=form&amp;menu_id=111" ref="B2532"/>
    <hyperlink r:id="rId3330" ref="G2532"/>
    <hyperlink r:id="rId3331" location="id=35675&amp;action=152&amp;model=crm.lead&amp;view_type=form&amp;menu_id=111" ref="B2533"/>
    <hyperlink r:id="rId3332" ref="G2533"/>
    <hyperlink r:id="rId3333" location="id=35679&amp;action=152&amp;model=crm.lead&amp;view_type=form&amp;menu_id=111" ref="B2534"/>
    <hyperlink r:id="rId3334" ref="G2534"/>
    <hyperlink r:id="rId3335" location="id=35664&amp;action=152&amp;model=crm.lead&amp;view_type=form&amp;menu_id=111" ref="B2535"/>
    <hyperlink r:id="rId3336" location="id=35655&amp;action=152&amp;model=crm.lead&amp;view_type=form&amp;menu_id=111" ref="B2536"/>
    <hyperlink r:id="rId3337" location="id=35635&amp;action=152&amp;model=crm.lead&amp;view_type=form&amp;menu_id=111" ref="B2537"/>
    <hyperlink r:id="rId3338" ref="G2537"/>
    <hyperlink r:id="rId3339" location="id=35629&amp;action=152&amp;model=crm.lead&amp;view_type=form&amp;menu_id=111" ref="B2538"/>
    <hyperlink r:id="rId3340" location="id=35623&amp;action=152&amp;model=crm.lead&amp;view_type=form&amp;menu_id=111" ref="B2539"/>
    <hyperlink r:id="rId3341" location="id=35616&amp;action=152&amp;model=crm.lead&amp;view_type=form&amp;menu_id=111" ref="B2540"/>
    <hyperlink r:id="rId3342" ref="G2540"/>
    <hyperlink r:id="rId3343" location="id=35627&amp;action=152&amp;model=crm.lead&amp;view_type=form&amp;menu_id=111" ref="B2541"/>
    <hyperlink r:id="rId3344" location="id=35607&amp;action=152&amp;model=crm.lead&amp;view_type=form&amp;menu_id=111" ref="B2542"/>
    <hyperlink r:id="rId3345" ref="G2542"/>
    <hyperlink r:id="rId3346" location="id=35612&amp;action=152&amp;model=crm.lead&amp;view_type=form&amp;menu_id=111" ref="B2543"/>
    <hyperlink r:id="rId3347" ref="G2543"/>
    <hyperlink r:id="rId3348" location="id=35603&amp;action=152&amp;model=crm.lead&amp;view_type=form&amp;menu_id=111" ref="B2544"/>
    <hyperlink r:id="rId3349" ref="G2544"/>
    <hyperlink r:id="rId3350" location="id=35585&amp;action=152&amp;model=crm.lead&amp;view_type=form&amp;menu_id=111" ref="B2545"/>
    <hyperlink r:id="rId3351" ref="G2545"/>
    <hyperlink r:id="rId3352" location="id=35584&amp;action=152&amp;model=crm.lead&amp;view_type=form&amp;menu_id=111" ref="B2546"/>
    <hyperlink r:id="rId3353" ref="G2546"/>
    <hyperlink r:id="rId3354" location="id=35579&amp;action=152&amp;model=crm.lead&amp;view_type=form&amp;menu_id=111" ref="B2547"/>
    <hyperlink r:id="rId3355" ref="G2547"/>
    <hyperlink r:id="rId3356" location="id=35558&amp;action=152&amp;model=crm.lead&amp;view_type=form&amp;menu_id=111" ref="B2548"/>
    <hyperlink r:id="rId3357" ref="G2548"/>
    <hyperlink r:id="rId3358" location="id=35553&amp;action=152&amp;model=crm.lead&amp;view_type=form&amp;menu_id=111" ref="B2549"/>
    <hyperlink r:id="rId3359" ref="G2549"/>
    <hyperlink r:id="rId3360" location="id=35545&amp;action=152&amp;model=crm.lead&amp;view_type=form&amp;menu_id=111" ref="B2550"/>
    <hyperlink r:id="rId3361" ref="G2550"/>
    <hyperlink r:id="rId3362" location="id=35544&amp;action=152&amp;model=crm.lead&amp;view_type=form&amp;menu_id=111" ref="B2551"/>
    <hyperlink r:id="rId3363" ref="G2551"/>
    <hyperlink r:id="rId3364" location="id=35541&amp;action=152&amp;model=crm.lead&amp;view_type=form&amp;menu_id=111" ref="B2552"/>
    <hyperlink r:id="rId3365" ref="G2552"/>
    <hyperlink r:id="rId3366" location="id=35535&amp;action=152&amp;model=crm.lead&amp;view_type=form&amp;menu_id=111" ref="B2553"/>
    <hyperlink r:id="rId3367" ref="G2553"/>
    <hyperlink r:id="rId3368" location="id=35529&amp;action=152&amp;model=crm.lead&amp;view_type=form&amp;menu_id=111" ref="B2554"/>
    <hyperlink r:id="rId3369" ref="G2554"/>
    <hyperlink r:id="rId3370" location="id=35525&amp;action=152&amp;model=crm.lead&amp;view_type=form&amp;menu_id=111" ref="B2555"/>
    <hyperlink r:id="rId3371" ref="G2555"/>
    <hyperlink r:id="rId3372" location="id=35524&amp;action=152&amp;model=crm.lead&amp;view_type=form&amp;menu_id=111" ref="B2556"/>
    <hyperlink r:id="rId3373" ref="G2556"/>
    <hyperlink r:id="rId3374" location="id=35578&amp;action=152&amp;model=crm.lead&amp;view_type=form&amp;menu_id=111" ref="B2557"/>
    <hyperlink r:id="rId3375" location="id=35521&amp;action=152&amp;model=crm.lead&amp;view_type=form&amp;menu_id=111" ref="B2558"/>
    <hyperlink r:id="rId3376" location="id=35519&amp;action=152&amp;model=crm.lead&amp;view_type=form&amp;menu_id=111" ref="B2559"/>
    <hyperlink r:id="rId3377" ref="G2559"/>
    <hyperlink r:id="rId3378" location="id=35515&amp;action=152&amp;model=crm.lead&amp;view_type=form&amp;menu_id=111" ref="B2560"/>
    <hyperlink r:id="rId3379" ref="G2560"/>
    <hyperlink r:id="rId3380" location="id=35510&amp;action=152&amp;model=crm.lead&amp;view_type=form&amp;menu_id=111" ref="B2561"/>
    <hyperlink r:id="rId3381" ref="G2561"/>
    <hyperlink r:id="rId3382" location="id=35463&amp;action=152&amp;model=crm.lead&amp;view_type=form&amp;menu_id=111" ref="B2562"/>
    <hyperlink r:id="rId3383" ref="G2562"/>
    <hyperlink r:id="rId3384" location="id=35497&amp;action=152&amp;model=crm.lead&amp;view_type=form&amp;menu_id=111" ref="B2563"/>
    <hyperlink r:id="rId3385" ref="G2563"/>
    <hyperlink r:id="rId3386" location="id=35486&amp;action=152&amp;model=crm.lead&amp;view_type=form&amp;menu_id=111" ref="B2564"/>
    <hyperlink r:id="rId3387" ref="G2564"/>
    <hyperlink r:id="rId3388" location="id=35502&amp;action=152&amp;model=crm.lead&amp;view_type=form&amp;menu_id=111" ref="B2565"/>
    <hyperlink r:id="rId3389" ref="G2565"/>
    <hyperlink r:id="rId3390" location="id=35503&amp;action=152&amp;model=crm.lead&amp;view_type=form&amp;menu_id=111" ref="B2566"/>
    <hyperlink r:id="rId3391" ref="G2566"/>
    <hyperlink r:id="rId3392" location="id=35506&amp;action=152&amp;model=crm.lead&amp;view_type=form&amp;menu_id=111" ref="B2567"/>
    <hyperlink r:id="rId3393" ref="G2567"/>
    <hyperlink r:id="rId3394" location="id=35490&amp;action=152&amp;model=crm.lead&amp;view_type=form&amp;menu_id=111" ref="B2568"/>
    <hyperlink r:id="rId3395" ref="G2568"/>
    <hyperlink r:id="rId3396" location="id=35487&amp;action=152&amp;model=crm.lead&amp;view_type=form&amp;menu_id=111" ref="B2569"/>
    <hyperlink r:id="rId3397" location="id=35483&amp;action=152&amp;model=crm.lead&amp;view_type=form&amp;menu_id=111" ref="B2570"/>
    <hyperlink r:id="rId3398" ref="G2570"/>
    <hyperlink r:id="rId3399" location="id=35485&amp;action=152&amp;model=crm.lead&amp;view_type=form&amp;menu_id=111" ref="B2571"/>
    <hyperlink r:id="rId3400" ref="G2571"/>
    <hyperlink r:id="rId3401" location="id=35471&amp;action=152&amp;model=crm.lead&amp;view_type=form&amp;menu_id=111" ref="B2572"/>
    <hyperlink r:id="rId3402" location="id=35470&amp;action=152&amp;model=crm.lead&amp;view_type=form&amp;menu_id=111" ref="B2573"/>
    <hyperlink r:id="rId3403" location="id=35472&amp;action=152&amp;model=crm.lead&amp;view_type=form&amp;menu_id=111" ref="B2574"/>
    <hyperlink r:id="rId3404" location="id=35459&amp;action=152&amp;model=crm.lead&amp;view_type=form&amp;menu_id=111" ref="B2575"/>
    <hyperlink r:id="rId3405" ref="G2575"/>
    <hyperlink r:id="rId3406" location="id=35461&amp;action=152&amp;model=crm.lead&amp;view_type=form&amp;menu_id=111" ref="B2576"/>
    <hyperlink r:id="rId3407" ref="G2576"/>
    <hyperlink r:id="rId3408" location="id=35456&amp;action=152&amp;model=crm.lead&amp;view_type=form&amp;menu_id=111" ref="B2577"/>
    <hyperlink r:id="rId3409" ref="G2577"/>
    <hyperlink r:id="rId3410" location="id=35453&amp;action=152&amp;model=crm.lead&amp;view_type=form&amp;menu_id=111" ref="B2578"/>
    <hyperlink r:id="rId3411" ref="G2578"/>
    <hyperlink r:id="rId3412" location="id=35448&amp;action=152&amp;model=crm.lead&amp;view_type=form&amp;menu_id=111" ref="B2579"/>
    <hyperlink r:id="rId3413" ref="G2579"/>
    <hyperlink r:id="rId3414" location="id=35447&amp;action=152&amp;model=crm.lead&amp;view_type=form&amp;menu_id=111" ref="B2580"/>
    <hyperlink r:id="rId3415" ref="G2580"/>
    <hyperlink r:id="rId3416" location="id=35460&amp;action=152&amp;model=crm.lead&amp;view_type=form&amp;menu_id=111" ref="B2581"/>
    <hyperlink r:id="rId3417" location="id=35455&amp;action=152&amp;model=crm.lead&amp;view_type=form&amp;menu_id=111" ref="B2582"/>
    <hyperlink r:id="rId3418" ref="G2582"/>
    <hyperlink r:id="rId3419" location="id=35432&amp;action=152&amp;model=crm.lead&amp;view_type=form&amp;menu_id=111" ref="B2583"/>
    <hyperlink r:id="rId3420" ref="G2583"/>
    <hyperlink r:id="rId3421" location="id=35439&amp;action=152&amp;model=crm.lead&amp;view_type=form&amp;menu_id=111" ref="B2584"/>
    <hyperlink r:id="rId3422" ref="G2584"/>
    <hyperlink r:id="rId3423" location="id=35411&amp;action=152&amp;model=crm.lead&amp;view_type=form&amp;menu_id=111" ref="B2585"/>
    <hyperlink r:id="rId3424" location="id=35400&amp;action=152&amp;model=crm.lead&amp;view_type=form&amp;menu_id=111" ref="B2586"/>
    <hyperlink r:id="rId3425" ref="G2586"/>
    <hyperlink r:id="rId3426" location="id=35392&amp;action=152&amp;model=crm.lead&amp;view_type=form&amp;menu_id=111" ref="B2587"/>
    <hyperlink r:id="rId3427" ref="G2587"/>
    <hyperlink r:id="rId3428" location="id=35391&amp;action=152&amp;model=crm.lead&amp;view_type=form&amp;menu_id=111" ref="B2588"/>
    <hyperlink r:id="rId3429" ref="G2588"/>
    <hyperlink r:id="rId3430" location="id=35409&amp;action=152&amp;model=crm.lead&amp;view_type=form&amp;menu_id=111" ref="B2589"/>
    <hyperlink r:id="rId3431" location="id=35416&amp;action=152&amp;model=crm.lead&amp;view_type=form&amp;menu_id=111" ref="B2590"/>
    <hyperlink r:id="rId3432" ref="G2590"/>
    <hyperlink r:id="rId3433" location="id=35398&amp;action=152&amp;model=crm.lead&amp;view_type=form&amp;menu_id=111" ref="B2591"/>
    <hyperlink r:id="rId3434" ref="G2591"/>
    <hyperlink r:id="rId3435" location="id=35372&amp;action=152&amp;model=crm.lead&amp;view_type=form&amp;menu_id=111" ref="B2592"/>
    <hyperlink r:id="rId3436" location="id=35366&amp;action=152&amp;model=crm.lead&amp;view_type=form&amp;menu_id=111" ref="B2593"/>
    <hyperlink r:id="rId3437" ref="G2593"/>
    <hyperlink r:id="rId3438" location="id=35386&amp;action=152&amp;model=crm.lead&amp;view_type=form&amp;menu_id=111" ref="B2594"/>
    <hyperlink r:id="rId3439" location="id=35342&amp;action=152&amp;model=crm.lead&amp;view_type=form&amp;menu_id=111" ref="B2595"/>
    <hyperlink r:id="rId3440" ref="G2595"/>
    <hyperlink r:id="rId3441" location="id=35355&amp;action=152&amp;model=crm.lead&amp;view_type=form&amp;menu_id=111" ref="B2596"/>
    <hyperlink r:id="rId3442" ref="G2596"/>
    <hyperlink r:id="rId3443" location="id=35298&amp;action=152&amp;model=crm.lead&amp;view_type=form&amp;menu_id=111" ref="B2597"/>
    <hyperlink r:id="rId3444" ref="G2597"/>
    <hyperlink r:id="rId3445" location="id=35301&amp;action=152&amp;model=crm.lead&amp;view_type=form&amp;menu_id=111" ref="B2598"/>
    <hyperlink r:id="rId3446" ref="G2598"/>
    <hyperlink r:id="rId3447" location="id=35307&amp;action=152&amp;model=crm.lead&amp;view_type=form&amp;menu_id=111" ref="B2599"/>
    <hyperlink r:id="rId3448" location="id=35312&amp;action=152&amp;model=crm.lead&amp;view_type=form&amp;menu_id=111" ref="B2600"/>
    <hyperlink r:id="rId3449" location="id=35330&amp;action=152&amp;model=crm.lead&amp;view_type=form&amp;menu_id=111" ref="B2601"/>
    <hyperlink r:id="rId3450" location="id=35328&amp;action=152&amp;model=crm.lead&amp;view_type=form&amp;menu_id=111" ref="B2602"/>
    <hyperlink r:id="rId3451" location="id=35322&amp;action=152&amp;model=crm.lead&amp;view_type=form&amp;menu_id=111" ref="B2603"/>
    <hyperlink r:id="rId3452" location="id=35282&amp;action=152&amp;model=crm.lead&amp;view_type=form&amp;menu_id=111" ref="B2604"/>
    <hyperlink r:id="rId3453" ref="G2604"/>
    <hyperlink r:id="rId3454" location="id=35276&amp;action=152&amp;model=crm.lead&amp;view_type=form&amp;menu_id=111" ref="B2605"/>
    <hyperlink r:id="rId3455" location="id=35271&amp;action=152&amp;model=crm.lead&amp;view_type=form&amp;menu_id=111" ref="B2606"/>
    <hyperlink r:id="rId3456" ref="G2606"/>
    <hyperlink r:id="rId3457" location="id=35263&amp;action=152&amp;model=crm.lead&amp;view_type=form&amp;menu_id=111" ref="B2607"/>
    <hyperlink r:id="rId3458" ref="G2607"/>
    <hyperlink r:id="rId3459" location="id=35260&amp;action=152&amp;model=crm.lead&amp;view_type=form&amp;menu_id=111" ref="B2608"/>
    <hyperlink r:id="rId3460" ref="G2608"/>
    <hyperlink r:id="rId3461" location="id=35258&amp;action=152&amp;model=crm.lead&amp;view_type=form&amp;menu_id=111" ref="B2609"/>
    <hyperlink r:id="rId3462" ref="G2609"/>
    <hyperlink r:id="rId3463" location="id=35255&amp;action=152&amp;model=crm.lead&amp;view_type=form&amp;menu_id=111" ref="B2610"/>
    <hyperlink r:id="rId3464" ref="G2610"/>
    <hyperlink r:id="rId3465" location="id=35253&amp;action=152&amp;model=crm.lead&amp;view_type=form&amp;menu_id=111" ref="B2611"/>
    <hyperlink r:id="rId3466" ref="G2611"/>
    <hyperlink r:id="rId3467" location="id=35245&amp;action=152&amp;model=crm.lead&amp;view_type=form&amp;menu_id=111" ref="B2612"/>
    <hyperlink r:id="rId3468" ref="G2612"/>
    <hyperlink r:id="rId3469" location="id=35244&amp;action=152&amp;model=crm.lead&amp;view_type=form&amp;menu_id=111" ref="B2613"/>
    <hyperlink r:id="rId3470" ref="G2613"/>
    <hyperlink r:id="rId3471" location="id=35229&amp;action=152&amp;model=crm.lead&amp;view_type=form&amp;menu_id=111" ref="B2614"/>
    <hyperlink r:id="rId3472" ref="G2614"/>
    <hyperlink r:id="rId3473" location="id=35224&amp;action=152&amp;model=crm.lead&amp;view_type=form&amp;menu_id=111" ref="B2615"/>
    <hyperlink r:id="rId3474" location="id=35223&amp;action=152&amp;model=crm.lead&amp;view_type=form&amp;menu_id=111" ref="B2616"/>
    <hyperlink r:id="rId3475" location="id=35199&amp;action=152&amp;model=crm.lead&amp;view_type=form&amp;menu_id=111" ref="B2617"/>
    <hyperlink r:id="rId3476" ref="G2617"/>
    <hyperlink r:id="rId3477" location="id=35209&amp;action=152&amp;model=crm.lead&amp;view_type=form&amp;menu_id=111" ref="B2618"/>
    <hyperlink r:id="rId3478" ref="G2618"/>
    <hyperlink r:id="rId3479" location="id=35210&amp;action=152&amp;model=crm.lead&amp;view_type=form&amp;menu_id=111" ref="B2619"/>
    <hyperlink r:id="rId3480" ref="G2619"/>
    <hyperlink r:id="rId3481" location="id=35211&amp;action=152&amp;model=crm.lead&amp;view_type=form&amp;menu_id=111" ref="B2620"/>
    <hyperlink r:id="rId3482" ref="G2620"/>
    <hyperlink r:id="rId3483" location="id=35214&amp;action=152&amp;model=crm.lead&amp;view_type=form&amp;menu_id=111" ref="B2621"/>
    <hyperlink r:id="rId3484" ref="G2621"/>
    <hyperlink r:id="rId3485" location="id=35219&amp;action=152&amp;model=crm.lead&amp;view_type=form&amp;menu_id=111" ref="B2622"/>
    <hyperlink r:id="rId3486" ref="G2622"/>
    <hyperlink r:id="rId3487" location="id=35195&amp;action=152&amp;model=crm.lead&amp;view_type=form&amp;menu_id=111" ref="B2623"/>
    <hyperlink r:id="rId3488" ref="G2623"/>
    <hyperlink r:id="rId3489" location="id=35189&amp;action=152&amp;model=crm.lead&amp;view_type=form&amp;menu_id=111" ref="B2624"/>
    <hyperlink r:id="rId3490" ref="G2624"/>
    <hyperlink r:id="rId3491" location="id=35156&amp;action=152&amp;model=crm.lead&amp;view_type=form&amp;menu_id=111" ref="B2625"/>
    <hyperlink r:id="rId3492" ref="G2625"/>
    <hyperlink r:id="rId3493" location="id=35155&amp;action=152&amp;model=crm.lead&amp;view_type=form&amp;menu_id=111" ref="B2626"/>
    <hyperlink r:id="rId3494" ref="G2626"/>
    <hyperlink r:id="rId3495" location="id=35148&amp;action=152&amp;model=crm.lead&amp;view_type=form&amp;menu_id=111" ref="B2627"/>
    <hyperlink r:id="rId3496" ref="G2627"/>
    <hyperlink r:id="rId3497" location="id=35167&amp;action=152&amp;model=crm.lead&amp;view_type=form&amp;menu_id=111" ref="B2628"/>
    <hyperlink r:id="rId3498" ref="G2628"/>
    <hyperlink r:id="rId3499" location="id=35170&amp;action=152&amp;model=crm.lead&amp;view_type=form&amp;menu_id=111" ref="B2629"/>
    <hyperlink r:id="rId3500" ref="G2629"/>
    <hyperlink r:id="rId3501" location="id=35173&amp;action=152&amp;model=crm.lead&amp;view_type=form&amp;menu_id=111" ref="B2630"/>
    <hyperlink r:id="rId3502" ref="G2630"/>
    <hyperlink r:id="rId3503" location="id=35170&amp;action=152&amp;model=crm.lead&amp;view_type=form&amp;menu_id=111" ref="B2631"/>
    <hyperlink r:id="rId3504" ref="G2631"/>
    <hyperlink r:id="rId3505" location="id=35144&amp;action=152&amp;model=crm.lead&amp;view_type=form&amp;menu_id=111" ref="B2632"/>
    <hyperlink r:id="rId3506" ref="G2632"/>
    <hyperlink r:id="rId3507" location="id=35139&amp;action=152&amp;model=crm.lead&amp;view_type=form&amp;menu_id=111" ref="B2633"/>
    <hyperlink r:id="rId3508" ref="G2633"/>
    <hyperlink r:id="rId3509" location="id=35133&amp;action=152&amp;model=crm.lead&amp;view_type=form&amp;menu_id=111" ref="B2634"/>
    <hyperlink r:id="rId3510" ref="G2634"/>
    <hyperlink r:id="rId3511" location="id=35132&amp;action=152&amp;model=crm.lead&amp;view_type=form&amp;menu_id=111" ref="B2635"/>
    <hyperlink r:id="rId3512" ref="G2635"/>
    <hyperlink r:id="rId3513" location="id=35129&amp;action=152&amp;model=crm.lead&amp;view_type=form&amp;menu_id=111" ref="B2636"/>
    <hyperlink r:id="rId3514" ref="G2636"/>
    <hyperlink r:id="rId3515" location="id=35125&amp;action=152&amp;model=crm.lead&amp;view_type=form&amp;menu_id=111" ref="B2637"/>
    <hyperlink r:id="rId3516" ref="G2637"/>
    <hyperlink r:id="rId3517" location="id=35124&amp;action=152&amp;model=crm.lead&amp;view_type=form&amp;menu_id=111" ref="B2638"/>
    <hyperlink r:id="rId3518" ref="G2638"/>
    <hyperlink r:id="rId3519" location="id=35123&amp;action=152&amp;model=crm.lead&amp;view_type=form&amp;menu_id=111" ref="B2639"/>
    <hyperlink r:id="rId3520" location="id=35122&amp;action=152&amp;model=crm.lead&amp;view_type=form&amp;menu_id=111" ref="B2640"/>
    <hyperlink r:id="rId3521" ref="G2640"/>
    <hyperlink r:id="rId3522" location="id=35118&amp;action=152&amp;model=crm.lead&amp;view_type=form&amp;menu_id=111" ref="B2641"/>
    <hyperlink r:id="rId3523" ref="G2641"/>
    <hyperlink r:id="rId3524" location="id=35114&amp;action=152&amp;model=crm.lead&amp;view_type=form&amp;menu_id=111" ref="B2642"/>
    <hyperlink r:id="rId3525" ref="G2642"/>
    <hyperlink r:id="rId3526" location="id=35111&amp;action=152&amp;model=crm.lead&amp;view_type=form&amp;menu_id=111" ref="B2643"/>
    <hyperlink r:id="rId3527" ref="G2643"/>
    <hyperlink r:id="rId3528" location="id=34984&amp;action=152&amp;model=crm.lead&amp;view_type=form&amp;menu_id=111" ref="B2644"/>
    <hyperlink r:id="rId3529" ref="G2644"/>
    <hyperlink r:id="rId3530" location="id=35103&amp;action=152&amp;model=crm.lead&amp;view_type=form&amp;menu_id=111" ref="B2645"/>
    <hyperlink r:id="rId3531" ref="G2645"/>
    <hyperlink r:id="rId3532" location="id=35104&amp;action=152&amp;model=crm.lead&amp;view_type=form&amp;menu_id=111" ref="B2646"/>
    <hyperlink r:id="rId3533" ref="G2646"/>
    <hyperlink r:id="rId3534" location="id=35095&amp;action=152&amp;model=crm.lead&amp;view_type=form&amp;menu_id=111" ref="B2647"/>
    <hyperlink r:id="rId3535" ref="G2647"/>
    <hyperlink r:id="rId3536" location="id=35093&amp;action=152&amp;model=crm.lead&amp;view_type=form&amp;menu_id=111" ref="B2648"/>
    <hyperlink r:id="rId3537" ref="G2648"/>
    <hyperlink r:id="rId3538" location="id=35099&amp;action=152&amp;model=crm.lead&amp;view_type=form&amp;menu_id=111" ref="B2649"/>
    <hyperlink r:id="rId3539" ref="G2649"/>
    <hyperlink r:id="rId3540" location="id=35096&amp;action=152&amp;model=crm.lead&amp;view_type=form&amp;menu_id=111" ref="B2650"/>
    <hyperlink r:id="rId3541" ref="G2650"/>
    <hyperlink r:id="rId3542" location="id=35083&amp;action=152&amp;model=crm.lead&amp;view_type=form&amp;menu_id=111" ref="B2651"/>
    <hyperlink r:id="rId3543" location="id=35062&amp;action=152&amp;model=crm.lead&amp;view_type=form&amp;menu_id=111" ref="B2652"/>
    <hyperlink r:id="rId3544" ref="G2652"/>
    <hyperlink r:id="rId3545" location="id=35055&amp;action=152&amp;model=crm.lead&amp;view_type=form&amp;menu_id=111" ref="B2653"/>
    <hyperlink r:id="rId3546" ref="G2653"/>
    <hyperlink r:id="rId3547" location="id=35053&amp;action=152&amp;model=crm.lead&amp;view_type=form&amp;menu_id=111" ref="B2654"/>
    <hyperlink r:id="rId3548" ref="G2654"/>
    <hyperlink r:id="rId3549" location="id=35051&amp;action=152&amp;model=crm.lead&amp;view_type=form&amp;menu_id=111" ref="B2655"/>
    <hyperlink r:id="rId3550" ref="G2655"/>
    <hyperlink r:id="rId3551" location="id=35028&amp;action=152&amp;model=crm.lead&amp;view_type=form&amp;menu_id=111" ref="B2656"/>
    <hyperlink r:id="rId3552" ref="G2656"/>
    <hyperlink r:id="rId3553" location="id=34955&amp;action=152&amp;model=crm.lead&amp;view_type=form&amp;menu_id=111" ref="B2657"/>
    <hyperlink r:id="rId3554" ref="G2657"/>
    <hyperlink r:id="rId3555" location="id=34868&amp;action=152&amp;model=crm.lead&amp;view_type=form&amp;menu_id=111" ref="B2658"/>
    <hyperlink r:id="rId3556" ref="G2658"/>
    <hyperlink r:id="rId3557" location="id=35045&amp;action=152&amp;model=crm.lead&amp;view_type=form&amp;menu_id=111" ref="B2659"/>
    <hyperlink r:id="rId3558" location="id=35043&amp;action=152&amp;model=crm.lead&amp;view_type=form&amp;menu_id=111" ref="B2660"/>
    <hyperlink r:id="rId3559" location="id=35042&amp;action=152&amp;model=crm.lead&amp;view_type=form&amp;menu_id=111" ref="B2661"/>
    <hyperlink r:id="rId3560" location="id=34893&amp;action=152&amp;model=crm.lead&amp;view_type=form&amp;menu_id=111" ref="B2662"/>
    <hyperlink r:id="rId3561" location="id=35032&amp;action=152&amp;model=crm.lead&amp;view_type=form&amp;menu_id=111" ref="B2663"/>
    <hyperlink r:id="rId3562" ref="G2663"/>
    <hyperlink r:id="rId3563" location="id=35010&amp;action=152&amp;model=crm.lead&amp;view_type=form&amp;menu_id=111" ref="B2664"/>
    <hyperlink r:id="rId3564" ref="G2664"/>
    <hyperlink r:id="rId3565" location="id=35005&amp;action=152&amp;model=crm.lead&amp;view_type=form&amp;menu_id=111" ref="B2665"/>
    <hyperlink r:id="rId3566" ref="G2665"/>
    <hyperlink r:id="rId3567" location="id=34993&amp;action=152&amp;model=crm.lead&amp;view_type=form&amp;menu_id=111" ref="B2666"/>
    <hyperlink r:id="rId3568" ref="G2666"/>
    <hyperlink r:id="rId3569" location="id=34982&amp;action=152&amp;model=crm.lead&amp;view_type=form&amp;menu_id=111" ref="B2667"/>
    <hyperlink r:id="rId3570" ref="G2667"/>
    <hyperlink r:id="rId3571" location="id=34979&amp;action=152&amp;model=crm.lead&amp;view_type=form&amp;menu_id=111" ref="B2668"/>
    <hyperlink r:id="rId3572" ref="G2668"/>
    <hyperlink r:id="rId3573" location="id=34962&amp;action=152&amp;model=crm.lead&amp;view_type=form&amp;menu_id=111" ref="B2669"/>
    <hyperlink r:id="rId3574" ref="G2669"/>
    <hyperlink r:id="rId3575" location="id=34971&amp;action=152&amp;model=crm.lead&amp;view_type=form&amp;menu_id=111" ref="B2670"/>
    <hyperlink r:id="rId3576" ref="G2670"/>
    <hyperlink r:id="rId3577" location="id=34957&amp;action=152&amp;model=crm.lead&amp;view_type=form&amp;menu_id=111" ref="B2671"/>
    <hyperlink r:id="rId3578" ref="G2671"/>
    <hyperlink r:id="rId3579" location="id=34948&amp;action=152&amp;model=crm.lead&amp;view_type=form&amp;menu_id=111" ref="B2672"/>
    <hyperlink r:id="rId3580" ref="G2672"/>
    <hyperlink r:id="rId3581" location="id=34942&amp;action=152&amp;model=crm.lead&amp;view_type=form&amp;menu_id=111" ref="B2673"/>
    <hyperlink r:id="rId3582" ref="G2673"/>
    <hyperlink r:id="rId3583" location="id=34937&amp;action=152&amp;model=crm.lead&amp;view_type=form&amp;menu_id=111" ref="B2674"/>
    <hyperlink r:id="rId3584" ref="G2674"/>
    <hyperlink r:id="rId3585" location="id=34911&amp;action=152&amp;model=crm.lead&amp;view_type=form&amp;menu_id=111" ref="B2675"/>
    <hyperlink r:id="rId3586" ref="G2675"/>
    <hyperlink r:id="rId3587" location="id=34914&amp;action=152&amp;model=crm.lead&amp;view_type=form&amp;menu_id=111" ref="B2676"/>
    <hyperlink r:id="rId3588" location="id=34895&amp;action=152&amp;model=crm.lead&amp;view_type=form&amp;menu_id=111" ref="B2677"/>
    <hyperlink r:id="rId3589" location="id=34908&amp;action=152&amp;model=crm.lead&amp;view_type=form&amp;menu_id=111" ref="B2678"/>
    <hyperlink r:id="rId3590" ref="S2678"/>
    <hyperlink r:id="rId3591" location="id=34881&amp;action=152&amp;model=crm.lead&amp;view_type=form&amp;menu_id=111" ref="B2679"/>
    <hyperlink r:id="rId3592" ref="G2679"/>
    <hyperlink r:id="rId3593" location="id=34888&amp;action=152&amp;model=crm.lead&amp;view_type=form&amp;menu_id=111" ref="B2680"/>
    <hyperlink r:id="rId3594" ref="G2680"/>
    <hyperlink r:id="rId3595" location="id=34892&amp;action=152&amp;model=crm.lead&amp;view_type=form&amp;menu_id=111" ref="B2681"/>
    <hyperlink r:id="rId3596" ref="G2681"/>
    <hyperlink r:id="rId3597" location="id=34841&amp;action=152&amp;model=crm.lead&amp;view_type=form&amp;menu_id=111" ref="B2682"/>
    <hyperlink r:id="rId3598" location="id=34875&amp;action=152&amp;model=crm.lead&amp;view_type=form&amp;menu_id=111" ref="B2683"/>
    <hyperlink r:id="rId3599" location="id=34871&amp;action=152&amp;model=crm.lead&amp;view_type=form&amp;menu_id=111" ref="B2684"/>
    <hyperlink r:id="rId3600" ref="G2684"/>
    <hyperlink r:id="rId3601" location="id=34865&amp;action=152&amp;model=crm.lead&amp;view_type=form&amp;menu_id=111" ref="B2685"/>
    <hyperlink r:id="rId3602" ref="G2685"/>
    <hyperlink r:id="rId3603" location="id=34864&amp;action=152&amp;model=crm.lead&amp;view_type=form&amp;menu_id=111" ref="B2686"/>
    <hyperlink r:id="rId3604" location="id=34840&amp;action=152&amp;model=crm.lead&amp;view_type=form&amp;menu_id=111" ref="B2687"/>
    <hyperlink r:id="rId3605" location="id=34787&amp;action=152&amp;model=crm.lead&amp;view_type=form&amp;menu_id=111" ref="B2688"/>
    <hyperlink r:id="rId3606" ref="G2688"/>
    <hyperlink r:id="rId3607" location="id=34826&amp;action=152&amp;model=crm.lead&amp;view_type=form&amp;menu_id=111" ref="B2689"/>
    <hyperlink r:id="rId3608" ref="G2689"/>
    <hyperlink r:id="rId3609" location="id=34835&amp;action=152&amp;model=crm.lead&amp;view_type=form&amp;menu_id=111" ref="B2690"/>
    <hyperlink r:id="rId3610" location="id=34832&amp;action=152&amp;model=crm.lead&amp;view_type=form&amp;menu_id=111" ref="B2691"/>
    <hyperlink r:id="rId3611" location="id=34813&amp;action=152&amp;model=crm.lead&amp;view_type=form&amp;menu_id=111" ref="B2692"/>
    <hyperlink r:id="rId3612" ref="G2692"/>
    <hyperlink r:id="rId3613" location="id=34820&amp;action=152&amp;model=crm.lead&amp;view_type=form&amp;menu_id=111" ref="B2693"/>
    <hyperlink r:id="rId3614" location="id=34753&amp;action=152&amp;model=crm.lead&amp;view_type=form&amp;menu_id=111" ref="B2694"/>
    <hyperlink r:id="rId3615" location="id=34817&amp;action=152&amp;model=crm.lead&amp;view_type=form&amp;menu_id=111" ref="B2695"/>
    <hyperlink r:id="rId3616" location="id=34802&amp;action=152&amp;model=crm.lead&amp;view_type=form&amp;menu_id=111" ref="B2696"/>
    <hyperlink r:id="rId3617" ref="G2696"/>
    <hyperlink r:id="rId3618" location="id=34785&amp;action=152&amp;model=crm.lead&amp;view_type=form&amp;menu_id=111" ref="B2697"/>
    <hyperlink r:id="rId3619" ref="G2697"/>
    <hyperlink r:id="rId3620" location="id=34731&amp;action=152&amp;model=crm.lead&amp;view_type=form&amp;menu_id=111" ref="B2698"/>
    <hyperlink r:id="rId3621" ref="G2698"/>
    <hyperlink r:id="rId3622" location="id=34733&amp;action=152&amp;model=crm.lead&amp;view_type=form&amp;menu_id=111" ref="B2699"/>
    <hyperlink r:id="rId3623" ref="G2699"/>
    <hyperlink r:id="rId3624" location="id=34784&amp;action=152&amp;model=crm.lead&amp;view_type=form&amp;menu_id=111" ref="B2700"/>
    <hyperlink r:id="rId3625" ref="G2700"/>
    <hyperlink r:id="rId3626" location="id=34791&amp;action=152&amp;model=crm.lead&amp;view_type=form&amp;menu_id=111" ref="B2701"/>
    <hyperlink r:id="rId3627" location="id=34755&amp;action=152&amp;model=crm.lead&amp;view_type=form&amp;menu_id=111" ref="B2702"/>
    <hyperlink r:id="rId3628" ref="G2702"/>
    <hyperlink r:id="rId3629" location="id=34780&amp;action=152&amp;model=crm.lead&amp;view_type=form&amp;menu_id=111" ref="B2703"/>
    <hyperlink r:id="rId3630" ref="G2703"/>
    <hyperlink r:id="rId3631" location="id=34729&amp;action=152&amp;model=crm.lead&amp;view_type=form&amp;menu_id=111" ref="B2704"/>
    <hyperlink r:id="rId3632" ref="G2704"/>
    <hyperlink r:id="rId3633" location="id=34740&amp;action=152&amp;model=crm.lead&amp;view_type=form&amp;menu_id=111" ref="B2705"/>
    <hyperlink r:id="rId3634" location="id=34727&amp;action=152&amp;model=crm.lead&amp;view_type=form&amp;menu_id=111" ref="B2706"/>
    <hyperlink r:id="rId3635" location="id=34714&amp;action=152&amp;model=crm.lead&amp;view_type=form&amp;menu_id=111" ref="B2707"/>
    <hyperlink r:id="rId3636" ref="G2707"/>
    <hyperlink r:id="rId3637" location="id=34720&amp;action=152&amp;model=crm.lead&amp;view_type=form&amp;menu_id=111" ref="B2708"/>
    <hyperlink r:id="rId3638" ref="G2708"/>
    <hyperlink r:id="rId3639" location="id=34721&amp;action=152&amp;model=crm.lead&amp;view_type=form&amp;menu_id=111" ref="B2709"/>
    <hyperlink r:id="rId3640" ref="G2709"/>
    <hyperlink r:id="rId3641" location="id=34722&amp;action=152&amp;model=crm.lead&amp;view_type=form&amp;menu_id=111" ref="B2710"/>
    <hyperlink r:id="rId3642" ref="G2710"/>
    <hyperlink r:id="rId3643" location="id=34675&amp;action=152&amp;model=crm.lead&amp;view_type=form&amp;menu_id=111" ref="B2711"/>
    <hyperlink r:id="rId3644" ref="G2711"/>
    <hyperlink r:id="rId3645" location="id=34707&amp;action=152&amp;model=crm.lead&amp;view_type=form&amp;menu_id=111" ref="B2712"/>
    <hyperlink r:id="rId3646" ref="G2712"/>
    <hyperlink r:id="rId3647" location="id=34692&amp;action=152&amp;model=crm.lead&amp;view_type=form&amp;menu_id=111" ref="B2713"/>
    <hyperlink r:id="rId3648" ref="G2713"/>
    <hyperlink r:id="rId3649" location="id=34660&amp;action=152&amp;model=crm.lead&amp;view_type=form&amp;menu_id=111" ref="B2714"/>
    <hyperlink r:id="rId3650" ref="G2714"/>
    <hyperlink r:id="rId3651" location="id=34618&amp;action=152&amp;model=crm.lead&amp;view_type=form&amp;menu_id=111" ref="B2715"/>
    <hyperlink r:id="rId3652" ref="G2715"/>
    <hyperlink r:id="rId3653" location="id=34658&amp;action=152&amp;model=crm.lead&amp;view_type=form&amp;menu_id=111" ref="B2716"/>
    <hyperlink r:id="rId3654" ref="G2716"/>
    <hyperlink r:id="rId3655" location="id=34654&amp;action=152&amp;model=crm.lead&amp;view_type=form&amp;menu_id=111" ref="B2717"/>
    <hyperlink r:id="rId3656" location="id=34631&amp;action=152&amp;model=crm.lead&amp;view_type=form&amp;menu_id=111" ref="B2718"/>
    <hyperlink r:id="rId3657" ref="G2718"/>
    <hyperlink r:id="rId3658" location="id=34636&amp;action=152&amp;model=crm.lead&amp;view_type=form&amp;menu_id=111" ref="B2719"/>
    <hyperlink r:id="rId3659" ref="G2719"/>
    <hyperlink r:id="rId3660" location="id=34638&amp;action=152&amp;model=crm.lead&amp;view_type=form&amp;menu_id=111" ref="B2720"/>
    <hyperlink r:id="rId3661" ref="G2720"/>
    <hyperlink r:id="rId3662" location="id=34653&amp;action=152&amp;model=crm.lead&amp;view_type=form&amp;menu_id=111" ref="B2721"/>
    <hyperlink r:id="rId3663" ref="G2721"/>
    <hyperlink r:id="rId3664" location="id=34649&amp;action=152&amp;model=crm.lead&amp;view_type=form&amp;menu_id=111" ref="B2722"/>
    <hyperlink r:id="rId3665" ref="G2722"/>
    <hyperlink r:id="rId3666" location="id=34633&amp;action=152&amp;model=crm.lead&amp;view_type=form&amp;menu_id=111" ref="B2723"/>
    <hyperlink r:id="rId3667" ref="G2723"/>
    <hyperlink r:id="rId3668" location="id=34628&amp;action=152&amp;model=crm.lead&amp;view_type=form&amp;menu_id=111" ref="B2724"/>
    <hyperlink r:id="rId3669" ref="G2724"/>
    <hyperlink r:id="rId3670" location="id=34615&amp;action=152&amp;model=crm.lead&amp;view_type=form&amp;menu_id=111" ref="B2725"/>
    <hyperlink r:id="rId3671" location="id=34604&amp;action=152&amp;model=crm.lead&amp;view_type=form&amp;menu_id=111" ref="B2726"/>
    <hyperlink r:id="rId3672" ref="G2726"/>
    <hyperlink r:id="rId3673" location="id=34608&amp;action=152&amp;model=crm.lead&amp;view_type=form&amp;menu_id=111" ref="B2727"/>
    <hyperlink r:id="rId3674" ref="G2727"/>
    <hyperlink r:id="rId3675" location="id=34587&amp;action=152&amp;model=crm.lead&amp;view_type=form&amp;menu_id=111" ref="B2728"/>
    <hyperlink r:id="rId3676" ref="G2728"/>
    <hyperlink r:id="rId3677" location="id=34588&amp;action=152&amp;model=crm.lead&amp;view_type=form&amp;menu_id=111" ref="B2729"/>
    <hyperlink r:id="rId3678" ref="G2729"/>
    <hyperlink r:id="rId3679" location="id=34596&amp;action=152&amp;model=crm.lead&amp;view_type=form&amp;menu_id=111" ref="B2730"/>
    <hyperlink r:id="rId3680" ref="G2730"/>
    <hyperlink r:id="rId3681" location="id=34594&amp;action=152&amp;model=crm.lead&amp;view_type=form&amp;menu_id=111" ref="B2731"/>
    <hyperlink r:id="rId3682" ref="G2731"/>
    <hyperlink r:id="rId3683" location="id=34598&amp;action=152&amp;model=crm.lead&amp;view_type=form&amp;menu_id=111" ref="B2732"/>
    <hyperlink r:id="rId3684" ref="G2732"/>
    <hyperlink r:id="rId3685" location="id=34539&amp;action=152&amp;model=crm.lead&amp;view_type=form&amp;menu_id=111" ref="B2733"/>
    <hyperlink r:id="rId3686" location="id=34558&amp;action=152&amp;model=crm.lead&amp;view_type=form&amp;menu_id=111" ref="B2734"/>
    <hyperlink r:id="rId3687" ref="G2734"/>
    <hyperlink r:id="rId3688" location="id=34564&amp;action=152&amp;model=crm.lead&amp;view_type=form&amp;menu_id=111" ref="B2735"/>
    <hyperlink r:id="rId3689" ref="G2735"/>
    <hyperlink r:id="rId3690" location="id=34565&amp;action=152&amp;model=crm.lead&amp;view_type=form&amp;menu_id=111" ref="B2736"/>
    <hyperlink r:id="rId3691" ref="G2736"/>
    <hyperlink r:id="rId3692" location="id=34553&amp;action=152&amp;model=crm.lead&amp;view_type=form&amp;menu_id=111" ref="B2737"/>
    <hyperlink r:id="rId3693" ref="G2737"/>
    <hyperlink r:id="rId3694" location="id=34547&amp;action=152&amp;model=crm.lead&amp;view_type=form&amp;menu_id=111" ref="B2738"/>
    <hyperlink r:id="rId3695" ref="G2738"/>
    <hyperlink r:id="rId3696" location="id=34549&amp;action=152&amp;model=crm.lead&amp;view_type=form&amp;menu_id=111" ref="B2739"/>
    <hyperlink r:id="rId3697" ref="G2739"/>
    <hyperlink r:id="rId3698" location="id=34550&amp;action=152&amp;model=crm.lead&amp;view_type=form&amp;menu_id=111" ref="B2740"/>
    <hyperlink r:id="rId3699" ref="G2740"/>
    <hyperlink r:id="rId3700" location="id=34530&amp;action=152&amp;model=crm.lead&amp;view_type=form&amp;menu_id=111" ref="B2741"/>
    <hyperlink r:id="rId3701" ref="G2741"/>
    <hyperlink r:id="rId3702" location="id=34536&amp;action=152&amp;model=crm.lead&amp;view_type=form&amp;menu_id=111" ref="B2742"/>
    <hyperlink r:id="rId3703" ref="G2742"/>
    <hyperlink r:id="rId3704" location="id=34528&amp;action=152&amp;model=crm.lead&amp;view_type=form&amp;menu_id=111" ref="B2743"/>
    <hyperlink r:id="rId3705" location="id=34525&amp;action=152&amp;model=crm.lead&amp;view_type=form&amp;menu_id=111" ref="B2744"/>
    <hyperlink r:id="rId3706" location="id=34518&amp;action=152&amp;model=crm.lead&amp;view_type=form&amp;menu_id=111" ref="B2746"/>
    <hyperlink r:id="rId3707" location="id=34498&amp;action=152&amp;model=crm.lead&amp;view_type=form&amp;menu_id=111" ref="B2747"/>
    <hyperlink r:id="rId3708" ref="G2747"/>
    <hyperlink r:id="rId3709" location="id=34501&amp;action=152&amp;model=crm.lead&amp;view_type=form&amp;menu_id=111" ref="B2748"/>
    <hyperlink r:id="rId3710" ref="G2748"/>
    <hyperlink r:id="rId3711" location="id=34490&amp;action=152&amp;model=crm.lead&amp;view_type=form&amp;menu_id=111" ref="B2749"/>
    <hyperlink r:id="rId3712" location="id=34489&amp;action=152&amp;model=crm.lead&amp;view_type=form&amp;menu_id=111" ref="B2750"/>
    <hyperlink r:id="rId3713" ref="G2750"/>
    <hyperlink r:id="rId3714" location="id=34496&amp;action=152&amp;model=crm.lead&amp;view_type=form&amp;menu_id=111" ref="B2751"/>
    <hyperlink r:id="rId3715" ref="G2751"/>
    <hyperlink r:id="rId3716" location="id=34475&amp;action=152&amp;model=crm.lead&amp;view_type=form&amp;menu_id=111" ref="B2752"/>
    <hyperlink r:id="rId3717" ref="G2752"/>
    <hyperlink r:id="rId3718" location="id=34480&amp;action=152&amp;model=crm.lead&amp;view_type=form&amp;menu_id=111" ref="B2753"/>
    <hyperlink r:id="rId3719" ref="G2753"/>
    <hyperlink r:id="rId3720" location="id=34484&amp;action=152&amp;model=crm.lead&amp;view_type=form&amp;menu_id=111" ref="B2754"/>
    <hyperlink r:id="rId3721" ref="G2754"/>
    <hyperlink r:id="rId3722" location="id=34469&amp;action=152&amp;model=crm.lead&amp;view_type=form&amp;menu_id=111" ref="B2755"/>
    <hyperlink r:id="rId3723" ref="G2755"/>
    <hyperlink r:id="rId3724" location="id=34407&amp;action=152&amp;model=crm.lead&amp;view_type=form&amp;menu_id=111" ref="B2756"/>
    <hyperlink r:id="rId3725" ref="G2756"/>
    <hyperlink r:id="rId3726" location="id=34449&amp;action=152&amp;model=crm.lead&amp;view_type=form&amp;menu_id=111" ref="B2757"/>
    <hyperlink r:id="rId3727" ref="G2757"/>
    <hyperlink r:id="rId3728" location="id=34464&amp;action=152&amp;model=crm.lead&amp;view_type=form&amp;menu_id=111" ref="B2758"/>
    <hyperlink r:id="rId3729" location="id=34457&amp;action=152&amp;model=crm.lead&amp;view_type=form&amp;menu_id=111" ref="B2759"/>
    <hyperlink r:id="rId3730" ref="G2759"/>
    <hyperlink r:id="rId3731" location="id=34400&amp;action=152&amp;model=crm.lead&amp;view_type=form&amp;menu_id=111" ref="B2760"/>
    <hyperlink r:id="rId3732" ref="G2760"/>
    <hyperlink r:id="rId3733" location="id=34402&amp;action=152&amp;model=crm.lead&amp;view_type=form&amp;menu_id=111" ref="B2761"/>
    <hyperlink r:id="rId3734" ref="G2761"/>
    <hyperlink r:id="rId3735" location="id=34340&amp;action=152&amp;model=crm.lead&amp;view_type=form&amp;menu_id=111" ref="B2762"/>
    <hyperlink r:id="rId3736" ref="G2762"/>
    <hyperlink r:id="rId3737" location="id=34337&amp;action=152&amp;model=crm.lead&amp;view_type=form&amp;menu_id=111" ref="B2763"/>
    <hyperlink r:id="rId3738" location="id=34236&amp;action=152&amp;model=crm.lead&amp;view_type=form&amp;menu_id=111" ref="B2764"/>
    <hyperlink r:id="rId3739" ref="G2764"/>
    <hyperlink r:id="rId3740" location="id=34425&amp;action=152&amp;model=crm.lead&amp;view_type=form&amp;menu_id=111" ref="B2765"/>
    <hyperlink r:id="rId3741" ref="G2765"/>
    <hyperlink r:id="rId3742" location="id=34427&amp;action=152&amp;model=crm.lead&amp;view_type=form&amp;menu_id=111" ref="B2766"/>
    <hyperlink r:id="rId3743" ref="G2766"/>
    <hyperlink r:id="rId3744" location="id=34438&amp;action=152&amp;model=crm.lead&amp;view_type=form&amp;menu_id=111" ref="B2767"/>
    <hyperlink r:id="rId3745" ref="G2767"/>
    <hyperlink r:id="rId3746" location="id=34355&amp;action=152&amp;model=crm.lead&amp;view_type=form&amp;menu_id=111" ref="B2768"/>
    <hyperlink r:id="rId3747" ref="G2768"/>
    <hyperlink r:id="rId3748" location="id=34341&amp;action=152&amp;model=crm.lead&amp;view_type=form&amp;menu_id=111" ref="B2769"/>
    <hyperlink r:id="rId3749" ref="G2769"/>
    <hyperlink r:id="rId3750" location="id=34350&amp;action=152&amp;model=crm.lead&amp;view_type=form&amp;menu_id=111" ref="B2770"/>
    <hyperlink r:id="rId3751" ref="G2770"/>
    <hyperlink r:id="rId3752" location="id=34354&amp;action=152&amp;model=crm.lead&amp;view_type=form&amp;menu_id=111" ref="B2771"/>
    <hyperlink r:id="rId3753" ref="G2771"/>
    <hyperlink r:id="rId3754" location="id=34358&amp;action=152&amp;model=crm.lead&amp;view_type=form&amp;menu_id=111" ref="B2772"/>
    <hyperlink r:id="rId3755" ref="G2772"/>
    <hyperlink r:id="rId3756" location="id=34346&amp;action=152&amp;model=crm.lead&amp;view_type=form&amp;menu_id=111" ref="B2773"/>
    <hyperlink r:id="rId3757" ref="G2773"/>
    <hyperlink r:id="rId3758" location="id=34246&amp;action=152&amp;model=crm.lead&amp;view_type=form&amp;menu_id=111" ref="B2774"/>
    <hyperlink r:id="rId3759" ref="G2774"/>
    <hyperlink r:id="rId3760" location="id=34254&amp;action=152&amp;model=crm.lead&amp;view_type=form&amp;menu_id=111" ref="B2775"/>
    <hyperlink r:id="rId3761" ref="G2775"/>
    <hyperlink r:id="rId3762" location="id=34330&amp;action=152&amp;model=crm.lead&amp;view_type=form&amp;menu_id=111" ref="B2776"/>
    <hyperlink r:id="rId3763" ref="G2776"/>
    <hyperlink r:id="rId3764" location="id=34334&amp;action=152&amp;model=crm.lead&amp;view_type=form&amp;menu_id=111" ref="B2777"/>
    <hyperlink r:id="rId3765" ref="G2777"/>
    <hyperlink r:id="rId3766" location="id=34204&amp;action=152&amp;model=crm.lead&amp;view_type=form&amp;menu_id=111" ref="B2778"/>
    <hyperlink r:id="rId3767" ref="G2778"/>
    <hyperlink r:id="rId3768" location="id=34312&amp;action=152&amp;model=crm.lead&amp;view_type=form&amp;menu_id=111" ref="B2779"/>
    <hyperlink r:id="rId3769" ref="G2779"/>
    <hyperlink r:id="rId3770" location="id=34303&amp;action=152&amp;model=crm.lead&amp;view_type=form&amp;menu_id=111" ref="B2780"/>
    <hyperlink r:id="rId3771" ref="G2780"/>
    <hyperlink r:id="rId3772" location="id=34310&amp;action=152&amp;model=crm.lead&amp;view_type=form&amp;menu_id=111" ref="B2781"/>
    <hyperlink r:id="rId3773" ref="G2781"/>
    <hyperlink r:id="rId3774" location="id=34307&amp;action=152&amp;model=crm.lead&amp;view_type=form&amp;menu_id=111" ref="B2782"/>
    <hyperlink r:id="rId3775" ref="G2782"/>
    <hyperlink r:id="rId3776" location="id=34290&amp;action=152&amp;model=crm.lead&amp;view_type=form&amp;menu_id=111" ref="B2783"/>
    <hyperlink r:id="rId3777" location="id=34297&amp;action=152&amp;model=crm.lead&amp;view_type=form&amp;menu_id=111" ref="B2784"/>
    <hyperlink r:id="rId3778" ref="G2784"/>
    <hyperlink r:id="rId3779" location="id=34269&amp;action=152&amp;model=crm.lead&amp;view_type=form&amp;menu_id=111" ref="B2785"/>
    <hyperlink r:id="rId3780" ref="G2785"/>
    <hyperlink r:id="rId3781" location="id=34263&amp;action=152&amp;model=crm.lead&amp;view_type=form&amp;menu_id=111" ref="B2786"/>
    <hyperlink r:id="rId3782" ref="G2786"/>
    <hyperlink r:id="rId3783" location="id=34272&amp;action=152&amp;model=crm.lead&amp;view_type=form&amp;menu_id=111" ref="B2787"/>
    <hyperlink r:id="rId3784" ref="G2787"/>
    <hyperlink r:id="rId3785" location="id=34274&amp;action=152&amp;model=crm.lead&amp;view_type=form&amp;menu_id=111" ref="B2788"/>
    <hyperlink r:id="rId3786" ref="G2788"/>
    <hyperlink r:id="rId3787" location="id=34255&amp;action=152&amp;model=crm.lead&amp;view_type=form&amp;menu_id=111" ref="B2789"/>
    <hyperlink r:id="rId3788" ref="G2789"/>
    <hyperlink r:id="rId3789" location="id=34257&amp;action=152&amp;model=crm.lead&amp;view_type=form&amp;menu_id=111" ref="B2790"/>
    <hyperlink r:id="rId3790" ref="G2790"/>
    <hyperlink r:id="rId3791" location="id=34240&amp;action=152&amp;model=crm.lead&amp;view_type=form&amp;menu_id=111" ref="B2791"/>
    <hyperlink r:id="rId3792" ref="G2791"/>
    <hyperlink r:id="rId3793" location="id=34225&amp;action=152&amp;model=crm.lead&amp;view_type=form&amp;menu_id=111" ref="B2792"/>
    <hyperlink r:id="rId3794" ref="G2792"/>
    <hyperlink r:id="rId3795" location="id=34228&amp;action=152&amp;model=crm.lead&amp;view_type=form&amp;menu_id=111" ref="B2793"/>
    <hyperlink r:id="rId3796" ref="G2793"/>
    <hyperlink r:id="rId3797" location="id=34223&amp;action=152&amp;model=crm.lead&amp;view_type=form&amp;menu_id=111" ref="B2794"/>
    <hyperlink r:id="rId3798" ref="G2794"/>
    <hyperlink r:id="rId3799" location="id=34212&amp;action=152&amp;model=crm.lead&amp;view_type=form&amp;menu_id=111" ref="B2795"/>
    <hyperlink r:id="rId3800" ref="G2795"/>
    <hyperlink r:id="rId3801" location="id=34215&amp;action=152&amp;model=crm.lead&amp;view_type=form&amp;menu_id=111" ref="B2796"/>
    <hyperlink r:id="rId3802" ref="G2796"/>
    <hyperlink r:id="rId3803" location="id=34216&amp;action=152&amp;model=crm.lead&amp;view_type=form&amp;menu_id=111" ref="B2797"/>
    <hyperlink r:id="rId3804" ref="G2797"/>
    <hyperlink r:id="rId3805" location="id=34207&amp;action=152&amp;model=crm.lead&amp;view_type=form&amp;menu_id=111" ref="B2798"/>
    <hyperlink r:id="rId3806" ref="G2798"/>
    <hyperlink r:id="rId3807" location="id=34209&amp;action=152&amp;model=crm.lead&amp;view_type=form&amp;menu_id=111" ref="B2799"/>
    <hyperlink r:id="rId3808" ref="G2799"/>
    <hyperlink r:id="rId3809" location="id=34210&amp;action=152&amp;model=crm.lead&amp;view_type=form&amp;menu_id=111" ref="B2800"/>
    <hyperlink r:id="rId3810" location="id=34174&amp;action=152&amp;model=crm.lead&amp;view_type=form&amp;menu_id=111" ref="B2801"/>
    <hyperlink r:id="rId3811" ref="G2801"/>
    <hyperlink r:id="rId3812" location="id=34201&amp;action=152&amp;model=crm.lead&amp;view_type=form&amp;menu_id=111" ref="B2802"/>
    <hyperlink r:id="rId3813" ref="G2802"/>
    <hyperlink r:id="rId3814" location="id=34193&amp;action=152&amp;model=crm.lead&amp;view_type=form&amp;menu_id=111" ref="B2803"/>
    <hyperlink r:id="rId3815" ref="G2803"/>
    <hyperlink r:id="rId3816" location="id=34195&amp;action=152&amp;model=crm.lead&amp;view_type=form&amp;menu_id=111" ref="B2804"/>
    <hyperlink r:id="rId3817" ref="G2804"/>
    <hyperlink r:id="rId3818" location="id=34191&amp;action=152&amp;model=crm.lead&amp;view_type=form&amp;menu_id=111" ref="B2805"/>
    <hyperlink r:id="rId3819" ref="G2805"/>
    <hyperlink r:id="rId3820" location="id=31470&amp;action=152&amp;model=crm.lead&amp;view_type=form&amp;menu_id=111" ref="B2806"/>
    <hyperlink r:id="rId3821" ref="G2806"/>
    <hyperlink r:id="rId3822" location="id=34186&amp;action=152&amp;model=crm.lead&amp;view_type=form&amp;menu_id=111" ref="B2807"/>
    <hyperlink r:id="rId3823" ref="G2807"/>
    <hyperlink r:id="rId3824" location="id=34194&amp;action=152&amp;model=crm.lead&amp;view_type=form&amp;menu_id=111" ref="B2808"/>
    <hyperlink r:id="rId3825" location="id=34159&amp;action=152&amp;model=crm.lead&amp;view_type=form&amp;menu_id=111" ref="B2809"/>
    <hyperlink r:id="rId3826" ref="G2809"/>
    <hyperlink r:id="rId3827" location="id=34061&amp;action=152&amp;model=crm.lead&amp;view_type=form&amp;menu_id=111" ref="B2810"/>
    <hyperlink r:id="rId3828" ref="G2810"/>
    <hyperlink r:id="rId3829" location="id=34150&amp;action=152&amp;model=crm.lead&amp;view_type=form&amp;menu_id=111" ref="B2811"/>
    <hyperlink r:id="rId3830" ref="G2811"/>
    <hyperlink r:id="rId3831" location="id=34138&amp;action=152&amp;model=crm.lead&amp;view_type=form&amp;menu_id=111" ref="B2812"/>
    <hyperlink r:id="rId3832" ref="G2812"/>
    <hyperlink r:id="rId3833" location="id=34133&amp;action=152&amp;model=crm.lead&amp;view_type=form&amp;menu_id=111" ref="B2813"/>
    <hyperlink r:id="rId3834" ref="G2813"/>
    <hyperlink r:id="rId3835" location="id=34066&amp;action=152&amp;model=crm.lead&amp;view_type=form&amp;menu_id=111" ref="B2814"/>
    <hyperlink r:id="rId3836" location="id=34116&amp;action=152&amp;model=crm.lead&amp;view_type=form&amp;menu_id=111" ref="B2815"/>
    <hyperlink r:id="rId3837" ref="G2815"/>
    <hyperlink r:id="rId3838" location="id=34119&amp;action=152&amp;model=crm.lead&amp;view_type=form&amp;menu_id=111" ref="B2816"/>
    <hyperlink r:id="rId3839" ref="G2816"/>
    <hyperlink r:id="rId3840" location="id=34125&amp;action=152&amp;model=crm.lead&amp;view_type=form&amp;menu_id=111" ref="B2817"/>
    <hyperlink r:id="rId3841" ref="G2817"/>
    <hyperlink r:id="rId3842" location="id=34126&amp;action=152&amp;model=crm.lead&amp;view_type=form&amp;menu_id=111" ref="B2818"/>
    <hyperlink r:id="rId3843" ref="G2818"/>
    <hyperlink r:id="rId3844" location="id=34093&amp;action=152&amp;model=crm.lead&amp;view_type=form&amp;menu_id=111" ref="B2819"/>
    <hyperlink r:id="rId3845" ref="G2819"/>
    <hyperlink r:id="rId3846" location="id=34019&amp;action=152&amp;model=crm.lead&amp;view_type=form&amp;menu_id=111" ref="B2820"/>
    <hyperlink r:id="rId3847" ref="G2820"/>
    <hyperlink r:id="rId3848" location="id=34083&amp;action=152&amp;model=crm.lead&amp;view_type=form&amp;menu_id=111" ref="B2821"/>
    <hyperlink r:id="rId3849" location="id=34062&amp;action=152&amp;model=crm.lead&amp;view_type=form&amp;menu_id=111" ref="B2822"/>
    <hyperlink r:id="rId3850" ref="G2822"/>
    <hyperlink r:id="rId3851" location="id=34069&amp;action=152&amp;model=crm.lead&amp;view_type=form&amp;menu_id=111" ref="B2823"/>
    <hyperlink r:id="rId3852" ref="G2823"/>
    <hyperlink r:id="rId3853" location="id=34048&amp;action=152&amp;model=crm.lead&amp;view_type=form&amp;menu_id=111" ref="B2824"/>
    <hyperlink r:id="rId3854" ref="G2824"/>
    <hyperlink r:id="rId3855" location="id=34035&amp;action=152&amp;model=crm.lead&amp;view_type=form&amp;menu_id=111" ref="B2825"/>
    <hyperlink r:id="rId3856" ref="G2825"/>
    <hyperlink r:id="rId3857" location="id=34021&amp;action=152&amp;model=crm.lead&amp;view_type=form&amp;menu_id=111" ref="B2826"/>
    <hyperlink r:id="rId3858" location="id=33988&amp;action=152&amp;model=crm.lead&amp;view_type=form&amp;menu_id=111" ref="B2827"/>
    <hyperlink r:id="rId3859" ref="G2827"/>
    <hyperlink r:id="rId3860" location="id=33974&amp;action=152&amp;model=crm.lead&amp;view_type=form&amp;menu_id=111" ref="B2828"/>
    <hyperlink r:id="rId3861" ref="G2828"/>
    <hyperlink r:id="rId3862" location="id=33970&amp;action=152&amp;model=crm.lead&amp;view_type=form&amp;menu_id=111" ref="B2829"/>
    <hyperlink r:id="rId3863" ref="G2829"/>
    <hyperlink r:id="rId3864" location="id=33963&amp;action=152&amp;model=crm.lead&amp;view_type=form&amp;menu_id=111" ref="B2830"/>
    <hyperlink r:id="rId3865" ref="G2830"/>
    <hyperlink r:id="rId3866" location="id=33937&amp;action=152&amp;model=crm.lead&amp;view_type=form&amp;menu_id=111" ref="B2831"/>
    <hyperlink r:id="rId3867" location="id=33918&amp;action=152&amp;model=crm.lead&amp;view_type=form&amp;menu_id=111" ref="B2832"/>
    <hyperlink r:id="rId3868" ref="G2832"/>
    <hyperlink r:id="rId3869" location="id=34015&amp;action=152&amp;model=crm.lead&amp;view_type=form&amp;menu_id=111" ref="B2833"/>
    <hyperlink r:id="rId3870" ref="G2833"/>
    <hyperlink r:id="rId3871" location="id=34023&amp;action=152&amp;model=crm.lead&amp;view_type=form&amp;menu_id=111" ref="B2834"/>
    <hyperlink r:id="rId3872" ref="G2834"/>
    <hyperlink r:id="rId3873" location="id=34032&amp;action=152&amp;model=crm.lead&amp;view_type=form&amp;menu_id=111" ref="B2835"/>
    <hyperlink r:id="rId3874" ref="G2835"/>
    <hyperlink r:id="rId3875" location="id=34043&amp;action=152&amp;model=crm.lead&amp;view_type=form&amp;menu_id=111" ref="B2836"/>
    <hyperlink r:id="rId3876" ref="G2836"/>
    <hyperlink r:id="rId3877" location="id=33978&amp;action=152&amp;model=crm.lead&amp;view_type=form&amp;menu_id=111" ref="B2837"/>
    <hyperlink r:id="rId3878" ref="G2837"/>
    <hyperlink r:id="rId3879" location="id=33981&amp;action=152&amp;model=crm.lead&amp;view_type=form&amp;menu_id=111" ref="B2838"/>
    <hyperlink r:id="rId3880" ref="G2838"/>
    <hyperlink r:id="rId3881" location="id=33979&amp;action=152&amp;model=crm.lead&amp;view_type=form&amp;menu_id=111" ref="B2839"/>
    <hyperlink r:id="rId3882" ref="G2839"/>
    <hyperlink r:id="rId3883" location="id=33986&amp;action=152&amp;model=crm.lead&amp;view_type=form&amp;menu_id=111" ref="B2840"/>
    <hyperlink r:id="rId3884" ref="G2840"/>
    <hyperlink r:id="rId3885" location="id=34000&amp;action=152&amp;model=crm.lead&amp;view_type=form&amp;menu_id=111" ref="B2841"/>
    <hyperlink r:id="rId3886" location="id=33919&amp;action=152&amp;model=crm.lead&amp;view_type=form&amp;menu_id=111" ref="B2842"/>
    <hyperlink r:id="rId3887" ref="G2842"/>
    <hyperlink r:id="rId3888" location="id=33917&amp;action=152&amp;model=crm.lead&amp;view_type=form&amp;menu_id=111" ref="B2843"/>
    <hyperlink r:id="rId3889" ref="G2843"/>
    <hyperlink r:id="rId3890" location="id=33903&amp;action=152&amp;model=crm.lead&amp;view_type=form&amp;menu_id=111" ref="B2844"/>
    <hyperlink r:id="rId3891" ref="G2844"/>
    <hyperlink r:id="rId3892" location="id=33991&amp;action=152&amp;model=crm.lead&amp;view_type=form&amp;menu_id=111" ref="B2845"/>
    <hyperlink r:id="rId3893" location="id=33989&amp;action=152&amp;model=crm.lead&amp;view_type=form&amp;menu_id=111" ref="B2846"/>
    <hyperlink r:id="rId3894" location="id=33920&amp;action=152&amp;model=crm.lead&amp;view_type=form&amp;menu_id=111" ref="B2847"/>
    <hyperlink r:id="rId3895" ref="G2847"/>
    <hyperlink r:id="rId3896" location="id=33921&amp;action=152&amp;model=crm.lead&amp;view_type=form&amp;menu_id=111" ref="B2848"/>
    <hyperlink r:id="rId3897" ref="G2848"/>
    <hyperlink r:id="rId3898" location="id=33924&amp;action=152&amp;model=crm.lead&amp;view_type=form&amp;menu_id=111" ref="B2849"/>
    <hyperlink r:id="rId3899" ref="G2849"/>
    <hyperlink r:id="rId3900" location="id=33926&amp;action=152&amp;model=crm.lead&amp;view_type=form&amp;menu_id=111" ref="B2850"/>
    <hyperlink r:id="rId3901" ref="G2850"/>
    <hyperlink r:id="rId3902" location="id=33931&amp;action=152&amp;model=crm.lead&amp;view_type=form&amp;menu_id=111" ref="B2851"/>
    <hyperlink r:id="rId3903" ref="G2851"/>
    <hyperlink r:id="rId3904" location="id=33934&amp;action=152&amp;model=crm.lead&amp;view_type=form&amp;menu_id=111" ref="B2852"/>
    <hyperlink r:id="rId3905" ref="G2852"/>
    <hyperlink r:id="rId3906" location="id=33940&amp;action=152&amp;model=crm.lead&amp;view_type=form&amp;menu_id=111" ref="B2853"/>
    <hyperlink r:id="rId3907" ref="G2853"/>
    <hyperlink r:id="rId3908" location="id=33943&amp;action=152&amp;model=crm.lead&amp;view_type=form&amp;menu_id=111" ref="B2854"/>
    <hyperlink r:id="rId3909" ref="G2854"/>
    <hyperlink r:id="rId3910" location="id=33947&amp;action=152&amp;model=crm.lead&amp;view_type=form&amp;menu_id=111" ref="B2855"/>
    <hyperlink r:id="rId3911" ref="G2855"/>
    <hyperlink r:id="rId3912" location="id=33948&amp;action=152&amp;model=crm.lead&amp;view_type=form&amp;menu_id=111" ref="B2856"/>
    <hyperlink r:id="rId3913" ref="G2856"/>
    <hyperlink r:id="rId3914" location="id=33898&amp;action=152&amp;model=crm.lead&amp;view_type=form&amp;menu_id=111" ref="B2857"/>
    <hyperlink r:id="rId3915" location="id=33890&amp;action=152&amp;model=crm.lead&amp;view_type=form&amp;menu_id=111" ref="B2858"/>
    <hyperlink r:id="rId3916" location="id=33889&amp;action=152&amp;model=crm.lead&amp;view_type=form&amp;menu_id=111" ref="B2859"/>
    <hyperlink r:id="rId3917" location="id=33882&amp;action=152&amp;model=crm.lead&amp;view_type=form&amp;menu_id=111" ref="B2860"/>
    <hyperlink r:id="rId3918" ref="G2860"/>
    <hyperlink r:id="rId3919" location="id=33877&amp;action=152&amp;model=crm.lead&amp;view_type=form&amp;menu_id=111" ref="B2861"/>
    <hyperlink r:id="rId3920" ref="G2861"/>
    <hyperlink r:id="rId3921" location="id=33802&amp;action=152&amp;model=crm.lead&amp;view_type=form&amp;menu_id=111" ref="B2862"/>
    <hyperlink r:id="rId3922" ref="G2862"/>
    <hyperlink r:id="rId3923" location="id=33833&amp;action=152&amp;model=crm.lead&amp;view_type=form&amp;menu_id=111" ref="B2863"/>
    <hyperlink r:id="rId3924" ref="G2863"/>
    <hyperlink r:id="rId3925" location="id=33869&amp;action=152&amp;model=crm.lead&amp;view_type=form&amp;menu_id=111" ref="B2864"/>
    <hyperlink r:id="rId3926" ref="G2864"/>
    <hyperlink r:id="rId3927" location="id=33861&amp;action=152&amp;model=crm.lead&amp;view_type=form&amp;menu_id=111" ref="B2865"/>
    <hyperlink r:id="rId3928" ref="G2865"/>
    <hyperlink r:id="rId3929" location="id=33846&amp;action=152&amp;model=crm.lead&amp;view_type=form&amp;menu_id=111" ref="B2866"/>
    <hyperlink r:id="rId3930" ref="G2866"/>
    <hyperlink r:id="rId3931" ref="G2867"/>
    <hyperlink r:id="rId3932" location="id=33853&amp;action=152&amp;model=crm.lead&amp;view_type=form&amp;menu_id=111" ref="B2868"/>
    <hyperlink r:id="rId3933" ref="G2868"/>
    <hyperlink r:id="rId3934" location="id=31918&amp;action=152&amp;model=crm.lead&amp;view_type=form&amp;menu_id=111" ref="B2869"/>
    <hyperlink r:id="rId3935" ref="G2869"/>
    <hyperlink r:id="rId3936" location="id=33828&amp;action=152&amp;model=crm.lead&amp;view_type=form&amp;menu_id=111" ref="B2870"/>
    <hyperlink r:id="rId3937" ref="G2870"/>
    <hyperlink r:id="rId3938" location="id=33834&amp;action=152&amp;model=crm.lead&amp;view_type=form&amp;menu_id=111" ref="B2871"/>
    <hyperlink r:id="rId3939" ref="G2871"/>
    <hyperlink r:id="rId3940" location="id=33790&amp;action=152&amp;model=crm.lead&amp;view_type=form&amp;menu_id=111" ref="B2872"/>
    <hyperlink r:id="rId3941" ref="G2872"/>
    <hyperlink r:id="rId3942" location="id=33801&amp;action=152&amp;model=crm.lead&amp;view_type=form&amp;menu_id=111" ref="B2873"/>
    <hyperlink r:id="rId3943" ref="G2873"/>
    <hyperlink r:id="rId3944" location="id=33818&amp;action=152&amp;model=crm.lead&amp;view_type=form&amp;menu_id=111" ref="B2874"/>
    <hyperlink r:id="rId3945" location="id=33809&amp;action=152&amp;model=crm.lead&amp;view_type=form&amp;menu_id=111" ref="B2875"/>
    <hyperlink r:id="rId3946" ref="G2875"/>
    <hyperlink r:id="rId3947" location="id=33753&amp;action=152&amp;model=crm.lead&amp;view_type=form&amp;menu_id=111" ref="B2877"/>
    <hyperlink r:id="rId3948" ref="G2877"/>
    <hyperlink r:id="rId3949" location="id=33764&amp;action=152&amp;model=crm.lead&amp;view_type=form&amp;menu_id=111" ref="B2878"/>
    <hyperlink r:id="rId3950" ref="G2878"/>
    <hyperlink r:id="rId3951" location="id=33715&amp;action=152&amp;model=crm.lead&amp;view_type=form&amp;menu_id=111" ref="B2879"/>
    <hyperlink r:id="rId3952" ref="G2879"/>
    <hyperlink r:id="rId3953" location="id=33711&amp;action=152&amp;model=crm.lead&amp;view_type=form&amp;menu_id=111" ref="B2880"/>
    <hyperlink r:id="rId3954" ref="G2880"/>
    <hyperlink r:id="rId3955" location="id=33752&amp;action=152&amp;model=crm.lead&amp;view_type=form&amp;menu_id=111" ref="B2881"/>
    <hyperlink r:id="rId3956" ref="G2881"/>
    <hyperlink r:id="rId3957" location="id=33769&amp;action=152&amp;model=crm.lead&amp;view_type=form&amp;menu_id=111" ref="B2882"/>
    <hyperlink r:id="rId3958" location="id=33692&amp;action=152&amp;model=crm.lead&amp;view_type=form&amp;menu_id=111" ref="B2883"/>
    <hyperlink r:id="rId3959" ref="G2883"/>
    <hyperlink r:id="rId3960" location="id=33686&amp;action=152&amp;model=crm.lead&amp;view_type=form&amp;menu_id=111" ref="B2884"/>
    <hyperlink r:id="rId3961" ref="G2884"/>
    <hyperlink r:id="rId3962" location="id=33682&amp;action=152&amp;model=crm.lead&amp;view_type=form&amp;menu_id=111" ref="B2885"/>
    <hyperlink r:id="rId3963" ref="G2885"/>
    <hyperlink r:id="rId3964" location="id=33680&amp;action=152&amp;model=crm.lead&amp;view_type=form&amp;menu_id=111" ref="B2886"/>
    <hyperlink r:id="rId3965" ref="G2886"/>
    <hyperlink r:id="rId3966" location="id=33672&amp;action=152&amp;model=crm.lead&amp;view_type=form&amp;menu_id=111" ref="B2887"/>
    <hyperlink r:id="rId3967" ref="G2887"/>
    <hyperlink r:id="rId3968" location="id=33749&amp;action=152&amp;model=crm.lead&amp;view_type=form&amp;menu_id=111" ref="B2888"/>
    <hyperlink r:id="rId3969" location="id=33746&amp;action=152&amp;model=crm.lead&amp;view_type=form&amp;menu_id=111" ref="B2890"/>
    <hyperlink r:id="rId3970" location="id=33744&amp;action=152&amp;model=crm.lead&amp;view_type=form&amp;menu_id=111" ref="B2891"/>
    <hyperlink r:id="rId3971" location="id=33667&amp;action=152&amp;model=crm.lead&amp;view_type=form&amp;menu_id=111" ref="B2892"/>
    <hyperlink r:id="rId3972" location="id=33714&amp;action=152&amp;model=crm.lead&amp;view_type=form&amp;menu_id=111" ref="B2894"/>
    <hyperlink r:id="rId3973" ref="G2894"/>
    <hyperlink r:id="rId3974" location="id=33716&amp;action=152&amp;model=crm.lead&amp;view_type=form&amp;menu_id=111" ref="B2895"/>
    <hyperlink r:id="rId3975" ref="G2895"/>
    <hyperlink r:id="rId3976" location="id=33717&amp;action=152&amp;model=crm.lead&amp;view_type=form&amp;menu_id=111" ref="B2896"/>
    <hyperlink r:id="rId3977" ref="G2896"/>
    <hyperlink r:id="rId3978" location="id=33654&amp;action=152&amp;model=crm.lead&amp;view_type=form&amp;menu_id=111" ref="B2897"/>
    <hyperlink r:id="rId3979" ref="G2897"/>
    <hyperlink r:id="rId3980" location="id=33651&amp;action=152&amp;model=crm.lead&amp;view_type=form&amp;menu_id=111" ref="B2898"/>
    <hyperlink r:id="rId3981" location="id=33649&amp;action=152&amp;model=crm.lead&amp;view_type=form&amp;menu_id=111" ref="B2899"/>
    <hyperlink r:id="rId3982" ref="G2899"/>
    <hyperlink r:id="rId3983" location="id=33645&amp;action=152&amp;model=crm.lead&amp;view_type=form&amp;menu_id=111" ref="B2900"/>
    <hyperlink r:id="rId3984" ref="G2900"/>
    <hyperlink r:id="rId3985" location="id=33601&amp;action=152&amp;model=crm.lead&amp;view_type=form&amp;menu_id=111" ref="B2901"/>
    <hyperlink r:id="rId3986" ref="G2901"/>
    <hyperlink r:id="rId3987" location="id=33586&amp;action=152&amp;model=crm.lead&amp;view_type=form&amp;menu_id=111" ref="B2902"/>
    <hyperlink r:id="rId3988" location="id=33584&amp;action=152&amp;model=crm.lead&amp;view_type=form&amp;menu_id=111" ref="B2903"/>
    <hyperlink r:id="rId3989" location="id=33620&amp;action=152&amp;model=crm.lead&amp;view_type=form&amp;menu_id=111" ref="B2904"/>
    <hyperlink r:id="rId3990" ref="G2904"/>
    <hyperlink r:id="rId3991" location="id=33611&amp;action=152&amp;model=crm.lead&amp;view_type=form&amp;menu_id=111" ref="B2905"/>
    <hyperlink r:id="rId3992" ref="G2905"/>
    <hyperlink r:id="rId3993" location="id=33617&amp;action=152&amp;model=crm.lead&amp;view_type=form&amp;menu_id=111" ref="B2906"/>
    <hyperlink r:id="rId3994" ref="G2906"/>
    <hyperlink r:id="rId3995" location="id=33605&amp;action=152&amp;model=crm.lead&amp;view_type=form&amp;menu_id=111" ref="B2907"/>
    <hyperlink r:id="rId3996" ref="G2907"/>
    <hyperlink r:id="rId3997" location="id=33608&amp;action=152&amp;model=crm.lead&amp;view_type=form&amp;menu_id=111" ref="B2908"/>
    <hyperlink r:id="rId3998" ref="G2908"/>
    <hyperlink r:id="rId3999" location="id=33610&amp;action=152&amp;model=crm.lead&amp;view_type=form&amp;menu_id=111" ref="B2909"/>
    <hyperlink r:id="rId4000" ref="G2909"/>
    <hyperlink r:id="rId4001" location="id=33609&amp;action=152&amp;model=crm.lead&amp;view_type=form&amp;menu_id=111" ref="B2910"/>
    <hyperlink r:id="rId4002" location="id=33575&amp;action=152&amp;model=crm.lead&amp;view_type=form&amp;menu_id=111" ref="B2911"/>
    <hyperlink r:id="rId4003" ref="G2911"/>
    <hyperlink r:id="rId4004" location="id=33604&amp;action=152&amp;model=crm.lead&amp;view_type=form&amp;menu_id=111" ref="B2912"/>
    <hyperlink r:id="rId4005" location="id=33599&amp;action=152&amp;model=crm.lead&amp;view_type=form&amp;menu_id=111" ref="B2913"/>
    <hyperlink r:id="rId4006" location="id=33579&amp;action=152&amp;model=crm.lead&amp;view_type=form&amp;menu_id=111" ref="B2914"/>
    <hyperlink r:id="rId4007" ref="G2914"/>
    <hyperlink r:id="rId4008" location="id=33580&amp;action=152&amp;model=crm.lead&amp;view_type=form&amp;menu_id=111" ref="B2915"/>
    <hyperlink r:id="rId4009" ref="G2915"/>
    <hyperlink r:id="rId4010" location="id=33583&amp;action=152&amp;model=crm.lead&amp;view_type=form&amp;menu_id=111" ref="B2916"/>
    <hyperlink r:id="rId4011" ref="G2916"/>
    <hyperlink r:id="rId4012" location="id=33588&amp;action=152&amp;model=crm.lead&amp;view_type=form&amp;menu_id=111" ref="B2917"/>
    <hyperlink r:id="rId4013" ref="G2917"/>
    <hyperlink r:id="rId4014" location="id=33548&amp;action=152&amp;model=crm.lead&amp;view_type=form&amp;menu_id=111" ref="B2918"/>
    <hyperlink r:id="rId4015" ref="G2918"/>
    <hyperlink r:id="rId4016" location="id=33505&amp;action=152&amp;model=crm.lead&amp;view_type=form&amp;menu_id=111" ref="B2919"/>
    <hyperlink r:id="rId4017" location="id=33538&amp;action=152&amp;model=crm.lead&amp;view_type=form&amp;menu_id=111" ref="B2920"/>
    <hyperlink r:id="rId4018" ref="G2920"/>
    <hyperlink r:id="rId4019" location="id=31529&amp;action=152&amp;model=crm.lead&amp;view_type=form&amp;menu_id=111" ref="B2921"/>
    <hyperlink r:id="rId4020" location="id=33537&amp;action=152&amp;model=crm.lead&amp;view_type=form&amp;menu_id=111" ref="B2922"/>
    <hyperlink r:id="rId4021" location="id=33536&amp;action=152&amp;model=crm.lead&amp;view_type=form&amp;menu_id=111" ref="B2923"/>
    <hyperlink r:id="rId4022" location="id=33523&amp;action=152&amp;model=crm.lead&amp;view_type=form&amp;menu_id=111" ref="B2924"/>
    <hyperlink r:id="rId4023" ref="G2924"/>
    <hyperlink r:id="rId4024" location="id=33527&amp;action=152&amp;model=crm.lead&amp;view_type=form&amp;menu_id=111" ref="B2925"/>
    <hyperlink r:id="rId4025" location="id=33518&amp;action=152&amp;model=crm.lead&amp;view_type=form&amp;menu_id=111" ref="B2926"/>
    <hyperlink r:id="rId4026" ref="G2926"/>
    <hyperlink r:id="rId4027" location="id=33488&amp;action=152&amp;model=crm.lead&amp;view_type=form&amp;menu_id=111" ref="B2928"/>
    <hyperlink r:id="rId4028" ref="G2928"/>
    <hyperlink r:id="rId4029" location="id=33485&amp;action=152&amp;model=crm.lead&amp;view_type=form&amp;menu_id=111" ref="B2929"/>
    <hyperlink r:id="rId4030" ref="G2929"/>
    <hyperlink r:id="rId4031" location="id=33479&amp;action=152&amp;model=crm.lead&amp;view_type=form&amp;menu_id=111" ref="B2930"/>
    <hyperlink r:id="rId4032" ref="G2930"/>
    <hyperlink r:id="rId4033" location="id=33492&amp;action=152&amp;model=crm.lead&amp;view_type=form&amp;menu_id=111" ref="B2931"/>
    <hyperlink r:id="rId4034" ref="G2931"/>
    <hyperlink r:id="rId4035" location="id=33471&amp;action=152&amp;model=crm.lead&amp;view_type=form&amp;menu_id=111" ref="B2932"/>
    <hyperlink r:id="rId4036" ref="G2932"/>
    <hyperlink r:id="rId4037" location="id=33445&amp;action=152&amp;model=crm.lead&amp;view_type=form&amp;menu_id=111" ref="B2933"/>
    <hyperlink r:id="rId4038" ref="G2933"/>
    <hyperlink r:id="rId4039" location="id=33420&amp;action=152&amp;model=crm.lead&amp;view_type=form&amp;menu_id=111" ref="B2934"/>
    <hyperlink r:id="rId4040" location="id=33480&amp;action=152&amp;model=crm.lead&amp;view_type=form&amp;menu_id=111" ref="B2935"/>
    <hyperlink r:id="rId4041" location="id=33475&amp;action=152&amp;model=crm.lead&amp;view_type=form&amp;menu_id=111" ref="B2937"/>
    <hyperlink r:id="rId4042" ref="G2937"/>
    <hyperlink r:id="rId4043" location="id=33470&amp;action=152&amp;model=crm.lead&amp;view_type=form&amp;menu_id=111" ref="B2938"/>
    <hyperlink r:id="rId4044" ref="G2938"/>
    <hyperlink r:id="rId4045" location="id=33464&amp;action=152&amp;model=crm.lead&amp;view_type=form&amp;menu_id=111" ref="B2939"/>
    <hyperlink r:id="rId4046" ref="G2939"/>
    <hyperlink r:id="rId4047" location="id=33457&amp;action=152&amp;model=crm.lead&amp;view_type=form&amp;menu_id=111" ref="B2940"/>
    <hyperlink r:id="rId4048" ref="G2940"/>
    <hyperlink r:id="rId4049" location="id=33437&amp;action=152&amp;model=crm.lead&amp;view_type=form&amp;menu_id=111" ref="B2944"/>
    <hyperlink r:id="rId4050" ref="G2944"/>
    <hyperlink r:id="rId4051" location="id=33440&amp;action=152&amp;model=crm.lead&amp;view_type=form&amp;menu_id=111" ref="B2945"/>
    <hyperlink r:id="rId4052" location="id=33438&amp;action=152&amp;model=crm.lead&amp;view_type=form&amp;menu_id=111" ref="B2946"/>
    <hyperlink r:id="rId4053" location="id=33427&amp;action=152&amp;model=crm.lead&amp;view_type=form&amp;menu_id=111" ref="B2947"/>
    <hyperlink r:id="rId4054" location="id=33411&amp;action=152&amp;model=crm.lead&amp;view_type=form&amp;menu_id=111" ref="B2948"/>
    <hyperlink r:id="rId4055" ref="G2948"/>
    <hyperlink r:id="rId4056" location="id=33421&amp;action=152&amp;model=crm.lead&amp;view_type=form&amp;menu_id=111" ref="B2949"/>
    <hyperlink r:id="rId4057" location="id=33407&amp;action=152&amp;model=crm.lead&amp;view_type=form&amp;menu_id=111" ref="B2950"/>
    <hyperlink r:id="rId4058" location="id=33397&amp;action=152&amp;model=crm.lead&amp;view_type=form&amp;menu_id=111" ref="B2951"/>
    <hyperlink r:id="rId4059" location="id=33418&amp;action=152&amp;model=crm.lead&amp;view_type=form&amp;menu_id=111" ref="B2952"/>
    <hyperlink r:id="rId4060" location="id=33384&amp;action=152&amp;model=crm.lead&amp;view_type=form&amp;menu_id=111" ref="B2953"/>
    <hyperlink r:id="rId4061" ref="G2953"/>
    <hyperlink r:id="rId4062" location="id=33380&amp;action=152&amp;model=crm.lead&amp;view_type=form&amp;menu_id=111" ref="B2954"/>
    <hyperlink r:id="rId4063" ref="G2954"/>
    <hyperlink r:id="rId4064" location="id=33333&amp;action=152&amp;model=crm.lead&amp;view_type=form&amp;menu_id=111" ref="B2955"/>
    <hyperlink r:id="rId4065" location="id=33408&amp;action=152&amp;model=crm.lead&amp;view_type=form&amp;menu_id=111" ref="B2956"/>
    <hyperlink r:id="rId4066" ref="G2956"/>
    <hyperlink r:id="rId4067" location="id=33374&amp;action=152&amp;model=crm.lead&amp;view_type=form&amp;menu_id=111" ref="B2957"/>
    <hyperlink r:id="rId4068" ref="G2957"/>
    <hyperlink r:id="rId4069" location="id=33383&amp;action=152&amp;model=crm.lead&amp;view_type=form&amp;menu_id=111" ref="B2959"/>
    <hyperlink r:id="rId4070" location="id=33381&amp;action=152&amp;model=crm.lead&amp;view_type=form&amp;menu_id=111" ref="B2960"/>
    <hyperlink r:id="rId4071" location="id=33378&amp;action=152&amp;model=crm.lead&amp;view_type=form&amp;menu_id=111" ref="B2961"/>
    <hyperlink r:id="rId4072" ref="G2961"/>
    <hyperlink r:id="rId4073" location="id=33379&amp;action=152&amp;model=crm.lead&amp;view_type=form&amp;menu_id=111" ref="B2962"/>
    <hyperlink r:id="rId4074" location="id=33375&amp;action=152&amp;model=crm.lead&amp;view_type=form&amp;menu_id=111" ref="B2963"/>
    <hyperlink r:id="rId4075" location="id=33371&amp;action=152&amp;model=crm.lead&amp;view_type=form&amp;menu_id=111" ref="B2964"/>
    <hyperlink r:id="rId4076" location="id=33369&amp;action=152&amp;model=crm.lead&amp;view_type=form&amp;menu_id=111" ref="B2965"/>
    <hyperlink r:id="rId4077" location="id=33367&amp;action=152&amp;model=crm.lead&amp;view_type=form&amp;menu_id=111" ref="B2966"/>
    <hyperlink r:id="rId4078" location="id=33365&amp;action=152&amp;model=crm.lead&amp;view_type=form&amp;menu_id=111" ref="B2967"/>
    <hyperlink r:id="rId4079" location="id=33359&amp;action=152&amp;model=crm.lead&amp;view_type=form&amp;menu_id=111" ref="B2968"/>
    <hyperlink r:id="rId4080" ref="G2968"/>
    <hyperlink r:id="rId4081" location="id=33346&amp;action=152&amp;model=crm.lead&amp;view_type=form&amp;menu_id=111" ref="B2970"/>
    <hyperlink r:id="rId4082" location="id=33314&amp;action=152&amp;model=crm.lead&amp;view_type=form&amp;menu_id=111" ref="B2971"/>
    <hyperlink r:id="rId4083" location="id=33352&amp;action=152&amp;model=crm.lead&amp;view_type=form&amp;menu_id=111" ref="B2972"/>
    <hyperlink r:id="rId4084" ref="G2972"/>
    <hyperlink r:id="rId4085" location="id=33290&amp;action=152&amp;model=crm.lead&amp;view_type=form&amp;menu_id=111" ref="B2973"/>
    <hyperlink r:id="rId4086" location="id=33290&amp;action=152&amp;model=crm.lead&amp;view_type=form&amp;menu_id=111" ref="B2974"/>
    <hyperlink r:id="rId4087" ref="G2974"/>
    <hyperlink r:id="rId4088" location="id=33312&amp;action=152&amp;model=crm.lead&amp;view_type=form&amp;menu_id=111" ref="B2975"/>
    <hyperlink r:id="rId4089" ref="G2975"/>
    <hyperlink r:id="rId4090" location="id=33277&amp;action=152&amp;model=crm.lead&amp;view_type=form&amp;menu_id=111" ref="B2976"/>
    <hyperlink r:id="rId4091" location="id=33296&amp;action=152&amp;model=crm.lead&amp;view_type=form&amp;menu_id=111" ref="B2977"/>
    <hyperlink r:id="rId4092" ref="G2977"/>
    <hyperlink r:id="rId4093" location="id=33288&amp;action=152&amp;model=crm.lead&amp;view_type=form&amp;menu_id=111" ref="B2978"/>
    <hyperlink r:id="rId4094" ref="G2978"/>
    <hyperlink r:id="rId4095" location="id=33266&amp;action=152&amp;model=crm.lead&amp;view_type=form&amp;menu_id=111" ref="B2979"/>
    <hyperlink r:id="rId4096" ref="G2979"/>
    <hyperlink r:id="rId4097" location="id=33264&amp;action=152&amp;model=crm.lead&amp;view_type=form&amp;menu_id=111" ref="B2980"/>
    <hyperlink r:id="rId4098" ref="G2980"/>
    <hyperlink r:id="rId4099" location="id=33254&amp;action=152&amp;model=crm.lead&amp;view_type=form&amp;menu_id=111" ref="B2981"/>
    <hyperlink r:id="rId4100" ref="G2981"/>
    <hyperlink r:id="rId4101" location="id=30794&amp;action=152&amp;model=crm.lead&amp;view_type=form&amp;menu_id=111" ref="B2982"/>
    <hyperlink r:id="rId4102" location="id=33249&amp;action=152&amp;model=crm.lead&amp;view_type=form&amp;menu_id=111" ref="B2983"/>
    <hyperlink r:id="rId4103" ref="G2983"/>
    <hyperlink r:id="rId4104" location="id=33041&amp;action=152&amp;model=crm.lead&amp;view_type=form&amp;menu_id=111" ref="B2984"/>
    <hyperlink r:id="rId4105" ref="G2984"/>
    <hyperlink r:id="rId4106" location="id=33049&amp;action=152&amp;model=crm.lead&amp;view_type=form&amp;menu_id=111" ref="B2985"/>
    <hyperlink r:id="rId4107" ref="G2985"/>
    <hyperlink r:id="rId4108" location="id=33243&amp;action=152&amp;model=crm.lead&amp;view_type=form&amp;menu_id=111" ref="B2986"/>
    <hyperlink r:id="rId4109" ref="G2986"/>
    <hyperlink r:id="rId4110" location="id=33222&amp;action=152&amp;model=crm.lead&amp;view_type=form&amp;menu_id=111" ref="B2987"/>
    <hyperlink r:id="rId4111" ref="G2987"/>
    <hyperlink r:id="rId4112" location="id=33227&amp;action=152&amp;model=crm.lead&amp;view_type=form&amp;menu_id=111" ref="B2988"/>
    <hyperlink r:id="rId4113" ref="G2988"/>
    <hyperlink r:id="rId4114" location="id=33231&amp;action=152&amp;model=crm.lead&amp;view_type=form&amp;menu_id=111" ref="B2989"/>
    <hyperlink r:id="rId4115" location="id=33230&amp;action=152&amp;model=crm.lead&amp;view_type=form&amp;menu_id=111" ref="B2990"/>
    <hyperlink r:id="rId4116" ref="G2990"/>
    <hyperlink r:id="rId4117" location="id=33232&amp;action=152&amp;model=crm.lead&amp;view_type=form&amp;menu_id=111" ref="B2991"/>
    <hyperlink r:id="rId4118" ref="G2991"/>
    <hyperlink r:id="rId4119" location="id=33239&amp;action=152&amp;model=crm.lead&amp;view_type=form&amp;menu_id=111" ref="B2992"/>
    <hyperlink r:id="rId4120" ref="G2992"/>
    <hyperlink r:id="rId4121" location="id=33170&amp;action=152&amp;model=crm.lead&amp;view_type=form&amp;menu_id=111" ref="B2993"/>
    <hyperlink r:id="rId4122" location="id=33213&amp;action=152&amp;model=crm.lead&amp;view_type=form&amp;menu_id=111" ref="B2994"/>
    <hyperlink r:id="rId4123" location="id=33195&amp;action=152&amp;model=crm.lead&amp;view_type=form&amp;menu_id=111" ref="B2995"/>
    <hyperlink r:id="rId4124" location="id=33197&amp;action=152&amp;model=crm.lead&amp;view_type=form&amp;menu_id=111" ref="B2996"/>
    <hyperlink r:id="rId4125" location="id=33209&amp;action=152&amp;model=crm.lead&amp;view_type=form&amp;menu_id=111" ref="B2997"/>
    <hyperlink r:id="rId4126" location="id=33167&amp;action=152&amp;model=crm.lead&amp;view_type=form&amp;menu_id=111" ref="B2998"/>
    <hyperlink r:id="rId4127" location="id=33160&amp;action=152&amp;model=crm.lead&amp;view_type=form&amp;menu_id=111" ref="B2999"/>
    <hyperlink r:id="rId4128" location="id=33161&amp;action=152&amp;model=crm.lead&amp;view_type=form&amp;menu_id=111" ref="B3000"/>
    <hyperlink r:id="rId4129" location="id=33173&amp;action=152&amp;model=crm.lead&amp;view_type=form&amp;menu_id=111" ref="B3001"/>
    <hyperlink r:id="rId4130" location="id=33187&amp;action=152&amp;model=crm.lead&amp;view_type=form&amp;menu_id=111" ref="B3002"/>
    <hyperlink r:id="rId4131" location="id=33178&amp;action=152&amp;model=crm.lead&amp;view_type=form&amp;menu_id=111" ref="B3003"/>
    <hyperlink r:id="rId4132" location="id=33184&amp;action=152&amp;model=crm.lead&amp;view_type=form&amp;menu_id=111" ref="B3004"/>
    <hyperlink r:id="rId4133" location="id=33189&amp;action=152&amp;model=crm.lead&amp;view_type=form&amp;menu_id=111" ref="B3005"/>
    <hyperlink r:id="rId4134" location="id=33150&amp;action=152&amp;model=crm.lead&amp;view_type=form&amp;menu_id=111" ref="B3006"/>
    <hyperlink r:id="rId4135" location="id=33159&amp;action=152&amp;model=crm.lead&amp;view_type=form&amp;menu_id=111" ref="B3007"/>
    <hyperlink r:id="rId4136" location="id=33065&amp;action=152&amp;model=crm.lead&amp;view_type=form&amp;menu_id=111" ref="B3008"/>
    <hyperlink r:id="rId4137" location="id=33149&amp;action=152&amp;model=crm.lead&amp;view_type=form&amp;menu_id=111" ref="B3009"/>
    <hyperlink r:id="rId4138" location="id=33143&amp;action=152&amp;model=crm.lead&amp;view_type=form&amp;menu_id=111" ref="B3010"/>
    <hyperlink r:id="rId4139" location="id=33139&amp;action=152&amp;model=crm.lead&amp;view_type=form&amp;menu_id=111" ref="B3011"/>
    <hyperlink r:id="rId4140" location="id=33036&amp;action=152&amp;model=crm.lead&amp;view_type=form&amp;menu_id=111" ref="B3012"/>
    <hyperlink r:id="rId4141" location="id=33131&amp;action=152&amp;model=crm.lead&amp;view_type=form&amp;menu_id=111" ref="B3014"/>
    <hyperlink r:id="rId4142" location="id=33094&amp;action=152&amp;model=crm.lead&amp;view_type=form&amp;menu_id=111" ref="B3015"/>
    <hyperlink r:id="rId4143" location="id=33106&amp;action=152&amp;model=crm.lead&amp;view_type=form&amp;menu_id=111" ref="B3016"/>
    <hyperlink r:id="rId4144" location="id=33125&amp;action=152&amp;model=crm.lead&amp;view_type=form&amp;menu_id=111" ref="B3017"/>
    <hyperlink r:id="rId4145" location="id=33104&amp;action=152&amp;model=crm.lead&amp;view_type=form&amp;menu_id=111" ref="B3018"/>
    <hyperlink r:id="rId4146" location="id=33118&amp;action=152&amp;model=crm.lead&amp;view_type=form&amp;menu_id=111" ref="B3019"/>
    <hyperlink r:id="rId4147" location="id=33059&amp;action=152&amp;model=crm.lead&amp;view_type=form&amp;menu_id=111" ref="B3020"/>
    <hyperlink r:id="rId4148" location="id=33063&amp;action=152&amp;model=crm.lead&amp;view_type=form&amp;menu_id=111" ref="B3021"/>
    <hyperlink r:id="rId4149" location="id=33071&amp;action=152&amp;model=crm.lead&amp;view_type=form&amp;menu_id=111" ref="B3022"/>
    <hyperlink r:id="rId4150" location="id=33090&amp;action=152&amp;model=crm.lead&amp;view_type=form&amp;menu_id=111" ref="B3023"/>
    <hyperlink r:id="rId4151" location="id=33105&amp;action=152&amp;model=crm.lead&amp;view_type=form&amp;menu_id=111" ref="B3024"/>
    <hyperlink r:id="rId4152" location="id=33108&amp;action=152&amp;model=crm.lead&amp;view_type=form&amp;menu_id=111" ref="B3025"/>
    <hyperlink r:id="rId4153" location="id=33021&amp;action=152&amp;model=crm.lead&amp;view_type=form&amp;menu_id=111" ref="B3026"/>
    <hyperlink r:id="rId4154" location="id=33022&amp;action=152&amp;model=crm.lead&amp;view_type=form&amp;menu_id=111" ref="B3027"/>
    <hyperlink r:id="rId4155" location="id=33017&amp;action=152&amp;model=crm.lead&amp;view_type=form&amp;menu_id=111" ref="B3028"/>
    <hyperlink r:id="rId4156" location="id=32970&amp;action=152&amp;model=crm.lead&amp;view_type=form&amp;menu_id=111" ref="B3029"/>
    <hyperlink r:id="rId4157" location="id=33006&amp;action=152&amp;model=crm.lead&amp;view_type=form&amp;menu_id=111" ref="B3030"/>
    <hyperlink r:id="rId4158" location="id=32375&amp;action=152&amp;model=crm.lead&amp;view_type=form&amp;menu_id=111" ref="B3031"/>
    <hyperlink r:id="rId4159" location="id=32979&amp;action=152&amp;model=crm.lead&amp;view_type=form&amp;menu_id=111" ref="B3032"/>
    <hyperlink r:id="rId4160" location="id=32976&amp;action=152&amp;model=crm.lead&amp;view_type=form&amp;menu_id=111" ref="B3033"/>
    <hyperlink r:id="rId4161" location="id=33002&amp;action=152&amp;model=crm.lead&amp;view_type=form&amp;menu_id=111" ref="B3034"/>
    <hyperlink r:id="rId4162" location="id=33003&amp;action=152&amp;model=crm.lead&amp;view_type=form&amp;menu_id=111" ref="B3035"/>
    <hyperlink r:id="rId4163" location="id=32978&amp;action=152&amp;model=crm.lead&amp;view_type=form&amp;menu_id=111" ref="B3036"/>
    <hyperlink r:id="rId4164" location="id=32984&amp;action=152&amp;model=crm.lead&amp;view_type=form&amp;menu_id=111" ref="B3037"/>
    <hyperlink r:id="rId4165" location="id=32995&amp;action=152&amp;model=crm.lead&amp;view_type=form&amp;menu_id=111" ref="B3039"/>
    <hyperlink r:id="rId4166" location="id=32997&amp;action=152&amp;model=crm.lead&amp;view_type=form&amp;menu_id=111" ref="B3040"/>
    <hyperlink r:id="rId4167" location="id=32719&amp;action=152&amp;model=crm.lead&amp;view_type=form&amp;menu_id=111" ref="B3041"/>
    <hyperlink r:id="rId4168" location="id=32949&amp;action=152&amp;model=crm.lead&amp;view_type=form&amp;menu_id=111" ref="B3042"/>
    <hyperlink r:id="rId4169" location="id=32966&amp;action=152&amp;model=crm.lead&amp;view_type=form&amp;menu_id=111" ref="B3043"/>
    <hyperlink r:id="rId4170" location="id=32648&amp;action=152&amp;model=crm.lead&amp;view_type=form&amp;menu_id=111" ref="B3044"/>
    <hyperlink r:id="rId4171" location="id=32956&amp;action=152&amp;model=crm.lead&amp;view_type=form&amp;menu_id=111" ref="B3045"/>
    <hyperlink r:id="rId4172" location="id=32818&amp;action=152&amp;model=crm.lead&amp;view_type=form&amp;menu_id=111" ref="B3046"/>
    <hyperlink r:id="rId4173" location="id=32897&amp;action=152&amp;model=crm.lead&amp;view_type=form&amp;menu_id=111" ref="B3047"/>
    <hyperlink r:id="rId4174" location="id=32943&amp;action=152&amp;model=crm.lead&amp;view_type=form&amp;menu_id=111" ref="B3048"/>
    <hyperlink r:id="rId4175" location="id=32913&amp;action=152&amp;model=crm.lead&amp;view_type=form&amp;menu_id=111" ref="B3049"/>
    <hyperlink r:id="rId4176" location="id=32941&amp;action=152&amp;model=crm.lead&amp;view_type=form&amp;menu_id=111" ref="B3050"/>
    <hyperlink r:id="rId4177" location="id=32938&amp;action=152&amp;model=crm.lead&amp;view_type=form&amp;menu_id=111" ref="B3051"/>
    <hyperlink r:id="rId4178" location="id=32927&amp;action=152&amp;model=crm.lead&amp;view_type=form&amp;menu_id=111" ref="B3052"/>
    <hyperlink r:id="rId4179" location="id=32910&amp;action=152&amp;model=crm.lead&amp;view_type=form&amp;menu_id=111" ref="B3053"/>
    <hyperlink r:id="rId4180" location="id=32906&amp;action=152&amp;model=crm.lead&amp;view_type=form&amp;menu_id=111" ref="B3054"/>
    <hyperlink r:id="rId4181" location="id=32707&amp;action=152&amp;model=crm.lead&amp;view_type=form&amp;menu_id=111" ref="B3055"/>
    <hyperlink r:id="rId4182" location="id=32885&amp;action=152&amp;model=crm.lead&amp;view_type=form&amp;menu_id=111" ref="B3056"/>
    <hyperlink r:id="rId4183" location="id=32899&amp;action=152&amp;model=crm.lead&amp;view_type=form&amp;menu_id=111" ref="B3057"/>
    <hyperlink r:id="rId4184" location="id=32896&amp;action=152&amp;model=crm.lead&amp;view_type=form&amp;menu_id=111" ref="B3058"/>
    <hyperlink r:id="rId4185" location="id=32895&amp;action=152&amp;model=crm.lead&amp;view_type=form&amp;menu_id=111" ref="B3059"/>
    <hyperlink r:id="rId4186" location="id=32871&amp;action=152&amp;model=crm.lead&amp;view_type=form&amp;menu_id=111" ref="B3060"/>
    <hyperlink r:id="rId4187" location="id=32859&amp;action=152&amp;model=crm.lead&amp;view_type=form&amp;menu_id=111" ref="B3061"/>
    <hyperlink r:id="rId4188" location="id=32857&amp;action=152&amp;model=crm.lead&amp;view_type=form&amp;menu_id=111" ref="B3062"/>
    <hyperlink r:id="rId4189" location="id=32853&amp;action=152&amp;model=crm.lead&amp;view_type=form&amp;menu_id=111" ref="B3063"/>
    <hyperlink r:id="rId4190" location="id=32892&amp;action=152&amp;model=crm.lead&amp;view_type=form&amp;menu_id=111" ref="B3064"/>
    <hyperlink r:id="rId4191" location="id=32882&amp;action=152&amp;model=crm.lead&amp;view_type=form&amp;menu_id=111" ref="B3065"/>
    <hyperlink r:id="rId4192" location="id=32848&amp;action=152&amp;model=crm.lead&amp;view_type=form&amp;menu_id=111" ref="B3066"/>
    <hyperlink r:id="rId4193" location="id=32843&amp;action=152&amp;model=crm.lead&amp;view_type=form&amp;menu_id=111" ref="B3067"/>
    <hyperlink r:id="rId4194" location="id=32834&amp;action=152&amp;model=crm.lead&amp;view_type=form&amp;menu_id=111" ref="B3068"/>
    <hyperlink r:id="rId4195" location="id=32840&amp;action=152&amp;model=crm.lead&amp;view_type=form&amp;menu_id=111" ref="B3069"/>
    <hyperlink r:id="rId4196" location="id=32833&amp;action=152&amp;model=crm.lead&amp;view_type=form&amp;menu_id=111" ref="B3070"/>
    <hyperlink r:id="rId4197" location="id=32826&amp;action=152&amp;model=crm.lead&amp;view_type=form&amp;menu_id=111" ref="B3071"/>
    <hyperlink r:id="rId4198" location="id=32819&amp;action=152&amp;model=crm.lead&amp;view_type=form&amp;menu_id=111" ref="B3072"/>
    <hyperlink r:id="rId4199" location="id=32813&amp;action=152&amp;model=crm.lead&amp;view_type=form&amp;menu_id=111" ref="B3073"/>
    <hyperlink r:id="rId4200" location="id=32807&amp;action=152&amp;model=crm.lead&amp;view_type=form&amp;menu_id=111" ref="B3074"/>
    <hyperlink r:id="rId4201" location="id=32788&amp;action=152&amp;model=crm.lead&amp;view_type=form&amp;menu_id=111" ref="B3075"/>
    <hyperlink r:id="rId4202" location="id=32873&amp;action=152&amp;model=crm.lead&amp;view_type=form&amp;menu_id=111" ref="B3076"/>
    <hyperlink r:id="rId4203" location="id=32804&amp;action=152&amp;model=crm.lead&amp;view_type=form&amp;menu_id=111" ref="B3077"/>
    <hyperlink r:id="rId4204" location="id=32798&amp;action=152&amp;model=crm.lead&amp;view_type=form&amp;menu_id=111" ref="B3078"/>
    <hyperlink r:id="rId4205" location="id=32800&amp;action=152&amp;model=crm.lead&amp;view_type=form&amp;menu_id=111" ref="B3079"/>
    <hyperlink r:id="rId4206" location="id=32676&amp;action=152&amp;model=crm.lead&amp;view_type=form&amp;menu_id=111" ref="B3080"/>
    <hyperlink r:id="rId4207" location="id=32675&amp;action=152&amp;model=crm.lead&amp;view_type=form&amp;menu_id=111" ref="B3081"/>
    <hyperlink r:id="rId4208" location="id=32669&amp;action=152&amp;model=crm.lead&amp;view_type=form&amp;menu_id=111" ref="B3082"/>
    <hyperlink r:id="rId4209" location="id=32663&amp;action=152&amp;model=crm.lead&amp;view_type=form&amp;menu_id=111" ref="B3083"/>
    <hyperlink r:id="rId4210" location="id=32662&amp;action=152&amp;model=crm.lead&amp;view_type=form&amp;menu_id=111" ref="B3084"/>
    <hyperlink r:id="rId4211" location="id=32660&amp;action=152&amp;model=crm.lead&amp;view_type=form&amp;menu_id=111" ref="B3085"/>
    <hyperlink r:id="rId4212" location="id=32655&amp;action=152&amp;model=crm.lead&amp;view_type=form&amp;menu_id=111" ref="B3086"/>
    <hyperlink r:id="rId4213" location="id=32639&amp;action=152&amp;model=crm.lead&amp;view_type=form&amp;menu_id=111" ref="B3087"/>
    <hyperlink r:id="rId4214" location="id=32646&amp;action=152&amp;model=crm.lead&amp;view_type=form&amp;menu_id=111" ref="B3088"/>
    <hyperlink r:id="rId4215" location="id=32635&amp;action=152&amp;model=crm.lead&amp;view_type=form&amp;menu_id=111" ref="B3089"/>
    <hyperlink r:id="rId4216" location="id=32753&amp;action=152&amp;model=crm.lead&amp;view_type=form&amp;menu_id=111" ref="B3090"/>
    <hyperlink r:id="rId4217" location="id=32758&amp;action=152&amp;model=crm.lead&amp;view_type=form&amp;menu_id=111" ref="B3091"/>
    <hyperlink r:id="rId4218" location="id=32763&amp;action=152&amp;model=crm.lead&amp;view_type=form&amp;menu_id=111" ref="B3092"/>
    <hyperlink r:id="rId4219" location="id=32772&amp;action=152&amp;model=crm.lead&amp;view_type=form&amp;menu_id=111" ref="B3093"/>
    <hyperlink r:id="rId4220" location="id=32775&amp;action=152&amp;model=crm.lead&amp;view_type=form&amp;menu_id=111" ref="B3094"/>
    <hyperlink r:id="rId4221" location="id=32781&amp;action=152&amp;model=crm.lead&amp;view_type=form&amp;menu_id=111" ref="B3095"/>
    <hyperlink r:id="rId4222" location="id=32698&amp;action=152&amp;model=crm.lead&amp;view_type=form&amp;menu_id=111" ref="B3096"/>
    <hyperlink r:id="rId4223" location="id=32711&amp;action=152&amp;model=crm.lead&amp;view_type=form&amp;menu_id=111" ref="B3097"/>
    <hyperlink r:id="rId4224" location="id=32716&amp;action=152&amp;model=crm.lead&amp;view_type=form&amp;menu_id=111" ref="B3098"/>
    <hyperlink r:id="rId4225" location="id=32717&amp;action=152&amp;model=crm.lead&amp;view_type=form&amp;menu_id=111" ref="B3099"/>
    <hyperlink r:id="rId4226" location="id=32736&amp;action=152&amp;model=crm.lead&amp;view_type=form&amp;menu_id=111" ref="B3100"/>
    <hyperlink r:id="rId4227" location="id=32739&amp;action=152&amp;model=crm.lead&amp;view_type=form&amp;menu_id=111" ref="B3101"/>
    <hyperlink r:id="rId4228" location="id=32741&amp;action=152&amp;model=crm.lead&amp;view_type=form&amp;menu_id=111" ref="B3102"/>
    <hyperlink r:id="rId4229" location="id=32622&amp;action=152&amp;model=crm.lead&amp;view_type=form&amp;menu_id=111" ref="B3103"/>
    <hyperlink r:id="rId4230" location="id=32623&amp;action=152&amp;model=crm.lead&amp;view_type=form&amp;menu_id=111" ref="B3104"/>
    <hyperlink r:id="rId4231" location="id=32168&amp;action=152&amp;model=crm.lead&amp;view_type=form&amp;menu_id=111" ref="B3105"/>
    <hyperlink r:id="rId4232" location="id=32173&amp;action=152&amp;model=crm.lead&amp;view_type=form&amp;menu_id=111" ref="B3106"/>
    <hyperlink r:id="rId4233" location="id=32362&amp;action=152&amp;model=crm.lead&amp;view_type=form&amp;menu_id=111" ref="B3107"/>
    <hyperlink r:id="rId4234" location="id=32611&amp;action=152&amp;model=crm.lead&amp;view_type=form&amp;menu_id=111" ref="B3108"/>
    <hyperlink r:id="rId4235" location="id=32609&amp;action=152&amp;model=crm.lead&amp;view_type=form&amp;menu_id=111" ref="B3109"/>
    <hyperlink r:id="rId4236" location="id=32599&amp;action=152&amp;model=crm.lead&amp;view_type=form&amp;menu_id=111" ref="B3110"/>
    <hyperlink r:id="rId4237" location="id=32598&amp;action=152&amp;model=crm.lead&amp;view_type=form&amp;menu_id=111" ref="B3111"/>
    <hyperlink r:id="rId4238" location="id=32590&amp;action=152&amp;model=crm.lead&amp;view_type=form&amp;menu_id=111" ref="B3112"/>
    <hyperlink r:id="rId4239" location="id=32574&amp;action=152&amp;model=crm.lead&amp;view_type=form&amp;menu_id=111" ref="B3113"/>
    <hyperlink r:id="rId4240" location="id=32566&amp;action=152&amp;model=crm.lead&amp;view_type=form&amp;menu_id=111" ref="B3114"/>
    <hyperlink r:id="rId4241" location="id=32569&amp;action=152&amp;model=crm.lead&amp;view_type=form&amp;menu_id=111" ref="B3115"/>
    <hyperlink r:id="rId4242" location="id=32511&amp;action=152&amp;model=crm.lead&amp;view_type=form&amp;menu_id=111" ref="B3116"/>
    <hyperlink r:id="rId4243" location="id=32558&amp;action=152&amp;model=crm.lead&amp;view_type=form&amp;menu_id=111" ref="B3117"/>
    <hyperlink r:id="rId4244" location="id=32554&amp;action=152&amp;model=crm.lead&amp;view_type=form&amp;menu_id=111" ref="B3118"/>
    <hyperlink r:id="rId4245" location="id=32540&amp;action=152&amp;model=crm.lead&amp;view_type=form&amp;menu_id=111" ref="B3119"/>
    <hyperlink r:id="rId4246" location="id=32547&amp;action=152&amp;model=crm.lead&amp;view_type=form&amp;menu_id=111" ref="B3120"/>
    <hyperlink r:id="rId4247" location="id=32541&amp;action=152&amp;model=crm.lead&amp;view_type=form&amp;menu_id=111" ref="B3121"/>
    <hyperlink r:id="rId4248" location="id=32548&amp;action=152&amp;model=crm.lead&amp;view_type=form&amp;menu_id=111" ref="B3122"/>
    <hyperlink r:id="rId4249" location="id=32523&amp;action=152&amp;model=crm.lead&amp;view_type=form&amp;menu_id=111" ref="B3123"/>
    <hyperlink r:id="rId4250" location="id=32393&amp;action=152&amp;model=crm.lead&amp;view_type=form&amp;menu_id=111" ref="B3124"/>
    <hyperlink r:id="rId4251" location="id=32402&amp;action=152&amp;model=crm.lead&amp;view_type=form&amp;menu_id=111" ref="B3125"/>
    <hyperlink r:id="rId4252" location="id=32502&amp;action=152&amp;model=crm.lead&amp;view_type=form&amp;menu_id=111" ref="B3126"/>
    <hyperlink r:id="rId4253" location="id=32449&amp;action=152&amp;model=crm.lead&amp;view_type=form&amp;menu_id=111" ref="B3127"/>
    <hyperlink r:id="rId4254" location="id=32476&amp;action=152&amp;model=crm.lead&amp;view_type=form&amp;menu_id=111" ref="B3128"/>
    <hyperlink r:id="rId4255" location="id=32397&amp;action=152&amp;model=crm.lead&amp;view_type=form&amp;menu_id=111" ref="B3129"/>
    <hyperlink r:id="rId4256" location="id=32423&amp;action=152&amp;model=crm.lead&amp;view_type=form&amp;menu_id=111" ref="B3130"/>
    <hyperlink r:id="rId4257" location="id=32493&amp;action=152&amp;model=crm.lead&amp;view_type=form&amp;menu_id=111" ref="B3131"/>
    <hyperlink r:id="rId4258" location="id=32475&amp;action=152&amp;model=crm.lead&amp;view_type=form&amp;menu_id=111" ref="B3132"/>
    <hyperlink r:id="rId4259" location="id=32490&amp;action=152&amp;model=crm.lead&amp;view_type=form&amp;menu_id=111" ref="B3133"/>
    <hyperlink r:id="rId4260" location="id=32369&amp;action=152&amp;model=crm.lead&amp;view_type=form&amp;menu_id=111" ref="B3134"/>
    <hyperlink r:id="rId4261" location="id=32370&amp;action=152&amp;model=crm.lead&amp;view_type=form&amp;menu_id=111" ref="B3135"/>
    <hyperlink r:id="rId4262" location="id=32408&amp;action=152&amp;model=crm.lead&amp;view_type=form&amp;menu_id=111" ref="B3136"/>
    <hyperlink r:id="rId4263" location="id=32445&amp;action=152&amp;model=crm.lead&amp;view_type=form&amp;menu_id=111" ref="B3137"/>
    <hyperlink r:id="rId4264" location="id=32401&amp;action=152&amp;model=crm.lead&amp;view_type=form&amp;menu_id=111" ref="B3138"/>
    <hyperlink r:id="rId4265" location="id=32403&amp;action=152&amp;model=crm.lead&amp;view_type=form&amp;menu_id=111" ref="B3139"/>
    <hyperlink r:id="rId4266" location="id=32404&amp;action=152&amp;model=crm.lead&amp;view_type=form&amp;menu_id=111" ref="B3140"/>
    <hyperlink r:id="rId4267" location="id=32405&amp;action=152&amp;model=crm.lead&amp;view_type=form&amp;menu_id=111" ref="B3141"/>
    <hyperlink r:id="rId4268" location="id=32443&amp;action=152&amp;model=crm.lead&amp;view_type=form&amp;menu_id=111" ref="B3142"/>
    <hyperlink r:id="rId4269" location="id=32429&amp;action=152&amp;model=crm.lead&amp;view_type=form&amp;menu_id=111" ref="B3143"/>
    <hyperlink r:id="rId4270" location="id=32435&amp;action=152&amp;model=crm.lead&amp;view_type=form&amp;menu_id=111" ref="B3144"/>
    <hyperlink r:id="rId4271" location="id=32437&amp;action=152&amp;model=crm.lead&amp;view_type=form&amp;menu_id=111" ref="B3145"/>
    <hyperlink r:id="rId4272" location="id=32439&amp;action=152&amp;model=crm.lead&amp;view_type=form&amp;menu_id=111" ref="B3146"/>
    <hyperlink r:id="rId4273" location="id=32442&amp;action=152&amp;model=crm.lead&amp;view_type=form&amp;menu_id=111" ref="B3147"/>
    <hyperlink r:id="rId4274" location="id=32344&amp;action=152&amp;model=crm.lead&amp;view_type=form&amp;menu_id=111" ref="B3148"/>
    <hyperlink r:id="rId4275" location="id=32352&amp;action=152&amp;model=crm.lead&amp;view_type=form&amp;menu_id=111" ref="B3149"/>
    <hyperlink r:id="rId4276" location="id=32345&amp;action=152&amp;model=crm.lead&amp;view_type=form&amp;menu_id=111" ref="B3150"/>
    <hyperlink r:id="rId4277" location="id=32321&amp;action=152&amp;model=crm.lead&amp;view_type=form&amp;menu_id=111" ref="B3151"/>
    <hyperlink r:id="rId4278" location="id=32341&amp;action=152&amp;model=crm.lead&amp;view_type=form&amp;menu_id=111" ref="B3152"/>
    <hyperlink r:id="rId4279" location="id=32339&amp;action=152&amp;model=crm.lead&amp;view_type=form&amp;menu_id=111" ref="B3153"/>
    <hyperlink r:id="rId4280" location="id=32337&amp;action=152&amp;model=crm.lead&amp;view_type=form&amp;menu_id=111" ref="B3154"/>
    <hyperlink r:id="rId4281" location="id=32334&amp;action=152&amp;model=crm.lead&amp;view_type=form&amp;menu_id=111" ref="B3155"/>
    <hyperlink r:id="rId4282" location="id=32332&amp;action=152&amp;model=crm.lead&amp;view_type=form&amp;menu_id=111" ref="B3156"/>
    <hyperlink r:id="rId4283" location="id=32305&amp;action=152&amp;model=crm.lead&amp;view_type=form&amp;menu_id=111" ref="B3157"/>
    <hyperlink r:id="rId4284" location="id=32283&amp;action=152&amp;model=crm.lead&amp;view_type=form&amp;menu_id=111" ref="B3158"/>
    <hyperlink r:id="rId4285" location="id=32279&amp;action=152&amp;model=crm.lead&amp;view_type=form&amp;menu_id=111" ref="B3159"/>
    <hyperlink r:id="rId4286" location="id=32298&amp;action=152&amp;model=crm.lead&amp;view_type=form&amp;menu_id=111" ref="B3160"/>
    <hyperlink r:id="rId4287" location="id=32294&amp;action=152&amp;model=crm.lead&amp;view_type=form&amp;menu_id=111" ref="B3161"/>
    <hyperlink r:id="rId4288" location="id=32284&amp;action=152&amp;model=crm.lead&amp;view_type=form&amp;menu_id=111" ref="B3162"/>
    <hyperlink r:id="rId4289" location="id=32277&amp;action=152&amp;model=crm.lead&amp;view_type=form&amp;menu_id=111" ref="B3163"/>
    <hyperlink r:id="rId4290" location="id=32275&amp;action=152&amp;model=crm.lead&amp;view_type=form&amp;menu_id=111" ref="B3164"/>
    <hyperlink r:id="rId4291" location="id=32276&amp;action=152&amp;model=crm.lead&amp;view_type=form&amp;menu_id=111" ref="B3165"/>
    <hyperlink r:id="rId4292" location="id=32271&amp;action=152&amp;model=crm.lead&amp;view_type=form&amp;menu_id=111" ref="B3166"/>
    <hyperlink r:id="rId4293" location="id=32264&amp;action=152&amp;model=crm.lead&amp;view_type=form&amp;menu_id=111" ref="B3167"/>
    <hyperlink r:id="rId4294" location="id=32238&amp;action=152&amp;model=crm.lead&amp;view_type=form&amp;menu_id=111" ref="B3168"/>
    <hyperlink r:id="rId4295" location="id=32242&amp;action=152&amp;model=crm.lead&amp;view_type=form&amp;menu_id=111" ref="B3169"/>
    <hyperlink r:id="rId4296" location="id=32253&amp;action=152&amp;model=crm.lead&amp;view_type=form&amp;menu_id=111" ref="B3170"/>
    <hyperlink r:id="rId4297" location="id=32262&amp;action=152&amp;model=crm.lead&amp;view_type=form&amp;menu_id=111" ref="B3171"/>
    <hyperlink r:id="rId4298" location="id=32192&amp;action=152&amp;model=crm.lead&amp;view_type=form&amp;menu_id=111" ref="B3172"/>
    <hyperlink r:id="rId4299" location="id=32223&amp;action=152&amp;model=crm.lead&amp;view_type=form&amp;menu_id=111" ref="B3173"/>
    <hyperlink r:id="rId4300" location="id=32221&amp;action=152&amp;model=crm.lead&amp;view_type=form&amp;menu_id=111" ref="B3174"/>
    <hyperlink r:id="rId4301" location="id=32197&amp;action=152&amp;model=crm.lead&amp;view_type=form&amp;menu_id=111" ref="B3175"/>
    <hyperlink r:id="rId4302" location="id=32219&amp;action=152&amp;model=crm.lead&amp;view_type=form&amp;menu_id=111" ref="B3176"/>
    <hyperlink r:id="rId4303" location="id=32215&amp;action=152&amp;model=crm.lead&amp;view_type=form&amp;menu_id=111" ref="B3177"/>
    <hyperlink r:id="rId4304" location="id=32179&amp;action=152&amp;model=crm.lead&amp;view_type=form&amp;menu_id=111" ref="B3178"/>
    <hyperlink r:id="rId4305" location="id=32201&amp;action=152&amp;model=crm.lead&amp;view_type=form&amp;menu_id=111" ref="B3179"/>
    <hyperlink r:id="rId4306" location="id=32203&amp;action=152&amp;model=crm.lead&amp;view_type=form&amp;menu_id=111" ref="B3180"/>
    <hyperlink r:id="rId4307" location="id=32205&amp;action=152&amp;model=crm.lead&amp;view_type=form&amp;menu_id=111" ref="B3181"/>
    <hyperlink r:id="rId4308" location="id=32181&amp;action=152&amp;model=crm.lead&amp;view_type=form&amp;menu_id=111" ref="B3182"/>
    <hyperlink r:id="rId4309" location="id=32120&amp;action=152&amp;model=crm.lead&amp;view_type=form&amp;menu_id=111" ref="B3183"/>
    <hyperlink r:id="rId4310" location="id=32129&amp;action=152&amp;model=crm.lead&amp;view_type=form&amp;menu_id=111" ref="B3184"/>
    <hyperlink r:id="rId4311" location="id=32169&amp;action=152&amp;model=crm.lead&amp;view_type=form&amp;menu_id=111" ref="B3185"/>
    <hyperlink r:id="rId4312" location="id=32162&amp;action=152&amp;model=crm.lead&amp;view_type=form&amp;menu_id=111" ref="B3186"/>
    <hyperlink r:id="rId4313" location="id=32164&amp;action=152&amp;model=crm.lead&amp;view_type=form&amp;menu_id=111" ref="B3187"/>
    <hyperlink r:id="rId4314" location="id=32140&amp;action=152&amp;model=crm.lead&amp;view_type=form&amp;menu_id=111" ref="B3188"/>
    <hyperlink r:id="rId4315" location="id=32137&amp;action=152&amp;model=crm.lead&amp;view_type=form&amp;menu_id=111" ref="B3189"/>
    <hyperlink r:id="rId4316" location="id=32098&amp;action=152&amp;model=crm.lead&amp;view_type=form&amp;menu_id=111" ref="B3190"/>
    <hyperlink r:id="rId4317" location="id=32089&amp;action=152&amp;model=crm.lead&amp;view_type=form&amp;menu_id=111" ref="B3191"/>
    <hyperlink r:id="rId4318" location="id=32074&amp;action=152&amp;model=crm.lead&amp;view_type=form&amp;menu_id=111" ref="B3192"/>
    <hyperlink r:id="rId4319" location="id=32073&amp;action=152&amp;model=crm.lead&amp;view_type=form&amp;menu_id=111" ref="B3193"/>
    <hyperlink r:id="rId4320" location="id=32078&amp;action=152&amp;model=crm.lead&amp;view_type=form&amp;menu_id=111" ref="B3194"/>
    <hyperlink r:id="rId4321" location="id=32081&amp;action=152&amp;model=crm.lead&amp;view_type=form&amp;menu_id=111" ref="B3195"/>
    <hyperlink r:id="rId4322" location="id=32006&amp;action=152&amp;model=crm.lead&amp;view_type=form&amp;menu_id=111" ref="B3196"/>
    <hyperlink r:id="rId4323" location="id=32002&amp;action=152&amp;model=crm.lead&amp;view_type=form&amp;menu_id=111" ref="B3197"/>
    <hyperlink r:id="rId4324" location="id=32001&amp;action=152&amp;model=crm.lead&amp;view_type=form&amp;menu_id=111" ref="B3198"/>
    <hyperlink r:id="rId4325" location="id=32015&amp;action=152&amp;model=crm.lead&amp;view_type=form&amp;menu_id=111" ref="B3199"/>
    <hyperlink r:id="rId4326" location="id=32072&amp;action=152&amp;model=crm.lead&amp;view_type=form&amp;menu_id=111" ref="B3200"/>
    <hyperlink r:id="rId4327" location="id=32075&amp;action=152&amp;model=crm.lead&amp;view_type=form&amp;menu_id=111" ref="B3201"/>
    <hyperlink r:id="rId4328" location="id=32058&amp;action=152&amp;model=crm.lead&amp;view_type=form&amp;menu_id=111" ref="B3202"/>
    <hyperlink r:id="rId4329" location="id=32017&amp;action=152&amp;model=crm.lead&amp;view_type=form&amp;menu_id=111" ref="B3203"/>
    <hyperlink r:id="rId4330" location="id=31989&amp;action=152&amp;model=crm.lead&amp;view_type=form&amp;menu_id=111" ref="B3204"/>
    <hyperlink r:id="rId4331" location="id=31983&amp;action=152&amp;model=crm.lead&amp;view_type=form&amp;menu_id=111" ref="B3205"/>
    <hyperlink r:id="rId4332" location="id=31981&amp;action=152&amp;model=crm.lead&amp;view_type=form&amp;menu_id=111" ref="B3206"/>
    <hyperlink r:id="rId4333" location="id=31974&amp;action=152&amp;model=crm.lead&amp;view_type=form&amp;menu_id=111" ref="B3207"/>
    <hyperlink r:id="rId4334" location="id=31971&amp;action=152&amp;model=crm.lead&amp;view_type=form&amp;menu_id=111" ref="B3208"/>
    <hyperlink r:id="rId4335" location="id=31969&amp;action=152&amp;model=crm.lead&amp;view_type=form&amp;menu_id=111" ref="B3209"/>
    <hyperlink r:id="rId4336" location="id=31965&amp;action=152&amp;model=crm.lead&amp;view_type=form&amp;menu_id=111" ref="B3210"/>
    <hyperlink r:id="rId4337" location="id=31964&amp;action=152&amp;model=crm.lead&amp;view_type=form&amp;menu_id=111" ref="B3211"/>
    <hyperlink r:id="rId4338" location="id=31963&amp;action=152&amp;model=crm.lead&amp;view_type=form&amp;menu_id=111" ref="B3212"/>
    <hyperlink r:id="rId4339" location="id=31961&amp;action=152&amp;model=crm.lead&amp;view_type=form&amp;menu_id=111" ref="B3213"/>
    <hyperlink r:id="rId4340" location="id=31962&amp;action=152&amp;model=crm.lead&amp;view_type=form&amp;menu_id=111" ref="B3214"/>
    <hyperlink r:id="rId4341" location="id=31960&amp;action=152&amp;model=crm.lead&amp;view_type=form&amp;menu_id=111" ref="B3215"/>
    <hyperlink r:id="rId4342" location="id=31948&amp;action=152&amp;model=crm.lead&amp;view_type=form&amp;menu_id=111" ref="B3216"/>
    <hyperlink r:id="rId4343" location="id=31861&amp;action=152&amp;model=crm.lead&amp;view_type=form&amp;menu_id=111" ref="B3217"/>
    <hyperlink r:id="rId4344" location="id=31848&amp;action=152&amp;model=crm.lead&amp;view_type=form&amp;menu_id=111" ref="B3218"/>
    <hyperlink r:id="rId4345" location="id=31846&amp;action=152&amp;model=crm.lead&amp;view_type=form&amp;menu_id=111" ref="B3219"/>
    <hyperlink r:id="rId4346" location="id=31845&amp;action=152&amp;model=crm.lead&amp;view_type=form&amp;menu_id=111" ref="B3220"/>
    <hyperlink r:id="rId4347" location="id=31838&amp;action=152&amp;model=crm.lead&amp;view_type=form&amp;menu_id=111" ref="B3221"/>
    <hyperlink r:id="rId4348" location="id=31837&amp;action=152&amp;model=crm.lead&amp;view_type=form&amp;menu_id=111" ref="B3222"/>
    <hyperlink r:id="rId4349" location="id=31828&amp;action=152&amp;model=crm.lead&amp;view_type=form&amp;menu_id=111" ref="B3223"/>
    <hyperlink r:id="rId4350" location="id=31827&amp;action=152&amp;model=crm.lead&amp;view_type=form&amp;menu_id=111" ref="B3224"/>
    <hyperlink r:id="rId4351" location="id=31823&amp;action=152&amp;model=crm.lead&amp;view_type=form&amp;menu_id=111" ref="B3225"/>
    <hyperlink r:id="rId4352" location="id=31821&amp;action=152&amp;model=crm.lead&amp;view_type=form&amp;menu_id=111" ref="B3226"/>
    <hyperlink r:id="rId4353" location="id=31817&amp;action=152&amp;model=crm.lead&amp;view_type=form&amp;menu_id=111" ref="B3227"/>
    <hyperlink r:id="rId4354" location="id=31813&amp;action=152&amp;model=crm.lead&amp;view_type=form&amp;menu_id=111" ref="B3228"/>
    <hyperlink r:id="rId4355" location="id=31809&amp;action=152&amp;model=crm.lead&amp;view_type=form&amp;menu_id=111" ref="B3229"/>
    <hyperlink r:id="rId4356" location="id=31802&amp;action=152&amp;model=crm.lead&amp;view_type=form&amp;menu_id=111" ref="B3230"/>
    <hyperlink r:id="rId4357" location="id=31799&amp;action=152&amp;model=crm.lead&amp;view_type=form&amp;menu_id=111" ref="B3231"/>
    <hyperlink r:id="rId4358" location="id=31796&amp;action=152&amp;model=crm.lead&amp;view_type=form&amp;menu_id=111" ref="B3232"/>
    <hyperlink r:id="rId4359" location="id=31791&amp;action=152&amp;model=crm.lead&amp;view_type=form&amp;menu_id=111" ref="B3233"/>
    <hyperlink r:id="rId4360" location="id=31784&amp;action=152&amp;model=crm.lead&amp;view_type=form&amp;menu_id=111" ref="B3234"/>
    <hyperlink r:id="rId4361" location="id=31759&amp;action=152&amp;model=crm.lead&amp;view_type=form&amp;menu_id=111" ref="B3235"/>
    <hyperlink r:id="rId4362" location="id=31757&amp;action=152&amp;model=crm.lead&amp;view_type=form&amp;menu_id=111" ref="B3236"/>
    <hyperlink r:id="rId4363" location="id=31742&amp;action=152&amp;model=crm.lead&amp;view_type=form&amp;menu_id=111" ref="B3237"/>
    <hyperlink r:id="rId4364" location="id=31735&amp;action=152&amp;model=crm.lead&amp;view_type=form&amp;menu_id=111" ref="B3238"/>
    <hyperlink r:id="rId4365" location="id=31726&amp;action=152&amp;model=crm.lead&amp;view_type=form&amp;menu_id=111" ref="B3239"/>
    <hyperlink r:id="rId4366" location="id=31724&amp;action=152&amp;model=crm.lead&amp;view_type=form&amp;menu_id=111" ref="B3240"/>
    <hyperlink r:id="rId4367" location="id=31722&amp;action=152&amp;model=crm.lead&amp;view_type=form&amp;menu_id=111" ref="B3241"/>
    <hyperlink r:id="rId4368" location="id=31719&amp;action=152&amp;model=crm.lead&amp;view_type=form&amp;menu_id=111" ref="B3242"/>
    <hyperlink r:id="rId4369" location="id=31718&amp;action=152&amp;model=crm.lead&amp;view_type=form&amp;menu_id=111" ref="B3243"/>
    <hyperlink r:id="rId4370" location="id=31713&amp;action=152&amp;model=crm.lead&amp;view_type=form&amp;menu_id=111" ref="B3244"/>
    <hyperlink r:id="rId4371" location="id=31710&amp;action=152&amp;model=crm.lead&amp;view_type=form&amp;menu_id=111" ref="B3245"/>
    <hyperlink r:id="rId4372" location="id=31708&amp;action=152&amp;model=crm.lead&amp;view_type=form&amp;menu_id=111" ref="B3246"/>
    <hyperlink r:id="rId4373" location="id=31699&amp;action=152&amp;model=crm.lead&amp;view_type=form&amp;menu_id=111" ref="B3247"/>
    <hyperlink r:id="rId4374" location="id=31693&amp;action=152&amp;model=crm.lead&amp;view_type=form&amp;menu_id=111" ref="B3248"/>
    <hyperlink r:id="rId4375" location="id=31689&amp;action=152&amp;model=crm.lead&amp;view_type=form&amp;menu_id=111" ref="B3249"/>
    <hyperlink r:id="rId4376" location="id=31650&amp;action=152&amp;model=crm.lead&amp;view_type=form&amp;menu_id=111" ref="B3250"/>
    <hyperlink r:id="rId4377" location="id=31570&amp;action=152&amp;model=crm.lead&amp;view_type=form&amp;menu_id=111" ref="B3251"/>
    <hyperlink r:id="rId4378" location="id=31686&amp;action=152&amp;model=crm.lead&amp;view_type=form&amp;menu_id=111" ref="B3252"/>
    <hyperlink r:id="rId4379" location="id=31678&amp;action=152&amp;model=crm.lead&amp;view_type=form&amp;menu_id=111" ref="B3253"/>
    <hyperlink r:id="rId4380" location="id=31676&amp;action=152&amp;model=crm.lead&amp;view_type=form&amp;menu_id=111" ref="B3254"/>
    <hyperlink r:id="rId4381" location="id=31674&amp;action=152&amp;model=crm.lead&amp;view_type=form&amp;menu_id=111" ref="B3255"/>
    <hyperlink r:id="rId4382" location="id=31661&amp;action=152&amp;model=crm.lead&amp;view_type=form&amp;menu_id=111" ref="B3256"/>
    <hyperlink r:id="rId4383" location="id=31659&amp;action=152&amp;model=crm.lead&amp;view_type=form&amp;menu_id=111" ref="B3257"/>
    <hyperlink r:id="rId4384" location="id=31654&amp;action=152&amp;model=crm.lead&amp;view_type=form&amp;menu_id=111" ref="B3258"/>
    <hyperlink r:id="rId4385" location="id=31652&amp;action=152&amp;model=crm.lead&amp;view_type=form&amp;menu_id=111" ref="B3259"/>
    <hyperlink r:id="rId4386" location="id=31649&amp;action=152&amp;model=crm.lead&amp;view_type=form&amp;menu_id=111" ref="B3260"/>
    <hyperlink r:id="rId4387" location="id=31646&amp;action=152&amp;model=crm.lead&amp;view_type=form&amp;menu_id=111" ref="B3261"/>
    <hyperlink r:id="rId4388" location="id=31636&amp;action=152&amp;model=crm.lead&amp;view_type=form&amp;menu_id=111" ref="B3262"/>
    <hyperlink r:id="rId4389" location="id=31607&amp;action=152&amp;model=crm.lead&amp;view_type=form&amp;menu_id=111" ref="B3263"/>
    <hyperlink r:id="rId4390" location="id=31606&amp;action=152&amp;model=crm.lead&amp;view_type=form&amp;menu_id=111" ref="B3264"/>
    <hyperlink r:id="rId4391" location="id=31602&amp;action=152&amp;model=crm.lead&amp;view_type=form&amp;menu_id=111" ref="B3265"/>
    <hyperlink r:id="rId4392" location="id=31591&amp;action=152&amp;model=crm.lead&amp;view_type=form&amp;menu_id=111" ref="B3266"/>
    <hyperlink r:id="rId4393" location="id=31577&amp;action=152&amp;model=crm.lead&amp;view_type=form&amp;menu_id=111" ref="B3267"/>
    <hyperlink r:id="rId4394" location="id=31576&amp;action=152&amp;model=crm.lead&amp;view_type=form&amp;menu_id=111" ref="B3268"/>
    <hyperlink r:id="rId4395" location="id=31566&amp;action=152&amp;model=crm.lead&amp;view_type=form&amp;menu_id=111" ref="B3269"/>
    <hyperlink r:id="rId4396" location="id=31563&amp;action=152&amp;model=crm.lead&amp;view_type=form&amp;menu_id=111" ref="B3270"/>
    <hyperlink r:id="rId4397" location="id=31559&amp;action=152&amp;model=crm.lead&amp;view_type=form&amp;menu_id=111" ref="B3271"/>
    <hyperlink r:id="rId4398" location="id=31553&amp;action=152&amp;model=crm.lead&amp;view_type=form&amp;menu_id=111" ref="B3272"/>
    <hyperlink r:id="rId4399" location="id=31548&amp;action=152&amp;model=crm.lead&amp;view_type=form&amp;menu_id=111" ref="B3273"/>
    <hyperlink r:id="rId4400" location="id=31535&amp;action=152&amp;model=crm.lead&amp;view_type=form&amp;menu_id=111" ref="B3274"/>
    <hyperlink r:id="rId4401" location="id=31530&amp;action=152&amp;model=crm.lead&amp;view_type=form&amp;menu_id=111" ref="B3275"/>
    <hyperlink r:id="rId4402" location="id=31483&amp;action=152&amp;model=crm.lead&amp;view_type=form&amp;menu_id=111" ref="B3276"/>
    <hyperlink r:id="rId4403" location="id=31509&amp;action=152&amp;model=crm.lead&amp;view_type=form&amp;menu_id=111" ref="B3277"/>
    <hyperlink r:id="rId4404" location="id=31506&amp;action=152&amp;model=crm.lead&amp;view_type=form&amp;menu_id=111" ref="B3278"/>
    <hyperlink r:id="rId4405" location="id=31503&amp;action=152&amp;model=crm.lead&amp;view_type=form&amp;menu_id=111" ref="B3279"/>
    <hyperlink r:id="rId4406" location="id=31498&amp;action=152&amp;model=crm.lead&amp;view_type=form&amp;menu_id=111" ref="B3280"/>
    <hyperlink r:id="rId4407" location="id=31491&amp;action=152&amp;model=crm.lead&amp;view_type=form&amp;menu_id=111" ref="B3281"/>
    <hyperlink r:id="rId4408" location="id=31486&amp;action=152&amp;model=crm.lead&amp;view_type=form&amp;menu_id=111" ref="B3282"/>
    <hyperlink r:id="rId4409" location="id=31466&amp;action=152&amp;model=crm.lead&amp;view_type=form&amp;menu_id=111" ref="B3283"/>
    <hyperlink r:id="rId4410" location="id=31462&amp;action=152&amp;model=crm.lead&amp;view_type=form&amp;menu_id=111" ref="B3284"/>
    <hyperlink r:id="rId4411" location="id=31458&amp;action=152&amp;model=crm.lead&amp;view_type=form&amp;menu_id=111" ref="B3285"/>
    <hyperlink r:id="rId4412" location="id=31451&amp;action=152&amp;model=crm.lead&amp;view_type=form&amp;menu_id=111" ref="B3286"/>
    <hyperlink r:id="rId4413" location="id=31456&amp;action=152&amp;model=crm.lead&amp;view_type=form&amp;menu_id=111" ref="B3287"/>
    <hyperlink r:id="rId4414" location="id=31453&amp;action=152&amp;model=crm.lead&amp;view_type=form&amp;menu_id=111" ref="B3288"/>
    <hyperlink r:id="rId4415" location="id=31449&amp;action=152&amp;model=crm.lead&amp;view_type=form&amp;menu_id=111" ref="B3289"/>
    <hyperlink r:id="rId4416" location="id=31435&amp;action=152&amp;model=crm.lead&amp;view_type=form&amp;menu_id=111" ref="B3290"/>
    <hyperlink r:id="rId4417" location="id=31430&amp;action=152&amp;model=crm.lead&amp;view_type=form&amp;menu_id=111" ref="B3291"/>
    <hyperlink r:id="rId4418" location="id=31411&amp;action=152&amp;model=crm.lead&amp;view_type=form&amp;menu_id=111" ref="B3292"/>
    <hyperlink r:id="rId4419" location="id=31408&amp;action=152&amp;model=crm.lead&amp;view_type=form&amp;menu_id=111" ref="B3293"/>
    <hyperlink r:id="rId4420" location="id=31392&amp;action=152&amp;model=crm.lead&amp;view_type=form&amp;menu_id=111" ref="B3294"/>
    <hyperlink r:id="rId4421" location="id=31399&amp;action=152&amp;model=crm.lead&amp;view_type=form&amp;menu_id=111" ref="B3295"/>
    <hyperlink r:id="rId4422" location="id=31383&amp;action=152&amp;model=crm.lead&amp;view_type=form&amp;menu_id=111" ref="B3296"/>
    <hyperlink r:id="rId4423" location="id=31381&amp;action=152&amp;model=crm.lead&amp;view_type=form&amp;menu_id=111" ref="B3297"/>
    <hyperlink r:id="rId4424" location="id=31376&amp;action=152&amp;model=crm.lead&amp;view_type=form&amp;menu_id=111" ref="B3298"/>
    <hyperlink r:id="rId4425" location="id=31344&amp;action=152&amp;model=crm.lead&amp;view_type=form&amp;menu_id=111" ref="B3299"/>
    <hyperlink r:id="rId4426" location="id=31315&amp;action=152&amp;model=crm.lead&amp;view_type=form&amp;menu_id=111" ref="B3300"/>
    <hyperlink r:id="rId4427" location="id=31317&amp;action=152&amp;model=crm.lead&amp;view_type=form&amp;menu_id=111" ref="B3301"/>
    <hyperlink r:id="rId4428" location="id=31307&amp;action=152&amp;model=crm.lead&amp;view_type=form&amp;menu_id=111" ref="B3302"/>
    <hyperlink r:id="rId4429" location="id=31303&amp;action=152&amp;model=crm.lead&amp;view_type=form&amp;menu_id=111" ref="B3303"/>
    <hyperlink r:id="rId4430" location="id=31297&amp;action=152&amp;model=crm.lead&amp;view_type=form&amp;menu_id=111" ref="B3304"/>
    <hyperlink r:id="rId4431" location="id=31296&amp;action=152&amp;model=crm.lead&amp;view_type=form&amp;menu_id=111" ref="B3305"/>
    <hyperlink r:id="rId4432" location="id=31287&amp;action=152&amp;model=crm.lead&amp;view_type=form&amp;menu_id=111" ref="B3306"/>
    <hyperlink r:id="rId4433" location="id=31270&amp;action=152&amp;model=crm.lead&amp;view_type=form&amp;menu_id=111" ref="B3307"/>
    <hyperlink r:id="rId4434" location="id=31261&amp;action=152&amp;model=crm.lead&amp;view_type=form&amp;menu_id=111" ref="B3308"/>
    <hyperlink r:id="rId4435" location="id=31263&amp;action=152&amp;model=crm.lead&amp;view_type=form&amp;menu_id=111" ref="B3309"/>
    <hyperlink r:id="rId4436" location="id=31258&amp;action=152&amp;model=crm.lead&amp;view_type=form&amp;menu_id=111" ref="B3310"/>
    <hyperlink r:id="rId4437" location="id=31253&amp;action=152&amp;model=crm.lead&amp;view_type=form&amp;menu_id=111" ref="B3311"/>
    <hyperlink r:id="rId4438" location="id=31217&amp;action=152&amp;model=crm.lead&amp;view_type=form&amp;menu_id=111" ref="B3312"/>
    <hyperlink r:id="rId4439" location="id=31243&amp;action=152&amp;model=crm.lead&amp;view_type=form&amp;menu_id=111" ref="B3313"/>
    <hyperlink r:id="rId4440" location="id=31245&amp;action=152&amp;model=crm.lead&amp;view_type=form&amp;menu_id=111" ref="B3314"/>
    <hyperlink r:id="rId4441" location="id=31236&amp;action=152&amp;model=crm.lead&amp;view_type=form&amp;menu_id=111" ref="B3315"/>
    <hyperlink r:id="rId4442" location="id=31216&amp;action=152&amp;model=crm.lead&amp;view_type=form&amp;menu_id=111" ref="B3316"/>
    <hyperlink r:id="rId4443" location="id=31210&amp;action=152&amp;model=crm.lead&amp;view_type=form&amp;menu_id=111" ref="B3317"/>
    <hyperlink r:id="rId4444" location="id=31205&amp;action=152&amp;model=crm.lead&amp;view_type=form&amp;menu_id=111" ref="B3318"/>
    <hyperlink r:id="rId4445" location="id=31193&amp;action=152&amp;model=crm.lead&amp;view_type=form&amp;menu_id=111" ref="B3319"/>
    <hyperlink r:id="rId4446" location="id=31171&amp;action=152&amp;model=crm.lead&amp;view_type=form&amp;menu_id=111" ref="B3320"/>
    <hyperlink r:id="rId4447" location="id=31158&amp;action=152&amp;model=crm.lead&amp;view_type=form&amp;menu_id=111" ref="B3321"/>
    <hyperlink r:id="rId4448" location="id=31149&amp;action=152&amp;model=crm.lead&amp;view_type=form&amp;menu_id=111" ref="B3322"/>
    <hyperlink r:id="rId4449" location="id=31123&amp;action=152&amp;model=crm.lead&amp;view_type=form&amp;menu_id=111" ref="B3323"/>
    <hyperlink r:id="rId4450" location="id=31119&amp;action=152&amp;model=crm.lead&amp;view_type=form&amp;menu_id=111" ref="B3324"/>
    <hyperlink r:id="rId4451" location="id=31080&amp;action=152&amp;model=crm.lead&amp;view_type=form&amp;menu_id=111" ref="B3325"/>
    <hyperlink r:id="rId4452" location="id=31014&amp;action=152&amp;model=crm.lead&amp;view_type=form&amp;menu_id=111" ref="B3326"/>
    <hyperlink r:id="rId4453" location="id=31033&amp;action=152&amp;model=crm.lead&amp;view_type=form&amp;menu_id=111" ref="B3327"/>
    <hyperlink r:id="rId4454" location="id=31038&amp;action=152&amp;model=crm.lead&amp;view_type=form&amp;menu_id=111" ref="B3328"/>
    <hyperlink r:id="rId4455" location="id=31039&amp;action=152&amp;model=crm.lead&amp;view_type=form&amp;menu_id=111" ref="B3329"/>
    <hyperlink r:id="rId4456" location="id=31052&amp;action=152&amp;model=crm.lead&amp;view_type=form&amp;menu_id=111" ref="B3330"/>
    <hyperlink r:id="rId4457" location="id=31053&amp;action=152&amp;model=crm.lead&amp;view_type=form&amp;menu_id=111" ref="B3331"/>
    <hyperlink r:id="rId4458" location="id=31057&amp;action=152&amp;model=crm.lead&amp;view_type=form&amp;menu_id=111" ref="B3332"/>
    <hyperlink r:id="rId4459" location="id=31064&amp;action=152&amp;model=crm.lead&amp;view_type=form&amp;menu_id=111" ref="B3333"/>
    <hyperlink r:id="rId4460" location="id=31067&amp;action=152&amp;model=crm.lead&amp;view_type=form&amp;menu_id=111" ref="B3334"/>
    <hyperlink r:id="rId4461" location="id=31069&amp;action=152&amp;model=crm.lead&amp;view_type=form&amp;menu_id=111" ref="B3335"/>
    <hyperlink r:id="rId4462" location="id=31076&amp;action=152&amp;model=crm.lead&amp;view_type=form&amp;menu_id=111" ref="B3336"/>
    <hyperlink r:id="rId4463" location="id=31082&amp;action=152&amp;model=crm.lead&amp;view_type=form&amp;menu_id=111" ref="B3337"/>
    <hyperlink r:id="rId4464" location="id=30971&amp;action=152&amp;model=crm.lead&amp;view_type=form&amp;menu_id=111" ref="B3338"/>
    <hyperlink r:id="rId4465" location="id=30922&amp;action=152&amp;model=crm.lead&amp;view_type=form&amp;menu_id=111" ref="B3339"/>
    <hyperlink r:id="rId4466" location="id=30969&amp;action=152&amp;model=crm.lead&amp;view_type=form&amp;menu_id=111" ref="B3340"/>
    <hyperlink r:id="rId4467" location="id=30936&amp;action=152&amp;model=crm.lead&amp;view_type=form&amp;menu_id=111" ref="B3341"/>
    <hyperlink r:id="rId4468" location="id=30943&amp;action=152&amp;model=crm.lead&amp;view_type=form&amp;menu_id=111" ref="B3342"/>
    <hyperlink r:id="rId4469" location="id=30949&amp;action=152&amp;model=crm.lead&amp;view_type=form&amp;menu_id=111" ref="B3343"/>
    <hyperlink r:id="rId4470" location="id=30950&amp;action=152&amp;model=crm.lead&amp;view_type=form&amp;menu_id=111" ref="B3344"/>
    <hyperlink r:id="rId4471" location="id=30961&amp;action=152&amp;model=crm.lead&amp;view_type=form&amp;menu_id=111" ref="B3345"/>
    <hyperlink r:id="rId4472" location="id=30825&amp;action=152&amp;model=crm.lead&amp;view_type=form&amp;menu_id=111" ref="B3346"/>
    <hyperlink r:id="rId4473" location="id=30838&amp;action=152&amp;model=crm.lead&amp;view_type=form&amp;menu_id=111" ref="B3347"/>
    <hyperlink r:id="rId4474" location="id=30839&amp;action=152&amp;model=crm.lead&amp;view_type=form&amp;menu_id=111" ref="B3348"/>
    <hyperlink r:id="rId4475" location="id=30868&amp;action=152&amp;model=crm.lead&amp;view_type=form&amp;menu_id=111" ref="B3349"/>
    <hyperlink r:id="rId4476" location="id=30869&amp;action=152&amp;model=crm.lead&amp;view_type=form&amp;menu_id=111" ref="B3350"/>
    <hyperlink r:id="rId4477" location="id=30870&amp;action=152&amp;model=crm.lead&amp;view_type=form&amp;menu_id=111" ref="B3351"/>
    <hyperlink r:id="rId4478" location="id=30873&amp;action=152&amp;model=crm.lead&amp;view_type=form&amp;menu_id=111" ref="B3352"/>
    <hyperlink r:id="rId4479" location="id=30875&amp;action=152&amp;model=crm.lead&amp;view_type=form&amp;menu_id=111" ref="B3353"/>
    <hyperlink r:id="rId4480" location="id=30876&amp;action=152&amp;model=crm.lead&amp;view_type=form&amp;menu_id=111" ref="B3354"/>
    <hyperlink r:id="rId4481" location="id=30881&amp;action=152&amp;model=crm.lead&amp;view_type=form&amp;menu_id=111" ref="B3355"/>
    <hyperlink r:id="rId4482" location="id=30859&amp;action=152&amp;model=crm.lead&amp;view_type=form&amp;menu_id=111" ref="B3356"/>
    <hyperlink r:id="rId4483" location="id=30840&amp;action=152&amp;model=crm.lead&amp;view_type=form&amp;menu_id=111" ref="B3357"/>
    <hyperlink r:id="rId4484" location="id=30841&amp;action=152&amp;model=crm.lead&amp;view_type=form&amp;menu_id=111" ref="B3358"/>
    <hyperlink r:id="rId4485" location="id=30845&amp;action=152&amp;model=crm.lead&amp;view_type=form&amp;menu_id=111" ref="B3359"/>
    <hyperlink r:id="rId4486" location="id=30863&amp;action=152&amp;model=crm.lead&amp;view_type=form&amp;menu_id=111" ref="B3360"/>
    <hyperlink r:id="rId4487" location="id=30773&amp;action=152&amp;model=crm.lead&amp;view_type=form&amp;menu_id=111" ref="B3361"/>
    <hyperlink r:id="rId4488" location="id=30763&amp;action=152&amp;model=crm.lead&amp;view_type=form&amp;menu_id=111" ref="B3362"/>
    <hyperlink r:id="rId4489" location="id=30766&amp;action=152&amp;model=crm.lead&amp;view_type=form&amp;menu_id=111" ref="B3363"/>
    <hyperlink r:id="rId4490" location="id=30776&amp;action=152&amp;model=crm.lead&amp;view_type=form&amp;menu_id=111" ref="B3364"/>
    <hyperlink r:id="rId4491" location="id=30777&amp;action=152&amp;model=crm.lead&amp;view_type=form&amp;menu_id=111" ref="B3365"/>
    <hyperlink r:id="rId4492" location="id=30782&amp;action=152&amp;model=crm.lead&amp;view_type=form&amp;menu_id=111" ref="B3366"/>
    <hyperlink r:id="rId4493" location="id=30802&amp;action=152&amp;model=crm.lead&amp;view_type=form&amp;menu_id=111" ref="B3367"/>
    <hyperlink r:id="rId4494" location="id=30804&amp;action=152&amp;model=crm.lead&amp;view_type=form&amp;menu_id=111" ref="B3368"/>
    <hyperlink r:id="rId4495" location="id=30805&amp;action=152&amp;model=crm.lead&amp;view_type=form&amp;menu_id=111" ref="B3369"/>
    <hyperlink r:id="rId4496" location="id=30816&amp;action=152&amp;model=crm.lead&amp;view_type=form&amp;menu_id=111" ref="B3370"/>
    <hyperlink r:id="rId4497" location="id=30824&amp;action=152&amp;model=crm.lead&amp;view_type=form&amp;menu_id=111" ref="B3371"/>
    <hyperlink r:id="rId4498" location="id=30832&amp;action=152&amp;model=crm.lead&amp;view_type=form&amp;menu_id=111" ref="B3372"/>
    <hyperlink r:id="rId4499" location="id=30750&amp;action=152&amp;model=crm.lead&amp;view_type=form&amp;menu_id=111" ref="B3373"/>
    <hyperlink r:id="rId4500" location="id=30746&amp;action=152&amp;model=crm.lead&amp;view_type=form&amp;menu_id=111" ref="B3374"/>
    <hyperlink r:id="rId4501" location="id=30743&amp;action=152&amp;model=crm.lead&amp;view_type=form&amp;menu_id=111" ref="B3375"/>
    <hyperlink r:id="rId4502" location="id=30738&amp;action=152&amp;model=crm.lead&amp;view_type=form&amp;menu_id=111" ref="B3376"/>
    <hyperlink r:id="rId4503" location="id=30730&amp;action=152&amp;model=crm.lead&amp;view_type=form&amp;menu_id=111" ref="B3377"/>
    <hyperlink r:id="rId4504" location="id=30726&amp;action=152&amp;model=crm.lead&amp;view_type=form&amp;menu_id=111" ref="B3378"/>
    <hyperlink r:id="rId4505" location="id=30725&amp;action=152&amp;model=crm.lead&amp;view_type=form&amp;menu_id=111" ref="B3379"/>
    <hyperlink r:id="rId4506" location="id=30719&amp;action=152&amp;model=crm.lead&amp;view_type=form&amp;menu_id=111" ref="B3380"/>
    <hyperlink r:id="rId4507" location="id=30714&amp;action=152&amp;model=crm.lead&amp;view_type=form&amp;menu_id=111" ref="B3381"/>
    <hyperlink r:id="rId4508" location="id=30710&amp;action=152&amp;model=crm.lead&amp;view_type=form&amp;menu_id=111" ref="B3382"/>
    <hyperlink r:id="rId4509" location="id=30697&amp;action=152&amp;model=crm.lead&amp;view_type=form&amp;menu_id=111" ref="B3383"/>
    <hyperlink r:id="rId4510" location="id=30692&amp;action=152&amp;model=crm.lead&amp;view_type=form&amp;menu_id=111" ref="B3384"/>
    <hyperlink r:id="rId4511" location="id=30685&amp;action=152&amp;model=crm.lead&amp;view_type=form&amp;menu_id=111" ref="B3385"/>
    <hyperlink r:id="rId4512" location="id=30390&amp;action=152&amp;model=crm.lead&amp;view_type=form&amp;menu_id=111" ref="B3386"/>
    <hyperlink r:id="rId4513" location="id=30676&amp;action=152&amp;model=crm.lead&amp;view_type=form&amp;menu_id=111" ref="B3387"/>
    <hyperlink r:id="rId4514" location="id=30671&amp;action=152&amp;model=crm.lead&amp;view_type=form&amp;menu_id=111" ref="B3388"/>
    <hyperlink r:id="rId4515" location="id=30668&amp;action=152&amp;model=crm.lead&amp;view_type=form&amp;menu_id=111" ref="B3389"/>
    <hyperlink r:id="rId4516" location="id=30658&amp;action=152&amp;model=crm.lead&amp;view_type=form&amp;menu_id=111" ref="B3390"/>
    <hyperlink r:id="rId4517" location="id=30651&amp;action=152&amp;model=crm.lead&amp;view_type=form&amp;menu_id=111" ref="B3391"/>
    <hyperlink r:id="rId4518" location="id=30637&amp;action=152&amp;model=crm.lead&amp;view_type=form&amp;menu_id=111" ref="B3392"/>
    <hyperlink r:id="rId4519" location="id=30636&amp;action=152&amp;model=crm.lead&amp;view_type=form&amp;menu_id=111" ref="B3393"/>
    <hyperlink r:id="rId4520" location="id=30635&amp;action=152&amp;model=crm.lead&amp;view_type=form&amp;menu_id=111" ref="B3394"/>
    <hyperlink r:id="rId4521" location="id=30601&amp;action=152&amp;model=crm.lead&amp;view_type=form&amp;menu_id=111" ref="B3395"/>
    <hyperlink r:id="rId4522" location="id=30596&amp;action=152&amp;model=crm.lead&amp;view_type=form&amp;menu_id=111" ref="B3396"/>
    <hyperlink r:id="rId4523" location="id=30631&amp;action=152&amp;model=crm.lead&amp;view_type=form&amp;menu_id=111" ref="B3397"/>
    <hyperlink r:id="rId4524" location="id=30617&amp;action=152&amp;model=crm.lead&amp;view_type=form&amp;menu_id=111" ref="B3398"/>
    <hyperlink r:id="rId4525" location="id=30608&amp;action=152&amp;model=crm.lead&amp;view_type=form&amp;menu_id=111" ref="B3399"/>
    <hyperlink r:id="rId4526" location="id=30604&amp;action=152&amp;model=crm.lead&amp;view_type=form&amp;menu_id=111" ref="B3400"/>
    <hyperlink r:id="rId4527" location="id=30625&amp;action=152&amp;model=crm.lead&amp;view_type=form&amp;menu_id=111" ref="B3401"/>
    <hyperlink r:id="rId4528" location="id=30626&amp;action=152&amp;model=crm.lead&amp;view_type=form&amp;menu_id=111" ref="B3402"/>
    <hyperlink r:id="rId4529" location="id=30627&amp;action=152&amp;model=crm.lead&amp;view_type=form&amp;menu_id=111" ref="B3403"/>
    <hyperlink r:id="rId4530" location="id=30584&amp;action=152&amp;model=crm.lead&amp;view_type=form&amp;menu_id=111" ref="B3404"/>
    <hyperlink r:id="rId4531" location="id=30580&amp;action=152&amp;model=crm.lead&amp;view_type=form&amp;menu_id=111" ref="B3405"/>
    <hyperlink r:id="rId4532" location="id=30566&amp;action=152&amp;model=crm.lead&amp;view_type=form&amp;menu_id=111" ref="B3406"/>
    <hyperlink r:id="rId4533" location="id=30562&amp;action=152&amp;model=crm.lead&amp;view_type=form&amp;menu_id=111" ref="B3407"/>
    <hyperlink r:id="rId4534" location="id=30553&amp;action=152&amp;model=crm.lead&amp;view_type=form&amp;menu_id=111" ref="B3408"/>
    <hyperlink r:id="rId4535" location="id=30548&amp;action=152&amp;model=crm.lead&amp;view_type=form&amp;menu_id=111" ref="B3409"/>
    <hyperlink r:id="rId4536" location="id=30549&amp;action=152&amp;model=crm.lead&amp;view_type=form&amp;menu_id=111" ref="B3410"/>
    <hyperlink r:id="rId4537" location="id=30466&amp;action=152&amp;model=crm.lead&amp;view_type=form&amp;menu_id=111" ref="B3411"/>
    <hyperlink r:id="rId4538" location="id=30526&amp;action=152&amp;model=crm.lead&amp;view_type=form&amp;menu_id=111" ref="B3412"/>
    <hyperlink r:id="rId4539" location="id=30471&amp;action=152&amp;model=crm.lead&amp;view_type=form&amp;menu_id=111" ref="B3413"/>
    <hyperlink r:id="rId4540" location="id=30476&amp;action=152&amp;model=crm.lead&amp;view_type=form&amp;menu_id=111" ref="B3414"/>
    <hyperlink r:id="rId4541" location="id=30477&amp;action=152&amp;model=crm.lead&amp;view_type=form&amp;menu_id=111" ref="B3415"/>
    <hyperlink r:id="rId4542" location="id=30488&amp;action=152&amp;model=crm.lead&amp;view_type=form&amp;menu_id=111" ref="B3416"/>
    <hyperlink r:id="rId4543" location="id=30498&amp;action=152&amp;model=crm.lead&amp;view_type=form&amp;menu_id=111" ref="B3417"/>
    <hyperlink r:id="rId4544" location="id=30514&amp;action=152&amp;model=crm.lead&amp;view_type=form&amp;menu_id=111" ref="B3418"/>
    <hyperlink r:id="rId4545" location="id=30516&amp;action=152&amp;model=crm.lead&amp;view_type=form&amp;menu_id=111" ref="B3419"/>
    <hyperlink r:id="rId4546" location="id=30515&amp;action=152&amp;model=crm.lead&amp;view_type=form&amp;menu_id=111" ref="B3420"/>
    <hyperlink r:id="rId4547" location="id=30509&amp;action=152&amp;model=crm.lead&amp;view_type=form&amp;menu_id=111" ref="B3421"/>
    <hyperlink r:id="rId4548" location="id=30494&amp;action=152&amp;model=crm.lead&amp;view_type=form&amp;menu_id=111" ref="B3422"/>
    <hyperlink r:id="rId4549" location="id=30495&amp;action=152&amp;model=crm.lead&amp;view_type=form&amp;menu_id=111" ref="B3423"/>
    <hyperlink r:id="rId4550" location="id=30497&amp;action=152&amp;model=crm.lead&amp;view_type=form&amp;menu_id=111" ref="B3424"/>
    <hyperlink r:id="rId4551" location="id=30496&amp;action=152&amp;model=crm.lead&amp;view_type=form&amp;menu_id=111" ref="B3425"/>
    <hyperlink r:id="rId4552" location="id=30501&amp;action=152&amp;model=crm.lead&amp;view_type=form&amp;menu_id=111" ref="B3426"/>
    <hyperlink r:id="rId4553" location="id=30358&amp;action=152&amp;model=crm.lead&amp;view_type=form&amp;menu_id=111" ref="B3427"/>
    <hyperlink r:id="rId4554" location="id=30455&amp;action=152&amp;model=crm.lead&amp;view_type=form&amp;menu_id=111" ref="B3428"/>
    <hyperlink r:id="rId4555" location="id=30450&amp;action=152&amp;model=crm.lead&amp;view_type=form&amp;menu_id=111" ref="B3429"/>
    <hyperlink r:id="rId4556" location="id=30271&amp;action=152&amp;model=crm.lead&amp;view_type=form&amp;menu_id=111" ref="B3430"/>
    <hyperlink r:id="rId4557" location="id=30260&amp;action=152&amp;model=crm.lead&amp;view_type=form&amp;menu_id=111" ref="B3431"/>
    <hyperlink r:id="rId4558" location="id=30255&amp;action=152&amp;model=crm.lead&amp;view_type=form&amp;menu_id=111" ref="B3432"/>
    <hyperlink r:id="rId4559" location="id=30253&amp;action=152&amp;model=crm.lead&amp;view_type=form&amp;menu_id=111" ref="B3433"/>
    <hyperlink r:id="rId4560" location="id=30262&amp;action=152&amp;model=crm.lead&amp;view_type=form&amp;menu_id=111" ref="B3434"/>
    <hyperlink r:id="rId4561" location="id=30273&amp;action=152&amp;model=crm.lead&amp;view_type=form&amp;menu_id=111" ref="B3435"/>
    <hyperlink r:id="rId4562" location="id=30287&amp;action=152&amp;model=crm.lead&amp;view_type=form&amp;menu_id=111" ref="B3436"/>
    <hyperlink r:id="rId4563" location="id=30294&amp;action=152&amp;model=crm.lead&amp;view_type=form&amp;menu_id=111" ref="B3437"/>
    <hyperlink r:id="rId4564" location="id=30293&amp;action=152&amp;model=crm.lead&amp;view_type=form&amp;menu_id=111" ref="B3438"/>
    <hyperlink r:id="rId4565" location="id=30302&amp;action=152&amp;model=crm.lead&amp;view_type=form&amp;menu_id=111" ref="B3439"/>
    <hyperlink r:id="rId4566" location="id=30423&amp;action=152&amp;model=crm.lead&amp;view_type=form&amp;menu_id=111" ref="B3440"/>
    <hyperlink r:id="rId4567" location="id=30443&amp;action=152&amp;model=crm.lead&amp;view_type=form&amp;menu_id=111" ref="B3441"/>
    <hyperlink r:id="rId4568" location="id=30419&amp;action=152&amp;model=crm.lead&amp;view_type=form&amp;menu_id=111" ref="B3442"/>
    <hyperlink r:id="rId4569" location="id=30424&amp;action=152&amp;model=crm.lead&amp;view_type=form&amp;menu_id=111" ref="B3443"/>
    <hyperlink r:id="rId4570" location="id=30437&amp;action=152&amp;model=crm.lead&amp;view_type=form&amp;menu_id=111" ref="B3444"/>
    <hyperlink r:id="rId4571" location="id=30411&amp;action=152&amp;model=crm.lead&amp;view_type=form&amp;menu_id=111" ref="B3445"/>
    <hyperlink r:id="rId4572" location="id=30339&amp;action=152&amp;model=crm.lead&amp;view_type=form&amp;menu_id=111" ref="B3446"/>
    <hyperlink r:id="rId4573" location="id=30337&amp;action=152&amp;model=crm.lead&amp;view_type=form&amp;menu_id=111" ref="B3447"/>
    <hyperlink r:id="rId4574" location="id=30386&amp;action=152&amp;model=crm.lead&amp;view_type=form&amp;menu_id=111" ref="B3448"/>
    <hyperlink r:id="rId4575" location="id=30387&amp;action=152&amp;model=crm.lead&amp;view_type=form&amp;menu_id=111" ref="B3449"/>
    <hyperlink r:id="rId4576" location="id=30393&amp;action=152&amp;model=crm.lead&amp;view_type=form&amp;menu_id=111" ref="B3450"/>
    <hyperlink r:id="rId4577" location="id=30394&amp;action=152&amp;model=crm.lead&amp;view_type=form&amp;menu_id=111" ref="B3451"/>
    <hyperlink r:id="rId4578" location="id=30396&amp;action=152&amp;model=crm.lead&amp;view_type=form&amp;menu_id=111" ref="B3452"/>
    <hyperlink r:id="rId4579" location="id=30314&amp;action=152&amp;model=crm.lead&amp;view_type=form&amp;menu_id=111" ref="B3453"/>
    <hyperlink r:id="rId4580" location="id=30362&amp;action=152&amp;model=crm.lead&amp;view_type=form&amp;menu_id=111" ref="B3454"/>
    <hyperlink r:id="rId4581" location="id=30367&amp;action=152&amp;model=crm.lead&amp;view_type=form&amp;menu_id=111" ref="B3455"/>
    <hyperlink r:id="rId4582" location="id=30383&amp;action=152&amp;model=crm.lead&amp;view_type=form&amp;menu_id=111" ref="B3456"/>
    <hyperlink r:id="rId4583" location="id=30249&amp;action=152&amp;model=crm.lead&amp;view_type=form&amp;menu_id=111" ref="B3457"/>
    <hyperlink r:id="rId4584" location="id=30239&amp;action=152&amp;model=crm.lead&amp;view_type=form&amp;menu_id=111" ref="B3458"/>
    <hyperlink r:id="rId4585" location="id=30238&amp;action=152&amp;model=crm.lead&amp;view_type=form&amp;menu_id=111" ref="B3459"/>
    <hyperlink r:id="rId4586" location="id=30223&amp;action=152&amp;model=crm.lead&amp;view_type=form&amp;menu_id=111" ref="B3460"/>
    <hyperlink r:id="rId4587" location="id=30228&amp;action=152&amp;model=crm.lead&amp;view_type=form&amp;menu_id=111" ref="B3461"/>
    <hyperlink r:id="rId4588" location="id=30225&amp;action=152&amp;model=crm.lead&amp;view_type=form&amp;menu_id=111" ref="B3462"/>
    <hyperlink r:id="rId4589" location="id=30219&amp;action=152&amp;model=crm.lead&amp;view_type=form&amp;menu_id=111" ref="B3463"/>
    <hyperlink r:id="rId4590" location="id=30213&amp;action=152&amp;model=crm.lead&amp;view_type=form&amp;menu_id=111" ref="B3464"/>
    <hyperlink r:id="rId4591" location="id=30212&amp;action=152&amp;model=crm.lead&amp;view_type=form&amp;menu_id=111" ref="B3465"/>
    <hyperlink r:id="rId4592" location="id=30202&amp;action=152&amp;model=crm.lead&amp;view_type=form&amp;menu_id=111" ref="B3466"/>
    <hyperlink r:id="rId4593" location="id=30198&amp;action=152&amp;model=crm.lead&amp;view_type=form&amp;menu_id=111" ref="B3467"/>
    <hyperlink r:id="rId4594" location="id=30194&amp;action=152&amp;model=crm.lead&amp;view_type=form&amp;menu_id=111" ref="B3468"/>
    <hyperlink r:id="rId4595" location="id=30193&amp;action=152&amp;model=crm.lead&amp;view_type=form&amp;menu_id=111" ref="B3469"/>
    <hyperlink r:id="rId4596" location="id=30185&amp;action=152&amp;model=crm.lead&amp;view_type=form&amp;menu_id=111" ref="B3470"/>
    <hyperlink r:id="rId4597" location="id=30177&amp;action=152&amp;model=crm.lead&amp;view_type=form&amp;menu_id=111" ref="B3471"/>
    <hyperlink r:id="rId4598" location="id=30178&amp;action=152&amp;model=crm.lead&amp;view_type=form&amp;menu_id=111" ref="B3472"/>
    <hyperlink r:id="rId4599" location="id=30173&amp;action=152&amp;model=crm.lead&amp;view_type=form&amp;menu_id=111" ref="B3473"/>
    <hyperlink r:id="rId4600" location="id=30171&amp;action=152&amp;model=crm.lead&amp;view_type=form&amp;menu_id=111" ref="B3474"/>
    <hyperlink r:id="rId4601" location="id=30170&amp;action=152&amp;model=crm.lead&amp;view_type=form&amp;menu_id=111" ref="B3475"/>
    <hyperlink r:id="rId4602" location="id=30166&amp;action=152&amp;model=crm.lead&amp;view_type=form&amp;menu_id=111" ref="B3476"/>
    <hyperlink r:id="rId4603" location="id=30162&amp;action=152&amp;model=crm.lead&amp;view_type=form&amp;menu_id=111" ref="B3477"/>
    <hyperlink r:id="rId4604" location="id=30159&amp;action=152&amp;model=crm.lead&amp;view_type=form&amp;menu_id=111" ref="B3478"/>
    <hyperlink r:id="rId4605" location="id=30156&amp;action=152&amp;model=crm.lead&amp;view_type=form&amp;menu_id=111" ref="B3479"/>
    <hyperlink r:id="rId4606" location="id=30151&amp;action=152&amp;model=crm.lead&amp;view_type=form&amp;menu_id=111" ref="B3480"/>
    <hyperlink r:id="rId4607" location="id=30150&amp;action=152&amp;model=crm.lead&amp;view_type=form&amp;menu_id=111" ref="B3481"/>
    <hyperlink r:id="rId4608" location="id=30148&amp;action=152&amp;model=crm.lead&amp;view_type=form&amp;menu_id=111" ref="B3482"/>
    <hyperlink r:id="rId4609" location="id=30141&amp;action=152&amp;model=crm.lead&amp;view_type=form&amp;menu_id=111" ref="B3483"/>
    <hyperlink r:id="rId4610" location="id=30136&amp;action=152&amp;model=crm.lead&amp;view_type=form&amp;menu_id=111" ref="B3484"/>
    <hyperlink r:id="rId4611" location="id=30122&amp;action=152&amp;model=crm.lead&amp;view_type=form&amp;menu_id=111" ref="B3485"/>
    <hyperlink r:id="rId4612" location="id=30121&amp;action=152&amp;model=crm.lead&amp;view_type=form&amp;menu_id=111" ref="B3486"/>
    <hyperlink r:id="rId4613" location="id=30129&amp;action=152&amp;model=crm.lead&amp;view_type=form&amp;menu_id=111" ref="B3487"/>
    <hyperlink r:id="rId4614" location="id=30118&amp;action=152&amp;model=crm.lead&amp;view_type=form&amp;menu_id=111" ref="B3488"/>
    <hyperlink r:id="rId4615" location="id=29935&amp;action=152&amp;model=crm.lead&amp;view_type=form&amp;menu_id=111" ref="B3489"/>
    <hyperlink r:id="rId4616" location="id=30107&amp;action=152&amp;model=crm.lead&amp;view_type=form&amp;menu_id=111" ref="B3490"/>
    <hyperlink r:id="rId4617" location="id=30068&amp;action=152&amp;model=crm.lead&amp;view_type=form&amp;menu_id=111" ref="B3491"/>
    <hyperlink r:id="rId4618" location="id=29968&amp;action=152&amp;model=crm.lead&amp;view_type=form&amp;menu_id=111" ref="B3492"/>
    <hyperlink r:id="rId4619" location="id=30060&amp;action=152&amp;model=crm.lead&amp;view_type=form&amp;menu_id=111" ref="B3493"/>
    <hyperlink r:id="rId4620" location="id=30052&amp;action=152&amp;model=crm.lead&amp;view_type=form&amp;menu_id=111" ref="B3494"/>
    <hyperlink r:id="rId4621" location="id=30058&amp;action=152&amp;model=crm.lead&amp;view_type=form&amp;menu_id=111" ref="B3495"/>
    <hyperlink r:id="rId4622" location="id=30053&amp;action=152&amp;model=crm.lead&amp;view_type=form&amp;menu_id=111" ref="B3496"/>
    <hyperlink r:id="rId4623" location="id=30046&amp;action=152&amp;model=crm.lead&amp;view_type=form&amp;menu_id=111" ref="B3497"/>
    <hyperlink r:id="rId4624" location="id=30045&amp;action=152&amp;model=crm.lead&amp;view_type=form&amp;menu_id=111" ref="B3498"/>
    <hyperlink r:id="rId4625" location="id=30029&amp;action=152&amp;model=crm.lead&amp;view_type=form&amp;menu_id=111" ref="B3499"/>
    <hyperlink r:id="rId4626" location="id=30025&amp;action=152&amp;model=crm.lead&amp;view_type=form&amp;menu_id=111" ref="B3500"/>
    <hyperlink r:id="rId4627" location="id=30020&amp;action=152&amp;model=crm.lead&amp;view_type=form&amp;menu_id=111" ref="B3501"/>
    <hyperlink r:id="rId4628" location="id=30017&amp;action=152&amp;model=crm.lead&amp;view_type=form&amp;menu_id=111" ref="B3502"/>
    <hyperlink r:id="rId4629" location="id=29999&amp;action=152&amp;model=crm.lead&amp;view_type=form&amp;menu_id=111" ref="B3503"/>
    <hyperlink r:id="rId4630" location="id=29998&amp;action=152&amp;model=crm.lead&amp;view_type=form&amp;menu_id=111" ref="B3504"/>
    <hyperlink r:id="rId4631" location="id=29987&amp;action=152&amp;model=crm.lead&amp;view_type=form&amp;menu_id=111" ref="B3505"/>
    <hyperlink r:id="rId4632" location="id=29993&amp;action=152&amp;model=crm.lead&amp;view_type=form&amp;menu_id=111" ref="B3506"/>
    <hyperlink r:id="rId4633" location="id=29986&amp;action=152&amp;model=crm.lead&amp;view_type=form&amp;menu_id=111" ref="B3507"/>
    <hyperlink r:id="rId4634" location="id=29985&amp;action=152&amp;model=crm.lead&amp;view_type=form&amp;menu_id=111" ref="B3508"/>
    <hyperlink r:id="rId4635" location="id=29979&amp;action=152&amp;model=crm.lead&amp;view_type=form&amp;menu_id=111" ref="B3509"/>
    <hyperlink r:id="rId4636" location="id=29978&amp;action=152&amp;model=crm.lead&amp;view_type=form&amp;menu_id=111" ref="B3510"/>
    <hyperlink r:id="rId4637" location="id=29976&amp;action=152&amp;model=crm.lead&amp;view_type=form&amp;menu_id=111" ref="B3511"/>
    <hyperlink r:id="rId4638" location="id=29967&amp;action=152&amp;model=crm.lead&amp;view_type=form&amp;menu_id=111" ref="B3512"/>
    <hyperlink r:id="rId4639" location="id=29943&amp;action=152&amp;model=crm.lead&amp;view_type=form&amp;menu_id=111" ref="B3513"/>
    <hyperlink r:id="rId4640" location="id=29937&amp;action=152&amp;model=crm.lead&amp;view_type=form&amp;menu_id=111" ref="B3514"/>
    <hyperlink r:id="rId4641" location="id=29934&amp;action=152&amp;model=crm.lead&amp;view_type=form&amp;menu_id=111" ref="B3515"/>
    <hyperlink r:id="rId4642" location="id=29922&amp;action=152&amp;model=crm.lead&amp;view_type=form&amp;menu_id=111" ref="B3516"/>
    <hyperlink r:id="rId4643" location="id=29921&amp;action=152&amp;model=crm.lead&amp;view_type=form&amp;menu_id=111" ref="B3517"/>
    <hyperlink r:id="rId4644" location="id=29917&amp;action=152&amp;model=crm.lead&amp;view_type=form&amp;menu_id=111" ref="B3518"/>
    <hyperlink r:id="rId4645" location="id=29912&amp;action=152&amp;model=crm.lead&amp;view_type=form&amp;menu_id=111" ref="B3519"/>
    <hyperlink r:id="rId4646" location="id=29906&amp;action=152&amp;model=crm.lead&amp;view_type=form&amp;menu_id=111" ref="B3520"/>
    <hyperlink r:id="rId4647" location="id=29896&amp;action=152&amp;model=crm.lead&amp;view_type=form&amp;menu_id=111" ref="B3521"/>
    <hyperlink r:id="rId4648" location="id=29892&amp;action=152&amp;model=crm.lead&amp;view_type=form&amp;menu_id=111" ref="B3522"/>
    <hyperlink r:id="rId4649" location="id=29891&amp;action=152&amp;model=crm.lead&amp;view_type=form&amp;menu_id=111" ref="B3523"/>
    <hyperlink r:id="rId4650" location="id=29890&amp;action=152&amp;model=crm.lead&amp;view_type=form&amp;menu_id=111" ref="B3524"/>
    <hyperlink r:id="rId4651" location="id=29888&amp;action=152&amp;model=crm.lead&amp;view_type=form&amp;menu_id=111" ref="B3525"/>
    <hyperlink r:id="rId4652" location="id=29470&amp;action=152&amp;model=crm.lead&amp;view_type=form&amp;menu_id=111" ref="B3526"/>
    <hyperlink r:id="rId4653" location="id=29465&amp;action=152&amp;model=crm.lead&amp;view_type=form&amp;menu_id=111" ref="B3527"/>
    <hyperlink r:id="rId4654" location="id=29467&amp;action=152&amp;model=crm.lead&amp;view_type=form&amp;menu_id=111" ref="B3528"/>
    <hyperlink r:id="rId4655" location="id=29473&amp;action=152&amp;model=crm.lead&amp;view_type=form&amp;menu_id=111" ref="B3529"/>
    <hyperlink r:id="rId4656" location="id=29856&amp;action=152&amp;model=crm.lead&amp;view_type=form&amp;menu_id=111" ref="B3530"/>
    <hyperlink r:id="rId4657" location="id=29859&amp;action=152&amp;model=crm.lead&amp;view_type=form&amp;menu_id=111" ref="B3531"/>
    <hyperlink r:id="rId4658" location="id=29860&amp;action=152&amp;model=crm.lead&amp;view_type=form&amp;menu_id=111" ref="B3532"/>
    <hyperlink r:id="rId4659" location="id=29830&amp;action=152&amp;model=crm.lead&amp;view_type=form&amp;menu_id=111" ref="B3533"/>
    <hyperlink r:id="rId4660" location="id=29855&amp;action=152&amp;model=crm.lead&amp;view_type=form&amp;menu_id=111" ref="B3534"/>
    <hyperlink r:id="rId4661" location="id=29835&amp;action=152&amp;model=crm.lead&amp;view_type=form&amp;menu_id=111" ref="B3535"/>
    <hyperlink r:id="rId4662" location="id=29833&amp;action=152&amp;model=crm.lead&amp;view_type=form&amp;menu_id=111" ref="B3536"/>
    <hyperlink r:id="rId4663" location="id=29832&amp;action=152&amp;model=crm.lead&amp;view_type=form&amp;menu_id=111" ref="B3537"/>
    <hyperlink r:id="rId4664" location="id=29828&amp;action=152&amp;model=crm.lead&amp;view_type=form&amp;menu_id=111" ref="B3538"/>
    <hyperlink r:id="rId4665" location="id=29822&amp;action=152&amp;model=crm.lead&amp;view_type=form&amp;menu_id=111" ref="B3539"/>
    <hyperlink r:id="rId4666" location="id=29756&amp;action=152&amp;model=crm.lead&amp;view_type=form&amp;menu_id=111" ref="B3540"/>
    <hyperlink r:id="rId4667" location="id=29783&amp;action=152&amp;model=crm.lead&amp;view_type=form&amp;menu_id=111" ref="B3541"/>
    <hyperlink r:id="rId4668" location="id=29816&amp;action=152&amp;model=crm.lead&amp;view_type=form&amp;menu_id=111" ref="B3542"/>
    <hyperlink r:id="rId4669" location="id=29817&amp;action=152&amp;model=crm.lead&amp;view_type=form&amp;menu_id=111" ref="B3543"/>
    <hyperlink r:id="rId4670" location="id=29815&amp;action=152&amp;model=crm.lead&amp;view_type=form&amp;menu_id=111" ref="B3544"/>
    <hyperlink r:id="rId4671" location="id=29811&amp;action=152&amp;model=crm.lead&amp;view_type=form&amp;menu_id=111" ref="B3545"/>
    <hyperlink r:id="rId4672" location="id=29810&amp;action=152&amp;model=crm.lead&amp;view_type=form&amp;menu_id=111" ref="B3546"/>
    <hyperlink r:id="rId4673" location="id=29805&amp;action=152&amp;model=crm.lead&amp;view_type=form&amp;menu_id=111" ref="B3547"/>
    <hyperlink r:id="rId4674" location="id=29791&amp;action=152&amp;model=crm.lead&amp;view_type=form&amp;menu_id=111" ref="B3548"/>
    <hyperlink r:id="rId4675" location="id=29789&amp;action=152&amp;model=crm.lead&amp;view_type=form&amp;menu_id=111" ref="B3549"/>
    <hyperlink r:id="rId4676" location="id=29781&amp;action=152&amp;model=crm.lead&amp;view_type=form&amp;menu_id=111" ref="B3550"/>
    <hyperlink r:id="rId4677" location="id=29776&amp;action=152&amp;model=crm.lead&amp;view_type=form&amp;menu_id=111" ref="B3551"/>
    <hyperlink r:id="rId4678" location="id=29766&amp;action=152&amp;model=crm.lead&amp;view_type=form&amp;menu_id=111" ref="B3552"/>
    <hyperlink r:id="rId4679" location="id=29762&amp;action=152&amp;model=crm.lead&amp;view_type=form&amp;menu_id=111" ref="B3553"/>
    <hyperlink r:id="rId4680" location="id=29761&amp;action=152&amp;model=crm.lead&amp;view_type=form&amp;menu_id=111" ref="B3554"/>
    <hyperlink r:id="rId4681" location="id=29759&amp;action=152&amp;model=crm.lead&amp;view_type=form&amp;menu_id=111" ref="B3555"/>
    <hyperlink r:id="rId4682" location="id=29747&amp;action=152&amp;model=crm.lead&amp;view_type=form&amp;menu_id=111" ref="B3556"/>
    <hyperlink r:id="rId4683" location="id=29744&amp;action=152&amp;model=crm.lead&amp;view_type=form&amp;menu_id=111" ref="B3557"/>
    <hyperlink r:id="rId4684" location="id=29734&amp;action=152&amp;model=crm.lead&amp;view_type=form&amp;menu_id=111" ref="B3558"/>
    <hyperlink r:id="rId4685" location="id=29733&amp;action=152&amp;model=crm.lead&amp;view_type=form&amp;menu_id=111" ref="B3559"/>
    <hyperlink r:id="rId4686" location="id=29731&amp;action=152&amp;model=crm.lead&amp;view_type=form&amp;menu_id=111" ref="B3560"/>
    <hyperlink r:id="rId4687" location="id=29646&amp;action=152&amp;model=crm.lead&amp;view_type=form&amp;menu_id=111" ref="B3561"/>
    <hyperlink r:id="rId4688" location="id=29717&amp;action=152&amp;model=crm.lead&amp;view_type=form&amp;menu_id=111" ref="B3562"/>
    <hyperlink r:id="rId4689" location="id=29713&amp;action=152&amp;model=crm.lead&amp;view_type=form&amp;menu_id=111" ref="B3563"/>
    <hyperlink r:id="rId4690" location="id=29719&amp;action=152&amp;model=crm.lead&amp;view_type=form&amp;menu_id=111" ref="B3564"/>
    <hyperlink r:id="rId4691" location="id=29695&amp;action=152&amp;model=crm.lead&amp;view_type=form&amp;menu_id=111" ref="B3565"/>
    <hyperlink r:id="rId4692" location="id=29692&amp;action=152&amp;model=crm.lead&amp;view_type=form&amp;menu_id=111" ref="B3566"/>
    <hyperlink r:id="rId4693" location="id=29688&amp;action=152&amp;model=crm.lead&amp;view_type=form&amp;menu_id=111" ref="B3567"/>
    <hyperlink r:id="rId4694" location="id=29680&amp;action=152&amp;model=crm.lead&amp;view_type=form&amp;menu_id=111" ref="B3568"/>
    <hyperlink r:id="rId4695" location="id=29679&amp;action=152&amp;model=crm.lead&amp;view_type=form&amp;menu_id=111" ref="B3569"/>
    <hyperlink r:id="rId4696" location="id=29677&amp;action=152&amp;model=crm.lead&amp;view_type=form&amp;menu_id=111" ref="B3570"/>
    <hyperlink r:id="rId4697" location="id=29675&amp;action=152&amp;model=crm.lead&amp;view_type=form&amp;menu_id=111" ref="B3571"/>
    <hyperlink r:id="rId4698" location="id=29661&amp;action=152&amp;model=crm.lead&amp;view_type=form&amp;menu_id=111" ref="B3572"/>
    <hyperlink r:id="rId4699" location="id=29663&amp;action=152&amp;model=crm.lead&amp;view_type=form&amp;menu_id=111" ref="B3573"/>
    <hyperlink r:id="rId4700" location="id=29656&amp;action=152&amp;model=crm.lead&amp;view_type=form&amp;menu_id=111" ref="B3574"/>
    <hyperlink r:id="rId4701" location="id=29637&amp;action=152&amp;model=crm.lead&amp;view_type=form&amp;menu_id=111" ref="B3575"/>
    <hyperlink r:id="rId4702" location="id=29651&amp;action=152&amp;model=crm.lead&amp;view_type=form&amp;menu_id=111" ref="B3576"/>
    <hyperlink r:id="rId4703" location="id=29648&amp;action=152&amp;model=crm.lead&amp;view_type=form&amp;menu_id=111" ref="B3577"/>
    <hyperlink r:id="rId4704" location="id=29636&amp;action=152&amp;model=crm.lead&amp;view_type=form&amp;menu_id=111" ref="B3578"/>
    <hyperlink r:id="rId4705" location="id=29627&amp;action=152&amp;model=crm.lead&amp;view_type=form&amp;menu_id=111" ref="B3579"/>
    <hyperlink r:id="rId4706" location="id=29624&amp;action=152&amp;model=crm.lead&amp;view_type=form&amp;menu_id=111" ref="B3580"/>
    <hyperlink r:id="rId4707" location="id=29623&amp;action=152&amp;model=crm.lead&amp;view_type=form&amp;menu_id=111" ref="B3581"/>
    <hyperlink r:id="rId4708" location="id=29622&amp;action=152&amp;model=crm.lead&amp;view_type=form&amp;menu_id=111" ref="B3582"/>
    <hyperlink r:id="rId4709" location="id=29616&amp;action=152&amp;model=crm.lead&amp;view_type=form&amp;menu_id=111" ref="B3583"/>
    <hyperlink r:id="rId4710" location="id=29615&amp;action=152&amp;model=crm.lead&amp;view_type=form&amp;menu_id=111" ref="B3584"/>
    <hyperlink r:id="rId4711" location="id=29614&amp;action=152&amp;model=crm.lead&amp;view_type=form&amp;menu_id=111" ref="B3585"/>
    <hyperlink r:id="rId4712" location="id=29612&amp;action=152&amp;model=crm.lead&amp;view_type=form&amp;menu_id=111" ref="B3586"/>
    <hyperlink r:id="rId4713" location="id=29611&amp;action=152&amp;model=crm.lead&amp;view_type=form&amp;menu_id=111" ref="B3587"/>
    <hyperlink r:id="rId4714" location="id=29605&amp;action=152&amp;model=crm.lead&amp;view_type=form&amp;menu_id=111" ref="B3588"/>
    <hyperlink r:id="rId4715" location="id=29591&amp;action=152&amp;model=crm.lead&amp;view_type=form&amp;menu_id=111" ref="B3589"/>
    <hyperlink r:id="rId4716" location="id=29597&amp;action=152&amp;model=crm.lead&amp;view_type=form&amp;menu_id=111" ref="B3590"/>
    <hyperlink r:id="rId4717" location="id=29598&amp;action=152&amp;model=crm.lead&amp;view_type=form&amp;menu_id=111" ref="B3591"/>
    <hyperlink r:id="rId4718" location="id=29575&amp;action=152&amp;model=crm.lead&amp;view_type=form&amp;menu_id=111" ref="B3592"/>
    <hyperlink r:id="rId4719" location="id=29567&amp;action=152&amp;model=crm.lead&amp;view_type=form&amp;menu_id=111" ref="B3593"/>
    <hyperlink r:id="rId4720" location="id=29563&amp;action=152&amp;model=crm.lead&amp;view_type=form&amp;menu_id=111" ref="B3594"/>
    <hyperlink r:id="rId4721" location="id=29558&amp;action=152&amp;model=crm.lead&amp;view_type=form&amp;menu_id=111" ref="B3595"/>
    <hyperlink r:id="rId4722" location="id=29532&amp;action=152&amp;model=crm.lead&amp;view_type=form&amp;menu_id=111" ref="B3596"/>
    <hyperlink r:id="rId4723" location="id=29529&amp;action=152&amp;model=crm.lead&amp;view_type=form&amp;menu_id=111" ref="B3597"/>
    <hyperlink r:id="rId4724" location="id=29527&amp;action=152&amp;model=crm.lead&amp;view_type=form&amp;menu_id=111" ref="B3598"/>
    <hyperlink r:id="rId4725" location="id=29523&amp;action=152&amp;model=crm.lead&amp;view_type=form&amp;menu_id=111" ref="B3599"/>
    <hyperlink r:id="rId4726" location="id=29515&amp;action=152&amp;model=crm.lead&amp;view_type=form&amp;menu_id=111" ref="B3600"/>
    <hyperlink r:id="rId4727" location="id=29514&amp;action=152&amp;model=crm.lead&amp;view_type=form&amp;menu_id=111" ref="B3601"/>
    <hyperlink r:id="rId4728" location="id=29510&amp;action=152&amp;model=crm.lead&amp;view_type=form&amp;menu_id=111" ref="B3602"/>
    <hyperlink r:id="rId4729" location="id=29508&amp;action=152&amp;model=crm.lead&amp;view_type=form&amp;menu_id=111" ref="B3603"/>
    <hyperlink r:id="rId4730" location="id=29499&amp;action=152&amp;model=crm.lead&amp;view_type=form&amp;menu_id=111" ref="B3604"/>
    <hyperlink r:id="rId4731" location="id=29502&amp;action=152&amp;model=crm.lead&amp;view_type=form&amp;menu_id=111" ref="B3605"/>
    <hyperlink r:id="rId4732" location="id=29501&amp;action=152&amp;model=crm.lead&amp;view_type=form&amp;menu_id=111" ref="B3606"/>
    <hyperlink r:id="rId4733" location="id=29496&amp;action=152&amp;model=crm.lead&amp;view_type=form&amp;menu_id=111" ref="B3607"/>
    <hyperlink r:id="rId4734" location="id=29481&amp;action=152&amp;model=crm.lead&amp;view_type=form&amp;menu_id=111" ref="B3608"/>
    <hyperlink r:id="rId4735" location="id=29486&amp;action=152&amp;model=crm.lead&amp;view_type=form&amp;menu_id=111" ref="B3609"/>
    <hyperlink r:id="rId4736" location="id=29477&amp;action=152&amp;model=crm.lead&amp;view_type=form&amp;menu_id=111" ref="B3610"/>
    <hyperlink r:id="rId4737" location="id=29454&amp;action=152&amp;model=crm.lead&amp;view_type=form&amp;menu_id=111" ref="B3611"/>
    <hyperlink r:id="rId4738" location="id=29451&amp;action=152&amp;model=crm.lead&amp;view_type=form&amp;menu_id=111" ref="B3612"/>
    <hyperlink r:id="rId4739" location="id=29449&amp;action=152&amp;model=crm.lead&amp;view_type=form&amp;menu_id=111" ref="B3613"/>
    <hyperlink r:id="rId4740" location="id=29435&amp;action=152&amp;model=crm.lead&amp;view_type=form&amp;menu_id=111" ref="B3614"/>
    <hyperlink r:id="rId4741" location="id=29442&amp;action=152&amp;model=crm.lead&amp;view_type=form&amp;menu_id=111" ref="B3615"/>
    <hyperlink r:id="rId4742" location="id=29428&amp;action=152&amp;model=crm.lead&amp;view_type=form&amp;menu_id=111" ref="B3616"/>
    <hyperlink r:id="rId4743" location="id=29431&amp;action=152&amp;model=crm.lead&amp;view_type=form&amp;menu_id=111" ref="B3617"/>
    <hyperlink r:id="rId4744" location="id=29434&amp;action=152&amp;model=crm.lead&amp;view_type=form&amp;menu_id=111" ref="B3618"/>
    <hyperlink r:id="rId4745" location="id=29416&amp;action=152&amp;model=crm.lead&amp;view_type=form&amp;menu_id=111" ref="B3619"/>
    <hyperlink r:id="rId4746" location="id=29413&amp;action=152&amp;model=crm.lead&amp;view_type=form&amp;menu_id=111" ref="B3620"/>
    <hyperlink r:id="rId4747" location="id=29412&amp;action=152&amp;model=crm.lead&amp;view_type=form&amp;menu_id=111" ref="B3621"/>
    <hyperlink r:id="rId4748" location="id=29407&amp;action=152&amp;model=crm.lead&amp;view_type=form&amp;menu_id=111" ref="B3622"/>
    <hyperlink r:id="rId4749" location="id=29406&amp;action=152&amp;model=crm.lead&amp;view_type=form&amp;menu_id=111" ref="B3623"/>
    <hyperlink r:id="rId4750" location="id=29405&amp;action=152&amp;model=crm.lead&amp;view_type=form&amp;menu_id=111" ref="B3624"/>
    <hyperlink r:id="rId4751" location="id=29401&amp;action=152&amp;model=crm.lead&amp;view_type=form&amp;menu_id=111" ref="B3625"/>
    <hyperlink r:id="rId4752" location="id=29395&amp;action=152&amp;model=crm.lead&amp;view_type=form&amp;menu_id=111" ref="B3626"/>
    <hyperlink r:id="rId4753" location="id=29361&amp;action=152&amp;model=crm.lead&amp;view_type=form&amp;menu_id=111" ref="B3627"/>
    <hyperlink r:id="rId4754" location="id=29375&amp;action=152&amp;model=crm.lead&amp;view_type=form&amp;menu_id=111" ref="B3628"/>
    <hyperlink r:id="rId4755" location="id=29372&amp;action=152&amp;model=crm.lead&amp;view_type=form&amp;menu_id=111" ref="B3629"/>
    <hyperlink r:id="rId4756" location="id=29372&amp;action=152&amp;model=crm.lead&amp;view_type=form&amp;menu_id=111" ref="B3630"/>
    <hyperlink r:id="rId4757" location="id=29370&amp;action=152&amp;model=crm.lead&amp;view_type=form&amp;menu_id=111" ref="B3631"/>
    <hyperlink r:id="rId4758" location="id=29351&amp;action=152&amp;model=crm.lead&amp;view_type=form&amp;menu_id=111" ref="B3632"/>
    <hyperlink r:id="rId4759" location="id=29349&amp;action=152&amp;model=crm.lead&amp;view_type=form&amp;menu_id=111" ref="B3633"/>
    <hyperlink r:id="rId4760" location="id=29346&amp;action=152&amp;model=crm.lead&amp;view_type=form&amp;menu_id=111" ref="B3634"/>
    <hyperlink r:id="rId4761" location="id=29344&amp;action=152&amp;model=crm.lead&amp;view_type=form&amp;menu_id=111" ref="B3635"/>
    <hyperlink r:id="rId4762" location="id=29343&amp;action=152&amp;model=crm.lead&amp;view_type=form&amp;menu_id=111" ref="B3636"/>
    <hyperlink r:id="rId4763" location="id=29331&amp;action=152&amp;model=crm.lead&amp;view_type=form&amp;menu_id=111" ref="B3637"/>
    <hyperlink r:id="rId4764" location="id=29324&amp;action=152&amp;model=crm.lead&amp;view_type=form&amp;menu_id=111" ref="B3638"/>
    <hyperlink r:id="rId4765" location="id=29321&amp;action=152&amp;model=crm.lead&amp;view_type=form&amp;menu_id=111" ref="B3639"/>
    <hyperlink r:id="rId4766" location="id=29311&amp;action=152&amp;model=crm.lead&amp;view_type=form&amp;menu_id=111" ref="B3640"/>
    <hyperlink r:id="rId4767" location="id=29302&amp;action=152&amp;model=crm.lead&amp;view_type=form&amp;menu_id=111" ref="B3641"/>
    <hyperlink r:id="rId4768" location="id=29306&amp;action=152&amp;model=crm.lead&amp;view_type=form&amp;menu_id=111" ref="B3642"/>
    <hyperlink r:id="rId4769" location="id=29308&amp;action=152&amp;model=crm.lead&amp;view_type=form&amp;menu_id=111" ref="B3643"/>
    <hyperlink r:id="rId4770" location="id=29310&amp;action=152&amp;model=crm.lead&amp;view_type=form&amp;menu_id=111" ref="B3644"/>
    <hyperlink r:id="rId4771" location="id=29300&amp;action=152&amp;model=crm.lead&amp;view_type=form&amp;menu_id=111" ref="B3645"/>
    <hyperlink r:id="rId4772" location="id=29293&amp;action=152&amp;model=crm.lead&amp;view_type=form&amp;menu_id=111" ref="B3646"/>
    <hyperlink r:id="rId4773" location="id=29292&amp;action=152&amp;model=crm.lead&amp;view_type=form&amp;menu_id=111" ref="B3647"/>
    <hyperlink r:id="rId4774" location="id=29286&amp;action=152&amp;model=crm.lead&amp;view_type=form&amp;menu_id=111" ref="B3648"/>
    <hyperlink r:id="rId4775" location="id=29283&amp;action=152&amp;model=crm.lead&amp;view_type=form&amp;menu_id=111" ref="B3649"/>
    <hyperlink r:id="rId4776" location="id=29278&amp;action=152&amp;model=crm.lead&amp;view_type=form&amp;menu_id=111" ref="B3650"/>
    <hyperlink r:id="rId4777" location="id=29269&amp;action=152&amp;model=crm.lead&amp;view_type=form&amp;menu_id=111" ref="B3651"/>
    <hyperlink r:id="rId4778" location="id=29255&amp;action=152&amp;model=crm.lead&amp;view_type=form&amp;menu_id=111" ref="B3652"/>
    <hyperlink r:id="rId4779" location="id=29246&amp;action=152&amp;model=crm.lead&amp;view_type=form&amp;menu_id=111" ref="B3653"/>
    <hyperlink r:id="rId4780" location="id=29245&amp;action=152&amp;model=crm.lead&amp;view_type=form&amp;menu_id=111" ref="B3654"/>
    <hyperlink r:id="rId4781" location="id=29242&amp;action=152&amp;model=crm.lead&amp;view_type=form&amp;menu_id=111" ref="B3655"/>
    <hyperlink r:id="rId4782" location="id=29236&amp;action=152&amp;model=crm.lead&amp;view_type=form&amp;menu_id=111" ref="B3656"/>
    <hyperlink r:id="rId4783" location="id=29229&amp;action=152&amp;model=crm.lead&amp;view_type=form&amp;menu_id=111" ref="B3657"/>
    <hyperlink r:id="rId4784" location="id=29228&amp;action=152&amp;model=crm.lead&amp;view_type=form&amp;menu_id=111" ref="B3658"/>
    <hyperlink r:id="rId4785" location="id=29217&amp;action=152&amp;model=crm.lead&amp;view_type=form&amp;menu_id=111" ref="B3659"/>
    <hyperlink r:id="rId4786" location="id=29215&amp;action=152&amp;model=crm.lead&amp;view_type=form&amp;menu_id=111" ref="B3660"/>
    <hyperlink r:id="rId4787" location="id=29232&amp;action=152&amp;model=crm.lead&amp;view_type=form&amp;menu_id=111" ref="B3661"/>
    <hyperlink r:id="rId4788" location="id=29235&amp;action=152&amp;model=crm.lead&amp;view_type=form&amp;menu_id=111" ref="B3662"/>
    <hyperlink r:id="rId4789" location="id=29248&amp;action=152&amp;model=crm.lead&amp;view_type=form&amp;menu_id=111" ref="B3663"/>
    <hyperlink r:id="rId4790" location="id=29200&amp;action=152&amp;model=crm.lead&amp;view_type=form&amp;menu_id=111" ref="B3664"/>
    <hyperlink r:id="rId4791" location="id=29160&amp;action=152&amp;model=crm.lead&amp;view_type=form&amp;menu_id=111" ref="B3665"/>
    <hyperlink r:id="rId4792" location="id=29209&amp;action=152&amp;model=crm.lead&amp;view_type=form&amp;menu_id=111" ref="B3666"/>
    <hyperlink r:id="rId4793" location="id=29204&amp;action=152&amp;model=crm.lead&amp;view_type=form&amp;menu_id=111" ref="B3667"/>
    <hyperlink r:id="rId4794" location="id=29199&amp;action=152&amp;model=crm.lead&amp;view_type=form&amp;menu_id=111" ref="B3668"/>
    <hyperlink r:id="rId4795" location="id=29201&amp;action=152&amp;model=crm.lead&amp;view_type=form&amp;menu_id=111" ref="B3669"/>
    <hyperlink r:id="rId4796" location="id=29192&amp;action=152&amp;model=crm.lead&amp;view_type=form&amp;menu_id=111" ref="B3670"/>
    <hyperlink r:id="rId4797" location="id=29186&amp;action=152&amp;model=crm.lead&amp;view_type=form&amp;menu_id=111" ref="B3671"/>
    <hyperlink r:id="rId4798" location="id=29173&amp;action=152&amp;model=crm.lead&amp;view_type=form&amp;menu_id=111" ref="B3672"/>
    <hyperlink r:id="rId4799" location="id=29167&amp;action=152&amp;model=crm.lead&amp;view_type=form&amp;menu_id=111" ref="B3673"/>
    <hyperlink r:id="rId4800" location="id=29166&amp;action=152&amp;model=crm.lead&amp;view_type=form&amp;menu_id=111" ref="B3674"/>
    <hyperlink r:id="rId4801" location="id=29159&amp;action=152&amp;model=crm.lead&amp;view_type=form&amp;menu_id=111" ref="B3675"/>
    <hyperlink r:id="rId4802" location="id=29143&amp;action=152&amp;model=crm.lead&amp;view_type=form&amp;menu_id=111" ref="B3676"/>
    <hyperlink r:id="rId4803" location="id=29102&amp;action=152&amp;model=crm.lead&amp;view_type=form&amp;menu_id=111" ref="B3677"/>
    <hyperlink r:id="rId4804" location="id=29146&amp;action=152&amp;model=crm.lead&amp;view_type=form&amp;menu_id=111" ref="B3678"/>
    <hyperlink r:id="rId4805" location="id=29144&amp;action=152&amp;model=crm.lead&amp;view_type=form&amp;menu_id=111" ref="B3679"/>
    <hyperlink r:id="rId4806" location="id=29134&amp;action=152&amp;model=crm.lead&amp;view_type=form&amp;menu_id=111" ref="B3680"/>
    <hyperlink r:id="rId4807" location="id=29133&amp;action=152&amp;model=crm.lead&amp;view_type=form&amp;menu_id=111" ref="B3681"/>
    <hyperlink r:id="rId4808" location="id=29132&amp;action=152&amp;model=crm.lead&amp;view_type=form&amp;menu_id=111" ref="B3682"/>
    <hyperlink r:id="rId4809" location="id=29131&amp;action=152&amp;model=crm.lead&amp;view_type=form&amp;menu_id=111" ref="B3683"/>
    <hyperlink r:id="rId4810" location="id=29127&amp;action=152&amp;model=crm.lead&amp;view_type=form&amp;menu_id=111" ref="B3684"/>
    <hyperlink r:id="rId4811" location="id=29108&amp;action=152&amp;model=crm.lead&amp;view_type=form&amp;menu_id=111" ref="B3685"/>
    <hyperlink r:id="rId4812" location="id=29107&amp;action=152&amp;model=crm.lead&amp;view_type=form&amp;menu_id=111" ref="B3686"/>
    <hyperlink r:id="rId4813" location="id=29104&amp;action=152&amp;model=crm.lead&amp;view_type=form&amp;menu_id=111" ref="B3687"/>
    <hyperlink r:id="rId4814" location="id=29100&amp;action=152&amp;model=crm.lead&amp;view_type=form&amp;menu_id=111" ref="B3688"/>
    <hyperlink r:id="rId4815" location="id=29098&amp;action=152&amp;model=crm.lead&amp;view_type=form&amp;menu_id=111" ref="B3689"/>
    <hyperlink r:id="rId4816" location="id=29091&amp;action=152&amp;model=crm.lead&amp;view_type=form&amp;menu_id=111" ref="B3690"/>
    <hyperlink r:id="rId4817" location="id=29081&amp;action=152&amp;model=crm.lead&amp;view_type=form&amp;menu_id=111" ref="B3691"/>
    <hyperlink r:id="rId4818" location="id=29080&amp;action=152&amp;model=crm.lead&amp;view_type=form&amp;menu_id=111" ref="B3692"/>
    <hyperlink r:id="rId4819" location="id=29060&amp;action=152&amp;model=crm.lead&amp;view_type=form&amp;menu_id=111" ref="B3693"/>
    <hyperlink r:id="rId4820" location="id=29058&amp;action=152&amp;model=crm.lead&amp;view_type=form&amp;menu_id=111" ref="B3694"/>
    <hyperlink r:id="rId4821" location="id=29053&amp;action=152&amp;model=crm.lead&amp;view_type=form&amp;menu_id=111" ref="B3695"/>
    <hyperlink r:id="rId4822" location="id=29043&amp;action=152&amp;model=crm.lead&amp;view_type=form&amp;menu_id=111" ref="B3696"/>
    <hyperlink r:id="rId4823" location="id=29042&amp;action=152&amp;model=crm.lead&amp;view_type=form&amp;menu_id=111" ref="B3697"/>
    <hyperlink r:id="rId4824" location="id=29016&amp;action=152&amp;model=crm.lead&amp;view_type=form&amp;menu_id=111" ref="B3698"/>
    <hyperlink r:id="rId4825" location="id=28969&amp;action=152&amp;model=crm.lead&amp;view_type=form&amp;menu_id=111" ref="B3699"/>
    <hyperlink r:id="rId4826" location="id=28992&amp;action=152&amp;model=crm.lead&amp;view_type=form&amp;menu_id=111" ref="B3700"/>
    <hyperlink r:id="rId4827" location="id=28988&amp;action=152&amp;model=crm.lead&amp;view_type=form&amp;menu_id=111" ref="B3701"/>
    <hyperlink r:id="rId4828" location="id=28985&amp;action=152&amp;model=crm.lead&amp;view_type=form&amp;menu_id=111" ref="B3702"/>
    <hyperlink r:id="rId4829" location="id=28982&amp;action=152&amp;model=crm.lead&amp;view_type=form&amp;menu_id=111" ref="B3703"/>
    <hyperlink r:id="rId4830" location="id=28980&amp;action=152&amp;model=crm.lead&amp;view_type=form&amp;menu_id=111" ref="B3704"/>
    <hyperlink r:id="rId4831" location="id=28979&amp;action=152&amp;model=crm.lead&amp;view_type=form&amp;menu_id=111" ref="B3705"/>
    <hyperlink r:id="rId4832" location="id=28962&amp;action=152&amp;model=crm.lead&amp;view_type=form&amp;menu_id=111" ref="B3706"/>
    <hyperlink r:id="rId4833" location="id=28947&amp;action=152&amp;model=crm.lead&amp;view_type=form&amp;menu_id=111" ref="B3707"/>
    <hyperlink r:id="rId4834" location="id=28958&amp;action=152&amp;model=crm.lead&amp;view_type=form&amp;menu_id=111" ref="B3708"/>
    <hyperlink r:id="rId4835" location="id=28943&amp;action=152&amp;model=crm.lead&amp;view_type=form&amp;menu_id=111" ref="B3709"/>
    <hyperlink r:id="rId4836" location="id=28937&amp;action=152&amp;model=crm.lead&amp;view_type=form&amp;menu_id=111" ref="B3710"/>
    <hyperlink r:id="rId4837" location="id=28923&amp;action=152&amp;model=crm.lead&amp;view_type=form&amp;menu_id=111" ref="B3711"/>
    <hyperlink r:id="rId4838" location="id=28921&amp;action=152&amp;model=crm.lead&amp;view_type=form&amp;menu_id=111" ref="B3712"/>
    <hyperlink r:id="rId4839" location="id=28916&amp;action=152&amp;model=crm.lead&amp;view_type=form&amp;menu_id=111" ref="B3713"/>
    <hyperlink r:id="rId4840" location="id=28915&amp;action=152&amp;model=crm.lead&amp;view_type=form&amp;menu_id=111" ref="B3714"/>
    <hyperlink r:id="rId4841" location="id=28912&amp;action=152&amp;model=crm.lead&amp;view_type=form&amp;menu_id=111" ref="B3715"/>
    <hyperlink r:id="rId4842" location="id=28895&amp;action=152&amp;model=crm.lead&amp;view_type=form&amp;menu_id=111" ref="B3716"/>
    <hyperlink r:id="rId4843" location="id=28902&amp;action=152&amp;model=crm.lead&amp;view_type=form&amp;menu_id=111" ref="B3717"/>
    <hyperlink r:id="rId4844" location="id=28899&amp;action=152&amp;model=crm.lead&amp;view_type=form&amp;menu_id=111" ref="B3718"/>
    <hyperlink r:id="rId4845" location="id=28891&amp;action=152&amp;model=crm.lead&amp;view_type=form&amp;menu_id=111" ref="B3719"/>
    <hyperlink r:id="rId4846" location="id=28892&amp;action=152&amp;model=crm.lead&amp;view_type=form&amp;menu_id=111" ref="B3720"/>
    <hyperlink r:id="rId4847" location="id=28829&amp;action=152&amp;model=crm.lead&amp;view_type=form&amp;menu_id=111" ref="B3721"/>
    <hyperlink r:id="rId4848" location="id=28884&amp;action=152&amp;model=crm.lead&amp;view_type=form&amp;menu_id=111" ref="B3722"/>
    <hyperlink r:id="rId4849" location="id=28883&amp;action=152&amp;model=crm.lead&amp;view_type=form&amp;menu_id=111" ref="B3723"/>
    <hyperlink r:id="rId4850" location="id=28876&amp;action=152&amp;model=crm.lead&amp;view_type=form&amp;menu_id=111" ref="B3724"/>
    <hyperlink r:id="rId4851" location="id=28874&amp;action=152&amp;model=crm.lead&amp;view_type=form&amp;menu_id=111" ref="B3725"/>
    <hyperlink r:id="rId4852" location="id=28868&amp;action=152&amp;model=crm.lead&amp;view_type=form&amp;menu_id=111" ref="B3726"/>
    <hyperlink r:id="rId4853" location="id=28835&amp;action=152&amp;model=crm.lead&amp;view_type=form&amp;menu_id=111" ref="B3727"/>
    <hyperlink r:id="rId4854" location="id=28845&amp;action=152&amp;model=crm.lead&amp;view_type=form&amp;menu_id=111" ref="B3728"/>
    <hyperlink r:id="rId4855" location="id=28864&amp;action=152&amp;model=crm.lead&amp;view_type=form&amp;menu_id=111" ref="B3729"/>
    <hyperlink r:id="rId4856" location="id=28866&amp;action=152&amp;model=crm.lead&amp;view_type=form&amp;menu_id=111" ref="B3730"/>
    <hyperlink r:id="rId4857" location="id=28867&amp;action=152&amp;model=crm.lead&amp;view_type=form&amp;menu_id=111" ref="B3731"/>
    <hyperlink r:id="rId4858" location="id=28797&amp;action=152&amp;model=crm.lead&amp;view_type=form&amp;menu_id=111" ref="B3732"/>
    <hyperlink r:id="rId4859" location="id=28826&amp;action=152&amp;model=crm.lead&amp;view_type=form&amp;menu_id=111" ref="B3733"/>
    <hyperlink r:id="rId4860" location="id=28824&amp;action=152&amp;model=crm.lead&amp;view_type=form&amp;menu_id=111" ref="B3734"/>
    <hyperlink r:id="rId4861" location="id=28823&amp;action=152&amp;model=crm.lead&amp;view_type=form&amp;menu_id=111" ref="B3735"/>
    <hyperlink r:id="rId4862" location="id=28822&amp;action=152&amp;model=crm.lead&amp;view_type=form&amp;menu_id=111" ref="B3736"/>
    <hyperlink r:id="rId4863" location="id=28819&amp;action=152&amp;model=crm.lead&amp;view_type=form&amp;menu_id=111" ref="B3737"/>
    <hyperlink r:id="rId4864" location="id=28813&amp;action=152&amp;model=crm.lead&amp;view_type=form&amp;menu_id=111" ref="B3738"/>
    <hyperlink r:id="rId4865" location="id=28802&amp;action=152&amp;model=crm.lead&amp;view_type=form&amp;menu_id=111" ref="B3739"/>
    <hyperlink r:id="rId4866" location="id=28784&amp;action=152&amp;model=crm.lead&amp;view_type=form&amp;menu_id=111" ref="B3740"/>
    <hyperlink r:id="rId4867" location="id=28788&amp;action=152&amp;model=crm.lead&amp;view_type=form&amp;menu_id=111" ref="B3741"/>
    <hyperlink r:id="rId4868" location="id=28775&amp;action=152&amp;model=crm.lead&amp;view_type=form&amp;menu_id=111" ref="B3742"/>
    <hyperlink r:id="rId4869" location="id=28774&amp;action=152&amp;model=crm.lead&amp;view_type=form&amp;menu_id=111" ref="B3743"/>
    <hyperlink r:id="rId4870" location="id=28771&amp;action=152&amp;model=crm.lead&amp;view_type=form&amp;menu_id=111" ref="B3744"/>
    <hyperlink r:id="rId4871" location="id=28770&amp;action=152&amp;model=crm.lead&amp;view_type=form&amp;menu_id=111" ref="B3745"/>
    <hyperlink r:id="rId4872" location="id=28761&amp;action=152&amp;model=crm.lead&amp;view_type=form&amp;menu_id=111" ref="B3746"/>
    <hyperlink r:id="rId4873" location="id=28714&amp;action=152&amp;model=crm.lead&amp;view_type=form&amp;menu_id=111" ref="B3747"/>
    <hyperlink r:id="rId4874" location="id=28741&amp;action=152&amp;model=crm.lead&amp;view_type=form&amp;menu_id=111" ref="B3748"/>
    <hyperlink r:id="rId4875" location="id=28744&amp;action=152&amp;model=crm.lead&amp;view_type=form&amp;menu_id=111" ref="B3749"/>
    <hyperlink r:id="rId4876" location="id=28753&amp;action=152&amp;model=crm.lead&amp;view_type=form&amp;menu_id=111" ref="B3750"/>
    <hyperlink r:id="rId4877" location="id=28734&amp;action=152&amp;model=crm.lead&amp;view_type=form&amp;menu_id=111" ref="B3751"/>
    <hyperlink r:id="rId4878" location="id=28715&amp;action=152&amp;model=crm.lead&amp;view_type=form&amp;menu_id=111" ref="B3752"/>
    <hyperlink r:id="rId4879" location="id=28689&amp;action=152&amp;model=crm.lead&amp;view_type=form&amp;menu_id=111" ref="B3753"/>
    <hyperlink r:id="rId4880" location="id=28680&amp;action=152&amp;model=crm.lead&amp;view_type=form&amp;menu_id=111" ref="B3754"/>
    <hyperlink r:id="rId4881" location="id=28676&amp;action=152&amp;model=crm.lead&amp;view_type=form&amp;menu_id=111" ref="B3755"/>
    <hyperlink r:id="rId4882" location="id=28694&amp;action=152&amp;model=crm.lead&amp;view_type=form&amp;menu_id=111" ref="B3756"/>
    <hyperlink r:id="rId4883" location="id=28713&amp;action=152&amp;model=crm.lead&amp;view_type=form&amp;menu_id=111" ref="B3757"/>
    <hyperlink r:id="rId4884" location="id=28733&amp;action=152&amp;model=crm.lead&amp;view_type=form&amp;menu_id=111" ref="B3758"/>
    <hyperlink r:id="rId4885" location="id=28673&amp;action=152&amp;model=crm.lead&amp;view_type=form&amp;menu_id=111" ref="B3759"/>
    <hyperlink r:id="rId4886" location="id=28666&amp;action=152&amp;model=crm.lead&amp;view_type=form&amp;menu_id=111" ref="B3760"/>
    <hyperlink r:id="rId4887" location="id=28657&amp;action=152&amp;model=crm.lead&amp;view_type=form&amp;menu_id=111" ref="B3761"/>
    <hyperlink r:id="rId4888" location="id=28648&amp;action=152&amp;model=crm.lead&amp;view_type=form&amp;menu_id=111" ref="B3762"/>
    <hyperlink r:id="rId4889" location="id=28644&amp;action=152&amp;model=crm.lead&amp;view_type=form&amp;menu_id=111" ref="B3763"/>
    <hyperlink r:id="rId4890" location="id=28640&amp;action=152&amp;model=crm.lead&amp;view_type=form&amp;menu_id=111" ref="B3764"/>
    <hyperlink r:id="rId4891" location="id=28631&amp;action=152&amp;model=crm.lead&amp;view_type=form&amp;menu_id=111" ref="B3765"/>
    <hyperlink r:id="rId4892" location="id=28628&amp;action=152&amp;model=crm.lead&amp;view_type=form&amp;menu_id=111" ref="B3766"/>
    <hyperlink r:id="rId4893" location="id=28619&amp;action=152&amp;model=crm.lead&amp;view_type=form&amp;menu_id=111" ref="B3767"/>
    <hyperlink r:id="rId4894" location="id=28617&amp;action=152&amp;model=crm.lead&amp;view_type=form&amp;menu_id=111" ref="B3768"/>
    <hyperlink r:id="rId4895" location="id=28614&amp;action=152&amp;model=crm.lead&amp;view_type=form&amp;menu_id=111" ref="B3769"/>
    <hyperlink r:id="rId4896" location="id=28608&amp;action=152&amp;model=crm.lead&amp;view_type=form&amp;menu_id=111" ref="B3770"/>
    <hyperlink r:id="rId4897" location="id=28604&amp;action=152&amp;model=crm.lead&amp;view_type=form&amp;menu_id=111" ref="B3771"/>
    <hyperlink r:id="rId4898" location="id=28597&amp;action=152&amp;model=crm.lead&amp;view_type=form&amp;menu_id=111" ref="B3772"/>
    <hyperlink r:id="rId4899" location="id=28594&amp;action=152&amp;model=crm.lead&amp;view_type=form&amp;menu_id=111" ref="B3773"/>
    <hyperlink r:id="rId4900" location="id=28593&amp;action=152&amp;model=crm.lead&amp;view_type=form&amp;menu_id=111" ref="B3774"/>
    <hyperlink r:id="rId4901" location="id=28588&amp;action=152&amp;model=crm.lead&amp;view_type=form&amp;menu_id=111" ref="B3775"/>
    <hyperlink r:id="rId4902" location="id=28580&amp;action=152&amp;model=crm.lead&amp;view_type=form&amp;menu_id=111" ref="B3776"/>
    <hyperlink r:id="rId4903" location="id=28576&amp;action=152&amp;model=crm.lead&amp;view_type=form&amp;menu_id=111" ref="B3777"/>
    <hyperlink r:id="rId4904" location="id=28565&amp;action=152&amp;model=crm.lead&amp;view_type=form&amp;menu_id=111" ref="B3778"/>
    <hyperlink r:id="rId4905" location="id=28562&amp;action=152&amp;model=crm.lead&amp;view_type=form&amp;menu_id=111" ref="B3779"/>
    <hyperlink r:id="rId4906" location="id=28542&amp;action=152&amp;model=crm.lead&amp;view_type=form&amp;menu_id=111" ref="B3780"/>
    <hyperlink r:id="rId4907" location="id=28540&amp;action=152&amp;model=crm.lead&amp;view_type=form&amp;menu_id=111" ref="B3781"/>
    <hyperlink r:id="rId4908" location="id=28539&amp;action=152&amp;model=crm.lead&amp;view_type=form&amp;menu_id=111" ref="B3782"/>
    <hyperlink r:id="rId4909" location="id=28532&amp;action=152&amp;model=crm.lead&amp;view_type=form&amp;menu_id=111" ref="B3783"/>
    <hyperlink r:id="rId4910" location="id=28519&amp;action=152&amp;model=crm.lead&amp;view_type=form&amp;menu_id=111" ref="B3784"/>
    <hyperlink r:id="rId4911" location="id=28518&amp;action=152&amp;model=crm.lead&amp;view_type=form&amp;menu_id=111" ref="B3785"/>
    <hyperlink r:id="rId4912" location="id=28513&amp;action=152&amp;model=crm.lead&amp;view_type=form&amp;menu_id=111" ref="B3786"/>
    <hyperlink r:id="rId4913" location="id=28508&amp;action=152&amp;model=crm.lead&amp;view_type=form&amp;menu_id=111" ref="B3787"/>
    <hyperlink r:id="rId4914" location="id=28507&amp;action=152&amp;model=crm.lead&amp;view_type=form&amp;menu_id=111" ref="B3788"/>
    <hyperlink r:id="rId4915" location="id=28506&amp;action=152&amp;model=crm.lead&amp;view_type=form&amp;menu_id=111" ref="B3789"/>
    <hyperlink r:id="rId4916" location="id=28504&amp;action=152&amp;model=crm.lead&amp;view_type=form&amp;menu_id=111" ref="B3790"/>
    <hyperlink r:id="rId4917" location="id=28503&amp;action=152&amp;model=crm.lead&amp;view_type=form&amp;menu_id=111" ref="B3791"/>
    <hyperlink r:id="rId4918" location="id=28501&amp;action=152&amp;model=crm.lead&amp;view_type=form&amp;menu_id=111" ref="B3792"/>
    <hyperlink r:id="rId4919" location="id=28485&amp;action=152&amp;model=crm.lead&amp;view_type=form&amp;menu_id=111" ref="B3793"/>
    <hyperlink r:id="rId4920" location="id=28497&amp;action=152&amp;model=crm.lead&amp;view_type=form&amp;menu_id=111" ref="B3794"/>
    <hyperlink r:id="rId4921" location="id=28495&amp;action=152&amp;model=crm.lead&amp;view_type=form&amp;menu_id=111" ref="B3795"/>
    <hyperlink r:id="rId4922" location="id=28490&amp;action=152&amp;model=crm.lead&amp;view_type=form&amp;menu_id=111" ref="B3796"/>
    <hyperlink r:id="rId4923" location="id=28489&amp;action=152&amp;model=crm.lead&amp;view_type=form&amp;menu_id=111" ref="B3797"/>
    <hyperlink r:id="rId4924" location="id=28488&amp;action=152&amp;model=crm.lead&amp;view_type=form&amp;menu_id=111" ref="B3798"/>
    <hyperlink r:id="rId4925" location="id=28486&amp;action=152&amp;model=crm.lead&amp;view_type=form&amp;menu_id=111" ref="B3799"/>
    <hyperlink r:id="rId4926" location="id=28475&amp;action=152&amp;model=crm.lead&amp;view_type=form&amp;menu_id=111" ref="B3800"/>
    <hyperlink r:id="rId4927" location="id=28474&amp;action=152&amp;model=crm.lead&amp;view_type=form&amp;menu_id=111" ref="B3801"/>
    <hyperlink r:id="rId4928" location="id=28469&amp;action=152&amp;model=crm.lead&amp;view_type=form&amp;menu_id=111" ref="B3802"/>
    <hyperlink r:id="rId4929" location="id=28455&amp;action=152&amp;model=crm.lead&amp;view_type=form&amp;menu_id=111" ref="B3803"/>
    <hyperlink r:id="rId4930" location="id=28436&amp;action=152&amp;model=crm.lead&amp;view_type=form&amp;menu_id=111" ref="B3804"/>
    <hyperlink r:id="rId4931" location="id=28463&amp;action=152&amp;model=crm.lead&amp;view_type=form&amp;menu_id=111" ref="B3805"/>
    <hyperlink r:id="rId4932" location="id=28464&amp;action=152&amp;model=crm.lead&amp;view_type=form&amp;menu_id=111" ref="B3806"/>
    <hyperlink r:id="rId4933" location="id=28435&amp;action=152&amp;model=crm.lead&amp;view_type=form&amp;menu_id=111" ref="B3807"/>
    <hyperlink r:id="rId4934" location="id=28444&amp;action=152&amp;model=crm.lead&amp;view_type=form&amp;menu_id=111" ref="B3808"/>
    <hyperlink r:id="rId4935" location="id=28447&amp;action=152&amp;model=crm.lead&amp;view_type=form&amp;menu_id=111" ref="B3809"/>
    <hyperlink r:id="rId4936" location="id=28450&amp;action=152&amp;model=crm.lead&amp;view_type=form&amp;menu_id=111" ref="B3810"/>
    <hyperlink r:id="rId4937" location="id=28410&amp;action=152&amp;model=crm.lead&amp;view_type=form&amp;menu_id=111" ref="B3811"/>
    <hyperlink r:id="rId4938" location="id=28411&amp;action=152&amp;model=crm.lead&amp;view_type=form&amp;menu_id=111" ref="B3812"/>
    <hyperlink r:id="rId4939" location="id=28055&amp;action=152&amp;model=crm.lead&amp;view_type=form&amp;menu_id=111" ref="B3813"/>
    <hyperlink r:id="rId4940" location="id=28029&amp;action=152&amp;model=crm.lead&amp;view_type=form&amp;menu_id=111" ref="B3814"/>
    <hyperlink r:id="rId4941" location="id=28402&amp;action=152&amp;model=crm.lead&amp;view_type=form&amp;menu_id=111" ref="B3815"/>
    <hyperlink r:id="rId4942" location="id=28401&amp;action=152&amp;model=crm.lead&amp;view_type=form&amp;menu_id=111" ref="B3816"/>
    <hyperlink r:id="rId4943" location="id=28400&amp;action=152&amp;model=crm.lead&amp;view_type=form&amp;menu_id=111" ref="B3817"/>
    <hyperlink r:id="rId4944" location="id=28394&amp;action=152&amp;model=crm.lead&amp;view_type=form&amp;menu_id=111" ref="B3818"/>
    <hyperlink r:id="rId4945" location="id=28391&amp;action=152&amp;model=crm.lead&amp;view_type=form&amp;menu_id=111" ref="B3819"/>
    <hyperlink r:id="rId4946" location="id=28387&amp;action=152&amp;model=crm.lead&amp;view_type=form&amp;menu_id=111" ref="B3820"/>
    <hyperlink r:id="rId4947" location="id=28390&amp;action=152&amp;model=crm.lead&amp;view_type=form&amp;menu_id=111" ref="B3821"/>
    <hyperlink r:id="rId4948" location="id=28363&amp;action=152&amp;model=crm.lead&amp;view_type=form&amp;menu_id=111" ref="B3822"/>
    <hyperlink r:id="rId4949" location="id=28360&amp;action=152&amp;model=crm.lead&amp;view_type=form&amp;menu_id=111" ref="B3823"/>
    <hyperlink r:id="rId4950" location="id=28354&amp;action=152&amp;model=crm.lead&amp;view_type=form&amp;menu_id=111" ref="B3824"/>
    <hyperlink r:id="rId4951" location="id=28358&amp;action=152&amp;model=crm.lead&amp;view_type=form&amp;menu_id=111" ref="B3825"/>
    <hyperlink r:id="rId4952" location="id=28365&amp;action=152&amp;model=crm.lead&amp;view_type=form&amp;menu_id=111" ref="B3826"/>
    <hyperlink r:id="rId4953" location="id=28369&amp;action=152&amp;model=crm.lead&amp;view_type=form&amp;menu_id=111" ref="B3827"/>
    <hyperlink r:id="rId4954" location="id=28373&amp;action=152&amp;model=crm.lead&amp;view_type=form&amp;menu_id=111" ref="B3828"/>
    <hyperlink r:id="rId4955" location="id=28378&amp;action=152&amp;model=crm.lead&amp;view_type=form&amp;menu_id=111" ref="B3829"/>
    <hyperlink r:id="rId4956" location="id=28342&amp;action=152&amp;model=crm.lead&amp;view_type=form&amp;menu_id=111" ref="B3830"/>
    <hyperlink r:id="rId4957" location="id=28334&amp;action=152&amp;model=crm.lead&amp;view_type=form&amp;menu_id=111" ref="B3831"/>
    <hyperlink r:id="rId4958" location="id=28327&amp;action=152&amp;model=crm.lead&amp;view_type=form&amp;menu_id=111" ref="B3832"/>
    <hyperlink r:id="rId4959" location="id=28323&amp;action=152&amp;model=crm.lead&amp;view_type=form&amp;menu_id=111" ref="B3833"/>
    <hyperlink r:id="rId4960" location="id=28174&amp;action=152&amp;model=crm.lead&amp;view_type=form&amp;menu_id=111" ref="B3834"/>
    <hyperlink r:id="rId4961" location="id=28317&amp;action=152&amp;model=crm.lead&amp;view_type=form&amp;menu_id=111" ref="B3835"/>
    <hyperlink r:id="rId4962" location="id=28320&amp;action=152&amp;model=crm.lead&amp;view_type=form&amp;menu_id=111" ref="B3836"/>
    <hyperlink r:id="rId4963" location="id=28297&amp;action=152&amp;model=crm.lead&amp;view_type=form&amp;menu_id=111" ref="B3837"/>
    <hyperlink r:id="rId4964" location="id=28293&amp;action=152&amp;model=crm.lead&amp;view_type=form&amp;menu_id=111" ref="B3838"/>
    <hyperlink r:id="rId4965" location="id=28300&amp;action=152&amp;model=crm.lead&amp;view_type=form&amp;menu_id=111" ref="B3839"/>
    <hyperlink r:id="rId4966" location="id=28305&amp;action=152&amp;model=crm.lead&amp;view_type=form&amp;menu_id=111" ref="B3840"/>
    <hyperlink r:id="rId4967" location="id=28257&amp;action=152&amp;model=crm.lead&amp;view_type=form&amp;menu_id=111" ref="B3841"/>
    <hyperlink r:id="rId4968" location="id=28267&amp;action=152&amp;model=crm.lead&amp;view_type=form&amp;menu_id=111" ref="B3842"/>
    <hyperlink r:id="rId4969" location="id=28206&amp;action=152&amp;model=crm.lead&amp;view_type=form&amp;menu_id=111" ref="B3843"/>
    <hyperlink r:id="rId4970" location="id=28260&amp;action=152&amp;model=crm.lead&amp;view_type=form&amp;menu_id=111" ref="B3844"/>
    <hyperlink r:id="rId4971" location="id=28261&amp;action=152&amp;model=crm.lead&amp;view_type=form&amp;menu_id=111" ref="B3845"/>
    <hyperlink r:id="rId4972" location="id=28244&amp;action=152&amp;model=crm.lead&amp;view_type=form&amp;menu_id=111" ref="B3846"/>
    <hyperlink r:id="rId4973" location="id=28238&amp;action=152&amp;model=crm.lead&amp;view_type=form&amp;menu_id=111" ref="B3847"/>
    <hyperlink r:id="rId4974" location="id=28236&amp;action=152&amp;model=crm.lead&amp;view_type=form&amp;menu_id=111" ref="B3848"/>
    <hyperlink r:id="rId4975" location="id=28235&amp;action=152&amp;model=crm.lead&amp;view_type=form&amp;menu_id=111" ref="B3849"/>
    <hyperlink r:id="rId4976" location="id=28228&amp;action=152&amp;model=crm.lead&amp;view_type=form&amp;menu_id=111" ref="B3850"/>
    <hyperlink r:id="rId4977" location="id=28226&amp;action=152&amp;model=crm.lead&amp;view_type=form&amp;menu_id=111" ref="B3851"/>
    <hyperlink r:id="rId4978" location="id=28221&amp;action=152&amp;model=crm.lead&amp;view_type=form&amp;menu_id=111" ref="B3852"/>
    <hyperlink r:id="rId4979" location="id=28219&amp;action=152&amp;model=crm.lead&amp;view_type=form&amp;menu_id=111" ref="B3853"/>
    <hyperlink r:id="rId4980" location="id=28214&amp;action=152&amp;model=crm.lead&amp;view_type=form&amp;menu_id=111" ref="B3854"/>
    <hyperlink r:id="rId4981" location="id=28208&amp;action=152&amp;model=crm.lead&amp;view_type=form&amp;menu_id=111" ref="B3855"/>
    <hyperlink r:id="rId4982" location="id=28204&amp;action=152&amp;model=crm.lead&amp;view_type=form&amp;menu_id=111" ref="B3856"/>
    <hyperlink r:id="rId4983" location="id=28199&amp;action=152&amp;model=crm.lead&amp;view_type=form&amp;menu_id=111" ref="B3857"/>
    <hyperlink r:id="rId4984" location="id=28198&amp;action=152&amp;model=crm.lead&amp;view_type=form&amp;menu_id=111" ref="B3858"/>
    <hyperlink r:id="rId4985" location="id=28197&amp;action=152&amp;model=crm.lead&amp;view_type=form&amp;menu_id=111" ref="B3859"/>
    <hyperlink r:id="rId4986" location="id=28107&amp;action=152&amp;model=crm.lead&amp;view_type=form&amp;menu_id=111" ref="B3860"/>
    <hyperlink r:id="rId4987" location="id=28108&amp;action=152&amp;model=crm.lead&amp;view_type=form&amp;menu_id=111" ref="B3861"/>
    <hyperlink r:id="rId4988" location="id=28109&amp;action=152&amp;model=crm.lead&amp;view_type=form&amp;menu_id=111" ref="B3862"/>
    <hyperlink r:id="rId4989" location="id=28166&amp;action=152&amp;model=crm.lead&amp;view_type=form&amp;menu_id=111" ref="B3863"/>
    <hyperlink r:id="rId4990" location="id=28160&amp;action=152&amp;model=crm.lead&amp;view_type=form&amp;menu_id=111" ref="B3864"/>
    <hyperlink r:id="rId4991" location="id=28114&amp;action=152&amp;model=crm.lead&amp;view_type=form&amp;menu_id=111" ref="B3865"/>
    <hyperlink r:id="rId4992" location="id=28110&amp;action=152&amp;model=crm.lead&amp;view_type=form&amp;menu_id=111" ref="B3866"/>
    <hyperlink r:id="rId4993" location="id=28120&amp;action=152&amp;model=crm.lead&amp;view_type=form&amp;menu_id=111" ref="B3867"/>
    <hyperlink r:id="rId4994" location="id=28131&amp;action=152&amp;model=crm.lead&amp;view_type=form&amp;menu_id=111" ref="B3868"/>
    <hyperlink r:id="rId4995" location="id=28137&amp;action=152&amp;model=crm.lead&amp;view_type=form&amp;menu_id=111" ref="B3869"/>
    <hyperlink r:id="rId4996" location="id=28139&amp;action=152&amp;model=crm.lead&amp;view_type=form&amp;menu_id=111" ref="B3870"/>
    <hyperlink r:id="rId4997" location="id=28159&amp;action=152&amp;model=crm.lead&amp;view_type=form&amp;menu_id=111" ref="B3871"/>
    <hyperlink r:id="rId4998" location="id=28171&amp;action=152&amp;model=crm.lead&amp;view_type=form&amp;menu_id=111" ref="B3872"/>
    <hyperlink r:id="rId4999" location="id=28172&amp;action=152&amp;model=crm.lead&amp;view_type=form&amp;menu_id=111" ref="B3873"/>
    <hyperlink r:id="rId5000" location="id=27994&amp;action=152&amp;model=crm.lead&amp;view_type=form&amp;menu_id=111" ref="B3874"/>
    <hyperlink r:id="rId5001" location="id=27661&amp;action=152&amp;model=crm.lead&amp;view_type=form&amp;menu_id=111" ref="B3875"/>
    <hyperlink r:id="rId5002" location="id=27996&amp;action=152&amp;model=crm.lead&amp;view_type=form&amp;menu_id=111" ref="B3876"/>
    <hyperlink r:id="rId5003" location="id=27990&amp;action=152&amp;model=crm.lead&amp;view_type=form&amp;menu_id=111" ref="B3877"/>
    <hyperlink r:id="rId5004" location="id=27977&amp;action=152&amp;model=crm.lead&amp;view_type=form&amp;menu_id=111" ref="B3878"/>
    <hyperlink r:id="rId5005" location="id=27964&amp;action=152&amp;model=crm.lead&amp;view_type=form&amp;menu_id=111" ref="B3879"/>
    <hyperlink r:id="rId5006" location="id=27968&amp;action=152&amp;model=crm.lead&amp;view_type=form&amp;menu_id=111" ref="B3880"/>
    <hyperlink r:id="rId5007" location="id=27970&amp;action=152&amp;model=crm.lead&amp;view_type=form&amp;menu_id=111" ref="B3881"/>
    <hyperlink r:id="rId5008" location="id=27966&amp;action=152&amp;model=crm.lead&amp;view_type=form&amp;menu_id=111" ref="B3882"/>
    <hyperlink r:id="rId5009" location="id=27962&amp;action=152&amp;model=crm.lead&amp;view_type=form&amp;menu_id=111" ref="B3883"/>
    <hyperlink r:id="rId5010" location="id=27961&amp;action=152&amp;model=crm.lead&amp;view_type=form&amp;menu_id=111" ref="B3884"/>
    <hyperlink r:id="rId5011" location="id=27960&amp;action=152&amp;model=crm.lead&amp;view_type=form&amp;menu_id=111" ref="B3885"/>
    <hyperlink r:id="rId5012" location="id=27955&amp;action=152&amp;model=crm.lead&amp;view_type=form&amp;menu_id=111" ref="B3886"/>
    <hyperlink r:id="rId5013" location="id=27954&amp;action=152&amp;model=crm.lead&amp;view_type=form&amp;menu_id=111" ref="B3887"/>
    <hyperlink r:id="rId5014" location="id=27949&amp;action=152&amp;model=crm.lead&amp;view_type=form&amp;menu_id=111" ref="B3888"/>
    <hyperlink r:id="rId5015" location="id=27948&amp;action=152&amp;model=crm.lead&amp;view_type=form&amp;menu_id=111" ref="B3889"/>
    <hyperlink r:id="rId5016" location="id=27940&amp;action=152&amp;model=crm.lead&amp;view_type=form&amp;menu_id=111" ref="B3890"/>
    <hyperlink r:id="rId5017" location="id=27934&amp;action=152&amp;model=crm.lead&amp;view_type=form&amp;menu_id=111" ref="B3891"/>
    <hyperlink r:id="rId5018" location="id=27921&amp;action=152&amp;model=crm.lead&amp;view_type=form&amp;menu_id=111" ref="B3892"/>
    <hyperlink r:id="rId5019" location="id=27927&amp;action=152&amp;model=crm.lead&amp;view_type=form&amp;menu_id=111" ref="B3893"/>
    <hyperlink r:id="rId5020" location="id=27923&amp;action=152&amp;model=crm.lead&amp;view_type=form&amp;menu_id=111" ref="B3894"/>
    <hyperlink r:id="rId5021" location="id=27858&amp;action=152&amp;model=crm.lead&amp;view_type=form&amp;menu_id=111" ref="B3895"/>
    <hyperlink r:id="rId5022" location="id=27919&amp;action=152&amp;model=crm.lead&amp;view_type=form&amp;menu_id=111" ref="B3896"/>
    <hyperlink r:id="rId5023" location="id=27915&amp;action=152&amp;model=crm.lead&amp;view_type=form&amp;menu_id=111" ref="B3897"/>
    <hyperlink r:id="rId5024" location="id=27907&amp;action=152&amp;model=crm.lead&amp;view_type=form&amp;menu_id=111" ref="B3898"/>
    <hyperlink r:id="rId5025" location="id=27908&amp;action=152&amp;model=crm.lead&amp;view_type=form&amp;menu_id=111" ref="B3899"/>
    <hyperlink r:id="rId5026" location="id=27822&amp;action=152&amp;model=crm.lead&amp;view_type=form&amp;menu_id=111" ref="B3900"/>
    <hyperlink r:id="rId5027" location="id=27841&amp;action=152&amp;model=crm.lead&amp;view_type=form&amp;menu_id=111" ref="B3901"/>
    <hyperlink r:id="rId5028" location="id=27861&amp;action=152&amp;model=crm.lead&amp;view_type=form&amp;menu_id=111" ref="B3902"/>
    <hyperlink r:id="rId5029" location="id=27905&amp;action=152&amp;model=crm.lead&amp;view_type=form&amp;menu_id=111" ref="B3903"/>
    <hyperlink r:id="rId5030" location="id=27904&amp;action=152&amp;model=crm.lead&amp;view_type=form&amp;menu_id=111" ref="B3904"/>
    <hyperlink r:id="rId5031" location="id=27903&amp;action=152&amp;model=crm.lead&amp;view_type=form&amp;menu_id=111" ref="B3905"/>
    <hyperlink r:id="rId5032" location="id=27876&amp;action=152&amp;model=crm.lead&amp;view_type=form&amp;menu_id=111" ref="B3906"/>
    <hyperlink r:id="rId5033" location="id=27879&amp;action=152&amp;model=crm.lead&amp;view_type=form&amp;menu_id=111" ref="B3907"/>
    <hyperlink r:id="rId5034" location="id=27881&amp;action=152&amp;model=crm.lead&amp;view_type=form&amp;menu_id=111" ref="B3908"/>
    <hyperlink r:id="rId5035" location="id=27888&amp;action=152&amp;model=crm.lead&amp;view_type=form&amp;menu_id=111" ref="B3909"/>
    <hyperlink r:id="rId5036" location="id=27838&amp;action=152&amp;model=crm.lead&amp;view_type=form&amp;menu_id=111" ref="B3910"/>
    <hyperlink r:id="rId5037" location="id=27779&amp;action=152&amp;model=crm.lead&amp;view_type=form&amp;menu_id=111" ref="B3911"/>
    <hyperlink r:id="rId5038" location="id=27837&amp;action=152&amp;model=crm.lead&amp;view_type=form&amp;menu_id=111" ref="B3912"/>
    <hyperlink r:id="rId5039" location="id=27836&amp;action=152&amp;model=crm.lead&amp;view_type=form&amp;menu_id=111" ref="B3913"/>
    <hyperlink r:id="rId5040" location="id=27803&amp;action=152&amp;model=crm.lead&amp;view_type=form&amp;menu_id=111" ref="B3914"/>
    <hyperlink r:id="rId5041" location="id=27794&amp;action=152&amp;model=crm.lead&amp;view_type=form&amp;menu_id=111" ref="B3915"/>
    <hyperlink r:id="rId5042" location="id=27793&amp;action=152&amp;model=crm.lead&amp;view_type=form&amp;menu_id=111" ref="B3916"/>
    <hyperlink r:id="rId5043" location="id=27791&amp;action=152&amp;model=crm.lead&amp;view_type=form&amp;menu_id=111" ref="B3917"/>
    <hyperlink r:id="rId5044" location="id=27831&amp;action=152&amp;model=crm.lead&amp;view_type=form&amp;menu_id=111" ref="B3918"/>
    <hyperlink r:id="rId5045" location="id=27776&amp;action=152&amp;model=crm.lead&amp;view_type=form&amp;menu_id=111" ref="B3919"/>
    <hyperlink r:id="rId5046" location="id=27785&amp;action=152&amp;model=crm.lead&amp;view_type=form&amp;menu_id=111" ref="B3920"/>
    <hyperlink r:id="rId5047" location="id=27612&amp;action=152&amp;model=crm.lead&amp;view_type=form&amp;menu_id=111" ref="B3921"/>
    <hyperlink r:id="rId5048" location="id=27609&amp;action=152&amp;model=crm.lead&amp;view_type=form&amp;menu_id=111" ref="B3922"/>
    <hyperlink r:id="rId5049" location="id=27634&amp;action=152&amp;model=crm.lead&amp;view_type=form&amp;menu_id=111" ref="B3923"/>
    <hyperlink r:id="rId5050" location="id=27641&amp;action=152&amp;model=crm.lead&amp;view_type=form&amp;menu_id=111" ref="B3924"/>
    <hyperlink r:id="rId5051" location="id=27728&amp;action=152&amp;model=crm.lead&amp;view_type=form&amp;menu_id=111" ref="B3925"/>
    <hyperlink r:id="rId5052" location="id=27770&amp;action=152&amp;model=crm.lead&amp;view_type=form&amp;menu_id=111" ref="B3926"/>
    <hyperlink r:id="rId5053" location="id=27756&amp;action=152&amp;model=crm.lead&amp;view_type=form&amp;menu_id=111" ref="B3927"/>
    <hyperlink r:id="rId5054" location="id=27722&amp;action=152&amp;model=crm.lead&amp;view_type=form&amp;menu_id=111" ref="B3928"/>
    <hyperlink r:id="rId5055" location="id=27721&amp;action=152&amp;model=crm.lead&amp;view_type=form&amp;menu_id=111" ref="B3929"/>
    <hyperlink r:id="rId5056" location="id=27736&amp;action=152&amp;model=crm.lead&amp;view_type=form&amp;menu_id=111" ref="B3930"/>
    <hyperlink r:id="rId5057" location="id=27742&amp;action=152&amp;model=crm.lead&amp;view_type=form&amp;menu_id=111" ref="B3931"/>
    <hyperlink r:id="rId5058" location="id=27750&amp;action=152&amp;model=crm.lead&amp;view_type=form&amp;menu_id=111" ref="B3932"/>
    <hyperlink r:id="rId5059" location="id=27701&amp;action=152&amp;model=crm.lead&amp;view_type=form&amp;menu_id=111" ref="B3933"/>
    <hyperlink r:id="rId5060" location="id=27712&amp;action=152&amp;model=crm.lead&amp;view_type=form&amp;menu_id=111" ref="B3934"/>
    <hyperlink r:id="rId5061" location="id=27711&amp;action=152&amp;model=crm.lead&amp;view_type=form&amp;menu_id=111" ref="B3935"/>
    <hyperlink r:id="rId5062" location="id=27713&amp;action=152&amp;model=crm.lead&amp;view_type=form&amp;menu_id=111" ref="B3936"/>
    <hyperlink r:id="rId5063" location="id=27709&amp;action=152&amp;model=crm.lead&amp;view_type=form&amp;menu_id=111" ref="B3937"/>
    <hyperlink r:id="rId5064" location="id=27654&amp;action=152&amp;model=crm.lead&amp;view_type=form&amp;menu_id=111" ref="B3938"/>
    <hyperlink r:id="rId5065" location="id=27652&amp;action=152&amp;model=crm.lead&amp;view_type=form&amp;menu_id=111" ref="B3939"/>
    <hyperlink r:id="rId5066" location="id=27647&amp;action=152&amp;model=crm.lead&amp;view_type=form&amp;menu_id=111" ref="B3940"/>
    <hyperlink r:id="rId5067" location="id=27651&amp;action=152&amp;model=crm.lead&amp;view_type=form&amp;menu_id=111" ref="B3941"/>
    <hyperlink r:id="rId5068" location="id=27668&amp;action=152&amp;model=crm.lead&amp;view_type=form&amp;menu_id=111" ref="B3942"/>
    <hyperlink r:id="rId5069" location="id=27672&amp;action=152&amp;model=crm.lead&amp;view_type=form&amp;menu_id=111" ref="B3943"/>
    <hyperlink r:id="rId5070" location="id=27676&amp;action=152&amp;model=crm.lead&amp;view_type=form&amp;menu_id=111" ref="B3944"/>
    <hyperlink r:id="rId5071" location="id=27679&amp;action=152&amp;model=crm.lead&amp;view_type=form&amp;menu_id=111" ref="B3945"/>
    <hyperlink r:id="rId5072" location="id=27687&amp;action=152&amp;model=crm.lead&amp;view_type=form&amp;menu_id=111" ref="B3946"/>
    <hyperlink r:id="rId5073" location="id=27697&amp;action=152&amp;model=crm.lead&amp;view_type=form&amp;menu_id=111" ref="B3947"/>
    <hyperlink r:id="rId5074" location="id=27598&amp;action=152&amp;model=crm.lead&amp;view_type=form&amp;menu_id=111" ref="B3948"/>
    <hyperlink r:id="rId5075" location="id=27599&amp;action=152&amp;model=crm.lead&amp;view_type=form&amp;menu_id=111" ref="B3949"/>
    <hyperlink r:id="rId5076" location="id=27587&amp;action=152&amp;model=crm.lead&amp;view_type=form&amp;menu_id=111" ref="B3950"/>
    <hyperlink r:id="rId5077" location="id=27575&amp;action=152&amp;model=crm.lead&amp;view_type=form&amp;menu_id=111" ref="B3951"/>
    <hyperlink r:id="rId5078" location="id=27578&amp;action=152&amp;model=crm.lead&amp;view_type=form&amp;menu_id=111" ref="B3952"/>
    <hyperlink r:id="rId5079" location="id=27579&amp;action=152&amp;model=crm.lead&amp;view_type=form&amp;menu_id=111" ref="B3953"/>
    <hyperlink r:id="rId5080" location="id=27585&amp;action=152&amp;model=crm.lead&amp;view_type=form&amp;menu_id=111" ref="B3954"/>
    <hyperlink r:id="rId5081" location="id=27567&amp;action=152&amp;model=crm.lead&amp;view_type=form&amp;menu_id=111" ref="B3955"/>
    <hyperlink r:id="rId5082" location="id=27422&amp;action=152&amp;model=crm.lead&amp;view_type=form&amp;menu_id=111" ref="B3956"/>
    <hyperlink r:id="rId5083" location="id=27508&amp;action=152&amp;model=crm.lead&amp;view_type=form&amp;menu_id=111" ref="B3957"/>
    <hyperlink r:id="rId5084" location="id=27509&amp;action=152&amp;model=crm.lead&amp;view_type=form&amp;menu_id=111" ref="B3958"/>
    <hyperlink r:id="rId5085" location="id=27521&amp;action=152&amp;model=crm.lead&amp;view_type=form&amp;menu_id=111" ref="B3959"/>
    <hyperlink r:id="rId5086" location="id=27523&amp;action=152&amp;model=crm.lead&amp;view_type=form&amp;menu_id=111" ref="B3960"/>
    <hyperlink r:id="rId5087" location="id=27499&amp;action=152&amp;model=crm.lead&amp;view_type=form&amp;menu_id=111" ref="B3961"/>
    <hyperlink r:id="rId5088" location="id=27501&amp;action=152&amp;model=crm.lead&amp;view_type=form&amp;menu_id=111" ref="B3962"/>
    <hyperlink r:id="rId5089" location="id=27502&amp;action=152&amp;model=crm.lead&amp;view_type=form&amp;menu_id=111" ref="B3963"/>
    <hyperlink r:id="rId5090" location="id=27503&amp;action=152&amp;model=crm.lead&amp;view_type=form&amp;menu_id=111" ref="B3964"/>
    <hyperlink r:id="rId5091" location="id=27474&amp;action=152&amp;model=crm.lead&amp;view_type=form&amp;menu_id=111" ref="B3965"/>
    <hyperlink r:id="rId5092" location="id=27498&amp;action=152&amp;model=crm.lead&amp;view_type=form&amp;menu_id=111" ref="B3966"/>
    <hyperlink r:id="rId5093" location="id=27449&amp;action=152&amp;model=crm.lead&amp;view_type=form&amp;menu_id=111" ref="B3967"/>
    <hyperlink r:id="rId5094" location="id=27452&amp;action=152&amp;model=crm.lead&amp;view_type=form&amp;menu_id=111" ref="B3968"/>
    <hyperlink r:id="rId5095" location="id=27454&amp;action=152&amp;model=crm.lead&amp;view_type=form&amp;menu_id=111" ref="B3969"/>
    <hyperlink r:id="rId5096" location="id=27465&amp;action=152&amp;model=crm.lead&amp;view_type=form&amp;menu_id=111" ref="B3970"/>
    <hyperlink r:id="rId5097" location="id=27456&amp;action=152&amp;model=crm.lead&amp;view_type=form&amp;menu_id=111" ref="B3971"/>
    <hyperlink r:id="rId5098" location="id=27470&amp;action=152&amp;model=crm.lead&amp;view_type=form&amp;menu_id=111" ref="B3972"/>
    <hyperlink r:id="rId5099" location="id=27472&amp;action=152&amp;model=crm.lead&amp;view_type=form&amp;menu_id=111" ref="B3973"/>
    <hyperlink r:id="rId5100" location="id=27484&amp;action=152&amp;model=crm.lead&amp;view_type=form&amp;menu_id=111" ref="B3974"/>
    <hyperlink r:id="rId5101" location="id=27488&amp;action=152&amp;model=crm.lead&amp;view_type=form&amp;menu_id=111" ref="B3975"/>
    <hyperlink r:id="rId5102" location="id=27489&amp;action=152&amp;model=crm.lead&amp;view_type=form&amp;menu_id=111" ref="B3976"/>
    <hyperlink r:id="rId5103" location="id=27418&amp;action=152&amp;model=crm.lead&amp;view_type=form&amp;menu_id=111" ref="B3977"/>
    <hyperlink r:id="rId5104" location="id=27413&amp;action=152&amp;model=crm.lead&amp;view_type=form&amp;menu_id=111" ref="B3978"/>
    <hyperlink r:id="rId5105" location="id=27411&amp;action=152&amp;model=crm.lead&amp;view_type=form&amp;menu_id=111" ref="B3979"/>
    <hyperlink r:id="rId5106" location="id=27406&amp;action=152&amp;model=crm.lead&amp;view_type=form&amp;menu_id=111" ref="B3980"/>
    <hyperlink r:id="rId5107" location="id=27403&amp;action=152&amp;model=crm.lead&amp;view_type=form&amp;menu_id=111" ref="B3981"/>
    <hyperlink r:id="rId5108" location="id=27400&amp;action=152&amp;model=crm.lead&amp;view_type=form&amp;menu_id=111" ref="B3982"/>
    <hyperlink r:id="rId5109" location="id=27397&amp;action=152&amp;model=crm.lead&amp;view_type=form&amp;menu_id=111" ref="B3983"/>
    <hyperlink r:id="rId5110" location="id=27393&amp;action=152&amp;model=crm.lead&amp;view_type=form&amp;menu_id=111" ref="B3984"/>
    <hyperlink r:id="rId5111" location="id=27391&amp;action=152&amp;model=crm.lead&amp;view_type=form&amp;menu_id=111" ref="B3985"/>
    <hyperlink r:id="rId5112" location="id=27384&amp;action=152&amp;model=crm.lead&amp;view_type=form&amp;menu_id=111" ref="B3986"/>
    <hyperlink r:id="rId5113" location="id=27380&amp;action=152&amp;model=crm.lead&amp;view_type=form&amp;menu_id=111" ref="B3987"/>
    <hyperlink r:id="rId5114" location="id=27372&amp;action=152&amp;model=crm.lead&amp;view_type=form&amp;menu_id=111" ref="B3988"/>
    <hyperlink r:id="rId5115" location="id=27347&amp;action=152&amp;model=crm.lead&amp;view_type=form&amp;menu_id=111" ref="B3989"/>
    <hyperlink r:id="rId5116" location="id=27351&amp;action=152&amp;model=crm.lead&amp;view_type=form&amp;menu_id=111" ref="B3990"/>
    <hyperlink r:id="rId5117" location="id=27352&amp;action=152&amp;model=crm.lead&amp;view_type=form&amp;menu_id=111" ref="B3991"/>
    <hyperlink r:id="rId5118" location="id=27282&amp;action=152&amp;model=crm.lead&amp;view_type=form&amp;menu_id=111" ref="B3992"/>
    <hyperlink r:id="rId5119" location="id=27332&amp;action=152&amp;model=crm.lead&amp;view_type=form&amp;menu_id=111" ref="B3993"/>
    <hyperlink r:id="rId5120" location="id=27333&amp;action=152&amp;model=crm.lead&amp;view_type=form&amp;menu_id=111" ref="B3994"/>
    <hyperlink r:id="rId5121" location="id=27306&amp;action=152&amp;model=crm.lead&amp;view_type=form&amp;menu_id=111" ref="B3995"/>
    <hyperlink r:id="rId5122" location="id=27291&amp;action=152&amp;model=crm.lead&amp;view_type=form&amp;menu_id=111" ref="B3996"/>
    <hyperlink r:id="rId5123" location="id=27299&amp;action=152&amp;model=crm.lead&amp;view_type=form&amp;menu_id=111" ref="B3997"/>
    <hyperlink r:id="rId5124" location="id=27304&amp;action=152&amp;model=crm.lead&amp;view_type=form&amp;menu_id=111" ref="B3998"/>
    <hyperlink r:id="rId5125" location="id=27317&amp;action=152&amp;model=crm.lead&amp;view_type=form&amp;menu_id=111" ref="B3999"/>
    <hyperlink r:id="rId5126" location="id=27324&amp;action=152&amp;model=crm.lead&amp;view_type=form&amp;menu_id=111" ref="B4000"/>
    <hyperlink r:id="rId5127" location="id=27316&amp;action=152&amp;model=crm.lead&amp;view_type=form&amp;menu_id=111" ref="B4001"/>
    <hyperlink r:id="rId5128" location="id=27321&amp;action=152&amp;model=crm.lead&amp;view_type=form&amp;menu_id=111" ref="B4002"/>
    <hyperlink r:id="rId5129" location="id=27320&amp;action=152&amp;model=crm.lead&amp;view_type=form&amp;menu_id=111" ref="B4003"/>
    <hyperlink r:id="rId5130" location="id=27156&amp;action=152&amp;model=crm.lead&amp;view_type=form&amp;menu_id=111" ref="B4004"/>
    <hyperlink r:id="rId5131" location="id=27160&amp;action=152&amp;model=crm.lead&amp;view_type=form&amp;menu_id=111" ref="B4005"/>
    <hyperlink r:id="rId5132" location="id=27186&amp;action=152&amp;model=crm.lead&amp;view_type=form&amp;menu_id=111" ref="B4006"/>
    <hyperlink r:id="rId5133" location="id=27184&amp;action=152&amp;model=crm.lead&amp;view_type=form&amp;menu_id=111" ref="B4007"/>
    <hyperlink r:id="rId5134" location="id=27180&amp;action=152&amp;model=crm.lead&amp;view_type=form&amp;menu_id=111" ref="B4008"/>
    <hyperlink r:id="rId5135" location="id=27284&amp;action=152&amp;model=crm.lead&amp;view_type=form&amp;menu_id=111" ref="B4009"/>
    <hyperlink r:id="rId5136" location="id=27210&amp;action=152&amp;model=crm.lead&amp;view_type=form&amp;menu_id=111" ref="B4010"/>
    <hyperlink r:id="rId5137" location="id=27216&amp;action=152&amp;model=crm.lead&amp;view_type=form&amp;menu_id=111" ref="B4011"/>
    <hyperlink r:id="rId5138" location="id=27206&amp;action=152&amp;model=crm.lead&amp;view_type=form&amp;menu_id=111" ref="B4012"/>
    <hyperlink r:id="rId5139" location="id=27260&amp;action=152&amp;model=crm.lead&amp;view_type=form&amp;menu_id=111" ref="B4013"/>
    <hyperlink r:id="rId5140" location="id=27278&amp;action=152&amp;model=crm.lead&amp;view_type=form&amp;menu_id=111" ref="B4014"/>
    <hyperlink r:id="rId5141" location="id=27235&amp;action=152&amp;model=crm.lead&amp;view_type=form&amp;menu_id=111" ref="B4015"/>
    <hyperlink r:id="rId5142" location="id=27240&amp;action=152&amp;model=crm.lead&amp;view_type=form&amp;menu_id=111" ref="B4016"/>
    <hyperlink r:id="rId5143" location="id=27256&amp;action=152&amp;model=crm.lead&amp;view_type=form&amp;menu_id=111" ref="B4017"/>
    <hyperlink r:id="rId5144" location="id=26984&amp;action=152&amp;model=crm.lead&amp;view_type=form&amp;menu_id=111" ref="B4018"/>
    <hyperlink r:id="rId5145" location="id=26983&amp;action=152&amp;model=crm.lead&amp;view_type=form&amp;menu_id=111" ref="B4019"/>
    <hyperlink r:id="rId5146" location="id=26959&amp;action=152&amp;model=crm.lead&amp;view_type=form&amp;menu_id=111" ref="B4020"/>
    <hyperlink r:id="rId5147" location="id=26965&amp;action=152&amp;model=crm.lead&amp;view_type=form&amp;menu_id=111" ref="B4021"/>
    <hyperlink r:id="rId5148" location="id=26946&amp;action=152&amp;model=crm.lead&amp;view_type=form&amp;menu_id=111" ref="B4022"/>
    <hyperlink r:id="rId5149" location="id=26946&amp;action=152&amp;model=crm.lead&amp;view_type=form&amp;menu_id=111" ref="B4023"/>
    <hyperlink r:id="rId5150" location="id=26950&amp;action=152&amp;model=crm.lead&amp;view_type=form&amp;menu_id=111" ref="B4024"/>
    <hyperlink r:id="rId5151" location="id=26953&amp;action=152&amp;model=crm.lead&amp;view_type=form&amp;menu_id=111" ref="B4025"/>
    <hyperlink r:id="rId5152" location="id=26947&amp;action=152&amp;model=crm.lead&amp;view_type=form&amp;menu_id=111" ref="B4026"/>
    <hyperlink r:id="rId5153" location="id=26939&amp;action=152&amp;model=crm.lead&amp;view_type=form&amp;menu_id=111" ref="B4027"/>
    <hyperlink r:id="rId5154" location="id=26879&amp;action=152&amp;model=crm.lead&amp;view_type=form&amp;menu_id=111" ref="B4028"/>
    <hyperlink r:id="rId5155" location="id=26866&amp;action=152&amp;model=crm.lead&amp;view_type=form&amp;menu_id=111" ref="B4029"/>
    <hyperlink r:id="rId5156" location="id=26865&amp;action=152&amp;model=crm.lead&amp;view_type=form&amp;menu_id=111" ref="B4030"/>
    <hyperlink r:id="rId5157" location="id=26860&amp;action=152&amp;model=crm.lead&amp;view_type=form&amp;menu_id=111" ref="B4031"/>
    <hyperlink r:id="rId5158" location="id=26904&amp;action=152&amp;model=crm.lead&amp;view_type=form&amp;menu_id=111" ref="B4032"/>
    <hyperlink r:id="rId5159" location="id=26916&amp;action=152&amp;model=crm.lead&amp;view_type=form&amp;menu_id=111" ref="B4033"/>
    <hyperlink r:id="rId5160" location="id=26927&amp;action=152&amp;model=crm.lead&amp;view_type=form&amp;menu_id=111" ref="B4034"/>
    <hyperlink r:id="rId5161" location="id=26928&amp;action=152&amp;model=crm.lead&amp;view_type=form&amp;menu_id=111" ref="B4035"/>
    <hyperlink r:id="rId5162" location="id=26931&amp;action=152&amp;model=crm.lead&amp;view_type=form&amp;menu_id=111" ref="B4036"/>
    <hyperlink r:id="rId5163" location="id=26937&amp;action=152&amp;model=crm.lead&amp;view_type=form&amp;menu_id=111" ref="B4037"/>
    <hyperlink r:id="rId5164" location="id=26797&amp;action=152&amp;model=crm.lead&amp;view_type=form&amp;menu_id=111" ref="B4038"/>
    <hyperlink r:id="rId5165" location="id=26783&amp;action=152&amp;model=crm.lead&amp;view_type=form&amp;menu_id=111" ref="B4039"/>
    <hyperlink r:id="rId5166" location="id=26790&amp;action=152&amp;model=crm.lead&amp;view_type=form&amp;menu_id=111" ref="B4040"/>
    <hyperlink r:id="rId5167" location="id=26793&amp;action=152&amp;model=crm.lead&amp;view_type=form&amp;menu_id=111" ref="B4041"/>
    <hyperlink r:id="rId5168" location="id=26802&amp;action=152&amp;model=crm.lead&amp;view_type=form&amp;menu_id=111" ref="B4042"/>
    <hyperlink r:id="rId5169" location="id=26809&amp;action=152&amp;model=crm.lead&amp;view_type=form&amp;menu_id=111" ref="B4043"/>
    <hyperlink r:id="rId5170" location="id=26810&amp;action=152&amp;model=crm.lead&amp;view_type=form&amp;menu_id=111" ref="B4044"/>
    <hyperlink r:id="rId5171" location="id=26814&amp;action=152&amp;model=crm.lead&amp;view_type=form&amp;menu_id=111" ref="B4045"/>
    <hyperlink r:id="rId5172" location="id=26816&amp;action=152&amp;model=crm.lead&amp;view_type=form&amp;menu_id=111" ref="B4046"/>
    <hyperlink r:id="rId5173" location="id=26834&amp;action=152&amp;model=crm.lead&amp;view_type=form&amp;menu_id=111" ref="B4047"/>
    <hyperlink r:id="rId5174" location="id=26821&amp;action=152&amp;model=crm.lead&amp;view_type=form&amp;menu_id=111" ref="B4048"/>
    <hyperlink r:id="rId5175" location="id=26791&amp;action=152&amp;model=crm.lead&amp;view_type=form&amp;menu_id=111" ref="B4049"/>
    <hyperlink r:id="rId5176" location="id=26787&amp;action=152&amp;model=crm.lead&amp;view_type=form&amp;menu_id=111" ref="B4050"/>
    <hyperlink r:id="rId5177" location="id=26782&amp;action=152&amp;model=crm.lead&amp;view_type=form&amp;menu_id=111" ref="B4051"/>
    <hyperlink r:id="rId5178" location="id=26775&amp;action=152&amp;model=crm.lead&amp;view_type=form&amp;menu_id=111" ref="B4052"/>
    <hyperlink r:id="rId5179" location="id=26769&amp;action=152&amp;model=crm.lead&amp;view_type=form&amp;menu_id=111" ref="B4053"/>
    <hyperlink r:id="rId5180" location="id=26751&amp;action=152&amp;model=crm.lead&amp;view_type=form&amp;menu_id=111" ref="B4054"/>
    <hyperlink r:id="rId5181" location="id=26746&amp;action=152&amp;model=crm.lead&amp;view_type=form&amp;menu_id=111" ref="B4055"/>
    <hyperlink r:id="rId5182" location="id=26745&amp;action=152&amp;model=crm.lead&amp;view_type=form&amp;menu_id=111" ref="B4056"/>
    <hyperlink r:id="rId5183" location="id=26742&amp;action=152&amp;model=crm.lead&amp;view_type=form&amp;menu_id=111" ref="B4057"/>
    <hyperlink r:id="rId5184" location="id=26741&amp;action=152&amp;model=crm.lead&amp;view_type=form&amp;menu_id=111" ref="B4058"/>
    <hyperlink r:id="rId5185" location="id=26737&amp;action=152&amp;model=crm.lead&amp;view_type=form&amp;menu_id=111" ref="B4059"/>
    <hyperlink r:id="rId5186" location="id=26732&amp;action=152&amp;model=crm.lead&amp;view_type=form&amp;menu_id=111" ref="B4060"/>
    <hyperlink r:id="rId5187" location="id=26731&amp;action=152&amp;model=crm.lead&amp;view_type=form&amp;menu_id=111" ref="B4061"/>
    <hyperlink r:id="rId5188" location="id=26669&amp;action=152&amp;model=crm.lead&amp;view_type=form&amp;menu_id=111" ref="B4062"/>
    <hyperlink r:id="rId5189" location="id=26671&amp;action=152&amp;model=crm.lead&amp;view_type=form&amp;menu_id=111" ref="B4063"/>
    <hyperlink r:id="rId5190" location="id=26677&amp;action=152&amp;model=crm.lead&amp;view_type=form&amp;menu_id=111" ref="B4064"/>
    <hyperlink r:id="rId5191" location="id=26704&amp;action=152&amp;model=crm.lead&amp;view_type=form&amp;menu_id=111" ref="B4065"/>
    <hyperlink r:id="rId5192" location="id=26707&amp;action=152&amp;model=crm.lead&amp;view_type=form&amp;menu_id=111" ref="B4066"/>
    <hyperlink r:id="rId5193" location="id=26699&amp;action=152&amp;model=crm.lead&amp;view_type=form&amp;menu_id=111" ref="B4067"/>
    <hyperlink r:id="rId5194" location="id=26713&amp;action=152&amp;model=crm.lead&amp;view_type=form&amp;menu_id=111" ref="B4068"/>
    <hyperlink r:id="rId5195" location="id=26716&amp;action=152&amp;model=crm.lead&amp;view_type=form&amp;menu_id=111" ref="B4069"/>
    <hyperlink r:id="rId5196" location="id=26724&amp;action=152&amp;model=crm.lead&amp;view_type=form&amp;menu_id=111" ref="B4070"/>
    <hyperlink r:id="rId5197" location="id=26721&amp;action=152&amp;model=crm.lead&amp;view_type=form&amp;menu_id=111" ref="B4071"/>
    <hyperlink r:id="rId5198" location="id=26672&amp;action=152&amp;model=crm.lead&amp;view_type=form&amp;menu_id=111" ref="B4072"/>
    <hyperlink r:id="rId5199" location="id=26673&amp;action=152&amp;model=crm.lead&amp;view_type=form&amp;menu_id=111" ref="B4073"/>
    <hyperlink r:id="rId5200" location="id=26678&amp;action=152&amp;model=crm.lead&amp;view_type=form&amp;menu_id=111" ref="B4074"/>
    <hyperlink r:id="rId5201" location="id=26688&amp;action=152&amp;model=crm.lead&amp;view_type=form&amp;menu_id=111" ref="B4075"/>
    <hyperlink r:id="rId5202" location="id=26691&amp;action=152&amp;model=crm.lead&amp;view_type=form&amp;menu_id=111" ref="B4076"/>
    <hyperlink r:id="rId5203" location="id=26692&amp;action=152&amp;model=crm.lead&amp;view_type=form&amp;menu_id=111" ref="B4077"/>
    <hyperlink r:id="rId5204" location="id=26668&amp;action=152&amp;model=crm.lead&amp;view_type=form&amp;menu_id=111" ref="B4078"/>
    <hyperlink r:id="rId5205" location="id=26667&amp;action=152&amp;model=crm.lead&amp;view_type=form&amp;menu_id=111" ref="B4079"/>
    <hyperlink r:id="rId5206" location="id=26662&amp;action=152&amp;model=crm.lead&amp;view_type=form&amp;menu_id=111" ref="B4080"/>
    <hyperlink r:id="rId5207" location="id=26659&amp;action=152&amp;model=crm.lead&amp;view_type=form&amp;menu_id=111" ref="B4081"/>
    <hyperlink r:id="rId5208" location="id=26658&amp;action=152&amp;model=crm.lead&amp;view_type=form&amp;menu_id=111" ref="B4082"/>
    <hyperlink r:id="rId5209" location="id=26657&amp;action=152&amp;model=crm.lead&amp;view_type=form&amp;menu_id=111" ref="B4083"/>
    <hyperlink r:id="rId5210" location="id=26656&amp;action=152&amp;model=crm.lead&amp;view_type=form&amp;menu_id=111" ref="B4084"/>
    <hyperlink r:id="rId5211" location="id=26652&amp;action=152&amp;model=crm.lead&amp;view_type=form&amp;menu_id=111" ref="B4085"/>
    <hyperlink r:id="rId5212" location="id=26648&amp;action=152&amp;model=crm.lead&amp;view_type=form&amp;menu_id=111" ref="B4086"/>
    <hyperlink r:id="rId5213" location="id=26646&amp;action=152&amp;model=crm.lead&amp;view_type=form&amp;menu_id=111" ref="B4087"/>
    <hyperlink r:id="rId5214" location="id=26612&amp;action=152&amp;model=crm.lead&amp;view_type=form&amp;menu_id=111" ref="B4088"/>
    <hyperlink r:id="rId5215" location="id=26631&amp;action=152&amp;model=crm.lead&amp;view_type=form&amp;menu_id=111" ref="B4089"/>
    <hyperlink r:id="rId5216" location="id=26632&amp;action=152&amp;model=crm.lead&amp;view_type=form&amp;menu_id=111" ref="B4090"/>
    <hyperlink r:id="rId5217" location="id=26633&amp;action=152&amp;model=crm.lead&amp;view_type=form&amp;menu_id=111" ref="B4091"/>
    <hyperlink r:id="rId5218" location="id=26620&amp;action=152&amp;model=crm.lead&amp;view_type=form&amp;menu_id=111" ref="B4092"/>
    <hyperlink r:id="rId5219" location="id=26607&amp;action=152&amp;model=crm.lead&amp;view_type=form&amp;menu_id=111" ref="B4093"/>
    <hyperlink r:id="rId5220" location="id=26611&amp;action=152&amp;model=crm.lead&amp;view_type=form&amp;menu_id=111" ref="B4094"/>
    <hyperlink r:id="rId5221" location="id=26613&amp;action=152&amp;model=crm.lead&amp;view_type=form&amp;menu_id=111" ref="B4095"/>
    <hyperlink r:id="rId5222" location="id=26615&amp;action=152&amp;model=crm.lead&amp;view_type=form&amp;menu_id=111" ref="B4096"/>
    <hyperlink r:id="rId5223" location="id=26624&amp;action=152&amp;model=crm.lead&amp;view_type=form&amp;menu_id=111" ref="B4097"/>
    <hyperlink r:id="rId5224" location="id=26594&amp;action=152&amp;model=crm.lead&amp;view_type=form&amp;menu_id=111" ref="B4098"/>
    <hyperlink r:id="rId5225" location="id=26596&amp;action=152&amp;model=crm.lead&amp;view_type=form&amp;menu_id=111" ref="B4099"/>
    <hyperlink r:id="rId5226" location="id=26014&amp;action=152&amp;model=crm.lead&amp;view_type=form&amp;menu_id=111" ref="B4100"/>
    <hyperlink r:id="rId5227" location="id=26550&amp;action=152&amp;model=crm.lead&amp;view_type=form&amp;menu_id=111" ref="B4101"/>
    <hyperlink r:id="rId5228" location="id=26577&amp;action=152&amp;model=crm.lead&amp;view_type=form&amp;menu_id=111" ref="B4102"/>
    <hyperlink r:id="rId5229" location="id=26582&amp;action=152&amp;model=crm.lead&amp;view_type=form&amp;menu_id=111" ref="B4103"/>
    <hyperlink r:id="rId5230" location="id=26576&amp;action=152&amp;model=crm.lead&amp;view_type=form&amp;menu_id=111" ref="B4104"/>
    <hyperlink r:id="rId5231" location="id=26548&amp;action=152&amp;model=crm.lead&amp;view_type=form&amp;menu_id=111" ref="B4105"/>
    <hyperlink r:id="rId5232" location="id=26575&amp;action=152&amp;model=crm.lead&amp;view_type=form&amp;menu_id=111" ref="B4106"/>
    <hyperlink r:id="rId5233" location="id=26552&amp;action=152&amp;model=crm.lead&amp;view_type=form&amp;menu_id=111" ref="B4107"/>
    <hyperlink r:id="rId5234" location="id=26553&amp;action=152&amp;model=crm.lead&amp;view_type=form&amp;menu_id=111" ref="B4108"/>
    <hyperlink r:id="rId5235" location="id=26557&amp;action=152&amp;model=crm.lead&amp;view_type=form&amp;menu_id=111" ref="B4109"/>
    <hyperlink r:id="rId5236" location="id=26565&amp;action=152&amp;model=crm.lead&amp;view_type=form&amp;menu_id=111" ref="B4110"/>
    <hyperlink r:id="rId5237" location="id=26566&amp;action=152&amp;model=crm.lead&amp;view_type=form&amp;menu_id=111" ref="B4111"/>
    <hyperlink r:id="rId5238" location="id=26568&amp;action=152&amp;model=crm.lead&amp;view_type=form&amp;menu_id=111" ref="B4112"/>
    <hyperlink r:id="rId5239" location="id=26567&amp;action=152&amp;model=crm.lead&amp;view_type=form&amp;menu_id=111" ref="B4113"/>
    <hyperlink r:id="rId5240" location="id=26546&amp;action=152&amp;model=crm.lead&amp;view_type=form&amp;menu_id=111" ref="B4114"/>
    <hyperlink r:id="rId5241" location="id=26544&amp;action=152&amp;model=crm.lead&amp;view_type=form&amp;menu_id=111" ref="B4115"/>
    <hyperlink r:id="rId5242" location="id=26484&amp;action=152&amp;model=crm.lead&amp;view_type=form&amp;menu_id=111" ref="B4116"/>
    <hyperlink r:id="rId5243" location="id=26536&amp;action=152&amp;model=crm.lead&amp;view_type=form&amp;menu_id=111" ref="B4117"/>
    <hyperlink r:id="rId5244" location="id=26531&amp;action=152&amp;model=crm.lead&amp;view_type=form&amp;menu_id=111" ref="B4118"/>
    <hyperlink r:id="rId5245" location="id=26489&amp;action=152&amp;model=crm.lead&amp;view_type=form&amp;menu_id=111" ref="B4119"/>
    <hyperlink r:id="rId5246" location="id=26498&amp;action=152&amp;model=crm.lead&amp;view_type=form&amp;menu_id=111" ref="B4120"/>
    <hyperlink r:id="rId5247" location="id=26529&amp;action=152&amp;model=crm.lead&amp;view_type=form&amp;menu_id=111" ref="B4121"/>
    <hyperlink r:id="rId5248" location="id=26509&amp;action=152&amp;model=crm.lead&amp;view_type=form&amp;menu_id=111" ref="B4122"/>
    <hyperlink r:id="rId5249" location="id=26522&amp;action=152&amp;model=crm.lead&amp;view_type=form&amp;menu_id=111" ref="B4123"/>
    <hyperlink r:id="rId5250" location="id=26500&amp;action=152&amp;model=crm.lead&amp;view_type=form&amp;menu_id=111" ref="B4124"/>
    <hyperlink r:id="rId5251" location="id=26504&amp;action=152&amp;model=crm.lead&amp;view_type=form&amp;menu_id=111" ref="B4125"/>
    <hyperlink r:id="rId5252" location="id=26506&amp;action=152&amp;model=crm.lead&amp;view_type=form&amp;menu_id=111" ref="B4126"/>
    <hyperlink r:id="rId5253" location="id=26507&amp;action=152&amp;model=crm.lead&amp;view_type=form&amp;menu_id=111" ref="B4127"/>
    <hyperlink r:id="rId5254" location="id=26480&amp;action=152&amp;model=crm.lead&amp;view_type=form&amp;menu_id=111" ref="B4128"/>
    <hyperlink r:id="rId5255" location="id=25989&amp;action=152&amp;model=crm.lead&amp;view_type=form&amp;menu_id=111" ref="B4129"/>
    <hyperlink r:id="rId5256" location="id=25991&amp;action=152&amp;model=crm.lead&amp;view_type=form&amp;menu_id=111" ref="B4130"/>
    <hyperlink r:id="rId5257" location="id=26476&amp;action=152&amp;model=crm.lead&amp;view_type=form&amp;menu_id=111" ref="B4131"/>
    <hyperlink r:id="rId5258" location="id=26472&amp;action=152&amp;model=crm.lead&amp;view_type=form&amp;menu_id=111" ref="B4132"/>
    <hyperlink r:id="rId5259" location="id=26454&amp;action=152&amp;model=crm.lead&amp;view_type=form&amp;menu_id=111" ref="B4133"/>
    <hyperlink r:id="rId5260" location="id=26459&amp;action=152&amp;model=crm.lead&amp;view_type=form&amp;menu_id=111" ref="B4134"/>
    <hyperlink r:id="rId5261" location="id=26463&amp;action=152&amp;model=crm.lead&amp;view_type=form&amp;menu_id=111" ref="B4135"/>
    <hyperlink r:id="rId5262" location="id=26464&amp;action=152&amp;model=crm.lead&amp;view_type=form&amp;menu_id=111" ref="B4136"/>
    <hyperlink r:id="rId5263" location="id=26434&amp;action=152&amp;model=crm.lead&amp;view_type=form&amp;menu_id=111" ref="B4137"/>
    <hyperlink r:id="rId5264" location="id=26441&amp;action=152&amp;model=crm.lead&amp;view_type=form&amp;menu_id=111" ref="B4138"/>
    <hyperlink r:id="rId5265" location="id=26443&amp;action=152&amp;model=crm.lead&amp;view_type=form&amp;menu_id=111" ref="B4139"/>
    <hyperlink r:id="rId5266" location="id=26429&amp;action=152&amp;model=crm.lead&amp;view_type=form&amp;menu_id=111" ref="B4140"/>
    <hyperlink r:id="rId5267" location="id=26377&amp;action=152&amp;model=crm.lead&amp;view_type=form&amp;menu_id=111" ref="B4141"/>
    <hyperlink r:id="rId5268" location="id=26376&amp;action=152&amp;model=crm.lead&amp;view_type=form&amp;menu_id=111" ref="B4142"/>
    <hyperlink r:id="rId5269" location="id=26423&amp;action=152&amp;model=crm.lead&amp;view_type=form&amp;menu_id=111" ref="B4143"/>
    <hyperlink r:id="rId5270" location="id=26408&amp;action=152&amp;model=crm.lead&amp;view_type=form&amp;menu_id=111" ref="B4144"/>
    <hyperlink r:id="rId5271" location="id=26415&amp;action=152&amp;model=crm.lead&amp;view_type=form&amp;menu_id=111" ref="B4145"/>
    <hyperlink r:id="rId5272" location="id=26420&amp;action=152&amp;model=crm.lead&amp;view_type=form&amp;menu_id=111" ref="B4146"/>
    <hyperlink r:id="rId5273" location="id=26417&amp;action=152&amp;model=crm.lead&amp;view_type=form&amp;menu_id=111" ref="B4147"/>
    <hyperlink r:id="rId5274" location="id=26396&amp;action=152&amp;model=crm.lead&amp;view_type=form&amp;menu_id=111" ref="B4148"/>
    <hyperlink r:id="rId5275" location="id=26397&amp;action=152&amp;model=crm.lead&amp;view_type=form&amp;menu_id=111" ref="B4149"/>
    <hyperlink r:id="rId5276" location="id=26381&amp;action=152&amp;model=crm.lead&amp;view_type=form&amp;menu_id=111" ref="B4150"/>
    <hyperlink r:id="rId5277" location="id=26364&amp;action=152&amp;model=crm.lead&amp;view_type=form&amp;menu_id=111" ref="B4151"/>
    <hyperlink r:id="rId5278" location="id=26350&amp;action=152&amp;model=crm.lead&amp;view_type=form&amp;menu_id=111" ref="B4152"/>
    <hyperlink r:id="rId5279" location="id=26317&amp;action=152&amp;model=crm.lead&amp;view_type=form&amp;menu_id=111" ref="B4153"/>
    <hyperlink r:id="rId5280" location="id=26331&amp;action=152&amp;model=crm.lead&amp;view_type=form&amp;menu_id=111" ref="B4154"/>
    <hyperlink r:id="rId5281" location="id=26336&amp;action=152&amp;model=crm.lead&amp;view_type=form&amp;menu_id=111" ref="B4155"/>
    <hyperlink r:id="rId5282" location="id=26339&amp;action=152&amp;model=crm.lead&amp;view_type=form&amp;menu_id=111" ref="B4156"/>
    <hyperlink r:id="rId5283" location="id=26340&amp;action=152&amp;model=crm.lead&amp;view_type=form&amp;menu_id=111" ref="B4157"/>
    <hyperlink r:id="rId5284" location="id=26347&amp;action=152&amp;model=crm.lead&amp;view_type=form&amp;menu_id=111" ref="B4158"/>
    <hyperlink r:id="rId5285" location="id=26292&amp;action=152&amp;model=crm.lead&amp;view_type=form&amp;menu_id=111" ref="B4159"/>
    <hyperlink r:id="rId5286" location="id=26016&amp;action=152&amp;model=crm.lead&amp;view_type=form&amp;menu_id=111" ref="B4160"/>
    <hyperlink r:id="rId5287" location="id=26025&amp;action=152&amp;model=crm.lead&amp;view_type=form&amp;menu_id=111" ref="B4161"/>
    <hyperlink r:id="rId5288" location="id=26030&amp;action=152&amp;model=crm.lead&amp;view_type=form&amp;menu_id=111" ref="B4162"/>
    <hyperlink r:id="rId5289" location="id=26031&amp;action=152&amp;model=crm.lead&amp;view_type=form&amp;menu_id=111" ref="B4163"/>
    <hyperlink r:id="rId5290" location="id=26035&amp;action=152&amp;model=crm.lead&amp;view_type=form&amp;menu_id=111" ref="B4164"/>
    <hyperlink r:id="rId5291" location="id=26048&amp;action=152&amp;model=crm.lead&amp;view_type=form&amp;menu_id=111" ref="B4165"/>
    <hyperlink r:id="rId5292" location="id=26311&amp;action=152&amp;model=crm.lead&amp;view_type=form&amp;menu_id=111" ref="B4166"/>
    <hyperlink r:id="rId5293" location="id=26301&amp;action=152&amp;model=crm.lead&amp;view_type=form&amp;menu_id=111" ref="B4167"/>
    <hyperlink r:id="rId5294" location="id=26305&amp;action=152&amp;model=crm.lead&amp;view_type=form&amp;menu_id=111" ref="B4168"/>
    <hyperlink r:id="rId5295" location="id=26307&amp;action=152&amp;model=crm.lead&amp;view_type=form&amp;menu_id=111" ref="B4169"/>
    <hyperlink r:id="rId5296" location="id=26060&amp;action=152&amp;model=crm.lead&amp;view_type=form&amp;menu_id=111" ref="B4170"/>
    <hyperlink r:id="rId5297" location="id=26271&amp;action=152&amp;model=crm.lead&amp;view_type=form&amp;menu_id=111" ref="B4171"/>
    <hyperlink r:id="rId5298" location="id=26286&amp;action=152&amp;model=crm.lead&amp;view_type=form&amp;menu_id=111" ref="B4172"/>
    <hyperlink r:id="rId5299" location="id=26289&amp;action=152&amp;model=crm.lead&amp;view_type=form&amp;menu_id=111" ref="B4173"/>
    <hyperlink r:id="rId5300" location="id=26291&amp;action=152&amp;model=crm.lead&amp;view_type=form&amp;menu_id=111" ref="B4174"/>
    <hyperlink r:id="rId5301" location="id=26063&amp;action=152&amp;model=crm.lead&amp;view_type=form&amp;menu_id=111" ref="B4175"/>
    <hyperlink r:id="rId5302" location="id=26277&amp;action=152&amp;model=crm.lead&amp;view_type=form&amp;menu_id=111" ref="B4176"/>
    <hyperlink r:id="rId5303" location="id=26282&amp;action=152&amp;model=crm.lead&amp;view_type=form&amp;menu_id=111" ref="B4177"/>
    <hyperlink r:id="rId5304" location="id=26285&amp;action=152&amp;model=crm.lead&amp;view_type=form&amp;menu_id=111" ref="B4178"/>
    <hyperlink r:id="rId5305" location="id=26054&amp;action=152&amp;model=crm.lead&amp;view_type=form&amp;menu_id=111" ref="B4179"/>
    <hyperlink r:id="rId5306" location="id=26042&amp;action=152&amp;model=crm.lead&amp;view_type=form&amp;menu_id=111" ref="B4180"/>
    <hyperlink r:id="rId5307" location="id=26038&amp;action=152&amp;model=crm.lead&amp;view_type=form&amp;menu_id=111" ref="B4181"/>
    <hyperlink r:id="rId5308" location="id=26272&amp;action=152&amp;model=crm.lead&amp;view_type=form&amp;menu_id=111" ref="B4182"/>
    <hyperlink r:id="rId5309" location="id=26168&amp;action=152&amp;model=crm.lead&amp;view_type=form&amp;menu_id=111" ref="B4183"/>
    <hyperlink r:id="rId5310" location="id=26171&amp;action=152&amp;model=crm.lead&amp;view_type=form&amp;menu_id=111" ref="B4184"/>
    <hyperlink r:id="rId5311" location="id=26267&amp;action=152&amp;model=crm.lead&amp;view_type=form&amp;menu_id=111" ref="B4185"/>
    <hyperlink r:id="rId5312" location="id=26213&amp;action=152&amp;model=crm.lead&amp;view_type=form&amp;menu_id=111" ref="B4186"/>
    <hyperlink r:id="rId5313" location="id=26255&amp;action=152&amp;model=crm.lead&amp;view_type=form&amp;menu_id=111" ref="B4187"/>
    <hyperlink r:id="rId5314" location="id=26258&amp;action=152&amp;model=crm.lead&amp;view_type=form&amp;menu_id=111" ref="B4188"/>
    <hyperlink r:id="rId5315" location="id=26259&amp;action=152&amp;model=crm.lead&amp;view_type=form&amp;menu_id=111" ref="B4189"/>
    <hyperlink r:id="rId5316" location="id=26261&amp;action=152&amp;model=crm.lead&amp;view_type=form&amp;menu_id=111" ref="B4190"/>
    <hyperlink r:id="rId5317" location="id=26241&amp;action=152&amp;model=crm.lead&amp;view_type=form&amp;menu_id=111" ref="B4191"/>
    <hyperlink r:id="rId5318" location="id=26248&amp;action=152&amp;model=crm.lead&amp;view_type=form&amp;menu_id=111" ref="B4192"/>
    <hyperlink r:id="rId5319" location="id=26249&amp;action=152&amp;model=crm.lead&amp;view_type=form&amp;menu_id=111" ref="B4193"/>
    <hyperlink r:id="rId5320" location="id=26250&amp;action=152&amp;model=crm.lead&amp;view_type=form&amp;menu_id=111" ref="B4194"/>
    <hyperlink r:id="rId5321" location="id=26252&amp;action=152&amp;model=crm.lead&amp;view_type=form&amp;menu_id=111" ref="B4195"/>
    <hyperlink r:id="rId5322" location="id=26246&amp;action=152&amp;model=crm.lead&amp;view_type=form&amp;menu_id=111" ref="B4196"/>
    <hyperlink r:id="rId5323" location="id=26244&amp;action=152&amp;model=crm.lead&amp;view_type=form&amp;menu_id=111" ref="B4197"/>
    <hyperlink r:id="rId5324" location="id=26243&amp;action=152&amp;model=crm.lead&amp;view_type=form&amp;menu_id=111" ref="B4198"/>
    <hyperlink r:id="rId5325" location="id=26216&amp;action=152&amp;model=crm.lead&amp;view_type=form&amp;menu_id=111" ref="B4199"/>
    <hyperlink r:id="rId5326" location="id=26239&amp;action=152&amp;model=crm.lead&amp;view_type=form&amp;menu_id=111" ref="B4200"/>
    <hyperlink r:id="rId5327" location="id=26235&amp;action=152&amp;model=crm.lead&amp;view_type=form&amp;menu_id=111" ref="B4201"/>
    <hyperlink r:id="rId5328" location="id=26220&amp;action=152&amp;model=crm.lead&amp;view_type=form&amp;menu_id=111" ref="B4202"/>
    <hyperlink r:id="rId5329" location="id=5733&amp;model=res.partner" ref="C5672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5330"/>
  <legacyDrawing r:id="rId53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7.75"/>
    <col customWidth="1" min="3" max="3" width="22.0"/>
    <col customWidth="1" min="4" max="4" width="20.63"/>
    <col customWidth="1" min="5" max="5" width="0.63"/>
  </cols>
  <sheetData>
    <row r="18" ht="21.75" customHeight="1"/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3.75"/>
    <col customWidth="1" min="3" max="3" width="25.5"/>
    <col customWidth="1" min="4" max="4" width="28.25"/>
    <col customWidth="1" min="5" max="5" width="8.63"/>
    <col customWidth="1" min="6" max="6" width="32.25"/>
    <col customWidth="1" min="7" max="7" width="16.25"/>
    <col customWidth="1" min="9" max="9" width="27.25"/>
    <col customWidth="1" min="10" max="10" width="8.38"/>
    <col customWidth="1" min="11" max="11" width="26.5"/>
    <col customWidth="1" min="12" max="12" width="35.0"/>
    <col customWidth="1" min="13" max="13" width="13.63"/>
    <col customWidth="1" min="14" max="14" width="26.5"/>
    <col customWidth="1" min="15" max="15" width="34.5"/>
  </cols>
  <sheetData>
    <row r="1">
      <c r="A1" s="499"/>
      <c r="B1" s="500"/>
      <c r="C1" s="501"/>
      <c r="D1" s="502"/>
      <c r="E1" s="503"/>
      <c r="F1" s="499"/>
      <c r="G1" s="503"/>
      <c r="H1" s="499"/>
      <c r="I1" s="499"/>
      <c r="J1" s="503"/>
      <c r="K1" s="503"/>
      <c r="L1" s="503"/>
      <c r="M1" s="503"/>
      <c r="N1" s="503"/>
      <c r="O1" s="503"/>
      <c r="P1" s="504"/>
      <c r="Q1" s="504"/>
      <c r="R1" s="504"/>
      <c r="S1" s="504"/>
      <c r="T1" s="504"/>
      <c r="U1" s="504"/>
    </row>
    <row r="2">
      <c r="A2" s="3" t="s">
        <v>22258</v>
      </c>
      <c r="B2" s="505" t="s">
        <v>1</v>
      </c>
      <c r="C2" s="506" t="s">
        <v>22259</v>
      </c>
      <c r="D2" s="507" t="s">
        <v>2</v>
      </c>
      <c r="E2" s="1" t="s">
        <v>22260</v>
      </c>
      <c r="F2" s="3" t="s">
        <v>6</v>
      </c>
      <c r="G2" s="1" t="s">
        <v>7</v>
      </c>
      <c r="H2" s="3" t="s">
        <v>8</v>
      </c>
      <c r="I2" s="3" t="s">
        <v>9</v>
      </c>
      <c r="J2" s="1" t="s">
        <v>22261</v>
      </c>
      <c r="K2" s="1" t="s">
        <v>22262</v>
      </c>
      <c r="L2" s="1" t="s">
        <v>18</v>
      </c>
      <c r="M2" s="1" t="s">
        <v>22263</v>
      </c>
      <c r="N2" s="1" t="s">
        <v>22264</v>
      </c>
      <c r="O2" s="1" t="s">
        <v>18</v>
      </c>
      <c r="P2" s="383"/>
      <c r="Q2" s="383"/>
      <c r="R2" s="383"/>
      <c r="S2" s="383"/>
      <c r="T2" s="383"/>
      <c r="U2" s="383"/>
    </row>
    <row r="3">
      <c r="A3" s="508"/>
      <c r="B3" s="232"/>
      <c r="C3" s="509"/>
      <c r="D3" s="510"/>
      <c r="E3" s="511"/>
      <c r="F3" s="232"/>
      <c r="G3" s="232"/>
      <c r="H3" s="232"/>
      <c r="I3" s="509"/>
      <c r="J3" s="232" t="b">
        <v>0</v>
      </c>
      <c r="K3" s="232"/>
      <c r="L3" s="232"/>
      <c r="M3" s="511"/>
      <c r="N3" s="232"/>
      <c r="O3" s="232"/>
      <c r="P3" s="312"/>
      <c r="Q3" s="312"/>
      <c r="R3" s="312"/>
      <c r="S3" s="312"/>
      <c r="T3" s="312"/>
      <c r="U3" s="312"/>
    </row>
    <row r="4">
      <c r="A4" s="508"/>
      <c r="B4" s="232"/>
      <c r="C4" s="509"/>
      <c r="D4" s="510"/>
      <c r="E4" s="511"/>
      <c r="F4" s="232"/>
      <c r="G4" s="232"/>
      <c r="H4" s="232"/>
      <c r="I4" s="509"/>
      <c r="J4" s="232" t="b">
        <v>0</v>
      </c>
      <c r="K4" s="232"/>
      <c r="L4" s="232"/>
      <c r="M4" s="511"/>
      <c r="N4" s="232"/>
      <c r="O4" s="232"/>
      <c r="P4" s="312"/>
      <c r="Q4" s="312"/>
      <c r="R4" s="312"/>
      <c r="S4" s="312"/>
      <c r="T4" s="312"/>
      <c r="U4" s="312"/>
    </row>
    <row r="5">
      <c r="A5" s="508"/>
      <c r="B5" s="232"/>
      <c r="C5" s="509"/>
      <c r="D5" s="510"/>
      <c r="E5" s="511"/>
      <c r="F5" s="232"/>
      <c r="G5" s="232"/>
      <c r="H5" s="232"/>
      <c r="I5" s="509"/>
      <c r="J5" s="232" t="b">
        <v>0</v>
      </c>
      <c r="K5" s="232"/>
      <c r="L5" s="232"/>
      <c r="M5" s="511"/>
      <c r="N5" s="232"/>
      <c r="O5" s="232"/>
      <c r="P5" s="312"/>
      <c r="Q5" s="312"/>
      <c r="R5" s="312"/>
      <c r="S5" s="312"/>
      <c r="T5" s="312"/>
      <c r="U5" s="312"/>
    </row>
    <row r="6">
      <c r="A6" s="508"/>
      <c r="B6" s="232" t="s">
        <v>22265</v>
      </c>
      <c r="C6" s="509"/>
      <c r="D6" s="510"/>
      <c r="E6" s="511"/>
      <c r="F6" s="232"/>
      <c r="G6" s="232"/>
      <c r="H6" s="232"/>
      <c r="I6" s="509"/>
      <c r="J6" s="232" t="b">
        <v>0</v>
      </c>
      <c r="K6" s="232"/>
      <c r="L6" s="232"/>
      <c r="M6" s="511"/>
      <c r="N6" s="232"/>
      <c r="O6" s="232"/>
      <c r="P6" s="312"/>
      <c r="Q6" s="312"/>
      <c r="R6" s="312"/>
      <c r="S6" s="312"/>
      <c r="T6" s="312"/>
      <c r="U6" s="312"/>
    </row>
    <row r="7">
      <c r="A7" s="508"/>
      <c r="B7" s="232" t="s">
        <v>22266</v>
      </c>
      <c r="C7" s="509"/>
      <c r="D7" s="510"/>
      <c r="E7" s="511"/>
      <c r="F7" s="232"/>
      <c r="G7" s="232"/>
      <c r="H7" s="232"/>
      <c r="I7" s="509"/>
      <c r="J7" s="232" t="b">
        <v>0</v>
      </c>
      <c r="K7" s="232"/>
      <c r="L7" s="232"/>
      <c r="M7" s="511"/>
      <c r="N7" s="232"/>
      <c r="O7" s="232"/>
      <c r="P7" s="312"/>
      <c r="Q7" s="312"/>
      <c r="R7" s="312"/>
      <c r="S7" s="312"/>
      <c r="T7" s="312"/>
      <c r="U7" s="312"/>
    </row>
    <row r="8">
      <c r="A8" s="508"/>
      <c r="B8" s="232" t="s">
        <v>22267</v>
      </c>
      <c r="C8" s="509"/>
      <c r="D8" s="510"/>
      <c r="E8" s="511"/>
      <c r="F8" s="232"/>
      <c r="G8" s="232"/>
      <c r="H8" s="232"/>
      <c r="I8" s="509"/>
      <c r="J8" s="232" t="b">
        <v>0</v>
      </c>
      <c r="K8" s="232"/>
      <c r="L8" s="232"/>
      <c r="M8" s="511"/>
      <c r="N8" s="232"/>
      <c r="O8" s="232"/>
      <c r="P8" s="312"/>
      <c r="Q8" s="312"/>
      <c r="R8" s="312"/>
      <c r="S8" s="312"/>
      <c r="T8" s="312"/>
      <c r="U8" s="312"/>
    </row>
    <row r="9">
      <c r="A9" s="508"/>
      <c r="B9" s="232" t="s">
        <v>22268</v>
      </c>
      <c r="C9" s="509"/>
      <c r="D9" s="510"/>
      <c r="E9" s="511"/>
      <c r="F9" s="232"/>
      <c r="G9" s="232"/>
      <c r="H9" s="232"/>
      <c r="I9" s="509"/>
      <c r="J9" s="232" t="b">
        <v>0</v>
      </c>
      <c r="K9" s="232"/>
      <c r="L9" s="232"/>
      <c r="M9" s="511"/>
      <c r="N9" s="232"/>
      <c r="O9" s="232"/>
      <c r="P9" s="312"/>
      <c r="Q9" s="312"/>
      <c r="R9" s="312"/>
      <c r="S9" s="312"/>
      <c r="T9" s="312"/>
      <c r="U9" s="312"/>
    </row>
    <row r="10">
      <c r="A10" s="508"/>
      <c r="B10" s="232" t="s">
        <v>22269</v>
      </c>
      <c r="C10" s="509"/>
      <c r="D10" s="510"/>
      <c r="E10" s="511"/>
      <c r="F10" s="232"/>
      <c r="G10" s="232"/>
      <c r="H10" s="232"/>
      <c r="I10" s="509"/>
      <c r="J10" s="232" t="b">
        <v>0</v>
      </c>
      <c r="K10" s="232"/>
      <c r="L10" s="232"/>
      <c r="M10" s="511"/>
      <c r="N10" s="232"/>
      <c r="O10" s="232"/>
      <c r="P10" s="312"/>
      <c r="Q10" s="312"/>
      <c r="R10" s="312"/>
      <c r="S10" s="312"/>
      <c r="T10" s="312"/>
      <c r="U10" s="312"/>
    </row>
    <row r="11">
      <c r="A11" s="508"/>
      <c r="B11" s="232" t="s">
        <v>22270</v>
      </c>
      <c r="C11" s="509"/>
      <c r="D11" s="510"/>
      <c r="E11" s="511"/>
      <c r="F11" s="232"/>
      <c r="G11" s="232"/>
      <c r="H11" s="232"/>
      <c r="I11" s="509"/>
      <c r="J11" s="232" t="b">
        <v>0</v>
      </c>
      <c r="K11" s="232"/>
      <c r="L11" s="232"/>
      <c r="M11" s="511"/>
      <c r="N11" s="232"/>
      <c r="O11" s="232"/>
      <c r="P11" s="312"/>
      <c r="Q11" s="312"/>
      <c r="R11" s="312"/>
      <c r="S11" s="312"/>
      <c r="T11" s="312"/>
      <c r="U11" s="312"/>
    </row>
    <row r="12">
      <c r="A12" s="508"/>
      <c r="B12" s="232" t="s">
        <v>22271</v>
      </c>
      <c r="C12" s="509"/>
      <c r="D12" s="510"/>
      <c r="E12" s="511"/>
      <c r="F12" s="232"/>
      <c r="G12" s="232"/>
      <c r="H12" s="232"/>
      <c r="I12" s="509"/>
      <c r="J12" s="232" t="b">
        <v>0</v>
      </c>
      <c r="K12" s="232"/>
      <c r="L12" s="232"/>
      <c r="M12" s="511"/>
      <c r="N12" s="232"/>
      <c r="O12" s="232"/>
      <c r="P12" s="312"/>
      <c r="Q12" s="312"/>
      <c r="R12" s="312"/>
      <c r="S12" s="312"/>
      <c r="T12" s="312"/>
      <c r="U12" s="312"/>
    </row>
    <row r="13">
      <c r="A13" s="508"/>
      <c r="B13" s="232" t="s">
        <v>22272</v>
      </c>
      <c r="C13" s="509"/>
      <c r="D13" s="510"/>
      <c r="E13" s="511"/>
      <c r="F13" s="232"/>
      <c r="G13" s="232"/>
      <c r="H13" s="232"/>
      <c r="I13" s="509"/>
      <c r="J13" s="232" t="b">
        <v>0</v>
      </c>
      <c r="K13" s="232"/>
      <c r="L13" s="232"/>
      <c r="M13" s="511"/>
      <c r="N13" s="232"/>
      <c r="O13" s="232"/>
      <c r="P13" s="312"/>
      <c r="Q13" s="312"/>
      <c r="R13" s="312"/>
      <c r="S13" s="312"/>
      <c r="T13" s="312"/>
      <c r="U13" s="312"/>
    </row>
    <row r="14">
      <c r="A14" s="508"/>
      <c r="B14" s="232" t="s">
        <v>22273</v>
      </c>
      <c r="C14" s="509"/>
      <c r="D14" s="510"/>
      <c r="E14" s="511"/>
      <c r="F14" s="232"/>
      <c r="G14" s="232"/>
      <c r="H14" s="232"/>
      <c r="I14" s="509"/>
      <c r="J14" s="232" t="b">
        <v>0</v>
      </c>
      <c r="K14" s="232"/>
      <c r="L14" s="232"/>
      <c r="M14" s="511"/>
      <c r="N14" s="232"/>
      <c r="O14" s="232"/>
      <c r="P14" s="312"/>
      <c r="Q14" s="312"/>
      <c r="R14" s="312"/>
      <c r="S14" s="312"/>
      <c r="T14" s="312"/>
      <c r="U14" s="312"/>
    </row>
    <row r="15">
      <c r="A15" s="508" t="s">
        <v>22274</v>
      </c>
      <c r="B15" s="232" t="s">
        <v>22275</v>
      </c>
      <c r="C15" s="509" t="s">
        <v>22276</v>
      </c>
      <c r="D15" s="510"/>
      <c r="E15" s="511"/>
      <c r="F15" s="232" t="s">
        <v>22277</v>
      </c>
      <c r="G15" s="232" t="s">
        <v>507</v>
      </c>
      <c r="H15" s="232">
        <v>7.822049044E9</v>
      </c>
      <c r="I15" s="509" t="s">
        <v>22278</v>
      </c>
      <c r="J15" s="232" t="b">
        <v>0</v>
      </c>
      <c r="K15" s="232"/>
      <c r="L15" s="232"/>
      <c r="M15" s="511"/>
      <c r="N15" s="232"/>
      <c r="O15" s="232"/>
      <c r="P15" s="312"/>
      <c r="Q15" s="312"/>
      <c r="R15" s="312"/>
      <c r="S15" s="312"/>
      <c r="T15" s="312"/>
      <c r="U15" s="312"/>
    </row>
    <row r="16">
      <c r="A16" s="508" t="s">
        <v>22274</v>
      </c>
      <c r="B16" s="232" t="s">
        <v>22279</v>
      </c>
      <c r="C16" s="509" t="s">
        <v>22280</v>
      </c>
      <c r="D16" s="510" t="s">
        <v>22281</v>
      </c>
      <c r="E16" s="511"/>
      <c r="F16" s="232" t="s">
        <v>22282</v>
      </c>
      <c r="G16" s="232" t="s">
        <v>519</v>
      </c>
      <c r="H16" s="232">
        <v>9.727174062E9</v>
      </c>
      <c r="I16" s="512" t="s">
        <v>22283</v>
      </c>
      <c r="J16" s="232" t="b">
        <v>0</v>
      </c>
      <c r="K16" s="232"/>
      <c r="L16" s="232"/>
      <c r="M16" s="511"/>
      <c r="N16" s="232"/>
      <c r="O16" s="232"/>
      <c r="P16" s="312"/>
      <c r="Q16" s="312"/>
      <c r="R16" s="312"/>
      <c r="S16" s="312"/>
      <c r="T16" s="312"/>
      <c r="U16" s="312"/>
    </row>
    <row r="17">
      <c r="A17" s="508" t="s">
        <v>22274</v>
      </c>
      <c r="B17" s="232" t="s">
        <v>22284</v>
      </c>
      <c r="C17" s="509" t="s">
        <v>22285</v>
      </c>
      <c r="D17" s="510" t="s">
        <v>22286</v>
      </c>
      <c r="E17" s="511"/>
      <c r="F17" s="232" t="s">
        <v>22287</v>
      </c>
      <c r="G17" s="232" t="s">
        <v>22288</v>
      </c>
      <c r="H17" s="232">
        <v>6.367097152E9</v>
      </c>
      <c r="I17" s="509" t="s">
        <v>22289</v>
      </c>
      <c r="J17" s="232" t="b">
        <v>0</v>
      </c>
      <c r="K17" s="232"/>
      <c r="L17" s="232"/>
      <c r="M17" s="511"/>
      <c r="N17" s="232"/>
      <c r="O17" s="232"/>
      <c r="P17" s="312"/>
      <c r="Q17" s="312"/>
      <c r="R17" s="312"/>
      <c r="S17" s="312"/>
      <c r="T17" s="312"/>
      <c r="U17" s="312"/>
    </row>
    <row r="18">
      <c r="A18" s="508" t="s">
        <v>22274</v>
      </c>
      <c r="B18" s="232" t="s">
        <v>22290</v>
      </c>
      <c r="C18" s="509" t="s">
        <v>21421</v>
      </c>
      <c r="D18" s="510" t="s">
        <v>22291</v>
      </c>
      <c r="E18" s="511"/>
      <c r="F18" s="232"/>
      <c r="G18" s="232" t="s">
        <v>22292</v>
      </c>
      <c r="H18" s="232">
        <v>9.752555536E9</v>
      </c>
      <c r="I18" s="509" t="s">
        <v>22289</v>
      </c>
      <c r="J18" s="232" t="b">
        <v>0</v>
      </c>
      <c r="K18" s="232"/>
      <c r="L18" s="232"/>
      <c r="M18" s="511"/>
      <c r="N18" s="232"/>
      <c r="O18" s="232"/>
      <c r="P18" s="312"/>
      <c r="Q18" s="312"/>
      <c r="R18" s="312"/>
      <c r="S18" s="312"/>
      <c r="T18" s="312"/>
      <c r="U18" s="312"/>
    </row>
    <row r="19">
      <c r="A19" s="508" t="s">
        <v>22274</v>
      </c>
      <c r="B19" s="232" t="s">
        <v>22290</v>
      </c>
      <c r="C19" s="509" t="s">
        <v>22293</v>
      </c>
      <c r="D19" s="510" t="s">
        <v>22294</v>
      </c>
      <c r="E19" s="511"/>
      <c r="F19" s="232" t="s">
        <v>22295</v>
      </c>
      <c r="G19" s="232" t="s">
        <v>449</v>
      </c>
      <c r="H19" s="232">
        <v>8.637565993E9</v>
      </c>
      <c r="I19" s="509" t="s">
        <v>22296</v>
      </c>
      <c r="J19" s="232" t="b">
        <v>0</v>
      </c>
      <c r="K19" s="232"/>
      <c r="L19" s="232"/>
      <c r="M19" s="511"/>
      <c r="N19" s="232"/>
      <c r="O19" s="232"/>
      <c r="P19" s="312"/>
      <c r="Q19" s="312"/>
      <c r="R19" s="312"/>
      <c r="S19" s="312"/>
      <c r="T19" s="312"/>
      <c r="U19" s="312"/>
    </row>
    <row r="20">
      <c r="A20" s="508" t="s">
        <v>22274</v>
      </c>
      <c r="B20" s="232" t="s">
        <v>22290</v>
      </c>
      <c r="C20" s="509" t="s">
        <v>22297</v>
      </c>
      <c r="D20" s="510" t="s">
        <v>22298</v>
      </c>
      <c r="E20" s="511"/>
      <c r="F20" s="232"/>
      <c r="G20" s="232" t="s">
        <v>6670</v>
      </c>
      <c r="H20" s="232">
        <v>7.98084942E9</v>
      </c>
      <c r="I20" s="509" t="s">
        <v>22299</v>
      </c>
      <c r="J20" s="232" t="b">
        <v>0</v>
      </c>
      <c r="K20" s="232"/>
      <c r="L20" s="232"/>
      <c r="M20" s="511"/>
      <c r="N20" s="232"/>
      <c r="O20" s="232"/>
      <c r="P20" s="312"/>
      <c r="Q20" s="312"/>
      <c r="R20" s="312"/>
      <c r="S20" s="312"/>
      <c r="T20" s="312"/>
      <c r="U20" s="312"/>
    </row>
    <row r="21">
      <c r="A21" s="508" t="s">
        <v>22274</v>
      </c>
      <c r="B21" s="232" t="s">
        <v>22300</v>
      </c>
      <c r="C21" s="509" t="s">
        <v>22301</v>
      </c>
      <c r="D21" s="510" t="s">
        <v>22302</v>
      </c>
      <c r="E21" s="511"/>
      <c r="F21" s="232" t="s">
        <v>22303</v>
      </c>
      <c r="G21" s="232" t="s">
        <v>22304</v>
      </c>
      <c r="H21" s="232">
        <v>9.73859854E9</v>
      </c>
      <c r="I21" s="509" t="s">
        <v>22305</v>
      </c>
      <c r="J21" s="232" t="b">
        <v>0</v>
      </c>
      <c r="K21" s="232"/>
      <c r="L21" s="232"/>
      <c r="M21" s="511"/>
      <c r="N21" s="232"/>
      <c r="O21" s="232"/>
      <c r="P21" s="312"/>
      <c r="Q21" s="312"/>
      <c r="R21" s="312"/>
      <c r="S21" s="312"/>
      <c r="T21" s="312"/>
      <c r="U21" s="312"/>
    </row>
    <row r="22">
      <c r="A22" s="513" t="s">
        <v>22274</v>
      </c>
      <c r="B22" s="514" t="s">
        <v>22306</v>
      </c>
      <c r="C22" s="515" t="s">
        <v>22307</v>
      </c>
      <c r="D22" s="516" t="s">
        <v>22308</v>
      </c>
      <c r="E22" s="517"/>
      <c r="F22" s="514" t="s">
        <v>22309</v>
      </c>
      <c r="G22" s="514" t="s">
        <v>22310</v>
      </c>
      <c r="H22" s="514">
        <v>8.906956044E9</v>
      </c>
      <c r="I22" s="515" t="s">
        <v>22311</v>
      </c>
      <c r="J22" s="514" t="b">
        <v>0</v>
      </c>
      <c r="K22" s="514" t="s">
        <v>22312</v>
      </c>
      <c r="L22" s="514"/>
      <c r="M22" s="511"/>
      <c r="N22" s="232"/>
      <c r="O22" s="232"/>
      <c r="P22" s="312"/>
      <c r="Q22" s="312"/>
      <c r="R22" s="312"/>
      <c r="S22" s="312"/>
      <c r="T22" s="312"/>
      <c r="U22" s="312"/>
    </row>
    <row r="23">
      <c r="A23" s="508" t="s">
        <v>22274</v>
      </c>
      <c r="B23" s="232" t="s">
        <v>22313</v>
      </c>
      <c r="C23" s="509" t="s">
        <v>22314</v>
      </c>
      <c r="D23" s="510"/>
      <c r="E23" s="511"/>
      <c r="F23" s="232"/>
      <c r="G23" s="232" t="s">
        <v>22315</v>
      </c>
      <c r="H23" s="232">
        <v>9.734348977E9</v>
      </c>
      <c r="I23" s="509" t="s">
        <v>22311</v>
      </c>
      <c r="J23" s="232" t="b">
        <v>0</v>
      </c>
      <c r="K23" s="232"/>
      <c r="L23" s="232"/>
      <c r="M23" s="511"/>
      <c r="N23" s="232"/>
      <c r="O23" s="232"/>
      <c r="P23" s="312"/>
      <c r="Q23" s="312"/>
      <c r="R23" s="312"/>
      <c r="S23" s="312"/>
      <c r="T23" s="312"/>
      <c r="U23" s="312"/>
    </row>
    <row r="24">
      <c r="A24" s="508" t="s">
        <v>22316</v>
      </c>
      <c r="B24" s="232" t="s">
        <v>22317</v>
      </c>
      <c r="C24" s="509" t="s">
        <v>22318</v>
      </c>
      <c r="D24" s="510" t="s">
        <v>22319</v>
      </c>
      <c r="E24" s="511"/>
      <c r="F24" s="232" t="s">
        <v>22320</v>
      </c>
      <c r="G24" s="232" t="s">
        <v>742</v>
      </c>
      <c r="H24" s="232">
        <v>9.948949497E9</v>
      </c>
      <c r="I24" s="509" t="s">
        <v>22321</v>
      </c>
      <c r="J24" s="232" t="b">
        <v>0</v>
      </c>
      <c r="K24" s="232"/>
      <c r="L24" s="232"/>
      <c r="M24" s="511"/>
      <c r="N24" s="232"/>
      <c r="O24" s="232"/>
      <c r="P24" s="312"/>
      <c r="Q24" s="312"/>
      <c r="R24" s="312"/>
      <c r="S24" s="312"/>
      <c r="T24" s="312"/>
      <c r="U24" s="312"/>
    </row>
    <row r="25">
      <c r="A25" s="508" t="s">
        <v>22316</v>
      </c>
      <c r="B25" s="232" t="s">
        <v>22322</v>
      </c>
      <c r="C25" s="509" t="s">
        <v>22323</v>
      </c>
      <c r="D25" s="510" t="s">
        <v>22324</v>
      </c>
      <c r="E25" s="511"/>
      <c r="F25" s="232" t="s">
        <v>22325</v>
      </c>
      <c r="G25" s="232" t="s">
        <v>22326</v>
      </c>
      <c r="H25" s="232">
        <v>9.4328235E9</v>
      </c>
      <c r="I25" s="509" t="s">
        <v>22327</v>
      </c>
      <c r="J25" s="232" t="b">
        <v>0</v>
      </c>
      <c r="K25" s="232"/>
      <c r="L25" s="232"/>
      <c r="M25" s="511"/>
      <c r="N25" s="232"/>
      <c r="O25" s="232"/>
      <c r="P25" s="312"/>
      <c r="Q25" s="312"/>
      <c r="R25" s="312"/>
      <c r="S25" s="312"/>
      <c r="T25" s="312"/>
      <c r="U25" s="312"/>
    </row>
    <row r="26">
      <c r="A26" s="508" t="s">
        <v>22316</v>
      </c>
      <c r="B26" s="232" t="s">
        <v>22328</v>
      </c>
      <c r="C26" s="509" t="s">
        <v>22329</v>
      </c>
      <c r="D26" s="510" t="s">
        <v>22330</v>
      </c>
      <c r="E26" s="511"/>
      <c r="F26" s="232"/>
      <c r="G26" s="232" t="s">
        <v>22331</v>
      </c>
      <c r="H26" s="232">
        <v>6.264166073E9</v>
      </c>
      <c r="I26" s="509" t="s">
        <v>22332</v>
      </c>
      <c r="J26" s="232" t="b">
        <v>0</v>
      </c>
      <c r="K26" s="232"/>
      <c r="L26" s="232"/>
      <c r="M26" s="511"/>
      <c r="N26" s="232"/>
      <c r="O26" s="232"/>
      <c r="P26" s="312"/>
      <c r="Q26" s="312"/>
      <c r="R26" s="312"/>
      <c r="S26" s="312"/>
      <c r="T26" s="312"/>
      <c r="U26" s="312"/>
    </row>
    <row r="27">
      <c r="A27" s="508" t="s">
        <v>22316</v>
      </c>
      <c r="B27" s="232" t="s">
        <v>22333</v>
      </c>
      <c r="C27" s="509" t="s">
        <v>22334</v>
      </c>
      <c r="D27" s="510" t="s">
        <v>22335</v>
      </c>
      <c r="E27" s="511"/>
      <c r="F27" s="232" t="s">
        <v>22336</v>
      </c>
      <c r="G27" s="232" t="s">
        <v>22337</v>
      </c>
      <c r="H27" s="232">
        <v>8.847805872E9</v>
      </c>
      <c r="I27" s="509" t="s">
        <v>22338</v>
      </c>
      <c r="J27" s="232" t="b">
        <v>0</v>
      </c>
      <c r="K27" s="232"/>
      <c r="L27" s="232"/>
      <c r="M27" s="511"/>
      <c r="N27" s="232"/>
      <c r="O27" s="232"/>
      <c r="P27" s="312"/>
      <c r="Q27" s="312"/>
      <c r="R27" s="312"/>
      <c r="S27" s="312"/>
      <c r="T27" s="312"/>
      <c r="U27" s="312"/>
    </row>
    <row r="28">
      <c r="A28" s="508" t="s">
        <v>22316</v>
      </c>
      <c r="B28" s="232" t="s">
        <v>22339</v>
      </c>
      <c r="C28" s="509" t="s">
        <v>21808</v>
      </c>
      <c r="D28" s="510" t="s">
        <v>22340</v>
      </c>
      <c r="E28" s="511"/>
      <c r="F28" s="232" t="s">
        <v>22341</v>
      </c>
      <c r="G28" s="232" t="s">
        <v>22342</v>
      </c>
      <c r="H28" s="232">
        <v>9.739628859E9</v>
      </c>
      <c r="I28" s="509" t="s">
        <v>22343</v>
      </c>
      <c r="J28" s="232" t="b">
        <v>0</v>
      </c>
      <c r="K28" s="232"/>
      <c r="L28" s="232"/>
      <c r="M28" s="511"/>
      <c r="N28" s="232"/>
      <c r="O28" s="232"/>
      <c r="P28" s="312"/>
      <c r="Q28" s="312"/>
      <c r="R28" s="312"/>
      <c r="S28" s="312"/>
      <c r="T28" s="312"/>
      <c r="U28" s="312"/>
    </row>
    <row r="29">
      <c r="A29" s="508" t="s">
        <v>22316</v>
      </c>
      <c r="B29" s="232" t="s">
        <v>22344</v>
      </c>
      <c r="C29" s="509" t="s">
        <v>22345</v>
      </c>
      <c r="D29" s="510" t="s">
        <v>22346</v>
      </c>
      <c r="E29" s="511"/>
      <c r="F29" s="232" t="s">
        <v>22347</v>
      </c>
      <c r="G29" s="232" t="s">
        <v>22348</v>
      </c>
      <c r="H29" s="232">
        <v>7.903942413E9</v>
      </c>
      <c r="I29" s="509" t="s">
        <v>22332</v>
      </c>
      <c r="J29" s="232" t="b">
        <v>0</v>
      </c>
      <c r="K29" s="232" t="s">
        <v>22349</v>
      </c>
      <c r="L29" s="232" t="s">
        <v>22350</v>
      </c>
      <c r="M29" s="511"/>
      <c r="N29" s="232"/>
      <c r="O29" s="232"/>
      <c r="P29" s="312"/>
      <c r="Q29" s="312"/>
      <c r="R29" s="312"/>
      <c r="S29" s="312"/>
      <c r="T29" s="312"/>
      <c r="U29" s="312"/>
    </row>
    <row r="30">
      <c r="A30" s="508" t="s">
        <v>22316</v>
      </c>
      <c r="B30" s="232" t="s">
        <v>22351</v>
      </c>
      <c r="C30" s="509" t="s">
        <v>22352</v>
      </c>
      <c r="D30" s="510"/>
      <c r="E30" s="511"/>
      <c r="F30" s="232" t="s">
        <v>22353</v>
      </c>
      <c r="G30" s="232" t="s">
        <v>22292</v>
      </c>
      <c r="H30" s="232">
        <v>7.972327557E9</v>
      </c>
      <c r="I30" s="509" t="s">
        <v>22354</v>
      </c>
      <c r="J30" s="232" t="b">
        <v>0</v>
      </c>
      <c r="K30" s="232" t="s">
        <v>22355</v>
      </c>
      <c r="L30" s="232"/>
      <c r="M30" s="511"/>
      <c r="N30" s="232"/>
      <c r="O30" s="232"/>
      <c r="P30" s="312"/>
      <c r="Q30" s="312"/>
      <c r="R30" s="312"/>
      <c r="S30" s="312"/>
      <c r="T30" s="312"/>
      <c r="U30" s="312"/>
    </row>
    <row r="31">
      <c r="A31" s="508" t="s">
        <v>22316</v>
      </c>
      <c r="B31" s="232" t="s">
        <v>22356</v>
      </c>
      <c r="C31" s="509" t="s">
        <v>22357</v>
      </c>
      <c r="D31" s="510"/>
      <c r="E31" s="511"/>
      <c r="F31" s="232" t="s">
        <v>22358</v>
      </c>
      <c r="G31" s="232" t="s">
        <v>22359</v>
      </c>
      <c r="H31" s="232">
        <v>9.654032424E9</v>
      </c>
      <c r="I31" s="509" t="s">
        <v>22360</v>
      </c>
      <c r="J31" s="232" t="b">
        <v>0</v>
      </c>
      <c r="K31" s="232"/>
      <c r="L31" s="232"/>
      <c r="M31" s="511"/>
      <c r="N31" s="232"/>
      <c r="O31" s="232"/>
      <c r="P31" s="312"/>
      <c r="Q31" s="312"/>
      <c r="R31" s="312"/>
      <c r="S31" s="312"/>
      <c r="T31" s="312"/>
      <c r="U31" s="312"/>
    </row>
    <row r="32">
      <c r="A32" s="508" t="s">
        <v>22316</v>
      </c>
      <c r="B32" s="232" t="s">
        <v>22361</v>
      </c>
      <c r="C32" s="509" t="s">
        <v>22362</v>
      </c>
      <c r="D32" s="510"/>
      <c r="E32" s="511"/>
      <c r="F32" s="232" t="s">
        <v>22363</v>
      </c>
      <c r="G32" s="232" t="s">
        <v>2662</v>
      </c>
      <c r="H32" s="232">
        <v>8.667502058E9</v>
      </c>
      <c r="I32" s="509" t="s">
        <v>22364</v>
      </c>
      <c r="J32" s="232" t="b">
        <v>0</v>
      </c>
      <c r="K32" s="232" t="s">
        <v>22365</v>
      </c>
      <c r="L32" s="232" t="s">
        <v>22366</v>
      </c>
      <c r="M32" s="511"/>
      <c r="N32" s="232"/>
      <c r="O32" s="232"/>
      <c r="P32" s="312"/>
      <c r="Q32" s="312"/>
      <c r="R32" s="312"/>
      <c r="S32" s="312"/>
      <c r="T32" s="312"/>
      <c r="U32" s="312"/>
    </row>
    <row r="33">
      <c r="A33" s="508" t="s">
        <v>22316</v>
      </c>
      <c r="B33" s="232" t="s">
        <v>22367</v>
      </c>
      <c r="C33" s="509" t="s">
        <v>22368</v>
      </c>
      <c r="D33" s="510"/>
      <c r="E33" s="511"/>
      <c r="F33" s="232" t="s">
        <v>22369</v>
      </c>
      <c r="G33" s="232" t="s">
        <v>22292</v>
      </c>
      <c r="H33" s="232">
        <v>8.779423406E9</v>
      </c>
      <c r="I33" s="509" t="s">
        <v>22370</v>
      </c>
      <c r="J33" s="232" t="b">
        <v>0</v>
      </c>
      <c r="K33" s="232"/>
      <c r="L33" s="232"/>
      <c r="M33" s="511"/>
      <c r="N33" s="232"/>
      <c r="O33" s="232"/>
      <c r="P33" s="312"/>
      <c r="Q33" s="312"/>
      <c r="R33" s="312"/>
      <c r="S33" s="312"/>
      <c r="T33" s="312"/>
      <c r="U33" s="312"/>
    </row>
    <row r="34">
      <c r="A34" s="508" t="s">
        <v>22316</v>
      </c>
      <c r="B34" s="232" t="s">
        <v>22371</v>
      </c>
      <c r="C34" s="509" t="s">
        <v>22372</v>
      </c>
      <c r="D34" s="510"/>
      <c r="E34" s="511"/>
      <c r="F34" s="232"/>
      <c r="G34" s="232" t="s">
        <v>7995</v>
      </c>
      <c r="H34" s="232">
        <v>9.038355798E9</v>
      </c>
      <c r="I34" s="509" t="s">
        <v>22373</v>
      </c>
      <c r="J34" s="232" t="b">
        <v>0</v>
      </c>
      <c r="K34" s="232" t="s">
        <v>22365</v>
      </c>
      <c r="L34" s="232" t="s">
        <v>22374</v>
      </c>
      <c r="M34" s="511"/>
      <c r="N34" s="232"/>
      <c r="O34" s="232"/>
      <c r="P34" s="312"/>
      <c r="Q34" s="312"/>
      <c r="R34" s="312"/>
      <c r="S34" s="312"/>
      <c r="T34" s="312"/>
      <c r="U34" s="312"/>
    </row>
    <row r="35">
      <c r="A35" s="508" t="s">
        <v>22316</v>
      </c>
      <c r="B35" s="232" t="s">
        <v>22375</v>
      </c>
      <c r="C35" s="509" t="s">
        <v>22376</v>
      </c>
      <c r="D35" s="510" t="s">
        <v>22377</v>
      </c>
      <c r="E35" s="511"/>
      <c r="F35" s="232" t="s">
        <v>22378</v>
      </c>
      <c r="G35" s="232" t="s">
        <v>22379</v>
      </c>
      <c r="H35" s="232">
        <v>8.91898134E9</v>
      </c>
      <c r="I35" s="509" t="s">
        <v>22380</v>
      </c>
      <c r="J35" s="232" t="b">
        <v>0</v>
      </c>
      <c r="K35" s="232"/>
      <c r="L35" s="232"/>
      <c r="M35" s="511"/>
      <c r="N35" s="232"/>
      <c r="O35" s="232"/>
      <c r="P35" s="312"/>
      <c r="Q35" s="312"/>
      <c r="R35" s="312"/>
      <c r="S35" s="312"/>
      <c r="T35" s="312"/>
      <c r="U35" s="312"/>
    </row>
    <row r="36">
      <c r="A36" s="508" t="s">
        <v>22316</v>
      </c>
      <c r="B36" s="232" t="s">
        <v>22381</v>
      </c>
      <c r="C36" s="509" t="s">
        <v>22382</v>
      </c>
      <c r="D36" s="510"/>
      <c r="E36" s="511"/>
      <c r="F36" s="232" t="s">
        <v>22383</v>
      </c>
      <c r="G36" s="232" t="s">
        <v>22384</v>
      </c>
      <c r="H36" s="232">
        <v>8.729991307E9</v>
      </c>
      <c r="I36" s="509" t="s">
        <v>22385</v>
      </c>
      <c r="J36" s="232" t="b">
        <v>0</v>
      </c>
      <c r="K36" s="232" t="s">
        <v>22365</v>
      </c>
      <c r="L36" s="232" t="s">
        <v>22386</v>
      </c>
      <c r="M36" s="511"/>
      <c r="N36" s="232"/>
      <c r="O36" s="232"/>
      <c r="P36" s="312"/>
      <c r="Q36" s="312"/>
      <c r="R36" s="312"/>
      <c r="S36" s="312"/>
      <c r="T36" s="312"/>
      <c r="U36" s="312"/>
    </row>
    <row r="37">
      <c r="A37" s="508" t="s">
        <v>22316</v>
      </c>
      <c r="B37" s="232" t="s">
        <v>22387</v>
      </c>
      <c r="C37" s="509" t="s">
        <v>22388</v>
      </c>
      <c r="D37" s="510" t="s">
        <v>22389</v>
      </c>
      <c r="E37" s="511"/>
      <c r="F37" s="232"/>
      <c r="G37" s="232" t="s">
        <v>44</v>
      </c>
      <c r="H37" s="232">
        <v>7.439482765E9</v>
      </c>
      <c r="I37" s="509" t="s">
        <v>22390</v>
      </c>
      <c r="J37" s="232" t="b">
        <v>0</v>
      </c>
      <c r="K37" s="232" t="s">
        <v>334</v>
      </c>
      <c r="L37" s="232"/>
      <c r="M37" s="511"/>
      <c r="N37" s="232"/>
      <c r="O37" s="232"/>
      <c r="P37" s="312"/>
      <c r="Q37" s="312"/>
      <c r="R37" s="312"/>
      <c r="S37" s="312"/>
      <c r="T37" s="312"/>
      <c r="U37" s="312"/>
    </row>
    <row r="38">
      <c r="A38" s="508" t="s">
        <v>22316</v>
      </c>
      <c r="B38" s="232" t="s">
        <v>22391</v>
      </c>
      <c r="C38" s="509" t="s">
        <v>22392</v>
      </c>
      <c r="D38" s="510"/>
      <c r="E38" s="511"/>
      <c r="F38" s="232"/>
      <c r="G38" s="232" t="s">
        <v>44</v>
      </c>
      <c r="H38" s="232">
        <v>8.018213384E9</v>
      </c>
      <c r="I38" s="509" t="s">
        <v>22393</v>
      </c>
      <c r="J38" s="232" t="b">
        <v>0</v>
      </c>
      <c r="K38" s="232" t="s">
        <v>334</v>
      </c>
      <c r="L38" s="232"/>
      <c r="M38" s="511"/>
      <c r="N38" s="232"/>
      <c r="O38" s="232"/>
      <c r="P38" s="312"/>
      <c r="Q38" s="312"/>
      <c r="R38" s="312"/>
      <c r="S38" s="312"/>
      <c r="T38" s="312"/>
      <c r="U38" s="312"/>
    </row>
    <row r="39">
      <c r="A39" s="508" t="s">
        <v>22316</v>
      </c>
      <c r="B39" s="232" t="s">
        <v>22394</v>
      </c>
      <c r="C39" s="509" t="s">
        <v>22395</v>
      </c>
      <c r="D39" s="510"/>
      <c r="E39" s="511"/>
      <c r="F39" s="232"/>
      <c r="G39" s="232" t="s">
        <v>22396</v>
      </c>
      <c r="H39" s="232">
        <v>7.699081008E9</v>
      </c>
      <c r="I39" s="509" t="s">
        <v>22397</v>
      </c>
      <c r="J39" s="232" t="b">
        <v>0</v>
      </c>
      <c r="K39" s="232" t="s">
        <v>22349</v>
      </c>
      <c r="L39" s="232" t="s">
        <v>22398</v>
      </c>
      <c r="M39" s="511"/>
      <c r="N39" s="232"/>
      <c r="O39" s="232"/>
      <c r="P39" s="312"/>
      <c r="Q39" s="312"/>
      <c r="R39" s="312"/>
      <c r="S39" s="312"/>
      <c r="T39" s="312"/>
      <c r="U39" s="312"/>
    </row>
    <row r="40">
      <c r="A40" s="508" t="s">
        <v>22399</v>
      </c>
      <c r="B40" s="232" t="s">
        <v>22400</v>
      </c>
      <c r="C40" s="509" t="s">
        <v>22401</v>
      </c>
      <c r="D40" s="510" t="s">
        <v>22402</v>
      </c>
      <c r="E40" s="511"/>
      <c r="F40" s="232" t="s">
        <v>22403</v>
      </c>
      <c r="G40" s="232" t="s">
        <v>22404</v>
      </c>
      <c r="H40" s="232">
        <v>7.001913724E9</v>
      </c>
      <c r="I40" s="509" t="s">
        <v>22405</v>
      </c>
      <c r="J40" s="232" t="b">
        <v>0</v>
      </c>
      <c r="K40" s="232" t="s">
        <v>12092</v>
      </c>
      <c r="L40" s="232"/>
      <c r="M40" s="511"/>
      <c r="N40" s="232"/>
      <c r="O40" s="232"/>
      <c r="P40" s="312"/>
      <c r="Q40" s="312"/>
      <c r="R40" s="312"/>
      <c r="S40" s="312"/>
      <c r="T40" s="312"/>
      <c r="U40" s="312"/>
    </row>
    <row r="41">
      <c r="A41" s="508" t="s">
        <v>22399</v>
      </c>
      <c r="B41" s="232" t="s">
        <v>22406</v>
      </c>
      <c r="C41" s="509" t="s">
        <v>22407</v>
      </c>
      <c r="D41" s="510" t="s">
        <v>22408</v>
      </c>
      <c r="E41" s="511"/>
      <c r="F41" s="232" t="s">
        <v>22409</v>
      </c>
      <c r="G41" s="232" t="s">
        <v>519</v>
      </c>
      <c r="H41" s="232">
        <v>7.226813188E9</v>
      </c>
      <c r="I41" s="509" t="s">
        <v>22373</v>
      </c>
      <c r="J41" s="232" t="b">
        <v>0</v>
      </c>
      <c r="K41" s="232" t="s">
        <v>12092</v>
      </c>
      <c r="L41" s="232"/>
      <c r="M41" s="511"/>
      <c r="N41" s="232"/>
      <c r="O41" s="232"/>
      <c r="P41" s="312"/>
      <c r="Q41" s="312"/>
      <c r="R41" s="312"/>
      <c r="S41" s="312"/>
      <c r="T41" s="312"/>
      <c r="U41" s="312"/>
    </row>
    <row r="42">
      <c r="A42" s="508" t="s">
        <v>22399</v>
      </c>
      <c r="B42" s="232" t="s">
        <v>22410</v>
      </c>
      <c r="C42" s="509" t="s">
        <v>22411</v>
      </c>
      <c r="D42" s="510"/>
      <c r="E42" s="511"/>
      <c r="F42" s="232"/>
      <c r="G42" s="232" t="s">
        <v>2662</v>
      </c>
      <c r="H42" s="232">
        <v>9.444573654E9</v>
      </c>
      <c r="I42" s="509" t="s">
        <v>22412</v>
      </c>
      <c r="J42" s="232" t="b">
        <v>0</v>
      </c>
      <c r="K42" s="232" t="s">
        <v>12092</v>
      </c>
      <c r="L42" s="232"/>
      <c r="M42" s="511"/>
      <c r="N42" s="232"/>
      <c r="O42" s="232"/>
      <c r="P42" s="312"/>
      <c r="Q42" s="312"/>
      <c r="R42" s="312"/>
      <c r="S42" s="312"/>
      <c r="T42" s="312"/>
      <c r="U42" s="312"/>
    </row>
    <row r="43">
      <c r="A43" s="508" t="s">
        <v>22399</v>
      </c>
      <c r="B43" s="232" t="s">
        <v>22413</v>
      </c>
      <c r="C43" s="509" t="s">
        <v>22414</v>
      </c>
      <c r="D43" s="510" t="s">
        <v>22415</v>
      </c>
      <c r="E43" s="511"/>
      <c r="F43" s="232" t="s">
        <v>22416</v>
      </c>
      <c r="G43" s="232" t="s">
        <v>22292</v>
      </c>
      <c r="H43" s="232">
        <v>9.960521824E9</v>
      </c>
      <c r="I43" s="509" t="s">
        <v>22360</v>
      </c>
      <c r="J43" s="232" t="b">
        <v>0</v>
      </c>
      <c r="K43" s="232" t="s">
        <v>22349</v>
      </c>
      <c r="L43" s="232" t="s">
        <v>22417</v>
      </c>
      <c r="M43" s="511"/>
      <c r="N43" s="232"/>
      <c r="O43" s="232"/>
      <c r="P43" s="312"/>
      <c r="Q43" s="312"/>
      <c r="R43" s="312"/>
      <c r="S43" s="312"/>
      <c r="T43" s="312"/>
      <c r="U43" s="312"/>
    </row>
    <row r="44">
      <c r="A44" s="508" t="s">
        <v>22399</v>
      </c>
      <c r="B44" s="232" t="s">
        <v>22418</v>
      </c>
      <c r="C44" s="509" t="s">
        <v>22419</v>
      </c>
      <c r="D44" s="510" t="s">
        <v>0</v>
      </c>
      <c r="E44" s="511"/>
      <c r="F44" s="232" t="s">
        <v>22420</v>
      </c>
      <c r="G44" s="232" t="s">
        <v>22421</v>
      </c>
      <c r="H44" s="232">
        <v>-8.104718499E9</v>
      </c>
      <c r="I44" s="509" t="s">
        <v>22373</v>
      </c>
      <c r="J44" s="232" t="b">
        <v>0</v>
      </c>
      <c r="K44" s="232" t="s">
        <v>22365</v>
      </c>
      <c r="L44" s="232" t="s">
        <v>22422</v>
      </c>
      <c r="M44" s="511"/>
      <c r="N44" s="232"/>
      <c r="O44" s="232"/>
      <c r="P44" s="312"/>
      <c r="Q44" s="312"/>
      <c r="R44" s="312"/>
      <c r="S44" s="312"/>
      <c r="T44" s="312"/>
      <c r="U44" s="312"/>
    </row>
    <row r="45">
      <c r="A45" s="508" t="s">
        <v>22399</v>
      </c>
      <c r="B45" s="232" t="s">
        <v>22423</v>
      </c>
      <c r="C45" s="509" t="s">
        <v>22424</v>
      </c>
      <c r="D45" s="510" t="s">
        <v>22425</v>
      </c>
      <c r="E45" s="511"/>
      <c r="F45" s="232" t="s">
        <v>22426</v>
      </c>
      <c r="G45" s="232" t="s">
        <v>22288</v>
      </c>
      <c r="H45" s="232">
        <v>9.027758816E9</v>
      </c>
      <c r="I45" s="509" t="s">
        <v>22373</v>
      </c>
      <c r="J45" s="232" t="b">
        <v>0</v>
      </c>
      <c r="K45" s="232"/>
      <c r="L45" s="232"/>
      <c r="M45" s="511"/>
      <c r="N45" s="232"/>
      <c r="O45" s="232"/>
      <c r="P45" s="312"/>
      <c r="Q45" s="312"/>
      <c r="R45" s="312"/>
      <c r="S45" s="312"/>
      <c r="T45" s="312"/>
      <c r="U45" s="312"/>
    </row>
    <row r="46">
      <c r="A46" s="508" t="s">
        <v>22399</v>
      </c>
      <c r="B46" s="232" t="s">
        <v>22427</v>
      </c>
      <c r="C46" s="509" t="s">
        <v>3099</v>
      </c>
      <c r="D46" s="510"/>
      <c r="E46" s="511"/>
      <c r="F46" s="232" t="s">
        <v>22428</v>
      </c>
      <c r="G46" s="232" t="s">
        <v>22429</v>
      </c>
      <c r="H46" s="232">
        <v>7.595894645E9</v>
      </c>
      <c r="I46" s="509" t="s">
        <v>22430</v>
      </c>
      <c r="J46" s="232" t="b">
        <v>0</v>
      </c>
      <c r="K46" s="232"/>
      <c r="L46" s="232"/>
      <c r="M46" s="511"/>
      <c r="N46" s="232"/>
      <c r="O46" s="232"/>
      <c r="P46" s="312"/>
      <c r="Q46" s="312"/>
      <c r="R46" s="312"/>
      <c r="S46" s="312"/>
      <c r="T46" s="312"/>
      <c r="U46" s="312"/>
    </row>
    <row r="47">
      <c r="A47" s="508" t="s">
        <v>22399</v>
      </c>
      <c r="B47" s="232" t="s">
        <v>22431</v>
      </c>
      <c r="C47" s="509" t="s">
        <v>22432</v>
      </c>
      <c r="D47" s="510"/>
      <c r="E47" s="511"/>
      <c r="F47" s="232" t="s">
        <v>22433</v>
      </c>
      <c r="G47" s="232" t="s">
        <v>44</v>
      </c>
      <c r="H47" s="232">
        <v>9.830052794E9</v>
      </c>
      <c r="I47" s="509" t="s">
        <v>22434</v>
      </c>
      <c r="J47" s="232" t="b">
        <v>0</v>
      </c>
      <c r="K47" s="232" t="s">
        <v>334</v>
      </c>
      <c r="L47" s="232"/>
      <c r="M47" s="511"/>
      <c r="N47" s="232"/>
      <c r="O47" s="232"/>
      <c r="P47" s="312"/>
      <c r="Q47" s="312"/>
      <c r="R47" s="312"/>
      <c r="S47" s="312"/>
      <c r="T47" s="312"/>
      <c r="U47" s="312"/>
    </row>
    <row r="48">
      <c r="A48" s="508" t="s">
        <v>22399</v>
      </c>
      <c r="B48" s="232" t="s">
        <v>22435</v>
      </c>
      <c r="C48" s="509" t="s">
        <v>15838</v>
      </c>
      <c r="D48" s="510" t="s">
        <v>22436</v>
      </c>
      <c r="E48" s="511"/>
      <c r="F48" s="232" t="s">
        <v>22437</v>
      </c>
      <c r="G48" s="232" t="s">
        <v>22292</v>
      </c>
      <c r="H48" s="232">
        <v>8.087756862E9</v>
      </c>
      <c r="I48" s="509" t="s">
        <v>22354</v>
      </c>
      <c r="J48" s="232" t="b">
        <v>0</v>
      </c>
      <c r="K48" s="232" t="s">
        <v>22365</v>
      </c>
      <c r="L48" s="232" t="s">
        <v>22366</v>
      </c>
      <c r="M48" s="511"/>
      <c r="N48" s="232"/>
      <c r="O48" s="232"/>
      <c r="P48" s="312"/>
      <c r="Q48" s="312"/>
      <c r="R48" s="312"/>
      <c r="S48" s="312"/>
      <c r="T48" s="312"/>
      <c r="U48" s="312"/>
    </row>
    <row r="49">
      <c r="A49" s="508" t="s">
        <v>22399</v>
      </c>
      <c r="B49" s="232" t="s">
        <v>22438</v>
      </c>
      <c r="C49" s="509" t="s">
        <v>22439</v>
      </c>
      <c r="D49" s="510" t="s">
        <v>22440</v>
      </c>
      <c r="E49" s="511"/>
      <c r="F49" s="232" t="s">
        <v>22441</v>
      </c>
      <c r="G49" s="232" t="s">
        <v>2882</v>
      </c>
      <c r="H49" s="232">
        <v>9.999384222E9</v>
      </c>
      <c r="I49" s="509" t="s">
        <v>22442</v>
      </c>
      <c r="J49" s="232" t="b">
        <v>0</v>
      </c>
      <c r="K49" s="232" t="s">
        <v>22349</v>
      </c>
      <c r="L49" s="232" t="s">
        <v>22443</v>
      </c>
      <c r="M49" s="511"/>
      <c r="N49" s="232"/>
      <c r="O49" s="232"/>
      <c r="P49" s="312"/>
      <c r="Q49" s="312"/>
      <c r="R49" s="312"/>
      <c r="S49" s="312"/>
      <c r="T49" s="312"/>
      <c r="U49" s="312"/>
    </row>
    <row r="50">
      <c r="A50" s="508" t="s">
        <v>22399</v>
      </c>
      <c r="B50" s="232" t="s">
        <v>22444</v>
      </c>
      <c r="C50" s="509" t="s">
        <v>22445</v>
      </c>
      <c r="D50" s="510"/>
      <c r="E50" s="511"/>
      <c r="F50" s="232" t="s">
        <v>22446</v>
      </c>
      <c r="G50" s="232" t="s">
        <v>44</v>
      </c>
      <c r="H50" s="232">
        <v>7.063232107E9</v>
      </c>
      <c r="I50" s="512" t="s">
        <v>22447</v>
      </c>
      <c r="J50" s="232" t="b">
        <v>0</v>
      </c>
      <c r="K50" s="232" t="s">
        <v>22365</v>
      </c>
      <c r="L50" s="232" t="s">
        <v>22422</v>
      </c>
      <c r="M50" s="511"/>
      <c r="N50" s="232"/>
      <c r="O50" s="232"/>
      <c r="P50" s="312"/>
      <c r="Q50" s="312"/>
      <c r="R50" s="312"/>
      <c r="S50" s="312"/>
      <c r="T50" s="312"/>
      <c r="U50" s="312"/>
    </row>
    <row r="51">
      <c r="A51" s="508" t="s">
        <v>22399</v>
      </c>
      <c r="B51" s="232" t="s">
        <v>22448</v>
      </c>
      <c r="C51" s="509" t="s">
        <v>22449</v>
      </c>
      <c r="D51" s="510"/>
      <c r="E51" s="511"/>
      <c r="F51" s="232" t="s">
        <v>22450</v>
      </c>
      <c r="G51" s="232" t="s">
        <v>22337</v>
      </c>
      <c r="H51" s="232">
        <v>7.018199899E9</v>
      </c>
      <c r="I51" s="509" t="s">
        <v>22354</v>
      </c>
      <c r="J51" s="232" t="b">
        <v>0</v>
      </c>
      <c r="K51" s="232" t="s">
        <v>22365</v>
      </c>
      <c r="L51" s="232" t="s">
        <v>22451</v>
      </c>
      <c r="M51" s="511"/>
      <c r="N51" s="232"/>
      <c r="O51" s="232"/>
      <c r="P51" s="312"/>
      <c r="Q51" s="312"/>
      <c r="R51" s="312"/>
      <c r="S51" s="312"/>
      <c r="T51" s="312"/>
      <c r="U51" s="312"/>
    </row>
    <row r="52">
      <c r="A52" s="508" t="s">
        <v>22399</v>
      </c>
      <c r="B52" s="232" t="s">
        <v>22452</v>
      </c>
      <c r="C52" s="509" t="s">
        <v>22453</v>
      </c>
      <c r="D52" s="510"/>
      <c r="E52" s="511"/>
      <c r="F52" s="232" t="s">
        <v>22454</v>
      </c>
      <c r="G52" s="232" t="s">
        <v>7995</v>
      </c>
      <c r="H52" s="232">
        <v>9.822383222E9</v>
      </c>
      <c r="I52" s="509" t="s">
        <v>22455</v>
      </c>
      <c r="J52" s="232" t="b">
        <v>0</v>
      </c>
      <c r="K52" s="232" t="s">
        <v>22365</v>
      </c>
      <c r="L52" s="232" t="s">
        <v>22456</v>
      </c>
      <c r="M52" s="511"/>
      <c r="N52" s="232"/>
      <c r="O52" s="232"/>
      <c r="P52" s="312"/>
      <c r="Q52" s="312"/>
      <c r="R52" s="312"/>
      <c r="S52" s="312"/>
      <c r="T52" s="312"/>
      <c r="U52" s="312"/>
    </row>
    <row r="53">
      <c r="A53" s="508" t="s">
        <v>22399</v>
      </c>
      <c r="B53" s="232" t="s">
        <v>22457</v>
      </c>
      <c r="C53" s="509" t="s">
        <v>22445</v>
      </c>
      <c r="D53" s="510"/>
      <c r="E53" s="511"/>
      <c r="F53" s="232" t="s">
        <v>22446</v>
      </c>
      <c r="G53" s="232" t="s">
        <v>44</v>
      </c>
      <c r="H53" s="232">
        <v>7.063232107E9</v>
      </c>
      <c r="I53" s="512" t="s">
        <v>22447</v>
      </c>
      <c r="J53" s="232" t="b">
        <v>0</v>
      </c>
      <c r="K53" s="232" t="s">
        <v>22365</v>
      </c>
      <c r="L53" s="232" t="s">
        <v>22422</v>
      </c>
      <c r="M53" s="511"/>
      <c r="N53" s="232"/>
      <c r="O53" s="232"/>
      <c r="P53" s="312"/>
      <c r="Q53" s="312"/>
      <c r="R53" s="312"/>
      <c r="S53" s="312"/>
      <c r="T53" s="312"/>
      <c r="U53" s="312"/>
    </row>
    <row r="54">
      <c r="A54" s="508" t="s">
        <v>22399</v>
      </c>
      <c r="B54" s="232" t="s">
        <v>22458</v>
      </c>
      <c r="C54" s="509" t="s">
        <v>22459</v>
      </c>
      <c r="D54" s="510" t="s">
        <v>22460</v>
      </c>
      <c r="E54" s="511"/>
      <c r="F54" s="232" t="s">
        <v>22461</v>
      </c>
      <c r="G54" s="232" t="s">
        <v>22292</v>
      </c>
      <c r="H54" s="232">
        <v>9.81989292E9</v>
      </c>
      <c r="I54" s="509" t="s">
        <v>22462</v>
      </c>
      <c r="J54" s="232" t="b">
        <v>0</v>
      </c>
      <c r="K54" s="232" t="s">
        <v>22365</v>
      </c>
      <c r="L54" s="232"/>
      <c r="M54" s="511"/>
      <c r="N54" s="232"/>
      <c r="O54" s="232"/>
      <c r="P54" s="312"/>
      <c r="Q54" s="312"/>
      <c r="R54" s="312"/>
      <c r="S54" s="312"/>
      <c r="T54" s="312"/>
      <c r="U54" s="312"/>
    </row>
    <row r="55">
      <c r="A55" s="508" t="s">
        <v>22399</v>
      </c>
      <c r="B55" s="232" t="s">
        <v>22463</v>
      </c>
      <c r="C55" s="509" t="s">
        <v>22464</v>
      </c>
      <c r="D55" s="510"/>
      <c r="E55" s="511"/>
      <c r="F55" s="232"/>
      <c r="G55" s="232" t="s">
        <v>9266</v>
      </c>
      <c r="H55" s="232">
        <v>7.56096604E9</v>
      </c>
      <c r="I55" s="509" t="s">
        <v>22465</v>
      </c>
      <c r="J55" s="232" t="b">
        <v>0</v>
      </c>
      <c r="K55" s="232" t="s">
        <v>22365</v>
      </c>
      <c r="L55" s="232" t="s">
        <v>22386</v>
      </c>
      <c r="M55" s="511"/>
      <c r="N55" s="232"/>
      <c r="O55" s="232"/>
      <c r="P55" s="312"/>
      <c r="Q55" s="312"/>
      <c r="R55" s="312"/>
      <c r="S55" s="312"/>
      <c r="T55" s="312"/>
      <c r="U55" s="312"/>
    </row>
    <row r="56">
      <c r="A56" s="513" t="s">
        <v>22466</v>
      </c>
      <c r="B56" s="514" t="s">
        <v>22467</v>
      </c>
      <c r="C56" s="515" t="s">
        <v>22468</v>
      </c>
      <c r="D56" s="516"/>
      <c r="E56" s="517"/>
      <c r="F56" s="514"/>
      <c r="G56" s="514" t="s">
        <v>1691</v>
      </c>
      <c r="H56" s="514">
        <v>9.874027919E9</v>
      </c>
      <c r="I56" s="515" t="s">
        <v>22469</v>
      </c>
      <c r="J56" s="514" t="b">
        <v>0</v>
      </c>
      <c r="K56" s="514" t="s">
        <v>22312</v>
      </c>
      <c r="L56" s="514" t="s">
        <v>22470</v>
      </c>
      <c r="M56" s="511"/>
      <c r="N56" s="232"/>
      <c r="O56" s="232"/>
      <c r="P56" s="312"/>
      <c r="Q56" s="312"/>
      <c r="R56" s="312"/>
      <c r="S56" s="312"/>
      <c r="T56" s="312"/>
      <c r="U56" s="312"/>
    </row>
    <row r="57">
      <c r="A57" s="508" t="s">
        <v>22466</v>
      </c>
      <c r="B57" s="232" t="s">
        <v>22471</v>
      </c>
      <c r="C57" s="509" t="s">
        <v>22472</v>
      </c>
      <c r="D57" s="510" t="s">
        <v>22473</v>
      </c>
      <c r="E57" s="511"/>
      <c r="F57" s="232" t="s">
        <v>22474</v>
      </c>
      <c r="G57" s="232" t="s">
        <v>1691</v>
      </c>
      <c r="H57" s="232">
        <v>8.617687709E9</v>
      </c>
      <c r="I57" s="509" t="s">
        <v>22475</v>
      </c>
      <c r="J57" s="232" t="b">
        <v>0</v>
      </c>
      <c r="K57" s="232" t="s">
        <v>22365</v>
      </c>
      <c r="L57" s="232" t="s">
        <v>22422</v>
      </c>
      <c r="M57" s="511"/>
      <c r="N57" s="232"/>
      <c r="O57" s="232"/>
      <c r="P57" s="312"/>
      <c r="Q57" s="312"/>
      <c r="R57" s="312"/>
      <c r="S57" s="312"/>
      <c r="T57" s="312"/>
      <c r="U57" s="312"/>
    </row>
    <row r="58">
      <c r="A58" s="508" t="s">
        <v>22466</v>
      </c>
      <c r="B58" s="232" t="s">
        <v>22476</v>
      </c>
      <c r="C58" s="509" t="s">
        <v>4438</v>
      </c>
      <c r="D58" s="510" t="s">
        <v>22477</v>
      </c>
      <c r="E58" s="511"/>
      <c r="F58" s="232" t="s">
        <v>22478</v>
      </c>
      <c r="G58" s="232" t="s">
        <v>22479</v>
      </c>
      <c r="H58" s="232">
        <v>9.412825082E9</v>
      </c>
      <c r="I58" s="509" t="s">
        <v>22480</v>
      </c>
      <c r="J58" s="232" t="b">
        <v>0</v>
      </c>
      <c r="K58" s="232" t="s">
        <v>22349</v>
      </c>
      <c r="L58" s="232" t="s">
        <v>22398</v>
      </c>
      <c r="M58" s="511"/>
      <c r="N58" s="232"/>
      <c r="O58" s="232"/>
      <c r="P58" s="312"/>
      <c r="Q58" s="312"/>
      <c r="R58" s="312"/>
      <c r="S58" s="312"/>
      <c r="T58" s="312"/>
      <c r="U58" s="312"/>
    </row>
    <row r="59">
      <c r="A59" s="508" t="s">
        <v>22466</v>
      </c>
      <c r="B59" s="232" t="s">
        <v>22481</v>
      </c>
      <c r="C59" s="509" t="s">
        <v>22482</v>
      </c>
      <c r="D59" s="510" t="s">
        <v>22483</v>
      </c>
      <c r="E59" s="511"/>
      <c r="F59" s="232" t="s">
        <v>22484</v>
      </c>
      <c r="G59" s="232" t="s">
        <v>22292</v>
      </c>
      <c r="H59" s="232">
        <v>9.764270847E9</v>
      </c>
      <c r="I59" s="512" t="s">
        <v>22485</v>
      </c>
      <c r="J59" s="232" t="b">
        <v>0</v>
      </c>
      <c r="K59" s="232" t="s">
        <v>22365</v>
      </c>
      <c r="L59" s="232" t="s">
        <v>22422</v>
      </c>
      <c r="M59" s="511"/>
      <c r="N59" s="232"/>
      <c r="O59" s="232"/>
      <c r="P59" s="312"/>
      <c r="Q59" s="312"/>
      <c r="R59" s="312"/>
      <c r="S59" s="312"/>
      <c r="T59" s="312"/>
      <c r="U59" s="312"/>
    </row>
    <row r="60">
      <c r="A60" s="508" t="s">
        <v>22466</v>
      </c>
      <c r="B60" s="232" t="s">
        <v>22486</v>
      </c>
      <c r="C60" s="509" t="s">
        <v>22487</v>
      </c>
      <c r="D60" s="510"/>
      <c r="E60" s="511"/>
      <c r="F60" s="232"/>
      <c r="G60" s="232" t="s">
        <v>22479</v>
      </c>
      <c r="H60" s="232">
        <v>9.548505975E9</v>
      </c>
      <c r="I60" s="509" t="s">
        <v>22488</v>
      </c>
      <c r="J60" s="232" t="b">
        <v>0</v>
      </c>
      <c r="K60" s="232" t="s">
        <v>22365</v>
      </c>
      <c r="L60" s="232"/>
      <c r="M60" s="511"/>
      <c r="N60" s="232"/>
      <c r="O60" s="232"/>
      <c r="P60" s="312"/>
      <c r="Q60" s="312"/>
      <c r="R60" s="312"/>
      <c r="S60" s="312"/>
      <c r="T60" s="312"/>
      <c r="U60" s="312"/>
    </row>
    <row r="61">
      <c r="A61" s="508" t="s">
        <v>22466</v>
      </c>
      <c r="B61" s="232" t="s">
        <v>22489</v>
      </c>
      <c r="C61" s="509" t="s">
        <v>15825</v>
      </c>
      <c r="D61" s="510" t="s">
        <v>22490</v>
      </c>
      <c r="E61" s="511"/>
      <c r="F61" s="232"/>
      <c r="G61" s="232" t="s">
        <v>467</v>
      </c>
      <c r="H61" s="232">
        <v>8.858101609E9</v>
      </c>
      <c r="I61" s="509" t="s">
        <v>22289</v>
      </c>
      <c r="J61" s="232" t="b">
        <v>0</v>
      </c>
      <c r="K61" s="232" t="s">
        <v>22365</v>
      </c>
      <c r="L61" s="232" t="s">
        <v>22491</v>
      </c>
      <c r="M61" s="511"/>
      <c r="N61" s="232"/>
      <c r="O61" s="232"/>
      <c r="P61" s="312"/>
      <c r="Q61" s="312"/>
      <c r="R61" s="312"/>
      <c r="S61" s="312"/>
      <c r="T61" s="312"/>
      <c r="U61" s="312"/>
    </row>
    <row r="62">
      <c r="A62" s="508" t="s">
        <v>22466</v>
      </c>
      <c r="B62" s="232" t="s">
        <v>22492</v>
      </c>
      <c r="C62" s="509" t="s">
        <v>22493</v>
      </c>
      <c r="D62" s="510" t="s">
        <v>22494</v>
      </c>
      <c r="E62" s="511"/>
      <c r="F62" s="232" t="s">
        <v>22495</v>
      </c>
      <c r="G62" s="232"/>
      <c r="H62" s="232">
        <v>8.384071825E9</v>
      </c>
      <c r="I62" s="512" t="s">
        <v>22496</v>
      </c>
      <c r="J62" s="232" t="b">
        <v>0</v>
      </c>
      <c r="K62" s="232" t="s">
        <v>12092</v>
      </c>
      <c r="L62" s="232"/>
      <c r="M62" s="511"/>
      <c r="N62" s="232"/>
      <c r="O62" s="232"/>
      <c r="P62" s="312"/>
      <c r="Q62" s="312"/>
      <c r="R62" s="312"/>
      <c r="S62" s="312"/>
      <c r="T62" s="312"/>
      <c r="U62" s="312"/>
    </row>
    <row r="63">
      <c r="A63" s="513" t="s">
        <v>22466</v>
      </c>
      <c r="B63" s="514" t="s">
        <v>22497</v>
      </c>
      <c r="C63" s="515" t="s">
        <v>22498</v>
      </c>
      <c r="D63" s="516" t="s">
        <v>22499</v>
      </c>
      <c r="E63" s="517"/>
      <c r="F63" s="514" t="s">
        <v>22500</v>
      </c>
      <c r="G63" s="514" t="s">
        <v>22501</v>
      </c>
      <c r="H63" s="514">
        <v>9.926050052E9</v>
      </c>
      <c r="I63" s="515" t="s">
        <v>22502</v>
      </c>
      <c r="J63" s="514" t="b">
        <v>0</v>
      </c>
      <c r="K63" s="514" t="s">
        <v>22312</v>
      </c>
      <c r="L63" s="518" t="s">
        <v>22503</v>
      </c>
      <c r="M63" s="511"/>
      <c r="N63" s="232"/>
      <c r="O63" s="232"/>
      <c r="P63" s="312"/>
      <c r="Q63" s="312"/>
      <c r="R63" s="312"/>
      <c r="S63" s="312"/>
      <c r="T63" s="312"/>
      <c r="U63" s="312"/>
    </row>
    <row r="64">
      <c r="A64" s="508" t="s">
        <v>22466</v>
      </c>
      <c r="B64" s="232" t="s">
        <v>22504</v>
      </c>
      <c r="C64" s="509" t="s">
        <v>22505</v>
      </c>
      <c r="D64" s="510"/>
      <c r="E64" s="511"/>
      <c r="F64" s="232" t="s">
        <v>22506</v>
      </c>
      <c r="G64" s="232" t="s">
        <v>22507</v>
      </c>
      <c r="H64" s="232">
        <v>-8.838588678E9</v>
      </c>
      <c r="I64" s="509" t="s">
        <v>22508</v>
      </c>
      <c r="J64" s="232" t="b">
        <v>0</v>
      </c>
      <c r="K64" s="232" t="s">
        <v>22365</v>
      </c>
      <c r="L64" s="232" t="s">
        <v>22509</v>
      </c>
      <c r="M64" s="511"/>
      <c r="N64" s="232"/>
      <c r="O64" s="232"/>
      <c r="P64" s="312"/>
      <c r="Q64" s="312"/>
      <c r="R64" s="312"/>
      <c r="S64" s="312"/>
      <c r="T64" s="312"/>
      <c r="U64" s="312"/>
    </row>
    <row r="65">
      <c r="A65" s="508" t="s">
        <v>22466</v>
      </c>
      <c r="B65" s="232" t="s">
        <v>22510</v>
      </c>
      <c r="C65" s="509" t="s">
        <v>1827</v>
      </c>
      <c r="D65" s="510" t="s">
        <v>22511</v>
      </c>
      <c r="E65" s="511"/>
      <c r="F65" s="232" t="s">
        <v>22512</v>
      </c>
      <c r="G65" s="232" t="s">
        <v>7995</v>
      </c>
      <c r="H65" s="232">
        <v>9.733045159E9</v>
      </c>
      <c r="I65" s="509" t="s">
        <v>22513</v>
      </c>
      <c r="J65" s="232" t="b">
        <v>0</v>
      </c>
      <c r="K65" s="232" t="s">
        <v>22365</v>
      </c>
      <c r="L65" s="232" t="s">
        <v>22514</v>
      </c>
      <c r="M65" s="511"/>
      <c r="N65" s="232"/>
      <c r="O65" s="232"/>
      <c r="P65" s="312"/>
      <c r="Q65" s="312"/>
      <c r="R65" s="312"/>
      <c r="S65" s="312"/>
      <c r="T65" s="312"/>
      <c r="U65" s="312"/>
    </row>
    <row r="66">
      <c r="A66" s="508" t="s">
        <v>22466</v>
      </c>
      <c r="B66" s="232" t="s">
        <v>22515</v>
      </c>
      <c r="C66" s="509" t="s">
        <v>22516</v>
      </c>
      <c r="D66" s="510" t="s">
        <v>22517</v>
      </c>
      <c r="E66" s="511"/>
      <c r="F66" s="232" t="s">
        <v>22518</v>
      </c>
      <c r="G66" s="232" t="s">
        <v>22479</v>
      </c>
      <c r="H66" s="232">
        <v>6.389382585E9</v>
      </c>
      <c r="I66" s="509" t="s">
        <v>22373</v>
      </c>
      <c r="J66" s="232" t="b">
        <v>0</v>
      </c>
      <c r="K66" s="232" t="s">
        <v>12092</v>
      </c>
      <c r="L66" s="232"/>
      <c r="M66" s="511"/>
      <c r="N66" s="232"/>
      <c r="O66" s="232"/>
      <c r="P66" s="312"/>
      <c r="Q66" s="312"/>
      <c r="R66" s="312"/>
      <c r="S66" s="312"/>
      <c r="T66" s="312"/>
      <c r="U66" s="312"/>
    </row>
    <row r="67">
      <c r="A67" s="508" t="s">
        <v>22466</v>
      </c>
      <c r="B67" s="232" t="s">
        <v>22519</v>
      </c>
      <c r="C67" s="509" t="s">
        <v>22520</v>
      </c>
      <c r="D67" s="510" t="s">
        <v>22521</v>
      </c>
      <c r="E67" s="511"/>
      <c r="F67" s="232"/>
      <c r="G67" s="232" t="s">
        <v>519</v>
      </c>
      <c r="H67" s="232">
        <v>9.265070747E9</v>
      </c>
      <c r="I67" s="509" t="s">
        <v>22522</v>
      </c>
      <c r="J67" s="232" t="b">
        <v>0</v>
      </c>
      <c r="K67" s="232" t="s">
        <v>12092</v>
      </c>
      <c r="L67" s="232"/>
      <c r="M67" s="511"/>
      <c r="N67" s="232"/>
      <c r="O67" s="232"/>
      <c r="P67" s="312"/>
      <c r="Q67" s="312"/>
      <c r="R67" s="312"/>
      <c r="S67" s="312"/>
      <c r="T67" s="312"/>
      <c r="U67" s="312"/>
    </row>
    <row r="68">
      <c r="A68" s="508" t="s">
        <v>22466</v>
      </c>
      <c r="B68" s="232" t="s">
        <v>22523</v>
      </c>
      <c r="C68" s="509" t="s">
        <v>22524</v>
      </c>
      <c r="D68" s="510" t="s">
        <v>22525</v>
      </c>
      <c r="E68" s="511"/>
      <c r="F68" s="232" t="s">
        <v>22526</v>
      </c>
      <c r="G68" s="232" t="s">
        <v>22507</v>
      </c>
      <c r="H68" s="232">
        <v>9.171577171E9</v>
      </c>
      <c r="I68" s="509" t="s">
        <v>22527</v>
      </c>
      <c r="J68" s="232" t="b">
        <v>0</v>
      </c>
      <c r="K68" s="232" t="s">
        <v>22365</v>
      </c>
      <c r="L68" s="232" t="s">
        <v>22528</v>
      </c>
      <c r="M68" s="511"/>
      <c r="N68" s="232"/>
      <c r="O68" s="232"/>
      <c r="P68" s="312"/>
      <c r="Q68" s="312"/>
      <c r="R68" s="312"/>
      <c r="S68" s="312"/>
      <c r="T68" s="312"/>
      <c r="U68" s="312"/>
    </row>
    <row r="69">
      <c r="A69" s="508" t="s">
        <v>22466</v>
      </c>
      <c r="B69" s="232" t="s">
        <v>22529</v>
      </c>
      <c r="C69" s="509" t="s">
        <v>22530</v>
      </c>
      <c r="D69" s="510" t="s">
        <v>22531</v>
      </c>
      <c r="E69" s="511"/>
      <c r="F69" s="232" t="s">
        <v>22532</v>
      </c>
      <c r="G69" s="232" t="s">
        <v>2662</v>
      </c>
      <c r="H69" s="232">
        <v>9.489191656E9</v>
      </c>
      <c r="I69" s="509" t="s">
        <v>22373</v>
      </c>
      <c r="J69" s="232" t="b">
        <v>0</v>
      </c>
      <c r="K69" s="232" t="s">
        <v>22365</v>
      </c>
      <c r="L69" s="232"/>
      <c r="M69" s="511"/>
      <c r="N69" s="232"/>
      <c r="O69" s="232"/>
      <c r="P69" s="312"/>
      <c r="Q69" s="312"/>
      <c r="R69" s="312"/>
      <c r="S69" s="312"/>
      <c r="T69" s="312"/>
      <c r="U69" s="312"/>
    </row>
    <row r="70">
      <c r="A70" s="508" t="s">
        <v>22466</v>
      </c>
      <c r="B70" s="232" t="s">
        <v>22533</v>
      </c>
      <c r="C70" s="509" t="s">
        <v>22534</v>
      </c>
      <c r="D70" s="510" t="s">
        <v>22535</v>
      </c>
      <c r="E70" s="511"/>
      <c r="F70" s="232" t="s">
        <v>22536</v>
      </c>
      <c r="G70" s="232" t="s">
        <v>467</v>
      </c>
      <c r="H70" s="232">
        <v>9.14001448E9</v>
      </c>
      <c r="I70" s="509" t="s">
        <v>22537</v>
      </c>
      <c r="J70" s="232" t="b">
        <v>0</v>
      </c>
      <c r="K70" s="232" t="s">
        <v>22365</v>
      </c>
      <c r="L70" s="232" t="s">
        <v>22422</v>
      </c>
      <c r="M70" s="511"/>
      <c r="N70" s="232"/>
      <c r="O70" s="232"/>
      <c r="P70" s="312"/>
      <c r="Q70" s="312"/>
      <c r="R70" s="312"/>
      <c r="S70" s="312"/>
      <c r="T70" s="312"/>
      <c r="U70" s="312"/>
    </row>
    <row r="71">
      <c r="A71" s="508" t="s">
        <v>22466</v>
      </c>
      <c r="B71" s="232" t="s">
        <v>22538</v>
      </c>
      <c r="C71" s="509" t="s">
        <v>22539</v>
      </c>
      <c r="D71" s="510" t="s">
        <v>22540</v>
      </c>
      <c r="E71" s="511"/>
      <c r="F71" s="232" t="s">
        <v>22541</v>
      </c>
      <c r="G71" s="232" t="s">
        <v>22542</v>
      </c>
      <c r="H71" s="232">
        <v>9.211017171E9</v>
      </c>
      <c r="I71" s="509" t="s">
        <v>22543</v>
      </c>
      <c r="J71" s="232" t="b">
        <v>0</v>
      </c>
      <c r="K71" s="232" t="s">
        <v>22365</v>
      </c>
      <c r="L71" s="232" t="s">
        <v>22374</v>
      </c>
      <c r="M71" s="511"/>
      <c r="N71" s="232"/>
      <c r="O71" s="232"/>
      <c r="P71" s="312"/>
      <c r="Q71" s="312"/>
      <c r="R71" s="312"/>
      <c r="S71" s="312"/>
      <c r="T71" s="312"/>
      <c r="U71" s="312"/>
    </row>
    <row r="72">
      <c r="A72" s="508" t="s">
        <v>22466</v>
      </c>
      <c r="B72" s="232" t="s">
        <v>22544</v>
      </c>
      <c r="C72" s="509" t="s">
        <v>21331</v>
      </c>
      <c r="D72" s="510" t="s">
        <v>22545</v>
      </c>
      <c r="E72" s="511"/>
      <c r="F72" s="232" t="s">
        <v>22546</v>
      </c>
      <c r="G72" s="232" t="s">
        <v>467</v>
      </c>
      <c r="H72" s="232">
        <v>9.557041462E9</v>
      </c>
      <c r="I72" s="509" t="s">
        <v>22547</v>
      </c>
      <c r="J72" s="232" t="b">
        <v>0</v>
      </c>
      <c r="K72" s="232" t="s">
        <v>22365</v>
      </c>
      <c r="L72" s="232" t="s">
        <v>22422</v>
      </c>
      <c r="M72" s="511"/>
      <c r="N72" s="232"/>
      <c r="O72" s="232"/>
      <c r="P72" s="312"/>
      <c r="Q72" s="312"/>
      <c r="R72" s="312"/>
      <c r="S72" s="312"/>
      <c r="T72" s="312"/>
      <c r="U72" s="312"/>
    </row>
    <row r="73">
      <c r="A73" s="508" t="s">
        <v>22548</v>
      </c>
      <c r="B73" s="232" t="s">
        <v>22549</v>
      </c>
      <c r="C73" s="509" t="s">
        <v>22550</v>
      </c>
      <c r="D73" s="510" t="s">
        <v>22551</v>
      </c>
      <c r="E73" s="511"/>
      <c r="F73" s="232" t="s">
        <v>22552</v>
      </c>
      <c r="G73" s="232" t="s">
        <v>495</v>
      </c>
      <c r="H73" s="232">
        <v>7.250437433E9</v>
      </c>
      <c r="I73" s="509" t="s">
        <v>22553</v>
      </c>
      <c r="J73" s="232" t="b">
        <v>0</v>
      </c>
      <c r="K73" s="232" t="s">
        <v>22365</v>
      </c>
      <c r="L73" s="232" t="s">
        <v>22554</v>
      </c>
      <c r="M73" s="511"/>
      <c r="N73" s="232"/>
      <c r="O73" s="232"/>
      <c r="P73" s="312"/>
      <c r="Q73" s="312"/>
      <c r="R73" s="312"/>
      <c r="S73" s="312"/>
      <c r="T73" s="312"/>
      <c r="U73" s="312"/>
    </row>
    <row r="74">
      <c r="A74" s="508" t="s">
        <v>22548</v>
      </c>
      <c r="B74" s="232" t="s">
        <v>22555</v>
      </c>
      <c r="C74" s="509" t="s">
        <v>22556</v>
      </c>
      <c r="D74" s="510" t="s">
        <v>22557</v>
      </c>
      <c r="E74" s="511"/>
      <c r="F74" s="232" t="s">
        <v>22558</v>
      </c>
      <c r="G74" s="232" t="s">
        <v>507</v>
      </c>
      <c r="H74" s="232">
        <v>9.552223327E9</v>
      </c>
      <c r="I74" s="509" t="s">
        <v>22559</v>
      </c>
      <c r="J74" s="232" t="b">
        <v>0</v>
      </c>
      <c r="K74" s="232" t="s">
        <v>22365</v>
      </c>
      <c r="L74" s="232" t="s">
        <v>22422</v>
      </c>
      <c r="M74" s="511"/>
      <c r="N74" s="232"/>
      <c r="O74" s="232"/>
      <c r="P74" s="312"/>
      <c r="Q74" s="312"/>
      <c r="R74" s="312"/>
      <c r="S74" s="312"/>
      <c r="T74" s="312"/>
      <c r="U74" s="312"/>
    </row>
    <row r="75">
      <c r="A75" s="508" t="s">
        <v>22548</v>
      </c>
      <c r="B75" s="232" t="s">
        <v>22560</v>
      </c>
      <c r="C75" s="509" t="s">
        <v>22561</v>
      </c>
      <c r="D75" s="510" t="s">
        <v>22562</v>
      </c>
      <c r="E75" s="511"/>
      <c r="F75" s="232" t="s">
        <v>22563</v>
      </c>
      <c r="G75" s="232" t="s">
        <v>22564</v>
      </c>
      <c r="H75" s="232">
        <v>9.518796827E9</v>
      </c>
      <c r="I75" s="509" t="s">
        <v>22565</v>
      </c>
      <c r="J75" s="232" t="b">
        <v>0</v>
      </c>
      <c r="K75" s="232" t="s">
        <v>22365</v>
      </c>
      <c r="L75" s="232" t="s">
        <v>22566</v>
      </c>
      <c r="M75" s="511"/>
      <c r="N75" s="232"/>
      <c r="O75" s="232"/>
      <c r="P75" s="312"/>
      <c r="Q75" s="312"/>
      <c r="R75" s="312"/>
      <c r="S75" s="312"/>
      <c r="T75" s="312"/>
      <c r="U75" s="312"/>
    </row>
    <row r="76">
      <c r="A76" s="508" t="s">
        <v>22548</v>
      </c>
      <c r="B76" s="232" t="s">
        <v>22567</v>
      </c>
      <c r="C76" s="509" t="s">
        <v>860</v>
      </c>
      <c r="D76" s="510"/>
      <c r="E76" s="511"/>
      <c r="F76" s="232"/>
      <c r="G76" s="232" t="s">
        <v>495</v>
      </c>
      <c r="H76" s="232">
        <v>8.757924817E9</v>
      </c>
      <c r="I76" s="509" t="s">
        <v>22568</v>
      </c>
      <c r="J76" s="232" t="b">
        <v>0</v>
      </c>
      <c r="K76" s="232" t="s">
        <v>22365</v>
      </c>
      <c r="L76" s="232" t="s">
        <v>22422</v>
      </c>
      <c r="M76" s="511"/>
      <c r="N76" s="232"/>
      <c r="O76" s="232"/>
      <c r="P76" s="312"/>
      <c r="Q76" s="312"/>
      <c r="R76" s="312"/>
      <c r="S76" s="312"/>
      <c r="T76" s="312"/>
      <c r="U76" s="312"/>
    </row>
    <row r="77">
      <c r="A77" s="508" t="s">
        <v>22548</v>
      </c>
      <c r="B77" s="232" t="s">
        <v>22569</v>
      </c>
      <c r="C77" s="509" t="s">
        <v>474</v>
      </c>
      <c r="D77" s="510"/>
      <c r="E77" s="511"/>
      <c r="F77" s="232"/>
      <c r="G77" s="232" t="s">
        <v>184</v>
      </c>
      <c r="H77" s="232">
        <v>7.462006143E9</v>
      </c>
      <c r="I77" s="509" t="s">
        <v>22570</v>
      </c>
      <c r="J77" s="232" t="b">
        <v>0</v>
      </c>
      <c r="K77" s="232" t="s">
        <v>22365</v>
      </c>
      <c r="L77" s="232" t="s">
        <v>22422</v>
      </c>
      <c r="M77" s="511"/>
      <c r="N77" s="232"/>
      <c r="O77" s="232"/>
      <c r="P77" s="312"/>
      <c r="Q77" s="312"/>
      <c r="R77" s="312"/>
      <c r="S77" s="312"/>
      <c r="T77" s="312"/>
      <c r="U77" s="312"/>
    </row>
    <row r="78">
      <c r="A78" s="508" t="s">
        <v>22548</v>
      </c>
      <c r="B78" s="232" t="s">
        <v>22571</v>
      </c>
      <c r="C78" s="509" t="s">
        <v>22572</v>
      </c>
      <c r="D78" s="510" t="s">
        <v>22573</v>
      </c>
      <c r="E78" s="511"/>
      <c r="F78" s="232" t="s">
        <v>22574</v>
      </c>
      <c r="G78" s="232" t="s">
        <v>519</v>
      </c>
      <c r="H78" s="232">
        <v>9.825697117E9</v>
      </c>
      <c r="I78" s="509" t="s">
        <v>22373</v>
      </c>
      <c r="J78" s="232" t="b">
        <v>0</v>
      </c>
      <c r="K78" s="232" t="s">
        <v>22349</v>
      </c>
      <c r="L78" s="232" t="s">
        <v>22398</v>
      </c>
      <c r="M78" s="511"/>
      <c r="N78" s="232"/>
      <c r="O78" s="232"/>
      <c r="P78" s="312"/>
      <c r="Q78" s="312"/>
      <c r="R78" s="312"/>
      <c r="S78" s="312"/>
      <c r="T78" s="312"/>
      <c r="U78" s="312"/>
    </row>
    <row r="79">
      <c r="A79" s="508" t="s">
        <v>22548</v>
      </c>
      <c r="B79" s="232" t="s">
        <v>22575</v>
      </c>
      <c r="C79" s="509" t="s">
        <v>22576</v>
      </c>
      <c r="D79" s="510"/>
      <c r="E79" s="511"/>
      <c r="F79" s="232"/>
      <c r="G79" s="232" t="s">
        <v>131</v>
      </c>
      <c r="H79" s="232">
        <v>9.039482207E9</v>
      </c>
      <c r="I79" s="509" t="s">
        <v>22577</v>
      </c>
      <c r="J79" s="232" t="b">
        <v>0</v>
      </c>
      <c r="K79" s="232" t="s">
        <v>22349</v>
      </c>
      <c r="L79" s="232" t="s">
        <v>22578</v>
      </c>
      <c r="M79" s="511"/>
      <c r="N79" s="232"/>
      <c r="O79" s="232"/>
      <c r="P79" s="312"/>
      <c r="Q79" s="312"/>
      <c r="R79" s="312"/>
      <c r="S79" s="312"/>
      <c r="T79" s="312"/>
      <c r="U79" s="312"/>
    </row>
    <row r="80">
      <c r="A80" s="508" t="s">
        <v>22548</v>
      </c>
      <c r="B80" s="232" t="s">
        <v>22579</v>
      </c>
      <c r="C80" s="509" t="s">
        <v>22580</v>
      </c>
      <c r="D80" s="510" t="s">
        <v>22581</v>
      </c>
      <c r="E80" s="511"/>
      <c r="F80" s="232" t="s">
        <v>22582</v>
      </c>
      <c r="G80" s="232" t="s">
        <v>22583</v>
      </c>
      <c r="H80" s="232">
        <v>8.172903432E9</v>
      </c>
      <c r="I80" s="509" t="s">
        <v>22584</v>
      </c>
      <c r="J80" s="232" t="b">
        <v>0</v>
      </c>
      <c r="K80" s="232" t="s">
        <v>12092</v>
      </c>
      <c r="L80" s="232"/>
      <c r="M80" s="511"/>
      <c r="N80" s="232"/>
      <c r="O80" s="232"/>
      <c r="P80" s="312"/>
      <c r="Q80" s="312"/>
      <c r="R80" s="312"/>
      <c r="S80" s="312"/>
      <c r="T80" s="312"/>
      <c r="U80" s="312"/>
    </row>
    <row r="81">
      <c r="A81" s="508" t="s">
        <v>22548</v>
      </c>
      <c r="B81" s="232" t="s">
        <v>22585</v>
      </c>
      <c r="C81" s="509" t="s">
        <v>22586</v>
      </c>
      <c r="D81" s="510"/>
      <c r="E81" s="511"/>
      <c r="F81" s="232" t="s">
        <v>22587</v>
      </c>
      <c r="G81" s="232" t="s">
        <v>1461</v>
      </c>
      <c r="H81" s="232">
        <v>9.649449681E9</v>
      </c>
      <c r="I81" s="509" t="s">
        <v>22373</v>
      </c>
      <c r="J81" s="232" t="b">
        <v>0</v>
      </c>
      <c r="K81" s="232" t="s">
        <v>22355</v>
      </c>
      <c r="L81" s="232"/>
      <c r="M81" s="511"/>
      <c r="N81" s="232"/>
      <c r="O81" s="232"/>
      <c r="P81" s="312"/>
      <c r="Q81" s="312"/>
      <c r="R81" s="312"/>
      <c r="S81" s="312"/>
      <c r="T81" s="312"/>
      <c r="U81" s="312"/>
    </row>
    <row r="82">
      <c r="A82" s="508" t="s">
        <v>22548</v>
      </c>
      <c r="B82" s="232" t="s">
        <v>22588</v>
      </c>
      <c r="C82" s="509" t="s">
        <v>22589</v>
      </c>
      <c r="D82" s="519" t="s">
        <v>22590</v>
      </c>
      <c r="E82" s="511"/>
      <c r="F82" s="232" t="s">
        <v>22591</v>
      </c>
      <c r="G82" s="232" t="s">
        <v>22592</v>
      </c>
      <c r="H82" s="232">
        <v>8.879975224E9</v>
      </c>
      <c r="I82" s="509" t="s">
        <v>22593</v>
      </c>
      <c r="J82" s="232" t="b">
        <v>0</v>
      </c>
      <c r="K82" s="232" t="s">
        <v>22365</v>
      </c>
      <c r="L82" s="425" t="s">
        <v>22594</v>
      </c>
      <c r="M82" s="511"/>
      <c r="N82" s="232"/>
      <c r="O82" s="232"/>
      <c r="P82" s="312"/>
      <c r="Q82" s="312"/>
      <c r="R82" s="312"/>
      <c r="S82" s="312"/>
      <c r="T82" s="312"/>
      <c r="U82" s="312"/>
    </row>
    <row r="83">
      <c r="A83" s="508" t="s">
        <v>22548</v>
      </c>
      <c r="B83" s="232" t="s">
        <v>22595</v>
      </c>
      <c r="C83" s="509" t="s">
        <v>16379</v>
      </c>
      <c r="D83" s="510" t="s">
        <v>22596</v>
      </c>
      <c r="E83" s="511"/>
      <c r="F83" s="232"/>
      <c r="G83" s="232" t="s">
        <v>22597</v>
      </c>
      <c r="H83" s="232">
        <v>9.616755613E9</v>
      </c>
      <c r="I83" s="509" t="s">
        <v>22577</v>
      </c>
      <c r="J83" s="232" t="b">
        <v>0</v>
      </c>
      <c r="K83" s="232" t="s">
        <v>22365</v>
      </c>
      <c r="L83" s="232" t="s">
        <v>22422</v>
      </c>
      <c r="M83" s="511"/>
      <c r="N83" s="232"/>
      <c r="O83" s="232"/>
      <c r="P83" s="312"/>
      <c r="Q83" s="312"/>
      <c r="R83" s="312"/>
      <c r="S83" s="312"/>
      <c r="T83" s="312"/>
      <c r="U83" s="312"/>
    </row>
    <row r="84">
      <c r="A84" s="508" t="s">
        <v>22548</v>
      </c>
      <c r="B84" s="232" t="s">
        <v>22598</v>
      </c>
      <c r="C84" s="509" t="s">
        <v>22599</v>
      </c>
      <c r="D84" s="510"/>
      <c r="E84" s="511"/>
      <c r="F84" s="232" t="s">
        <v>22600</v>
      </c>
      <c r="G84" s="232" t="s">
        <v>507</v>
      </c>
      <c r="H84" s="232">
        <v>8.105762437E9</v>
      </c>
      <c r="I84" s="509" t="s">
        <v>22601</v>
      </c>
      <c r="J84" s="232" t="b">
        <v>0</v>
      </c>
      <c r="K84" s="232" t="s">
        <v>22365</v>
      </c>
      <c r="L84" s="232" t="s">
        <v>22602</v>
      </c>
      <c r="M84" s="511"/>
      <c r="N84" s="232"/>
      <c r="O84" s="232"/>
      <c r="P84" s="312"/>
      <c r="Q84" s="312"/>
      <c r="R84" s="312"/>
      <c r="S84" s="312"/>
      <c r="T84" s="312"/>
      <c r="U84" s="312"/>
    </row>
    <row r="85">
      <c r="A85" s="508" t="s">
        <v>22548</v>
      </c>
      <c r="B85" s="232" t="s">
        <v>22603</v>
      </c>
      <c r="C85" s="509" t="s">
        <v>22604</v>
      </c>
      <c r="D85" s="510"/>
      <c r="E85" s="511"/>
      <c r="F85" s="232"/>
      <c r="G85" s="232" t="s">
        <v>507</v>
      </c>
      <c r="H85" s="232">
        <v>9.112736529E9</v>
      </c>
      <c r="I85" s="509" t="s">
        <v>22605</v>
      </c>
      <c r="J85" s="232" t="b">
        <v>0</v>
      </c>
      <c r="K85" s="232"/>
      <c r="L85" s="232"/>
      <c r="M85" s="511"/>
      <c r="N85" s="232"/>
      <c r="O85" s="232"/>
      <c r="P85" s="312"/>
      <c r="Q85" s="312"/>
      <c r="R85" s="312"/>
      <c r="S85" s="312"/>
      <c r="T85" s="312"/>
      <c r="U85" s="312"/>
    </row>
    <row r="86">
      <c r="A86" s="508" t="s">
        <v>22548</v>
      </c>
      <c r="B86" s="232" t="s">
        <v>22606</v>
      </c>
      <c r="C86" s="509" t="s">
        <v>9991</v>
      </c>
      <c r="D86" s="510" t="s">
        <v>22607</v>
      </c>
      <c r="E86" s="511"/>
      <c r="F86" s="232" t="s">
        <v>22608</v>
      </c>
      <c r="G86" s="232" t="s">
        <v>22609</v>
      </c>
      <c r="H86" s="232">
        <v>7.980763914E9</v>
      </c>
      <c r="I86" s="509" t="s">
        <v>22610</v>
      </c>
      <c r="J86" s="232" t="b">
        <v>0</v>
      </c>
      <c r="K86" s="232" t="s">
        <v>22365</v>
      </c>
      <c r="L86" s="232" t="s">
        <v>22611</v>
      </c>
      <c r="M86" s="511"/>
      <c r="N86" s="232"/>
      <c r="O86" s="232"/>
      <c r="P86" s="312"/>
      <c r="Q86" s="312"/>
      <c r="R86" s="312"/>
      <c r="S86" s="312"/>
      <c r="T86" s="312"/>
      <c r="U86" s="312"/>
    </row>
    <row r="87">
      <c r="A87" s="508" t="s">
        <v>22548</v>
      </c>
      <c r="B87" s="232" t="s">
        <v>22612</v>
      </c>
      <c r="C87" s="509" t="s">
        <v>22613</v>
      </c>
      <c r="D87" s="510" t="s">
        <v>22614</v>
      </c>
      <c r="E87" s="511"/>
      <c r="F87" s="232" t="s">
        <v>22615</v>
      </c>
      <c r="G87" s="232" t="s">
        <v>22507</v>
      </c>
      <c r="H87" s="232">
        <v>9.500555541E9</v>
      </c>
      <c r="I87" s="509" t="s">
        <v>22616</v>
      </c>
      <c r="J87" s="232" t="b">
        <v>0</v>
      </c>
      <c r="K87" s="232" t="s">
        <v>22365</v>
      </c>
      <c r="L87" s="232" t="s">
        <v>22509</v>
      </c>
      <c r="M87" s="511"/>
      <c r="N87" s="232"/>
      <c r="O87" s="232"/>
      <c r="P87" s="312"/>
      <c r="Q87" s="312"/>
      <c r="R87" s="312"/>
      <c r="S87" s="312"/>
      <c r="T87" s="312"/>
      <c r="U87" s="312"/>
    </row>
    <row r="88">
      <c r="A88" s="508" t="s">
        <v>22548</v>
      </c>
      <c r="B88" s="232" t="s">
        <v>22617</v>
      </c>
      <c r="C88" s="509" t="s">
        <v>22618</v>
      </c>
      <c r="D88" s="510" t="s">
        <v>22619</v>
      </c>
      <c r="E88" s="511"/>
      <c r="F88" s="232" t="s">
        <v>22620</v>
      </c>
      <c r="G88" s="232" t="s">
        <v>22304</v>
      </c>
      <c r="H88" s="232">
        <v>7.75106107E9</v>
      </c>
      <c r="I88" s="509" t="s">
        <v>22278</v>
      </c>
      <c r="J88" s="232" t="b">
        <v>0</v>
      </c>
      <c r="K88" s="232" t="s">
        <v>22365</v>
      </c>
      <c r="L88" s="232" t="s">
        <v>22621</v>
      </c>
      <c r="M88" s="511"/>
      <c r="N88" s="232"/>
      <c r="O88" s="232"/>
      <c r="P88" s="312"/>
      <c r="Q88" s="312"/>
      <c r="R88" s="312"/>
      <c r="S88" s="312"/>
      <c r="T88" s="312"/>
      <c r="U88" s="312"/>
    </row>
    <row r="89">
      <c r="A89" s="508" t="s">
        <v>22548</v>
      </c>
      <c r="B89" s="232" t="s">
        <v>22622</v>
      </c>
      <c r="C89" s="509" t="s">
        <v>22623</v>
      </c>
      <c r="D89" s="510" t="s">
        <v>22624</v>
      </c>
      <c r="E89" s="511"/>
      <c r="F89" s="425" t="s">
        <v>22625</v>
      </c>
      <c r="G89" s="232" t="s">
        <v>44</v>
      </c>
      <c r="H89" s="232">
        <v>8.910711662E9</v>
      </c>
      <c r="I89" s="509" t="s">
        <v>22321</v>
      </c>
      <c r="J89" s="232" t="b">
        <v>0</v>
      </c>
      <c r="K89" s="232" t="s">
        <v>22365</v>
      </c>
      <c r="L89" s="232" t="s">
        <v>22621</v>
      </c>
      <c r="M89" s="511"/>
      <c r="N89" s="232"/>
      <c r="O89" s="232"/>
      <c r="P89" s="312"/>
      <c r="Q89" s="312"/>
      <c r="R89" s="312"/>
      <c r="S89" s="312"/>
      <c r="T89" s="312"/>
      <c r="U89" s="312"/>
    </row>
    <row r="90">
      <c r="A90" s="508" t="s">
        <v>22548</v>
      </c>
      <c r="B90" s="232" t="s">
        <v>22626</v>
      </c>
      <c r="C90" s="509" t="s">
        <v>22627</v>
      </c>
      <c r="D90" s="510" t="s">
        <v>22628</v>
      </c>
      <c r="E90" s="511"/>
      <c r="F90" s="232" t="s">
        <v>22629</v>
      </c>
      <c r="G90" s="232" t="s">
        <v>22630</v>
      </c>
      <c r="H90" s="232">
        <v>9.429539139E9</v>
      </c>
      <c r="I90" s="509" t="s">
        <v>22631</v>
      </c>
      <c r="J90" s="232" t="b">
        <v>0</v>
      </c>
      <c r="K90" s="232" t="s">
        <v>22365</v>
      </c>
      <c r="L90" s="232" t="s">
        <v>22611</v>
      </c>
      <c r="M90" s="511"/>
      <c r="N90" s="232"/>
      <c r="O90" s="232"/>
      <c r="P90" s="312"/>
      <c r="Q90" s="312"/>
      <c r="R90" s="312"/>
      <c r="S90" s="312"/>
      <c r="T90" s="312"/>
      <c r="U90" s="312"/>
    </row>
    <row r="91">
      <c r="A91" s="508" t="s">
        <v>22548</v>
      </c>
      <c r="B91" s="232" t="s">
        <v>22632</v>
      </c>
      <c r="C91" s="509" t="s">
        <v>22633</v>
      </c>
      <c r="D91" s="510" t="s">
        <v>22634</v>
      </c>
      <c r="E91" s="511"/>
      <c r="F91" s="232" t="s">
        <v>22635</v>
      </c>
      <c r="G91" s="232" t="s">
        <v>22609</v>
      </c>
      <c r="H91" s="232">
        <v>8.910112378E9</v>
      </c>
      <c r="I91" s="512" t="s">
        <v>22636</v>
      </c>
      <c r="J91" s="232" t="b">
        <v>0</v>
      </c>
      <c r="K91" s="232" t="s">
        <v>12092</v>
      </c>
      <c r="L91" s="232"/>
      <c r="M91" s="511"/>
      <c r="N91" s="232"/>
      <c r="O91" s="232"/>
      <c r="P91" s="312"/>
      <c r="Q91" s="312"/>
      <c r="R91" s="312"/>
      <c r="S91" s="312"/>
      <c r="T91" s="312"/>
      <c r="U91" s="312"/>
    </row>
    <row r="92">
      <c r="A92" s="508" t="s">
        <v>22548</v>
      </c>
      <c r="B92" s="232" t="s">
        <v>22637</v>
      </c>
      <c r="C92" s="509" t="s">
        <v>22638</v>
      </c>
      <c r="D92" s="510"/>
      <c r="E92" s="511"/>
      <c r="F92" s="232" t="s">
        <v>22639</v>
      </c>
      <c r="G92" s="232" t="s">
        <v>2682</v>
      </c>
      <c r="H92" s="232">
        <v>7.406237129E9</v>
      </c>
      <c r="I92" s="509" t="s">
        <v>22640</v>
      </c>
      <c r="J92" s="232" t="b">
        <v>0</v>
      </c>
      <c r="K92" s="232" t="s">
        <v>22365</v>
      </c>
      <c r="L92" s="232" t="s">
        <v>22611</v>
      </c>
      <c r="M92" s="511"/>
      <c r="N92" s="232"/>
      <c r="O92" s="232"/>
      <c r="P92" s="312"/>
      <c r="Q92" s="312"/>
      <c r="R92" s="312"/>
      <c r="S92" s="312"/>
      <c r="T92" s="312"/>
      <c r="U92" s="312"/>
    </row>
    <row r="93">
      <c r="A93" s="520">
        <v>45264.0</v>
      </c>
      <c r="B93" s="232" t="s">
        <v>22641</v>
      </c>
      <c r="C93" s="509" t="s">
        <v>22642</v>
      </c>
      <c r="D93" s="510" t="s">
        <v>1764</v>
      </c>
      <c r="E93" s="511"/>
      <c r="F93" s="232" t="s">
        <v>22643</v>
      </c>
      <c r="G93" s="232" t="s">
        <v>22479</v>
      </c>
      <c r="H93" s="232">
        <v>7.902120201E9</v>
      </c>
      <c r="I93" s="509" t="s">
        <v>22522</v>
      </c>
      <c r="J93" s="232" t="b">
        <v>0</v>
      </c>
      <c r="K93" s="232" t="s">
        <v>22365</v>
      </c>
      <c r="L93" s="232" t="s">
        <v>22644</v>
      </c>
      <c r="M93" s="511"/>
      <c r="N93" s="232"/>
      <c r="O93" s="232"/>
      <c r="P93" s="312"/>
      <c r="Q93" s="312"/>
      <c r="R93" s="312"/>
      <c r="S93" s="312"/>
      <c r="T93" s="312"/>
      <c r="U93" s="312"/>
    </row>
    <row r="94">
      <c r="A94" s="520">
        <v>45264.0</v>
      </c>
      <c r="B94" s="232" t="s">
        <v>22645</v>
      </c>
      <c r="C94" s="509" t="s">
        <v>22646</v>
      </c>
      <c r="D94" s="510" t="s">
        <v>1831</v>
      </c>
      <c r="E94" s="511"/>
      <c r="F94" s="232" t="s">
        <v>22647</v>
      </c>
      <c r="G94" s="232" t="s">
        <v>22507</v>
      </c>
      <c r="H94" s="232">
        <v>9.629727878E9</v>
      </c>
      <c r="I94" s="512" t="s">
        <v>22648</v>
      </c>
      <c r="J94" s="232" t="b">
        <v>0</v>
      </c>
      <c r="K94" s="232" t="s">
        <v>334</v>
      </c>
      <c r="L94" s="232"/>
      <c r="M94" s="511"/>
      <c r="N94" s="232"/>
      <c r="O94" s="232"/>
      <c r="P94" s="312"/>
      <c r="Q94" s="312"/>
      <c r="R94" s="312"/>
      <c r="S94" s="312"/>
      <c r="T94" s="312"/>
      <c r="U94" s="312"/>
    </row>
    <row r="95">
      <c r="A95" s="520">
        <v>45264.0</v>
      </c>
      <c r="B95" s="232" t="s">
        <v>22649</v>
      </c>
      <c r="C95" s="509" t="s">
        <v>860</v>
      </c>
      <c r="D95" s="510" t="s">
        <v>22650</v>
      </c>
      <c r="E95" s="511"/>
      <c r="F95" s="232" t="s">
        <v>22651</v>
      </c>
      <c r="G95" s="232" t="s">
        <v>22652</v>
      </c>
      <c r="H95" s="232">
        <v>7.982354471E9</v>
      </c>
      <c r="I95" s="509" t="s">
        <v>22653</v>
      </c>
      <c r="J95" s="232" t="b">
        <v>0</v>
      </c>
      <c r="K95" s="232" t="s">
        <v>22365</v>
      </c>
      <c r="L95" s="232" t="s">
        <v>22386</v>
      </c>
      <c r="M95" s="511"/>
      <c r="N95" s="232"/>
      <c r="O95" s="232"/>
      <c r="P95" s="312"/>
      <c r="Q95" s="312"/>
      <c r="R95" s="312"/>
      <c r="S95" s="312"/>
      <c r="T95" s="312"/>
      <c r="U95" s="312"/>
    </row>
    <row r="96">
      <c r="A96" s="520">
        <v>45264.0</v>
      </c>
      <c r="B96" s="232" t="s">
        <v>22654</v>
      </c>
      <c r="C96" s="509" t="s">
        <v>22655</v>
      </c>
      <c r="D96" s="510" t="s">
        <v>22656</v>
      </c>
      <c r="E96" s="511"/>
      <c r="F96" s="232" t="s">
        <v>22657</v>
      </c>
      <c r="G96" s="232" t="s">
        <v>22337</v>
      </c>
      <c r="H96" s="232">
        <v>6.370513437E9</v>
      </c>
      <c r="I96" s="509" t="s">
        <v>22658</v>
      </c>
      <c r="J96" s="232" t="b">
        <v>0</v>
      </c>
      <c r="K96" s="232"/>
      <c r="L96" s="232"/>
      <c r="M96" s="511"/>
      <c r="N96" s="232"/>
      <c r="O96" s="232"/>
      <c r="P96" s="312"/>
      <c r="Q96" s="312"/>
      <c r="R96" s="312"/>
      <c r="S96" s="312"/>
      <c r="T96" s="312"/>
      <c r="U96" s="312"/>
    </row>
    <row r="97">
      <c r="A97" s="520">
        <v>45264.0</v>
      </c>
      <c r="B97" s="232" t="s">
        <v>22659</v>
      </c>
      <c r="C97" s="509" t="s">
        <v>22604</v>
      </c>
      <c r="D97" s="510"/>
      <c r="E97" s="511"/>
      <c r="F97" s="232"/>
      <c r="G97" s="232" t="s">
        <v>22564</v>
      </c>
      <c r="H97" s="232">
        <v>9.112736529E9</v>
      </c>
      <c r="I97" s="509" t="s">
        <v>22660</v>
      </c>
      <c r="J97" s="232" t="b">
        <v>0</v>
      </c>
      <c r="K97" s="232" t="s">
        <v>22365</v>
      </c>
      <c r="L97" s="232" t="s">
        <v>22661</v>
      </c>
      <c r="M97" s="511"/>
      <c r="N97" s="232"/>
      <c r="O97" s="232"/>
      <c r="P97" s="312"/>
      <c r="Q97" s="312"/>
      <c r="R97" s="312"/>
      <c r="S97" s="312"/>
      <c r="T97" s="312"/>
      <c r="U97" s="312"/>
    </row>
    <row r="98">
      <c r="A98" s="520">
        <v>45264.0</v>
      </c>
      <c r="B98" s="232" t="s">
        <v>22662</v>
      </c>
      <c r="C98" s="509" t="s">
        <v>22663</v>
      </c>
      <c r="D98" s="510" t="s">
        <v>22664</v>
      </c>
      <c r="E98" s="511"/>
      <c r="F98" s="232" t="s">
        <v>22665</v>
      </c>
      <c r="G98" s="232" t="s">
        <v>22666</v>
      </c>
      <c r="H98" s="232">
        <v>7.002576371E9</v>
      </c>
      <c r="I98" s="509" t="s">
        <v>22667</v>
      </c>
      <c r="J98" s="232" t="b">
        <v>0</v>
      </c>
      <c r="K98" s="232" t="s">
        <v>22365</v>
      </c>
      <c r="L98" s="232" t="s">
        <v>22422</v>
      </c>
      <c r="M98" s="511"/>
      <c r="N98" s="232"/>
      <c r="O98" s="232"/>
      <c r="P98" s="312"/>
      <c r="Q98" s="312"/>
      <c r="R98" s="312"/>
      <c r="S98" s="312"/>
      <c r="T98" s="312"/>
      <c r="U98" s="312"/>
    </row>
    <row r="99">
      <c r="A99" s="520">
        <v>45264.0</v>
      </c>
      <c r="B99" s="232" t="s">
        <v>22668</v>
      </c>
      <c r="C99" s="509" t="s">
        <v>22669</v>
      </c>
      <c r="D99" s="510" t="s">
        <v>22670</v>
      </c>
      <c r="E99" s="511"/>
      <c r="F99" s="232" t="s">
        <v>22671</v>
      </c>
      <c r="G99" s="232" t="s">
        <v>22292</v>
      </c>
      <c r="H99" s="232">
        <v>8.928133382E9</v>
      </c>
      <c r="I99" s="509" t="s">
        <v>22672</v>
      </c>
      <c r="J99" s="232" t="b">
        <v>0</v>
      </c>
      <c r="K99" s="232" t="s">
        <v>12092</v>
      </c>
      <c r="L99" s="232"/>
      <c r="M99" s="511"/>
      <c r="N99" s="232"/>
      <c r="O99" s="232"/>
      <c r="P99" s="312"/>
      <c r="Q99" s="312"/>
      <c r="R99" s="312"/>
      <c r="S99" s="312"/>
      <c r="T99" s="312"/>
      <c r="U99" s="312"/>
    </row>
    <row r="100">
      <c r="A100" s="520">
        <v>45264.0</v>
      </c>
      <c r="B100" s="232" t="s">
        <v>22673</v>
      </c>
      <c r="C100" s="509" t="s">
        <v>22674</v>
      </c>
      <c r="D100" s="510" t="s">
        <v>22675</v>
      </c>
      <c r="E100" s="511"/>
      <c r="F100" s="232" t="s">
        <v>22676</v>
      </c>
      <c r="G100" s="232" t="s">
        <v>22677</v>
      </c>
      <c r="H100" s="232">
        <v>9.395702767E9</v>
      </c>
      <c r="I100" s="509" t="s">
        <v>22678</v>
      </c>
      <c r="J100" s="232" t="b">
        <v>0</v>
      </c>
      <c r="K100" s="232" t="s">
        <v>12092</v>
      </c>
      <c r="L100" s="232"/>
      <c r="M100" s="511"/>
      <c r="N100" s="232"/>
      <c r="O100" s="232"/>
      <c r="P100" s="312"/>
      <c r="Q100" s="312"/>
      <c r="R100" s="312"/>
      <c r="S100" s="312"/>
      <c r="T100" s="312"/>
      <c r="U100" s="312"/>
    </row>
    <row r="101">
      <c r="A101" s="520">
        <v>45264.0</v>
      </c>
      <c r="B101" s="232" t="s">
        <v>22679</v>
      </c>
      <c r="C101" s="509" t="s">
        <v>22680</v>
      </c>
      <c r="D101" s="510" t="s">
        <v>22681</v>
      </c>
      <c r="E101" s="511"/>
      <c r="F101" s="232" t="s">
        <v>22682</v>
      </c>
      <c r="G101" s="232" t="s">
        <v>22359</v>
      </c>
      <c r="H101" s="232">
        <v>8.964994004E9</v>
      </c>
      <c r="I101" s="509" t="s">
        <v>22577</v>
      </c>
      <c r="J101" s="232" t="b">
        <v>0</v>
      </c>
      <c r="K101" s="232" t="s">
        <v>22365</v>
      </c>
      <c r="L101" s="232" t="s">
        <v>22422</v>
      </c>
      <c r="M101" s="511"/>
      <c r="N101" s="232"/>
      <c r="O101" s="232"/>
      <c r="P101" s="312"/>
      <c r="Q101" s="312"/>
      <c r="R101" s="312"/>
      <c r="S101" s="312"/>
      <c r="T101" s="312"/>
      <c r="U101" s="312"/>
    </row>
    <row r="102">
      <c r="A102" s="520">
        <v>45264.0</v>
      </c>
      <c r="B102" s="232" t="s">
        <v>22683</v>
      </c>
      <c r="C102" s="509" t="s">
        <v>22684</v>
      </c>
      <c r="D102" s="510" t="s">
        <v>22685</v>
      </c>
      <c r="E102" s="511"/>
      <c r="F102" s="232" t="s">
        <v>22686</v>
      </c>
      <c r="G102" s="232" t="s">
        <v>22687</v>
      </c>
      <c r="H102" s="232">
        <v>9.717478718E9</v>
      </c>
      <c r="I102" s="509" t="s">
        <v>22688</v>
      </c>
      <c r="J102" s="232" t="b">
        <v>0</v>
      </c>
      <c r="K102" s="232" t="s">
        <v>22349</v>
      </c>
      <c r="L102" s="232" t="s">
        <v>22689</v>
      </c>
      <c r="M102" s="511"/>
      <c r="N102" s="232"/>
      <c r="O102" s="232"/>
      <c r="P102" s="312"/>
      <c r="Q102" s="312"/>
      <c r="R102" s="312"/>
      <c r="S102" s="312"/>
      <c r="T102" s="312"/>
      <c r="U102" s="312"/>
    </row>
    <row r="103">
      <c r="A103" s="520">
        <v>45264.0</v>
      </c>
      <c r="B103" s="232" t="s">
        <v>22690</v>
      </c>
      <c r="C103" s="509" t="s">
        <v>22691</v>
      </c>
      <c r="D103" s="510"/>
      <c r="E103" s="511"/>
      <c r="F103" s="232" t="s">
        <v>22692</v>
      </c>
      <c r="G103" s="232" t="s">
        <v>22693</v>
      </c>
      <c r="H103" s="232">
        <v>7.502855533E9</v>
      </c>
      <c r="I103" s="509" t="s">
        <v>22694</v>
      </c>
      <c r="J103" s="232" t="b">
        <v>0</v>
      </c>
      <c r="K103" s="232" t="s">
        <v>12092</v>
      </c>
      <c r="L103" s="232" t="s">
        <v>22422</v>
      </c>
      <c r="M103" s="511"/>
      <c r="N103" s="232"/>
      <c r="O103" s="232"/>
      <c r="P103" s="312"/>
      <c r="Q103" s="312"/>
      <c r="R103" s="312"/>
      <c r="S103" s="312"/>
      <c r="T103" s="312"/>
      <c r="U103" s="312"/>
    </row>
    <row r="104">
      <c r="A104" s="520">
        <v>45264.0</v>
      </c>
      <c r="B104" s="232" t="s">
        <v>22695</v>
      </c>
      <c r="C104" s="509" t="s">
        <v>22696</v>
      </c>
      <c r="D104" s="510"/>
      <c r="E104" s="511"/>
      <c r="F104" s="232"/>
      <c r="G104" s="232" t="s">
        <v>22697</v>
      </c>
      <c r="H104" s="232">
        <v>9.49275248E9</v>
      </c>
      <c r="I104" s="509" t="s">
        <v>22698</v>
      </c>
      <c r="J104" s="232" t="b">
        <v>0</v>
      </c>
      <c r="K104" s="232" t="s">
        <v>22349</v>
      </c>
      <c r="L104" s="232" t="s">
        <v>22699</v>
      </c>
      <c r="M104" s="511"/>
      <c r="N104" s="232"/>
      <c r="O104" s="232"/>
      <c r="P104" s="312"/>
      <c r="Q104" s="312"/>
      <c r="R104" s="312"/>
      <c r="S104" s="312"/>
      <c r="T104" s="312"/>
      <c r="U104" s="312"/>
    </row>
    <row r="105">
      <c r="A105" s="520">
        <v>45264.0</v>
      </c>
      <c r="B105" s="232" t="s">
        <v>22700</v>
      </c>
      <c r="C105" s="509" t="s">
        <v>22701</v>
      </c>
      <c r="D105" s="510" t="s">
        <v>22702</v>
      </c>
      <c r="E105" s="511"/>
      <c r="F105" s="232" t="s">
        <v>22703</v>
      </c>
      <c r="G105" s="232" t="s">
        <v>2662</v>
      </c>
      <c r="H105" s="232">
        <v>8.760730072E9</v>
      </c>
      <c r="I105" s="509" t="s">
        <v>22704</v>
      </c>
      <c r="J105" s="232" t="b">
        <v>0</v>
      </c>
      <c r="K105" s="232" t="s">
        <v>22365</v>
      </c>
      <c r="L105" s="232" t="s">
        <v>22422</v>
      </c>
      <c r="M105" s="511"/>
      <c r="N105" s="232"/>
      <c r="O105" s="232"/>
      <c r="P105" s="312"/>
      <c r="Q105" s="312"/>
      <c r="R105" s="312"/>
      <c r="S105" s="312"/>
      <c r="T105" s="312"/>
      <c r="U105" s="312"/>
    </row>
    <row r="106">
      <c r="A106" s="520">
        <v>45264.0</v>
      </c>
      <c r="B106" s="232" t="s">
        <v>22265</v>
      </c>
      <c r="C106" s="509" t="s">
        <v>22705</v>
      </c>
      <c r="D106" s="510" t="s">
        <v>22706</v>
      </c>
      <c r="E106" s="511"/>
      <c r="F106" s="232" t="s">
        <v>22707</v>
      </c>
      <c r="G106" s="232" t="s">
        <v>2682</v>
      </c>
      <c r="H106" s="232">
        <v>8.722048552E9</v>
      </c>
      <c r="I106" s="509" t="s">
        <v>22708</v>
      </c>
      <c r="J106" s="232" t="b">
        <v>0</v>
      </c>
      <c r="K106" s="232" t="s">
        <v>22365</v>
      </c>
      <c r="L106" s="232" t="s">
        <v>22422</v>
      </c>
      <c r="M106" s="511"/>
      <c r="N106" s="232"/>
      <c r="O106" s="232"/>
      <c r="P106" s="312"/>
      <c r="Q106" s="312"/>
      <c r="R106" s="312"/>
      <c r="S106" s="312"/>
      <c r="T106" s="312"/>
      <c r="U106" s="312"/>
    </row>
    <row r="107">
      <c r="A107" s="520">
        <v>45264.0</v>
      </c>
      <c r="B107" s="232" t="s">
        <v>22267</v>
      </c>
      <c r="C107" s="509" t="s">
        <v>22709</v>
      </c>
      <c r="D107" s="510"/>
      <c r="E107" s="511"/>
      <c r="F107" s="232"/>
      <c r="G107" s="232" t="s">
        <v>467</v>
      </c>
      <c r="H107" s="232">
        <v>9.839891722E9</v>
      </c>
      <c r="I107" s="509" t="s">
        <v>22360</v>
      </c>
      <c r="J107" s="232" t="b">
        <v>0</v>
      </c>
      <c r="K107" s="232"/>
      <c r="L107" s="232"/>
      <c r="M107" s="511"/>
      <c r="N107" s="232"/>
      <c r="O107" s="232"/>
      <c r="P107" s="312"/>
      <c r="Q107" s="312"/>
      <c r="R107" s="312"/>
      <c r="S107" s="312"/>
      <c r="T107" s="312"/>
      <c r="U107" s="312"/>
    </row>
    <row r="108">
      <c r="A108" s="520">
        <v>45264.0</v>
      </c>
      <c r="B108" s="232" t="s">
        <v>22268</v>
      </c>
      <c r="C108" s="509" t="s">
        <v>22710</v>
      </c>
      <c r="D108" s="510" t="s">
        <v>22711</v>
      </c>
      <c r="E108" s="511"/>
      <c r="F108" s="232" t="s">
        <v>22712</v>
      </c>
      <c r="G108" s="232" t="s">
        <v>22337</v>
      </c>
      <c r="H108" s="232">
        <v>8.050323179E9</v>
      </c>
      <c r="I108" s="509" t="s">
        <v>22713</v>
      </c>
      <c r="J108" s="232" t="b">
        <v>0</v>
      </c>
      <c r="K108" s="232" t="s">
        <v>22365</v>
      </c>
      <c r="L108" s="232" t="s">
        <v>22422</v>
      </c>
      <c r="M108" s="511"/>
      <c r="N108" s="232"/>
      <c r="O108" s="232"/>
      <c r="P108" s="312"/>
      <c r="Q108" s="312"/>
      <c r="R108" s="312"/>
      <c r="S108" s="312"/>
      <c r="T108" s="312"/>
      <c r="U108" s="312"/>
    </row>
    <row r="109">
      <c r="A109" s="520">
        <v>45264.0</v>
      </c>
      <c r="B109" s="232" t="s">
        <v>22269</v>
      </c>
      <c r="C109" s="509" t="s">
        <v>22714</v>
      </c>
      <c r="D109" s="510"/>
      <c r="E109" s="511"/>
      <c r="F109" s="232"/>
      <c r="G109" s="232" t="s">
        <v>22630</v>
      </c>
      <c r="H109" s="232">
        <v>7.434928263E9</v>
      </c>
      <c r="I109" s="509" t="s">
        <v>22715</v>
      </c>
      <c r="J109" s="232" t="b">
        <v>0</v>
      </c>
      <c r="K109" s="232" t="s">
        <v>22365</v>
      </c>
      <c r="L109" s="232" t="s">
        <v>22716</v>
      </c>
      <c r="M109" s="511"/>
      <c r="N109" s="232"/>
      <c r="O109" s="232"/>
      <c r="P109" s="312"/>
      <c r="Q109" s="312"/>
      <c r="R109" s="312"/>
      <c r="S109" s="312"/>
      <c r="T109" s="312"/>
      <c r="U109" s="312"/>
    </row>
    <row r="110">
      <c r="A110" s="520">
        <v>45264.0</v>
      </c>
      <c r="B110" s="232" t="s">
        <v>22270</v>
      </c>
      <c r="C110" s="509" t="s">
        <v>22717</v>
      </c>
      <c r="D110" s="510" t="s">
        <v>22718</v>
      </c>
      <c r="E110" s="511"/>
      <c r="F110" s="232" t="s">
        <v>22719</v>
      </c>
      <c r="G110" s="232" t="s">
        <v>22720</v>
      </c>
      <c r="H110" s="232">
        <v>9.653133257E9</v>
      </c>
      <c r="I110" s="509" t="s">
        <v>22721</v>
      </c>
      <c r="J110" s="232" t="b">
        <v>0</v>
      </c>
      <c r="K110" s="232" t="s">
        <v>334</v>
      </c>
      <c r="L110" s="232"/>
      <c r="M110" s="511"/>
      <c r="N110" s="232"/>
      <c r="O110" s="232"/>
      <c r="P110" s="312"/>
      <c r="Q110" s="312"/>
      <c r="R110" s="312"/>
      <c r="S110" s="312"/>
      <c r="T110" s="312"/>
      <c r="U110" s="312"/>
    </row>
    <row r="111">
      <c r="A111" s="520">
        <v>45264.0</v>
      </c>
      <c r="B111" s="232" t="s">
        <v>22271</v>
      </c>
      <c r="C111" s="509" t="s">
        <v>10900</v>
      </c>
      <c r="D111" s="510" t="s">
        <v>22722</v>
      </c>
      <c r="E111" s="511"/>
      <c r="F111" s="232" t="s">
        <v>22723</v>
      </c>
      <c r="G111" s="232" t="s">
        <v>22724</v>
      </c>
      <c r="H111" s="232">
        <v>8.271786969E9</v>
      </c>
      <c r="I111" s="509" t="s">
        <v>22289</v>
      </c>
      <c r="J111" s="232" t="b">
        <v>0</v>
      </c>
      <c r="K111" s="232" t="s">
        <v>12092</v>
      </c>
      <c r="L111" s="232"/>
      <c r="M111" s="511"/>
      <c r="N111" s="232"/>
      <c r="O111" s="232"/>
      <c r="P111" s="312"/>
      <c r="Q111" s="312"/>
      <c r="R111" s="312"/>
      <c r="S111" s="312"/>
      <c r="T111" s="312"/>
      <c r="U111" s="312"/>
    </row>
    <row r="112">
      <c r="A112" s="520">
        <v>45264.0</v>
      </c>
      <c r="B112" s="232" t="s">
        <v>22272</v>
      </c>
      <c r="C112" s="509" t="s">
        <v>10900</v>
      </c>
      <c r="D112" s="510" t="s">
        <v>22725</v>
      </c>
      <c r="E112" s="511"/>
      <c r="F112" s="232" t="s">
        <v>22726</v>
      </c>
      <c r="G112" s="232" t="s">
        <v>184</v>
      </c>
      <c r="H112" s="232">
        <v>7.004048059E9</v>
      </c>
      <c r="I112" s="509" t="s">
        <v>22727</v>
      </c>
      <c r="J112" s="232" t="b">
        <v>0</v>
      </c>
      <c r="K112" s="232" t="s">
        <v>22355</v>
      </c>
      <c r="L112" s="232"/>
      <c r="M112" s="511"/>
      <c r="N112" s="232"/>
      <c r="O112" s="232"/>
      <c r="P112" s="312"/>
      <c r="Q112" s="312"/>
      <c r="R112" s="312"/>
      <c r="S112" s="312"/>
      <c r="T112" s="312"/>
      <c r="U112" s="312"/>
    </row>
    <row r="113">
      <c r="A113" s="520">
        <v>45264.0</v>
      </c>
      <c r="B113" s="232" t="s">
        <v>22273</v>
      </c>
      <c r="C113" s="509" t="s">
        <v>22728</v>
      </c>
      <c r="D113" s="510" t="s">
        <v>22729</v>
      </c>
      <c r="E113" s="511"/>
      <c r="F113" s="232" t="s">
        <v>22730</v>
      </c>
      <c r="G113" s="232" t="s">
        <v>22731</v>
      </c>
      <c r="H113" s="232">
        <v>9.774886054E9</v>
      </c>
      <c r="I113" s="509" t="s">
        <v>22732</v>
      </c>
      <c r="J113" s="232" t="b">
        <v>0</v>
      </c>
      <c r="K113" s="232" t="s">
        <v>22349</v>
      </c>
      <c r="L113" s="232" t="s">
        <v>22733</v>
      </c>
      <c r="M113" s="511"/>
      <c r="N113" s="232"/>
      <c r="O113" s="232"/>
      <c r="P113" s="312"/>
      <c r="Q113" s="312"/>
      <c r="R113" s="312"/>
      <c r="S113" s="312"/>
      <c r="T113" s="312"/>
      <c r="U113" s="312"/>
    </row>
    <row r="114">
      <c r="A114" s="521">
        <v>45264.0</v>
      </c>
      <c r="B114" s="514" t="s">
        <v>22275</v>
      </c>
      <c r="C114" s="515" t="s">
        <v>22734</v>
      </c>
      <c r="D114" s="516" t="s">
        <v>22735</v>
      </c>
      <c r="E114" s="517"/>
      <c r="F114" s="514" t="s">
        <v>22736</v>
      </c>
      <c r="G114" s="514" t="s">
        <v>22429</v>
      </c>
      <c r="H114" s="514">
        <v>9.831070568E9</v>
      </c>
      <c r="I114" s="515" t="s">
        <v>22737</v>
      </c>
      <c r="J114" s="514" t="b">
        <v>0</v>
      </c>
      <c r="K114" s="514" t="s">
        <v>22312</v>
      </c>
      <c r="L114" s="514" t="s">
        <v>22738</v>
      </c>
      <c r="M114" s="511"/>
      <c r="N114" s="232"/>
      <c r="O114" s="232"/>
      <c r="P114" s="312"/>
      <c r="Q114" s="312"/>
      <c r="R114" s="312"/>
      <c r="S114" s="312"/>
      <c r="T114" s="312"/>
      <c r="U114" s="312"/>
    </row>
    <row r="115">
      <c r="A115" s="520">
        <v>45234.0</v>
      </c>
      <c r="B115" s="232" t="s">
        <v>22279</v>
      </c>
      <c r="C115" s="509" t="s">
        <v>22739</v>
      </c>
      <c r="D115" s="510" t="s">
        <v>22740</v>
      </c>
      <c r="E115" s="511"/>
      <c r="F115" s="232" t="s">
        <v>22741</v>
      </c>
      <c r="G115" s="232" t="s">
        <v>22742</v>
      </c>
      <c r="H115" s="232">
        <v>7.684923365E9</v>
      </c>
      <c r="I115" s="509" t="s">
        <v>22743</v>
      </c>
      <c r="J115" s="232" t="b">
        <v>0</v>
      </c>
      <c r="K115" s="232" t="s">
        <v>22365</v>
      </c>
      <c r="L115" s="232" t="s">
        <v>22422</v>
      </c>
      <c r="M115" s="511"/>
      <c r="N115" s="232"/>
      <c r="O115" s="232"/>
      <c r="P115" s="312"/>
      <c r="Q115" s="312"/>
      <c r="R115" s="312"/>
      <c r="S115" s="312"/>
      <c r="T115" s="312"/>
      <c r="U115" s="312"/>
    </row>
    <row r="116">
      <c r="A116" s="520">
        <v>45234.0</v>
      </c>
      <c r="B116" s="232" t="s">
        <v>22284</v>
      </c>
      <c r="C116" s="509" t="s">
        <v>22744</v>
      </c>
      <c r="D116" s="510" t="s">
        <v>22745</v>
      </c>
      <c r="E116" s="511"/>
      <c r="F116" s="232"/>
      <c r="G116" s="232" t="s">
        <v>22359</v>
      </c>
      <c r="H116" s="232">
        <v>6.264988705E9</v>
      </c>
      <c r="I116" s="509" t="s">
        <v>22746</v>
      </c>
      <c r="J116" s="232" t="b">
        <v>0</v>
      </c>
      <c r="K116" s="232" t="s">
        <v>12092</v>
      </c>
      <c r="L116" s="232"/>
      <c r="M116" s="511"/>
      <c r="N116" s="232"/>
      <c r="O116" s="232"/>
      <c r="P116" s="312"/>
      <c r="Q116" s="312"/>
      <c r="R116" s="312"/>
      <c r="S116" s="312"/>
      <c r="T116" s="312"/>
      <c r="U116" s="312"/>
    </row>
    <row r="117">
      <c r="A117" s="520">
        <v>45234.0</v>
      </c>
      <c r="B117" s="232" t="s">
        <v>22747</v>
      </c>
      <c r="C117" s="509" t="s">
        <v>22748</v>
      </c>
      <c r="D117" s="510" t="s">
        <v>22749</v>
      </c>
      <c r="E117" s="511"/>
      <c r="F117" s="232" t="s">
        <v>22750</v>
      </c>
      <c r="G117" s="232" t="s">
        <v>2662</v>
      </c>
      <c r="H117" s="232">
        <v>9.944125515E9</v>
      </c>
      <c r="I117" s="509" t="s">
        <v>22751</v>
      </c>
      <c r="J117" s="232" t="b">
        <v>0</v>
      </c>
      <c r="K117" s="232" t="s">
        <v>22349</v>
      </c>
      <c r="L117" s="232" t="s">
        <v>22752</v>
      </c>
      <c r="M117" s="511"/>
      <c r="N117" s="232"/>
      <c r="O117" s="232"/>
      <c r="P117" s="312"/>
      <c r="Q117" s="312"/>
      <c r="R117" s="312"/>
      <c r="S117" s="312"/>
      <c r="T117" s="312"/>
      <c r="U117" s="312"/>
    </row>
    <row r="118">
      <c r="A118" s="520">
        <v>45234.0</v>
      </c>
      <c r="B118" s="232" t="s">
        <v>22753</v>
      </c>
      <c r="C118" s="509" t="s">
        <v>22754</v>
      </c>
      <c r="D118" s="510"/>
      <c r="E118" s="511"/>
      <c r="F118" s="232" t="s">
        <v>22755</v>
      </c>
      <c r="G118" s="232" t="s">
        <v>22666</v>
      </c>
      <c r="H118" s="232">
        <v>7.896616197E9</v>
      </c>
      <c r="I118" s="509" t="s">
        <v>22678</v>
      </c>
      <c r="J118" s="232" t="b">
        <v>0</v>
      </c>
      <c r="K118" s="232" t="s">
        <v>22365</v>
      </c>
      <c r="L118" s="232" t="s">
        <v>22621</v>
      </c>
      <c r="M118" s="511"/>
      <c r="N118" s="232"/>
      <c r="O118" s="232"/>
      <c r="P118" s="312"/>
      <c r="Q118" s="312"/>
      <c r="R118" s="312"/>
      <c r="S118" s="312"/>
      <c r="T118" s="312"/>
      <c r="U118" s="312"/>
    </row>
    <row r="119">
      <c r="A119" s="520">
        <v>45234.0</v>
      </c>
      <c r="B119" s="232" t="s">
        <v>22290</v>
      </c>
      <c r="C119" s="509" t="s">
        <v>22756</v>
      </c>
      <c r="D119" s="510" t="s">
        <v>22757</v>
      </c>
      <c r="E119" s="511"/>
      <c r="F119" s="232" t="s">
        <v>22758</v>
      </c>
      <c r="G119" s="232" t="s">
        <v>22564</v>
      </c>
      <c r="H119" s="232">
        <v>9.921952064E9</v>
      </c>
      <c r="I119" s="509" t="s">
        <v>22759</v>
      </c>
      <c r="J119" s="232" t="b">
        <v>0</v>
      </c>
      <c r="K119" s="232" t="s">
        <v>22365</v>
      </c>
      <c r="L119" s="232" t="s">
        <v>22760</v>
      </c>
      <c r="M119" s="511"/>
      <c r="N119" s="232"/>
      <c r="O119" s="232"/>
      <c r="P119" s="312"/>
      <c r="Q119" s="312"/>
      <c r="R119" s="312"/>
      <c r="S119" s="312"/>
      <c r="T119" s="312"/>
      <c r="U119" s="312"/>
    </row>
    <row r="120">
      <c r="A120" s="520">
        <v>45234.0</v>
      </c>
      <c r="B120" s="232" t="s">
        <v>22300</v>
      </c>
      <c r="C120" s="509" t="s">
        <v>22761</v>
      </c>
      <c r="D120" s="510" t="s">
        <v>22762</v>
      </c>
      <c r="E120" s="511"/>
      <c r="F120" s="232" t="s">
        <v>22763</v>
      </c>
      <c r="G120" s="232" t="s">
        <v>22507</v>
      </c>
      <c r="H120" s="232">
        <v>9.894075206E9</v>
      </c>
      <c r="I120" s="509" t="s">
        <v>22764</v>
      </c>
      <c r="J120" s="232" t="b">
        <v>0</v>
      </c>
      <c r="K120" s="232" t="s">
        <v>22365</v>
      </c>
      <c r="L120" s="232" t="s">
        <v>22374</v>
      </c>
      <c r="M120" s="511"/>
      <c r="N120" s="232"/>
      <c r="O120" s="232"/>
      <c r="P120" s="312"/>
      <c r="Q120" s="312"/>
      <c r="R120" s="312"/>
      <c r="S120" s="312"/>
      <c r="T120" s="312"/>
      <c r="U120" s="312"/>
    </row>
    <row r="121">
      <c r="A121" s="520">
        <v>45234.0</v>
      </c>
      <c r="B121" s="232" t="s">
        <v>22306</v>
      </c>
      <c r="C121" s="509" t="s">
        <v>22765</v>
      </c>
      <c r="D121" s="510" t="s">
        <v>22766</v>
      </c>
      <c r="E121" s="511"/>
      <c r="F121" s="232" t="s">
        <v>22767</v>
      </c>
      <c r="G121" s="232" t="s">
        <v>22768</v>
      </c>
      <c r="H121" s="232">
        <v>8.083065328E9</v>
      </c>
      <c r="I121" s="509" t="s">
        <v>22769</v>
      </c>
      <c r="J121" s="232" t="b">
        <v>0</v>
      </c>
      <c r="K121" s="232" t="s">
        <v>22365</v>
      </c>
      <c r="L121" s="232" t="s">
        <v>22422</v>
      </c>
      <c r="M121" s="511"/>
      <c r="N121" s="232"/>
      <c r="O121" s="232"/>
      <c r="P121" s="312"/>
      <c r="Q121" s="312"/>
      <c r="R121" s="312"/>
      <c r="S121" s="312"/>
      <c r="T121" s="312"/>
      <c r="U121" s="312"/>
    </row>
    <row r="122">
      <c r="A122" s="520">
        <v>45234.0</v>
      </c>
      <c r="B122" s="232" t="s">
        <v>22313</v>
      </c>
      <c r="C122" s="509" t="s">
        <v>860</v>
      </c>
      <c r="D122" s="510" t="s">
        <v>22650</v>
      </c>
      <c r="E122" s="511"/>
      <c r="F122" s="232" t="s">
        <v>22651</v>
      </c>
      <c r="G122" s="232" t="s">
        <v>22770</v>
      </c>
      <c r="H122" s="232">
        <v>7.982354471E9</v>
      </c>
      <c r="I122" s="509" t="s">
        <v>22771</v>
      </c>
      <c r="J122" s="232" t="b">
        <v>0</v>
      </c>
      <c r="K122" s="232" t="s">
        <v>12092</v>
      </c>
      <c r="L122" s="232"/>
      <c r="M122" s="511"/>
      <c r="N122" s="232"/>
      <c r="O122" s="232"/>
      <c r="P122" s="312"/>
      <c r="Q122" s="312"/>
      <c r="R122" s="312"/>
      <c r="S122" s="312"/>
      <c r="T122" s="312"/>
      <c r="U122" s="312"/>
    </row>
    <row r="123">
      <c r="A123" s="520">
        <v>45234.0</v>
      </c>
      <c r="B123" s="232" t="s">
        <v>22317</v>
      </c>
      <c r="C123" s="509" t="s">
        <v>22772</v>
      </c>
      <c r="D123" s="510" t="s">
        <v>22773</v>
      </c>
      <c r="E123" s="511"/>
      <c r="F123" s="232" t="s">
        <v>22774</v>
      </c>
      <c r="G123" s="232" t="s">
        <v>22542</v>
      </c>
      <c r="H123" s="232">
        <v>9.354289476E9</v>
      </c>
      <c r="I123" s="512" t="s">
        <v>22775</v>
      </c>
      <c r="J123" s="232" t="b">
        <v>0</v>
      </c>
      <c r="K123" s="232" t="s">
        <v>334</v>
      </c>
      <c r="L123" s="232"/>
      <c r="M123" s="511"/>
      <c r="N123" s="232"/>
      <c r="O123" s="232"/>
      <c r="P123" s="312"/>
      <c r="Q123" s="312"/>
      <c r="R123" s="312"/>
      <c r="S123" s="312"/>
      <c r="T123" s="312"/>
      <c r="U123" s="312"/>
    </row>
    <row r="124">
      <c r="A124" s="520">
        <v>45234.0</v>
      </c>
      <c r="B124" s="232" t="s">
        <v>22322</v>
      </c>
      <c r="C124" s="509" t="s">
        <v>22776</v>
      </c>
      <c r="D124" s="510" t="s">
        <v>22777</v>
      </c>
      <c r="E124" s="511"/>
      <c r="F124" s="232" t="s">
        <v>22778</v>
      </c>
      <c r="G124" s="232" t="s">
        <v>22597</v>
      </c>
      <c r="H124" s="232">
        <v>7.827693759E9</v>
      </c>
      <c r="I124" s="509" t="s">
        <v>22289</v>
      </c>
      <c r="J124" s="232" t="b">
        <v>0</v>
      </c>
      <c r="K124" s="232" t="s">
        <v>22365</v>
      </c>
      <c r="L124" s="232" t="s">
        <v>22779</v>
      </c>
      <c r="M124" s="511"/>
      <c r="N124" s="232"/>
      <c r="O124" s="232"/>
      <c r="P124" s="312"/>
      <c r="Q124" s="312"/>
      <c r="R124" s="312"/>
      <c r="S124" s="312"/>
      <c r="T124" s="312"/>
      <c r="U124" s="312"/>
    </row>
    <row r="125">
      <c r="A125" s="520">
        <v>45234.0</v>
      </c>
      <c r="B125" s="232" t="s">
        <v>22328</v>
      </c>
      <c r="C125" s="509" t="s">
        <v>22780</v>
      </c>
      <c r="D125" s="510" t="s">
        <v>22781</v>
      </c>
      <c r="E125" s="511"/>
      <c r="F125" s="232" t="s">
        <v>22782</v>
      </c>
      <c r="G125" s="232" t="s">
        <v>472</v>
      </c>
      <c r="H125" s="232">
        <v>7.029798671E9</v>
      </c>
      <c r="I125" s="509" t="s">
        <v>22783</v>
      </c>
      <c r="J125" s="232" t="b">
        <v>0</v>
      </c>
      <c r="K125" s="232" t="s">
        <v>22365</v>
      </c>
      <c r="L125" s="232" t="s">
        <v>22784</v>
      </c>
      <c r="M125" s="511"/>
      <c r="N125" s="232"/>
      <c r="O125" s="232"/>
      <c r="P125" s="312"/>
      <c r="Q125" s="312"/>
      <c r="R125" s="312"/>
      <c r="S125" s="312"/>
      <c r="T125" s="312"/>
      <c r="U125" s="312"/>
    </row>
    <row r="126">
      <c r="A126" s="520">
        <v>45234.0</v>
      </c>
      <c r="B126" s="232" t="s">
        <v>22333</v>
      </c>
      <c r="C126" s="522" t="s">
        <v>22785</v>
      </c>
      <c r="D126" s="510" t="s">
        <v>22786</v>
      </c>
      <c r="E126" s="511"/>
      <c r="F126" s="232" t="s">
        <v>22787</v>
      </c>
      <c r="G126" s="232" t="s">
        <v>7995</v>
      </c>
      <c r="H126" s="232">
        <v>8.777758423E9</v>
      </c>
      <c r="I126" s="509" t="s">
        <v>22788</v>
      </c>
      <c r="J126" s="232" t="b">
        <v>0</v>
      </c>
      <c r="K126" s="232" t="s">
        <v>22365</v>
      </c>
      <c r="L126" s="232" t="s">
        <v>22621</v>
      </c>
      <c r="M126" s="511"/>
      <c r="N126" s="232"/>
      <c r="O126" s="232"/>
      <c r="P126" s="312"/>
      <c r="Q126" s="312"/>
      <c r="R126" s="312"/>
      <c r="S126" s="312"/>
      <c r="T126" s="312"/>
      <c r="U126" s="312"/>
    </row>
    <row r="127">
      <c r="A127" s="520">
        <v>45234.0</v>
      </c>
      <c r="B127" s="232" t="s">
        <v>22339</v>
      </c>
      <c r="C127" s="523" t="s">
        <v>22789</v>
      </c>
      <c r="D127" s="510" t="s">
        <v>8379</v>
      </c>
      <c r="E127" s="511"/>
      <c r="F127" s="232" t="s">
        <v>22790</v>
      </c>
      <c r="G127" s="232" t="s">
        <v>7995</v>
      </c>
      <c r="H127" s="232">
        <v>9.883474396E9</v>
      </c>
      <c r="I127" s="509" t="s">
        <v>22791</v>
      </c>
      <c r="J127" s="232" t="b">
        <v>0</v>
      </c>
      <c r="K127" s="232" t="s">
        <v>22365</v>
      </c>
      <c r="L127" s="232" t="s">
        <v>22554</v>
      </c>
      <c r="M127" s="511"/>
      <c r="N127" s="232"/>
      <c r="O127" s="232"/>
      <c r="P127" s="312"/>
      <c r="Q127" s="312"/>
      <c r="R127" s="312"/>
      <c r="S127" s="312"/>
      <c r="T127" s="312"/>
      <c r="U127" s="312"/>
    </row>
    <row r="128">
      <c r="A128" s="520">
        <v>45234.0</v>
      </c>
      <c r="B128" s="232" t="s">
        <v>22344</v>
      </c>
      <c r="C128" s="509" t="s">
        <v>22792</v>
      </c>
      <c r="D128" s="510" t="s">
        <v>22793</v>
      </c>
      <c r="E128" s="511"/>
      <c r="F128" s="232"/>
      <c r="G128" s="232" t="s">
        <v>22337</v>
      </c>
      <c r="H128" s="232">
        <v>8.308722982E9</v>
      </c>
      <c r="I128" s="509" t="s">
        <v>22794</v>
      </c>
      <c r="J128" s="232" t="b">
        <v>0</v>
      </c>
      <c r="K128" s="232" t="s">
        <v>22349</v>
      </c>
      <c r="L128" s="232" t="s">
        <v>22795</v>
      </c>
      <c r="M128" s="511"/>
      <c r="N128" s="232"/>
      <c r="O128" s="232"/>
      <c r="P128" s="312"/>
      <c r="Q128" s="312"/>
      <c r="R128" s="312"/>
      <c r="S128" s="312"/>
      <c r="T128" s="312"/>
      <c r="U128" s="312"/>
    </row>
    <row r="129">
      <c r="A129" s="520">
        <v>45203.0</v>
      </c>
      <c r="B129" s="232" t="s">
        <v>22351</v>
      </c>
      <c r="C129" s="509" t="s">
        <v>22796</v>
      </c>
      <c r="D129" s="510" t="s">
        <v>22797</v>
      </c>
      <c r="E129" s="511"/>
      <c r="F129" s="232"/>
      <c r="G129" s="232" t="s">
        <v>2682</v>
      </c>
      <c r="H129" s="232">
        <v>8.050446415E9</v>
      </c>
      <c r="I129" s="509" t="s">
        <v>22278</v>
      </c>
      <c r="J129" s="232" t="b">
        <v>0</v>
      </c>
      <c r="K129" s="232" t="s">
        <v>22365</v>
      </c>
      <c r="L129" s="232" t="s">
        <v>22621</v>
      </c>
      <c r="M129" s="511"/>
      <c r="N129" s="232"/>
      <c r="O129" s="232"/>
      <c r="P129" s="312"/>
      <c r="Q129" s="312"/>
      <c r="R129" s="312"/>
      <c r="S129" s="312"/>
      <c r="T129" s="312"/>
      <c r="U129" s="312"/>
    </row>
    <row r="130">
      <c r="A130" s="520">
        <v>45203.0</v>
      </c>
      <c r="B130" s="232" t="s">
        <v>22356</v>
      </c>
      <c r="C130" s="509" t="s">
        <v>22798</v>
      </c>
      <c r="D130" s="510" t="s">
        <v>22799</v>
      </c>
      <c r="E130" s="511"/>
      <c r="F130" s="232"/>
      <c r="G130" s="232" t="s">
        <v>9094</v>
      </c>
      <c r="H130" s="232">
        <v>7.527851984E9</v>
      </c>
      <c r="I130" s="509" t="s">
        <v>22800</v>
      </c>
      <c r="J130" s="232" t="b">
        <v>0</v>
      </c>
      <c r="K130" s="232" t="s">
        <v>22365</v>
      </c>
      <c r="L130" s="232" t="s">
        <v>22801</v>
      </c>
      <c r="M130" s="511"/>
      <c r="N130" s="232"/>
      <c r="O130" s="232"/>
      <c r="P130" s="312"/>
      <c r="Q130" s="312"/>
      <c r="R130" s="312"/>
      <c r="S130" s="312"/>
      <c r="T130" s="312"/>
      <c r="U130" s="312"/>
    </row>
    <row r="131">
      <c r="A131" s="520">
        <v>45203.0</v>
      </c>
      <c r="B131" s="232" t="s">
        <v>22361</v>
      </c>
      <c r="C131" s="509" t="s">
        <v>22802</v>
      </c>
      <c r="D131" s="510"/>
      <c r="E131" s="511"/>
      <c r="F131" s="232"/>
      <c r="G131" s="232" t="s">
        <v>22803</v>
      </c>
      <c r="H131" s="232">
        <v>7.780610149E9</v>
      </c>
      <c r="I131" s="509" t="s">
        <v>22804</v>
      </c>
      <c r="J131" s="232" t="b">
        <v>0</v>
      </c>
      <c r="K131" s="232" t="s">
        <v>22349</v>
      </c>
      <c r="L131" s="232" t="s">
        <v>22805</v>
      </c>
      <c r="M131" s="511"/>
      <c r="N131" s="232"/>
      <c r="O131" s="232"/>
      <c r="P131" s="312"/>
      <c r="Q131" s="312"/>
      <c r="R131" s="312"/>
      <c r="S131" s="312"/>
      <c r="T131" s="312"/>
      <c r="U131" s="312"/>
    </row>
    <row r="132">
      <c r="A132" s="520">
        <v>45203.0</v>
      </c>
      <c r="B132" s="232" t="s">
        <v>22367</v>
      </c>
      <c r="C132" s="509" t="s">
        <v>22806</v>
      </c>
      <c r="D132" s="510" t="s">
        <v>22359</v>
      </c>
      <c r="E132" s="511"/>
      <c r="F132" s="232"/>
      <c r="G132" s="232" t="s">
        <v>398</v>
      </c>
      <c r="H132" s="232">
        <v>9.522893208E9</v>
      </c>
      <c r="I132" s="509" t="s">
        <v>22373</v>
      </c>
      <c r="J132" s="232" t="b">
        <v>0</v>
      </c>
      <c r="K132" s="232" t="s">
        <v>22349</v>
      </c>
      <c r="L132" s="232" t="s">
        <v>22807</v>
      </c>
      <c r="M132" s="511"/>
      <c r="N132" s="232"/>
      <c r="O132" s="232"/>
      <c r="P132" s="312"/>
      <c r="Q132" s="312"/>
      <c r="R132" s="312"/>
      <c r="S132" s="312"/>
      <c r="T132" s="312"/>
      <c r="U132" s="312"/>
    </row>
    <row r="133">
      <c r="A133" s="520">
        <v>45203.0</v>
      </c>
      <c r="B133" s="232" t="s">
        <v>22371</v>
      </c>
      <c r="C133" s="509" t="s">
        <v>22808</v>
      </c>
      <c r="D133" s="510" t="s">
        <v>22809</v>
      </c>
      <c r="E133" s="511"/>
      <c r="F133" s="232" t="s">
        <v>22810</v>
      </c>
      <c r="G133" s="232" t="s">
        <v>7995</v>
      </c>
      <c r="H133" s="232">
        <v>7.001197794E9</v>
      </c>
      <c r="I133" s="509" t="s">
        <v>22289</v>
      </c>
      <c r="J133" s="232" t="b">
        <v>0</v>
      </c>
      <c r="K133" s="232" t="s">
        <v>22365</v>
      </c>
      <c r="L133" s="232" t="s">
        <v>22811</v>
      </c>
      <c r="M133" s="511"/>
      <c r="N133" s="232"/>
      <c r="O133" s="232"/>
      <c r="P133" s="312"/>
      <c r="Q133" s="312"/>
      <c r="R133" s="312"/>
      <c r="S133" s="312"/>
      <c r="T133" s="312"/>
      <c r="U133" s="312"/>
    </row>
    <row r="134">
      <c r="A134" s="520">
        <v>45203.0</v>
      </c>
      <c r="B134" s="232" t="s">
        <v>22375</v>
      </c>
      <c r="C134" s="509" t="s">
        <v>4293</v>
      </c>
      <c r="D134" s="510"/>
      <c r="E134" s="511"/>
      <c r="F134" s="232"/>
      <c r="G134" s="232" t="s">
        <v>495</v>
      </c>
      <c r="H134" s="232">
        <v>9.334721783E9</v>
      </c>
      <c r="I134" s="509" t="s">
        <v>22812</v>
      </c>
      <c r="J134" s="232" t="b">
        <v>0</v>
      </c>
      <c r="K134" s="232" t="s">
        <v>22365</v>
      </c>
      <c r="L134" s="232" t="s">
        <v>22811</v>
      </c>
      <c r="M134" s="511"/>
      <c r="N134" s="232"/>
      <c r="O134" s="232"/>
      <c r="P134" s="312"/>
      <c r="Q134" s="312"/>
      <c r="R134" s="312"/>
      <c r="S134" s="312"/>
      <c r="T134" s="312"/>
      <c r="U134" s="312"/>
    </row>
    <row r="135">
      <c r="A135" s="520">
        <v>45203.0</v>
      </c>
      <c r="B135" s="232" t="s">
        <v>22381</v>
      </c>
      <c r="C135" s="509" t="s">
        <v>22813</v>
      </c>
      <c r="D135" s="510"/>
      <c r="E135" s="511"/>
      <c r="F135" s="232" t="s">
        <v>22814</v>
      </c>
      <c r="G135" s="232" t="s">
        <v>1461</v>
      </c>
      <c r="H135" s="232">
        <v>7.877777014E9</v>
      </c>
      <c r="I135" s="509" t="s">
        <v>22678</v>
      </c>
      <c r="J135" s="232" t="b">
        <v>0</v>
      </c>
      <c r="K135" s="232" t="s">
        <v>334</v>
      </c>
      <c r="L135" s="232"/>
      <c r="M135" s="511"/>
      <c r="N135" s="232"/>
      <c r="O135" s="232"/>
      <c r="P135" s="312"/>
      <c r="Q135" s="312"/>
      <c r="R135" s="312"/>
      <c r="S135" s="312"/>
      <c r="T135" s="312"/>
      <c r="U135" s="312"/>
    </row>
    <row r="136">
      <c r="A136" s="520">
        <v>45203.0</v>
      </c>
      <c r="B136" s="232" t="s">
        <v>22387</v>
      </c>
      <c r="C136" s="509" t="s">
        <v>22815</v>
      </c>
      <c r="D136" s="510" t="s">
        <v>22816</v>
      </c>
      <c r="E136" s="511"/>
      <c r="F136" s="232" t="s">
        <v>22817</v>
      </c>
      <c r="G136" s="232" t="s">
        <v>22818</v>
      </c>
      <c r="H136" s="232">
        <v>9.727954633E9</v>
      </c>
      <c r="I136" s="509" t="s">
        <v>22373</v>
      </c>
      <c r="J136" s="232" t="b">
        <v>0</v>
      </c>
      <c r="K136" s="232"/>
      <c r="L136" s="232"/>
      <c r="M136" s="511"/>
      <c r="N136" s="232"/>
      <c r="O136" s="232"/>
      <c r="P136" s="312"/>
      <c r="Q136" s="312"/>
      <c r="R136" s="312"/>
      <c r="S136" s="312"/>
      <c r="T136" s="312"/>
      <c r="U136" s="312"/>
    </row>
    <row r="137">
      <c r="A137" s="520">
        <v>45203.0</v>
      </c>
      <c r="B137" s="232" t="s">
        <v>22391</v>
      </c>
      <c r="C137" s="522" t="s">
        <v>22819</v>
      </c>
      <c r="D137" s="510"/>
      <c r="E137" s="511"/>
      <c r="F137" s="232" t="s">
        <v>22820</v>
      </c>
      <c r="G137" s="232" t="s">
        <v>22821</v>
      </c>
      <c r="H137" s="232">
        <v>8.309203475E9</v>
      </c>
      <c r="I137" s="509" t="s">
        <v>22822</v>
      </c>
      <c r="J137" s="232" t="b">
        <v>0</v>
      </c>
      <c r="K137" s="232" t="s">
        <v>334</v>
      </c>
      <c r="L137" s="232"/>
      <c r="M137" s="511"/>
      <c r="N137" s="232"/>
      <c r="O137" s="232"/>
      <c r="P137" s="312"/>
      <c r="Q137" s="312"/>
      <c r="R137" s="312"/>
      <c r="S137" s="312"/>
      <c r="T137" s="312"/>
      <c r="U137" s="312"/>
    </row>
    <row r="138">
      <c r="A138" s="520">
        <v>45203.0</v>
      </c>
      <c r="B138" s="232" t="s">
        <v>22394</v>
      </c>
      <c r="C138" s="509" t="s">
        <v>22823</v>
      </c>
      <c r="D138" s="510"/>
      <c r="E138" s="511"/>
      <c r="F138" s="232" t="s">
        <v>22824</v>
      </c>
      <c r="G138" s="232" t="s">
        <v>7995</v>
      </c>
      <c r="H138" s="232">
        <v>7.890575967E9</v>
      </c>
      <c r="I138" s="509" t="s">
        <v>22825</v>
      </c>
      <c r="J138" s="232" t="b">
        <v>0</v>
      </c>
      <c r="K138" s="232" t="s">
        <v>22365</v>
      </c>
      <c r="L138" s="232" t="s">
        <v>22422</v>
      </c>
      <c r="M138" s="511"/>
      <c r="N138" s="232"/>
      <c r="O138" s="232"/>
      <c r="P138" s="312"/>
      <c r="Q138" s="312"/>
      <c r="R138" s="312"/>
      <c r="S138" s="312"/>
      <c r="T138" s="312"/>
      <c r="U138" s="312"/>
    </row>
    <row r="139">
      <c r="A139" s="520">
        <v>45203.0</v>
      </c>
      <c r="B139" s="232" t="s">
        <v>22400</v>
      </c>
      <c r="C139" s="509" t="s">
        <v>22826</v>
      </c>
      <c r="D139" s="510" t="s">
        <v>22827</v>
      </c>
      <c r="E139" s="511"/>
      <c r="F139" s="232" t="s">
        <v>22828</v>
      </c>
      <c r="G139" s="232" t="s">
        <v>7995</v>
      </c>
      <c r="H139" s="232">
        <v>9.748919092E9</v>
      </c>
      <c r="I139" s="509" t="s">
        <v>22829</v>
      </c>
      <c r="J139" s="232" t="b">
        <v>0</v>
      </c>
      <c r="K139" s="232" t="s">
        <v>22355</v>
      </c>
      <c r="L139" s="232"/>
      <c r="M139" s="511"/>
      <c r="N139" s="232"/>
      <c r="O139" s="232"/>
      <c r="P139" s="312"/>
      <c r="Q139" s="312"/>
      <c r="R139" s="312"/>
      <c r="S139" s="312"/>
      <c r="T139" s="312"/>
      <c r="U139" s="312"/>
    </row>
    <row r="140">
      <c r="A140" s="520">
        <v>45203.0</v>
      </c>
      <c r="B140" s="232" t="s">
        <v>22406</v>
      </c>
      <c r="C140" s="509" t="s">
        <v>22830</v>
      </c>
      <c r="D140" s="510" t="s">
        <v>22831</v>
      </c>
      <c r="E140" s="511"/>
      <c r="F140" s="232" t="s">
        <v>22832</v>
      </c>
      <c r="G140" s="232" t="s">
        <v>472</v>
      </c>
      <c r="H140" s="232">
        <v>9.547221754E9</v>
      </c>
      <c r="I140" s="509" t="s">
        <v>22833</v>
      </c>
      <c r="J140" s="232" t="b">
        <v>0</v>
      </c>
      <c r="K140" s="232"/>
      <c r="L140" s="232"/>
      <c r="M140" s="511"/>
      <c r="N140" s="232"/>
      <c r="O140" s="232"/>
      <c r="P140" s="312"/>
      <c r="Q140" s="312"/>
      <c r="R140" s="312"/>
      <c r="S140" s="312"/>
      <c r="T140" s="312"/>
      <c r="U140" s="312"/>
    </row>
    <row r="141">
      <c r="A141" s="520">
        <v>45203.0</v>
      </c>
      <c r="B141" s="232" t="s">
        <v>22410</v>
      </c>
      <c r="C141" s="509" t="s">
        <v>16917</v>
      </c>
      <c r="D141" s="510"/>
      <c r="E141" s="511"/>
      <c r="F141" s="232" t="s">
        <v>22834</v>
      </c>
      <c r="G141" s="232" t="s">
        <v>7995</v>
      </c>
      <c r="H141" s="232">
        <v>9.330996063E9</v>
      </c>
      <c r="I141" s="509" t="s">
        <v>22289</v>
      </c>
      <c r="J141" s="232" t="b">
        <v>0</v>
      </c>
      <c r="K141" s="232" t="s">
        <v>22365</v>
      </c>
      <c r="L141" s="232" t="s">
        <v>22811</v>
      </c>
      <c r="M141" s="511"/>
      <c r="N141" s="232"/>
      <c r="O141" s="232"/>
      <c r="P141" s="312"/>
      <c r="Q141" s="312"/>
      <c r="R141" s="312"/>
      <c r="S141" s="312"/>
      <c r="T141" s="312"/>
      <c r="U141" s="312"/>
    </row>
    <row r="142">
      <c r="A142" s="521">
        <v>45203.0</v>
      </c>
      <c r="B142" s="514" t="s">
        <v>22413</v>
      </c>
      <c r="C142" s="515" t="s">
        <v>22835</v>
      </c>
      <c r="D142" s="516"/>
      <c r="E142" s="517"/>
      <c r="F142" s="514" t="s">
        <v>22836</v>
      </c>
      <c r="G142" s="514" t="s">
        <v>1640</v>
      </c>
      <c r="H142" s="514">
        <v>7.003518653E9</v>
      </c>
      <c r="I142" s="515" t="s">
        <v>22837</v>
      </c>
      <c r="J142" s="514" t="b">
        <v>0</v>
      </c>
      <c r="K142" s="514" t="s">
        <v>22312</v>
      </c>
      <c r="L142" s="518" t="s">
        <v>22838</v>
      </c>
      <c r="M142" s="511"/>
      <c r="N142" s="232"/>
      <c r="O142" s="232"/>
      <c r="P142" s="312"/>
      <c r="Q142" s="312"/>
      <c r="R142" s="312"/>
      <c r="S142" s="312"/>
      <c r="T142" s="312"/>
      <c r="U142" s="312"/>
    </row>
    <row r="143">
      <c r="A143" s="520">
        <v>45203.0</v>
      </c>
      <c r="B143" s="232" t="s">
        <v>22418</v>
      </c>
      <c r="C143" s="509" t="s">
        <v>15487</v>
      </c>
      <c r="D143" s="510" t="s">
        <v>22839</v>
      </c>
      <c r="E143" s="511"/>
      <c r="F143" s="232" t="s">
        <v>22840</v>
      </c>
      <c r="G143" s="232" t="s">
        <v>7995</v>
      </c>
      <c r="H143" s="232">
        <v>9.140745106E9</v>
      </c>
      <c r="I143" s="509" t="s">
        <v>22841</v>
      </c>
      <c r="J143" s="232" t="b">
        <v>0</v>
      </c>
      <c r="K143" s="232"/>
      <c r="L143" s="232"/>
      <c r="M143" s="511"/>
      <c r="N143" s="232"/>
      <c r="O143" s="232"/>
      <c r="P143" s="312"/>
      <c r="Q143" s="312"/>
      <c r="R143" s="312"/>
      <c r="S143" s="312"/>
      <c r="T143" s="312"/>
      <c r="U143" s="312"/>
    </row>
    <row r="144">
      <c r="A144" s="520">
        <v>45203.0</v>
      </c>
      <c r="B144" s="232" t="s">
        <v>22423</v>
      </c>
      <c r="C144" s="509" t="s">
        <v>22842</v>
      </c>
      <c r="D144" s="510"/>
      <c r="E144" s="511"/>
      <c r="F144" s="232" t="s">
        <v>22843</v>
      </c>
      <c r="G144" s="232" t="s">
        <v>22844</v>
      </c>
      <c r="H144" s="232">
        <v>9.890741518E9</v>
      </c>
      <c r="I144" s="509" t="s">
        <v>22845</v>
      </c>
      <c r="J144" s="232" t="b">
        <v>0</v>
      </c>
      <c r="K144" s="232" t="s">
        <v>22355</v>
      </c>
      <c r="L144" s="232"/>
      <c r="M144" s="511"/>
      <c r="N144" s="232"/>
      <c r="O144" s="232"/>
      <c r="P144" s="312"/>
      <c r="Q144" s="312"/>
      <c r="R144" s="312"/>
      <c r="S144" s="312"/>
      <c r="T144" s="312"/>
      <c r="U144" s="312"/>
    </row>
    <row r="145">
      <c r="A145" s="520">
        <v>45203.0</v>
      </c>
      <c r="B145" s="232" t="s">
        <v>22427</v>
      </c>
      <c r="C145" s="509" t="s">
        <v>22846</v>
      </c>
      <c r="D145" s="510" t="s">
        <v>22847</v>
      </c>
      <c r="E145" s="511"/>
      <c r="F145" s="232" t="s">
        <v>22848</v>
      </c>
      <c r="G145" s="232" t="s">
        <v>7995</v>
      </c>
      <c r="H145" s="232">
        <v>7.980743443E9</v>
      </c>
      <c r="I145" s="509" t="s">
        <v>22849</v>
      </c>
      <c r="J145" s="232" t="b">
        <v>0</v>
      </c>
      <c r="K145" s="232"/>
      <c r="L145" s="232"/>
      <c r="M145" s="511"/>
      <c r="N145" s="232"/>
      <c r="O145" s="232"/>
      <c r="P145" s="312"/>
      <c r="Q145" s="312"/>
      <c r="R145" s="312"/>
      <c r="S145" s="312"/>
      <c r="T145" s="312"/>
      <c r="U145" s="312"/>
    </row>
    <row r="146">
      <c r="A146" s="520">
        <v>45203.0</v>
      </c>
      <c r="B146" s="232" t="s">
        <v>22431</v>
      </c>
      <c r="C146" s="509" t="s">
        <v>3897</v>
      </c>
      <c r="D146" s="510"/>
      <c r="E146" s="511"/>
      <c r="F146" s="232" t="s">
        <v>22850</v>
      </c>
      <c r="G146" s="232" t="s">
        <v>99</v>
      </c>
      <c r="H146" s="232">
        <v>8.327700334E9</v>
      </c>
      <c r="I146" s="509" t="s">
        <v>22851</v>
      </c>
      <c r="J146" s="232" t="b">
        <v>0</v>
      </c>
      <c r="K146" s="232" t="s">
        <v>22365</v>
      </c>
      <c r="L146" s="232" t="s">
        <v>22811</v>
      </c>
      <c r="M146" s="511"/>
      <c r="N146" s="232"/>
      <c r="O146" s="232"/>
      <c r="P146" s="312"/>
      <c r="Q146" s="312"/>
      <c r="R146" s="312"/>
      <c r="S146" s="312"/>
      <c r="T146" s="312"/>
      <c r="U146" s="312"/>
    </row>
    <row r="147">
      <c r="A147" s="520">
        <v>45142.0</v>
      </c>
      <c r="B147" s="232" t="s">
        <v>22435</v>
      </c>
      <c r="C147" s="509" t="s">
        <v>22852</v>
      </c>
      <c r="D147" s="510"/>
      <c r="E147" s="511"/>
      <c r="F147" s="232"/>
      <c r="G147" s="232" t="s">
        <v>22379</v>
      </c>
      <c r="H147" s="232">
        <v>8.927879704E9</v>
      </c>
      <c r="I147" s="509" t="s">
        <v>22577</v>
      </c>
      <c r="J147" s="232" t="b">
        <v>0</v>
      </c>
      <c r="K147" s="232" t="s">
        <v>22365</v>
      </c>
      <c r="L147" s="232" t="s">
        <v>22422</v>
      </c>
      <c r="M147" s="511"/>
      <c r="N147" s="232"/>
      <c r="O147" s="232"/>
      <c r="P147" s="312"/>
      <c r="Q147" s="312"/>
      <c r="R147" s="312"/>
      <c r="S147" s="312"/>
      <c r="T147" s="312"/>
      <c r="U147" s="312"/>
    </row>
    <row r="148">
      <c r="A148" s="520">
        <v>45142.0</v>
      </c>
      <c r="B148" s="232" t="s">
        <v>22438</v>
      </c>
      <c r="C148" s="509" t="s">
        <v>22853</v>
      </c>
      <c r="D148" s="510" t="s">
        <v>22854</v>
      </c>
      <c r="E148" s="511"/>
      <c r="F148" s="232" t="s">
        <v>22855</v>
      </c>
      <c r="G148" s="232" t="s">
        <v>22856</v>
      </c>
      <c r="H148" s="232">
        <v>7.795231695E9</v>
      </c>
      <c r="I148" s="509" t="s">
        <v>22857</v>
      </c>
      <c r="J148" s="232" t="b">
        <v>0</v>
      </c>
      <c r="K148" s="232" t="s">
        <v>22365</v>
      </c>
      <c r="L148" s="232" t="s">
        <v>22811</v>
      </c>
      <c r="M148" s="511"/>
      <c r="N148" s="232"/>
      <c r="O148" s="232"/>
      <c r="P148" s="312"/>
      <c r="Q148" s="312"/>
      <c r="R148" s="312"/>
      <c r="S148" s="312"/>
      <c r="T148" s="312"/>
      <c r="U148" s="312"/>
    </row>
    <row r="149">
      <c r="A149" s="520">
        <v>45142.0</v>
      </c>
      <c r="B149" s="232" t="s">
        <v>22444</v>
      </c>
      <c r="C149" s="509" t="s">
        <v>22858</v>
      </c>
      <c r="D149" s="510"/>
      <c r="E149" s="511"/>
      <c r="F149" s="232" t="s">
        <v>22859</v>
      </c>
      <c r="G149" s="232" t="s">
        <v>22856</v>
      </c>
      <c r="H149" s="232">
        <v>9.916648908E9</v>
      </c>
      <c r="I149" s="509" t="s">
        <v>22860</v>
      </c>
      <c r="J149" s="232" t="b">
        <v>0</v>
      </c>
      <c r="K149" s="232" t="s">
        <v>22349</v>
      </c>
      <c r="L149" s="232" t="s">
        <v>22398</v>
      </c>
      <c r="M149" s="511"/>
      <c r="N149" s="232"/>
      <c r="O149" s="232"/>
      <c r="P149" s="312"/>
      <c r="Q149" s="312"/>
      <c r="R149" s="312"/>
      <c r="S149" s="312"/>
      <c r="T149" s="312"/>
      <c r="U149" s="312"/>
    </row>
    <row r="150">
      <c r="A150" s="520">
        <v>45142.0</v>
      </c>
      <c r="B150" s="232" t="s">
        <v>22861</v>
      </c>
      <c r="C150" s="509" t="s">
        <v>22862</v>
      </c>
      <c r="D150" s="510"/>
      <c r="E150" s="511"/>
      <c r="F150" s="232"/>
      <c r="G150" s="232" t="s">
        <v>507</v>
      </c>
      <c r="H150" s="232">
        <v>8.355928559E9</v>
      </c>
      <c r="I150" s="509" t="s">
        <v>22289</v>
      </c>
      <c r="J150" s="232" t="b">
        <v>0</v>
      </c>
      <c r="K150" s="232" t="s">
        <v>334</v>
      </c>
      <c r="L150" s="232"/>
      <c r="M150" s="511"/>
      <c r="N150" s="232"/>
      <c r="O150" s="232"/>
      <c r="P150" s="312"/>
      <c r="Q150" s="312"/>
      <c r="R150" s="312"/>
      <c r="S150" s="312"/>
      <c r="T150" s="312"/>
      <c r="U150" s="312"/>
    </row>
    <row r="151">
      <c r="A151" s="520">
        <v>45142.0</v>
      </c>
      <c r="B151" s="232" t="s">
        <v>22863</v>
      </c>
      <c r="C151" s="509" t="s">
        <v>22864</v>
      </c>
      <c r="D151" s="510" t="s">
        <v>22865</v>
      </c>
      <c r="E151" s="511"/>
      <c r="F151" s="232" t="s">
        <v>22866</v>
      </c>
      <c r="G151" s="232" t="s">
        <v>22288</v>
      </c>
      <c r="H151" s="232">
        <v>-9.982315432E9</v>
      </c>
      <c r="I151" s="509" t="s">
        <v>22289</v>
      </c>
      <c r="J151" s="232" t="b">
        <v>0</v>
      </c>
      <c r="K151" s="232" t="s">
        <v>334</v>
      </c>
      <c r="L151" s="232"/>
      <c r="M151" s="511"/>
      <c r="N151" s="232"/>
      <c r="O151" s="232"/>
      <c r="P151" s="312"/>
      <c r="Q151" s="312"/>
      <c r="R151" s="312"/>
      <c r="S151" s="312"/>
      <c r="T151" s="312"/>
      <c r="U151" s="312"/>
    </row>
    <row r="152">
      <c r="A152" s="520">
        <v>45142.0</v>
      </c>
      <c r="B152" s="232" t="s">
        <v>22867</v>
      </c>
      <c r="C152" s="509" t="s">
        <v>22868</v>
      </c>
      <c r="D152" s="510" t="s">
        <v>22869</v>
      </c>
      <c r="E152" s="511"/>
      <c r="F152" s="232"/>
      <c r="G152" s="232" t="s">
        <v>2662</v>
      </c>
      <c r="H152" s="232">
        <v>7.604857646E9</v>
      </c>
      <c r="I152" s="509" t="s">
        <v>22870</v>
      </c>
      <c r="J152" s="232" t="b">
        <v>0</v>
      </c>
      <c r="K152" s="232" t="s">
        <v>22365</v>
      </c>
      <c r="L152" s="232" t="s">
        <v>22611</v>
      </c>
      <c r="M152" s="511"/>
      <c r="N152" s="232"/>
      <c r="O152" s="232"/>
      <c r="P152" s="312"/>
      <c r="Q152" s="312"/>
      <c r="R152" s="312"/>
      <c r="S152" s="312"/>
      <c r="T152" s="312"/>
      <c r="U152" s="312"/>
    </row>
    <row r="153">
      <c r="A153" s="520">
        <v>45142.0</v>
      </c>
      <c r="B153" s="232" t="s">
        <v>22871</v>
      </c>
      <c r="C153" s="509" t="s">
        <v>22872</v>
      </c>
      <c r="D153" s="510" t="s">
        <v>22873</v>
      </c>
      <c r="E153" s="511"/>
      <c r="F153" s="232" t="s">
        <v>22874</v>
      </c>
      <c r="G153" s="232" t="s">
        <v>7995</v>
      </c>
      <c r="H153" s="232">
        <v>6.289824323E9</v>
      </c>
      <c r="I153" s="509" t="s">
        <v>22875</v>
      </c>
      <c r="J153" s="232" t="b">
        <v>0</v>
      </c>
      <c r="K153" s="232"/>
      <c r="L153" s="232"/>
      <c r="M153" s="511"/>
      <c r="N153" s="232"/>
      <c r="O153" s="232"/>
      <c r="P153" s="312"/>
      <c r="Q153" s="312"/>
      <c r="R153" s="312"/>
      <c r="S153" s="312"/>
      <c r="T153" s="312"/>
      <c r="U153" s="312"/>
    </row>
    <row r="154">
      <c r="A154" s="520">
        <v>45142.0</v>
      </c>
      <c r="B154" s="232" t="s">
        <v>22876</v>
      </c>
      <c r="C154" s="509" t="s">
        <v>22877</v>
      </c>
      <c r="D154" s="510"/>
      <c r="E154" s="511"/>
      <c r="F154" s="232" t="s">
        <v>22878</v>
      </c>
      <c r="G154" s="232" t="s">
        <v>7995</v>
      </c>
      <c r="H154" s="232">
        <v>6.289656072E9</v>
      </c>
      <c r="I154" s="509" t="s">
        <v>22879</v>
      </c>
      <c r="J154" s="232" t="b">
        <v>0</v>
      </c>
      <c r="K154" s="232" t="s">
        <v>22365</v>
      </c>
      <c r="L154" s="232" t="s">
        <v>22374</v>
      </c>
      <c r="M154" s="511"/>
      <c r="N154" s="232"/>
      <c r="O154" s="232"/>
      <c r="P154" s="312"/>
      <c r="Q154" s="312"/>
      <c r="R154" s="312"/>
      <c r="S154" s="312"/>
      <c r="T154" s="312"/>
      <c r="U154" s="312"/>
    </row>
    <row r="155">
      <c r="A155" s="520">
        <v>45142.0</v>
      </c>
      <c r="B155" s="232" t="s">
        <v>22880</v>
      </c>
      <c r="C155" s="509" t="s">
        <v>22881</v>
      </c>
      <c r="D155" s="510" t="s">
        <v>22882</v>
      </c>
      <c r="E155" s="511"/>
      <c r="F155" s="232" t="s">
        <v>22883</v>
      </c>
      <c r="G155" s="232" t="s">
        <v>22884</v>
      </c>
      <c r="H155" s="232">
        <v>8.967668384E9</v>
      </c>
      <c r="I155" s="509" t="s">
        <v>22885</v>
      </c>
      <c r="J155" s="232" t="b">
        <v>0</v>
      </c>
      <c r="K155" s="232"/>
      <c r="L155" s="232"/>
      <c r="M155" s="511"/>
      <c r="N155" s="232"/>
      <c r="O155" s="232"/>
      <c r="P155" s="312"/>
      <c r="Q155" s="312"/>
      <c r="R155" s="312"/>
      <c r="S155" s="312"/>
      <c r="T155" s="312"/>
      <c r="U155" s="312"/>
    </row>
    <row r="156">
      <c r="A156" s="521">
        <v>45111.0</v>
      </c>
      <c r="B156" s="514" t="s">
        <v>22886</v>
      </c>
      <c r="C156" s="515" t="s">
        <v>22887</v>
      </c>
      <c r="D156" s="516" t="s">
        <v>22888</v>
      </c>
      <c r="E156" s="517"/>
      <c r="F156" s="514"/>
      <c r="G156" s="514" t="s">
        <v>22889</v>
      </c>
      <c r="H156" s="514">
        <v>7.842288487E9</v>
      </c>
      <c r="I156" s="515" t="s">
        <v>22890</v>
      </c>
      <c r="J156" s="514" t="b">
        <v>0</v>
      </c>
      <c r="K156" s="514" t="s">
        <v>22312</v>
      </c>
      <c r="L156" s="518" t="s">
        <v>22891</v>
      </c>
      <c r="M156" s="511"/>
      <c r="N156" s="232"/>
      <c r="O156" s="232"/>
      <c r="P156" s="312"/>
      <c r="Q156" s="312"/>
      <c r="R156" s="312"/>
      <c r="S156" s="312"/>
      <c r="T156" s="312"/>
      <c r="U156" s="312"/>
    </row>
    <row r="157">
      <c r="A157" s="520">
        <v>45111.0</v>
      </c>
      <c r="B157" s="232" t="s">
        <v>22892</v>
      </c>
      <c r="C157" s="509" t="s">
        <v>22893</v>
      </c>
      <c r="D157" s="510" t="s">
        <v>22894</v>
      </c>
      <c r="E157" s="511"/>
      <c r="F157" s="232" t="s">
        <v>22895</v>
      </c>
      <c r="G157" s="232" t="s">
        <v>18294</v>
      </c>
      <c r="H157" s="232">
        <v>9.647248189E9</v>
      </c>
      <c r="I157" s="509" t="s">
        <v>22896</v>
      </c>
      <c r="J157" s="232" t="b">
        <v>0</v>
      </c>
      <c r="K157" s="232" t="s">
        <v>22365</v>
      </c>
      <c r="L157" s="232" t="s">
        <v>22897</v>
      </c>
      <c r="M157" s="511"/>
      <c r="N157" s="232"/>
      <c r="O157" s="232"/>
      <c r="P157" s="312"/>
      <c r="Q157" s="312"/>
      <c r="R157" s="312"/>
      <c r="S157" s="312"/>
      <c r="T157" s="312"/>
      <c r="U157" s="312"/>
    </row>
    <row r="158">
      <c r="A158" s="520">
        <v>45111.0</v>
      </c>
      <c r="B158" s="232" t="s">
        <v>22898</v>
      </c>
      <c r="C158" s="509" t="s">
        <v>22899</v>
      </c>
      <c r="D158" s="510" t="s">
        <v>22900</v>
      </c>
      <c r="E158" s="511"/>
      <c r="F158" s="232" t="s">
        <v>22901</v>
      </c>
      <c r="G158" s="232" t="s">
        <v>22902</v>
      </c>
      <c r="H158" s="232">
        <v>7.091877323E9</v>
      </c>
      <c r="I158" s="509" t="s">
        <v>22903</v>
      </c>
      <c r="J158" s="232" t="b">
        <v>0</v>
      </c>
      <c r="K158" s="232" t="s">
        <v>22365</v>
      </c>
      <c r="L158" s="232" t="s">
        <v>22904</v>
      </c>
      <c r="M158" s="511"/>
      <c r="N158" s="232"/>
      <c r="O158" s="232"/>
      <c r="P158" s="312"/>
      <c r="Q158" s="312"/>
      <c r="R158" s="312"/>
      <c r="S158" s="312"/>
      <c r="T158" s="312"/>
      <c r="U158" s="312"/>
    </row>
    <row r="159">
      <c r="A159" s="520">
        <v>45111.0</v>
      </c>
      <c r="B159" s="232" t="s">
        <v>22905</v>
      </c>
      <c r="C159" s="509" t="s">
        <v>22906</v>
      </c>
      <c r="D159" s="519" t="s">
        <v>22907</v>
      </c>
      <c r="E159" s="511"/>
      <c r="F159" s="232" t="s">
        <v>22908</v>
      </c>
      <c r="G159" s="232" t="s">
        <v>3844</v>
      </c>
      <c r="H159" s="232">
        <v>9.819834723E9</v>
      </c>
      <c r="I159" s="509" t="s">
        <v>22373</v>
      </c>
      <c r="J159" s="232" t="b">
        <v>0</v>
      </c>
      <c r="K159" s="232" t="s">
        <v>22355</v>
      </c>
      <c r="L159" s="232"/>
      <c r="M159" s="511"/>
      <c r="N159" s="232"/>
      <c r="O159" s="232"/>
      <c r="P159" s="312"/>
      <c r="Q159" s="312"/>
      <c r="R159" s="312"/>
      <c r="S159" s="312"/>
      <c r="T159" s="312"/>
      <c r="U159" s="312"/>
    </row>
    <row r="160">
      <c r="A160" s="520">
        <v>45111.0</v>
      </c>
      <c r="B160" s="232" t="s">
        <v>22909</v>
      </c>
      <c r="C160" s="509" t="s">
        <v>22910</v>
      </c>
      <c r="D160" s="510"/>
      <c r="E160" s="511"/>
      <c r="F160" s="232"/>
      <c r="G160" s="232" t="s">
        <v>22911</v>
      </c>
      <c r="H160" s="232">
        <v>7.863921637E9</v>
      </c>
      <c r="I160" s="509" t="s">
        <v>22577</v>
      </c>
      <c r="J160" s="232" t="b">
        <v>0</v>
      </c>
      <c r="K160" s="232" t="s">
        <v>22365</v>
      </c>
      <c r="L160" s="232" t="s">
        <v>22621</v>
      </c>
      <c r="M160" s="511"/>
      <c r="N160" s="232"/>
      <c r="O160" s="232"/>
      <c r="P160" s="312"/>
      <c r="Q160" s="312"/>
      <c r="R160" s="312"/>
      <c r="S160" s="312"/>
      <c r="T160" s="312"/>
      <c r="U160" s="312"/>
    </row>
    <row r="161">
      <c r="A161" s="520">
        <v>45111.0</v>
      </c>
      <c r="B161" s="232" t="s">
        <v>22912</v>
      </c>
      <c r="C161" s="509" t="s">
        <v>22913</v>
      </c>
      <c r="D161" s="510"/>
      <c r="E161" s="511"/>
      <c r="F161" s="232" t="s">
        <v>22914</v>
      </c>
      <c r="G161" s="232" t="s">
        <v>22507</v>
      </c>
      <c r="H161" s="232">
        <v>9.94138231E9</v>
      </c>
      <c r="I161" s="509" t="s">
        <v>22360</v>
      </c>
      <c r="J161" s="232" t="b">
        <v>0</v>
      </c>
      <c r="K161" s="232" t="s">
        <v>334</v>
      </c>
      <c r="L161" s="232"/>
      <c r="M161" s="511"/>
      <c r="N161" s="232"/>
      <c r="O161" s="232"/>
      <c r="P161" s="312"/>
      <c r="Q161" s="312"/>
      <c r="R161" s="312"/>
      <c r="S161" s="312"/>
      <c r="T161" s="312"/>
      <c r="U161" s="312"/>
    </row>
    <row r="162">
      <c r="A162" s="520">
        <v>45111.0</v>
      </c>
      <c r="B162" s="232" t="s">
        <v>22915</v>
      </c>
      <c r="C162" s="509" t="s">
        <v>22916</v>
      </c>
      <c r="D162" s="510" t="s">
        <v>22917</v>
      </c>
      <c r="E162" s="511"/>
      <c r="F162" s="232" t="s">
        <v>22918</v>
      </c>
      <c r="G162" s="232" t="s">
        <v>22768</v>
      </c>
      <c r="H162" s="232">
        <v>8.809263482E9</v>
      </c>
      <c r="I162" s="509" t="s">
        <v>22373</v>
      </c>
      <c r="J162" s="232" t="b">
        <v>0</v>
      </c>
      <c r="K162" s="232" t="s">
        <v>22365</v>
      </c>
      <c r="L162" s="425" t="s">
        <v>22919</v>
      </c>
      <c r="M162" s="511"/>
      <c r="N162" s="232"/>
      <c r="O162" s="232"/>
      <c r="P162" s="312"/>
      <c r="Q162" s="312"/>
      <c r="R162" s="312"/>
      <c r="S162" s="312"/>
      <c r="T162" s="312"/>
      <c r="U162" s="312"/>
    </row>
    <row r="163">
      <c r="A163" s="520">
        <v>45111.0</v>
      </c>
      <c r="B163" s="232" t="s">
        <v>22920</v>
      </c>
      <c r="C163" s="509" t="s">
        <v>22921</v>
      </c>
      <c r="D163" s="510" t="s">
        <v>22922</v>
      </c>
      <c r="E163" s="511"/>
      <c r="F163" s="232" t="s">
        <v>22923</v>
      </c>
      <c r="G163" s="232" t="s">
        <v>22924</v>
      </c>
      <c r="H163" s="232">
        <v>9.73284215E9</v>
      </c>
      <c r="I163" s="509" t="s">
        <v>22903</v>
      </c>
      <c r="J163" s="232" t="b">
        <v>0</v>
      </c>
      <c r="K163" s="232" t="s">
        <v>22365</v>
      </c>
      <c r="L163" s="425"/>
      <c r="M163" s="511"/>
      <c r="N163" s="232"/>
      <c r="O163" s="232"/>
      <c r="P163" s="312"/>
      <c r="Q163" s="312"/>
      <c r="R163" s="312"/>
      <c r="S163" s="312"/>
      <c r="T163" s="312"/>
      <c r="U163" s="312"/>
    </row>
    <row r="164">
      <c r="A164" s="520">
        <v>45111.0</v>
      </c>
      <c r="B164" s="232" t="s">
        <v>22925</v>
      </c>
      <c r="C164" s="509" t="s">
        <v>22926</v>
      </c>
      <c r="D164" s="510" t="s">
        <v>22927</v>
      </c>
      <c r="E164" s="511"/>
      <c r="F164" s="232" t="s">
        <v>22928</v>
      </c>
      <c r="G164" s="232" t="s">
        <v>218</v>
      </c>
      <c r="H164" s="232">
        <v>9.748391865E9</v>
      </c>
      <c r="I164" s="509" t="s">
        <v>22929</v>
      </c>
      <c r="J164" s="232" t="b">
        <v>0</v>
      </c>
      <c r="K164" s="232" t="s">
        <v>22365</v>
      </c>
      <c r="L164" s="232" t="s">
        <v>22554</v>
      </c>
      <c r="M164" s="511"/>
      <c r="N164" s="232"/>
      <c r="O164" s="232"/>
      <c r="P164" s="312"/>
      <c r="Q164" s="312"/>
      <c r="R164" s="312"/>
      <c r="S164" s="312"/>
      <c r="T164" s="312"/>
      <c r="U164" s="312"/>
    </row>
    <row r="165">
      <c r="A165" s="520">
        <v>45111.0</v>
      </c>
      <c r="B165" s="232" t="s">
        <v>22930</v>
      </c>
      <c r="C165" s="509" t="s">
        <v>22931</v>
      </c>
      <c r="D165" s="510"/>
      <c r="E165" s="511"/>
      <c r="F165" s="232"/>
      <c r="G165" s="232" t="s">
        <v>22932</v>
      </c>
      <c r="H165" s="232">
        <v>7.908473524E9</v>
      </c>
      <c r="I165" s="509" t="s">
        <v>22933</v>
      </c>
      <c r="J165" s="232" t="b">
        <v>0</v>
      </c>
      <c r="K165" s="232" t="s">
        <v>22365</v>
      </c>
      <c r="L165" s="425" t="s">
        <v>22919</v>
      </c>
      <c r="M165" s="511"/>
      <c r="N165" s="232"/>
      <c r="O165" s="232"/>
      <c r="P165" s="312"/>
      <c r="Q165" s="312"/>
      <c r="R165" s="312"/>
      <c r="S165" s="312"/>
      <c r="T165" s="312"/>
      <c r="U165" s="312"/>
    </row>
    <row r="166">
      <c r="A166" s="520">
        <v>45111.0</v>
      </c>
      <c r="B166" s="232" t="s">
        <v>22934</v>
      </c>
      <c r="C166" s="509" t="s">
        <v>22935</v>
      </c>
      <c r="D166" s="510"/>
      <c r="E166" s="511"/>
      <c r="F166" s="232"/>
      <c r="G166" s="232" t="s">
        <v>22936</v>
      </c>
      <c r="H166" s="232">
        <v>6.392404118E9</v>
      </c>
      <c r="I166" s="509" t="s">
        <v>22937</v>
      </c>
      <c r="J166" s="232" t="b">
        <v>0</v>
      </c>
      <c r="K166" s="232"/>
      <c r="L166" s="232"/>
      <c r="M166" s="511"/>
      <c r="N166" s="232"/>
      <c r="O166" s="232"/>
      <c r="P166" s="312"/>
      <c r="Q166" s="312"/>
      <c r="R166" s="312"/>
      <c r="S166" s="312"/>
      <c r="T166" s="312"/>
      <c r="U166" s="312"/>
    </row>
    <row r="167">
      <c r="A167" s="520">
        <v>45111.0</v>
      </c>
      <c r="B167" s="232" t="s">
        <v>22938</v>
      </c>
      <c r="C167" s="509" t="s">
        <v>22939</v>
      </c>
      <c r="D167" s="510" t="s">
        <v>22940</v>
      </c>
      <c r="E167" s="511"/>
      <c r="F167" s="232"/>
      <c r="G167" s="232" t="s">
        <v>22479</v>
      </c>
      <c r="H167" s="232">
        <v>8.273384103E9</v>
      </c>
      <c r="I167" s="509" t="s">
        <v>22941</v>
      </c>
      <c r="J167" s="232" t="b">
        <v>0</v>
      </c>
      <c r="K167" s="232" t="s">
        <v>22365</v>
      </c>
      <c r="L167" s="232" t="s">
        <v>22611</v>
      </c>
      <c r="M167" s="511"/>
      <c r="N167" s="232"/>
      <c r="O167" s="232"/>
      <c r="P167" s="312"/>
      <c r="Q167" s="312"/>
      <c r="R167" s="312"/>
      <c r="S167" s="312"/>
      <c r="T167" s="312"/>
      <c r="U167" s="312"/>
    </row>
    <row r="168">
      <c r="A168" s="520">
        <v>45111.0</v>
      </c>
      <c r="B168" s="232" t="s">
        <v>22942</v>
      </c>
      <c r="C168" s="509" t="s">
        <v>22943</v>
      </c>
      <c r="D168" s="510"/>
      <c r="E168" s="511"/>
      <c r="F168" s="232" t="s">
        <v>22944</v>
      </c>
      <c r="G168" s="232" t="s">
        <v>467</v>
      </c>
      <c r="H168" s="232">
        <v>8.429647008E9</v>
      </c>
      <c r="I168" s="512" t="s">
        <v>22945</v>
      </c>
      <c r="J168" s="232" t="b">
        <v>0</v>
      </c>
      <c r="K168" s="232" t="s">
        <v>22349</v>
      </c>
      <c r="L168" s="232" t="s">
        <v>22946</v>
      </c>
      <c r="M168" s="511"/>
      <c r="N168" s="232"/>
      <c r="O168" s="232"/>
      <c r="P168" s="312"/>
      <c r="Q168" s="312"/>
      <c r="R168" s="312"/>
      <c r="S168" s="312"/>
      <c r="T168" s="312"/>
      <c r="U168" s="312"/>
    </row>
    <row r="169">
      <c r="A169" s="520">
        <v>45111.0</v>
      </c>
      <c r="B169" s="232" t="s">
        <v>22947</v>
      </c>
      <c r="C169" s="509" t="s">
        <v>22948</v>
      </c>
      <c r="D169" s="510" t="s">
        <v>22949</v>
      </c>
      <c r="E169" s="511"/>
      <c r="F169" s="232" t="s">
        <v>22950</v>
      </c>
      <c r="G169" s="232" t="s">
        <v>2662</v>
      </c>
      <c r="H169" s="232">
        <v>9.944618556E9</v>
      </c>
      <c r="I169" s="509" t="s">
        <v>22951</v>
      </c>
      <c r="J169" s="232" t="b">
        <v>0</v>
      </c>
      <c r="K169" s="232"/>
      <c r="L169" s="232"/>
      <c r="M169" s="511"/>
      <c r="N169" s="232"/>
      <c r="O169" s="232"/>
      <c r="P169" s="312"/>
      <c r="Q169" s="312"/>
      <c r="R169" s="312"/>
      <c r="S169" s="312"/>
      <c r="T169" s="312"/>
      <c r="U169" s="312"/>
    </row>
    <row r="170">
      <c r="A170" s="520">
        <v>45111.0</v>
      </c>
      <c r="B170" s="232" t="s">
        <v>22952</v>
      </c>
      <c r="C170" s="509" t="s">
        <v>22953</v>
      </c>
      <c r="D170" s="510"/>
      <c r="E170" s="511"/>
      <c r="F170" s="232"/>
      <c r="G170" s="232" t="s">
        <v>467</v>
      </c>
      <c r="H170" s="232">
        <v>7.985351206E9</v>
      </c>
      <c r="I170" s="509" t="s">
        <v>22373</v>
      </c>
      <c r="J170" s="232" t="b">
        <v>0</v>
      </c>
      <c r="K170" s="232" t="s">
        <v>22355</v>
      </c>
      <c r="L170" s="232"/>
      <c r="M170" s="511"/>
      <c r="N170" s="232"/>
      <c r="O170" s="232"/>
      <c r="P170" s="312"/>
      <c r="Q170" s="312"/>
      <c r="R170" s="312"/>
      <c r="S170" s="312"/>
      <c r="T170" s="312"/>
      <c r="U170" s="312"/>
    </row>
    <row r="171">
      <c r="A171" s="520">
        <v>45111.0</v>
      </c>
      <c r="B171" s="232" t="s">
        <v>22954</v>
      </c>
      <c r="C171" s="509" t="s">
        <v>22955</v>
      </c>
      <c r="D171" s="510" t="s">
        <v>22956</v>
      </c>
      <c r="E171" s="511"/>
      <c r="F171" s="232" t="s">
        <v>22957</v>
      </c>
      <c r="G171" s="232" t="s">
        <v>22304</v>
      </c>
      <c r="H171" s="232">
        <v>7.077994224E9</v>
      </c>
      <c r="I171" s="509" t="s">
        <v>22373</v>
      </c>
      <c r="J171" s="232" t="b">
        <v>0</v>
      </c>
      <c r="K171" s="232" t="s">
        <v>22365</v>
      </c>
      <c r="L171" s="232" t="s">
        <v>22904</v>
      </c>
      <c r="M171" s="511"/>
      <c r="N171" s="232"/>
      <c r="O171" s="232"/>
      <c r="P171" s="312"/>
      <c r="Q171" s="312"/>
      <c r="R171" s="312"/>
      <c r="S171" s="312"/>
      <c r="T171" s="312"/>
      <c r="U171" s="312"/>
    </row>
    <row r="172">
      <c r="A172" s="520">
        <v>45111.0</v>
      </c>
      <c r="B172" s="232" t="s">
        <v>22958</v>
      </c>
      <c r="C172" s="509" t="s">
        <v>22959</v>
      </c>
      <c r="D172" s="510" t="s">
        <v>22869</v>
      </c>
      <c r="E172" s="511"/>
      <c r="F172" s="232"/>
      <c r="G172" s="232" t="s">
        <v>22960</v>
      </c>
      <c r="H172" s="232">
        <v>7.604857646E9</v>
      </c>
      <c r="I172" s="509" t="s">
        <v>22961</v>
      </c>
      <c r="J172" s="232" t="b">
        <v>0</v>
      </c>
      <c r="K172" s="232" t="s">
        <v>22365</v>
      </c>
      <c r="L172" s="425" t="s">
        <v>22594</v>
      </c>
      <c r="M172" s="511"/>
      <c r="N172" s="232"/>
      <c r="O172" s="232"/>
      <c r="P172" s="312"/>
      <c r="Q172" s="312"/>
      <c r="R172" s="312"/>
      <c r="S172" s="312"/>
      <c r="T172" s="312"/>
      <c r="U172" s="312"/>
    </row>
    <row r="173">
      <c r="A173" s="520">
        <v>45111.0</v>
      </c>
      <c r="B173" s="232" t="s">
        <v>22962</v>
      </c>
      <c r="C173" s="509" t="s">
        <v>22963</v>
      </c>
      <c r="D173" s="510" t="s">
        <v>22964</v>
      </c>
      <c r="E173" s="511"/>
      <c r="F173" s="232" t="s">
        <v>22965</v>
      </c>
      <c r="G173" s="232" t="s">
        <v>22844</v>
      </c>
      <c r="H173" s="232">
        <v>9.869867603E9</v>
      </c>
      <c r="I173" s="509" t="s">
        <v>22373</v>
      </c>
      <c r="J173" s="232" t="b">
        <v>0</v>
      </c>
      <c r="K173" s="232" t="s">
        <v>22365</v>
      </c>
      <c r="L173" s="232" t="s">
        <v>22966</v>
      </c>
      <c r="M173" s="511"/>
      <c r="N173" s="232"/>
      <c r="O173" s="232"/>
      <c r="P173" s="312"/>
      <c r="Q173" s="312"/>
      <c r="R173" s="312"/>
      <c r="S173" s="312"/>
      <c r="T173" s="312"/>
      <c r="U173" s="312"/>
    </row>
    <row r="174">
      <c r="A174" s="520">
        <v>45111.0</v>
      </c>
      <c r="B174" s="232" t="s">
        <v>22967</v>
      </c>
      <c r="C174" s="509" t="s">
        <v>22968</v>
      </c>
      <c r="D174" s="510"/>
      <c r="E174" s="511"/>
      <c r="F174" s="232"/>
      <c r="G174" s="232" t="s">
        <v>22687</v>
      </c>
      <c r="H174" s="232">
        <v>9.810878541E9</v>
      </c>
      <c r="I174" s="509" t="s">
        <v>22969</v>
      </c>
      <c r="J174" s="232" t="b">
        <v>0</v>
      </c>
      <c r="K174" s="232" t="s">
        <v>22349</v>
      </c>
      <c r="L174" s="232" t="s">
        <v>22398</v>
      </c>
      <c r="M174" s="511"/>
      <c r="N174" s="232"/>
      <c r="O174" s="232"/>
      <c r="P174" s="312"/>
      <c r="Q174" s="312"/>
      <c r="R174" s="312"/>
      <c r="S174" s="312"/>
      <c r="T174" s="312"/>
      <c r="U174" s="312"/>
    </row>
    <row r="175">
      <c r="A175" s="520">
        <v>45111.0</v>
      </c>
      <c r="B175" s="232" t="s">
        <v>22970</v>
      </c>
      <c r="C175" s="509" t="s">
        <v>22971</v>
      </c>
      <c r="D175" s="510" t="s">
        <v>22972</v>
      </c>
      <c r="E175" s="511"/>
      <c r="F175" s="232" t="s">
        <v>22973</v>
      </c>
      <c r="G175" s="232" t="s">
        <v>22564</v>
      </c>
      <c r="H175" s="232">
        <v>9.987952555E9</v>
      </c>
      <c r="I175" s="509" t="s">
        <v>22577</v>
      </c>
      <c r="J175" s="232" t="b">
        <v>0</v>
      </c>
      <c r="K175" s="232" t="s">
        <v>22365</v>
      </c>
      <c r="L175" s="232" t="s">
        <v>22621</v>
      </c>
      <c r="M175" s="511"/>
      <c r="N175" s="232"/>
      <c r="O175" s="232"/>
      <c r="P175" s="312"/>
      <c r="Q175" s="312"/>
      <c r="R175" s="312"/>
      <c r="S175" s="312"/>
      <c r="T175" s="312"/>
      <c r="U175" s="312"/>
    </row>
    <row r="176">
      <c r="A176" s="520">
        <v>45081.0</v>
      </c>
      <c r="B176" s="232" t="s">
        <v>22974</v>
      </c>
      <c r="C176" s="509" t="s">
        <v>22975</v>
      </c>
      <c r="D176" s="510" t="s">
        <v>22976</v>
      </c>
      <c r="E176" s="511"/>
      <c r="F176" s="232" t="s">
        <v>22977</v>
      </c>
      <c r="G176" s="232" t="s">
        <v>2682</v>
      </c>
      <c r="H176" s="232">
        <v>8.14706695E9</v>
      </c>
      <c r="I176" s="509" t="s">
        <v>22978</v>
      </c>
      <c r="J176" s="232" t="b">
        <v>0</v>
      </c>
      <c r="K176" s="232" t="s">
        <v>22365</v>
      </c>
      <c r="L176" s="232" t="s">
        <v>22897</v>
      </c>
      <c r="M176" s="511"/>
      <c r="N176" s="232"/>
      <c r="O176" s="232"/>
      <c r="P176" s="312"/>
      <c r="Q176" s="312"/>
      <c r="R176" s="312"/>
      <c r="S176" s="312"/>
      <c r="T176" s="312"/>
      <c r="U176" s="312"/>
    </row>
    <row r="177">
      <c r="A177" s="520">
        <v>45081.0</v>
      </c>
      <c r="B177" s="232" t="s">
        <v>22979</v>
      </c>
      <c r="C177" s="509" t="s">
        <v>22980</v>
      </c>
      <c r="D177" s="510" t="s">
        <v>22981</v>
      </c>
      <c r="E177" s="511"/>
      <c r="F177" s="232" t="s">
        <v>22982</v>
      </c>
      <c r="G177" s="232" t="s">
        <v>22983</v>
      </c>
      <c r="H177" s="232">
        <v>9.05479981E9</v>
      </c>
      <c r="I177" s="509" t="s">
        <v>22984</v>
      </c>
      <c r="J177" s="232" t="b">
        <v>0</v>
      </c>
      <c r="K177" s="232" t="s">
        <v>22365</v>
      </c>
      <c r="L177" s="232" t="s">
        <v>22386</v>
      </c>
      <c r="M177" s="511"/>
      <c r="N177" s="232"/>
      <c r="O177" s="232"/>
      <c r="P177" s="312"/>
      <c r="Q177" s="312"/>
      <c r="R177" s="312"/>
      <c r="S177" s="312"/>
      <c r="T177" s="312"/>
      <c r="U177" s="312"/>
    </row>
    <row r="178">
      <c r="A178" s="520">
        <v>45081.0</v>
      </c>
      <c r="B178" s="232" t="s">
        <v>22985</v>
      </c>
      <c r="C178" s="509" t="s">
        <v>22986</v>
      </c>
      <c r="D178" s="510"/>
      <c r="E178" s="511"/>
      <c r="F178" s="232" t="s">
        <v>22987</v>
      </c>
      <c r="G178" s="232" t="s">
        <v>1461</v>
      </c>
      <c r="H178" s="232">
        <v>9.549999597E9</v>
      </c>
      <c r="I178" s="509" t="s">
        <v>22988</v>
      </c>
      <c r="J178" s="232" t="b">
        <v>0</v>
      </c>
      <c r="K178" s="232"/>
      <c r="L178" s="232"/>
      <c r="M178" s="511"/>
      <c r="N178" s="232"/>
      <c r="O178" s="232"/>
      <c r="P178" s="312"/>
      <c r="Q178" s="312"/>
      <c r="R178" s="312"/>
      <c r="S178" s="312"/>
      <c r="T178" s="312"/>
      <c r="U178" s="312"/>
    </row>
    <row r="179">
      <c r="A179" s="520">
        <v>45081.0</v>
      </c>
      <c r="B179" s="232" t="s">
        <v>22989</v>
      </c>
      <c r="C179" s="509" t="s">
        <v>17777</v>
      </c>
      <c r="D179" s="510" t="s">
        <v>22990</v>
      </c>
      <c r="E179" s="511"/>
      <c r="F179" s="232" t="s">
        <v>22991</v>
      </c>
      <c r="G179" s="232" t="s">
        <v>22992</v>
      </c>
      <c r="H179" s="232">
        <v>8.360585838E9</v>
      </c>
      <c r="I179" s="512" t="s">
        <v>22993</v>
      </c>
      <c r="J179" s="232" t="b">
        <v>0</v>
      </c>
      <c r="K179" s="232" t="s">
        <v>22365</v>
      </c>
      <c r="L179" s="232" t="s">
        <v>22994</v>
      </c>
      <c r="M179" s="511"/>
      <c r="N179" s="232"/>
      <c r="O179" s="232"/>
      <c r="P179" s="312"/>
      <c r="Q179" s="312"/>
      <c r="R179" s="312"/>
      <c r="S179" s="312"/>
      <c r="T179" s="312"/>
      <c r="U179" s="312"/>
    </row>
    <row r="180">
      <c r="A180" s="520">
        <v>45081.0</v>
      </c>
      <c r="B180" s="232" t="s">
        <v>22995</v>
      </c>
      <c r="C180" s="509" t="s">
        <v>22996</v>
      </c>
      <c r="D180" s="510"/>
      <c r="E180" s="511"/>
      <c r="F180" s="232"/>
      <c r="G180" s="232" t="s">
        <v>268</v>
      </c>
      <c r="H180" s="232">
        <v>9.83254588E9</v>
      </c>
      <c r="I180" s="509" t="s">
        <v>22997</v>
      </c>
      <c r="J180" s="232" t="b">
        <v>0</v>
      </c>
      <c r="K180" s="232" t="s">
        <v>22365</v>
      </c>
      <c r="L180" s="425" t="s">
        <v>22919</v>
      </c>
      <c r="M180" s="511"/>
      <c r="N180" s="232"/>
      <c r="O180" s="232"/>
      <c r="P180" s="312"/>
      <c r="Q180" s="312"/>
      <c r="R180" s="312"/>
      <c r="S180" s="312"/>
      <c r="T180" s="312"/>
      <c r="U180" s="312"/>
    </row>
    <row r="181">
      <c r="A181" s="520">
        <v>45081.0</v>
      </c>
      <c r="B181" s="232" t="s">
        <v>22998</v>
      </c>
      <c r="C181" s="509" t="s">
        <v>22999</v>
      </c>
      <c r="D181" s="510"/>
      <c r="E181" s="511"/>
      <c r="F181" s="232" t="s">
        <v>23000</v>
      </c>
      <c r="G181" s="232" t="s">
        <v>22844</v>
      </c>
      <c r="H181" s="232">
        <v>8.668648184E9</v>
      </c>
      <c r="I181" s="509" t="s">
        <v>23001</v>
      </c>
      <c r="J181" s="232" t="b">
        <v>0</v>
      </c>
      <c r="K181" s="232" t="s">
        <v>22365</v>
      </c>
      <c r="L181" s="232" t="s">
        <v>22451</v>
      </c>
      <c r="M181" s="511"/>
      <c r="N181" s="232"/>
      <c r="O181" s="232"/>
      <c r="P181" s="312"/>
      <c r="Q181" s="312"/>
      <c r="R181" s="312"/>
      <c r="S181" s="312"/>
      <c r="T181" s="312"/>
      <c r="U181" s="312"/>
    </row>
    <row r="182">
      <c r="A182" s="520">
        <v>45081.0</v>
      </c>
      <c r="B182" s="232" t="s">
        <v>23002</v>
      </c>
      <c r="C182" s="509" t="s">
        <v>23003</v>
      </c>
      <c r="D182" s="510"/>
      <c r="E182" s="511"/>
      <c r="F182" s="232" t="s">
        <v>23004</v>
      </c>
      <c r="G182" s="232" t="s">
        <v>22507</v>
      </c>
      <c r="H182" s="232">
        <v>9.840355099E9</v>
      </c>
      <c r="I182" s="509" t="s">
        <v>23005</v>
      </c>
      <c r="J182" s="232" t="b">
        <v>0</v>
      </c>
      <c r="K182" s="232" t="s">
        <v>22355</v>
      </c>
      <c r="L182" s="232"/>
      <c r="M182" s="511"/>
      <c r="N182" s="232"/>
      <c r="O182" s="232"/>
      <c r="P182" s="312"/>
      <c r="Q182" s="312"/>
      <c r="R182" s="312"/>
      <c r="S182" s="312"/>
      <c r="T182" s="312"/>
      <c r="U182" s="312"/>
    </row>
    <row r="183">
      <c r="A183" s="520">
        <v>45081.0</v>
      </c>
      <c r="B183" s="232" t="s">
        <v>23006</v>
      </c>
      <c r="C183" s="509" t="s">
        <v>23007</v>
      </c>
      <c r="D183" s="519" t="s">
        <v>23008</v>
      </c>
      <c r="E183" s="511"/>
      <c r="F183" s="232" t="s">
        <v>23009</v>
      </c>
      <c r="G183" s="232" t="s">
        <v>22803</v>
      </c>
      <c r="H183" s="232">
        <v>9.966289971E9</v>
      </c>
      <c r="I183" s="509" t="s">
        <v>23010</v>
      </c>
      <c r="J183" s="232" t="b">
        <v>0</v>
      </c>
      <c r="K183" s="232" t="s">
        <v>22365</v>
      </c>
      <c r="L183" s="232" t="s">
        <v>22374</v>
      </c>
      <c r="M183" s="511"/>
      <c r="N183" s="232"/>
      <c r="O183" s="232"/>
      <c r="P183" s="312"/>
      <c r="Q183" s="312"/>
      <c r="R183" s="312"/>
      <c r="S183" s="312"/>
      <c r="T183" s="312"/>
      <c r="U183" s="312"/>
    </row>
    <row r="184">
      <c r="A184" s="520">
        <v>45081.0</v>
      </c>
      <c r="B184" s="232" t="s">
        <v>23011</v>
      </c>
      <c r="C184" s="509" t="s">
        <v>23012</v>
      </c>
      <c r="D184" s="510" t="s">
        <v>23013</v>
      </c>
      <c r="E184" s="511"/>
      <c r="F184" s="232" t="s">
        <v>23014</v>
      </c>
      <c r="G184" s="232" t="s">
        <v>22630</v>
      </c>
      <c r="H184" s="232">
        <v>7.096625048E9</v>
      </c>
      <c r="I184" s="509" t="s">
        <v>23015</v>
      </c>
      <c r="J184" s="232" t="b">
        <v>0</v>
      </c>
      <c r="K184" s="232" t="s">
        <v>22365</v>
      </c>
      <c r="L184" s="232" t="s">
        <v>22422</v>
      </c>
      <c r="M184" s="511"/>
      <c r="N184" s="232"/>
      <c r="O184" s="232"/>
      <c r="P184" s="312"/>
      <c r="Q184" s="312"/>
      <c r="R184" s="312"/>
      <c r="S184" s="312"/>
      <c r="T184" s="312"/>
      <c r="U184" s="312"/>
    </row>
    <row r="185">
      <c r="A185" s="520">
        <v>45081.0</v>
      </c>
      <c r="B185" s="232" t="s">
        <v>23016</v>
      </c>
      <c r="C185" s="509" t="s">
        <v>23017</v>
      </c>
      <c r="D185" s="510"/>
      <c r="E185" s="511"/>
      <c r="F185" s="232" t="s">
        <v>23018</v>
      </c>
      <c r="G185" s="232" t="s">
        <v>23019</v>
      </c>
      <c r="H185" s="232">
        <v>9.539850016E9</v>
      </c>
      <c r="I185" s="509" t="s">
        <v>23020</v>
      </c>
      <c r="J185" s="232" t="b">
        <v>0</v>
      </c>
      <c r="K185" s="232" t="s">
        <v>12092</v>
      </c>
      <c r="L185" s="232"/>
      <c r="M185" s="511"/>
      <c r="N185" s="232"/>
      <c r="O185" s="232"/>
      <c r="P185" s="312"/>
      <c r="Q185" s="312"/>
      <c r="R185" s="312"/>
      <c r="S185" s="312"/>
      <c r="T185" s="312"/>
      <c r="U185" s="312"/>
    </row>
    <row r="186">
      <c r="A186" s="520">
        <v>45081.0</v>
      </c>
      <c r="B186" s="232" t="s">
        <v>23021</v>
      </c>
      <c r="C186" s="509" t="s">
        <v>23022</v>
      </c>
      <c r="D186" s="510"/>
      <c r="E186" s="511"/>
      <c r="F186" s="232" t="s">
        <v>23023</v>
      </c>
      <c r="G186" s="232" t="s">
        <v>467</v>
      </c>
      <c r="H186" s="232">
        <v>8.73691306E9</v>
      </c>
      <c r="I186" s="509" t="s">
        <v>23024</v>
      </c>
      <c r="J186" s="232" t="b">
        <v>0</v>
      </c>
      <c r="K186" s="232" t="s">
        <v>12092</v>
      </c>
      <c r="L186" s="232"/>
      <c r="M186" s="511"/>
      <c r="N186" s="232"/>
      <c r="O186" s="232"/>
      <c r="P186" s="312"/>
      <c r="Q186" s="312"/>
      <c r="R186" s="312"/>
      <c r="S186" s="312"/>
      <c r="T186" s="312"/>
      <c r="U186" s="312"/>
    </row>
    <row r="187">
      <c r="A187" s="520">
        <v>45081.0</v>
      </c>
      <c r="B187" s="232" t="s">
        <v>23025</v>
      </c>
      <c r="C187" s="509" t="s">
        <v>23026</v>
      </c>
      <c r="D187" s="510"/>
      <c r="E187" s="511"/>
      <c r="F187" s="232" t="s">
        <v>23027</v>
      </c>
      <c r="G187" s="232" t="s">
        <v>507</v>
      </c>
      <c r="H187" s="232">
        <v>9.226561786E9</v>
      </c>
      <c r="I187" s="509" t="s">
        <v>23028</v>
      </c>
      <c r="J187" s="232" t="b">
        <v>0</v>
      </c>
      <c r="K187" s="232" t="s">
        <v>22365</v>
      </c>
      <c r="L187" s="232"/>
      <c r="M187" s="511"/>
      <c r="N187" s="232"/>
      <c r="O187" s="232"/>
      <c r="P187" s="312"/>
      <c r="Q187" s="312"/>
      <c r="R187" s="312"/>
      <c r="S187" s="312"/>
      <c r="T187" s="312"/>
      <c r="U187" s="312"/>
    </row>
    <row r="188">
      <c r="A188" s="520">
        <v>45081.0</v>
      </c>
      <c r="B188" s="232" t="s">
        <v>23029</v>
      </c>
      <c r="C188" s="509" t="s">
        <v>23030</v>
      </c>
      <c r="D188" s="510"/>
      <c r="E188" s="511"/>
      <c r="F188" s="232" t="s">
        <v>23031</v>
      </c>
      <c r="G188" s="232" t="s">
        <v>107</v>
      </c>
      <c r="H188" s="232">
        <v>9.899944154E9</v>
      </c>
      <c r="I188" s="509" t="s">
        <v>23032</v>
      </c>
      <c r="J188" s="232" t="b">
        <v>0</v>
      </c>
      <c r="K188" s="232" t="s">
        <v>334</v>
      </c>
      <c r="L188" s="232"/>
      <c r="M188" s="511"/>
      <c r="N188" s="232"/>
      <c r="O188" s="232"/>
      <c r="P188" s="312"/>
      <c r="Q188" s="312"/>
      <c r="R188" s="312"/>
      <c r="S188" s="312"/>
      <c r="T188" s="312"/>
      <c r="U188" s="312"/>
    </row>
    <row r="189">
      <c r="A189" s="520">
        <v>45081.0</v>
      </c>
      <c r="B189" s="232" t="s">
        <v>23033</v>
      </c>
      <c r="C189" s="509" t="s">
        <v>14384</v>
      </c>
      <c r="D189" s="510"/>
      <c r="E189" s="511"/>
      <c r="F189" s="232" t="s">
        <v>23034</v>
      </c>
      <c r="G189" s="232" t="s">
        <v>23035</v>
      </c>
      <c r="H189" s="232">
        <v>7.986130944E9</v>
      </c>
      <c r="I189" s="509" t="s">
        <v>23036</v>
      </c>
      <c r="J189" s="232" t="b">
        <v>0</v>
      </c>
      <c r="K189" s="232" t="s">
        <v>22365</v>
      </c>
      <c r="L189" s="232" t="s">
        <v>22386</v>
      </c>
      <c r="M189" s="511"/>
      <c r="N189" s="232"/>
      <c r="O189" s="232"/>
      <c r="P189" s="312"/>
      <c r="Q189" s="312"/>
      <c r="R189" s="312"/>
      <c r="S189" s="312"/>
      <c r="T189" s="312"/>
      <c r="U189" s="312"/>
    </row>
    <row r="190">
      <c r="A190" s="520">
        <v>45081.0</v>
      </c>
      <c r="B190" s="232" t="s">
        <v>23037</v>
      </c>
      <c r="C190" s="509" t="s">
        <v>23038</v>
      </c>
      <c r="D190" s="510"/>
      <c r="E190" s="511"/>
      <c r="F190" s="232"/>
      <c r="G190" s="232" t="s">
        <v>2682</v>
      </c>
      <c r="H190" s="232">
        <v>7.08801474E9</v>
      </c>
      <c r="I190" s="509" t="s">
        <v>22480</v>
      </c>
      <c r="J190" s="232" t="b">
        <v>0</v>
      </c>
      <c r="K190" s="232" t="s">
        <v>22355</v>
      </c>
      <c r="L190" s="232"/>
      <c r="M190" s="511"/>
      <c r="N190" s="232"/>
      <c r="O190" s="232"/>
      <c r="P190" s="312"/>
      <c r="Q190" s="312"/>
      <c r="R190" s="312"/>
      <c r="S190" s="312"/>
      <c r="T190" s="312"/>
      <c r="U190" s="312"/>
    </row>
    <row r="191">
      <c r="A191" s="520">
        <v>45081.0</v>
      </c>
      <c r="B191" s="232" t="s">
        <v>23039</v>
      </c>
      <c r="C191" s="509" t="s">
        <v>23040</v>
      </c>
      <c r="D191" s="510" t="s">
        <v>23041</v>
      </c>
      <c r="E191" s="511"/>
      <c r="F191" s="232" t="s">
        <v>23042</v>
      </c>
      <c r="G191" s="232" t="s">
        <v>22911</v>
      </c>
      <c r="H191" s="232">
        <v>6.295853851E9</v>
      </c>
      <c r="I191" s="509" t="s">
        <v>23043</v>
      </c>
      <c r="J191" s="232" t="b">
        <v>0</v>
      </c>
      <c r="K191" s="232" t="s">
        <v>334</v>
      </c>
      <c r="L191" s="232"/>
      <c r="M191" s="511"/>
      <c r="N191" s="232"/>
      <c r="O191" s="232"/>
      <c r="P191" s="312"/>
      <c r="Q191" s="312"/>
      <c r="R191" s="312"/>
      <c r="S191" s="312"/>
      <c r="T191" s="312"/>
      <c r="U191" s="312"/>
    </row>
    <row r="192">
      <c r="A192" s="520">
        <v>45081.0</v>
      </c>
      <c r="B192" s="232" t="s">
        <v>23044</v>
      </c>
      <c r="C192" s="509" t="s">
        <v>23045</v>
      </c>
      <c r="D192" s="510"/>
      <c r="E192" s="511"/>
      <c r="F192" s="232" t="s">
        <v>23046</v>
      </c>
      <c r="G192" s="232" t="s">
        <v>99</v>
      </c>
      <c r="H192" s="232">
        <v>6.370185866E9</v>
      </c>
      <c r="I192" s="509" t="s">
        <v>23047</v>
      </c>
      <c r="J192" s="232" t="b">
        <v>0</v>
      </c>
      <c r="K192" s="232" t="s">
        <v>22355</v>
      </c>
      <c r="L192" s="232"/>
      <c r="M192" s="511"/>
      <c r="N192" s="232"/>
      <c r="O192" s="232"/>
      <c r="P192" s="312"/>
      <c r="Q192" s="312"/>
      <c r="R192" s="312"/>
      <c r="S192" s="312"/>
      <c r="T192" s="312"/>
      <c r="U192" s="312"/>
    </row>
    <row r="193">
      <c r="A193" s="520">
        <v>45081.0</v>
      </c>
      <c r="B193" s="232" t="s">
        <v>23048</v>
      </c>
      <c r="C193" s="509" t="s">
        <v>20791</v>
      </c>
      <c r="D193" s="510" t="s">
        <v>23049</v>
      </c>
      <c r="E193" s="511"/>
      <c r="F193" s="232" t="s">
        <v>23050</v>
      </c>
      <c r="G193" s="232" t="s">
        <v>467</v>
      </c>
      <c r="H193" s="232">
        <v>9.598488041E9</v>
      </c>
      <c r="I193" s="509" t="s">
        <v>23051</v>
      </c>
      <c r="J193" s="232" t="b">
        <v>0</v>
      </c>
      <c r="K193" s="232" t="s">
        <v>22365</v>
      </c>
      <c r="L193" s="232" t="s">
        <v>22611</v>
      </c>
      <c r="M193" s="511"/>
      <c r="N193" s="232"/>
      <c r="O193" s="232"/>
      <c r="P193" s="312"/>
      <c r="Q193" s="312"/>
      <c r="R193" s="312"/>
      <c r="S193" s="312"/>
      <c r="T193" s="312"/>
      <c r="U193" s="312"/>
    </row>
    <row r="194">
      <c r="A194" s="520">
        <v>45081.0</v>
      </c>
      <c r="B194" s="232" t="s">
        <v>23052</v>
      </c>
      <c r="C194" s="509" t="s">
        <v>23053</v>
      </c>
      <c r="D194" s="510" t="s">
        <v>23054</v>
      </c>
      <c r="E194" s="511"/>
      <c r="F194" s="232" t="s">
        <v>23055</v>
      </c>
      <c r="G194" s="232" t="s">
        <v>467</v>
      </c>
      <c r="H194" s="232">
        <v>8.418885004E9</v>
      </c>
      <c r="I194" s="509" t="s">
        <v>22343</v>
      </c>
      <c r="J194" s="232" t="b">
        <v>0</v>
      </c>
      <c r="K194" s="232" t="s">
        <v>22365</v>
      </c>
      <c r="L194" s="232" t="s">
        <v>22422</v>
      </c>
      <c r="M194" s="511"/>
      <c r="N194" s="232"/>
      <c r="O194" s="232"/>
      <c r="P194" s="312"/>
      <c r="Q194" s="312"/>
      <c r="R194" s="312"/>
      <c r="S194" s="312"/>
      <c r="T194" s="312"/>
      <c r="U194" s="312"/>
    </row>
    <row r="195">
      <c r="A195" s="520">
        <v>45081.0</v>
      </c>
      <c r="B195" s="232" t="s">
        <v>23056</v>
      </c>
      <c r="C195" s="509" t="s">
        <v>23057</v>
      </c>
      <c r="D195" s="510"/>
      <c r="E195" s="511"/>
      <c r="F195" s="232" t="s">
        <v>23058</v>
      </c>
      <c r="G195" s="232" t="s">
        <v>1663</v>
      </c>
      <c r="H195" s="232">
        <v>9.482296496E9</v>
      </c>
      <c r="I195" s="509" t="s">
        <v>23059</v>
      </c>
      <c r="J195" s="232" t="b">
        <v>0</v>
      </c>
      <c r="K195" s="232"/>
      <c r="L195" s="232"/>
      <c r="M195" s="511"/>
      <c r="N195" s="232"/>
      <c r="O195" s="232"/>
      <c r="P195" s="312"/>
      <c r="Q195" s="312"/>
      <c r="R195" s="312"/>
      <c r="S195" s="312"/>
      <c r="T195" s="312"/>
      <c r="U195" s="312"/>
    </row>
    <row r="196">
      <c r="A196" s="520">
        <v>45081.0</v>
      </c>
      <c r="B196" s="232" t="s">
        <v>23060</v>
      </c>
      <c r="C196" s="509" t="s">
        <v>23061</v>
      </c>
      <c r="D196" s="510" t="s">
        <v>23062</v>
      </c>
      <c r="E196" s="511"/>
      <c r="F196" s="232" t="s">
        <v>23063</v>
      </c>
      <c r="G196" s="232" t="s">
        <v>15263</v>
      </c>
      <c r="H196" s="232">
        <v>9.654614173E9</v>
      </c>
      <c r="I196" s="509" t="s">
        <v>22860</v>
      </c>
      <c r="J196" s="232" t="b">
        <v>0</v>
      </c>
      <c r="K196" s="232" t="s">
        <v>22349</v>
      </c>
      <c r="L196" s="232" t="s">
        <v>22699</v>
      </c>
      <c r="M196" s="511"/>
      <c r="N196" s="232"/>
      <c r="O196" s="232"/>
      <c r="P196" s="312"/>
      <c r="Q196" s="312"/>
      <c r="R196" s="312"/>
      <c r="S196" s="312"/>
      <c r="T196" s="312"/>
      <c r="U196" s="312"/>
    </row>
    <row r="197">
      <c r="A197" s="520">
        <v>45081.0</v>
      </c>
      <c r="B197" s="232" t="s">
        <v>23064</v>
      </c>
      <c r="C197" s="509" t="s">
        <v>23065</v>
      </c>
      <c r="D197" s="510" t="s">
        <v>23066</v>
      </c>
      <c r="E197" s="511"/>
      <c r="F197" s="232" t="s">
        <v>23067</v>
      </c>
      <c r="G197" s="232" t="s">
        <v>930</v>
      </c>
      <c r="H197" s="232">
        <v>9.482483899E9</v>
      </c>
      <c r="I197" s="509" t="s">
        <v>23068</v>
      </c>
      <c r="J197" s="232" t="b">
        <v>0</v>
      </c>
      <c r="K197" s="232"/>
      <c r="L197" s="232"/>
      <c r="M197" s="511"/>
      <c r="N197" s="232"/>
      <c r="O197" s="232"/>
      <c r="P197" s="312"/>
      <c r="Q197" s="312"/>
      <c r="R197" s="312"/>
      <c r="S197" s="312"/>
      <c r="T197" s="312"/>
      <c r="U197" s="312"/>
    </row>
    <row r="198">
      <c r="A198" s="520">
        <v>45050.0</v>
      </c>
      <c r="B198" s="232" t="s">
        <v>23069</v>
      </c>
      <c r="C198" s="509" t="s">
        <v>23070</v>
      </c>
      <c r="D198" s="510" t="s">
        <v>23071</v>
      </c>
      <c r="E198" s="511"/>
      <c r="F198" s="232" t="s">
        <v>23072</v>
      </c>
      <c r="G198" s="232" t="s">
        <v>23073</v>
      </c>
      <c r="H198" s="232">
        <v>8.950587888E9</v>
      </c>
      <c r="I198" s="509" t="s">
        <v>23074</v>
      </c>
      <c r="J198" s="232" t="b">
        <v>0</v>
      </c>
      <c r="K198" s="232"/>
      <c r="L198" s="232"/>
      <c r="M198" s="511"/>
      <c r="N198" s="232"/>
      <c r="O198" s="232"/>
      <c r="P198" s="312"/>
      <c r="Q198" s="312"/>
      <c r="R198" s="312"/>
      <c r="S198" s="312"/>
      <c r="T198" s="312"/>
      <c r="U198" s="312"/>
    </row>
    <row r="199">
      <c r="A199" s="520">
        <v>45050.0</v>
      </c>
      <c r="B199" s="232" t="s">
        <v>23075</v>
      </c>
      <c r="C199" s="509" t="s">
        <v>23076</v>
      </c>
      <c r="D199" s="510"/>
      <c r="E199" s="511"/>
      <c r="F199" s="232" t="s">
        <v>23077</v>
      </c>
      <c r="G199" s="232" t="s">
        <v>9891</v>
      </c>
      <c r="H199" s="232">
        <v>8.794227976E9</v>
      </c>
      <c r="I199" s="509" t="s">
        <v>23078</v>
      </c>
      <c r="J199" s="232" t="b">
        <v>0</v>
      </c>
      <c r="K199" s="232" t="s">
        <v>22365</v>
      </c>
      <c r="L199" s="232" t="s">
        <v>22422</v>
      </c>
      <c r="M199" s="511"/>
      <c r="N199" s="232"/>
      <c r="O199" s="232"/>
      <c r="P199" s="312"/>
      <c r="Q199" s="312"/>
      <c r="R199" s="312"/>
      <c r="S199" s="312"/>
      <c r="T199" s="312"/>
      <c r="U199" s="312"/>
    </row>
    <row r="200">
      <c r="A200" s="520">
        <v>45050.0</v>
      </c>
      <c r="B200" s="232" t="s">
        <v>23079</v>
      </c>
      <c r="C200" s="509" t="s">
        <v>23080</v>
      </c>
      <c r="D200" s="510"/>
      <c r="E200" s="511"/>
      <c r="F200" s="232" t="s">
        <v>23081</v>
      </c>
      <c r="G200" s="232" t="s">
        <v>23082</v>
      </c>
      <c r="H200" s="232">
        <v>9.382087425E9</v>
      </c>
      <c r="I200" s="509" t="s">
        <v>23083</v>
      </c>
      <c r="J200" s="232" t="b">
        <v>0</v>
      </c>
      <c r="K200" s="232" t="s">
        <v>22365</v>
      </c>
      <c r="L200" s="232" t="s">
        <v>22422</v>
      </c>
      <c r="M200" s="511"/>
      <c r="N200" s="232"/>
      <c r="O200" s="232"/>
      <c r="P200" s="312"/>
      <c r="Q200" s="312"/>
      <c r="R200" s="312"/>
      <c r="S200" s="312"/>
      <c r="T200" s="312"/>
      <c r="U200" s="312"/>
    </row>
    <row r="201">
      <c r="A201" s="520">
        <v>45050.0</v>
      </c>
      <c r="B201" s="232" t="s">
        <v>23084</v>
      </c>
      <c r="C201" s="509" t="s">
        <v>23085</v>
      </c>
      <c r="D201" s="510" t="s">
        <v>23086</v>
      </c>
      <c r="E201" s="511"/>
      <c r="F201" s="232" t="s">
        <v>23087</v>
      </c>
      <c r="G201" s="232" t="s">
        <v>22479</v>
      </c>
      <c r="H201" s="232">
        <v>8.383801262E9</v>
      </c>
      <c r="I201" s="509" t="s">
        <v>22961</v>
      </c>
      <c r="J201" s="232" t="b">
        <v>0</v>
      </c>
      <c r="K201" s="232" t="s">
        <v>22365</v>
      </c>
      <c r="L201" s="232" t="s">
        <v>22611</v>
      </c>
      <c r="M201" s="511"/>
      <c r="N201" s="232"/>
      <c r="O201" s="232"/>
      <c r="P201" s="312"/>
      <c r="Q201" s="312"/>
      <c r="R201" s="312"/>
      <c r="S201" s="312"/>
      <c r="T201" s="312"/>
      <c r="U201" s="312"/>
    </row>
    <row r="202">
      <c r="A202" s="520">
        <v>45050.0</v>
      </c>
      <c r="B202" s="232" t="s">
        <v>23088</v>
      </c>
      <c r="C202" s="509" t="s">
        <v>23089</v>
      </c>
      <c r="D202" s="510" t="s">
        <v>23090</v>
      </c>
      <c r="E202" s="511"/>
      <c r="F202" s="232" t="s">
        <v>23091</v>
      </c>
      <c r="G202" s="232" t="s">
        <v>519</v>
      </c>
      <c r="H202" s="232">
        <v>9.327204361E9</v>
      </c>
      <c r="I202" s="512" t="s">
        <v>23092</v>
      </c>
      <c r="J202" s="232" t="b">
        <v>0</v>
      </c>
      <c r="K202" s="232"/>
      <c r="L202" s="232"/>
      <c r="M202" s="511"/>
      <c r="N202" s="232"/>
      <c r="O202" s="232"/>
      <c r="P202" s="312"/>
      <c r="Q202" s="312"/>
      <c r="R202" s="312"/>
      <c r="S202" s="312"/>
      <c r="T202" s="312"/>
      <c r="U202" s="312"/>
    </row>
    <row r="203">
      <c r="A203" s="520">
        <v>45050.0</v>
      </c>
      <c r="B203" s="232" t="s">
        <v>23093</v>
      </c>
      <c r="C203" s="509" t="s">
        <v>23094</v>
      </c>
      <c r="D203" s="510" t="s">
        <v>23095</v>
      </c>
      <c r="E203" s="511"/>
      <c r="F203" s="232"/>
      <c r="G203" s="232" t="s">
        <v>7995</v>
      </c>
      <c r="H203" s="232">
        <v>9.433429805E9</v>
      </c>
      <c r="I203" s="509" t="s">
        <v>22577</v>
      </c>
      <c r="J203" s="232" t="b">
        <v>0</v>
      </c>
      <c r="K203" s="232" t="s">
        <v>22365</v>
      </c>
      <c r="L203" s="232" t="s">
        <v>22422</v>
      </c>
      <c r="M203" s="511"/>
      <c r="N203" s="232"/>
      <c r="O203" s="232"/>
      <c r="P203" s="312"/>
      <c r="Q203" s="312"/>
      <c r="R203" s="312"/>
      <c r="S203" s="312"/>
      <c r="T203" s="312"/>
      <c r="U203" s="312"/>
    </row>
    <row r="204">
      <c r="A204" s="520">
        <v>45050.0</v>
      </c>
      <c r="B204" s="232" t="s">
        <v>23096</v>
      </c>
      <c r="C204" s="509" t="s">
        <v>23097</v>
      </c>
      <c r="D204" s="510" t="s">
        <v>23098</v>
      </c>
      <c r="E204" s="511"/>
      <c r="F204" s="232"/>
      <c r="G204" s="232" t="s">
        <v>930</v>
      </c>
      <c r="H204" s="232">
        <v>9.724021865E9</v>
      </c>
      <c r="I204" s="509" t="s">
        <v>23099</v>
      </c>
      <c r="J204" s="232" t="b">
        <v>0</v>
      </c>
      <c r="K204" s="232"/>
      <c r="L204" s="232"/>
      <c r="M204" s="511"/>
      <c r="N204" s="232"/>
      <c r="O204" s="232"/>
      <c r="P204" s="312"/>
      <c r="Q204" s="312"/>
      <c r="R204" s="312"/>
      <c r="S204" s="312"/>
      <c r="T204" s="312"/>
      <c r="U204" s="312"/>
    </row>
    <row r="205">
      <c r="A205" s="520">
        <v>45050.0</v>
      </c>
      <c r="B205" s="232" t="s">
        <v>23100</v>
      </c>
      <c r="C205" s="509" t="s">
        <v>23101</v>
      </c>
      <c r="D205" s="510" t="s">
        <v>23102</v>
      </c>
      <c r="E205" s="511"/>
      <c r="F205" s="232" t="s">
        <v>23103</v>
      </c>
      <c r="G205" s="232" t="s">
        <v>467</v>
      </c>
      <c r="H205" s="232">
        <v>9.821054217E9</v>
      </c>
      <c r="I205" s="509" t="s">
        <v>23104</v>
      </c>
      <c r="J205" s="232" t="b">
        <v>0</v>
      </c>
      <c r="K205" s="232" t="s">
        <v>22365</v>
      </c>
      <c r="L205" s="232" t="s">
        <v>22422</v>
      </c>
      <c r="M205" s="511"/>
      <c r="N205" s="232"/>
      <c r="O205" s="232"/>
      <c r="P205" s="312"/>
      <c r="Q205" s="312"/>
      <c r="R205" s="312"/>
      <c r="S205" s="312"/>
      <c r="T205" s="312"/>
      <c r="U205" s="312"/>
    </row>
    <row r="206">
      <c r="A206" s="520">
        <v>45050.0</v>
      </c>
      <c r="B206" s="232" t="s">
        <v>23105</v>
      </c>
      <c r="C206" s="509" t="s">
        <v>23106</v>
      </c>
      <c r="D206" s="510" t="s">
        <v>23107</v>
      </c>
      <c r="E206" s="511"/>
      <c r="F206" s="232" t="s">
        <v>23108</v>
      </c>
      <c r="G206" s="232" t="s">
        <v>467</v>
      </c>
      <c r="H206" s="232">
        <v>8.630929997E9</v>
      </c>
      <c r="I206" s="509" t="s">
        <v>23109</v>
      </c>
      <c r="J206" s="232" t="b">
        <v>0</v>
      </c>
      <c r="K206" s="232"/>
      <c r="L206" s="232"/>
      <c r="M206" s="511"/>
      <c r="N206" s="232"/>
      <c r="O206" s="232"/>
      <c r="P206" s="312"/>
      <c r="Q206" s="312"/>
      <c r="R206" s="312"/>
      <c r="S206" s="312"/>
      <c r="T206" s="312"/>
      <c r="U206" s="312"/>
    </row>
    <row r="207">
      <c r="A207" s="520">
        <v>45050.0</v>
      </c>
      <c r="B207" s="232" t="s">
        <v>23110</v>
      </c>
      <c r="C207" s="522" t="s">
        <v>23111</v>
      </c>
      <c r="D207" s="510" t="s">
        <v>23112</v>
      </c>
      <c r="E207" s="511"/>
      <c r="F207" s="232" t="s">
        <v>23113</v>
      </c>
      <c r="G207" s="232" t="s">
        <v>9891</v>
      </c>
      <c r="H207" s="232">
        <v>7.423854853E9</v>
      </c>
      <c r="I207" s="509" t="s">
        <v>23114</v>
      </c>
      <c r="J207" s="232" t="b">
        <v>0</v>
      </c>
      <c r="K207" s="232" t="s">
        <v>22349</v>
      </c>
      <c r="L207" s="232" t="s">
        <v>22398</v>
      </c>
      <c r="M207" s="511"/>
      <c r="N207" s="232"/>
      <c r="O207" s="232"/>
      <c r="P207" s="312"/>
      <c r="Q207" s="312"/>
      <c r="R207" s="312"/>
      <c r="S207" s="312"/>
      <c r="T207" s="312"/>
      <c r="U207" s="312"/>
    </row>
    <row r="208">
      <c r="A208" s="520">
        <v>45050.0</v>
      </c>
      <c r="B208" s="232" t="s">
        <v>23115</v>
      </c>
      <c r="C208" s="509" t="s">
        <v>23116</v>
      </c>
      <c r="D208" s="510" t="s">
        <v>23117</v>
      </c>
      <c r="E208" s="511"/>
      <c r="F208" s="232" t="s">
        <v>23118</v>
      </c>
      <c r="G208" s="232" t="s">
        <v>1691</v>
      </c>
      <c r="H208" s="232">
        <v>7.001744906E9</v>
      </c>
      <c r="I208" s="509" t="s">
        <v>22289</v>
      </c>
      <c r="J208" s="232" t="b">
        <v>0</v>
      </c>
      <c r="K208" s="232" t="s">
        <v>22365</v>
      </c>
      <c r="L208" s="232" t="s">
        <v>22514</v>
      </c>
      <c r="M208" s="511"/>
      <c r="N208" s="232"/>
      <c r="O208" s="232"/>
      <c r="P208" s="312"/>
      <c r="Q208" s="312"/>
      <c r="R208" s="312"/>
      <c r="S208" s="312"/>
      <c r="T208" s="312"/>
      <c r="U208" s="312"/>
    </row>
    <row r="209">
      <c r="A209" s="520">
        <v>45050.0</v>
      </c>
      <c r="B209" s="232" t="s">
        <v>23119</v>
      </c>
      <c r="C209" s="509" t="s">
        <v>23120</v>
      </c>
      <c r="D209" s="510" t="s">
        <v>23121</v>
      </c>
      <c r="E209" s="511"/>
      <c r="F209" s="232" t="s">
        <v>23122</v>
      </c>
      <c r="G209" s="232" t="s">
        <v>158</v>
      </c>
      <c r="H209" s="232">
        <v>9.831046924E9</v>
      </c>
      <c r="I209" s="509" t="s">
        <v>23123</v>
      </c>
      <c r="J209" s="232" t="b">
        <v>0</v>
      </c>
      <c r="K209" s="232" t="s">
        <v>334</v>
      </c>
      <c r="L209" s="232"/>
      <c r="M209" s="511"/>
      <c r="N209" s="232"/>
      <c r="O209" s="232"/>
      <c r="P209" s="312"/>
      <c r="Q209" s="312"/>
      <c r="R209" s="312"/>
      <c r="S209" s="312"/>
      <c r="T209" s="312"/>
      <c r="U209" s="312"/>
    </row>
    <row r="210">
      <c r="A210" s="520">
        <v>45050.0</v>
      </c>
      <c r="B210" s="232" t="s">
        <v>23124</v>
      </c>
      <c r="C210" s="509" t="s">
        <v>23125</v>
      </c>
      <c r="D210" s="510" t="s">
        <v>23126</v>
      </c>
      <c r="E210" s="511"/>
      <c r="F210" s="232" t="s">
        <v>23127</v>
      </c>
      <c r="G210" s="232" t="s">
        <v>507</v>
      </c>
      <c r="H210" s="232">
        <v>9.004433845E9</v>
      </c>
      <c r="I210" s="509" t="s">
        <v>23128</v>
      </c>
      <c r="J210" s="232" t="b">
        <v>0</v>
      </c>
      <c r="K210" s="232" t="s">
        <v>22365</v>
      </c>
      <c r="L210" s="232" t="s">
        <v>22760</v>
      </c>
      <c r="M210" s="511"/>
      <c r="N210" s="232"/>
      <c r="O210" s="232"/>
      <c r="P210" s="312"/>
      <c r="Q210" s="312"/>
      <c r="R210" s="312"/>
      <c r="S210" s="312"/>
      <c r="T210" s="312"/>
      <c r="U210" s="312"/>
    </row>
    <row r="211">
      <c r="A211" s="520">
        <v>45050.0</v>
      </c>
      <c r="B211" s="232" t="s">
        <v>23129</v>
      </c>
      <c r="C211" s="509" t="s">
        <v>23130</v>
      </c>
      <c r="D211" s="510" t="s">
        <v>23131</v>
      </c>
      <c r="E211" s="511"/>
      <c r="F211" s="232" t="s">
        <v>23132</v>
      </c>
      <c r="G211" s="232" t="s">
        <v>7995</v>
      </c>
      <c r="H211" s="232">
        <v>6.295937186E9</v>
      </c>
      <c r="I211" s="509" t="s">
        <v>23133</v>
      </c>
      <c r="J211" s="232" t="b">
        <v>0</v>
      </c>
      <c r="K211" s="232" t="s">
        <v>22365</v>
      </c>
      <c r="L211" s="232" t="s">
        <v>22422</v>
      </c>
      <c r="M211" s="511"/>
      <c r="N211" s="232"/>
      <c r="O211" s="232"/>
      <c r="P211" s="312"/>
      <c r="Q211" s="312"/>
      <c r="R211" s="312"/>
      <c r="S211" s="312"/>
      <c r="T211" s="312"/>
      <c r="U211" s="312"/>
    </row>
    <row r="212">
      <c r="A212" s="520">
        <v>45050.0</v>
      </c>
      <c r="B212" s="232" t="s">
        <v>23134</v>
      </c>
      <c r="C212" s="509" t="s">
        <v>23135</v>
      </c>
      <c r="D212" s="510" t="s">
        <v>23136</v>
      </c>
      <c r="E212" s="511"/>
      <c r="F212" s="232" t="s">
        <v>23137</v>
      </c>
      <c r="G212" s="232" t="s">
        <v>507</v>
      </c>
      <c r="H212" s="232">
        <v>8.390458559E9</v>
      </c>
      <c r="I212" s="509" t="s">
        <v>23138</v>
      </c>
      <c r="J212" s="232" t="b">
        <v>0</v>
      </c>
      <c r="K212" s="232" t="s">
        <v>22365</v>
      </c>
      <c r="L212" s="232" t="s">
        <v>22422</v>
      </c>
      <c r="M212" s="511"/>
      <c r="N212" s="232"/>
      <c r="O212" s="232"/>
      <c r="P212" s="312"/>
      <c r="Q212" s="312"/>
      <c r="R212" s="312"/>
      <c r="S212" s="312"/>
      <c r="T212" s="312"/>
      <c r="U212" s="312"/>
    </row>
    <row r="213">
      <c r="A213" s="520">
        <v>45050.0</v>
      </c>
      <c r="B213" s="232" t="s">
        <v>23139</v>
      </c>
      <c r="C213" s="509" t="s">
        <v>23140</v>
      </c>
      <c r="D213" s="510" t="s">
        <v>23141</v>
      </c>
      <c r="E213" s="511"/>
      <c r="F213" s="232" t="s">
        <v>23142</v>
      </c>
      <c r="G213" s="232" t="s">
        <v>467</v>
      </c>
      <c r="H213" s="232">
        <v>9.997790619E9</v>
      </c>
      <c r="I213" s="509" t="s">
        <v>22727</v>
      </c>
      <c r="J213" s="232" t="b">
        <v>0</v>
      </c>
      <c r="K213" s="232" t="s">
        <v>334</v>
      </c>
      <c r="L213" s="232"/>
      <c r="M213" s="511"/>
      <c r="N213" s="232"/>
      <c r="O213" s="232"/>
      <c r="P213" s="312"/>
      <c r="Q213" s="312"/>
      <c r="R213" s="312"/>
      <c r="S213" s="312"/>
      <c r="T213" s="312"/>
      <c r="U213" s="312"/>
    </row>
    <row r="214">
      <c r="A214" s="520">
        <v>45050.0</v>
      </c>
      <c r="B214" s="232" t="s">
        <v>23143</v>
      </c>
      <c r="C214" s="509" t="s">
        <v>23144</v>
      </c>
      <c r="D214" s="510" t="s">
        <v>23145</v>
      </c>
      <c r="E214" s="511"/>
      <c r="F214" s="232" t="s">
        <v>23146</v>
      </c>
      <c r="G214" s="232" t="s">
        <v>22884</v>
      </c>
      <c r="H214" s="232">
        <v>8.918801975E9</v>
      </c>
      <c r="I214" s="509" t="s">
        <v>23147</v>
      </c>
      <c r="J214" s="232" t="b">
        <v>0</v>
      </c>
      <c r="K214" s="232" t="s">
        <v>22365</v>
      </c>
      <c r="L214" s="232"/>
      <c r="M214" s="511"/>
      <c r="N214" s="232"/>
      <c r="O214" s="232"/>
      <c r="P214" s="312"/>
      <c r="Q214" s="312"/>
      <c r="R214" s="312"/>
      <c r="S214" s="312"/>
      <c r="T214" s="312"/>
      <c r="U214" s="312"/>
    </row>
    <row r="215">
      <c r="A215" s="520">
        <v>45050.0</v>
      </c>
      <c r="B215" s="232" t="s">
        <v>23148</v>
      </c>
      <c r="C215" s="509" t="s">
        <v>23149</v>
      </c>
      <c r="D215" s="510" t="s">
        <v>23150</v>
      </c>
      <c r="E215" s="511"/>
      <c r="F215" s="232"/>
      <c r="G215" s="232" t="s">
        <v>7995</v>
      </c>
      <c r="H215" s="232">
        <v>6.290174299E9</v>
      </c>
      <c r="I215" s="512" t="s">
        <v>23151</v>
      </c>
      <c r="J215" s="232" t="b">
        <v>0</v>
      </c>
      <c r="K215" s="232" t="s">
        <v>22349</v>
      </c>
      <c r="L215" s="425" t="s">
        <v>23152</v>
      </c>
      <c r="M215" s="511"/>
      <c r="N215" s="232"/>
      <c r="O215" s="232"/>
      <c r="P215" s="312"/>
      <c r="Q215" s="312"/>
      <c r="R215" s="312"/>
      <c r="S215" s="312"/>
      <c r="T215" s="312"/>
      <c r="U215" s="312"/>
    </row>
    <row r="216">
      <c r="A216" s="520">
        <v>45050.0</v>
      </c>
      <c r="B216" s="232" t="s">
        <v>23153</v>
      </c>
      <c r="C216" s="509" t="s">
        <v>23154</v>
      </c>
      <c r="D216" s="510" t="s">
        <v>23155</v>
      </c>
      <c r="E216" s="511"/>
      <c r="F216" s="232"/>
      <c r="G216" s="232" t="s">
        <v>7995</v>
      </c>
      <c r="H216" s="232">
        <v>9.831006789E9</v>
      </c>
      <c r="I216" s="509" t="s">
        <v>23156</v>
      </c>
      <c r="J216" s="232" t="b">
        <v>0</v>
      </c>
      <c r="K216" s="232" t="s">
        <v>334</v>
      </c>
      <c r="L216" s="232"/>
      <c r="M216" s="511"/>
      <c r="N216" s="232"/>
      <c r="O216" s="232"/>
      <c r="P216" s="312"/>
      <c r="Q216" s="312"/>
      <c r="R216" s="312"/>
      <c r="S216" s="312"/>
      <c r="T216" s="312"/>
      <c r="U216" s="312"/>
    </row>
    <row r="217">
      <c r="A217" s="520">
        <v>45020.0</v>
      </c>
      <c r="B217" s="232" t="s">
        <v>23157</v>
      </c>
      <c r="C217" s="509" t="s">
        <v>23158</v>
      </c>
      <c r="D217" s="510"/>
      <c r="E217" s="511"/>
      <c r="F217" s="232" t="s">
        <v>23159</v>
      </c>
      <c r="G217" s="232" t="s">
        <v>22768</v>
      </c>
      <c r="H217" s="232">
        <v>-7.061714142E9</v>
      </c>
      <c r="I217" s="509" t="s">
        <v>23160</v>
      </c>
      <c r="J217" s="232" t="b">
        <v>0</v>
      </c>
      <c r="K217" s="232" t="s">
        <v>12092</v>
      </c>
      <c r="L217" s="232"/>
      <c r="M217" s="511"/>
      <c r="N217" s="232"/>
      <c r="O217" s="232"/>
      <c r="P217" s="312"/>
      <c r="Q217" s="312"/>
      <c r="R217" s="312"/>
      <c r="S217" s="312"/>
      <c r="T217" s="312"/>
      <c r="U217" s="312"/>
    </row>
    <row r="218">
      <c r="A218" s="520">
        <v>45020.0</v>
      </c>
      <c r="B218" s="232" t="s">
        <v>23161</v>
      </c>
      <c r="C218" s="509" t="s">
        <v>17777</v>
      </c>
      <c r="D218" s="510" t="s">
        <v>23162</v>
      </c>
      <c r="E218" s="511"/>
      <c r="F218" s="232" t="s">
        <v>22991</v>
      </c>
      <c r="G218" s="232" t="s">
        <v>23035</v>
      </c>
      <c r="H218" s="232">
        <v>8.360585838E9</v>
      </c>
      <c r="I218" s="512" t="s">
        <v>22993</v>
      </c>
      <c r="J218" s="232" t="b">
        <v>0</v>
      </c>
      <c r="K218" s="232" t="s">
        <v>12092</v>
      </c>
      <c r="L218" s="232"/>
      <c r="M218" s="511"/>
      <c r="N218" s="232"/>
      <c r="O218" s="232"/>
      <c r="P218" s="312"/>
      <c r="Q218" s="312"/>
      <c r="R218" s="312"/>
      <c r="S218" s="312"/>
      <c r="T218" s="312"/>
      <c r="U218" s="312"/>
    </row>
    <row r="219">
      <c r="A219" s="520">
        <v>45020.0</v>
      </c>
      <c r="B219" s="232" t="s">
        <v>23163</v>
      </c>
      <c r="C219" s="509" t="s">
        <v>474</v>
      </c>
      <c r="D219" s="510" t="s">
        <v>23164</v>
      </c>
      <c r="E219" s="511"/>
      <c r="F219" s="232" t="s">
        <v>23165</v>
      </c>
      <c r="G219" s="232" t="s">
        <v>9094</v>
      </c>
      <c r="H219" s="232">
        <v>8.278142335E9</v>
      </c>
      <c r="I219" s="509" t="s">
        <v>23166</v>
      </c>
      <c r="J219" s="232" t="b">
        <v>0</v>
      </c>
      <c r="K219" s="232" t="s">
        <v>22365</v>
      </c>
      <c r="L219" s="232"/>
      <c r="M219" s="511"/>
      <c r="N219" s="232"/>
      <c r="O219" s="232"/>
      <c r="P219" s="312"/>
      <c r="Q219" s="312"/>
      <c r="R219" s="312"/>
      <c r="S219" s="312"/>
      <c r="T219" s="312"/>
      <c r="U219" s="312"/>
    </row>
    <row r="220">
      <c r="A220" s="520">
        <v>45020.0</v>
      </c>
      <c r="B220" s="232" t="s">
        <v>23167</v>
      </c>
      <c r="C220" s="509" t="s">
        <v>23168</v>
      </c>
      <c r="D220" s="510" t="s">
        <v>23169</v>
      </c>
      <c r="E220" s="511"/>
      <c r="F220" s="232" t="s">
        <v>23170</v>
      </c>
      <c r="G220" s="232" t="s">
        <v>467</v>
      </c>
      <c r="H220" s="232">
        <v>9.927241323E9</v>
      </c>
      <c r="I220" s="509" t="s">
        <v>22278</v>
      </c>
      <c r="J220" s="232" t="b">
        <v>0</v>
      </c>
      <c r="K220" s="232" t="s">
        <v>22355</v>
      </c>
      <c r="L220" s="232"/>
      <c r="M220" s="511"/>
      <c r="N220" s="232"/>
      <c r="O220" s="232"/>
      <c r="P220" s="312"/>
      <c r="Q220" s="312"/>
      <c r="R220" s="312"/>
      <c r="S220" s="312"/>
      <c r="T220" s="312"/>
      <c r="U220" s="312"/>
    </row>
    <row r="221">
      <c r="A221" s="520">
        <v>45020.0</v>
      </c>
      <c r="B221" s="232" t="s">
        <v>23171</v>
      </c>
      <c r="C221" s="509" t="s">
        <v>23172</v>
      </c>
      <c r="D221" s="510"/>
      <c r="E221" s="511"/>
      <c r="F221" s="232" t="s">
        <v>23173</v>
      </c>
      <c r="G221" s="232" t="s">
        <v>14534</v>
      </c>
      <c r="H221" s="232">
        <v>8.219678968E9</v>
      </c>
      <c r="I221" s="509" t="s">
        <v>23174</v>
      </c>
      <c r="J221" s="232" t="b">
        <v>0</v>
      </c>
      <c r="K221" s="232" t="s">
        <v>22365</v>
      </c>
      <c r="L221" s="232" t="s">
        <v>23175</v>
      </c>
      <c r="M221" s="511"/>
      <c r="N221" s="232"/>
      <c r="O221" s="232"/>
      <c r="P221" s="312"/>
      <c r="Q221" s="312"/>
      <c r="R221" s="312"/>
      <c r="S221" s="312"/>
      <c r="T221" s="312"/>
      <c r="U221" s="312"/>
    </row>
    <row r="222">
      <c r="A222" s="520">
        <v>45020.0</v>
      </c>
      <c r="B222" s="232" t="s">
        <v>23171</v>
      </c>
      <c r="C222" s="509" t="s">
        <v>23176</v>
      </c>
      <c r="D222" s="524" t="s">
        <v>23177</v>
      </c>
      <c r="E222" s="511"/>
      <c r="F222" s="232" t="s">
        <v>23178</v>
      </c>
      <c r="G222" s="232" t="s">
        <v>23179</v>
      </c>
      <c r="H222" s="232">
        <v>7.707089643E9</v>
      </c>
      <c r="I222" s="509" t="s">
        <v>22678</v>
      </c>
      <c r="J222" s="232" t="b">
        <v>0</v>
      </c>
      <c r="K222" s="232" t="s">
        <v>22365</v>
      </c>
      <c r="L222" s="232" t="s">
        <v>22422</v>
      </c>
      <c r="M222" s="511"/>
      <c r="N222" s="232"/>
      <c r="O222" s="232"/>
      <c r="P222" s="312"/>
      <c r="Q222" s="312"/>
      <c r="R222" s="312"/>
      <c r="S222" s="312"/>
      <c r="T222" s="312"/>
      <c r="U222" s="312"/>
    </row>
    <row r="223">
      <c r="A223" s="520">
        <v>45020.0</v>
      </c>
      <c r="B223" s="232" t="s">
        <v>23180</v>
      </c>
      <c r="C223" s="509" t="s">
        <v>23181</v>
      </c>
      <c r="D223" s="510" t="s">
        <v>23182</v>
      </c>
      <c r="E223" s="511"/>
      <c r="F223" s="232"/>
      <c r="G223" s="232" t="s">
        <v>184</v>
      </c>
      <c r="H223" s="232">
        <v>7.766936445E9</v>
      </c>
      <c r="I223" s="509" t="s">
        <v>22321</v>
      </c>
      <c r="J223" s="232" t="b">
        <v>0</v>
      </c>
      <c r="K223" s="232" t="s">
        <v>22365</v>
      </c>
      <c r="L223" s="232" t="s">
        <v>22554</v>
      </c>
      <c r="M223" s="511"/>
      <c r="N223" s="232"/>
      <c r="O223" s="232"/>
      <c r="P223" s="312"/>
      <c r="Q223" s="312"/>
      <c r="R223" s="312"/>
      <c r="S223" s="312"/>
      <c r="T223" s="312"/>
      <c r="U223" s="312"/>
    </row>
    <row r="224">
      <c r="A224" s="520">
        <v>45020.0</v>
      </c>
      <c r="B224" s="232" t="s">
        <v>23183</v>
      </c>
      <c r="C224" s="509" t="s">
        <v>23085</v>
      </c>
      <c r="D224" s="510" t="s">
        <v>23086</v>
      </c>
      <c r="E224" s="511"/>
      <c r="F224" s="232" t="s">
        <v>23184</v>
      </c>
      <c r="G224" s="232" t="s">
        <v>467</v>
      </c>
      <c r="H224" s="232">
        <v>8.383801262E9</v>
      </c>
      <c r="I224" s="509" t="s">
        <v>22961</v>
      </c>
      <c r="J224" s="232" t="b">
        <v>0</v>
      </c>
      <c r="K224" s="232" t="s">
        <v>22365</v>
      </c>
      <c r="L224" s="232" t="s">
        <v>22611</v>
      </c>
      <c r="M224" s="511"/>
      <c r="N224" s="232"/>
      <c r="O224" s="232"/>
      <c r="P224" s="312"/>
      <c r="Q224" s="312"/>
      <c r="R224" s="312"/>
      <c r="S224" s="312"/>
      <c r="T224" s="312"/>
      <c r="U224" s="312"/>
    </row>
    <row r="225">
      <c r="A225" s="520">
        <v>45020.0</v>
      </c>
      <c r="B225" s="232" t="s">
        <v>23185</v>
      </c>
      <c r="C225" s="509" t="s">
        <v>23186</v>
      </c>
      <c r="D225" s="510"/>
      <c r="E225" s="511"/>
      <c r="F225" s="232" t="s">
        <v>23187</v>
      </c>
      <c r="G225" s="232" t="s">
        <v>7995</v>
      </c>
      <c r="H225" s="232">
        <v>9.00716397E9</v>
      </c>
      <c r="I225" s="509" t="s">
        <v>23188</v>
      </c>
      <c r="J225" s="232" t="b">
        <v>0</v>
      </c>
      <c r="K225" s="232" t="s">
        <v>22365</v>
      </c>
      <c r="L225" s="232"/>
      <c r="M225" s="511"/>
      <c r="N225" s="232"/>
      <c r="O225" s="232"/>
      <c r="P225" s="312"/>
      <c r="Q225" s="312"/>
      <c r="R225" s="312"/>
      <c r="S225" s="312"/>
      <c r="T225" s="312"/>
      <c r="U225" s="312"/>
    </row>
    <row r="226">
      <c r="A226" s="520">
        <v>45020.0</v>
      </c>
      <c r="B226" s="232" t="s">
        <v>23189</v>
      </c>
      <c r="C226" s="509" t="s">
        <v>23190</v>
      </c>
      <c r="D226" s="510"/>
      <c r="E226" s="511"/>
      <c r="F226" s="232"/>
      <c r="G226" s="232" t="s">
        <v>23191</v>
      </c>
      <c r="H226" s="232">
        <v>8.918313939E9</v>
      </c>
      <c r="I226" s="509" t="s">
        <v>22430</v>
      </c>
      <c r="J226" s="232" t="b">
        <v>0</v>
      </c>
      <c r="K226" s="232" t="s">
        <v>12092</v>
      </c>
      <c r="L226" s="232"/>
      <c r="M226" s="511"/>
      <c r="N226" s="232"/>
      <c r="O226" s="232"/>
      <c r="P226" s="312"/>
      <c r="Q226" s="312"/>
      <c r="R226" s="312"/>
      <c r="S226" s="312"/>
      <c r="T226" s="312"/>
      <c r="U226" s="312"/>
    </row>
    <row r="227">
      <c r="A227" s="520">
        <v>45020.0</v>
      </c>
      <c r="B227" s="232" t="s">
        <v>23192</v>
      </c>
      <c r="C227" s="509" t="s">
        <v>23193</v>
      </c>
      <c r="D227" s="510" t="s">
        <v>23194</v>
      </c>
      <c r="E227" s="511"/>
      <c r="F227" s="232" t="s">
        <v>23195</v>
      </c>
      <c r="G227" s="232" t="s">
        <v>7995</v>
      </c>
      <c r="H227" s="232">
        <v>9.06456395E9</v>
      </c>
      <c r="I227" s="509" t="s">
        <v>23196</v>
      </c>
      <c r="J227" s="232" t="b">
        <v>0</v>
      </c>
      <c r="K227" s="232" t="s">
        <v>22365</v>
      </c>
      <c r="L227" s="232" t="s">
        <v>22422</v>
      </c>
      <c r="M227" s="511"/>
      <c r="N227" s="232"/>
      <c r="O227" s="232"/>
      <c r="P227" s="312"/>
      <c r="Q227" s="312"/>
      <c r="R227" s="312"/>
      <c r="S227" s="312"/>
      <c r="T227" s="312"/>
      <c r="U227" s="312"/>
    </row>
    <row r="228">
      <c r="A228" s="520">
        <v>45020.0</v>
      </c>
      <c r="B228" s="232" t="s">
        <v>23197</v>
      </c>
      <c r="C228" s="522" t="s">
        <v>23198</v>
      </c>
      <c r="D228" s="510" t="s">
        <v>23199</v>
      </c>
      <c r="E228" s="511"/>
      <c r="F228" s="232" t="s">
        <v>23200</v>
      </c>
      <c r="G228" s="232" t="s">
        <v>23201</v>
      </c>
      <c r="H228" s="232">
        <v>9.14352009E9</v>
      </c>
      <c r="I228" s="509" t="s">
        <v>23202</v>
      </c>
      <c r="J228" s="232" t="b">
        <v>0</v>
      </c>
      <c r="K228" s="232" t="s">
        <v>12092</v>
      </c>
      <c r="L228" s="232"/>
      <c r="M228" s="511"/>
      <c r="N228" s="232"/>
      <c r="O228" s="232"/>
      <c r="P228" s="312"/>
      <c r="Q228" s="312"/>
      <c r="R228" s="312"/>
      <c r="S228" s="312"/>
      <c r="T228" s="312"/>
      <c r="U228" s="312"/>
    </row>
    <row r="229">
      <c r="A229" s="520">
        <v>45020.0</v>
      </c>
      <c r="B229" s="232" t="s">
        <v>23203</v>
      </c>
      <c r="C229" s="522" t="s">
        <v>23204</v>
      </c>
      <c r="D229" s="510" t="s">
        <v>23205</v>
      </c>
      <c r="E229" s="511"/>
      <c r="F229" s="232" t="s">
        <v>23206</v>
      </c>
      <c r="G229" s="232"/>
      <c r="H229" s="232">
        <v>9.123208496E9</v>
      </c>
      <c r="I229" s="509" t="s">
        <v>23207</v>
      </c>
      <c r="J229" s="232" t="b">
        <v>0</v>
      </c>
      <c r="K229" s="232" t="s">
        <v>334</v>
      </c>
      <c r="L229" s="232"/>
      <c r="M229" s="511"/>
      <c r="N229" s="232"/>
      <c r="O229" s="232"/>
      <c r="P229" s="312"/>
      <c r="Q229" s="312"/>
      <c r="R229" s="312"/>
      <c r="S229" s="312"/>
      <c r="T229" s="312"/>
      <c r="U229" s="312"/>
    </row>
    <row r="230">
      <c r="A230" s="520">
        <v>45020.0</v>
      </c>
      <c r="B230" s="232" t="s">
        <v>23208</v>
      </c>
      <c r="C230" s="509" t="s">
        <v>23209</v>
      </c>
      <c r="D230" s="510"/>
      <c r="E230" s="511"/>
      <c r="F230" s="232"/>
      <c r="G230" s="232" t="s">
        <v>131</v>
      </c>
      <c r="H230" s="232">
        <v>9.854118066E9</v>
      </c>
      <c r="I230" s="509" t="s">
        <v>22373</v>
      </c>
      <c r="J230" s="232" t="b">
        <v>0</v>
      </c>
      <c r="K230" s="232" t="s">
        <v>22349</v>
      </c>
      <c r="L230" s="232" t="s">
        <v>22398</v>
      </c>
      <c r="M230" s="511"/>
      <c r="N230" s="232"/>
      <c r="O230" s="232"/>
      <c r="P230" s="312"/>
      <c r="Q230" s="312"/>
      <c r="R230" s="312"/>
      <c r="S230" s="312"/>
      <c r="T230" s="312"/>
      <c r="U230" s="312"/>
    </row>
    <row r="231">
      <c r="A231" s="520">
        <v>44989.0</v>
      </c>
      <c r="B231" s="232" t="s">
        <v>23210</v>
      </c>
      <c r="C231" s="509" t="s">
        <v>23211</v>
      </c>
      <c r="D231" s="510"/>
      <c r="E231" s="511"/>
      <c r="F231" s="232"/>
      <c r="G231" s="232" t="s">
        <v>23212</v>
      </c>
      <c r="H231" s="232">
        <v>8.016288802E9</v>
      </c>
      <c r="I231" s="509" t="s">
        <v>22364</v>
      </c>
      <c r="J231" s="232" t="b">
        <v>0</v>
      </c>
      <c r="K231" s="232" t="s">
        <v>22365</v>
      </c>
      <c r="L231" s="232" t="s">
        <v>22611</v>
      </c>
      <c r="M231" s="511"/>
      <c r="N231" s="232"/>
      <c r="O231" s="232"/>
      <c r="P231" s="312"/>
      <c r="Q231" s="312"/>
      <c r="R231" s="312"/>
      <c r="S231" s="312"/>
      <c r="T231" s="312"/>
      <c r="U231" s="312"/>
    </row>
    <row r="232">
      <c r="A232" s="520">
        <v>44989.0</v>
      </c>
      <c r="B232" s="232" t="s">
        <v>23213</v>
      </c>
      <c r="C232" s="509" t="s">
        <v>23214</v>
      </c>
      <c r="D232" s="510"/>
      <c r="E232" s="511"/>
      <c r="F232" s="232"/>
      <c r="G232" s="232"/>
      <c r="H232" s="232">
        <v>9.334629127E9</v>
      </c>
      <c r="I232" s="509" t="s">
        <v>22469</v>
      </c>
      <c r="J232" s="232" t="b">
        <v>0</v>
      </c>
      <c r="K232" s="232" t="s">
        <v>22365</v>
      </c>
      <c r="L232" s="232" t="s">
        <v>22611</v>
      </c>
      <c r="M232" s="511"/>
      <c r="N232" s="232"/>
      <c r="O232" s="232"/>
      <c r="P232" s="312"/>
      <c r="Q232" s="312"/>
      <c r="R232" s="312"/>
      <c r="S232" s="312"/>
      <c r="T232" s="312"/>
      <c r="U232" s="312"/>
    </row>
    <row r="233">
      <c r="A233" s="520">
        <v>44989.0</v>
      </c>
      <c r="B233" s="232" t="s">
        <v>23215</v>
      </c>
      <c r="C233" s="509" t="s">
        <v>23216</v>
      </c>
      <c r="D233" s="510"/>
      <c r="E233" s="511"/>
      <c r="F233" s="232"/>
      <c r="G233" s="232" t="s">
        <v>107</v>
      </c>
      <c r="H233" s="232">
        <v>6.38552937E9</v>
      </c>
      <c r="I233" s="509" t="s">
        <v>23217</v>
      </c>
      <c r="J233" s="232" t="b">
        <v>0</v>
      </c>
      <c r="K233" s="232" t="s">
        <v>22355</v>
      </c>
      <c r="L233" s="232"/>
      <c r="M233" s="511"/>
      <c r="N233" s="232"/>
      <c r="O233" s="232"/>
      <c r="P233" s="312"/>
      <c r="Q233" s="312"/>
      <c r="R233" s="312"/>
      <c r="S233" s="312"/>
      <c r="T233" s="312"/>
      <c r="U233" s="312"/>
    </row>
    <row r="234">
      <c r="A234" s="520">
        <v>44989.0</v>
      </c>
      <c r="B234" s="232" t="s">
        <v>23183</v>
      </c>
      <c r="C234" s="509" t="s">
        <v>23218</v>
      </c>
      <c r="D234" s="510" t="s">
        <v>23219</v>
      </c>
      <c r="E234" s="511"/>
      <c r="F234" s="232" t="s">
        <v>23220</v>
      </c>
      <c r="G234" s="232" t="s">
        <v>99</v>
      </c>
      <c r="H234" s="232">
        <v>7.609049069E9</v>
      </c>
      <c r="I234" s="509" t="s">
        <v>23221</v>
      </c>
      <c r="J234" s="232" t="b">
        <v>0</v>
      </c>
      <c r="K234" s="232" t="s">
        <v>334</v>
      </c>
      <c r="L234" s="232"/>
      <c r="M234" s="511"/>
      <c r="N234" s="232"/>
      <c r="O234" s="232"/>
      <c r="P234" s="312"/>
      <c r="Q234" s="312"/>
      <c r="R234" s="312"/>
      <c r="S234" s="312"/>
      <c r="T234" s="312"/>
      <c r="U234" s="312"/>
    </row>
    <row r="235">
      <c r="A235" s="520">
        <v>44989.0</v>
      </c>
      <c r="B235" s="232" t="s">
        <v>23185</v>
      </c>
      <c r="C235" s="509" t="s">
        <v>21241</v>
      </c>
      <c r="D235" s="510" t="s">
        <v>23222</v>
      </c>
      <c r="E235" s="511"/>
      <c r="F235" s="232" t="s">
        <v>23223</v>
      </c>
      <c r="G235" s="232" t="s">
        <v>1461</v>
      </c>
      <c r="H235" s="232">
        <v>7.24074105E9</v>
      </c>
      <c r="I235" s="512" t="s">
        <v>23224</v>
      </c>
      <c r="J235" s="232" t="b">
        <v>0</v>
      </c>
      <c r="K235" s="232" t="s">
        <v>22355</v>
      </c>
      <c r="L235" s="232"/>
      <c r="M235" s="511"/>
      <c r="N235" s="232"/>
      <c r="O235" s="232"/>
      <c r="P235" s="312"/>
      <c r="Q235" s="312"/>
      <c r="R235" s="312"/>
      <c r="S235" s="312"/>
      <c r="T235" s="312"/>
      <c r="U235" s="312"/>
    </row>
    <row r="236">
      <c r="A236" s="520">
        <v>44989.0</v>
      </c>
      <c r="B236" s="232" t="s">
        <v>23189</v>
      </c>
      <c r="C236" s="509" t="s">
        <v>23225</v>
      </c>
      <c r="D236" s="510" t="s">
        <v>23226</v>
      </c>
      <c r="E236" s="511"/>
      <c r="F236" s="232"/>
      <c r="G236" s="232" t="s">
        <v>158</v>
      </c>
      <c r="H236" s="232">
        <v>8.100364096E9</v>
      </c>
      <c r="I236" s="509" t="s">
        <v>22480</v>
      </c>
      <c r="J236" s="232" t="b">
        <v>0</v>
      </c>
      <c r="K236" s="232" t="s">
        <v>22365</v>
      </c>
      <c r="L236" s="232" t="s">
        <v>23227</v>
      </c>
      <c r="M236" s="511"/>
      <c r="N236" s="232"/>
      <c r="O236" s="232"/>
      <c r="P236" s="312"/>
      <c r="Q236" s="312"/>
      <c r="R236" s="312"/>
      <c r="S236" s="312"/>
      <c r="T236" s="312"/>
      <c r="U236" s="312"/>
    </row>
    <row r="237">
      <c r="A237" s="520">
        <v>44989.0</v>
      </c>
      <c r="B237" s="232" t="s">
        <v>23192</v>
      </c>
      <c r="C237" s="509" t="s">
        <v>23228</v>
      </c>
      <c r="D237" s="510" t="s">
        <v>23229</v>
      </c>
      <c r="E237" s="511"/>
      <c r="F237" s="232" t="s">
        <v>23230</v>
      </c>
      <c r="G237" s="232" t="s">
        <v>23231</v>
      </c>
      <c r="H237" s="232">
        <v>8.123495848E9</v>
      </c>
      <c r="I237" s="509" t="s">
        <v>22961</v>
      </c>
      <c r="J237" s="232" t="b">
        <v>0</v>
      </c>
      <c r="K237" s="232"/>
      <c r="L237" s="232"/>
      <c r="M237" s="511"/>
      <c r="N237" s="232"/>
      <c r="O237" s="232"/>
      <c r="P237" s="312"/>
      <c r="Q237" s="312"/>
      <c r="R237" s="312"/>
      <c r="S237" s="312"/>
      <c r="T237" s="312"/>
      <c r="U237" s="312"/>
    </row>
    <row r="238">
      <c r="A238" s="520">
        <v>44989.0</v>
      </c>
      <c r="B238" s="232" t="s">
        <v>23197</v>
      </c>
      <c r="C238" s="509" t="s">
        <v>23232</v>
      </c>
      <c r="D238" s="510" t="s">
        <v>23233</v>
      </c>
      <c r="E238" s="511"/>
      <c r="F238" s="232" t="s">
        <v>23234</v>
      </c>
      <c r="G238" s="232" t="s">
        <v>107</v>
      </c>
      <c r="H238" s="232">
        <v>9.311111212E9</v>
      </c>
      <c r="I238" s="509" t="s">
        <v>23235</v>
      </c>
      <c r="J238" s="232" t="b">
        <v>0</v>
      </c>
      <c r="K238" s="232" t="s">
        <v>22365</v>
      </c>
      <c r="L238" s="425" t="s">
        <v>23236</v>
      </c>
      <c r="M238" s="511"/>
      <c r="N238" s="232"/>
      <c r="O238" s="232"/>
      <c r="P238" s="312"/>
      <c r="Q238" s="312"/>
      <c r="R238" s="312"/>
      <c r="S238" s="312"/>
      <c r="T238" s="312"/>
      <c r="U238" s="312"/>
    </row>
    <row r="239">
      <c r="A239" s="520">
        <v>44989.0</v>
      </c>
      <c r="B239" s="232" t="s">
        <v>23203</v>
      </c>
      <c r="C239" s="509" t="s">
        <v>23237</v>
      </c>
      <c r="D239" s="510" t="s">
        <v>23238</v>
      </c>
      <c r="E239" s="511"/>
      <c r="F239" s="232" t="s">
        <v>23239</v>
      </c>
      <c r="G239" s="232" t="s">
        <v>449</v>
      </c>
      <c r="H239" s="232">
        <v>6.29614439E9</v>
      </c>
      <c r="I239" s="509" t="s">
        <v>23240</v>
      </c>
      <c r="J239" s="232" t="b">
        <v>0</v>
      </c>
      <c r="K239" s="232" t="s">
        <v>22365</v>
      </c>
      <c r="L239" s="232" t="s">
        <v>22422</v>
      </c>
      <c r="M239" s="511"/>
      <c r="N239" s="232"/>
      <c r="O239" s="232"/>
      <c r="P239" s="312"/>
      <c r="Q239" s="312"/>
      <c r="R239" s="312"/>
      <c r="S239" s="312"/>
      <c r="T239" s="312"/>
      <c r="U239" s="312"/>
    </row>
    <row r="240">
      <c r="A240" s="520">
        <v>44989.0</v>
      </c>
      <c r="B240" s="232" t="s">
        <v>23208</v>
      </c>
      <c r="C240" s="509" t="s">
        <v>23241</v>
      </c>
      <c r="D240" s="510" t="s">
        <v>23242</v>
      </c>
      <c r="E240" s="511"/>
      <c r="F240" s="232" t="s">
        <v>23243</v>
      </c>
      <c r="G240" s="232" t="s">
        <v>22337</v>
      </c>
      <c r="H240" s="232">
        <v>8.280063905E9</v>
      </c>
      <c r="I240" s="509" t="s">
        <v>22961</v>
      </c>
      <c r="J240" s="232" t="b">
        <v>0</v>
      </c>
      <c r="K240" s="232" t="s">
        <v>22365</v>
      </c>
      <c r="L240" s="232" t="s">
        <v>23244</v>
      </c>
      <c r="M240" s="511"/>
      <c r="N240" s="232"/>
      <c r="O240" s="232"/>
      <c r="P240" s="312"/>
      <c r="Q240" s="312"/>
      <c r="R240" s="312"/>
      <c r="S240" s="312"/>
      <c r="T240" s="312"/>
      <c r="U240" s="312"/>
    </row>
    <row r="241">
      <c r="A241" s="520">
        <v>44989.0</v>
      </c>
      <c r="B241" s="232" t="s">
        <v>23210</v>
      </c>
      <c r="C241" s="509" t="s">
        <v>23245</v>
      </c>
      <c r="D241" s="510" t="s">
        <v>23246</v>
      </c>
      <c r="E241" s="511"/>
      <c r="F241" s="232" t="s">
        <v>23247</v>
      </c>
      <c r="G241" s="232" t="s">
        <v>507</v>
      </c>
      <c r="H241" s="232">
        <v>9.96768813E9</v>
      </c>
      <c r="I241" s="509" t="s">
        <v>23248</v>
      </c>
      <c r="J241" s="232" t="b">
        <v>0</v>
      </c>
      <c r="K241" s="232" t="s">
        <v>22365</v>
      </c>
      <c r="L241" s="232"/>
      <c r="M241" s="511"/>
      <c r="N241" s="232"/>
      <c r="O241" s="232"/>
      <c r="P241" s="312"/>
      <c r="Q241" s="312"/>
      <c r="R241" s="312"/>
      <c r="S241" s="312"/>
      <c r="T241" s="312"/>
      <c r="U241" s="312"/>
    </row>
    <row r="242">
      <c r="A242" s="520">
        <v>44989.0</v>
      </c>
      <c r="B242" s="232" t="s">
        <v>23213</v>
      </c>
      <c r="C242" s="509" t="s">
        <v>23249</v>
      </c>
      <c r="D242" s="510" t="s">
        <v>23250</v>
      </c>
      <c r="E242" s="511"/>
      <c r="F242" s="232" t="s">
        <v>23251</v>
      </c>
      <c r="G242" s="232" t="s">
        <v>99</v>
      </c>
      <c r="H242" s="232">
        <v>8.377874393E9</v>
      </c>
      <c r="I242" s="509" t="s">
        <v>23252</v>
      </c>
      <c r="J242" s="232" t="b">
        <v>0</v>
      </c>
      <c r="K242" s="232" t="s">
        <v>22365</v>
      </c>
      <c r="L242" s="232"/>
      <c r="M242" s="511"/>
      <c r="N242" s="232"/>
      <c r="O242" s="232"/>
      <c r="P242" s="312"/>
      <c r="Q242" s="312"/>
      <c r="R242" s="312"/>
      <c r="S242" s="312"/>
      <c r="T242" s="312"/>
      <c r="U242" s="312"/>
    </row>
    <row r="243">
      <c r="A243" s="520">
        <v>44989.0</v>
      </c>
      <c r="B243" s="232" t="s">
        <v>23215</v>
      </c>
      <c r="C243" s="509" t="s">
        <v>19382</v>
      </c>
      <c r="D243" s="510" t="s">
        <v>23253</v>
      </c>
      <c r="E243" s="511"/>
      <c r="F243" s="232"/>
      <c r="G243" s="232" t="s">
        <v>7995</v>
      </c>
      <c r="H243" s="232">
        <v>8.414038802E9</v>
      </c>
      <c r="I243" s="509" t="s">
        <v>22794</v>
      </c>
      <c r="J243" s="232" t="b">
        <v>0</v>
      </c>
      <c r="K243" s="232" t="s">
        <v>22349</v>
      </c>
      <c r="L243" s="232" t="s">
        <v>23254</v>
      </c>
      <c r="M243" s="511"/>
      <c r="N243" s="232"/>
      <c r="O243" s="232"/>
      <c r="P243" s="312"/>
      <c r="Q243" s="312"/>
      <c r="R243" s="312"/>
      <c r="S243" s="312"/>
      <c r="T243" s="312"/>
      <c r="U243" s="312"/>
    </row>
    <row r="244">
      <c r="A244" s="520">
        <v>44989.0</v>
      </c>
      <c r="B244" s="232" t="s">
        <v>23255</v>
      </c>
      <c r="C244" s="509" t="s">
        <v>23256</v>
      </c>
      <c r="D244" s="510" t="s">
        <v>23257</v>
      </c>
      <c r="E244" s="511"/>
      <c r="F244" s="232" t="s">
        <v>23258</v>
      </c>
      <c r="G244" s="232" t="s">
        <v>23259</v>
      </c>
      <c r="H244" s="232">
        <v>8.688830684E9</v>
      </c>
      <c r="I244" s="509" t="s">
        <v>23260</v>
      </c>
      <c r="J244" s="232" t="b">
        <v>0</v>
      </c>
      <c r="K244" s="232" t="s">
        <v>22365</v>
      </c>
      <c r="L244" s="425" t="s">
        <v>23261</v>
      </c>
      <c r="M244" s="511"/>
      <c r="N244" s="232"/>
      <c r="O244" s="232"/>
      <c r="P244" s="312"/>
      <c r="Q244" s="312"/>
      <c r="R244" s="312"/>
      <c r="S244" s="312"/>
      <c r="T244" s="312"/>
      <c r="U244" s="312"/>
    </row>
    <row r="245">
      <c r="A245" s="520">
        <v>44989.0</v>
      </c>
      <c r="B245" s="232" t="s">
        <v>23262</v>
      </c>
      <c r="C245" s="509" t="s">
        <v>23263</v>
      </c>
      <c r="D245" s="510"/>
      <c r="E245" s="511"/>
      <c r="F245" s="232" t="s">
        <v>23264</v>
      </c>
      <c r="G245" s="232" t="s">
        <v>158</v>
      </c>
      <c r="H245" s="232">
        <v>9.883835583E9</v>
      </c>
      <c r="I245" s="509" t="s">
        <v>22373</v>
      </c>
      <c r="J245" s="232" t="b">
        <v>0</v>
      </c>
      <c r="K245" s="232" t="s">
        <v>22349</v>
      </c>
      <c r="L245" s="232" t="s">
        <v>23265</v>
      </c>
      <c r="M245" s="511"/>
      <c r="N245" s="232"/>
      <c r="O245" s="232"/>
      <c r="P245" s="312"/>
      <c r="Q245" s="312"/>
      <c r="R245" s="312"/>
      <c r="S245" s="312"/>
      <c r="T245" s="312"/>
      <c r="U245" s="312"/>
    </row>
    <row r="246">
      <c r="A246" s="520">
        <v>44989.0</v>
      </c>
      <c r="B246" s="232" t="s">
        <v>23266</v>
      </c>
      <c r="C246" s="509" t="s">
        <v>23267</v>
      </c>
      <c r="D246" s="510"/>
      <c r="E246" s="511"/>
      <c r="F246" s="232"/>
      <c r="G246" s="232" t="s">
        <v>2643</v>
      </c>
      <c r="H246" s="232">
        <v>7.38933633E9</v>
      </c>
      <c r="I246" s="509" t="s">
        <v>23268</v>
      </c>
      <c r="J246" s="232" t="b">
        <v>0</v>
      </c>
      <c r="K246" s="232" t="s">
        <v>22365</v>
      </c>
      <c r="L246" s="232" t="s">
        <v>23269</v>
      </c>
      <c r="M246" s="511"/>
      <c r="N246" s="232"/>
      <c r="O246" s="232"/>
      <c r="P246" s="312"/>
      <c r="Q246" s="312"/>
      <c r="R246" s="312"/>
      <c r="S246" s="312"/>
      <c r="T246" s="312"/>
      <c r="U246" s="312"/>
    </row>
    <row r="247">
      <c r="A247" s="520">
        <v>44989.0</v>
      </c>
      <c r="B247" s="232" t="s">
        <v>23270</v>
      </c>
      <c r="C247" s="509" t="s">
        <v>23271</v>
      </c>
      <c r="D247" s="510" t="s">
        <v>23272</v>
      </c>
      <c r="E247" s="511"/>
      <c r="F247" s="232" t="s">
        <v>23273</v>
      </c>
      <c r="G247" s="232" t="s">
        <v>23274</v>
      </c>
      <c r="H247" s="232">
        <v>9.06086134E9</v>
      </c>
      <c r="I247" s="509" t="s">
        <v>23275</v>
      </c>
      <c r="J247" s="232" t="b">
        <v>0</v>
      </c>
      <c r="K247" s="232" t="s">
        <v>22349</v>
      </c>
      <c r="L247" s="232" t="s">
        <v>22578</v>
      </c>
      <c r="M247" s="511"/>
      <c r="N247" s="232"/>
      <c r="O247" s="232"/>
      <c r="P247" s="312"/>
      <c r="Q247" s="312"/>
      <c r="R247" s="312"/>
      <c r="S247" s="312"/>
      <c r="T247" s="312"/>
      <c r="U247" s="312"/>
    </row>
    <row r="248">
      <c r="A248" s="520">
        <v>44989.0</v>
      </c>
      <c r="B248" s="232" t="s">
        <v>23276</v>
      </c>
      <c r="C248" s="509" t="s">
        <v>23277</v>
      </c>
      <c r="D248" s="510"/>
      <c r="E248" s="511"/>
      <c r="F248" s="232"/>
      <c r="G248" s="232" t="s">
        <v>44</v>
      </c>
      <c r="H248" s="232">
        <v>6.295047329E9</v>
      </c>
      <c r="I248" s="509" t="s">
        <v>22373</v>
      </c>
      <c r="J248" s="232" t="b">
        <v>0</v>
      </c>
      <c r="K248" s="232" t="s">
        <v>22349</v>
      </c>
      <c r="L248" s="232" t="s">
        <v>23265</v>
      </c>
      <c r="M248" s="511"/>
      <c r="N248" s="232"/>
      <c r="O248" s="232"/>
      <c r="P248" s="312"/>
      <c r="Q248" s="312"/>
      <c r="R248" s="312"/>
      <c r="S248" s="312"/>
      <c r="T248" s="312"/>
      <c r="U248" s="312"/>
    </row>
    <row r="249">
      <c r="A249" s="520">
        <v>44989.0</v>
      </c>
      <c r="B249" s="232" t="s">
        <v>23278</v>
      </c>
      <c r="C249" s="509" t="s">
        <v>23279</v>
      </c>
      <c r="D249" s="510" t="s">
        <v>23279</v>
      </c>
      <c r="E249" s="511"/>
      <c r="F249" s="232" t="s">
        <v>23280</v>
      </c>
      <c r="G249" s="232" t="s">
        <v>44</v>
      </c>
      <c r="H249" s="232">
        <v>7.980799723E9</v>
      </c>
      <c r="I249" s="509" t="s">
        <v>23281</v>
      </c>
      <c r="J249" s="232" t="b">
        <v>0</v>
      </c>
      <c r="K249" s="232"/>
      <c r="L249" s="232"/>
      <c r="M249" s="511"/>
      <c r="N249" s="232"/>
      <c r="O249" s="232"/>
      <c r="P249" s="312"/>
      <c r="Q249" s="312"/>
      <c r="R249" s="312"/>
      <c r="S249" s="312"/>
      <c r="T249" s="312"/>
      <c r="U249" s="312"/>
    </row>
    <row r="250">
      <c r="A250" s="520">
        <v>44930.0</v>
      </c>
      <c r="B250" s="232" t="s">
        <v>23282</v>
      </c>
      <c r="C250" s="509" t="s">
        <v>19415</v>
      </c>
      <c r="D250" s="510" t="s">
        <v>23283</v>
      </c>
      <c r="E250" s="511"/>
      <c r="F250" s="232" t="s">
        <v>23284</v>
      </c>
      <c r="G250" s="232" t="s">
        <v>2662</v>
      </c>
      <c r="H250" s="232">
        <v>8.610045441E9</v>
      </c>
      <c r="I250" s="509" t="s">
        <v>23285</v>
      </c>
      <c r="J250" s="232" t="b">
        <v>0</v>
      </c>
      <c r="K250" s="232" t="s">
        <v>22365</v>
      </c>
      <c r="L250" s="232" t="s">
        <v>22611</v>
      </c>
      <c r="M250" s="511"/>
      <c r="N250" s="232"/>
      <c r="O250" s="232"/>
      <c r="P250" s="312"/>
      <c r="Q250" s="312"/>
      <c r="R250" s="312"/>
      <c r="S250" s="312"/>
      <c r="T250" s="312"/>
      <c r="U250" s="312"/>
    </row>
    <row r="251">
      <c r="A251" s="520">
        <v>44930.0</v>
      </c>
      <c r="B251" s="232" t="s">
        <v>23286</v>
      </c>
      <c r="C251" s="509" t="s">
        <v>23287</v>
      </c>
      <c r="D251" s="510"/>
      <c r="E251" s="511"/>
      <c r="F251" s="232" t="s">
        <v>23288</v>
      </c>
      <c r="G251" s="232" t="s">
        <v>23289</v>
      </c>
      <c r="H251" s="232">
        <v>9.418134792E9</v>
      </c>
      <c r="I251" s="509" t="s">
        <v>23290</v>
      </c>
      <c r="J251" s="232" t="b">
        <v>0</v>
      </c>
      <c r="K251" s="232" t="s">
        <v>22365</v>
      </c>
      <c r="L251" s="232" t="s">
        <v>22621</v>
      </c>
      <c r="M251" s="511"/>
      <c r="N251" s="232"/>
      <c r="O251" s="232"/>
      <c r="P251" s="312"/>
      <c r="Q251" s="312"/>
      <c r="R251" s="312"/>
      <c r="S251" s="312"/>
      <c r="T251" s="312"/>
      <c r="U251" s="312"/>
    </row>
    <row r="252">
      <c r="A252" s="520">
        <v>44930.0</v>
      </c>
      <c r="B252" s="232" t="s">
        <v>23291</v>
      </c>
      <c r="C252" s="509" t="s">
        <v>23292</v>
      </c>
      <c r="D252" s="510" t="s">
        <v>23292</v>
      </c>
      <c r="E252" s="511"/>
      <c r="F252" s="232" t="s">
        <v>23293</v>
      </c>
      <c r="G252" s="232" t="s">
        <v>22630</v>
      </c>
      <c r="H252" s="232">
        <v>9.913030312E9</v>
      </c>
      <c r="I252" s="509" t="s">
        <v>22961</v>
      </c>
      <c r="J252" s="232" t="b">
        <v>0</v>
      </c>
      <c r="K252" s="232" t="s">
        <v>22365</v>
      </c>
      <c r="L252" s="232" t="s">
        <v>23294</v>
      </c>
      <c r="M252" s="511"/>
      <c r="N252" s="232"/>
      <c r="O252" s="232"/>
      <c r="P252" s="312"/>
      <c r="Q252" s="312"/>
      <c r="R252" s="312"/>
      <c r="S252" s="312"/>
      <c r="T252" s="312"/>
      <c r="U252" s="312"/>
    </row>
    <row r="253">
      <c r="A253" s="520">
        <v>44930.0</v>
      </c>
      <c r="B253" s="232" t="s">
        <v>23295</v>
      </c>
      <c r="C253" s="509" t="s">
        <v>23296</v>
      </c>
      <c r="D253" s="510" t="s">
        <v>23297</v>
      </c>
      <c r="E253" s="511"/>
      <c r="F253" s="232" t="s">
        <v>23298</v>
      </c>
      <c r="G253" s="232" t="s">
        <v>23299</v>
      </c>
      <c r="H253" s="232">
        <v>9.133664649E9</v>
      </c>
      <c r="I253" s="509" t="s">
        <v>22343</v>
      </c>
      <c r="J253" s="232" t="b">
        <v>0</v>
      </c>
      <c r="K253" s="232" t="s">
        <v>22365</v>
      </c>
      <c r="L253" s="232" t="s">
        <v>22621</v>
      </c>
      <c r="M253" s="511"/>
      <c r="N253" s="232"/>
      <c r="O253" s="232"/>
      <c r="P253" s="312"/>
      <c r="Q253" s="312"/>
      <c r="R253" s="312"/>
      <c r="S253" s="312"/>
      <c r="T253" s="312"/>
      <c r="U253" s="312"/>
    </row>
    <row r="254">
      <c r="A254" s="520">
        <v>44930.0</v>
      </c>
      <c r="B254" s="232" t="s">
        <v>23300</v>
      </c>
      <c r="C254" s="509" t="s">
        <v>23301</v>
      </c>
      <c r="D254" s="510"/>
      <c r="E254" s="511"/>
      <c r="F254" s="232" t="s">
        <v>23302</v>
      </c>
      <c r="G254" s="232" t="s">
        <v>23303</v>
      </c>
      <c r="H254" s="232">
        <v>9.998994226E9</v>
      </c>
      <c r="I254" s="509" t="s">
        <v>22502</v>
      </c>
      <c r="J254" s="232" t="b">
        <v>0</v>
      </c>
      <c r="K254" s="232" t="s">
        <v>22365</v>
      </c>
      <c r="L254" s="232" t="s">
        <v>23304</v>
      </c>
      <c r="M254" s="511"/>
      <c r="N254" s="232"/>
      <c r="O254" s="232"/>
      <c r="P254" s="312"/>
      <c r="Q254" s="312"/>
      <c r="R254" s="312"/>
      <c r="S254" s="312"/>
      <c r="T254" s="312"/>
      <c r="U254" s="312"/>
    </row>
    <row r="255">
      <c r="A255" s="520">
        <v>44930.0</v>
      </c>
      <c r="B255" s="232" t="s">
        <v>23305</v>
      </c>
      <c r="C255" s="509" t="s">
        <v>23306</v>
      </c>
      <c r="D255" s="510" t="s">
        <v>23307</v>
      </c>
      <c r="E255" s="511"/>
      <c r="F255" s="232" t="s">
        <v>23308</v>
      </c>
      <c r="G255" s="232" t="s">
        <v>1461</v>
      </c>
      <c r="H255" s="232">
        <v>8.742088783E9</v>
      </c>
      <c r="I255" s="509" t="s">
        <v>22373</v>
      </c>
      <c r="J255" s="232" t="b">
        <v>0</v>
      </c>
      <c r="K255" s="232" t="s">
        <v>22349</v>
      </c>
      <c r="L255" s="232" t="s">
        <v>23309</v>
      </c>
      <c r="M255" s="511"/>
      <c r="N255" s="232"/>
      <c r="O255" s="232"/>
      <c r="P255" s="312"/>
      <c r="Q255" s="312"/>
      <c r="R255" s="312"/>
      <c r="S255" s="312"/>
      <c r="T255" s="312"/>
      <c r="U255" s="312"/>
    </row>
    <row r="256">
      <c r="A256" s="520">
        <v>44930.0</v>
      </c>
      <c r="B256" s="232" t="s">
        <v>23310</v>
      </c>
      <c r="C256" s="509" t="s">
        <v>23311</v>
      </c>
      <c r="D256" s="510" t="s">
        <v>23312</v>
      </c>
      <c r="E256" s="511"/>
      <c r="F256" s="232" t="s">
        <v>23313</v>
      </c>
      <c r="G256" s="232" t="s">
        <v>99</v>
      </c>
      <c r="H256" s="232">
        <v>7.008482205E9</v>
      </c>
      <c r="I256" s="509" t="s">
        <v>23314</v>
      </c>
      <c r="J256" s="232" t="b">
        <v>0</v>
      </c>
      <c r="K256" s="232" t="s">
        <v>12092</v>
      </c>
      <c r="L256" s="232"/>
      <c r="M256" s="511"/>
      <c r="N256" s="232"/>
      <c r="O256" s="232"/>
      <c r="P256" s="312"/>
      <c r="Q256" s="312"/>
      <c r="R256" s="312"/>
      <c r="S256" s="312"/>
      <c r="T256" s="312"/>
      <c r="U256" s="312"/>
    </row>
    <row r="257">
      <c r="A257" s="520">
        <v>44930.0</v>
      </c>
      <c r="B257" s="232" t="s">
        <v>23315</v>
      </c>
      <c r="C257" s="509" t="s">
        <v>23316</v>
      </c>
      <c r="D257" s="510" t="s">
        <v>23317</v>
      </c>
      <c r="E257" s="511"/>
      <c r="F257" s="232"/>
      <c r="G257" s="232" t="s">
        <v>23318</v>
      </c>
      <c r="H257" s="232">
        <v>9.476311615E9</v>
      </c>
      <c r="I257" s="509" t="s">
        <v>22577</v>
      </c>
      <c r="J257" s="232" t="b">
        <v>0</v>
      </c>
      <c r="K257" s="232" t="s">
        <v>22365</v>
      </c>
      <c r="L257" s="232" t="s">
        <v>22621</v>
      </c>
      <c r="M257" s="511"/>
      <c r="N257" s="232"/>
      <c r="O257" s="232"/>
      <c r="P257" s="312"/>
      <c r="Q257" s="312"/>
      <c r="R257" s="312"/>
      <c r="S257" s="312"/>
      <c r="T257" s="312"/>
      <c r="U257" s="312"/>
    </row>
    <row r="258">
      <c r="A258" s="520">
        <v>44930.0</v>
      </c>
      <c r="B258" s="232" t="s">
        <v>23319</v>
      </c>
      <c r="C258" s="509" t="s">
        <v>23320</v>
      </c>
      <c r="D258" s="510" t="s">
        <v>23321</v>
      </c>
      <c r="E258" s="511"/>
      <c r="F258" s="232" t="s">
        <v>23322</v>
      </c>
      <c r="G258" s="425" t="s">
        <v>18925</v>
      </c>
      <c r="H258" s="232">
        <v>9.171587278E9</v>
      </c>
      <c r="I258" s="509" t="s">
        <v>22373</v>
      </c>
      <c r="J258" s="232" t="b">
        <v>0</v>
      </c>
      <c r="K258" s="232" t="s">
        <v>12092</v>
      </c>
      <c r="L258" s="232"/>
      <c r="M258" s="511"/>
      <c r="N258" s="232"/>
      <c r="O258" s="232"/>
      <c r="P258" s="312"/>
      <c r="Q258" s="312"/>
      <c r="R258" s="312"/>
      <c r="S258" s="312"/>
      <c r="T258" s="312"/>
      <c r="U258" s="312"/>
    </row>
    <row r="259">
      <c r="A259" s="520">
        <v>44930.0</v>
      </c>
      <c r="B259" s="232" t="s">
        <v>23323</v>
      </c>
      <c r="C259" s="509" t="s">
        <v>23324</v>
      </c>
      <c r="D259" s="510" t="s">
        <v>9772</v>
      </c>
      <c r="E259" s="511"/>
      <c r="F259" s="232" t="s">
        <v>23325</v>
      </c>
      <c r="G259" s="232" t="s">
        <v>22960</v>
      </c>
      <c r="H259" s="232">
        <v>9.841240351E9</v>
      </c>
      <c r="I259" s="512" t="s">
        <v>23326</v>
      </c>
      <c r="J259" s="232" t="b">
        <v>0</v>
      </c>
      <c r="K259" s="232" t="s">
        <v>22349</v>
      </c>
      <c r="L259" s="232" t="s">
        <v>22578</v>
      </c>
      <c r="M259" s="511"/>
      <c r="N259" s="232"/>
      <c r="O259" s="232"/>
      <c r="P259" s="312"/>
      <c r="Q259" s="312"/>
      <c r="R259" s="312"/>
      <c r="S259" s="312"/>
      <c r="T259" s="312"/>
      <c r="U259" s="312"/>
    </row>
    <row r="260">
      <c r="A260" s="520">
        <v>44930.0</v>
      </c>
      <c r="B260" s="232" t="s">
        <v>23327</v>
      </c>
      <c r="C260" s="509" t="s">
        <v>23328</v>
      </c>
      <c r="D260" s="510" t="s">
        <v>23329</v>
      </c>
      <c r="E260" s="511"/>
      <c r="F260" s="232"/>
      <c r="G260" s="232" t="s">
        <v>507</v>
      </c>
      <c r="H260" s="232">
        <v>9.68914042E9</v>
      </c>
      <c r="I260" s="509" t="s">
        <v>22577</v>
      </c>
      <c r="J260" s="232" t="b">
        <v>0</v>
      </c>
      <c r="K260" s="232" t="s">
        <v>22365</v>
      </c>
      <c r="L260" s="232"/>
      <c r="M260" s="511"/>
      <c r="N260" s="232"/>
      <c r="O260" s="232"/>
      <c r="P260" s="312"/>
      <c r="Q260" s="312"/>
      <c r="R260" s="312"/>
      <c r="S260" s="312"/>
      <c r="T260" s="312"/>
      <c r="U260" s="312"/>
    </row>
    <row r="261">
      <c r="A261" s="520">
        <v>44930.0</v>
      </c>
      <c r="B261" s="232" t="s">
        <v>23330</v>
      </c>
      <c r="C261" s="509" t="s">
        <v>23331</v>
      </c>
      <c r="D261" s="510"/>
      <c r="E261" s="511"/>
      <c r="F261" s="232"/>
      <c r="G261" s="232" t="s">
        <v>44</v>
      </c>
      <c r="H261" s="232">
        <v>6.29103434E9</v>
      </c>
      <c r="I261" s="509" t="s">
        <v>23332</v>
      </c>
      <c r="J261" s="232" t="b">
        <v>0</v>
      </c>
      <c r="K261" s="232" t="s">
        <v>22365</v>
      </c>
      <c r="L261" s="232" t="s">
        <v>23333</v>
      </c>
      <c r="M261" s="511"/>
      <c r="N261" s="232"/>
      <c r="O261" s="232"/>
      <c r="P261" s="312"/>
      <c r="Q261" s="312"/>
      <c r="R261" s="312"/>
      <c r="S261" s="312"/>
      <c r="T261" s="312"/>
      <c r="U261" s="312"/>
    </row>
    <row r="262">
      <c r="A262" s="520">
        <v>44930.0</v>
      </c>
      <c r="B262" s="232" t="s">
        <v>23334</v>
      </c>
      <c r="C262" s="509" t="s">
        <v>23335</v>
      </c>
      <c r="D262" s="510"/>
      <c r="E262" s="511"/>
      <c r="F262" s="232" t="s">
        <v>23336</v>
      </c>
      <c r="G262" s="232" t="s">
        <v>467</v>
      </c>
      <c r="H262" s="232">
        <v>9.170708416E9</v>
      </c>
      <c r="I262" s="509" t="s">
        <v>23337</v>
      </c>
      <c r="J262" s="232" t="b">
        <v>0</v>
      </c>
      <c r="K262" s="232" t="s">
        <v>22365</v>
      </c>
      <c r="L262" s="232" t="s">
        <v>22621</v>
      </c>
      <c r="M262" s="511"/>
      <c r="N262" s="232"/>
      <c r="O262" s="232"/>
      <c r="P262" s="312"/>
      <c r="Q262" s="312"/>
      <c r="R262" s="312"/>
      <c r="S262" s="312"/>
      <c r="T262" s="312"/>
      <c r="U262" s="312"/>
    </row>
    <row r="263">
      <c r="A263" s="520">
        <v>44930.0</v>
      </c>
      <c r="B263" s="232" t="s">
        <v>23338</v>
      </c>
      <c r="C263" s="509" t="s">
        <v>23339</v>
      </c>
      <c r="D263" s="510" t="s">
        <v>23340</v>
      </c>
      <c r="E263" s="511"/>
      <c r="F263" s="232" t="s">
        <v>23341</v>
      </c>
      <c r="G263" s="232" t="s">
        <v>44</v>
      </c>
      <c r="H263" s="232">
        <v>8.14543061E9</v>
      </c>
      <c r="I263" s="509" t="s">
        <v>22373</v>
      </c>
      <c r="J263" s="232" t="b">
        <v>0</v>
      </c>
      <c r="K263" s="232" t="s">
        <v>334</v>
      </c>
      <c r="L263" s="232"/>
      <c r="M263" s="511"/>
      <c r="N263" s="232"/>
      <c r="O263" s="232"/>
      <c r="P263" s="312"/>
      <c r="Q263" s="312"/>
      <c r="R263" s="312"/>
      <c r="S263" s="312"/>
      <c r="T263" s="312"/>
      <c r="U263" s="312"/>
    </row>
    <row r="264">
      <c r="A264" s="520">
        <v>44930.0</v>
      </c>
      <c r="B264" s="232" t="s">
        <v>23342</v>
      </c>
      <c r="C264" s="509" t="s">
        <v>23343</v>
      </c>
      <c r="D264" s="510"/>
      <c r="E264" s="511"/>
      <c r="F264" s="232" t="s">
        <v>23344</v>
      </c>
      <c r="G264" s="232" t="s">
        <v>23259</v>
      </c>
      <c r="H264" s="232">
        <v>6.303211861E9</v>
      </c>
      <c r="I264" s="509" t="s">
        <v>22289</v>
      </c>
      <c r="J264" s="232" t="b">
        <v>0</v>
      </c>
      <c r="K264" s="232" t="s">
        <v>12092</v>
      </c>
      <c r="L264" s="232"/>
      <c r="M264" s="511"/>
      <c r="N264" s="232"/>
      <c r="O264" s="232"/>
      <c r="P264" s="312"/>
      <c r="Q264" s="312"/>
      <c r="R264" s="312"/>
      <c r="S264" s="312"/>
      <c r="T264" s="312"/>
      <c r="U264" s="312"/>
    </row>
    <row r="265">
      <c r="A265" s="520">
        <v>44930.0</v>
      </c>
      <c r="B265" s="232" t="s">
        <v>23345</v>
      </c>
      <c r="C265" s="509" t="s">
        <v>23346</v>
      </c>
      <c r="D265" s="510"/>
      <c r="E265" s="511"/>
      <c r="F265" s="232" t="s">
        <v>23347</v>
      </c>
      <c r="G265" s="232" t="s">
        <v>23348</v>
      </c>
      <c r="H265" s="232">
        <v>9.933584337E9</v>
      </c>
      <c r="I265" s="509" t="s">
        <v>22343</v>
      </c>
      <c r="J265" s="232" t="b">
        <v>0</v>
      </c>
      <c r="K265" s="232" t="s">
        <v>22355</v>
      </c>
      <c r="L265" s="232"/>
      <c r="M265" s="511"/>
      <c r="N265" s="232"/>
      <c r="O265" s="232"/>
      <c r="P265" s="312"/>
      <c r="Q265" s="312"/>
      <c r="R265" s="312"/>
      <c r="S265" s="312"/>
      <c r="T265" s="312"/>
      <c r="U265" s="312"/>
    </row>
    <row r="266">
      <c r="A266" s="520">
        <v>44930.0</v>
      </c>
      <c r="B266" s="232" t="s">
        <v>23349</v>
      </c>
      <c r="C266" s="509" t="s">
        <v>23350</v>
      </c>
      <c r="D266" s="510" t="s">
        <v>23351</v>
      </c>
      <c r="E266" s="511"/>
      <c r="F266" s="232" t="s">
        <v>23352</v>
      </c>
      <c r="G266" s="232" t="s">
        <v>23353</v>
      </c>
      <c r="H266" s="232">
        <v>8.918482324E9</v>
      </c>
      <c r="I266" s="509" t="s">
        <v>22343</v>
      </c>
      <c r="J266" s="232" t="b">
        <v>0</v>
      </c>
      <c r="K266" s="232" t="s">
        <v>22365</v>
      </c>
      <c r="L266" s="232" t="s">
        <v>22621</v>
      </c>
      <c r="M266" s="511"/>
      <c r="N266" s="232"/>
      <c r="O266" s="232"/>
      <c r="P266" s="312"/>
      <c r="Q266" s="312"/>
      <c r="R266" s="312"/>
      <c r="S266" s="312"/>
      <c r="T266" s="312"/>
      <c r="U266" s="312"/>
    </row>
    <row r="267">
      <c r="A267" s="508" t="s">
        <v>23354</v>
      </c>
      <c r="B267" s="232" t="s">
        <v>23355</v>
      </c>
      <c r="C267" s="509" t="s">
        <v>23356</v>
      </c>
      <c r="D267" s="510"/>
      <c r="E267" s="511"/>
      <c r="F267" s="232"/>
      <c r="G267" s="232" t="s">
        <v>99</v>
      </c>
      <c r="H267" s="232">
        <v>7.077324401E9</v>
      </c>
      <c r="I267" s="509" t="s">
        <v>23357</v>
      </c>
      <c r="J267" s="232" t="b">
        <v>0</v>
      </c>
      <c r="K267" s="232" t="s">
        <v>22365</v>
      </c>
      <c r="L267" s="232" t="s">
        <v>22621</v>
      </c>
      <c r="M267" s="511"/>
      <c r="N267" s="232"/>
      <c r="O267" s="232"/>
      <c r="P267" s="312"/>
      <c r="Q267" s="312"/>
      <c r="R267" s="312"/>
      <c r="S267" s="312"/>
      <c r="T267" s="312"/>
      <c r="U267" s="312"/>
    </row>
    <row r="268">
      <c r="A268" s="508" t="s">
        <v>23354</v>
      </c>
      <c r="B268" s="232" t="s">
        <v>23358</v>
      </c>
      <c r="C268" s="509" t="s">
        <v>23359</v>
      </c>
      <c r="D268" s="510" t="s">
        <v>23360</v>
      </c>
      <c r="E268" s="511"/>
      <c r="F268" s="232" t="s">
        <v>23361</v>
      </c>
      <c r="G268" s="232" t="s">
        <v>22507</v>
      </c>
      <c r="H268" s="232">
        <v>8.124955131E9</v>
      </c>
      <c r="I268" s="512" t="s">
        <v>23362</v>
      </c>
      <c r="J268" s="232" t="b">
        <v>0</v>
      </c>
      <c r="K268" s="232" t="s">
        <v>334</v>
      </c>
      <c r="L268" s="232" t="s">
        <v>23363</v>
      </c>
      <c r="M268" s="511"/>
      <c r="N268" s="232"/>
      <c r="O268" s="232"/>
      <c r="P268" s="312"/>
      <c r="Q268" s="312"/>
      <c r="R268" s="312"/>
      <c r="S268" s="312"/>
      <c r="T268" s="312"/>
      <c r="U268" s="312"/>
    </row>
    <row r="269">
      <c r="A269" s="508" t="s">
        <v>23354</v>
      </c>
      <c r="B269" s="232" t="s">
        <v>23364</v>
      </c>
      <c r="C269" s="509" t="s">
        <v>23365</v>
      </c>
      <c r="D269" s="510"/>
      <c r="E269" s="511"/>
      <c r="F269" s="232" t="s">
        <v>23366</v>
      </c>
      <c r="G269" s="232" t="s">
        <v>22856</v>
      </c>
      <c r="H269" s="232">
        <v>7.338415973E9</v>
      </c>
      <c r="I269" s="509" t="s">
        <v>22289</v>
      </c>
      <c r="J269" s="232" t="b">
        <v>0</v>
      </c>
      <c r="K269" s="232" t="s">
        <v>22365</v>
      </c>
      <c r="L269" s="232" t="s">
        <v>22514</v>
      </c>
      <c r="M269" s="511"/>
      <c r="N269" s="232"/>
      <c r="O269" s="232"/>
      <c r="P269" s="312"/>
      <c r="Q269" s="312"/>
      <c r="R269" s="312"/>
      <c r="S269" s="312"/>
      <c r="T269" s="312"/>
      <c r="U269" s="312"/>
    </row>
    <row r="270">
      <c r="A270" s="508" t="s">
        <v>23354</v>
      </c>
      <c r="B270" s="232" t="s">
        <v>23367</v>
      </c>
      <c r="C270" s="509" t="s">
        <v>23368</v>
      </c>
      <c r="D270" s="510" t="s">
        <v>23369</v>
      </c>
      <c r="E270" s="511"/>
      <c r="F270" s="232" t="s">
        <v>23370</v>
      </c>
      <c r="G270" s="232" t="s">
        <v>507</v>
      </c>
      <c r="H270" s="232">
        <v>9.322778191E9</v>
      </c>
      <c r="I270" s="509" t="s">
        <v>22289</v>
      </c>
      <c r="J270" s="232" t="b">
        <v>0</v>
      </c>
      <c r="K270" s="232"/>
      <c r="L270" s="232"/>
      <c r="M270" s="511"/>
      <c r="N270" s="232"/>
      <c r="O270" s="232"/>
      <c r="P270" s="312"/>
      <c r="Q270" s="312"/>
      <c r="R270" s="312"/>
      <c r="S270" s="312"/>
      <c r="T270" s="312"/>
      <c r="U270" s="312"/>
    </row>
    <row r="271">
      <c r="A271" s="508" t="s">
        <v>23354</v>
      </c>
      <c r="B271" s="232" t="s">
        <v>23371</v>
      </c>
      <c r="C271" s="509" t="s">
        <v>23372</v>
      </c>
      <c r="D271" s="510" t="s">
        <v>23373</v>
      </c>
      <c r="E271" s="511"/>
      <c r="F271" s="232" t="s">
        <v>23374</v>
      </c>
      <c r="G271" s="232" t="s">
        <v>467</v>
      </c>
      <c r="H271" s="232">
        <v>7.380542335E9</v>
      </c>
      <c r="I271" s="509" t="s">
        <v>22373</v>
      </c>
      <c r="J271" s="232" t="b">
        <v>0</v>
      </c>
      <c r="K271" s="232" t="s">
        <v>22365</v>
      </c>
      <c r="L271" s="232" t="s">
        <v>22994</v>
      </c>
      <c r="M271" s="511"/>
      <c r="N271" s="232"/>
      <c r="O271" s="232"/>
      <c r="P271" s="312"/>
      <c r="Q271" s="312"/>
      <c r="R271" s="312"/>
      <c r="S271" s="312"/>
      <c r="T271" s="312"/>
      <c r="U271" s="312"/>
    </row>
    <row r="272">
      <c r="A272" s="508" t="s">
        <v>23354</v>
      </c>
      <c r="B272" s="232" t="s">
        <v>23375</v>
      </c>
      <c r="C272" s="509" t="s">
        <v>23376</v>
      </c>
      <c r="D272" s="510"/>
      <c r="E272" s="511"/>
      <c r="F272" s="232" t="s">
        <v>23377</v>
      </c>
      <c r="G272" s="232" t="s">
        <v>507</v>
      </c>
      <c r="H272" s="232">
        <v>9.61955889E9</v>
      </c>
      <c r="I272" s="509" t="s">
        <v>22896</v>
      </c>
      <c r="J272" s="232" t="b">
        <v>0</v>
      </c>
      <c r="K272" s="232"/>
      <c r="L272" s="232"/>
      <c r="M272" s="511"/>
      <c r="N272" s="232"/>
      <c r="O272" s="232"/>
      <c r="P272" s="312"/>
      <c r="Q272" s="312"/>
      <c r="R272" s="312"/>
      <c r="S272" s="312"/>
      <c r="T272" s="312"/>
      <c r="U272" s="312"/>
    </row>
    <row r="273">
      <c r="A273" s="513" t="s">
        <v>23354</v>
      </c>
      <c r="B273" s="514" t="s">
        <v>23378</v>
      </c>
      <c r="C273" s="515" t="s">
        <v>23379</v>
      </c>
      <c r="D273" s="516" t="s">
        <v>23380</v>
      </c>
      <c r="E273" s="517"/>
      <c r="F273" s="514" t="s">
        <v>23381</v>
      </c>
      <c r="G273" s="514" t="s">
        <v>44</v>
      </c>
      <c r="H273" s="514">
        <v>9.062333411E9</v>
      </c>
      <c r="I273" s="515" t="s">
        <v>23382</v>
      </c>
      <c r="J273" s="514" t="b">
        <v>0</v>
      </c>
      <c r="K273" s="514" t="s">
        <v>22312</v>
      </c>
      <c r="L273" s="518" t="s">
        <v>23383</v>
      </c>
      <c r="M273" s="511"/>
      <c r="N273" s="232"/>
      <c r="O273" s="232"/>
      <c r="P273" s="312"/>
      <c r="Q273" s="312"/>
      <c r="R273" s="312"/>
      <c r="S273" s="312"/>
      <c r="T273" s="312"/>
      <c r="U273" s="312"/>
    </row>
    <row r="274">
      <c r="A274" s="508" t="s">
        <v>23354</v>
      </c>
      <c r="B274" s="232" t="s">
        <v>23384</v>
      </c>
      <c r="C274" s="509" t="s">
        <v>18946</v>
      </c>
      <c r="D274" s="510"/>
      <c r="E274" s="511"/>
      <c r="F274" s="232"/>
      <c r="G274" s="232" t="s">
        <v>44</v>
      </c>
      <c r="H274" s="232">
        <v>9.477240493E9</v>
      </c>
      <c r="I274" s="509" t="s">
        <v>22289</v>
      </c>
      <c r="J274" s="232" t="b">
        <v>0</v>
      </c>
      <c r="K274" s="232" t="s">
        <v>22365</v>
      </c>
      <c r="L274" s="232"/>
      <c r="M274" s="511"/>
      <c r="N274" s="232"/>
      <c r="O274" s="232"/>
      <c r="P274" s="312"/>
      <c r="Q274" s="312"/>
      <c r="R274" s="312"/>
      <c r="S274" s="312"/>
      <c r="T274" s="312"/>
      <c r="U274" s="312"/>
    </row>
    <row r="275">
      <c r="A275" s="508" t="s">
        <v>23354</v>
      </c>
      <c r="B275" s="232" t="s">
        <v>23385</v>
      </c>
      <c r="C275" s="509" t="s">
        <v>3400</v>
      </c>
      <c r="D275" s="510" t="s">
        <v>23386</v>
      </c>
      <c r="E275" s="511"/>
      <c r="F275" s="232" t="s">
        <v>23387</v>
      </c>
      <c r="G275" s="232" t="s">
        <v>22479</v>
      </c>
      <c r="H275" s="232">
        <v>8.87403709E9</v>
      </c>
      <c r="I275" s="509" t="s">
        <v>23388</v>
      </c>
      <c r="J275" s="232" t="b">
        <v>0</v>
      </c>
      <c r="K275" s="232" t="s">
        <v>22365</v>
      </c>
      <c r="L275" s="232" t="s">
        <v>22509</v>
      </c>
      <c r="M275" s="511"/>
      <c r="N275" s="232"/>
      <c r="O275" s="232"/>
      <c r="P275" s="312"/>
      <c r="Q275" s="312"/>
      <c r="R275" s="312"/>
      <c r="S275" s="312"/>
      <c r="T275" s="312"/>
      <c r="U275" s="312"/>
    </row>
    <row r="276">
      <c r="A276" s="508" t="s">
        <v>23389</v>
      </c>
      <c r="B276" s="232" t="s">
        <v>23390</v>
      </c>
      <c r="C276" s="509" t="s">
        <v>23391</v>
      </c>
      <c r="D276" s="510" t="s">
        <v>23392</v>
      </c>
      <c r="E276" s="511"/>
      <c r="F276" s="232" t="s">
        <v>23393</v>
      </c>
      <c r="G276" s="232" t="s">
        <v>23394</v>
      </c>
      <c r="H276" s="232">
        <v>9.113814943E9</v>
      </c>
      <c r="I276" s="509" t="s">
        <v>23395</v>
      </c>
      <c r="J276" s="232" t="b">
        <v>0</v>
      </c>
      <c r="K276" s="232" t="s">
        <v>22365</v>
      </c>
      <c r="L276" s="232" t="s">
        <v>22509</v>
      </c>
      <c r="M276" s="511"/>
      <c r="N276" s="232"/>
      <c r="O276" s="232"/>
      <c r="P276" s="312"/>
      <c r="Q276" s="312"/>
      <c r="R276" s="312"/>
      <c r="S276" s="312"/>
      <c r="T276" s="312"/>
      <c r="U276" s="312"/>
    </row>
    <row r="277">
      <c r="A277" s="508" t="s">
        <v>23389</v>
      </c>
      <c r="B277" s="232" t="s">
        <v>23396</v>
      </c>
      <c r="C277" s="509" t="s">
        <v>23397</v>
      </c>
      <c r="D277" s="510" t="s">
        <v>23398</v>
      </c>
      <c r="E277" s="511"/>
      <c r="F277" s="232" t="s">
        <v>23399</v>
      </c>
      <c r="G277" s="232" t="s">
        <v>22542</v>
      </c>
      <c r="H277" s="232">
        <v>9.311670843E9</v>
      </c>
      <c r="I277" s="512" t="s">
        <v>23400</v>
      </c>
      <c r="J277" s="232" t="b">
        <v>0</v>
      </c>
      <c r="K277" s="232" t="s">
        <v>22365</v>
      </c>
      <c r="L277" s="232" t="s">
        <v>22509</v>
      </c>
      <c r="M277" s="511"/>
      <c r="N277" s="232"/>
      <c r="O277" s="232"/>
      <c r="P277" s="312"/>
      <c r="Q277" s="312"/>
      <c r="R277" s="312"/>
      <c r="S277" s="312"/>
      <c r="T277" s="312"/>
      <c r="U277" s="312"/>
    </row>
    <row r="278">
      <c r="A278" s="508" t="s">
        <v>23389</v>
      </c>
      <c r="B278" s="232" t="s">
        <v>23401</v>
      </c>
      <c r="C278" s="509" t="s">
        <v>23402</v>
      </c>
      <c r="D278" s="510"/>
      <c r="E278" s="511"/>
      <c r="F278" s="232" t="s">
        <v>23403</v>
      </c>
      <c r="G278" s="232" t="s">
        <v>9094</v>
      </c>
      <c r="H278" s="232">
        <v>9.781011466E9</v>
      </c>
      <c r="I278" s="512" t="s">
        <v>23404</v>
      </c>
      <c r="J278" s="232" t="b">
        <v>0</v>
      </c>
      <c r="K278" s="232" t="s">
        <v>22365</v>
      </c>
      <c r="L278" s="232" t="s">
        <v>23405</v>
      </c>
      <c r="M278" s="511"/>
      <c r="N278" s="232"/>
      <c r="O278" s="232"/>
      <c r="P278" s="312"/>
      <c r="Q278" s="312"/>
      <c r="R278" s="312"/>
      <c r="S278" s="312"/>
      <c r="T278" s="312"/>
      <c r="U278" s="312"/>
    </row>
    <row r="279">
      <c r="A279" s="508" t="s">
        <v>23389</v>
      </c>
      <c r="B279" s="232" t="s">
        <v>23406</v>
      </c>
      <c r="C279" s="509" t="s">
        <v>4438</v>
      </c>
      <c r="D279" s="510" t="s">
        <v>23407</v>
      </c>
      <c r="E279" s="511"/>
      <c r="F279" s="232" t="s">
        <v>23408</v>
      </c>
      <c r="G279" s="232" t="s">
        <v>467</v>
      </c>
      <c r="H279" s="232">
        <v>8.958211403E9</v>
      </c>
      <c r="I279" s="509" t="s">
        <v>23409</v>
      </c>
      <c r="J279" s="232" t="b">
        <v>0</v>
      </c>
      <c r="K279" s="232" t="s">
        <v>12092</v>
      </c>
      <c r="L279" s="232"/>
      <c r="M279" s="511"/>
      <c r="N279" s="232"/>
      <c r="O279" s="232"/>
      <c r="P279" s="312"/>
      <c r="Q279" s="312"/>
      <c r="R279" s="312"/>
      <c r="S279" s="312"/>
      <c r="T279" s="312"/>
      <c r="U279" s="312"/>
    </row>
    <row r="280">
      <c r="A280" s="508" t="s">
        <v>23389</v>
      </c>
      <c r="B280" s="232" t="s">
        <v>23410</v>
      </c>
      <c r="C280" s="509" t="s">
        <v>23411</v>
      </c>
      <c r="D280" s="510" t="s">
        <v>23412</v>
      </c>
      <c r="E280" s="511"/>
      <c r="F280" s="232" t="s">
        <v>23413</v>
      </c>
      <c r="G280" s="232" t="s">
        <v>495</v>
      </c>
      <c r="H280" s="232">
        <v>6.20511744E9</v>
      </c>
      <c r="I280" s="509" t="s">
        <v>23414</v>
      </c>
      <c r="J280" s="232" t="b">
        <v>0</v>
      </c>
      <c r="K280" s="232" t="s">
        <v>22365</v>
      </c>
      <c r="L280" s="232" t="s">
        <v>22422</v>
      </c>
      <c r="M280" s="511"/>
      <c r="N280" s="232"/>
      <c r="O280" s="232"/>
      <c r="P280" s="312"/>
      <c r="Q280" s="312"/>
      <c r="R280" s="312"/>
      <c r="S280" s="312"/>
      <c r="T280" s="312"/>
      <c r="U280" s="312"/>
    </row>
    <row r="281">
      <c r="A281" s="508" t="s">
        <v>23389</v>
      </c>
      <c r="B281" s="232" t="s">
        <v>23415</v>
      </c>
      <c r="C281" s="509" t="s">
        <v>23416</v>
      </c>
      <c r="D281" s="510"/>
      <c r="E281" s="511"/>
      <c r="F281" s="232" t="s">
        <v>23417</v>
      </c>
      <c r="G281" s="232" t="s">
        <v>9891</v>
      </c>
      <c r="H281" s="232">
        <v>9.86388339E9</v>
      </c>
      <c r="I281" s="509" t="s">
        <v>23418</v>
      </c>
      <c r="J281" s="232" t="b">
        <v>0</v>
      </c>
      <c r="K281" s="232" t="s">
        <v>334</v>
      </c>
      <c r="L281" s="232"/>
      <c r="M281" s="511"/>
      <c r="N281" s="232"/>
      <c r="O281" s="232"/>
      <c r="P281" s="312"/>
      <c r="Q281" s="312"/>
      <c r="R281" s="312"/>
      <c r="S281" s="312"/>
      <c r="T281" s="312"/>
      <c r="U281" s="312"/>
    </row>
    <row r="282">
      <c r="A282" s="508" t="s">
        <v>23389</v>
      </c>
      <c r="B282" s="232" t="s">
        <v>23419</v>
      </c>
      <c r="C282" s="509" t="s">
        <v>23376</v>
      </c>
      <c r="D282" s="510"/>
      <c r="E282" s="511"/>
      <c r="F282" s="232" t="s">
        <v>23377</v>
      </c>
      <c r="G282" s="232" t="s">
        <v>507</v>
      </c>
      <c r="H282" s="232">
        <v>9.61955889E9</v>
      </c>
      <c r="I282" s="509" t="s">
        <v>22903</v>
      </c>
      <c r="J282" s="232" t="b">
        <v>0</v>
      </c>
      <c r="K282" s="232" t="s">
        <v>22365</v>
      </c>
      <c r="L282" s="232"/>
      <c r="M282" s="511"/>
      <c r="N282" s="232"/>
      <c r="O282" s="232"/>
      <c r="P282" s="312"/>
      <c r="Q282" s="312"/>
      <c r="R282" s="312"/>
      <c r="S282" s="312"/>
      <c r="T282" s="312"/>
      <c r="U282" s="312"/>
    </row>
    <row r="283">
      <c r="A283" s="508" t="s">
        <v>23389</v>
      </c>
      <c r="B283" s="232" t="s">
        <v>23420</v>
      </c>
      <c r="C283" s="509" t="s">
        <v>23421</v>
      </c>
      <c r="D283" s="510"/>
      <c r="E283" s="511"/>
      <c r="F283" s="232"/>
      <c r="G283" s="232" t="s">
        <v>507</v>
      </c>
      <c r="H283" s="232">
        <v>9.960699998E9</v>
      </c>
      <c r="I283" s="509" t="s">
        <v>22715</v>
      </c>
      <c r="J283" s="232" t="b">
        <v>0</v>
      </c>
      <c r="K283" s="232" t="s">
        <v>22365</v>
      </c>
      <c r="L283" s="232" t="s">
        <v>23422</v>
      </c>
      <c r="M283" s="511"/>
      <c r="N283" s="232"/>
      <c r="O283" s="232"/>
      <c r="P283" s="312"/>
      <c r="Q283" s="312"/>
      <c r="R283" s="312"/>
      <c r="S283" s="312"/>
      <c r="T283" s="312"/>
      <c r="U283" s="312"/>
    </row>
    <row r="284">
      <c r="A284" s="508" t="s">
        <v>23389</v>
      </c>
      <c r="B284" s="232" t="s">
        <v>23423</v>
      </c>
      <c r="C284" s="509" t="s">
        <v>7567</v>
      </c>
      <c r="D284" s="510" t="s">
        <v>23424</v>
      </c>
      <c r="E284" s="511"/>
      <c r="F284" s="232"/>
      <c r="G284" s="232" t="s">
        <v>398</v>
      </c>
      <c r="H284" s="232">
        <v>7.987881029E9</v>
      </c>
      <c r="I284" s="509" t="s">
        <v>22577</v>
      </c>
      <c r="J284" s="232" t="b">
        <v>0</v>
      </c>
      <c r="K284" s="232" t="s">
        <v>22355</v>
      </c>
      <c r="L284" s="232"/>
      <c r="M284" s="511"/>
      <c r="N284" s="232"/>
      <c r="O284" s="232"/>
      <c r="P284" s="312"/>
      <c r="Q284" s="312"/>
      <c r="R284" s="312"/>
      <c r="S284" s="312"/>
      <c r="T284" s="312"/>
      <c r="U284" s="312"/>
    </row>
    <row r="285">
      <c r="A285" s="508" t="s">
        <v>23389</v>
      </c>
      <c r="B285" s="232" t="s">
        <v>23425</v>
      </c>
      <c r="C285" s="509" t="s">
        <v>23426</v>
      </c>
      <c r="D285" s="510" t="s">
        <v>23427</v>
      </c>
      <c r="E285" s="511"/>
      <c r="F285" s="232" t="s">
        <v>23428</v>
      </c>
      <c r="G285" s="232" t="s">
        <v>22421</v>
      </c>
      <c r="H285" s="232">
        <v>9.168833337E9</v>
      </c>
      <c r="I285" s="509" t="s">
        <v>23429</v>
      </c>
      <c r="J285" s="232" t="b">
        <v>0</v>
      </c>
      <c r="K285" s="232" t="s">
        <v>12092</v>
      </c>
      <c r="L285" s="232"/>
      <c r="M285" s="511"/>
      <c r="N285" s="232"/>
      <c r="O285" s="232"/>
      <c r="P285" s="312"/>
      <c r="Q285" s="312"/>
      <c r="R285" s="312"/>
      <c r="S285" s="312"/>
      <c r="T285" s="312"/>
      <c r="U285" s="312"/>
    </row>
    <row r="286">
      <c r="A286" s="508" t="s">
        <v>23389</v>
      </c>
      <c r="B286" s="232" t="s">
        <v>23430</v>
      </c>
      <c r="C286" s="509" t="s">
        <v>23431</v>
      </c>
      <c r="D286" s="510"/>
      <c r="E286" s="511"/>
      <c r="F286" s="232" t="s">
        <v>23432</v>
      </c>
      <c r="G286" s="232" t="s">
        <v>1691</v>
      </c>
      <c r="H286" s="232">
        <v>9.749926808E9</v>
      </c>
      <c r="I286" s="509" t="s">
        <v>22903</v>
      </c>
      <c r="J286" s="232" t="b">
        <v>0</v>
      </c>
      <c r="K286" s="232" t="s">
        <v>334</v>
      </c>
      <c r="L286" s="232"/>
      <c r="M286" s="511"/>
      <c r="N286" s="232"/>
      <c r="O286" s="232"/>
      <c r="P286" s="312"/>
      <c r="Q286" s="312"/>
      <c r="R286" s="312"/>
      <c r="S286" s="312"/>
      <c r="T286" s="312"/>
      <c r="U286" s="312"/>
    </row>
    <row r="287">
      <c r="A287" s="508" t="s">
        <v>23389</v>
      </c>
      <c r="B287" s="232" t="s">
        <v>23433</v>
      </c>
      <c r="C287" s="509" t="s">
        <v>9534</v>
      </c>
      <c r="D287" s="510" t="s">
        <v>23434</v>
      </c>
      <c r="E287" s="511"/>
      <c r="F287" s="232" t="s">
        <v>23435</v>
      </c>
      <c r="G287" s="232" t="s">
        <v>507</v>
      </c>
      <c r="H287" s="232">
        <v>9.766360767E9</v>
      </c>
      <c r="I287" s="509" t="s">
        <v>22984</v>
      </c>
      <c r="J287" s="232" t="b">
        <v>0</v>
      </c>
      <c r="K287" s="232" t="s">
        <v>22365</v>
      </c>
      <c r="L287" s="232"/>
      <c r="M287" s="511"/>
      <c r="N287" s="232"/>
      <c r="O287" s="232"/>
      <c r="P287" s="312"/>
      <c r="Q287" s="312"/>
      <c r="R287" s="312"/>
      <c r="S287" s="312"/>
      <c r="T287" s="312"/>
      <c r="U287" s="312"/>
    </row>
    <row r="288">
      <c r="A288" s="508" t="s">
        <v>23389</v>
      </c>
      <c r="B288" s="232" t="s">
        <v>23436</v>
      </c>
      <c r="C288" s="509" t="s">
        <v>23437</v>
      </c>
      <c r="D288" s="510" t="s">
        <v>23438</v>
      </c>
      <c r="E288" s="511"/>
      <c r="F288" s="232" t="s">
        <v>23439</v>
      </c>
      <c r="G288" s="232" t="s">
        <v>7995</v>
      </c>
      <c r="H288" s="232">
        <v>9.831794675E9</v>
      </c>
      <c r="I288" s="509" t="s">
        <v>22289</v>
      </c>
      <c r="J288" s="232" t="b">
        <v>0</v>
      </c>
      <c r="K288" s="232" t="s">
        <v>22365</v>
      </c>
      <c r="L288" s="232" t="s">
        <v>22514</v>
      </c>
      <c r="M288" s="511"/>
      <c r="N288" s="232"/>
      <c r="O288" s="232"/>
      <c r="P288" s="312"/>
      <c r="Q288" s="312"/>
      <c r="R288" s="312"/>
      <c r="S288" s="312"/>
      <c r="T288" s="312"/>
      <c r="U288" s="312"/>
    </row>
    <row r="289">
      <c r="A289" s="508" t="s">
        <v>23440</v>
      </c>
      <c r="B289" s="232" t="s">
        <v>23441</v>
      </c>
      <c r="C289" s="509" t="s">
        <v>23442</v>
      </c>
      <c r="D289" s="510" t="s">
        <v>23443</v>
      </c>
      <c r="E289" s="511"/>
      <c r="F289" s="232" t="s">
        <v>23444</v>
      </c>
      <c r="G289" s="232" t="s">
        <v>22597</v>
      </c>
      <c r="H289" s="232">
        <v>9.897140521E9</v>
      </c>
      <c r="I289" s="509" t="s">
        <v>22360</v>
      </c>
      <c r="J289" s="232" t="b">
        <v>0</v>
      </c>
      <c r="K289" s="232" t="s">
        <v>12092</v>
      </c>
      <c r="L289" s="232"/>
      <c r="M289" s="511"/>
      <c r="N289" s="232"/>
      <c r="O289" s="232"/>
      <c r="P289" s="312"/>
      <c r="Q289" s="312"/>
      <c r="R289" s="312"/>
      <c r="S289" s="312"/>
      <c r="T289" s="312"/>
      <c r="U289" s="312"/>
    </row>
    <row r="290">
      <c r="A290" s="508" t="s">
        <v>23440</v>
      </c>
      <c r="B290" s="232" t="s">
        <v>23445</v>
      </c>
      <c r="C290" s="509" t="s">
        <v>23446</v>
      </c>
      <c r="D290" s="510"/>
      <c r="E290" s="511"/>
      <c r="F290" s="232"/>
      <c r="G290" s="232" t="s">
        <v>22292</v>
      </c>
      <c r="H290" s="232">
        <v>9.9221442E9</v>
      </c>
      <c r="I290" s="509" t="s">
        <v>23447</v>
      </c>
      <c r="J290" s="232" t="b">
        <v>0</v>
      </c>
      <c r="K290" s="232" t="s">
        <v>22365</v>
      </c>
      <c r="L290" s="232" t="s">
        <v>23448</v>
      </c>
      <c r="M290" s="511"/>
      <c r="N290" s="232"/>
      <c r="O290" s="232"/>
      <c r="P290" s="312"/>
      <c r="Q290" s="312"/>
      <c r="R290" s="312"/>
      <c r="S290" s="312"/>
      <c r="T290" s="312"/>
      <c r="U290" s="312"/>
    </row>
    <row r="291">
      <c r="A291" s="508" t="s">
        <v>23440</v>
      </c>
      <c r="B291" s="232" t="s">
        <v>23449</v>
      </c>
      <c r="C291" s="509" t="s">
        <v>23450</v>
      </c>
      <c r="D291" s="510" t="s">
        <v>23451</v>
      </c>
      <c r="E291" s="511"/>
      <c r="F291" s="232" t="s">
        <v>23452</v>
      </c>
      <c r="G291" s="232" t="s">
        <v>23453</v>
      </c>
      <c r="H291" s="232">
        <v>9.007395576E9</v>
      </c>
      <c r="I291" s="509" t="s">
        <v>22698</v>
      </c>
      <c r="J291" s="232" t="b">
        <v>0</v>
      </c>
      <c r="K291" s="232" t="s">
        <v>22365</v>
      </c>
      <c r="L291" s="232" t="s">
        <v>22554</v>
      </c>
      <c r="M291" s="511"/>
      <c r="N291" s="232"/>
      <c r="O291" s="232"/>
      <c r="P291" s="312"/>
      <c r="Q291" s="312"/>
      <c r="R291" s="312"/>
      <c r="S291" s="312"/>
      <c r="T291" s="312"/>
      <c r="U291" s="312"/>
    </row>
    <row r="292">
      <c r="A292" s="508" t="s">
        <v>23440</v>
      </c>
      <c r="B292" s="232" t="s">
        <v>23454</v>
      </c>
      <c r="C292" s="509" t="s">
        <v>23402</v>
      </c>
      <c r="D292" s="510"/>
      <c r="E292" s="511"/>
      <c r="F292" s="232" t="s">
        <v>23403</v>
      </c>
      <c r="G292" s="232" t="s">
        <v>9094</v>
      </c>
      <c r="H292" s="232">
        <v>9.781011466E9</v>
      </c>
      <c r="I292" s="509" t="s">
        <v>23455</v>
      </c>
      <c r="J292" s="232" t="b">
        <v>0</v>
      </c>
      <c r="K292" s="232" t="s">
        <v>22365</v>
      </c>
      <c r="L292" s="232" t="s">
        <v>23456</v>
      </c>
      <c r="M292" s="511"/>
      <c r="N292" s="232"/>
      <c r="O292" s="232"/>
      <c r="P292" s="312"/>
      <c r="Q292" s="312"/>
      <c r="R292" s="312"/>
      <c r="S292" s="312"/>
      <c r="T292" s="312"/>
      <c r="U292" s="312"/>
    </row>
    <row r="293">
      <c r="A293" s="508" t="s">
        <v>23440</v>
      </c>
      <c r="B293" s="232" t="s">
        <v>23457</v>
      </c>
      <c r="C293" s="509" t="s">
        <v>23458</v>
      </c>
      <c r="D293" s="519" t="s">
        <v>23459</v>
      </c>
      <c r="E293" s="511"/>
      <c r="F293" s="232" t="s">
        <v>23460</v>
      </c>
      <c r="G293" s="232" t="s">
        <v>22856</v>
      </c>
      <c r="H293" s="232">
        <v>8.792783788E9</v>
      </c>
      <c r="I293" s="509" t="s">
        <v>23461</v>
      </c>
      <c r="J293" s="232" t="b">
        <v>0</v>
      </c>
      <c r="K293" s="232" t="s">
        <v>12092</v>
      </c>
      <c r="L293" s="232"/>
      <c r="M293" s="511"/>
      <c r="N293" s="232"/>
      <c r="O293" s="232"/>
      <c r="P293" s="312"/>
      <c r="Q293" s="312"/>
      <c r="R293" s="312"/>
      <c r="S293" s="312"/>
      <c r="T293" s="312"/>
      <c r="U293" s="312"/>
    </row>
    <row r="294">
      <c r="A294" s="508" t="s">
        <v>23440</v>
      </c>
      <c r="B294" s="232" t="s">
        <v>23462</v>
      </c>
      <c r="C294" s="509" t="s">
        <v>23463</v>
      </c>
      <c r="D294" s="510" t="s">
        <v>23464</v>
      </c>
      <c r="E294" s="511"/>
      <c r="F294" s="232"/>
      <c r="G294" s="232" t="s">
        <v>22630</v>
      </c>
      <c r="H294" s="232">
        <v>8.160175675E9</v>
      </c>
      <c r="I294" s="509" t="s">
        <v>23465</v>
      </c>
      <c r="J294" s="232" t="b">
        <v>0</v>
      </c>
      <c r="K294" s="232" t="s">
        <v>22349</v>
      </c>
      <c r="L294" s="232" t="s">
        <v>23466</v>
      </c>
      <c r="M294" s="511"/>
      <c r="N294" s="232"/>
      <c r="O294" s="232"/>
      <c r="P294" s="312"/>
      <c r="Q294" s="312"/>
      <c r="R294" s="312"/>
      <c r="S294" s="312"/>
      <c r="T294" s="312"/>
      <c r="U294" s="312"/>
    </row>
    <row r="295">
      <c r="A295" s="508" t="s">
        <v>23440</v>
      </c>
      <c r="B295" s="232" t="s">
        <v>23467</v>
      </c>
      <c r="C295" s="509" t="s">
        <v>23468</v>
      </c>
      <c r="D295" s="510"/>
      <c r="E295" s="511"/>
      <c r="F295" s="232" t="s">
        <v>23469</v>
      </c>
      <c r="G295" s="232" t="s">
        <v>22597</v>
      </c>
      <c r="H295" s="232">
        <v>9.889158057E9</v>
      </c>
      <c r="I295" s="509" t="s">
        <v>22289</v>
      </c>
      <c r="J295" s="232" t="b">
        <v>0</v>
      </c>
      <c r="K295" s="232" t="s">
        <v>22365</v>
      </c>
      <c r="L295" s="232" t="s">
        <v>22514</v>
      </c>
      <c r="M295" s="511"/>
      <c r="N295" s="232"/>
      <c r="O295" s="232"/>
      <c r="P295" s="312"/>
      <c r="Q295" s="312"/>
      <c r="R295" s="312"/>
      <c r="S295" s="312"/>
      <c r="T295" s="312"/>
      <c r="U295" s="312"/>
    </row>
    <row r="296">
      <c r="A296" s="508" t="s">
        <v>23440</v>
      </c>
      <c r="B296" s="232" t="s">
        <v>23470</v>
      </c>
      <c r="C296" s="509" t="s">
        <v>23471</v>
      </c>
      <c r="D296" s="510"/>
      <c r="E296" s="511"/>
      <c r="F296" s="232" t="s">
        <v>23472</v>
      </c>
      <c r="G296" s="232" t="s">
        <v>7995</v>
      </c>
      <c r="H296" s="232">
        <v>9.432933317E9</v>
      </c>
      <c r="I296" s="509" t="s">
        <v>22903</v>
      </c>
      <c r="J296" s="232" t="b">
        <v>0</v>
      </c>
      <c r="K296" s="232" t="s">
        <v>22365</v>
      </c>
      <c r="L296" s="232" t="s">
        <v>22514</v>
      </c>
      <c r="M296" s="511"/>
      <c r="N296" s="232"/>
      <c r="O296" s="232"/>
      <c r="P296" s="312"/>
      <c r="Q296" s="312"/>
      <c r="R296" s="312"/>
      <c r="S296" s="312"/>
      <c r="T296" s="312"/>
      <c r="U296" s="312"/>
    </row>
    <row r="297">
      <c r="A297" s="508" t="s">
        <v>23440</v>
      </c>
      <c r="B297" s="232" t="s">
        <v>23473</v>
      </c>
      <c r="C297" s="509" t="s">
        <v>23474</v>
      </c>
      <c r="D297" s="510" t="s">
        <v>23475</v>
      </c>
      <c r="E297" s="511"/>
      <c r="F297" s="232" t="s">
        <v>23476</v>
      </c>
      <c r="G297" s="232" t="s">
        <v>467</v>
      </c>
      <c r="H297" s="232">
        <v>7.275283453E9</v>
      </c>
      <c r="I297" s="509" t="s">
        <v>23477</v>
      </c>
      <c r="J297" s="232" t="b">
        <v>0</v>
      </c>
      <c r="K297" s="232" t="s">
        <v>22365</v>
      </c>
      <c r="L297" s="232" t="s">
        <v>23478</v>
      </c>
      <c r="M297" s="511"/>
      <c r="N297" s="232"/>
      <c r="O297" s="232"/>
      <c r="P297" s="312"/>
      <c r="Q297" s="312"/>
      <c r="R297" s="312"/>
      <c r="S297" s="312"/>
      <c r="T297" s="312"/>
      <c r="U297" s="312"/>
    </row>
    <row r="298">
      <c r="A298" s="508" t="s">
        <v>23440</v>
      </c>
      <c r="B298" s="232" t="s">
        <v>23479</v>
      </c>
      <c r="C298" s="509" t="s">
        <v>319</v>
      </c>
      <c r="D298" s="510"/>
      <c r="E298" s="511"/>
      <c r="F298" s="232"/>
      <c r="G298" s="232" t="s">
        <v>467</v>
      </c>
      <c r="H298" s="232">
        <v>8.060632136E9</v>
      </c>
      <c r="I298" s="509" t="s">
        <v>23480</v>
      </c>
      <c r="J298" s="232" t="b">
        <v>0</v>
      </c>
      <c r="K298" s="232"/>
      <c r="L298" s="232"/>
      <c r="M298" s="511"/>
      <c r="N298" s="232"/>
      <c r="O298" s="232"/>
      <c r="P298" s="312"/>
      <c r="Q298" s="312"/>
      <c r="R298" s="312"/>
      <c r="S298" s="312"/>
      <c r="T298" s="312"/>
      <c r="U298" s="312"/>
    </row>
    <row r="299">
      <c r="A299" s="508" t="s">
        <v>23440</v>
      </c>
      <c r="B299" s="232" t="s">
        <v>23481</v>
      </c>
      <c r="C299" s="509" t="s">
        <v>23482</v>
      </c>
      <c r="D299" s="510"/>
      <c r="E299" s="511"/>
      <c r="F299" s="232" t="s">
        <v>23483</v>
      </c>
      <c r="G299" s="232" t="s">
        <v>2662</v>
      </c>
      <c r="H299" s="232">
        <v>9.489611001E9</v>
      </c>
      <c r="I299" s="509" t="s">
        <v>23484</v>
      </c>
      <c r="J299" s="232" t="b">
        <v>0</v>
      </c>
      <c r="K299" s="232" t="s">
        <v>22365</v>
      </c>
      <c r="L299" s="232" t="s">
        <v>23485</v>
      </c>
      <c r="M299" s="511"/>
      <c r="N299" s="232"/>
      <c r="O299" s="232"/>
      <c r="P299" s="312"/>
      <c r="Q299" s="312"/>
      <c r="R299" s="312"/>
      <c r="S299" s="312"/>
      <c r="T299" s="312"/>
      <c r="U299" s="312"/>
    </row>
    <row r="300">
      <c r="A300" s="508" t="s">
        <v>23440</v>
      </c>
      <c r="B300" s="232" t="s">
        <v>23486</v>
      </c>
      <c r="C300" s="509" t="s">
        <v>23487</v>
      </c>
      <c r="D300" s="510" t="s">
        <v>23488</v>
      </c>
      <c r="E300" s="511"/>
      <c r="F300" s="232"/>
      <c r="G300" s="232" t="s">
        <v>22292</v>
      </c>
      <c r="H300" s="232">
        <v>8.208816929E9</v>
      </c>
      <c r="I300" s="509" t="s">
        <v>23489</v>
      </c>
      <c r="J300" s="232" t="b">
        <v>0</v>
      </c>
      <c r="K300" s="232" t="s">
        <v>22355</v>
      </c>
      <c r="L300" s="232"/>
      <c r="M300" s="511"/>
      <c r="N300" s="232"/>
      <c r="O300" s="232"/>
      <c r="P300" s="312"/>
      <c r="Q300" s="312"/>
      <c r="R300" s="312"/>
      <c r="S300" s="312"/>
      <c r="T300" s="312"/>
      <c r="U300" s="312"/>
    </row>
    <row r="301">
      <c r="A301" s="508" t="s">
        <v>23440</v>
      </c>
      <c r="B301" s="232" t="s">
        <v>23490</v>
      </c>
      <c r="C301" s="509" t="s">
        <v>23491</v>
      </c>
      <c r="D301" s="510" t="s">
        <v>23492</v>
      </c>
      <c r="E301" s="511"/>
      <c r="F301" s="232" t="s">
        <v>23493</v>
      </c>
      <c r="G301" s="232" t="s">
        <v>23494</v>
      </c>
      <c r="H301" s="232">
        <v>9.449662158E9</v>
      </c>
      <c r="I301" s="509" t="s">
        <v>23495</v>
      </c>
      <c r="J301" s="232" t="b">
        <v>0</v>
      </c>
      <c r="K301" s="232" t="s">
        <v>22365</v>
      </c>
      <c r="L301" s="232" t="s">
        <v>22611</v>
      </c>
      <c r="M301" s="511"/>
      <c r="N301" s="232"/>
      <c r="O301" s="232"/>
      <c r="P301" s="312"/>
      <c r="Q301" s="312"/>
      <c r="R301" s="312"/>
      <c r="S301" s="312"/>
      <c r="T301" s="312"/>
      <c r="U301" s="312"/>
    </row>
    <row r="302">
      <c r="A302" s="508" t="s">
        <v>23440</v>
      </c>
      <c r="B302" s="232" t="s">
        <v>23496</v>
      </c>
      <c r="C302" s="509" t="s">
        <v>23497</v>
      </c>
      <c r="D302" s="510" t="s">
        <v>23498</v>
      </c>
      <c r="E302" s="511"/>
      <c r="F302" s="232" t="s">
        <v>23499</v>
      </c>
      <c r="G302" s="232" t="s">
        <v>22630</v>
      </c>
      <c r="H302" s="232">
        <v>9.913475797E9</v>
      </c>
      <c r="I302" s="509" t="s">
        <v>23500</v>
      </c>
      <c r="J302" s="232" t="b">
        <v>0</v>
      </c>
      <c r="K302" s="232" t="s">
        <v>22365</v>
      </c>
      <c r="L302" s="232" t="s">
        <v>23501</v>
      </c>
      <c r="M302" s="511"/>
      <c r="N302" s="232"/>
      <c r="O302" s="232"/>
      <c r="P302" s="312"/>
      <c r="Q302" s="312"/>
      <c r="R302" s="312"/>
      <c r="S302" s="312"/>
      <c r="T302" s="312"/>
      <c r="U302" s="312"/>
    </row>
    <row r="303">
      <c r="A303" s="508" t="s">
        <v>23440</v>
      </c>
      <c r="B303" s="232" t="s">
        <v>23502</v>
      </c>
      <c r="C303" s="509" t="s">
        <v>22916</v>
      </c>
      <c r="D303" s="510" t="s">
        <v>22917</v>
      </c>
      <c r="E303" s="511"/>
      <c r="F303" s="232" t="s">
        <v>22918</v>
      </c>
      <c r="G303" s="232" t="s">
        <v>495</v>
      </c>
      <c r="H303" s="232">
        <v>8.809263482E9</v>
      </c>
      <c r="I303" s="509" t="s">
        <v>23503</v>
      </c>
      <c r="J303" s="232" t="b">
        <v>0</v>
      </c>
      <c r="K303" s="232" t="s">
        <v>22365</v>
      </c>
      <c r="L303" s="232" t="s">
        <v>23504</v>
      </c>
      <c r="M303" s="511"/>
      <c r="N303" s="232"/>
      <c r="O303" s="232"/>
      <c r="P303" s="312"/>
      <c r="Q303" s="312"/>
      <c r="R303" s="312"/>
      <c r="S303" s="312"/>
      <c r="T303" s="312"/>
      <c r="U303" s="312"/>
    </row>
    <row r="304">
      <c r="A304" s="508" t="s">
        <v>23440</v>
      </c>
      <c r="B304" s="232" t="s">
        <v>23505</v>
      </c>
      <c r="C304" s="509" t="s">
        <v>23506</v>
      </c>
      <c r="D304" s="510"/>
      <c r="E304" s="511"/>
      <c r="F304" s="232" t="s">
        <v>23507</v>
      </c>
      <c r="G304" s="232" t="s">
        <v>99</v>
      </c>
      <c r="H304" s="232">
        <v>9.668714074E9</v>
      </c>
      <c r="I304" s="509" t="s">
        <v>23508</v>
      </c>
      <c r="J304" s="232" t="b">
        <v>0</v>
      </c>
      <c r="K304" s="232" t="s">
        <v>22365</v>
      </c>
      <c r="L304" s="232" t="s">
        <v>22422</v>
      </c>
      <c r="M304" s="511"/>
      <c r="N304" s="232"/>
      <c r="O304" s="232"/>
      <c r="P304" s="312"/>
      <c r="Q304" s="312"/>
      <c r="R304" s="312"/>
      <c r="S304" s="312"/>
      <c r="T304" s="312"/>
      <c r="U304" s="312"/>
    </row>
    <row r="305">
      <c r="A305" s="508" t="s">
        <v>23440</v>
      </c>
      <c r="B305" s="232" t="s">
        <v>23509</v>
      </c>
      <c r="C305" s="509" t="s">
        <v>23510</v>
      </c>
      <c r="D305" s="510"/>
      <c r="E305" s="511"/>
      <c r="F305" s="232" t="s">
        <v>23511</v>
      </c>
      <c r="G305" s="232" t="s">
        <v>23512</v>
      </c>
      <c r="H305" s="232">
        <v>9.90474199E9</v>
      </c>
      <c r="I305" s="509" t="s">
        <v>22879</v>
      </c>
      <c r="J305" s="232" t="b">
        <v>0</v>
      </c>
      <c r="K305" s="232" t="s">
        <v>334</v>
      </c>
      <c r="L305" s="232"/>
      <c r="M305" s="511"/>
      <c r="N305" s="232"/>
      <c r="O305" s="232"/>
      <c r="P305" s="312"/>
      <c r="Q305" s="312"/>
      <c r="R305" s="312"/>
      <c r="S305" s="312"/>
      <c r="T305" s="312"/>
      <c r="U305" s="312"/>
    </row>
    <row r="306">
      <c r="A306" s="508" t="s">
        <v>23440</v>
      </c>
      <c r="B306" s="232" t="s">
        <v>23513</v>
      </c>
      <c r="C306" s="509" t="s">
        <v>23514</v>
      </c>
      <c r="D306" s="510" t="s">
        <v>23515</v>
      </c>
      <c r="E306" s="511"/>
      <c r="F306" s="232" t="s">
        <v>23516</v>
      </c>
      <c r="G306" s="232" t="s">
        <v>467</v>
      </c>
      <c r="H306" s="232">
        <v>8.604587872E9</v>
      </c>
      <c r="I306" s="509" t="s">
        <v>22577</v>
      </c>
      <c r="J306" s="232" t="b">
        <v>0</v>
      </c>
      <c r="K306" s="232" t="s">
        <v>12092</v>
      </c>
      <c r="L306" s="232"/>
      <c r="M306" s="511"/>
      <c r="N306" s="232"/>
      <c r="O306" s="232"/>
      <c r="P306" s="312"/>
      <c r="Q306" s="312"/>
      <c r="R306" s="312"/>
      <c r="S306" s="312"/>
      <c r="T306" s="312"/>
      <c r="U306" s="312"/>
    </row>
    <row r="307">
      <c r="A307" s="508" t="s">
        <v>23440</v>
      </c>
      <c r="B307" s="232" t="s">
        <v>23517</v>
      </c>
      <c r="C307" s="509" t="s">
        <v>23518</v>
      </c>
      <c r="D307" s="510" t="s">
        <v>23519</v>
      </c>
      <c r="E307" s="511"/>
      <c r="F307" s="232" t="s">
        <v>23520</v>
      </c>
      <c r="G307" s="232" t="s">
        <v>23521</v>
      </c>
      <c r="H307" s="232">
        <v>9.4951763E9</v>
      </c>
      <c r="I307" s="509" t="s">
        <v>23522</v>
      </c>
      <c r="J307" s="232" t="b">
        <v>0</v>
      </c>
      <c r="K307" s="232" t="s">
        <v>22365</v>
      </c>
      <c r="L307" s="232" t="s">
        <v>22611</v>
      </c>
      <c r="M307" s="511"/>
      <c r="N307" s="232"/>
      <c r="O307" s="232"/>
      <c r="P307" s="312"/>
      <c r="Q307" s="312"/>
      <c r="R307" s="312"/>
      <c r="S307" s="312"/>
      <c r="T307" s="312"/>
      <c r="U307" s="312"/>
    </row>
    <row r="308">
      <c r="A308" s="508" t="s">
        <v>23440</v>
      </c>
      <c r="B308" s="232" t="s">
        <v>23523</v>
      </c>
      <c r="C308" s="509" t="s">
        <v>9622</v>
      </c>
      <c r="D308" s="510"/>
      <c r="E308" s="511"/>
      <c r="F308" s="232"/>
      <c r="G308" s="232" t="s">
        <v>44</v>
      </c>
      <c r="H308" s="232">
        <v>9.735981832E9</v>
      </c>
      <c r="I308" s="512" t="s">
        <v>22636</v>
      </c>
      <c r="J308" s="232" t="b">
        <v>0</v>
      </c>
      <c r="K308" s="232" t="s">
        <v>22349</v>
      </c>
      <c r="L308" s="232" t="s">
        <v>23524</v>
      </c>
      <c r="M308" s="511"/>
      <c r="N308" s="232"/>
      <c r="O308" s="232"/>
      <c r="P308" s="312"/>
      <c r="Q308" s="312"/>
      <c r="R308" s="312"/>
      <c r="S308" s="312"/>
      <c r="T308" s="312"/>
      <c r="U308" s="312"/>
    </row>
    <row r="309">
      <c r="A309" s="508" t="s">
        <v>23440</v>
      </c>
      <c r="B309" s="232" t="s">
        <v>23525</v>
      </c>
      <c r="C309" s="509" t="s">
        <v>23526</v>
      </c>
      <c r="D309" s="510" t="s">
        <v>23527</v>
      </c>
      <c r="E309" s="511"/>
      <c r="F309" s="232" t="s">
        <v>23528</v>
      </c>
      <c r="G309" s="232" t="s">
        <v>23529</v>
      </c>
      <c r="H309" s="232">
        <v>9.490565632E9</v>
      </c>
      <c r="I309" s="509" t="s">
        <v>23530</v>
      </c>
      <c r="J309" s="232" t="b">
        <v>0</v>
      </c>
      <c r="K309" s="232" t="s">
        <v>22365</v>
      </c>
      <c r="L309" s="232" t="s">
        <v>22422</v>
      </c>
      <c r="M309" s="511"/>
      <c r="N309" s="232"/>
      <c r="O309" s="232"/>
      <c r="P309" s="312"/>
      <c r="Q309" s="312"/>
      <c r="R309" s="312"/>
      <c r="S309" s="312"/>
      <c r="T309" s="312"/>
      <c r="U309" s="312"/>
    </row>
    <row r="310">
      <c r="A310" s="508" t="s">
        <v>23531</v>
      </c>
      <c r="B310" s="232" t="s">
        <v>23532</v>
      </c>
      <c r="C310" s="509" t="s">
        <v>23533</v>
      </c>
      <c r="D310" s="510" t="s">
        <v>23534</v>
      </c>
      <c r="E310" s="511"/>
      <c r="F310" s="232" t="s">
        <v>23535</v>
      </c>
      <c r="G310" s="232" t="s">
        <v>22359</v>
      </c>
      <c r="H310" s="232">
        <v>9.826663686E9</v>
      </c>
      <c r="I310" s="509" t="s">
        <v>23536</v>
      </c>
      <c r="J310" s="232" t="b">
        <v>0</v>
      </c>
      <c r="K310" s="232" t="s">
        <v>22365</v>
      </c>
      <c r="L310" s="232" t="s">
        <v>23537</v>
      </c>
      <c r="M310" s="511"/>
      <c r="N310" s="232"/>
      <c r="O310" s="232"/>
      <c r="P310" s="312"/>
      <c r="Q310" s="312"/>
      <c r="R310" s="312"/>
      <c r="S310" s="312"/>
      <c r="T310" s="312"/>
      <c r="U310" s="312"/>
    </row>
    <row r="311">
      <c r="A311" s="508" t="s">
        <v>23531</v>
      </c>
      <c r="B311" s="232" t="s">
        <v>23538</v>
      </c>
      <c r="C311" s="509" t="s">
        <v>23539</v>
      </c>
      <c r="D311" s="510"/>
      <c r="E311" s="511"/>
      <c r="F311" s="232" t="s">
        <v>23540</v>
      </c>
      <c r="G311" s="232" t="s">
        <v>22359</v>
      </c>
      <c r="H311" s="232">
        <v>7.024803161E9</v>
      </c>
      <c r="I311" s="509" t="s">
        <v>23541</v>
      </c>
      <c r="J311" s="232" t="b">
        <v>0</v>
      </c>
      <c r="K311" s="232"/>
      <c r="L311" s="232"/>
      <c r="M311" s="511"/>
      <c r="N311" s="232"/>
      <c r="O311" s="232"/>
      <c r="P311" s="312"/>
      <c r="Q311" s="312"/>
      <c r="R311" s="312"/>
      <c r="S311" s="312"/>
      <c r="T311" s="312"/>
      <c r="U311" s="312"/>
    </row>
    <row r="312">
      <c r="A312" s="508" t="s">
        <v>23531</v>
      </c>
      <c r="B312" s="232" t="s">
        <v>23542</v>
      </c>
      <c r="C312" s="509" t="s">
        <v>23543</v>
      </c>
      <c r="D312" s="510"/>
      <c r="E312" s="511"/>
      <c r="F312" s="232" t="s">
        <v>23544</v>
      </c>
      <c r="G312" s="232" t="s">
        <v>23545</v>
      </c>
      <c r="H312" s="232">
        <v>7.384611792E9</v>
      </c>
      <c r="I312" s="509" t="s">
        <v>23546</v>
      </c>
      <c r="J312" s="232" t="b">
        <v>0</v>
      </c>
      <c r="K312" s="232" t="s">
        <v>22365</v>
      </c>
      <c r="L312" s="232" t="s">
        <v>22611</v>
      </c>
      <c r="M312" s="511"/>
      <c r="N312" s="232"/>
      <c r="O312" s="232"/>
      <c r="P312" s="312"/>
      <c r="Q312" s="312"/>
      <c r="R312" s="312"/>
      <c r="S312" s="312"/>
      <c r="T312" s="312"/>
      <c r="U312" s="312"/>
    </row>
    <row r="313">
      <c r="A313" s="508" t="s">
        <v>23531</v>
      </c>
      <c r="B313" s="232" t="s">
        <v>23547</v>
      </c>
      <c r="C313" s="509" t="s">
        <v>23548</v>
      </c>
      <c r="D313" s="510" t="s">
        <v>23549</v>
      </c>
      <c r="E313" s="511"/>
      <c r="F313" s="232" t="s">
        <v>23550</v>
      </c>
      <c r="G313" s="232" t="s">
        <v>1461</v>
      </c>
      <c r="H313" s="232">
        <v>9.672663605E9</v>
      </c>
      <c r="I313" s="509" t="s">
        <v>23551</v>
      </c>
      <c r="J313" s="232" t="b">
        <v>0</v>
      </c>
      <c r="K313" s="232" t="s">
        <v>22365</v>
      </c>
      <c r="L313" s="232" t="s">
        <v>23537</v>
      </c>
      <c r="M313" s="511"/>
      <c r="N313" s="232"/>
      <c r="O313" s="232"/>
      <c r="P313" s="312"/>
      <c r="Q313" s="312"/>
      <c r="R313" s="312"/>
      <c r="S313" s="312"/>
      <c r="T313" s="312"/>
      <c r="U313" s="312"/>
    </row>
    <row r="314">
      <c r="A314" s="508" t="s">
        <v>23531</v>
      </c>
      <c r="B314" s="232" t="s">
        <v>23552</v>
      </c>
      <c r="C314" s="509" t="s">
        <v>4733</v>
      </c>
      <c r="D314" s="510"/>
      <c r="E314" s="511"/>
      <c r="F314" s="232" t="s">
        <v>23553</v>
      </c>
      <c r="G314" s="232" t="s">
        <v>184</v>
      </c>
      <c r="H314" s="232">
        <v>8.092492139E9</v>
      </c>
      <c r="I314" s="509" t="s">
        <v>23554</v>
      </c>
      <c r="J314" s="232" t="b">
        <v>0</v>
      </c>
      <c r="K314" s="232" t="s">
        <v>22349</v>
      </c>
      <c r="L314" s="232" t="s">
        <v>22733</v>
      </c>
      <c r="M314" s="511"/>
      <c r="N314" s="232"/>
      <c r="O314" s="232"/>
      <c r="P314" s="312"/>
      <c r="Q314" s="312"/>
      <c r="R314" s="312"/>
      <c r="S314" s="312"/>
      <c r="T314" s="312"/>
      <c r="U314" s="312"/>
    </row>
    <row r="315">
      <c r="A315" s="508" t="s">
        <v>23531</v>
      </c>
      <c r="B315" s="232" t="s">
        <v>23555</v>
      </c>
      <c r="C315" s="509" t="s">
        <v>23556</v>
      </c>
      <c r="D315" s="510"/>
      <c r="E315" s="511"/>
      <c r="F315" s="232"/>
      <c r="G315" s="232" t="s">
        <v>23557</v>
      </c>
      <c r="H315" s="232">
        <v>7.374869609E9</v>
      </c>
      <c r="I315" s="509" t="s">
        <v>22553</v>
      </c>
      <c r="J315" s="232" t="b">
        <v>0</v>
      </c>
      <c r="K315" s="232"/>
      <c r="L315" s="232"/>
      <c r="M315" s="511"/>
      <c r="N315" s="232"/>
      <c r="O315" s="232"/>
      <c r="P315" s="312"/>
      <c r="Q315" s="312"/>
      <c r="R315" s="312"/>
      <c r="S315" s="312"/>
      <c r="T315" s="312"/>
      <c r="U315" s="312"/>
    </row>
    <row r="316">
      <c r="A316" s="508" t="s">
        <v>23531</v>
      </c>
      <c r="B316" s="232" t="s">
        <v>23558</v>
      </c>
      <c r="C316" s="509" t="s">
        <v>23559</v>
      </c>
      <c r="D316" s="510" t="s">
        <v>23560</v>
      </c>
      <c r="E316" s="511"/>
      <c r="F316" s="232" t="s">
        <v>23561</v>
      </c>
      <c r="G316" s="232" t="s">
        <v>23562</v>
      </c>
      <c r="H316" s="232">
        <v>9.345433789E9</v>
      </c>
      <c r="I316" s="509" t="s">
        <v>23563</v>
      </c>
      <c r="J316" s="232" t="b">
        <v>0</v>
      </c>
      <c r="K316" s="232" t="s">
        <v>22365</v>
      </c>
      <c r="L316" s="232" t="s">
        <v>23564</v>
      </c>
      <c r="M316" s="511"/>
      <c r="N316" s="232"/>
      <c r="O316" s="232"/>
      <c r="P316" s="312"/>
      <c r="Q316" s="312"/>
      <c r="R316" s="312"/>
      <c r="S316" s="312"/>
      <c r="T316" s="312"/>
      <c r="U316" s="312"/>
    </row>
    <row r="317">
      <c r="A317" s="508" t="s">
        <v>23531</v>
      </c>
      <c r="B317" s="232" t="s">
        <v>23565</v>
      </c>
      <c r="C317" s="509" t="s">
        <v>23566</v>
      </c>
      <c r="D317" s="510" t="s">
        <v>23567</v>
      </c>
      <c r="E317" s="511"/>
      <c r="F317" s="232" t="s">
        <v>23568</v>
      </c>
      <c r="G317" s="232" t="s">
        <v>22359</v>
      </c>
      <c r="H317" s="232">
        <v>9.399626893E9</v>
      </c>
      <c r="I317" s="509" t="s">
        <v>23569</v>
      </c>
      <c r="J317" s="232" t="b">
        <v>0</v>
      </c>
      <c r="K317" s="232" t="s">
        <v>22365</v>
      </c>
      <c r="L317" s="232" t="s">
        <v>22621</v>
      </c>
      <c r="M317" s="511"/>
      <c r="N317" s="232"/>
      <c r="O317" s="232"/>
      <c r="P317" s="312"/>
      <c r="Q317" s="312"/>
      <c r="R317" s="312"/>
      <c r="S317" s="312"/>
      <c r="T317" s="312"/>
      <c r="U317" s="312"/>
    </row>
    <row r="318">
      <c r="A318" s="508" t="s">
        <v>23531</v>
      </c>
      <c r="B318" s="232" t="s">
        <v>23570</v>
      </c>
      <c r="C318" s="509" t="s">
        <v>23571</v>
      </c>
      <c r="D318" s="510" t="s">
        <v>23572</v>
      </c>
      <c r="E318" s="511"/>
      <c r="F318" s="232" t="s">
        <v>23573</v>
      </c>
      <c r="G318" s="232" t="s">
        <v>23574</v>
      </c>
      <c r="H318" s="232">
        <v>9.949574645E9</v>
      </c>
      <c r="I318" s="509" t="s">
        <v>23575</v>
      </c>
      <c r="J318" s="232" t="b">
        <v>0</v>
      </c>
      <c r="K318" s="232" t="s">
        <v>22365</v>
      </c>
      <c r="L318" s="425" t="s">
        <v>23576</v>
      </c>
      <c r="M318" s="511"/>
      <c r="N318" s="232"/>
      <c r="O318" s="232"/>
      <c r="P318" s="312"/>
      <c r="Q318" s="312"/>
      <c r="R318" s="312"/>
      <c r="S318" s="312"/>
      <c r="T318" s="312"/>
      <c r="U318" s="312"/>
    </row>
    <row r="319">
      <c r="A319" s="508" t="s">
        <v>23531</v>
      </c>
      <c r="B319" s="232" t="s">
        <v>23577</v>
      </c>
      <c r="C319" s="509" t="s">
        <v>17829</v>
      </c>
      <c r="D319" s="510" t="s">
        <v>23578</v>
      </c>
      <c r="E319" s="511"/>
      <c r="F319" s="232" t="s">
        <v>23579</v>
      </c>
      <c r="G319" s="232" t="s">
        <v>467</v>
      </c>
      <c r="H319" s="232">
        <v>7.558758946E9</v>
      </c>
      <c r="I319" s="509" t="s">
        <v>23580</v>
      </c>
      <c r="J319" s="232" t="b">
        <v>0</v>
      </c>
      <c r="K319" s="232" t="s">
        <v>22365</v>
      </c>
      <c r="L319" s="232" t="s">
        <v>22621</v>
      </c>
      <c r="M319" s="511"/>
      <c r="N319" s="232"/>
      <c r="O319" s="232"/>
      <c r="P319" s="312"/>
      <c r="Q319" s="312"/>
      <c r="R319" s="312"/>
      <c r="S319" s="312"/>
      <c r="T319" s="312"/>
      <c r="U319" s="312"/>
    </row>
    <row r="320">
      <c r="A320" s="508" t="s">
        <v>23531</v>
      </c>
      <c r="B320" s="232" t="s">
        <v>23581</v>
      </c>
      <c r="C320" s="509" t="s">
        <v>8873</v>
      </c>
      <c r="D320" s="510" t="s">
        <v>23582</v>
      </c>
      <c r="E320" s="511"/>
      <c r="F320" s="232" t="s">
        <v>23583</v>
      </c>
      <c r="G320" s="232" t="s">
        <v>23394</v>
      </c>
      <c r="H320" s="232">
        <v>8.124718774E9</v>
      </c>
      <c r="I320" s="509" t="s">
        <v>23584</v>
      </c>
      <c r="J320" s="232" t="b">
        <v>0</v>
      </c>
      <c r="K320" s="232"/>
      <c r="L320" s="232"/>
      <c r="M320" s="511"/>
      <c r="N320" s="232"/>
      <c r="O320" s="232"/>
      <c r="P320" s="312"/>
      <c r="Q320" s="312"/>
      <c r="R320" s="312"/>
      <c r="S320" s="312"/>
      <c r="T320" s="312"/>
      <c r="U320" s="312"/>
    </row>
    <row r="321">
      <c r="A321" s="508" t="s">
        <v>23531</v>
      </c>
      <c r="B321" s="232" t="s">
        <v>23585</v>
      </c>
      <c r="C321" s="509" t="s">
        <v>23586</v>
      </c>
      <c r="D321" s="510" t="s">
        <v>23587</v>
      </c>
      <c r="E321" s="511"/>
      <c r="F321" s="232" t="s">
        <v>23588</v>
      </c>
      <c r="G321" s="232" t="s">
        <v>22818</v>
      </c>
      <c r="H321" s="232">
        <v>9.265368612E9</v>
      </c>
      <c r="I321" s="509" t="s">
        <v>22480</v>
      </c>
      <c r="J321" s="232" t="b">
        <v>0</v>
      </c>
      <c r="K321" s="232"/>
      <c r="L321" s="232"/>
      <c r="M321" s="511"/>
      <c r="N321" s="232"/>
      <c r="O321" s="232"/>
      <c r="P321" s="312"/>
      <c r="Q321" s="312"/>
      <c r="R321" s="312"/>
      <c r="S321" s="312"/>
      <c r="T321" s="312"/>
      <c r="U321" s="312"/>
    </row>
    <row r="322">
      <c r="A322" s="508" t="s">
        <v>23531</v>
      </c>
      <c r="B322" s="232" t="s">
        <v>23589</v>
      </c>
      <c r="C322" s="509" t="s">
        <v>23590</v>
      </c>
      <c r="D322" s="510" t="s">
        <v>23591</v>
      </c>
      <c r="E322" s="511"/>
      <c r="F322" s="232" t="s">
        <v>23592</v>
      </c>
      <c r="G322" s="232" t="s">
        <v>23593</v>
      </c>
      <c r="H322" s="232">
        <v>8.82696184E9</v>
      </c>
      <c r="I322" s="509" t="s">
        <v>23594</v>
      </c>
      <c r="J322" s="232" t="b">
        <v>0</v>
      </c>
      <c r="K322" s="232" t="s">
        <v>22365</v>
      </c>
      <c r="L322" s="232" t="s">
        <v>22386</v>
      </c>
      <c r="M322" s="511"/>
      <c r="N322" s="232"/>
      <c r="O322" s="232"/>
      <c r="P322" s="312"/>
      <c r="Q322" s="312"/>
      <c r="R322" s="312"/>
      <c r="S322" s="312"/>
      <c r="T322" s="312"/>
      <c r="U322" s="312"/>
    </row>
    <row r="323">
      <c r="A323" s="508" t="s">
        <v>23531</v>
      </c>
      <c r="B323" s="232" t="s">
        <v>23595</v>
      </c>
      <c r="C323" s="509" t="s">
        <v>23596</v>
      </c>
      <c r="D323" s="510"/>
      <c r="E323" s="511"/>
      <c r="F323" s="232" t="s">
        <v>23597</v>
      </c>
      <c r="G323" s="232" t="s">
        <v>23598</v>
      </c>
      <c r="H323" s="232">
        <v>8.789325775E9</v>
      </c>
      <c r="I323" s="509" t="s">
        <v>23599</v>
      </c>
      <c r="J323" s="232" t="b">
        <v>0</v>
      </c>
      <c r="K323" s="232" t="s">
        <v>22365</v>
      </c>
      <c r="L323" s="232" t="s">
        <v>22422</v>
      </c>
      <c r="M323" s="511"/>
      <c r="N323" s="232"/>
      <c r="O323" s="232"/>
      <c r="P323" s="312"/>
      <c r="Q323" s="312"/>
      <c r="R323" s="312"/>
      <c r="S323" s="312"/>
      <c r="T323" s="312"/>
      <c r="U323" s="312"/>
    </row>
    <row r="324">
      <c r="A324" s="508" t="s">
        <v>23531</v>
      </c>
      <c r="B324" s="232" t="s">
        <v>23600</v>
      </c>
      <c r="C324" s="509" t="s">
        <v>23601</v>
      </c>
      <c r="D324" s="510" t="s">
        <v>23602</v>
      </c>
      <c r="E324" s="511"/>
      <c r="F324" s="232" t="s">
        <v>23603</v>
      </c>
      <c r="G324" s="232" t="s">
        <v>18376</v>
      </c>
      <c r="H324" s="232">
        <v>9.358139046E9</v>
      </c>
      <c r="I324" s="509" t="s">
        <v>22553</v>
      </c>
      <c r="J324" s="232" t="b">
        <v>0</v>
      </c>
      <c r="K324" s="232" t="s">
        <v>22365</v>
      </c>
      <c r="L324" s="232" t="s">
        <v>22451</v>
      </c>
      <c r="M324" s="511"/>
      <c r="N324" s="232"/>
      <c r="O324" s="232"/>
      <c r="P324" s="312"/>
      <c r="Q324" s="312"/>
      <c r="R324" s="312"/>
      <c r="S324" s="312"/>
      <c r="T324" s="312"/>
      <c r="U324" s="312"/>
    </row>
    <row r="325">
      <c r="A325" s="513" t="s">
        <v>23531</v>
      </c>
      <c r="B325" s="514" t="s">
        <v>23604</v>
      </c>
      <c r="C325" s="515" t="s">
        <v>23605</v>
      </c>
      <c r="D325" s="516"/>
      <c r="E325" s="517"/>
      <c r="F325" s="514" t="s">
        <v>23606</v>
      </c>
      <c r="G325" s="514" t="s">
        <v>23394</v>
      </c>
      <c r="H325" s="514">
        <v>6.369489185E9</v>
      </c>
      <c r="I325" s="525" t="s">
        <v>23607</v>
      </c>
      <c r="J325" s="514" t="b">
        <v>0</v>
      </c>
      <c r="K325" s="514" t="s">
        <v>22312</v>
      </c>
      <c r="L325" s="514" t="s">
        <v>23608</v>
      </c>
      <c r="M325" s="511"/>
      <c r="N325" s="232"/>
      <c r="O325" s="232"/>
      <c r="P325" s="312"/>
      <c r="Q325" s="312"/>
      <c r="R325" s="312"/>
      <c r="S325" s="312"/>
      <c r="T325" s="312"/>
      <c r="U325" s="312"/>
    </row>
    <row r="326">
      <c r="A326" s="508" t="s">
        <v>23609</v>
      </c>
      <c r="B326" s="232" t="s">
        <v>23610</v>
      </c>
      <c r="C326" s="509" t="s">
        <v>23611</v>
      </c>
      <c r="D326" s="510"/>
      <c r="E326" s="511"/>
      <c r="F326" s="232"/>
      <c r="G326" s="232" t="s">
        <v>23612</v>
      </c>
      <c r="H326" s="232">
        <v>6.289821751E9</v>
      </c>
      <c r="I326" s="509" t="s">
        <v>23613</v>
      </c>
      <c r="J326" s="232" t="b">
        <v>0</v>
      </c>
      <c r="K326" s="232" t="s">
        <v>22365</v>
      </c>
      <c r="L326" s="232" t="s">
        <v>22451</v>
      </c>
      <c r="M326" s="511"/>
      <c r="N326" s="232"/>
      <c r="O326" s="232"/>
      <c r="P326" s="312"/>
      <c r="Q326" s="312"/>
      <c r="R326" s="312"/>
      <c r="S326" s="312"/>
      <c r="T326" s="312"/>
      <c r="U326" s="312"/>
    </row>
    <row r="327">
      <c r="A327" s="508" t="s">
        <v>23609</v>
      </c>
      <c r="B327" s="232" t="s">
        <v>23614</v>
      </c>
      <c r="C327" s="509" t="s">
        <v>6310</v>
      </c>
      <c r="D327" s="510" t="s">
        <v>9266</v>
      </c>
      <c r="E327" s="511"/>
      <c r="F327" s="232"/>
      <c r="G327" s="232"/>
      <c r="H327" s="232">
        <v>9.645432158E9</v>
      </c>
      <c r="I327" s="512" t="s">
        <v>23615</v>
      </c>
      <c r="J327" s="232" t="b">
        <v>0</v>
      </c>
      <c r="K327" s="232" t="s">
        <v>22365</v>
      </c>
      <c r="L327" s="232" t="s">
        <v>22509</v>
      </c>
      <c r="M327" s="511"/>
      <c r="N327" s="232"/>
      <c r="O327" s="232"/>
      <c r="P327" s="312"/>
      <c r="Q327" s="312"/>
      <c r="R327" s="312"/>
      <c r="S327" s="312"/>
      <c r="T327" s="312"/>
      <c r="U327" s="312"/>
    </row>
    <row r="328">
      <c r="A328" s="508" t="s">
        <v>23609</v>
      </c>
      <c r="B328" s="232" t="s">
        <v>23616</v>
      </c>
      <c r="C328" s="509" t="s">
        <v>22419</v>
      </c>
      <c r="D328" s="510" t="s">
        <v>23617</v>
      </c>
      <c r="E328" s="511"/>
      <c r="F328" s="232" t="s">
        <v>23618</v>
      </c>
      <c r="G328" s="232" t="s">
        <v>22960</v>
      </c>
      <c r="H328" s="232">
        <v>8.220770333E9</v>
      </c>
      <c r="I328" s="509" t="s">
        <v>23619</v>
      </c>
      <c r="J328" s="232" t="b">
        <v>0</v>
      </c>
      <c r="K328" s="232" t="s">
        <v>22365</v>
      </c>
      <c r="L328" s="232" t="s">
        <v>23620</v>
      </c>
      <c r="M328" s="511"/>
      <c r="N328" s="232"/>
      <c r="O328" s="232"/>
      <c r="P328" s="312"/>
      <c r="Q328" s="312"/>
      <c r="R328" s="312"/>
      <c r="S328" s="312"/>
      <c r="T328" s="312"/>
      <c r="U328" s="312"/>
    </row>
    <row r="329">
      <c r="A329" s="508" t="s">
        <v>23609</v>
      </c>
      <c r="B329" s="232" t="s">
        <v>23621</v>
      </c>
      <c r="C329" s="509" t="s">
        <v>23622</v>
      </c>
      <c r="D329" s="510" t="s">
        <v>23623</v>
      </c>
      <c r="E329" s="511"/>
      <c r="F329" s="232" t="s">
        <v>23624</v>
      </c>
      <c r="G329" s="232" t="s">
        <v>467</v>
      </c>
      <c r="H329" s="232">
        <v>8.090889931E9</v>
      </c>
      <c r="I329" s="509" t="s">
        <v>22480</v>
      </c>
      <c r="J329" s="232" t="b">
        <v>0</v>
      </c>
      <c r="K329" s="232" t="s">
        <v>22365</v>
      </c>
      <c r="L329" s="232" t="s">
        <v>23625</v>
      </c>
      <c r="M329" s="511"/>
      <c r="N329" s="232"/>
      <c r="O329" s="232"/>
      <c r="P329" s="312"/>
      <c r="Q329" s="312"/>
      <c r="R329" s="312"/>
      <c r="S329" s="312"/>
      <c r="T329" s="312"/>
      <c r="U329" s="312"/>
    </row>
    <row r="330">
      <c r="A330" s="508" t="s">
        <v>23609</v>
      </c>
      <c r="B330" s="232" t="s">
        <v>23626</v>
      </c>
      <c r="C330" s="509" t="s">
        <v>23627</v>
      </c>
      <c r="D330" s="510" t="s">
        <v>23628</v>
      </c>
      <c r="E330" s="511"/>
      <c r="F330" s="232" t="s">
        <v>23629</v>
      </c>
      <c r="G330" s="232" t="s">
        <v>23630</v>
      </c>
      <c r="H330" s="232">
        <v>8.851348981E9</v>
      </c>
      <c r="I330" s="509" t="s">
        <v>23631</v>
      </c>
      <c r="J330" s="232" t="b">
        <v>0</v>
      </c>
      <c r="K330" s="232"/>
      <c r="L330" s="232"/>
      <c r="M330" s="511"/>
      <c r="N330" s="232"/>
      <c r="O330" s="232"/>
      <c r="P330" s="312"/>
      <c r="Q330" s="312"/>
      <c r="R330" s="312"/>
      <c r="S330" s="312"/>
      <c r="T330" s="312"/>
      <c r="U330" s="312"/>
    </row>
    <row r="331">
      <c r="A331" s="508" t="s">
        <v>23609</v>
      </c>
      <c r="B331" s="232" t="s">
        <v>23632</v>
      </c>
      <c r="C331" s="509" t="s">
        <v>11823</v>
      </c>
      <c r="D331" s="510" t="s">
        <v>23633</v>
      </c>
      <c r="E331" s="511"/>
      <c r="F331" s="232" t="s">
        <v>23634</v>
      </c>
      <c r="G331" s="232" t="s">
        <v>22564</v>
      </c>
      <c r="H331" s="232">
        <v>8.830895934E9</v>
      </c>
      <c r="I331" s="509" t="s">
        <v>23635</v>
      </c>
      <c r="J331" s="232" t="b">
        <v>0</v>
      </c>
      <c r="K331" s="232" t="s">
        <v>22365</v>
      </c>
      <c r="L331" s="232" t="s">
        <v>23636</v>
      </c>
      <c r="M331" s="511"/>
      <c r="N331" s="232"/>
      <c r="O331" s="232"/>
      <c r="P331" s="312"/>
      <c r="Q331" s="312"/>
      <c r="R331" s="312"/>
      <c r="S331" s="312"/>
      <c r="T331" s="312"/>
      <c r="U331" s="312"/>
    </row>
    <row r="332">
      <c r="A332" s="508" t="s">
        <v>23609</v>
      </c>
      <c r="B332" s="232" t="s">
        <v>23637</v>
      </c>
      <c r="C332" s="509" t="s">
        <v>23638</v>
      </c>
      <c r="D332" s="510"/>
      <c r="E332" s="511"/>
      <c r="F332" s="232" t="s">
        <v>23639</v>
      </c>
      <c r="G332" s="232" t="s">
        <v>2662</v>
      </c>
      <c r="H332" s="232">
        <v>7.604817881E9</v>
      </c>
      <c r="I332" s="509" t="s">
        <v>22961</v>
      </c>
      <c r="J332" s="232" t="b">
        <v>0</v>
      </c>
      <c r="K332" s="232"/>
      <c r="L332" s="232"/>
      <c r="M332" s="511"/>
      <c r="N332" s="232"/>
      <c r="O332" s="232"/>
      <c r="P332" s="312"/>
      <c r="Q332" s="312"/>
      <c r="R332" s="312"/>
      <c r="S332" s="312"/>
      <c r="T332" s="312"/>
      <c r="U332" s="312"/>
    </row>
    <row r="333">
      <c r="A333" s="508" t="s">
        <v>23609</v>
      </c>
      <c r="B333" s="232" t="s">
        <v>23640</v>
      </c>
      <c r="C333" s="509" t="s">
        <v>23641</v>
      </c>
      <c r="D333" s="510"/>
      <c r="E333" s="511"/>
      <c r="F333" s="232"/>
      <c r="G333" s="232" t="s">
        <v>23642</v>
      </c>
      <c r="H333" s="232">
        <v>9.135211723E9</v>
      </c>
      <c r="I333" s="509" t="s">
        <v>22570</v>
      </c>
      <c r="J333" s="232" t="b">
        <v>0</v>
      </c>
      <c r="K333" s="232" t="s">
        <v>22365</v>
      </c>
      <c r="L333" s="232" t="s">
        <v>22621</v>
      </c>
      <c r="M333" s="511"/>
      <c r="N333" s="232"/>
      <c r="O333" s="232"/>
      <c r="P333" s="312"/>
      <c r="Q333" s="312"/>
      <c r="R333" s="312"/>
      <c r="S333" s="312"/>
      <c r="T333" s="312"/>
      <c r="U333" s="312"/>
    </row>
    <row r="334">
      <c r="A334" s="508" t="s">
        <v>23609</v>
      </c>
      <c r="B334" s="232" t="s">
        <v>23643</v>
      </c>
      <c r="C334" s="509" t="s">
        <v>23644</v>
      </c>
      <c r="D334" s="510" t="s">
        <v>23645</v>
      </c>
      <c r="E334" s="511"/>
      <c r="F334" s="232" t="s">
        <v>23646</v>
      </c>
      <c r="G334" s="232" t="s">
        <v>507</v>
      </c>
      <c r="H334" s="232">
        <v>8.6918196E9</v>
      </c>
      <c r="I334" s="509" t="s">
        <v>23647</v>
      </c>
      <c r="J334" s="232" t="b">
        <v>0</v>
      </c>
      <c r="K334" s="232" t="s">
        <v>22365</v>
      </c>
      <c r="L334" s="232" t="s">
        <v>22621</v>
      </c>
      <c r="M334" s="511"/>
      <c r="N334" s="232"/>
      <c r="O334" s="232"/>
      <c r="P334" s="312"/>
      <c r="Q334" s="312"/>
      <c r="R334" s="312"/>
      <c r="S334" s="312"/>
      <c r="T334" s="312"/>
      <c r="U334" s="312"/>
    </row>
    <row r="335">
      <c r="A335" s="508" t="s">
        <v>23609</v>
      </c>
      <c r="B335" s="232" t="s">
        <v>23648</v>
      </c>
      <c r="C335" s="509" t="s">
        <v>23649</v>
      </c>
      <c r="D335" s="510" t="s">
        <v>23650</v>
      </c>
      <c r="E335" s="511"/>
      <c r="F335" s="232" t="s">
        <v>23651</v>
      </c>
      <c r="G335" s="232" t="s">
        <v>22630</v>
      </c>
      <c r="H335" s="232">
        <v>9.87970092E9</v>
      </c>
      <c r="I335" s="509" t="s">
        <v>23652</v>
      </c>
      <c r="J335" s="232" t="b">
        <v>0</v>
      </c>
      <c r="K335" s="232" t="s">
        <v>22365</v>
      </c>
      <c r="L335" s="232" t="s">
        <v>22509</v>
      </c>
      <c r="M335" s="511"/>
      <c r="N335" s="232"/>
      <c r="O335" s="232"/>
      <c r="P335" s="312"/>
      <c r="Q335" s="312"/>
      <c r="R335" s="312"/>
      <c r="S335" s="312"/>
      <c r="T335" s="312"/>
      <c r="U335" s="312"/>
    </row>
    <row r="336">
      <c r="A336" s="508" t="s">
        <v>23609</v>
      </c>
      <c r="B336" s="232" t="s">
        <v>23653</v>
      </c>
      <c r="C336" s="509" t="s">
        <v>15118</v>
      </c>
      <c r="D336" s="510" t="s">
        <v>23654</v>
      </c>
      <c r="E336" s="511"/>
      <c r="F336" s="232" t="s">
        <v>23655</v>
      </c>
      <c r="G336" s="232" t="s">
        <v>22770</v>
      </c>
      <c r="H336" s="232">
        <v>9.711307585E9</v>
      </c>
      <c r="I336" s="512" t="s">
        <v>23656</v>
      </c>
      <c r="J336" s="232" t="b">
        <v>0</v>
      </c>
      <c r="K336" s="232"/>
      <c r="L336" s="232"/>
      <c r="M336" s="511"/>
      <c r="N336" s="232"/>
      <c r="O336" s="232"/>
      <c r="P336" s="312"/>
      <c r="Q336" s="312"/>
      <c r="R336" s="312"/>
      <c r="S336" s="312"/>
      <c r="T336" s="312"/>
      <c r="U336" s="312"/>
    </row>
    <row r="337">
      <c r="A337" s="508" t="s">
        <v>23609</v>
      </c>
      <c r="B337" s="232" t="s">
        <v>23657</v>
      </c>
      <c r="C337" s="509" t="s">
        <v>23658</v>
      </c>
      <c r="D337" s="510"/>
      <c r="E337" s="511"/>
      <c r="F337" s="232" t="s">
        <v>23659</v>
      </c>
      <c r="G337" s="232" t="s">
        <v>23660</v>
      </c>
      <c r="H337" s="232">
        <v>9.694835076E9</v>
      </c>
      <c r="I337" s="509" t="s">
        <v>23661</v>
      </c>
      <c r="J337" s="232" t="b">
        <v>0</v>
      </c>
      <c r="K337" s="232" t="s">
        <v>22365</v>
      </c>
      <c r="L337" s="232" t="s">
        <v>22509</v>
      </c>
      <c r="M337" s="511"/>
      <c r="N337" s="232"/>
      <c r="O337" s="232"/>
      <c r="P337" s="312"/>
      <c r="Q337" s="312"/>
      <c r="R337" s="312"/>
      <c r="S337" s="312"/>
      <c r="T337" s="312"/>
      <c r="U337" s="312"/>
    </row>
    <row r="338">
      <c r="A338" s="508" t="s">
        <v>23609</v>
      </c>
      <c r="B338" s="232" t="s">
        <v>23662</v>
      </c>
      <c r="C338" s="509" t="s">
        <v>23663</v>
      </c>
      <c r="D338" s="510" t="s">
        <v>23663</v>
      </c>
      <c r="E338" s="511"/>
      <c r="F338" s="232" t="s">
        <v>23664</v>
      </c>
      <c r="G338" s="232" t="s">
        <v>22770</v>
      </c>
      <c r="H338" s="232">
        <v>8.287595196E9</v>
      </c>
      <c r="I338" s="509" t="s">
        <v>23665</v>
      </c>
      <c r="J338" s="232" t="b">
        <v>0</v>
      </c>
      <c r="K338" s="232" t="s">
        <v>22365</v>
      </c>
      <c r="L338" s="232" t="s">
        <v>22386</v>
      </c>
      <c r="M338" s="511"/>
      <c r="N338" s="232"/>
      <c r="O338" s="232"/>
      <c r="P338" s="312"/>
      <c r="Q338" s="312"/>
      <c r="R338" s="312"/>
      <c r="S338" s="312"/>
      <c r="T338" s="312"/>
      <c r="U338" s="312"/>
    </row>
    <row r="339">
      <c r="A339" s="508" t="s">
        <v>23609</v>
      </c>
      <c r="B339" s="232" t="s">
        <v>23666</v>
      </c>
      <c r="C339" s="509" t="s">
        <v>23667</v>
      </c>
      <c r="D339" s="510"/>
      <c r="E339" s="511"/>
      <c r="F339" s="232" t="s">
        <v>23668</v>
      </c>
      <c r="G339" s="232" t="s">
        <v>507</v>
      </c>
      <c r="H339" s="232">
        <v>8.108846102E9</v>
      </c>
      <c r="I339" s="509" t="s">
        <v>23669</v>
      </c>
      <c r="J339" s="232" t="b">
        <v>0</v>
      </c>
      <c r="K339" s="232" t="s">
        <v>22365</v>
      </c>
      <c r="L339" s="232" t="s">
        <v>22994</v>
      </c>
      <c r="M339" s="511"/>
      <c r="N339" s="232"/>
      <c r="O339" s="232"/>
      <c r="P339" s="312"/>
      <c r="Q339" s="312"/>
      <c r="R339" s="312"/>
      <c r="S339" s="312"/>
      <c r="T339" s="312"/>
      <c r="U339" s="312"/>
    </row>
    <row r="340">
      <c r="A340" s="513" t="s">
        <v>23670</v>
      </c>
      <c r="B340" s="514" t="s">
        <v>23671</v>
      </c>
      <c r="C340" s="515" t="s">
        <v>23672</v>
      </c>
      <c r="D340" s="516"/>
      <c r="E340" s="517"/>
      <c r="F340" s="514"/>
      <c r="G340" s="514" t="s">
        <v>23673</v>
      </c>
      <c r="H340" s="514">
        <v>8.0809998043E10</v>
      </c>
      <c r="I340" s="515" t="s">
        <v>23674</v>
      </c>
      <c r="J340" s="514" t="b">
        <v>0</v>
      </c>
      <c r="K340" s="514" t="s">
        <v>22312</v>
      </c>
      <c r="L340" s="514" t="s">
        <v>23675</v>
      </c>
      <c r="M340" s="511"/>
      <c r="N340" s="232"/>
      <c r="O340" s="232"/>
      <c r="P340" s="312"/>
      <c r="Q340" s="312"/>
      <c r="R340" s="312"/>
      <c r="S340" s="312"/>
      <c r="T340" s="312"/>
      <c r="U340" s="312"/>
    </row>
    <row r="341">
      <c r="A341" s="508" t="s">
        <v>23670</v>
      </c>
      <c r="B341" s="232" t="s">
        <v>23676</v>
      </c>
      <c r="C341" s="509" t="s">
        <v>23663</v>
      </c>
      <c r="D341" s="510" t="s">
        <v>23663</v>
      </c>
      <c r="E341" s="511"/>
      <c r="F341" s="232" t="s">
        <v>23664</v>
      </c>
      <c r="G341" s="232" t="s">
        <v>22770</v>
      </c>
      <c r="H341" s="232">
        <v>8.287595196E9</v>
      </c>
      <c r="I341" s="509" t="s">
        <v>23665</v>
      </c>
      <c r="J341" s="232" t="b">
        <v>0</v>
      </c>
      <c r="K341" s="232" t="s">
        <v>22365</v>
      </c>
      <c r="L341" s="232" t="s">
        <v>22509</v>
      </c>
      <c r="M341" s="511"/>
      <c r="N341" s="232"/>
      <c r="O341" s="232"/>
      <c r="P341" s="312"/>
      <c r="Q341" s="312"/>
      <c r="R341" s="312"/>
      <c r="S341" s="312"/>
      <c r="T341" s="312"/>
      <c r="U341" s="312"/>
    </row>
    <row r="342">
      <c r="A342" s="508" t="s">
        <v>23670</v>
      </c>
      <c r="B342" s="232" t="s">
        <v>23677</v>
      </c>
      <c r="C342" s="509" t="s">
        <v>23678</v>
      </c>
      <c r="D342" s="510" t="s">
        <v>23679</v>
      </c>
      <c r="E342" s="511"/>
      <c r="F342" s="232" t="s">
        <v>23680</v>
      </c>
      <c r="G342" s="232" t="s">
        <v>23073</v>
      </c>
      <c r="H342" s="232">
        <v>9.818002432E9</v>
      </c>
      <c r="I342" s="509" t="s">
        <v>23681</v>
      </c>
      <c r="J342" s="232" t="b">
        <v>0</v>
      </c>
      <c r="K342" s="232" t="s">
        <v>22355</v>
      </c>
      <c r="L342" s="232"/>
      <c r="M342" s="511"/>
      <c r="N342" s="232"/>
      <c r="O342" s="232"/>
      <c r="P342" s="312"/>
      <c r="Q342" s="312"/>
      <c r="R342" s="312"/>
      <c r="S342" s="312"/>
      <c r="T342" s="312"/>
      <c r="U342" s="312"/>
    </row>
    <row r="343">
      <c r="A343" s="508" t="s">
        <v>23670</v>
      </c>
      <c r="B343" s="232" t="s">
        <v>23682</v>
      </c>
      <c r="C343" s="509" t="s">
        <v>23683</v>
      </c>
      <c r="D343" s="510" t="s">
        <v>9648</v>
      </c>
      <c r="E343" s="511"/>
      <c r="F343" s="232" t="s">
        <v>23684</v>
      </c>
      <c r="G343" s="232" t="s">
        <v>23685</v>
      </c>
      <c r="H343" s="232">
        <v>9.370432214E9</v>
      </c>
      <c r="I343" s="512" t="s">
        <v>23686</v>
      </c>
      <c r="J343" s="232" t="b">
        <v>0</v>
      </c>
      <c r="K343" s="232" t="s">
        <v>22365</v>
      </c>
      <c r="L343" s="232" t="s">
        <v>22422</v>
      </c>
      <c r="M343" s="511"/>
      <c r="N343" s="232"/>
      <c r="O343" s="232"/>
      <c r="P343" s="312"/>
      <c r="Q343" s="312"/>
      <c r="R343" s="312"/>
      <c r="S343" s="312"/>
      <c r="T343" s="312"/>
      <c r="U343" s="312"/>
    </row>
    <row r="344">
      <c r="A344" s="508" t="s">
        <v>23670</v>
      </c>
      <c r="B344" s="232" t="s">
        <v>23687</v>
      </c>
      <c r="C344" s="509" t="s">
        <v>23688</v>
      </c>
      <c r="D344" s="510" t="s">
        <v>23689</v>
      </c>
      <c r="E344" s="511"/>
      <c r="F344" s="232" t="s">
        <v>23690</v>
      </c>
      <c r="G344" s="232" t="s">
        <v>22724</v>
      </c>
      <c r="H344" s="232">
        <v>8.709210209E9</v>
      </c>
      <c r="I344" s="509" t="s">
        <v>23691</v>
      </c>
      <c r="J344" s="232" t="b">
        <v>0</v>
      </c>
      <c r="K344" s="232" t="s">
        <v>22365</v>
      </c>
      <c r="L344" s="232" t="s">
        <v>23692</v>
      </c>
      <c r="M344" s="511"/>
      <c r="N344" s="232"/>
      <c r="O344" s="232"/>
      <c r="P344" s="312"/>
      <c r="Q344" s="312"/>
      <c r="R344" s="312"/>
      <c r="S344" s="312"/>
      <c r="T344" s="312"/>
      <c r="U344" s="312"/>
    </row>
    <row r="345">
      <c r="A345" s="508" t="s">
        <v>23670</v>
      </c>
      <c r="B345" s="232" t="s">
        <v>23693</v>
      </c>
      <c r="C345" s="509" t="s">
        <v>23694</v>
      </c>
      <c r="D345" s="510"/>
      <c r="E345" s="511"/>
      <c r="F345" s="232" t="s">
        <v>23695</v>
      </c>
      <c r="G345" s="232" t="s">
        <v>99</v>
      </c>
      <c r="H345" s="232">
        <v>8.144052707E9</v>
      </c>
      <c r="I345" s="509" t="s">
        <v>23696</v>
      </c>
      <c r="J345" s="232" t="b">
        <v>0</v>
      </c>
      <c r="K345" s="232" t="s">
        <v>22365</v>
      </c>
      <c r="L345" s="232" t="s">
        <v>23692</v>
      </c>
      <c r="M345" s="511"/>
      <c r="N345" s="232"/>
      <c r="O345" s="232"/>
      <c r="P345" s="312"/>
      <c r="Q345" s="312"/>
      <c r="R345" s="312"/>
      <c r="S345" s="312"/>
      <c r="T345" s="312"/>
      <c r="U345" s="312"/>
    </row>
    <row r="346">
      <c r="A346" s="508" t="s">
        <v>23670</v>
      </c>
      <c r="B346" s="232" t="s">
        <v>23697</v>
      </c>
      <c r="C346" s="509" t="s">
        <v>2545</v>
      </c>
      <c r="D346" s="510" t="s">
        <v>23698</v>
      </c>
      <c r="E346" s="511"/>
      <c r="F346" s="232" t="s">
        <v>23699</v>
      </c>
      <c r="G346" s="232" t="s">
        <v>519</v>
      </c>
      <c r="H346" s="232">
        <v>9.099955523E9</v>
      </c>
      <c r="I346" s="509" t="s">
        <v>23700</v>
      </c>
      <c r="J346" s="232" t="b">
        <v>0</v>
      </c>
      <c r="K346" s="232" t="s">
        <v>12092</v>
      </c>
      <c r="L346" s="232"/>
      <c r="M346" s="511"/>
      <c r="N346" s="232"/>
      <c r="O346" s="232"/>
      <c r="P346" s="312"/>
      <c r="Q346" s="312"/>
      <c r="R346" s="312"/>
      <c r="S346" s="312"/>
      <c r="T346" s="312"/>
      <c r="U346" s="312"/>
    </row>
    <row r="347">
      <c r="A347" s="508" t="s">
        <v>23670</v>
      </c>
      <c r="B347" s="232" t="s">
        <v>23701</v>
      </c>
      <c r="C347" s="509" t="s">
        <v>23702</v>
      </c>
      <c r="D347" s="510" t="s">
        <v>23703</v>
      </c>
      <c r="E347" s="511"/>
      <c r="F347" s="232" t="s">
        <v>23704</v>
      </c>
      <c r="G347" s="232" t="s">
        <v>23660</v>
      </c>
      <c r="H347" s="232">
        <v>8.529520389E9</v>
      </c>
      <c r="I347" s="509" t="s">
        <v>23503</v>
      </c>
      <c r="J347" s="232" t="b">
        <v>0</v>
      </c>
      <c r="K347" s="232" t="s">
        <v>22365</v>
      </c>
      <c r="L347" s="232" t="s">
        <v>22994</v>
      </c>
      <c r="M347" s="511"/>
      <c r="N347" s="232"/>
      <c r="O347" s="232"/>
      <c r="P347" s="312"/>
      <c r="Q347" s="312"/>
      <c r="R347" s="312"/>
      <c r="S347" s="312"/>
      <c r="T347" s="312"/>
      <c r="U347" s="312"/>
    </row>
    <row r="348">
      <c r="A348" s="508" t="s">
        <v>23670</v>
      </c>
      <c r="B348" s="232" t="s">
        <v>23705</v>
      </c>
      <c r="C348" s="509" t="s">
        <v>23706</v>
      </c>
      <c r="D348" s="510"/>
      <c r="E348" s="511"/>
      <c r="F348" s="232" t="s">
        <v>23707</v>
      </c>
      <c r="G348" s="232" t="s">
        <v>22564</v>
      </c>
      <c r="H348" s="232">
        <v>7.385339317E9</v>
      </c>
      <c r="I348" s="512" t="s">
        <v>23708</v>
      </c>
      <c r="J348" s="232" t="b">
        <v>0</v>
      </c>
      <c r="K348" s="232" t="s">
        <v>22349</v>
      </c>
      <c r="L348" s="232" t="s">
        <v>23709</v>
      </c>
      <c r="M348" s="511"/>
      <c r="N348" s="232"/>
      <c r="O348" s="232"/>
      <c r="P348" s="312"/>
      <c r="Q348" s="312"/>
      <c r="R348" s="312"/>
      <c r="S348" s="312"/>
      <c r="T348" s="312"/>
      <c r="U348" s="312"/>
    </row>
    <row r="349">
      <c r="A349" s="508" t="s">
        <v>23670</v>
      </c>
      <c r="B349" s="232" t="s">
        <v>23710</v>
      </c>
      <c r="C349" s="509" t="s">
        <v>23711</v>
      </c>
      <c r="D349" s="510"/>
      <c r="E349" s="511"/>
      <c r="F349" s="232" t="s">
        <v>23712</v>
      </c>
      <c r="G349" s="232" t="s">
        <v>22597</v>
      </c>
      <c r="H349" s="232">
        <v>7.272834851E9</v>
      </c>
      <c r="I349" s="509" t="s">
        <v>23713</v>
      </c>
      <c r="J349" s="232" t="b">
        <v>0</v>
      </c>
      <c r="K349" s="232" t="s">
        <v>12092</v>
      </c>
      <c r="L349" s="232"/>
      <c r="M349" s="511"/>
      <c r="N349" s="232"/>
      <c r="O349" s="232"/>
      <c r="P349" s="312"/>
      <c r="Q349" s="312"/>
      <c r="R349" s="312"/>
      <c r="S349" s="312"/>
      <c r="T349" s="312"/>
      <c r="U349" s="312"/>
    </row>
    <row r="350">
      <c r="A350" s="508" t="s">
        <v>23670</v>
      </c>
      <c r="B350" s="232" t="s">
        <v>23714</v>
      </c>
      <c r="C350" s="509" t="s">
        <v>23715</v>
      </c>
      <c r="D350" s="510" t="s">
        <v>23716</v>
      </c>
      <c r="E350" s="511"/>
      <c r="F350" s="232" t="s">
        <v>23717</v>
      </c>
      <c r="G350" s="232" t="s">
        <v>23718</v>
      </c>
      <c r="H350" s="232">
        <v>-9.703477669E9</v>
      </c>
      <c r="I350" s="509" t="s">
        <v>22289</v>
      </c>
      <c r="J350" s="232" t="b">
        <v>0</v>
      </c>
      <c r="K350" s="232" t="s">
        <v>12092</v>
      </c>
      <c r="L350" s="232"/>
      <c r="M350" s="511"/>
      <c r="N350" s="232"/>
      <c r="O350" s="232"/>
      <c r="P350" s="312"/>
      <c r="Q350" s="312"/>
      <c r="R350" s="312"/>
      <c r="S350" s="312"/>
      <c r="T350" s="312"/>
      <c r="U350" s="312"/>
    </row>
    <row r="351">
      <c r="A351" s="508" t="s">
        <v>23670</v>
      </c>
      <c r="B351" s="232" t="s">
        <v>23719</v>
      </c>
      <c r="C351" s="509" t="s">
        <v>23720</v>
      </c>
      <c r="D351" s="510" t="s">
        <v>23721</v>
      </c>
      <c r="E351" s="511"/>
      <c r="F351" s="232" t="s">
        <v>23722</v>
      </c>
      <c r="G351" s="232" t="s">
        <v>22479</v>
      </c>
      <c r="H351" s="232">
        <v>8.826635037E9</v>
      </c>
      <c r="I351" s="509" t="s">
        <v>23723</v>
      </c>
      <c r="J351" s="232" t="b">
        <v>0</v>
      </c>
      <c r="K351" s="232" t="s">
        <v>22365</v>
      </c>
      <c r="L351" s="526" t="s">
        <v>23724</v>
      </c>
      <c r="M351" s="511"/>
      <c r="N351" s="232"/>
      <c r="O351" s="232"/>
      <c r="P351" s="312"/>
      <c r="Q351" s="312"/>
      <c r="R351" s="312"/>
      <c r="S351" s="312"/>
      <c r="T351" s="312"/>
      <c r="U351" s="312"/>
    </row>
    <row r="352">
      <c r="A352" s="508" t="s">
        <v>23670</v>
      </c>
      <c r="B352" s="232" t="s">
        <v>23725</v>
      </c>
      <c r="C352" s="509" t="s">
        <v>23726</v>
      </c>
      <c r="D352" s="510" t="s">
        <v>23727</v>
      </c>
      <c r="E352" s="511"/>
      <c r="F352" s="232" t="s">
        <v>23728</v>
      </c>
      <c r="G352" s="232" t="s">
        <v>467</v>
      </c>
      <c r="H352" s="232">
        <v>7.355061393E9</v>
      </c>
      <c r="I352" s="509" t="s">
        <v>4786</v>
      </c>
      <c r="J352" s="232" t="b">
        <v>0</v>
      </c>
      <c r="K352" s="232" t="s">
        <v>334</v>
      </c>
      <c r="L352" s="232"/>
      <c r="M352" s="511"/>
      <c r="N352" s="232"/>
      <c r="O352" s="232"/>
      <c r="P352" s="312"/>
      <c r="Q352" s="312"/>
      <c r="R352" s="312"/>
      <c r="S352" s="312"/>
      <c r="T352" s="312"/>
      <c r="U352" s="312"/>
    </row>
    <row r="353">
      <c r="A353" s="508" t="s">
        <v>23670</v>
      </c>
      <c r="B353" s="232" t="s">
        <v>23729</v>
      </c>
      <c r="C353" s="509" t="s">
        <v>23730</v>
      </c>
      <c r="D353" s="510" t="s">
        <v>23731</v>
      </c>
      <c r="E353" s="511"/>
      <c r="F353" s="232" t="s">
        <v>23732</v>
      </c>
      <c r="G353" s="232" t="s">
        <v>2662</v>
      </c>
      <c r="H353" s="232">
        <v>9.994051762E9</v>
      </c>
      <c r="I353" s="509" t="s">
        <v>23733</v>
      </c>
      <c r="J353" s="232" t="b">
        <v>0</v>
      </c>
      <c r="K353" s="232" t="s">
        <v>22355</v>
      </c>
      <c r="L353" s="232"/>
      <c r="M353" s="511"/>
      <c r="N353" s="232"/>
      <c r="O353" s="232"/>
      <c r="P353" s="312"/>
      <c r="Q353" s="312"/>
      <c r="R353" s="312"/>
      <c r="S353" s="312"/>
      <c r="T353" s="312"/>
      <c r="U353" s="312"/>
    </row>
    <row r="354">
      <c r="A354" s="508" t="s">
        <v>23670</v>
      </c>
      <c r="B354" s="232" t="s">
        <v>23734</v>
      </c>
      <c r="C354" s="509" t="s">
        <v>23735</v>
      </c>
      <c r="D354" s="510" t="s">
        <v>23736</v>
      </c>
      <c r="E354" s="511"/>
      <c r="F354" s="232"/>
      <c r="G354" s="232" t="s">
        <v>981</v>
      </c>
      <c r="H354" s="232">
        <v>9.733303126E9</v>
      </c>
      <c r="I354" s="509" t="s">
        <v>23737</v>
      </c>
      <c r="J354" s="232" t="b">
        <v>0</v>
      </c>
      <c r="K354" s="232" t="s">
        <v>12092</v>
      </c>
      <c r="L354" s="232"/>
      <c r="M354" s="511"/>
      <c r="N354" s="232"/>
      <c r="O354" s="232"/>
      <c r="P354" s="312"/>
      <c r="Q354" s="312"/>
      <c r="R354" s="312"/>
      <c r="S354" s="312"/>
      <c r="T354" s="312"/>
      <c r="U354" s="312"/>
    </row>
    <row r="355">
      <c r="A355" s="508" t="s">
        <v>23670</v>
      </c>
      <c r="B355" s="232" t="s">
        <v>23738</v>
      </c>
      <c r="C355" s="509" t="s">
        <v>11272</v>
      </c>
      <c r="D355" s="510"/>
      <c r="E355" s="511"/>
      <c r="F355" s="232"/>
      <c r="G355" s="232" t="s">
        <v>2882</v>
      </c>
      <c r="H355" s="232">
        <v>8.929194863E9</v>
      </c>
      <c r="I355" s="509" t="s">
        <v>22373</v>
      </c>
      <c r="J355" s="232" t="b">
        <v>0</v>
      </c>
      <c r="K355" s="232" t="s">
        <v>334</v>
      </c>
      <c r="L355" s="232"/>
      <c r="M355" s="511"/>
      <c r="N355" s="232"/>
      <c r="O355" s="232"/>
      <c r="P355" s="312"/>
      <c r="Q355" s="312"/>
      <c r="R355" s="312"/>
      <c r="S355" s="312"/>
      <c r="T355" s="312"/>
      <c r="U355" s="312"/>
    </row>
    <row r="356">
      <c r="A356" s="508" t="s">
        <v>23670</v>
      </c>
      <c r="B356" s="232" t="s">
        <v>23739</v>
      </c>
      <c r="C356" s="509" t="s">
        <v>1934</v>
      </c>
      <c r="D356" s="510"/>
      <c r="E356" s="511"/>
      <c r="F356" s="232" t="s">
        <v>23740</v>
      </c>
      <c r="G356" s="232" t="s">
        <v>10831</v>
      </c>
      <c r="H356" s="232">
        <v>6.360119929E9</v>
      </c>
      <c r="I356" s="509" t="s">
        <v>22289</v>
      </c>
      <c r="J356" s="232" t="b">
        <v>0</v>
      </c>
      <c r="K356" s="232" t="s">
        <v>22365</v>
      </c>
      <c r="L356" s="232"/>
      <c r="M356" s="511"/>
      <c r="N356" s="232"/>
      <c r="O356" s="232"/>
      <c r="P356" s="312"/>
      <c r="Q356" s="312"/>
      <c r="R356" s="312"/>
      <c r="S356" s="312"/>
      <c r="T356" s="312"/>
      <c r="U356" s="312"/>
    </row>
    <row r="357">
      <c r="A357" s="513" t="s">
        <v>23670</v>
      </c>
      <c r="B357" s="514" t="s">
        <v>23741</v>
      </c>
      <c r="C357" s="515" t="s">
        <v>23446</v>
      </c>
      <c r="D357" s="516"/>
      <c r="E357" s="517"/>
      <c r="F357" s="514" t="s">
        <v>23742</v>
      </c>
      <c r="G357" s="514" t="s">
        <v>23743</v>
      </c>
      <c r="H357" s="514">
        <v>9.832737834E9</v>
      </c>
      <c r="I357" s="515" t="s">
        <v>23744</v>
      </c>
      <c r="J357" s="514" t="b">
        <v>0</v>
      </c>
      <c r="K357" s="514" t="s">
        <v>22312</v>
      </c>
      <c r="L357" s="518" t="s">
        <v>23745</v>
      </c>
      <c r="M357" s="511"/>
      <c r="N357" s="232"/>
      <c r="O357" s="232"/>
      <c r="P357" s="312"/>
      <c r="Q357" s="312"/>
      <c r="R357" s="312"/>
      <c r="S357" s="312"/>
      <c r="T357" s="312"/>
      <c r="U357" s="312"/>
    </row>
    <row r="358">
      <c r="A358" s="508" t="s">
        <v>23746</v>
      </c>
      <c r="B358" s="232" t="s">
        <v>23747</v>
      </c>
      <c r="C358" s="509" t="s">
        <v>23748</v>
      </c>
      <c r="D358" s="510"/>
      <c r="E358" s="511"/>
      <c r="F358" s="232" t="s">
        <v>23749</v>
      </c>
      <c r="G358" s="232" t="s">
        <v>23750</v>
      </c>
      <c r="H358" s="232">
        <v>7.639697499E9</v>
      </c>
      <c r="I358" s="509" t="s">
        <v>23751</v>
      </c>
      <c r="J358" s="232" t="b">
        <v>0</v>
      </c>
      <c r="K358" s="232" t="s">
        <v>22355</v>
      </c>
      <c r="L358" s="232"/>
      <c r="M358" s="511"/>
      <c r="N358" s="232"/>
      <c r="O358" s="232"/>
      <c r="P358" s="312"/>
      <c r="Q358" s="312"/>
      <c r="R358" s="312"/>
      <c r="S358" s="312"/>
      <c r="T358" s="312"/>
      <c r="U358" s="312"/>
    </row>
    <row r="359">
      <c r="A359" s="508" t="s">
        <v>23746</v>
      </c>
      <c r="B359" s="232" t="s">
        <v>23752</v>
      </c>
      <c r="C359" s="509" t="s">
        <v>23753</v>
      </c>
      <c r="D359" s="510"/>
      <c r="E359" s="511"/>
      <c r="F359" s="232" t="s">
        <v>23754</v>
      </c>
      <c r="G359" s="232" t="s">
        <v>467</v>
      </c>
      <c r="H359" s="232">
        <v>9.453130286E9</v>
      </c>
      <c r="I359" s="509" t="s">
        <v>23051</v>
      </c>
      <c r="J359" s="232" t="b">
        <v>0</v>
      </c>
      <c r="K359" s="232"/>
      <c r="L359" s="232"/>
      <c r="M359" s="511"/>
      <c r="N359" s="232"/>
      <c r="O359" s="232"/>
      <c r="P359" s="312"/>
      <c r="Q359" s="312"/>
      <c r="R359" s="312"/>
      <c r="S359" s="312"/>
      <c r="T359" s="312"/>
      <c r="U359" s="312"/>
    </row>
    <row r="360">
      <c r="A360" s="508" t="s">
        <v>23746</v>
      </c>
      <c r="B360" s="232" t="s">
        <v>23755</v>
      </c>
      <c r="C360" s="509" t="s">
        <v>23756</v>
      </c>
      <c r="D360" s="510"/>
      <c r="E360" s="511"/>
      <c r="F360" s="232"/>
      <c r="G360" s="232" t="s">
        <v>23660</v>
      </c>
      <c r="H360" s="232">
        <v>8.104447109E9</v>
      </c>
      <c r="I360" s="509" t="s">
        <v>22289</v>
      </c>
      <c r="J360" s="232" t="b">
        <v>0</v>
      </c>
      <c r="K360" s="232" t="s">
        <v>22365</v>
      </c>
      <c r="L360" s="232" t="s">
        <v>22514</v>
      </c>
      <c r="M360" s="511"/>
      <c r="N360" s="232"/>
      <c r="O360" s="232"/>
      <c r="P360" s="312"/>
      <c r="Q360" s="312"/>
      <c r="R360" s="312"/>
      <c r="S360" s="312"/>
      <c r="T360" s="312"/>
      <c r="U360" s="312"/>
    </row>
    <row r="361">
      <c r="A361" s="508" t="s">
        <v>23746</v>
      </c>
      <c r="B361" s="232" t="s">
        <v>23757</v>
      </c>
      <c r="C361" s="509" t="s">
        <v>23758</v>
      </c>
      <c r="D361" s="510" t="s">
        <v>23759</v>
      </c>
      <c r="E361" s="511"/>
      <c r="F361" s="232" t="s">
        <v>23760</v>
      </c>
      <c r="G361" s="232" t="s">
        <v>977</v>
      </c>
      <c r="H361" s="232">
        <v>7.870754444E9</v>
      </c>
      <c r="I361" s="509" t="s">
        <v>23761</v>
      </c>
      <c r="J361" s="232" t="b">
        <v>0</v>
      </c>
      <c r="K361" s="232"/>
      <c r="L361" s="232"/>
      <c r="M361" s="511"/>
      <c r="N361" s="232"/>
      <c r="O361" s="232"/>
      <c r="P361" s="312"/>
      <c r="Q361" s="312"/>
      <c r="R361" s="312"/>
      <c r="S361" s="312"/>
      <c r="T361" s="312"/>
      <c r="U361" s="312"/>
    </row>
    <row r="362">
      <c r="A362" s="508" t="s">
        <v>23746</v>
      </c>
      <c r="B362" s="232" t="s">
        <v>23762</v>
      </c>
      <c r="C362" s="509" t="s">
        <v>23763</v>
      </c>
      <c r="D362" s="510" t="s">
        <v>23764</v>
      </c>
      <c r="E362" s="511"/>
      <c r="F362" s="232" t="s">
        <v>23765</v>
      </c>
      <c r="G362" s="232" t="s">
        <v>2662</v>
      </c>
      <c r="H362" s="232">
        <v>9.884008085E9</v>
      </c>
      <c r="I362" s="509" t="s">
        <v>23661</v>
      </c>
      <c r="J362" s="232" t="b">
        <v>0</v>
      </c>
      <c r="K362" s="232" t="s">
        <v>334</v>
      </c>
      <c r="L362" s="232"/>
      <c r="M362" s="511"/>
      <c r="N362" s="232"/>
      <c r="O362" s="232"/>
      <c r="P362" s="312"/>
      <c r="Q362" s="312"/>
      <c r="R362" s="312"/>
      <c r="S362" s="312"/>
      <c r="T362" s="312"/>
      <c r="U362" s="312"/>
    </row>
    <row r="363">
      <c r="A363" s="508" t="s">
        <v>23746</v>
      </c>
      <c r="B363" s="232" t="s">
        <v>23766</v>
      </c>
      <c r="C363" s="509" t="s">
        <v>23767</v>
      </c>
      <c r="D363" s="510" t="s">
        <v>23768</v>
      </c>
      <c r="E363" s="511"/>
      <c r="F363" s="232" t="s">
        <v>23769</v>
      </c>
      <c r="G363" s="232" t="s">
        <v>23770</v>
      </c>
      <c r="H363" s="232">
        <v>9.308477497E9</v>
      </c>
      <c r="I363" s="509" t="s">
        <v>22903</v>
      </c>
      <c r="J363" s="232" t="b">
        <v>0</v>
      </c>
      <c r="K363" s="232" t="s">
        <v>22365</v>
      </c>
      <c r="L363" s="232" t="s">
        <v>22514</v>
      </c>
      <c r="M363" s="511"/>
      <c r="N363" s="232"/>
      <c r="O363" s="232"/>
      <c r="P363" s="312"/>
      <c r="Q363" s="312"/>
      <c r="R363" s="312"/>
      <c r="S363" s="312"/>
      <c r="T363" s="312"/>
      <c r="U363" s="312"/>
    </row>
    <row r="364">
      <c r="A364" s="508" t="s">
        <v>23746</v>
      </c>
      <c r="B364" s="232" t="s">
        <v>23771</v>
      </c>
      <c r="C364" s="509" t="s">
        <v>23772</v>
      </c>
      <c r="D364" s="510" t="s">
        <v>23773</v>
      </c>
      <c r="E364" s="511"/>
      <c r="F364" s="232" t="s">
        <v>23774</v>
      </c>
      <c r="G364" s="232" t="s">
        <v>22337</v>
      </c>
      <c r="H364" s="232">
        <v>8.895099992E9</v>
      </c>
      <c r="I364" s="509" t="s">
        <v>22289</v>
      </c>
      <c r="J364" s="232" t="b">
        <v>0</v>
      </c>
      <c r="K364" s="232" t="s">
        <v>22365</v>
      </c>
      <c r="L364" s="232" t="s">
        <v>22514</v>
      </c>
      <c r="M364" s="511"/>
      <c r="N364" s="232"/>
      <c r="O364" s="232"/>
      <c r="P364" s="312"/>
      <c r="Q364" s="312"/>
      <c r="R364" s="312"/>
      <c r="S364" s="312"/>
      <c r="T364" s="312"/>
      <c r="U364" s="312"/>
    </row>
    <row r="365">
      <c r="A365" s="508" t="s">
        <v>23746</v>
      </c>
      <c r="B365" s="232" t="s">
        <v>23775</v>
      </c>
      <c r="C365" s="509" t="s">
        <v>23776</v>
      </c>
      <c r="D365" s="510"/>
      <c r="E365" s="511"/>
      <c r="F365" s="232" t="s">
        <v>23777</v>
      </c>
      <c r="G365" s="232" t="s">
        <v>822</v>
      </c>
      <c r="H365" s="232">
        <v>8.160070621E9</v>
      </c>
      <c r="I365" s="509" t="s">
        <v>23104</v>
      </c>
      <c r="J365" s="232" t="b">
        <v>0</v>
      </c>
      <c r="K365" s="232" t="s">
        <v>22365</v>
      </c>
      <c r="L365" s="232"/>
      <c r="M365" s="511"/>
      <c r="N365" s="232"/>
      <c r="O365" s="232"/>
      <c r="P365" s="312"/>
      <c r="Q365" s="312"/>
      <c r="R365" s="312"/>
      <c r="S365" s="312"/>
      <c r="T365" s="312"/>
      <c r="U365" s="312"/>
    </row>
    <row r="366">
      <c r="A366" s="508" t="s">
        <v>23746</v>
      </c>
      <c r="B366" s="232" t="s">
        <v>23778</v>
      </c>
      <c r="C366" s="509" t="s">
        <v>23779</v>
      </c>
      <c r="D366" s="510" t="s">
        <v>23780</v>
      </c>
      <c r="E366" s="511"/>
      <c r="F366" s="232" t="s">
        <v>23781</v>
      </c>
      <c r="G366" s="232" t="s">
        <v>23782</v>
      </c>
      <c r="H366" s="232">
        <v>8.056056515E9</v>
      </c>
      <c r="I366" s="509" t="s">
        <v>23783</v>
      </c>
      <c r="J366" s="232" t="b">
        <v>0</v>
      </c>
      <c r="K366" s="232" t="s">
        <v>334</v>
      </c>
      <c r="L366" s="232"/>
      <c r="M366" s="511"/>
      <c r="N366" s="232"/>
      <c r="O366" s="232"/>
      <c r="P366" s="312"/>
      <c r="Q366" s="312"/>
      <c r="R366" s="312"/>
      <c r="S366" s="312"/>
      <c r="T366" s="312"/>
      <c r="U366" s="312"/>
    </row>
    <row r="367">
      <c r="A367" s="508" t="s">
        <v>23746</v>
      </c>
      <c r="B367" s="232" t="s">
        <v>23784</v>
      </c>
      <c r="C367" s="509" t="s">
        <v>23785</v>
      </c>
      <c r="D367" s="510" t="s">
        <v>23786</v>
      </c>
      <c r="E367" s="511"/>
      <c r="F367" s="232"/>
      <c r="G367" s="232" t="s">
        <v>23787</v>
      </c>
      <c r="H367" s="232">
        <v>9.686656921E9</v>
      </c>
      <c r="I367" s="509" t="s">
        <v>23788</v>
      </c>
      <c r="J367" s="232" t="b">
        <v>0</v>
      </c>
      <c r="K367" s="232" t="s">
        <v>22349</v>
      </c>
      <c r="L367" s="232" t="s">
        <v>23789</v>
      </c>
      <c r="M367" s="511"/>
      <c r="N367" s="232"/>
      <c r="O367" s="232"/>
      <c r="P367" s="312"/>
      <c r="Q367" s="312"/>
      <c r="R367" s="312"/>
      <c r="S367" s="312"/>
      <c r="T367" s="312"/>
      <c r="U367" s="312"/>
    </row>
    <row r="368">
      <c r="A368" s="508" t="s">
        <v>23746</v>
      </c>
      <c r="B368" s="232" t="s">
        <v>23790</v>
      </c>
      <c r="C368" s="509" t="s">
        <v>23791</v>
      </c>
      <c r="D368" s="510"/>
      <c r="E368" s="511"/>
      <c r="F368" s="232"/>
      <c r="G368" s="232" t="s">
        <v>977</v>
      </c>
      <c r="H368" s="232">
        <v>9.835134083E9</v>
      </c>
      <c r="I368" s="509" t="s">
        <v>23792</v>
      </c>
      <c r="J368" s="232" t="b">
        <v>0</v>
      </c>
      <c r="K368" s="232" t="s">
        <v>22349</v>
      </c>
      <c r="L368" s="232" t="s">
        <v>23793</v>
      </c>
      <c r="M368" s="511"/>
      <c r="N368" s="232"/>
      <c r="O368" s="232"/>
      <c r="P368" s="312"/>
      <c r="Q368" s="312"/>
      <c r="R368" s="312"/>
      <c r="S368" s="312"/>
      <c r="T368" s="312"/>
      <c r="U368" s="312"/>
    </row>
    <row r="369">
      <c r="A369" s="508" t="s">
        <v>23746</v>
      </c>
      <c r="B369" s="232" t="s">
        <v>23794</v>
      </c>
      <c r="C369" s="509" t="s">
        <v>23795</v>
      </c>
      <c r="D369" s="510" t="s">
        <v>9648</v>
      </c>
      <c r="E369" s="511"/>
      <c r="F369" s="232" t="s">
        <v>23796</v>
      </c>
      <c r="G369" s="232" t="s">
        <v>44</v>
      </c>
      <c r="H369" s="232">
        <v>9.679960978E9</v>
      </c>
      <c r="I369" s="509" t="s">
        <v>23797</v>
      </c>
      <c r="J369" s="232" t="b">
        <v>0</v>
      </c>
      <c r="K369" s="232" t="s">
        <v>22365</v>
      </c>
      <c r="L369" s="232" t="s">
        <v>22621</v>
      </c>
      <c r="M369" s="511"/>
      <c r="N369" s="232"/>
      <c r="O369" s="232"/>
      <c r="P369" s="312"/>
      <c r="Q369" s="312"/>
      <c r="R369" s="312"/>
      <c r="S369" s="312"/>
      <c r="T369" s="312"/>
      <c r="U369" s="312"/>
    </row>
    <row r="370">
      <c r="A370" s="508" t="s">
        <v>23798</v>
      </c>
      <c r="B370" s="232" t="s">
        <v>23794</v>
      </c>
      <c r="C370" s="509" t="s">
        <v>18196</v>
      </c>
      <c r="D370" s="510"/>
      <c r="E370" s="511"/>
      <c r="F370" s="232" t="s">
        <v>23799</v>
      </c>
      <c r="G370" s="232" t="s">
        <v>44</v>
      </c>
      <c r="H370" s="232">
        <v>9.474002368E9</v>
      </c>
      <c r="I370" s="509" t="s">
        <v>22278</v>
      </c>
      <c r="J370" s="232" t="b">
        <v>0</v>
      </c>
      <c r="K370" s="232" t="s">
        <v>22365</v>
      </c>
      <c r="L370" s="232" t="s">
        <v>22621</v>
      </c>
      <c r="M370" s="511"/>
      <c r="N370" s="232"/>
      <c r="O370" s="232"/>
      <c r="P370" s="312"/>
      <c r="Q370" s="312"/>
      <c r="R370" s="312"/>
      <c r="S370" s="312"/>
      <c r="T370" s="312"/>
      <c r="U370" s="312"/>
    </row>
    <row r="371">
      <c r="A371" s="508" t="s">
        <v>23798</v>
      </c>
      <c r="B371" s="232" t="s">
        <v>23800</v>
      </c>
      <c r="C371" s="509" t="s">
        <v>10180</v>
      </c>
      <c r="D371" s="510" t="s">
        <v>23801</v>
      </c>
      <c r="E371" s="511"/>
      <c r="F371" s="232" t="s">
        <v>10181</v>
      </c>
      <c r="G371" s="232" t="s">
        <v>23802</v>
      </c>
      <c r="H371" s="232">
        <v>8.348396235E9</v>
      </c>
      <c r="I371" s="509" t="s">
        <v>23803</v>
      </c>
      <c r="J371" s="232" t="b">
        <v>0</v>
      </c>
      <c r="K371" s="232" t="s">
        <v>22365</v>
      </c>
      <c r="L371" s="232"/>
      <c r="M371" s="511"/>
      <c r="N371" s="232"/>
      <c r="O371" s="232"/>
      <c r="P371" s="312"/>
      <c r="Q371" s="312"/>
      <c r="R371" s="312"/>
      <c r="S371" s="312"/>
      <c r="T371" s="312"/>
      <c r="U371" s="312"/>
    </row>
    <row r="372">
      <c r="A372" s="513" t="s">
        <v>23798</v>
      </c>
      <c r="B372" s="514" t="s">
        <v>23804</v>
      </c>
      <c r="C372" s="515" t="s">
        <v>23805</v>
      </c>
      <c r="D372" s="516"/>
      <c r="E372" s="517"/>
      <c r="F372" s="514" t="s">
        <v>23806</v>
      </c>
      <c r="G372" s="514" t="s">
        <v>449</v>
      </c>
      <c r="H372" s="514">
        <v>9.563157739E9</v>
      </c>
      <c r="I372" s="515" t="s">
        <v>23807</v>
      </c>
      <c r="J372" s="514" t="b">
        <v>0</v>
      </c>
      <c r="K372" s="514" t="s">
        <v>22312</v>
      </c>
      <c r="L372" s="514" t="s">
        <v>23808</v>
      </c>
      <c r="M372" s="511"/>
      <c r="N372" s="232"/>
      <c r="O372" s="232"/>
      <c r="P372" s="312"/>
      <c r="Q372" s="312"/>
      <c r="R372" s="312"/>
      <c r="S372" s="312"/>
      <c r="T372" s="312"/>
      <c r="U372" s="312"/>
    </row>
    <row r="373">
      <c r="A373" s="508" t="s">
        <v>23798</v>
      </c>
      <c r="B373" s="232" t="s">
        <v>23809</v>
      </c>
      <c r="C373" s="509" t="s">
        <v>23810</v>
      </c>
      <c r="D373" s="510" t="s">
        <v>23811</v>
      </c>
      <c r="E373" s="511"/>
      <c r="F373" s="232" t="s">
        <v>23812</v>
      </c>
      <c r="G373" s="232" t="s">
        <v>22304</v>
      </c>
      <c r="H373" s="232">
        <v>9.348219765E9</v>
      </c>
      <c r="I373" s="509" t="s">
        <v>23813</v>
      </c>
      <c r="J373" s="232" t="b">
        <v>0</v>
      </c>
      <c r="K373" s="232" t="s">
        <v>22365</v>
      </c>
      <c r="L373" s="232" t="s">
        <v>23814</v>
      </c>
      <c r="M373" s="511"/>
      <c r="N373" s="232"/>
      <c r="O373" s="232"/>
      <c r="P373" s="312"/>
      <c r="Q373" s="312"/>
      <c r="R373" s="312"/>
      <c r="S373" s="312"/>
      <c r="T373" s="312"/>
      <c r="U373" s="312"/>
    </row>
    <row r="374">
      <c r="A374" s="508" t="s">
        <v>23798</v>
      </c>
      <c r="B374" s="232" t="s">
        <v>23815</v>
      </c>
      <c r="C374" s="509" t="s">
        <v>23816</v>
      </c>
      <c r="D374" s="510" t="s">
        <v>23817</v>
      </c>
      <c r="E374" s="511"/>
      <c r="F374" s="232" t="s">
        <v>23818</v>
      </c>
      <c r="G374" s="232" t="s">
        <v>22429</v>
      </c>
      <c r="H374" s="232">
        <v>9.831086847E9</v>
      </c>
      <c r="I374" s="509" t="s">
        <v>22737</v>
      </c>
      <c r="J374" s="232" t="b">
        <v>0</v>
      </c>
      <c r="K374" s="232" t="s">
        <v>22365</v>
      </c>
      <c r="L374" s="232" t="s">
        <v>23537</v>
      </c>
      <c r="M374" s="511"/>
      <c r="N374" s="232"/>
      <c r="O374" s="232"/>
      <c r="P374" s="312"/>
      <c r="Q374" s="312"/>
      <c r="R374" s="312"/>
      <c r="S374" s="312"/>
      <c r="T374" s="312"/>
      <c r="U374" s="312"/>
    </row>
    <row r="375">
      <c r="A375" s="508" t="s">
        <v>23798</v>
      </c>
      <c r="B375" s="232" t="s">
        <v>23819</v>
      </c>
      <c r="C375" s="509" t="s">
        <v>23820</v>
      </c>
      <c r="D375" s="510" t="s">
        <v>23821</v>
      </c>
      <c r="E375" s="511"/>
      <c r="F375" s="232" t="s">
        <v>23822</v>
      </c>
      <c r="G375" s="232" t="s">
        <v>23823</v>
      </c>
      <c r="H375" s="232">
        <v>9.853716601E9</v>
      </c>
      <c r="I375" s="509" t="s">
        <v>23824</v>
      </c>
      <c r="J375" s="232" t="b">
        <v>0</v>
      </c>
      <c r="K375" s="232" t="s">
        <v>22365</v>
      </c>
      <c r="L375" s="232" t="s">
        <v>22621</v>
      </c>
      <c r="M375" s="511"/>
      <c r="N375" s="232"/>
      <c r="O375" s="232"/>
      <c r="P375" s="312"/>
      <c r="Q375" s="312"/>
      <c r="R375" s="312"/>
      <c r="S375" s="312"/>
      <c r="T375" s="312"/>
      <c r="U375" s="312"/>
    </row>
    <row r="376">
      <c r="A376" s="513" t="s">
        <v>23798</v>
      </c>
      <c r="B376" s="514" t="s">
        <v>23825</v>
      </c>
      <c r="C376" s="515" t="s">
        <v>10204</v>
      </c>
      <c r="D376" s="516"/>
      <c r="E376" s="517"/>
      <c r="F376" s="514" t="s">
        <v>23826</v>
      </c>
      <c r="G376" s="514" t="s">
        <v>23274</v>
      </c>
      <c r="H376" s="514">
        <v>9.546459227E9</v>
      </c>
      <c r="I376" s="515" t="s">
        <v>23827</v>
      </c>
      <c r="J376" s="514" t="b">
        <v>0</v>
      </c>
      <c r="K376" s="514" t="s">
        <v>22312</v>
      </c>
      <c r="L376" s="514" t="s">
        <v>23828</v>
      </c>
      <c r="M376" s="511"/>
      <c r="N376" s="232"/>
      <c r="O376" s="232"/>
      <c r="P376" s="312"/>
      <c r="Q376" s="312"/>
      <c r="R376" s="312"/>
      <c r="S376" s="312"/>
      <c r="T376" s="312"/>
      <c r="U376" s="312"/>
    </row>
    <row r="377">
      <c r="A377" s="508" t="s">
        <v>23798</v>
      </c>
      <c r="B377" s="232" t="s">
        <v>23829</v>
      </c>
      <c r="C377" s="509" t="s">
        <v>23830</v>
      </c>
      <c r="D377" s="510"/>
      <c r="E377" s="511"/>
      <c r="F377" s="232" t="s">
        <v>23831</v>
      </c>
      <c r="G377" s="232" t="s">
        <v>7995</v>
      </c>
      <c r="H377" s="232">
        <v>6.296195663E9</v>
      </c>
      <c r="I377" s="509" t="s">
        <v>22698</v>
      </c>
      <c r="J377" s="232" t="b">
        <v>0</v>
      </c>
      <c r="K377" s="232" t="s">
        <v>22365</v>
      </c>
      <c r="L377" s="232" t="s">
        <v>23832</v>
      </c>
      <c r="M377" s="511"/>
      <c r="N377" s="232"/>
      <c r="O377" s="232"/>
      <c r="P377" s="312"/>
      <c r="Q377" s="312"/>
      <c r="R377" s="312"/>
      <c r="S377" s="312"/>
      <c r="T377" s="312"/>
      <c r="U377" s="312"/>
    </row>
    <row r="378">
      <c r="A378" s="508" t="s">
        <v>23798</v>
      </c>
      <c r="B378" s="232" t="s">
        <v>23833</v>
      </c>
      <c r="C378" s="509" t="s">
        <v>23834</v>
      </c>
      <c r="D378" s="510" t="s">
        <v>23835</v>
      </c>
      <c r="E378" s="511"/>
      <c r="F378" s="232" t="s">
        <v>23836</v>
      </c>
      <c r="G378" s="232" t="s">
        <v>22583</v>
      </c>
      <c r="H378" s="232">
        <v>8.273606568E9</v>
      </c>
      <c r="I378" s="509" t="s">
        <v>23837</v>
      </c>
      <c r="J378" s="232" t="b">
        <v>0</v>
      </c>
      <c r="K378" s="232"/>
      <c r="L378" s="232"/>
      <c r="M378" s="511"/>
      <c r="N378" s="232"/>
      <c r="O378" s="232"/>
      <c r="P378" s="312"/>
      <c r="Q378" s="312"/>
      <c r="R378" s="312"/>
      <c r="S378" s="312"/>
      <c r="T378" s="312"/>
      <c r="U378" s="312"/>
    </row>
    <row r="379">
      <c r="A379" s="508" t="s">
        <v>23798</v>
      </c>
      <c r="B379" s="232" t="s">
        <v>23838</v>
      </c>
      <c r="C379" s="509" t="s">
        <v>23839</v>
      </c>
      <c r="D379" s="510"/>
      <c r="E379" s="511"/>
      <c r="F379" s="232" t="s">
        <v>23840</v>
      </c>
      <c r="G379" s="232" t="s">
        <v>44</v>
      </c>
      <c r="H379" s="232">
        <v>9.330339684E9</v>
      </c>
      <c r="I379" s="509" t="s">
        <v>23841</v>
      </c>
      <c r="J379" s="232" t="b">
        <v>0</v>
      </c>
      <c r="K379" s="232" t="s">
        <v>22365</v>
      </c>
      <c r="L379" s="232" t="s">
        <v>22451</v>
      </c>
      <c r="M379" s="511"/>
      <c r="N379" s="232"/>
      <c r="O379" s="232"/>
      <c r="P379" s="312"/>
      <c r="Q379" s="312"/>
      <c r="R379" s="312"/>
      <c r="S379" s="312"/>
      <c r="T379" s="312"/>
      <c r="U379" s="312"/>
    </row>
    <row r="380">
      <c r="A380" s="508" t="s">
        <v>23798</v>
      </c>
      <c r="B380" s="232" t="s">
        <v>23842</v>
      </c>
      <c r="C380" s="509" t="s">
        <v>20363</v>
      </c>
      <c r="D380" s="510" t="s">
        <v>23843</v>
      </c>
      <c r="E380" s="511"/>
      <c r="F380" s="232" t="s">
        <v>23844</v>
      </c>
      <c r="G380" s="232" t="s">
        <v>23660</v>
      </c>
      <c r="H380" s="232">
        <v>9.5097205E9</v>
      </c>
      <c r="I380" s="509" t="s">
        <v>23845</v>
      </c>
      <c r="J380" s="232" t="b">
        <v>0</v>
      </c>
      <c r="K380" s="232" t="s">
        <v>22365</v>
      </c>
      <c r="L380" s="232" t="s">
        <v>23537</v>
      </c>
      <c r="M380" s="511"/>
      <c r="N380" s="232"/>
      <c r="O380" s="232"/>
      <c r="P380" s="312"/>
      <c r="Q380" s="312"/>
      <c r="R380" s="312"/>
      <c r="S380" s="312"/>
      <c r="T380" s="312"/>
      <c r="U380" s="312"/>
    </row>
    <row r="381">
      <c r="A381" s="508" t="s">
        <v>23798</v>
      </c>
      <c r="B381" s="232" t="s">
        <v>23846</v>
      </c>
      <c r="C381" s="509" t="s">
        <v>21363</v>
      </c>
      <c r="D381" s="510"/>
      <c r="E381" s="511"/>
      <c r="F381" s="232" t="s">
        <v>23847</v>
      </c>
      <c r="G381" s="232" t="s">
        <v>22337</v>
      </c>
      <c r="H381" s="232">
        <v>6.371052546E9</v>
      </c>
      <c r="I381" s="509" t="s">
        <v>23848</v>
      </c>
      <c r="J381" s="232" t="b">
        <v>0</v>
      </c>
      <c r="K381" s="232"/>
      <c r="L381" s="232"/>
      <c r="M381" s="511"/>
      <c r="N381" s="232"/>
      <c r="O381" s="232"/>
      <c r="P381" s="312"/>
      <c r="Q381" s="312"/>
      <c r="R381" s="312"/>
      <c r="S381" s="312"/>
      <c r="T381" s="312"/>
      <c r="U381" s="312"/>
    </row>
    <row r="382">
      <c r="A382" s="508" t="s">
        <v>23798</v>
      </c>
      <c r="B382" s="232" t="s">
        <v>23849</v>
      </c>
      <c r="C382" s="509" t="s">
        <v>23850</v>
      </c>
      <c r="D382" s="510"/>
      <c r="E382" s="511"/>
      <c r="F382" s="232"/>
      <c r="G382" s="232" t="s">
        <v>24</v>
      </c>
      <c r="H382" s="232">
        <v>8.873383251E9</v>
      </c>
      <c r="I382" s="509" t="s">
        <v>22715</v>
      </c>
      <c r="J382" s="232" t="b">
        <v>0</v>
      </c>
      <c r="K382" s="232" t="s">
        <v>334</v>
      </c>
      <c r="L382" s="232"/>
      <c r="M382" s="511"/>
      <c r="N382" s="232"/>
      <c r="O382" s="232"/>
      <c r="P382" s="312"/>
      <c r="Q382" s="312"/>
      <c r="R382" s="312"/>
      <c r="S382" s="312"/>
      <c r="T382" s="312"/>
      <c r="U382" s="312"/>
    </row>
    <row r="383">
      <c r="A383" s="508" t="s">
        <v>23798</v>
      </c>
      <c r="B383" s="232" t="s">
        <v>23851</v>
      </c>
      <c r="C383" s="509" t="s">
        <v>23852</v>
      </c>
      <c r="D383" s="510"/>
      <c r="E383" s="511"/>
      <c r="F383" s="232" t="s">
        <v>23853</v>
      </c>
      <c r="G383" s="232" t="s">
        <v>22770</v>
      </c>
      <c r="H383" s="232">
        <v>9.958270229E9</v>
      </c>
      <c r="I383" s="509" t="s">
        <v>23854</v>
      </c>
      <c r="J383" s="232" t="b">
        <v>0</v>
      </c>
      <c r="K383" s="232" t="s">
        <v>22349</v>
      </c>
      <c r="L383" s="232" t="s">
        <v>23855</v>
      </c>
      <c r="M383" s="511"/>
      <c r="N383" s="232"/>
      <c r="O383" s="232"/>
      <c r="P383" s="312"/>
      <c r="Q383" s="312"/>
      <c r="R383" s="312"/>
      <c r="S383" s="312"/>
      <c r="T383" s="312"/>
      <c r="U383" s="312"/>
    </row>
    <row r="384">
      <c r="A384" s="508" t="s">
        <v>23798</v>
      </c>
      <c r="B384" s="232" t="s">
        <v>23856</v>
      </c>
      <c r="C384" s="509" t="s">
        <v>474</v>
      </c>
      <c r="D384" s="510"/>
      <c r="E384" s="511"/>
      <c r="F384" s="232"/>
      <c r="G384" s="232" t="s">
        <v>22479</v>
      </c>
      <c r="H384" s="232">
        <v>9.718069892E9</v>
      </c>
      <c r="I384" s="512" t="s">
        <v>23857</v>
      </c>
      <c r="J384" s="232" t="b">
        <v>0</v>
      </c>
      <c r="K384" s="232" t="s">
        <v>22365</v>
      </c>
      <c r="L384" s="232" t="s">
        <v>22621</v>
      </c>
      <c r="M384" s="511"/>
      <c r="N384" s="232"/>
      <c r="O384" s="232"/>
      <c r="P384" s="312"/>
      <c r="Q384" s="312"/>
      <c r="R384" s="312"/>
      <c r="S384" s="312"/>
      <c r="T384" s="312"/>
      <c r="U384" s="312"/>
    </row>
    <row r="385">
      <c r="A385" s="508" t="s">
        <v>23798</v>
      </c>
      <c r="B385" s="232" t="s">
        <v>23858</v>
      </c>
      <c r="C385" s="509" t="s">
        <v>23859</v>
      </c>
      <c r="D385" s="510" t="s">
        <v>23860</v>
      </c>
      <c r="E385" s="511"/>
      <c r="F385" s="232" t="s">
        <v>23861</v>
      </c>
      <c r="G385" s="232" t="s">
        <v>22479</v>
      </c>
      <c r="H385" s="232">
        <v>8.858237404E9</v>
      </c>
      <c r="I385" s="509" t="s">
        <v>23862</v>
      </c>
      <c r="J385" s="232" t="b">
        <v>0</v>
      </c>
      <c r="K385" s="232" t="s">
        <v>22365</v>
      </c>
      <c r="L385" s="232" t="s">
        <v>22621</v>
      </c>
      <c r="M385" s="511"/>
      <c r="N385" s="232"/>
      <c r="O385" s="232"/>
      <c r="P385" s="312"/>
      <c r="Q385" s="312"/>
      <c r="R385" s="312"/>
      <c r="S385" s="312"/>
      <c r="T385" s="312"/>
      <c r="U385" s="312"/>
    </row>
    <row r="386">
      <c r="A386" s="508" t="s">
        <v>23798</v>
      </c>
      <c r="B386" s="232" t="s">
        <v>23863</v>
      </c>
      <c r="C386" s="509" t="s">
        <v>23864</v>
      </c>
      <c r="D386" s="510" t="s">
        <v>23865</v>
      </c>
      <c r="E386" s="511"/>
      <c r="F386" s="232" t="s">
        <v>23866</v>
      </c>
      <c r="G386" s="232" t="s">
        <v>22479</v>
      </c>
      <c r="H386" s="232">
        <v>8.171120012E9</v>
      </c>
      <c r="I386" s="509" t="s">
        <v>23867</v>
      </c>
      <c r="J386" s="232" t="b">
        <v>0</v>
      </c>
      <c r="K386" s="232" t="s">
        <v>22365</v>
      </c>
      <c r="L386" s="232" t="s">
        <v>22451</v>
      </c>
      <c r="M386" s="511"/>
      <c r="N386" s="232"/>
      <c r="O386" s="232"/>
      <c r="P386" s="312"/>
      <c r="Q386" s="312"/>
      <c r="R386" s="312"/>
      <c r="S386" s="312"/>
      <c r="T386" s="312"/>
      <c r="U386" s="312"/>
    </row>
    <row r="387">
      <c r="A387" s="508" t="s">
        <v>23868</v>
      </c>
      <c r="B387" s="232" t="s">
        <v>23869</v>
      </c>
      <c r="C387" s="509" t="s">
        <v>23870</v>
      </c>
      <c r="D387" s="510"/>
      <c r="E387" s="511"/>
      <c r="F387" s="232"/>
      <c r="G387" s="232" t="s">
        <v>23612</v>
      </c>
      <c r="H387" s="232">
        <v>7.001800078E9</v>
      </c>
      <c r="I387" s="509" t="s">
        <v>23871</v>
      </c>
      <c r="J387" s="232" t="b">
        <v>0</v>
      </c>
      <c r="K387" s="232" t="s">
        <v>22365</v>
      </c>
      <c r="L387" s="232" t="s">
        <v>23872</v>
      </c>
      <c r="M387" s="511"/>
      <c r="N387" s="232"/>
      <c r="O387" s="232"/>
      <c r="P387" s="312"/>
      <c r="Q387" s="312"/>
      <c r="R387" s="312"/>
      <c r="S387" s="312"/>
      <c r="T387" s="312"/>
      <c r="U387" s="312"/>
    </row>
    <row r="388">
      <c r="A388" s="508" t="s">
        <v>23868</v>
      </c>
      <c r="B388" s="232" t="s">
        <v>23873</v>
      </c>
      <c r="C388" s="509" t="s">
        <v>23874</v>
      </c>
      <c r="D388" s="510"/>
      <c r="E388" s="511"/>
      <c r="F388" s="232"/>
      <c r="G388" s="232" t="s">
        <v>23660</v>
      </c>
      <c r="H388" s="232">
        <v>9.5097205E9</v>
      </c>
      <c r="I388" s="509" t="s">
        <v>22364</v>
      </c>
      <c r="J388" s="232" t="b">
        <v>0</v>
      </c>
      <c r="K388" s="232" t="s">
        <v>22365</v>
      </c>
      <c r="L388" s="232" t="s">
        <v>22366</v>
      </c>
      <c r="M388" s="511"/>
      <c r="N388" s="232"/>
      <c r="O388" s="232"/>
      <c r="P388" s="312"/>
      <c r="Q388" s="312"/>
      <c r="R388" s="312"/>
      <c r="S388" s="312"/>
      <c r="T388" s="312"/>
      <c r="U388" s="312"/>
    </row>
    <row r="389">
      <c r="A389" s="508" t="s">
        <v>23868</v>
      </c>
      <c r="B389" s="232" t="s">
        <v>23875</v>
      </c>
      <c r="C389" s="509" t="s">
        <v>23876</v>
      </c>
      <c r="D389" s="510" t="s">
        <v>23877</v>
      </c>
      <c r="E389" s="511"/>
      <c r="F389" s="232" t="s">
        <v>23878</v>
      </c>
      <c r="G389" s="232" t="s">
        <v>2643</v>
      </c>
      <c r="H389" s="232">
        <v>9.039281142E9</v>
      </c>
      <c r="I389" s="509" t="s">
        <v>23879</v>
      </c>
      <c r="J389" s="232" t="b">
        <v>0</v>
      </c>
      <c r="K389" s="232" t="s">
        <v>22365</v>
      </c>
      <c r="L389" s="232" t="s">
        <v>22611</v>
      </c>
      <c r="M389" s="511"/>
      <c r="N389" s="232"/>
      <c r="O389" s="232"/>
      <c r="P389" s="312"/>
      <c r="Q389" s="312"/>
      <c r="R389" s="312"/>
      <c r="S389" s="312"/>
      <c r="T389" s="312"/>
      <c r="U389" s="312"/>
    </row>
    <row r="390">
      <c r="A390" s="508" t="s">
        <v>23868</v>
      </c>
      <c r="B390" s="232" t="s">
        <v>23880</v>
      </c>
      <c r="C390" s="509" t="s">
        <v>19338</v>
      </c>
      <c r="D390" s="510" t="s">
        <v>23881</v>
      </c>
      <c r="E390" s="511"/>
      <c r="F390" s="232" t="s">
        <v>23882</v>
      </c>
      <c r="G390" s="232" t="s">
        <v>23883</v>
      </c>
      <c r="H390" s="232">
        <v>9.309755439E9</v>
      </c>
      <c r="I390" s="509" t="s">
        <v>23884</v>
      </c>
      <c r="J390" s="232" t="b">
        <v>0</v>
      </c>
      <c r="K390" s="232" t="s">
        <v>12092</v>
      </c>
      <c r="L390" s="232"/>
      <c r="M390" s="511"/>
      <c r="N390" s="232"/>
      <c r="O390" s="232"/>
      <c r="P390" s="312"/>
      <c r="Q390" s="312"/>
      <c r="R390" s="312"/>
      <c r="S390" s="312"/>
      <c r="T390" s="312"/>
      <c r="U390" s="312"/>
    </row>
    <row r="391">
      <c r="A391" s="508" t="s">
        <v>23868</v>
      </c>
      <c r="B391" s="232" t="s">
        <v>23885</v>
      </c>
      <c r="C391" s="509" t="s">
        <v>2125</v>
      </c>
      <c r="D391" s="510"/>
      <c r="E391" s="511"/>
      <c r="F391" s="232"/>
      <c r="G391" s="232" t="s">
        <v>507</v>
      </c>
      <c r="H391" s="232">
        <v>8.10436383E9</v>
      </c>
      <c r="I391" s="509" t="s">
        <v>23886</v>
      </c>
      <c r="J391" s="232" t="b">
        <v>0</v>
      </c>
      <c r="K391" s="232" t="s">
        <v>22365</v>
      </c>
      <c r="L391" s="232" t="s">
        <v>23887</v>
      </c>
      <c r="M391" s="511"/>
      <c r="N391" s="232"/>
      <c r="O391" s="232"/>
      <c r="P391" s="312"/>
      <c r="Q391" s="312"/>
      <c r="R391" s="312"/>
      <c r="S391" s="312"/>
      <c r="T391" s="312"/>
      <c r="U391" s="312"/>
    </row>
    <row r="392">
      <c r="A392" s="508" t="s">
        <v>23868</v>
      </c>
      <c r="B392" s="232" t="s">
        <v>23888</v>
      </c>
      <c r="C392" s="509" t="s">
        <v>23889</v>
      </c>
      <c r="D392" s="510"/>
      <c r="E392" s="511"/>
      <c r="F392" s="232"/>
      <c r="G392" s="232" t="s">
        <v>9094</v>
      </c>
      <c r="H392" s="232">
        <v>9.814441148E9</v>
      </c>
      <c r="I392" s="509" t="s">
        <v>23890</v>
      </c>
      <c r="J392" s="232" t="b">
        <v>0</v>
      </c>
      <c r="K392" s="232" t="s">
        <v>22349</v>
      </c>
      <c r="L392" s="232" t="s">
        <v>23891</v>
      </c>
      <c r="M392" s="511"/>
      <c r="N392" s="232"/>
      <c r="O392" s="232"/>
      <c r="P392" s="312"/>
      <c r="Q392" s="312"/>
      <c r="R392" s="312"/>
      <c r="S392" s="312"/>
      <c r="T392" s="312"/>
      <c r="U392" s="312"/>
    </row>
    <row r="393">
      <c r="A393" s="508" t="s">
        <v>23868</v>
      </c>
      <c r="B393" s="232" t="s">
        <v>23892</v>
      </c>
      <c r="C393" s="509" t="s">
        <v>23893</v>
      </c>
      <c r="D393" s="510" t="s">
        <v>23894</v>
      </c>
      <c r="E393" s="511"/>
      <c r="F393" s="232" t="s">
        <v>23895</v>
      </c>
      <c r="G393" s="232" t="s">
        <v>22687</v>
      </c>
      <c r="H393" s="232">
        <v>9.560186481E9</v>
      </c>
      <c r="I393" s="509" t="s">
        <v>23896</v>
      </c>
      <c r="J393" s="232" t="b">
        <v>0</v>
      </c>
      <c r="K393" s="232" t="s">
        <v>12092</v>
      </c>
      <c r="L393" s="232"/>
      <c r="M393" s="511"/>
      <c r="N393" s="232"/>
      <c r="O393" s="232"/>
      <c r="P393" s="312"/>
      <c r="Q393" s="312"/>
      <c r="R393" s="312"/>
      <c r="S393" s="312"/>
      <c r="T393" s="312"/>
      <c r="U393" s="312"/>
    </row>
    <row r="394">
      <c r="A394" s="508" t="s">
        <v>23868</v>
      </c>
      <c r="B394" s="232" t="s">
        <v>23897</v>
      </c>
      <c r="C394" s="509" t="s">
        <v>23898</v>
      </c>
      <c r="D394" s="510" t="s">
        <v>23899</v>
      </c>
      <c r="E394" s="511"/>
      <c r="F394" s="232" t="s">
        <v>23900</v>
      </c>
      <c r="G394" s="232" t="s">
        <v>23660</v>
      </c>
      <c r="H394" s="232">
        <v>8.890900181E9</v>
      </c>
      <c r="I394" s="509" t="s">
        <v>22480</v>
      </c>
      <c r="J394" s="232" t="b">
        <v>0</v>
      </c>
      <c r="K394" s="232" t="s">
        <v>22365</v>
      </c>
      <c r="L394" s="232" t="s">
        <v>23901</v>
      </c>
      <c r="M394" s="511"/>
      <c r="N394" s="232"/>
      <c r="O394" s="232"/>
      <c r="P394" s="312"/>
      <c r="Q394" s="312"/>
      <c r="R394" s="312"/>
      <c r="S394" s="312"/>
      <c r="T394" s="312"/>
      <c r="U394" s="312"/>
    </row>
    <row r="395">
      <c r="A395" s="508" t="s">
        <v>23868</v>
      </c>
      <c r="B395" s="232" t="s">
        <v>23902</v>
      </c>
      <c r="C395" s="509" t="s">
        <v>23903</v>
      </c>
      <c r="D395" s="510" t="s">
        <v>23904</v>
      </c>
      <c r="E395" s="511"/>
      <c r="F395" s="232" t="s">
        <v>23905</v>
      </c>
      <c r="G395" s="232" t="s">
        <v>23906</v>
      </c>
      <c r="H395" s="232">
        <v>-6.38236939E9</v>
      </c>
      <c r="I395" s="509" t="s">
        <v>23563</v>
      </c>
      <c r="J395" s="232" t="b">
        <v>0</v>
      </c>
      <c r="K395" s="232" t="s">
        <v>22365</v>
      </c>
      <c r="L395" s="232" t="s">
        <v>23907</v>
      </c>
      <c r="M395" s="511"/>
      <c r="N395" s="232"/>
      <c r="O395" s="232"/>
      <c r="P395" s="312"/>
      <c r="Q395" s="312"/>
      <c r="R395" s="312"/>
      <c r="S395" s="312"/>
      <c r="T395" s="312"/>
      <c r="U395" s="312"/>
    </row>
    <row r="396">
      <c r="A396" s="508" t="s">
        <v>23868</v>
      </c>
      <c r="B396" s="232" t="s">
        <v>23908</v>
      </c>
      <c r="C396" s="509" t="s">
        <v>23909</v>
      </c>
      <c r="D396" s="510" t="s">
        <v>23910</v>
      </c>
      <c r="E396" s="511"/>
      <c r="F396" s="232" t="s">
        <v>23911</v>
      </c>
      <c r="G396" s="232" t="s">
        <v>2662</v>
      </c>
      <c r="H396" s="232">
        <v>9.84203192E9</v>
      </c>
      <c r="I396" s="509" t="s">
        <v>23912</v>
      </c>
      <c r="J396" s="232" t="b">
        <v>0</v>
      </c>
      <c r="K396" s="232" t="s">
        <v>22365</v>
      </c>
      <c r="L396" s="232" t="s">
        <v>22904</v>
      </c>
      <c r="M396" s="511"/>
      <c r="N396" s="232"/>
      <c r="O396" s="232"/>
      <c r="P396" s="312"/>
      <c r="Q396" s="312"/>
      <c r="R396" s="312"/>
      <c r="S396" s="312"/>
      <c r="T396" s="312"/>
      <c r="U396" s="312"/>
    </row>
    <row r="397">
      <c r="A397" s="508" t="s">
        <v>23868</v>
      </c>
      <c r="B397" s="232" t="s">
        <v>23913</v>
      </c>
      <c r="C397" s="509" t="s">
        <v>23914</v>
      </c>
      <c r="D397" s="510"/>
      <c r="E397" s="511"/>
      <c r="F397" s="232" t="s">
        <v>23915</v>
      </c>
      <c r="G397" s="232" t="s">
        <v>1006</v>
      </c>
      <c r="H397" s="232">
        <v>7.830921889E9</v>
      </c>
      <c r="I397" s="509" t="s">
        <v>23916</v>
      </c>
      <c r="J397" s="232" t="b">
        <v>0</v>
      </c>
      <c r="K397" s="232" t="s">
        <v>22365</v>
      </c>
      <c r="L397" s="232" t="s">
        <v>22422</v>
      </c>
      <c r="M397" s="511"/>
      <c r="N397" s="232"/>
      <c r="O397" s="232"/>
      <c r="P397" s="312"/>
      <c r="Q397" s="312"/>
      <c r="R397" s="312"/>
      <c r="S397" s="312"/>
      <c r="T397" s="312"/>
      <c r="U397" s="312"/>
    </row>
    <row r="398">
      <c r="A398" s="508" t="s">
        <v>23868</v>
      </c>
      <c r="B398" s="232" t="s">
        <v>23917</v>
      </c>
      <c r="C398" s="509" t="s">
        <v>23918</v>
      </c>
      <c r="D398" s="510" t="s">
        <v>23919</v>
      </c>
      <c r="E398" s="511"/>
      <c r="F398" s="232"/>
      <c r="G398" s="232" t="s">
        <v>44</v>
      </c>
      <c r="H398" s="232">
        <v>8.240232611E9</v>
      </c>
      <c r="I398" s="509" t="s">
        <v>23920</v>
      </c>
      <c r="J398" s="232" t="b">
        <v>0</v>
      </c>
      <c r="K398" s="232" t="s">
        <v>22365</v>
      </c>
      <c r="L398" s="232" t="s">
        <v>22994</v>
      </c>
      <c r="M398" s="511"/>
      <c r="N398" s="232"/>
      <c r="O398" s="232"/>
      <c r="P398" s="312"/>
      <c r="Q398" s="312"/>
      <c r="R398" s="312"/>
      <c r="S398" s="312"/>
      <c r="T398" s="312"/>
      <c r="U398" s="312"/>
    </row>
    <row r="399">
      <c r="A399" s="508" t="s">
        <v>23868</v>
      </c>
      <c r="B399" s="232" t="s">
        <v>23921</v>
      </c>
      <c r="C399" s="509" t="s">
        <v>23922</v>
      </c>
      <c r="D399" s="510" t="s">
        <v>23923</v>
      </c>
      <c r="E399" s="511"/>
      <c r="F399" s="232" t="s">
        <v>23924</v>
      </c>
      <c r="G399" s="232" t="s">
        <v>2882</v>
      </c>
      <c r="H399" s="232">
        <v>8.178596312E9</v>
      </c>
      <c r="I399" s="509" t="s">
        <v>23925</v>
      </c>
      <c r="J399" s="232" t="b">
        <v>0</v>
      </c>
      <c r="K399" s="232" t="s">
        <v>22365</v>
      </c>
      <c r="L399" s="232" t="s">
        <v>22366</v>
      </c>
      <c r="M399" s="511"/>
      <c r="N399" s="232"/>
      <c r="O399" s="232"/>
      <c r="P399" s="312"/>
      <c r="Q399" s="312"/>
      <c r="R399" s="312"/>
      <c r="S399" s="312"/>
      <c r="T399" s="312"/>
      <c r="U399" s="312"/>
    </row>
    <row r="400">
      <c r="A400" s="508" t="s">
        <v>23926</v>
      </c>
      <c r="B400" s="232" t="s">
        <v>23927</v>
      </c>
      <c r="C400" s="509" t="s">
        <v>23928</v>
      </c>
      <c r="D400" s="510"/>
      <c r="E400" s="511"/>
      <c r="F400" s="232" t="s">
        <v>23929</v>
      </c>
      <c r="G400" s="232" t="s">
        <v>23782</v>
      </c>
      <c r="H400" s="232">
        <v>9.490076656E9</v>
      </c>
      <c r="I400" s="509" t="s">
        <v>22553</v>
      </c>
      <c r="J400" s="232" t="b">
        <v>0</v>
      </c>
      <c r="K400" s="232" t="s">
        <v>22349</v>
      </c>
      <c r="L400" s="232" t="s">
        <v>23930</v>
      </c>
      <c r="M400" s="511"/>
      <c r="N400" s="232"/>
      <c r="O400" s="232"/>
      <c r="P400" s="312"/>
      <c r="Q400" s="312"/>
      <c r="R400" s="312"/>
      <c r="S400" s="312"/>
      <c r="T400" s="312"/>
      <c r="U400" s="312"/>
    </row>
    <row r="401">
      <c r="A401" s="508" t="s">
        <v>23926</v>
      </c>
      <c r="B401" s="232" t="s">
        <v>23931</v>
      </c>
      <c r="C401" s="509" t="s">
        <v>23932</v>
      </c>
      <c r="D401" s="510"/>
      <c r="E401" s="511"/>
      <c r="F401" s="232" t="s">
        <v>23933</v>
      </c>
      <c r="G401" s="232" t="s">
        <v>2643</v>
      </c>
      <c r="H401" s="232">
        <v>8.103973423E9</v>
      </c>
      <c r="I401" s="509" t="s">
        <v>23934</v>
      </c>
      <c r="J401" s="232" t="b">
        <v>0</v>
      </c>
      <c r="K401" s="232" t="s">
        <v>22349</v>
      </c>
      <c r="L401" s="232" t="s">
        <v>23935</v>
      </c>
      <c r="M401" s="511"/>
      <c r="N401" s="232"/>
      <c r="O401" s="232"/>
      <c r="P401" s="312"/>
      <c r="Q401" s="312"/>
      <c r="R401" s="312"/>
      <c r="S401" s="312"/>
      <c r="T401" s="312"/>
      <c r="U401" s="312"/>
    </row>
    <row r="402">
      <c r="A402" s="508" t="s">
        <v>23926</v>
      </c>
      <c r="B402" s="232" t="s">
        <v>23936</v>
      </c>
      <c r="C402" s="509" t="s">
        <v>23937</v>
      </c>
      <c r="D402" s="510"/>
      <c r="E402" s="511"/>
      <c r="F402" s="232" t="s">
        <v>23938</v>
      </c>
      <c r="G402" s="232" t="s">
        <v>507</v>
      </c>
      <c r="H402" s="232">
        <v>8.087931408E9</v>
      </c>
      <c r="I402" s="509" t="s">
        <v>22961</v>
      </c>
      <c r="J402" s="232" t="b">
        <v>0</v>
      </c>
      <c r="K402" s="232" t="s">
        <v>22365</v>
      </c>
      <c r="L402" s="425" t="s">
        <v>23939</v>
      </c>
      <c r="M402" s="511"/>
      <c r="N402" s="232"/>
      <c r="O402" s="232"/>
      <c r="P402" s="312"/>
      <c r="Q402" s="312"/>
      <c r="R402" s="312"/>
      <c r="S402" s="312"/>
      <c r="T402" s="312"/>
      <c r="U402" s="312"/>
    </row>
    <row r="403">
      <c r="A403" s="508" t="s">
        <v>23926</v>
      </c>
      <c r="B403" s="232" t="s">
        <v>23940</v>
      </c>
      <c r="C403" s="509" t="s">
        <v>23941</v>
      </c>
      <c r="D403" s="510" t="s">
        <v>23942</v>
      </c>
      <c r="E403" s="511"/>
      <c r="F403" s="232" t="s">
        <v>23943</v>
      </c>
      <c r="G403" s="232" t="s">
        <v>22564</v>
      </c>
      <c r="H403" s="232">
        <v>9.960980188E9</v>
      </c>
      <c r="I403" s="509" t="s">
        <v>23429</v>
      </c>
      <c r="J403" s="232" t="b">
        <v>0</v>
      </c>
      <c r="K403" s="232"/>
      <c r="L403" s="232"/>
      <c r="M403" s="511"/>
      <c r="N403" s="232"/>
      <c r="O403" s="232"/>
      <c r="P403" s="312"/>
      <c r="Q403" s="312"/>
      <c r="R403" s="312"/>
      <c r="S403" s="312"/>
      <c r="T403" s="312"/>
      <c r="U403" s="312"/>
    </row>
    <row r="404">
      <c r="A404" s="508" t="s">
        <v>23926</v>
      </c>
      <c r="B404" s="232" t="s">
        <v>23944</v>
      </c>
      <c r="C404" s="509" t="s">
        <v>23945</v>
      </c>
      <c r="D404" s="510" t="s">
        <v>23946</v>
      </c>
      <c r="E404" s="511"/>
      <c r="F404" s="232"/>
      <c r="G404" s="232" t="s">
        <v>519</v>
      </c>
      <c r="H404" s="232">
        <v>9.106276547E9</v>
      </c>
      <c r="I404" s="509" t="s">
        <v>23947</v>
      </c>
      <c r="J404" s="232" t="b">
        <v>0</v>
      </c>
      <c r="K404" s="232" t="s">
        <v>22365</v>
      </c>
      <c r="L404" s="232" t="s">
        <v>22422</v>
      </c>
      <c r="M404" s="511"/>
      <c r="N404" s="232"/>
      <c r="O404" s="232"/>
      <c r="P404" s="312"/>
      <c r="Q404" s="312"/>
      <c r="R404" s="312"/>
      <c r="S404" s="312"/>
      <c r="T404" s="312"/>
      <c r="U404" s="312"/>
    </row>
    <row r="405">
      <c r="A405" s="508" t="s">
        <v>23926</v>
      </c>
      <c r="B405" s="232" t="s">
        <v>23948</v>
      </c>
      <c r="C405" s="509" t="s">
        <v>23949</v>
      </c>
      <c r="D405" s="510"/>
      <c r="E405" s="511"/>
      <c r="F405" s="232" t="s">
        <v>23950</v>
      </c>
      <c r="G405" s="232" t="s">
        <v>23951</v>
      </c>
      <c r="H405" s="232">
        <v>9.76469443E9</v>
      </c>
      <c r="I405" s="509" t="s">
        <v>23952</v>
      </c>
      <c r="J405" s="232" t="b">
        <v>0</v>
      </c>
      <c r="K405" s="232" t="s">
        <v>22365</v>
      </c>
      <c r="L405" s="232" t="s">
        <v>23953</v>
      </c>
      <c r="M405" s="511"/>
      <c r="N405" s="232"/>
      <c r="O405" s="232"/>
      <c r="P405" s="312"/>
      <c r="Q405" s="312"/>
      <c r="R405" s="312"/>
      <c r="S405" s="312"/>
      <c r="T405" s="312"/>
      <c r="U405" s="312"/>
    </row>
    <row r="406">
      <c r="A406" s="508" t="s">
        <v>23926</v>
      </c>
      <c r="B406" s="232" t="s">
        <v>23954</v>
      </c>
      <c r="C406" s="509" t="s">
        <v>20139</v>
      </c>
      <c r="D406" s="510" t="s">
        <v>23955</v>
      </c>
      <c r="E406" s="511"/>
      <c r="F406" s="232" t="s">
        <v>23956</v>
      </c>
      <c r="G406" s="232" t="s">
        <v>519</v>
      </c>
      <c r="H406" s="232">
        <v>8.866566667E9</v>
      </c>
      <c r="I406" s="509" t="s">
        <v>23957</v>
      </c>
      <c r="J406" s="232" t="b">
        <v>0</v>
      </c>
      <c r="K406" s="232" t="s">
        <v>334</v>
      </c>
      <c r="L406" s="232"/>
      <c r="M406" s="511"/>
      <c r="N406" s="232"/>
      <c r="O406" s="232"/>
      <c r="P406" s="312"/>
      <c r="Q406" s="312"/>
      <c r="R406" s="312"/>
      <c r="S406" s="312"/>
      <c r="T406" s="312"/>
      <c r="U406" s="312"/>
    </row>
    <row r="407">
      <c r="A407" s="508" t="s">
        <v>23926</v>
      </c>
      <c r="B407" s="232" t="s">
        <v>23958</v>
      </c>
      <c r="C407" s="509" t="s">
        <v>23959</v>
      </c>
      <c r="D407" s="510"/>
      <c r="E407" s="511"/>
      <c r="F407" s="232" t="s">
        <v>23960</v>
      </c>
      <c r="G407" s="232" t="s">
        <v>23961</v>
      </c>
      <c r="H407" s="232">
        <v>7.020514599E9</v>
      </c>
      <c r="I407" s="509" t="s">
        <v>22822</v>
      </c>
      <c r="J407" s="232" t="b">
        <v>0</v>
      </c>
      <c r="K407" s="232"/>
      <c r="L407" s="232"/>
      <c r="M407" s="511"/>
      <c r="N407" s="232"/>
      <c r="O407" s="232"/>
      <c r="P407" s="312"/>
      <c r="Q407" s="312"/>
      <c r="R407" s="312"/>
      <c r="S407" s="312"/>
      <c r="T407" s="312"/>
      <c r="U407" s="312"/>
    </row>
    <row r="408">
      <c r="A408" s="508" t="s">
        <v>23926</v>
      </c>
      <c r="B408" s="232" t="s">
        <v>23962</v>
      </c>
      <c r="C408" s="509" t="s">
        <v>23963</v>
      </c>
      <c r="D408" s="510" t="s">
        <v>23964</v>
      </c>
      <c r="E408" s="511"/>
      <c r="F408" s="232" t="s">
        <v>23965</v>
      </c>
      <c r="G408" s="232" t="s">
        <v>22337</v>
      </c>
      <c r="H408" s="232">
        <v>7.854082657E9</v>
      </c>
      <c r="I408" s="509" t="s">
        <v>23966</v>
      </c>
      <c r="J408" s="232" t="b">
        <v>0</v>
      </c>
      <c r="K408" s="232" t="s">
        <v>22365</v>
      </c>
      <c r="L408" s="232" t="s">
        <v>23901</v>
      </c>
      <c r="M408" s="511"/>
      <c r="N408" s="232"/>
      <c r="O408" s="232"/>
      <c r="P408" s="312"/>
      <c r="Q408" s="312"/>
      <c r="R408" s="312"/>
      <c r="S408" s="312"/>
      <c r="T408" s="312"/>
      <c r="U408" s="312"/>
    </row>
    <row r="409">
      <c r="A409" s="508" t="s">
        <v>23926</v>
      </c>
      <c r="B409" s="232" t="s">
        <v>23967</v>
      </c>
      <c r="C409" s="509" t="s">
        <v>23968</v>
      </c>
      <c r="D409" s="510" t="s">
        <v>23969</v>
      </c>
      <c r="E409" s="511"/>
      <c r="F409" s="232" t="s">
        <v>23970</v>
      </c>
      <c r="G409" s="232" t="s">
        <v>49</v>
      </c>
      <c r="H409" s="232">
        <v>8.509417489E9</v>
      </c>
      <c r="I409" s="509" t="s">
        <v>23971</v>
      </c>
      <c r="J409" s="232" t="b">
        <v>0</v>
      </c>
      <c r="K409" s="232" t="s">
        <v>22365</v>
      </c>
      <c r="L409" s="232" t="s">
        <v>22422</v>
      </c>
      <c r="M409" s="511"/>
      <c r="N409" s="232"/>
      <c r="O409" s="232"/>
      <c r="P409" s="312"/>
      <c r="Q409" s="312"/>
      <c r="R409" s="312"/>
      <c r="S409" s="312"/>
      <c r="T409" s="312"/>
      <c r="U409" s="312"/>
    </row>
    <row r="410">
      <c r="A410" s="508" t="s">
        <v>23926</v>
      </c>
      <c r="B410" s="232" t="s">
        <v>23972</v>
      </c>
      <c r="C410" s="509" t="s">
        <v>23973</v>
      </c>
      <c r="D410" s="510" t="s">
        <v>23974</v>
      </c>
      <c r="E410" s="511"/>
      <c r="F410" s="232" t="s">
        <v>23975</v>
      </c>
      <c r="G410" s="232" t="s">
        <v>2882</v>
      </c>
      <c r="H410" s="232">
        <v>8.373919492E9</v>
      </c>
      <c r="I410" s="509" t="s">
        <v>23976</v>
      </c>
      <c r="J410" s="232" t="b">
        <v>0</v>
      </c>
      <c r="K410" s="232" t="s">
        <v>22349</v>
      </c>
      <c r="L410" s="232" t="s">
        <v>23977</v>
      </c>
      <c r="M410" s="511"/>
      <c r="N410" s="232"/>
      <c r="O410" s="232"/>
      <c r="P410" s="312"/>
      <c r="Q410" s="312"/>
      <c r="R410" s="312"/>
      <c r="S410" s="312"/>
      <c r="T410" s="312"/>
      <c r="U410" s="312"/>
    </row>
    <row r="411">
      <c r="A411" s="508" t="s">
        <v>23978</v>
      </c>
      <c r="B411" s="232" t="s">
        <v>23979</v>
      </c>
      <c r="C411" s="509" t="s">
        <v>23980</v>
      </c>
      <c r="D411" s="510"/>
      <c r="E411" s="511"/>
      <c r="F411" s="232"/>
      <c r="G411" s="232" t="s">
        <v>23981</v>
      </c>
      <c r="H411" s="232">
        <v>6.28924211E9</v>
      </c>
      <c r="I411" s="509" t="s">
        <v>23871</v>
      </c>
      <c r="J411" s="232" t="b">
        <v>0</v>
      </c>
      <c r="K411" s="232" t="s">
        <v>22365</v>
      </c>
      <c r="L411" s="232" t="s">
        <v>23982</v>
      </c>
      <c r="M411" s="511"/>
      <c r="N411" s="232"/>
      <c r="O411" s="232"/>
      <c r="P411" s="312"/>
      <c r="Q411" s="312"/>
      <c r="R411" s="312"/>
      <c r="S411" s="312"/>
      <c r="T411" s="312"/>
      <c r="U411" s="312"/>
    </row>
    <row r="412">
      <c r="A412" s="508" t="s">
        <v>23978</v>
      </c>
      <c r="B412" s="232" t="s">
        <v>23983</v>
      </c>
      <c r="C412" s="509" t="s">
        <v>23984</v>
      </c>
      <c r="D412" s="510" t="s">
        <v>23985</v>
      </c>
      <c r="E412" s="511"/>
      <c r="F412" s="232" t="s">
        <v>23986</v>
      </c>
      <c r="G412" s="232" t="s">
        <v>23512</v>
      </c>
      <c r="H412" s="232">
        <v>9.09946059E9</v>
      </c>
      <c r="I412" s="509" t="s">
        <v>23987</v>
      </c>
      <c r="J412" s="232" t="b">
        <v>0</v>
      </c>
      <c r="K412" s="232" t="s">
        <v>22365</v>
      </c>
      <c r="L412" s="232" t="s">
        <v>22509</v>
      </c>
      <c r="M412" s="511"/>
      <c r="N412" s="232"/>
      <c r="O412" s="232"/>
      <c r="P412" s="312"/>
      <c r="Q412" s="312"/>
      <c r="R412" s="312"/>
      <c r="S412" s="312"/>
      <c r="T412" s="312"/>
      <c r="U412" s="312"/>
    </row>
    <row r="413">
      <c r="A413" s="508" t="s">
        <v>23978</v>
      </c>
      <c r="B413" s="232" t="s">
        <v>23988</v>
      </c>
      <c r="C413" s="509" t="s">
        <v>23989</v>
      </c>
      <c r="D413" s="510" t="s">
        <v>23990</v>
      </c>
      <c r="E413" s="511"/>
      <c r="F413" s="232" t="s">
        <v>23991</v>
      </c>
      <c r="G413" s="232" t="s">
        <v>22693</v>
      </c>
      <c r="H413" s="232">
        <v>-9.442647171E9</v>
      </c>
      <c r="I413" s="509" t="s">
        <v>23992</v>
      </c>
      <c r="J413" s="232" t="b">
        <v>0</v>
      </c>
      <c r="K413" s="232" t="s">
        <v>12092</v>
      </c>
      <c r="L413" s="232"/>
      <c r="M413" s="511"/>
      <c r="N413" s="232"/>
      <c r="O413" s="232"/>
      <c r="P413" s="312"/>
      <c r="Q413" s="312"/>
      <c r="R413" s="312"/>
      <c r="S413" s="312"/>
      <c r="T413" s="312"/>
      <c r="U413" s="312"/>
    </row>
    <row r="414">
      <c r="A414" s="508" t="s">
        <v>23978</v>
      </c>
      <c r="B414" s="232" t="s">
        <v>23993</v>
      </c>
      <c r="C414" s="509" t="s">
        <v>23994</v>
      </c>
      <c r="D414" s="510"/>
      <c r="E414" s="511"/>
      <c r="F414" s="232"/>
      <c r="G414" s="232" t="s">
        <v>467</v>
      </c>
      <c r="H414" s="232">
        <v>9.41148235E9</v>
      </c>
      <c r="I414" s="512" t="s">
        <v>23995</v>
      </c>
      <c r="J414" s="232" t="b">
        <v>0</v>
      </c>
      <c r="K414" s="232" t="s">
        <v>22365</v>
      </c>
      <c r="L414" s="232" t="s">
        <v>23996</v>
      </c>
      <c r="M414" s="511"/>
      <c r="N414" s="232"/>
      <c r="O414" s="232"/>
      <c r="P414" s="312"/>
      <c r="Q414" s="312"/>
      <c r="R414" s="312"/>
      <c r="S414" s="312"/>
      <c r="T414" s="312"/>
      <c r="U414" s="312"/>
    </row>
    <row r="415">
      <c r="A415" s="508" t="s">
        <v>23978</v>
      </c>
      <c r="B415" s="232" t="s">
        <v>23997</v>
      </c>
      <c r="C415" s="509" t="s">
        <v>23998</v>
      </c>
      <c r="D415" s="510"/>
      <c r="E415" s="511"/>
      <c r="F415" s="232"/>
      <c r="G415" s="232" t="s">
        <v>507</v>
      </c>
      <c r="H415" s="232">
        <v>7.506166567E9</v>
      </c>
      <c r="I415" s="509" t="s">
        <v>22289</v>
      </c>
      <c r="J415" s="232" t="b">
        <v>0</v>
      </c>
      <c r="K415" s="232" t="s">
        <v>22365</v>
      </c>
      <c r="L415" s="232"/>
      <c r="M415" s="511"/>
      <c r="N415" s="232"/>
      <c r="O415" s="232"/>
      <c r="P415" s="312"/>
      <c r="Q415" s="312"/>
      <c r="R415" s="312"/>
      <c r="S415" s="312"/>
      <c r="T415" s="312"/>
      <c r="U415" s="312"/>
    </row>
    <row r="416">
      <c r="A416" s="508" t="s">
        <v>23978</v>
      </c>
      <c r="B416" s="232" t="s">
        <v>23999</v>
      </c>
      <c r="C416" s="509" t="s">
        <v>3173</v>
      </c>
      <c r="D416" s="510"/>
      <c r="E416" s="511"/>
      <c r="F416" s="232" t="s">
        <v>24000</v>
      </c>
      <c r="G416" s="232" t="s">
        <v>507</v>
      </c>
      <c r="H416" s="232">
        <v>8.108739845E9</v>
      </c>
      <c r="I416" s="509" t="s">
        <v>23661</v>
      </c>
      <c r="J416" s="232" t="b">
        <v>0</v>
      </c>
      <c r="K416" s="232" t="s">
        <v>12092</v>
      </c>
      <c r="L416" s="232"/>
      <c r="M416" s="511"/>
      <c r="N416" s="232"/>
      <c r="O416" s="232"/>
      <c r="P416" s="312"/>
      <c r="Q416" s="312"/>
      <c r="R416" s="312"/>
      <c r="S416" s="312"/>
      <c r="T416" s="312"/>
      <c r="U416" s="312"/>
    </row>
    <row r="417">
      <c r="A417" s="508" t="s">
        <v>23978</v>
      </c>
      <c r="B417" s="232" t="s">
        <v>24001</v>
      </c>
      <c r="C417" s="509" t="s">
        <v>24002</v>
      </c>
      <c r="D417" s="510" t="s">
        <v>24003</v>
      </c>
      <c r="E417" s="511"/>
      <c r="F417" s="232"/>
      <c r="G417" s="232" t="s">
        <v>24004</v>
      </c>
      <c r="H417" s="232">
        <v>7.029227361E9</v>
      </c>
      <c r="I417" s="509" t="s">
        <v>22373</v>
      </c>
      <c r="J417" s="232" t="b">
        <v>0</v>
      </c>
      <c r="K417" s="232" t="s">
        <v>22365</v>
      </c>
      <c r="L417" s="232" t="s">
        <v>22801</v>
      </c>
      <c r="M417" s="511"/>
      <c r="N417" s="232"/>
      <c r="O417" s="232"/>
      <c r="P417" s="312"/>
      <c r="Q417" s="312"/>
      <c r="R417" s="312"/>
      <c r="S417" s="312"/>
      <c r="T417" s="312"/>
      <c r="U417" s="312"/>
    </row>
    <row r="418">
      <c r="A418" s="508" t="s">
        <v>23978</v>
      </c>
      <c r="B418" s="232" t="s">
        <v>24005</v>
      </c>
      <c r="C418" s="509" t="s">
        <v>24006</v>
      </c>
      <c r="D418" s="510"/>
      <c r="E418" s="511"/>
      <c r="F418" s="232"/>
      <c r="G418" s="232" t="s">
        <v>519</v>
      </c>
      <c r="H418" s="232">
        <v>9.664724658E9</v>
      </c>
      <c r="I418" s="509" t="s">
        <v>22961</v>
      </c>
      <c r="J418" s="232" t="b">
        <v>0</v>
      </c>
      <c r="K418" s="232" t="s">
        <v>22365</v>
      </c>
      <c r="L418" s="232" t="s">
        <v>22611</v>
      </c>
      <c r="M418" s="511"/>
      <c r="N418" s="232"/>
      <c r="O418" s="232"/>
      <c r="P418" s="312"/>
      <c r="Q418" s="312"/>
      <c r="R418" s="312"/>
      <c r="S418" s="312"/>
      <c r="T418" s="312"/>
      <c r="U418" s="312"/>
    </row>
    <row r="419">
      <c r="A419" s="508" t="s">
        <v>23978</v>
      </c>
      <c r="B419" s="232" t="s">
        <v>24007</v>
      </c>
      <c r="C419" s="509" t="s">
        <v>24008</v>
      </c>
      <c r="D419" s="510" t="s">
        <v>24009</v>
      </c>
      <c r="E419" s="511"/>
      <c r="F419" s="232" t="s">
        <v>24010</v>
      </c>
      <c r="G419" s="232" t="s">
        <v>507</v>
      </c>
      <c r="H419" s="232">
        <v>8.291245292E9</v>
      </c>
      <c r="I419" s="509" t="s">
        <v>22822</v>
      </c>
      <c r="J419" s="232" t="b">
        <v>0</v>
      </c>
      <c r="K419" s="232" t="s">
        <v>22365</v>
      </c>
      <c r="L419" s="232" t="s">
        <v>22451</v>
      </c>
      <c r="M419" s="511"/>
      <c r="N419" s="232"/>
      <c r="O419" s="232"/>
      <c r="P419" s="312"/>
      <c r="Q419" s="312"/>
      <c r="R419" s="312"/>
      <c r="S419" s="312"/>
      <c r="T419" s="312"/>
      <c r="U419" s="312"/>
    </row>
    <row r="420">
      <c r="A420" s="508" t="s">
        <v>23978</v>
      </c>
      <c r="B420" s="232" t="s">
        <v>24011</v>
      </c>
      <c r="C420" s="509" t="s">
        <v>24012</v>
      </c>
      <c r="D420" s="510" t="s">
        <v>24013</v>
      </c>
      <c r="E420" s="511"/>
      <c r="F420" s="232" t="s">
        <v>24014</v>
      </c>
      <c r="G420" s="232" t="s">
        <v>23512</v>
      </c>
      <c r="H420" s="232">
        <v>-7.048511034E9</v>
      </c>
      <c r="I420" s="509" t="s">
        <v>23594</v>
      </c>
      <c r="J420" s="232" t="b">
        <v>0</v>
      </c>
      <c r="K420" s="232"/>
      <c r="L420" s="232"/>
      <c r="M420" s="511"/>
      <c r="N420" s="232"/>
      <c r="O420" s="232"/>
      <c r="P420" s="312"/>
      <c r="Q420" s="312"/>
      <c r="R420" s="312"/>
      <c r="S420" s="312"/>
      <c r="T420" s="312"/>
      <c r="U420" s="312"/>
    </row>
    <row r="421">
      <c r="A421" s="513" t="s">
        <v>23978</v>
      </c>
      <c r="B421" s="514" t="s">
        <v>24015</v>
      </c>
      <c r="C421" s="515" t="s">
        <v>24016</v>
      </c>
      <c r="D421" s="516" t="s">
        <v>24017</v>
      </c>
      <c r="E421" s="517"/>
      <c r="F421" s="514" t="s">
        <v>24018</v>
      </c>
      <c r="G421" s="514" t="s">
        <v>23512</v>
      </c>
      <c r="H421" s="514">
        <v>9.724829787E9</v>
      </c>
      <c r="I421" s="515" t="s">
        <v>24019</v>
      </c>
      <c r="J421" s="514" t="b">
        <v>0</v>
      </c>
      <c r="K421" s="514" t="s">
        <v>22312</v>
      </c>
      <c r="L421" s="514" t="s">
        <v>24020</v>
      </c>
      <c r="M421" s="511"/>
      <c r="N421" s="232"/>
      <c r="O421" s="232"/>
      <c r="P421" s="312"/>
      <c r="Q421" s="312"/>
      <c r="R421" s="312"/>
      <c r="S421" s="312"/>
      <c r="T421" s="312"/>
      <c r="U421" s="312"/>
    </row>
    <row r="422">
      <c r="A422" s="508" t="s">
        <v>23978</v>
      </c>
      <c r="B422" s="232" t="s">
        <v>24021</v>
      </c>
      <c r="C422" s="509" t="s">
        <v>24022</v>
      </c>
      <c r="D422" s="510" t="s">
        <v>24023</v>
      </c>
      <c r="E422" s="511"/>
      <c r="F422" s="232"/>
      <c r="G422" s="232" t="s">
        <v>22479</v>
      </c>
      <c r="H422" s="232">
        <v>8.948508083E9</v>
      </c>
      <c r="I422" s="509" t="s">
        <v>22577</v>
      </c>
      <c r="J422" s="232" t="b">
        <v>0</v>
      </c>
      <c r="K422" s="232" t="s">
        <v>334</v>
      </c>
      <c r="L422" s="232"/>
      <c r="M422" s="511"/>
      <c r="N422" s="232"/>
      <c r="O422" s="232"/>
      <c r="P422" s="312"/>
      <c r="Q422" s="312"/>
      <c r="R422" s="312"/>
      <c r="S422" s="312"/>
      <c r="T422" s="312"/>
      <c r="U422" s="312"/>
    </row>
    <row r="423">
      <c r="A423" s="508" t="s">
        <v>23978</v>
      </c>
      <c r="B423" s="232" t="s">
        <v>24024</v>
      </c>
      <c r="C423" s="509" t="s">
        <v>24025</v>
      </c>
      <c r="D423" s="510" t="s">
        <v>24026</v>
      </c>
      <c r="E423" s="511"/>
      <c r="F423" s="232" t="s">
        <v>24027</v>
      </c>
      <c r="G423" s="232" t="s">
        <v>24028</v>
      </c>
      <c r="H423" s="232">
        <v>9.605664488E9</v>
      </c>
      <c r="I423" s="509" t="s">
        <v>24029</v>
      </c>
      <c r="J423" s="232" t="b">
        <v>0</v>
      </c>
      <c r="K423" s="232" t="s">
        <v>22365</v>
      </c>
      <c r="L423" s="232" t="s">
        <v>24030</v>
      </c>
      <c r="M423" s="511"/>
      <c r="N423" s="232"/>
      <c r="O423" s="232"/>
      <c r="P423" s="312"/>
      <c r="Q423" s="312"/>
      <c r="R423" s="312"/>
      <c r="S423" s="312"/>
      <c r="T423" s="312"/>
      <c r="U423" s="312"/>
    </row>
    <row r="424">
      <c r="A424" s="508" t="s">
        <v>23978</v>
      </c>
      <c r="B424" s="232" t="s">
        <v>24031</v>
      </c>
      <c r="C424" s="509" t="s">
        <v>24032</v>
      </c>
      <c r="D424" s="510" t="s">
        <v>24033</v>
      </c>
      <c r="E424" s="511"/>
      <c r="F424" s="232" t="s">
        <v>24034</v>
      </c>
      <c r="G424" s="232" t="s">
        <v>467</v>
      </c>
      <c r="H424" s="232">
        <v>9.457872334E9</v>
      </c>
      <c r="I424" s="509" t="s">
        <v>24035</v>
      </c>
      <c r="J424" s="232" t="b">
        <v>0</v>
      </c>
      <c r="K424" s="232" t="s">
        <v>334</v>
      </c>
      <c r="L424" s="232"/>
      <c r="M424" s="511"/>
      <c r="N424" s="232"/>
      <c r="O424" s="232"/>
      <c r="P424" s="312"/>
      <c r="Q424" s="312"/>
      <c r="R424" s="312"/>
      <c r="S424" s="312"/>
      <c r="T424" s="312"/>
      <c r="U424" s="312"/>
    </row>
    <row r="425">
      <c r="A425" s="508" t="s">
        <v>23978</v>
      </c>
      <c r="B425" s="232" t="s">
        <v>24036</v>
      </c>
      <c r="C425" s="509" t="s">
        <v>24037</v>
      </c>
      <c r="D425" s="510"/>
      <c r="E425" s="511"/>
      <c r="F425" s="232"/>
      <c r="G425" s="232" t="s">
        <v>467</v>
      </c>
      <c r="H425" s="232">
        <v>9.719815063E9</v>
      </c>
      <c r="I425" s="509" t="s">
        <v>22577</v>
      </c>
      <c r="J425" s="232" t="b">
        <v>0</v>
      </c>
      <c r="K425" s="232" t="s">
        <v>22365</v>
      </c>
      <c r="L425" s="232" t="s">
        <v>22422</v>
      </c>
      <c r="M425" s="511"/>
      <c r="N425" s="232"/>
      <c r="O425" s="232"/>
      <c r="P425" s="312"/>
      <c r="Q425" s="312"/>
      <c r="R425" s="312"/>
      <c r="S425" s="312"/>
      <c r="T425" s="312"/>
      <c r="U425" s="312"/>
    </row>
    <row r="426">
      <c r="A426" s="508" t="s">
        <v>23978</v>
      </c>
      <c r="B426" s="232" t="s">
        <v>24038</v>
      </c>
      <c r="C426" s="509" t="s">
        <v>24039</v>
      </c>
      <c r="D426" s="510" t="s">
        <v>24040</v>
      </c>
      <c r="E426" s="511"/>
      <c r="F426" s="232" t="s">
        <v>24041</v>
      </c>
      <c r="G426" s="232" t="s">
        <v>22687</v>
      </c>
      <c r="H426" s="232">
        <v>8.810272024E9</v>
      </c>
      <c r="I426" s="509" t="s">
        <v>22605</v>
      </c>
      <c r="J426" s="232" t="b">
        <v>0</v>
      </c>
      <c r="K426" s="232" t="s">
        <v>22365</v>
      </c>
      <c r="L426" s="232" t="s">
        <v>23537</v>
      </c>
      <c r="M426" s="511"/>
      <c r="N426" s="232"/>
      <c r="O426" s="232"/>
      <c r="P426" s="312"/>
      <c r="Q426" s="312"/>
      <c r="R426" s="312"/>
      <c r="S426" s="312"/>
      <c r="T426" s="312"/>
      <c r="U426" s="312"/>
    </row>
    <row r="427">
      <c r="A427" s="508" t="s">
        <v>23978</v>
      </c>
      <c r="B427" s="232" t="s">
        <v>24042</v>
      </c>
      <c r="C427" s="509" t="s">
        <v>24043</v>
      </c>
      <c r="D427" s="510" t="s">
        <v>24044</v>
      </c>
      <c r="E427" s="511"/>
      <c r="F427" s="232" t="s">
        <v>24045</v>
      </c>
      <c r="G427" s="232" t="s">
        <v>24046</v>
      </c>
      <c r="H427" s="232">
        <v>8.00861601E9</v>
      </c>
      <c r="I427" s="509" t="s">
        <v>24047</v>
      </c>
      <c r="J427" s="232" t="b">
        <v>0</v>
      </c>
      <c r="K427" s="232" t="s">
        <v>12092</v>
      </c>
      <c r="L427" s="232"/>
      <c r="M427" s="511"/>
      <c r="N427" s="232"/>
      <c r="O427" s="232"/>
      <c r="P427" s="312"/>
      <c r="Q427" s="312"/>
      <c r="R427" s="312"/>
      <c r="S427" s="312"/>
      <c r="T427" s="312"/>
      <c r="U427" s="312"/>
    </row>
    <row r="428">
      <c r="A428" s="508" t="s">
        <v>23978</v>
      </c>
      <c r="B428" s="232" t="s">
        <v>24048</v>
      </c>
      <c r="C428" s="509" t="s">
        <v>24049</v>
      </c>
      <c r="D428" s="510"/>
      <c r="E428" s="511"/>
      <c r="F428" s="232"/>
      <c r="G428" s="232" t="s">
        <v>398</v>
      </c>
      <c r="H428" s="232">
        <v>9.993798707E9</v>
      </c>
      <c r="I428" s="509" t="s">
        <v>22278</v>
      </c>
      <c r="J428" s="232" t="b">
        <v>0</v>
      </c>
      <c r="K428" s="232" t="s">
        <v>22365</v>
      </c>
      <c r="L428" s="232" t="s">
        <v>22422</v>
      </c>
      <c r="M428" s="511"/>
      <c r="N428" s="232"/>
      <c r="O428" s="232"/>
      <c r="P428" s="312"/>
      <c r="Q428" s="312"/>
      <c r="R428" s="312"/>
      <c r="S428" s="312"/>
      <c r="T428" s="312"/>
      <c r="U428" s="312"/>
    </row>
    <row r="429">
      <c r="A429" s="508" t="s">
        <v>23978</v>
      </c>
      <c r="B429" s="232" t="s">
        <v>24050</v>
      </c>
      <c r="C429" s="509" t="s">
        <v>24051</v>
      </c>
      <c r="D429" s="510"/>
      <c r="E429" s="511"/>
      <c r="F429" s="232"/>
      <c r="G429" s="232" t="s">
        <v>23394</v>
      </c>
      <c r="H429" s="232">
        <v>9.746464516E9</v>
      </c>
      <c r="I429" s="509" t="s">
        <v>24052</v>
      </c>
      <c r="J429" s="232" t="b">
        <v>0</v>
      </c>
      <c r="K429" s="232"/>
      <c r="L429" s="232"/>
      <c r="M429" s="511"/>
      <c r="N429" s="232"/>
      <c r="O429" s="232"/>
      <c r="P429" s="312"/>
      <c r="Q429" s="312"/>
      <c r="R429" s="312"/>
      <c r="S429" s="312"/>
      <c r="T429" s="312"/>
      <c r="U429" s="312"/>
    </row>
    <row r="430">
      <c r="A430" s="508" t="s">
        <v>24053</v>
      </c>
      <c r="B430" s="232" t="s">
        <v>24054</v>
      </c>
      <c r="C430" s="509" t="s">
        <v>24055</v>
      </c>
      <c r="D430" s="510"/>
      <c r="E430" s="511"/>
      <c r="F430" s="232"/>
      <c r="G430" s="232" t="s">
        <v>22693</v>
      </c>
      <c r="H430" s="232">
        <v>9.087292696E9</v>
      </c>
      <c r="I430" s="509" t="s">
        <v>24056</v>
      </c>
      <c r="J430" s="232" t="b">
        <v>0</v>
      </c>
      <c r="K430" s="232" t="s">
        <v>334</v>
      </c>
      <c r="L430" s="232"/>
      <c r="M430" s="511"/>
      <c r="N430" s="232"/>
      <c r="O430" s="232"/>
      <c r="P430" s="312"/>
      <c r="Q430" s="312"/>
      <c r="R430" s="312"/>
      <c r="S430" s="312"/>
      <c r="T430" s="312"/>
      <c r="U430" s="312"/>
    </row>
    <row r="431">
      <c r="A431" s="508" t="s">
        <v>24053</v>
      </c>
      <c r="B431" s="232" t="s">
        <v>24057</v>
      </c>
      <c r="C431" s="509" t="s">
        <v>24058</v>
      </c>
      <c r="D431" s="510"/>
      <c r="E431" s="511"/>
      <c r="F431" s="232" t="s">
        <v>24059</v>
      </c>
      <c r="G431" s="232" t="s">
        <v>22724</v>
      </c>
      <c r="H431" s="232">
        <v>9.631292988E9</v>
      </c>
      <c r="I431" s="509" t="s">
        <v>24060</v>
      </c>
      <c r="J431" s="232" t="b">
        <v>0</v>
      </c>
      <c r="K431" s="232" t="s">
        <v>12092</v>
      </c>
      <c r="L431" s="232"/>
      <c r="M431" s="511"/>
      <c r="N431" s="232"/>
      <c r="O431" s="232"/>
      <c r="P431" s="312"/>
      <c r="Q431" s="312"/>
      <c r="R431" s="312"/>
      <c r="S431" s="312"/>
      <c r="T431" s="312"/>
      <c r="U431" s="312"/>
    </row>
    <row r="432">
      <c r="A432" s="508" t="s">
        <v>24053</v>
      </c>
      <c r="B432" s="232" t="s">
        <v>24061</v>
      </c>
      <c r="C432" s="509" t="s">
        <v>24062</v>
      </c>
      <c r="D432" s="510"/>
      <c r="E432" s="511"/>
      <c r="F432" s="232"/>
      <c r="G432" s="232" t="s">
        <v>22479</v>
      </c>
      <c r="H432" s="232">
        <v>7.900971286E9</v>
      </c>
      <c r="I432" s="509" t="s">
        <v>22289</v>
      </c>
      <c r="J432" s="232" t="b">
        <v>0</v>
      </c>
      <c r="K432" s="232" t="s">
        <v>22365</v>
      </c>
      <c r="L432" s="232"/>
      <c r="M432" s="511"/>
      <c r="N432" s="232"/>
      <c r="O432" s="232"/>
      <c r="P432" s="312"/>
      <c r="Q432" s="312"/>
      <c r="R432" s="312"/>
      <c r="S432" s="312"/>
      <c r="T432" s="312"/>
      <c r="U432" s="312"/>
    </row>
    <row r="433">
      <c r="A433" s="508" t="s">
        <v>24053</v>
      </c>
      <c r="B433" s="232" t="s">
        <v>24063</v>
      </c>
      <c r="C433" s="509" t="s">
        <v>24064</v>
      </c>
      <c r="D433" s="510" t="s">
        <v>24065</v>
      </c>
      <c r="E433" s="511"/>
      <c r="F433" s="232" t="s">
        <v>24066</v>
      </c>
      <c r="G433" s="232" t="s">
        <v>22479</v>
      </c>
      <c r="H433" s="232">
        <v>9.999661992E9</v>
      </c>
      <c r="I433" s="509" t="s">
        <v>22373</v>
      </c>
      <c r="J433" s="232" t="b">
        <v>0</v>
      </c>
      <c r="K433" s="232" t="s">
        <v>22365</v>
      </c>
      <c r="L433" s="232" t="s">
        <v>24067</v>
      </c>
      <c r="M433" s="511"/>
      <c r="N433" s="232"/>
      <c r="O433" s="232"/>
      <c r="P433" s="312"/>
      <c r="Q433" s="312"/>
      <c r="R433" s="312"/>
      <c r="S433" s="312"/>
      <c r="T433" s="312"/>
      <c r="U433" s="312"/>
    </row>
    <row r="434">
      <c r="A434" s="508" t="s">
        <v>24053</v>
      </c>
      <c r="B434" s="232" t="s">
        <v>24068</v>
      </c>
      <c r="C434" s="509" t="s">
        <v>24069</v>
      </c>
      <c r="D434" s="510"/>
      <c r="E434" s="511"/>
      <c r="F434" s="232" t="s">
        <v>24070</v>
      </c>
      <c r="G434" s="232" t="s">
        <v>22507</v>
      </c>
      <c r="H434" s="232">
        <v>8.925658228E9</v>
      </c>
      <c r="I434" s="509" t="s">
        <v>24071</v>
      </c>
      <c r="J434" s="232" t="b">
        <v>0</v>
      </c>
      <c r="K434" s="232" t="s">
        <v>334</v>
      </c>
      <c r="L434" s="232"/>
      <c r="M434" s="511"/>
      <c r="N434" s="232"/>
      <c r="O434" s="232"/>
      <c r="P434" s="312"/>
      <c r="Q434" s="312"/>
      <c r="R434" s="312"/>
      <c r="S434" s="312"/>
      <c r="T434" s="312"/>
      <c r="U434" s="312"/>
    </row>
    <row r="435">
      <c r="A435" s="508" t="s">
        <v>24053</v>
      </c>
      <c r="B435" s="232" t="s">
        <v>24072</v>
      </c>
      <c r="C435" s="509" t="s">
        <v>24073</v>
      </c>
      <c r="D435" s="510"/>
      <c r="E435" s="511"/>
      <c r="F435" s="232" t="s">
        <v>24074</v>
      </c>
      <c r="G435" s="232" t="s">
        <v>467</v>
      </c>
      <c r="H435" s="232">
        <v>7.75383851E9</v>
      </c>
      <c r="I435" s="509" t="s">
        <v>24075</v>
      </c>
      <c r="J435" s="232" t="b">
        <v>0</v>
      </c>
      <c r="K435" s="232" t="s">
        <v>22355</v>
      </c>
      <c r="L435" s="232"/>
      <c r="M435" s="511"/>
      <c r="N435" s="232"/>
      <c r="O435" s="232"/>
      <c r="P435" s="312"/>
      <c r="Q435" s="312"/>
      <c r="R435" s="312"/>
      <c r="S435" s="312"/>
      <c r="T435" s="312"/>
      <c r="U435" s="312"/>
    </row>
    <row r="436">
      <c r="A436" s="508" t="s">
        <v>24053</v>
      </c>
      <c r="B436" s="232" t="s">
        <v>24076</v>
      </c>
      <c r="C436" s="509" t="s">
        <v>24077</v>
      </c>
      <c r="D436" s="510"/>
      <c r="E436" s="511"/>
      <c r="F436" s="232"/>
      <c r="G436" s="232" t="s">
        <v>24078</v>
      </c>
      <c r="H436" s="232">
        <v>8.340698758E9</v>
      </c>
      <c r="I436" s="509" t="s">
        <v>22678</v>
      </c>
      <c r="J436" s="232" t="b">
        <v>0</v>
      </c>
      <c r="K436" s="232" t="s">
        <v>12092</v>
      </c>
      <c r="L436" s="232"/>
      <c r="M436" s="511"/>
      <c r="N436" s="232"/>
      <c r="O436" s="232"/>
      <c r="P436" s="312"/>
      <c r="Q436" s="312"/>
      <c r="R436" s="312"/>
      <c r="S436" s="312"/>
      <c r="T436" s="312"/>
      <c r="U436" s="312"/>
    </row>
    <row r="437">
      <c r="A437" s="508" t="s">
        <v>24053</v>
      </c>
      <c r="B437" s="232" t="s">
        <v>24079</v>
      </c>
      <c r="C437" s="509" t="s">
        <v>24080</v>
      </c>
      <c r="D437" s="510"/>
      <c r="E437" s="511"/>
      <c r="F437" s="232"/>
      <c r="G437" s="232" t="s">
        <v>22724</v>
      </c>
      <c r="H437" s="232">
        <v>9.771107902E9</v>
      </c>
      <c r="I437" s="509" t="s">
        <v>24081</v>
      </c>
      <c r="J437" s="232" t="b">
        <v>0</v>
      </c>
      <c r="K437" s="232" t="s">
        <v>22365</v>
      </c>
      <c r="L437" s="232" t="s">
        <v>22422</v>
      </c>
      <c r="M437" s="511"/>
      <c r="N437" s="232"/>
      <c r="O437" s="232"/>
      <c r="P437" s="312"/>
      <c r="Q437" s="312"/>
      <c r="R437" s="312"/>
      <c r="S437" s="312"/>
      <c r="T437" s="312"/>
      <c r="U437" s="312"/>
    </row>
    <row r="438">
      <c r="A438" s="508" t="s">
        <v>24053</v>
      </c>
      <c r="B438" s="232" t="s">
        <v>24082</v>
      </c>
      <c r="C438" s="509" t="s">
        <v>24083</v>
      </c>
      <c r="D438" s="510"/>
      <c r="E438" s="511"/>
      <c r="F438" s="232" t="s">
        <v>24084</v>
      </c>
      <c r="G438" s="232" t="s">
        <v>467</v>
      </c>
      <c r="H438" s="232">
        <v>9.354742539E9</v>
      </c>
      <c r="I438" s="509" t="s">
        <v>22577</v>
      </c>
      <c r="J438" s="232" t="b">
        <v>0</v>
      </c>
      <c r="K438" s="232" t="s">
        <v>12092</v>
      </c>
      <c r="L438" s="232"/>
      <c r="M438" s="511"/>
      <c r="N438" s="232"/>
      <c r="O438" s="232"/>
      <c r="P438" s="312"/>
      <c r="Q438" s="312"/>
      <c r="R438" s="312"/>
      <c r="S438" s="312"/>
      <c r="T438" s="312"/>
      <c r="U438" s="312"/>
    </row>
    <row r="439">
      <c r="A439" s="508" t="s">
        <v>24053</v>
      </c>
      <c r="B439" s="232" t="s">
        <v>24085</v>
      </c>
      <c r="C439" s="509" t="s">
        <v>24086</v>
      </c>
      <c r="D439" s="510"/>
      <c r="E439" s="511"/>
      <c r="F439" s="232" t="s">
        <v>24087</v>
      </c>
      <c r="G439" s="232" t="s">
        <v>2882</v>
      </c>
      <c r="H439" s="232">
        <v>9.354200081E9</v>
      </c>
      <c r="I439" s="509" t="s">
        <v>24088</v>
      </c>
      <c r="J439" s="232" t="b">
        <v>0</v>
      </c>
      <c r="K439" s="232" t="s">
        <v>22365</v>
      </c>
      <c r="L439" s="232" t="s">
        <v>22422</v>
      </c>
      <c r="M439" s="511"/>
      <c r="N439" s="232"/>
      <c r="O439" s="232"/>
      <c r="P439" s="312"/>
      <c r="Q439" s="312"/>
      <c r="R439" s="312"/>
      <c r="S439" s="312"/>
      <c r="T439" s="312"/>
      <c r="U439" s="312"/>
    </row>
    <row r="440">
      <c r="A440" s="508" t="s">
        <v>24053</v>
      </c>
      <c r="B440" s="232" t="s">
        <v>24089</v>
      </c>
      <c r="C440" s="509" t="s">
        <v>23852</v>
      </c>
      <c r="D440" s="510"/>
      <c r="E440" s="511"/>
      <c r="F440" s="232" t="s">
        <v>23853</v>
      </c>
      <c r="G440" s="232" t="s">
        <v>22687</v>
      </c>
      <c r="H440" s="232">
        <v>9.958270229E9</v>
      </c>
      <c r="I440" s="509" t="s">
        <v>23854</v>
      </c>
      <c r="J440" s="232" t="b">
        <v>0</v>
      </c>
      <c r="K440" s="232" t="s">
        <v>12092</v>
      </c>
      <c r="L440" s="232" t="s">
        <v>24090</v>
      </c>
      <c r="M440" s="511"/>
      <c r="N440" s="232"/>
      <c r="O440" s="232"/>
      <c r="P440" s="312"/>
      <c r="Q440" s="312"/>
      <c r="R440" s="312"/>
      <c r="S440" s="312"/>
      <c r="T440" s="312"/>
      <c r="U440" s="312"/>
    </row>
    <row r="441">
      <c r="A441" s="508" t="s">
        <v>24053</v>
      </c>
      <c r="B441" s="232" t="s">
        <v>24091</v>
      </c>
      <c r="C441" s="509" t="s">
        <v>24092</v>
      </c>
      <c r="D441" s="510"/>
      <c r="E441" s="511"/>
      <c r="F441" s="232" t="s">
        <v>24093</v>
      </c>
      <c r="G441" s="232" t="s">
        <v>22844</v>
      </c>
      <c r="H441" s="232">
        <v>9.769801112E9</v>
      </c>
      <c r="I441" s="509" t="s">
        <v>24094</v>
      </c>
      <c r="J441" s="232" t="b">
        <v>0</v>
      </c>
      <c r="K441" s="232" t="s">
        <v>334</v>
      </c>
      <c r="L441" s="232"/>
      <c r="M441" s="511"/>
      <c r="N441" s="232"/>
      <c r="O441" s="232"/>
      <c r="P441" s="312"/>
      <c r="Q441" s="312"/>
      <c r="R441" s="312"/>
      <c r="S441" s="312"/>
      <c r="T441" s="312"/>
      <c r="U441" s="312"/>
    </row>
    <row r="442">
      <c r="A442" s="508" t="s">
        <v>24053</v>
      </c>
      <c r="B442" s="232" t="s">
        <v>24095</v>
      </c>
      <c r="C442" s="509" t="s">
        <v>24096</v>
      </c>
      <c r="D442" s="510"/>
      <c r="E442" s="511"/>
      <c r="F442" s="232"/>
      <c r="G442" s="232" t="s">
        <v>22292</v>
      </c>
      <c r="H442" s="232">
        <v>-9.920201898E9</v>
      </c>
      <c r="I442" s="509" t="s">
        <v>24097</v>
      </c>
      <c r="J442" s="232" t="b">
        <v>0</v>
      </c>
      <c r="K442" s="232" t="s">
        <v>22365</v>
      </c>
      <c r="L442" s="232" t="s">
        <v>22904</v>
      </c>
      <c r="M442" s="511"/>
      <c r="N442" s="232"/>
      <c r="O442" s="232"/>
      <c r="P442" s="312"/>
      <c r="Q442" s="312"/>
      <c r="R442" s="312"/>
      <c r="S442" s="312"/>
      <c r="T442" s="312"/>
      <c r="U442" s="312"/>
    </row>
    <row r="443">
      <c r="A443" s="508" t="s">
        <v>24053</v>
      </c>
      <c r="B443" s="232" t="s">
        <v>24098</v>
      </c>
      <c r="C443" s="509" t="s">
        <v>24099</v>
      </c>
      <c r="D443" s="510"/>
      <c r="E443" s="511"/>
      <c r="F443" s="232"/>
      <c r="G443" s="232" t="s">
        <v>24100</v>
      </c>
      <c r="H443" s="232">
        <v>7.087193881E9</v>
      </c>
      <c r="I443" s="509" t="s">
        <v>24101</v>
      </c>
      <c r="J443" s="232" t="b">
        <v>0</v>
      </c>
      <c r="K443" s="232"/>
      <c r="L443" s="232"/>
      <c r="M443" s="511"/>
      <c r="N443" s="232"/>
      <c r="O443" s="232"/>
      <c r="P443" s="312"/>
      <c r="Q443" s="312"/>
      <c r="R443" s="312"/>
      <c r="S443" s="312"/>
      <c r="T443" s="312"/>
      <c r="U443" s="312"/>
    </row>
    <row r="444">
      <c r="A444" s="508" t="s">
        <v>24053</v>
      </c>
      <c r="B444" s="232" t="s">
        <v>24102</v>
      </c>
      <c r="C444" s="509" t="s">
        <v>24103</v>
      </c>
      <c r="D444" s="510" t="s">
        <v>24104</v>
      </c>
      <c r="E444" s="511"/>
      <c r="F444" s="232" t="s">
        <v>24105</v>
      </c>
      <c r="G444" s="232" t="s">
        <v>24106</v>
      </c>
      <c r="H444" s="232">
        <v>9.536274691E9</v>
      </c>
      <c r="I444" s="509" t="s">
        <v>23925</v>
      </c>
      <c r="J444" s="232" t="b">
        <v>0</v>
      </c>
      <c r="K444" s="232" t="s">
        <v>22365</v>
      </c>
      <c r="L444" s="232" t="s">
        <v>22374</v>
      </c>
      <c r="M444" s="511"/>
      <c r="N444" s="232"/>
      <c r="O444" s="232"/>
      <c r="P444" s="312"/>
      <c r="Q444" s="312"/>
      <c r="R444" s="312"/>
      <c r="S444" s="312"/>
      <c r="T444" s="312"/>
      <c r="U444" s="312"/>
    </row>
    <row r="445">
      <c r="A445" s="508" t="s">
        <v>24107</v>
      </c>
      <c r="B445" s="232" t="s">
        <v>24108</v>
      </c>
      <c r="C445" s="509" t="s">
        <v>20162</v>
      </c>
      <c r="D445" s="510"/>
      <c r="E445" s="511"/>
      <c r="F445" s="232" t="s">
        <v>24109</v>
      </c>
      <c r="G445" s="232" t="s">
        <v>22724</v>
      </c>
      <c r="H445" s="232">
        <v>9.576676257E9</v>
      </c>
      <c r="I445" s="509" t="s">
        <v>22978</v>
      </c>
      <c r="J445" s="232" t="b">
        <v>0</v>
      </c>
      <c r="K445" s="232" t="s">
        <v>22365</v>
      </c>
      <c r="L445" s="232" t="s">
        <v>24110</v>
      </c>
      <c r="M445" s="511"/>
      <c r="N445" s="232"/>
      <c r="O445" s="232"/>
      <c r="P445" s="312"/>
      <c r="Q445" s="312"/>
      <c r="R445" s="312"/>
      <c r="S445" s="312"/>
      <c r="T445" s="312"/>
      <c r="U445" s="312"/>
    </row>
    <row r="446">
      <c r="A446" s="508" t="s">
        <v>24107</v>
      </c>
      <c r="B446" s="232" t="s">
        <v>24111</v>
      </c>
      <c r="C446" s="509" t="s">
        <v>24112</v>
      </c>
      <c r="D446" s="510"/>
      <c r="E446" s="511"/>
      <c r="F446" s="232"/>
      <c r="G446" s="232" t="s">
        <v>9266</v>
      </c>
      <c r="H446" s="232">
        <v>9.49628507E9</v>
      </c>
      <c r="I446" s="512" t="s">
        <v>24113</v>
      </c>
      <c r="J446" s="232" t="b">
        <v>0</v>
      </c>
      <c r="K446" s="232" t="s">
        <v>334</v>
      </c>
      <c r="L446" s="232"/>
      <c r="M446" s="511"/>
      <c r="N446" s="232"/>
      <c r="O446" s="232"/>
      <c r="P446" s="312"/>
      <c r="Q446" s="312"/>
      <c r="R446" s="312"/>
      <c r="S446" s="312"/>
      <c r="T446" s="312"/>
      <c r="U446" s="312"/>
    </row>
    <row r="447">
      <c r="A447" s="508" t="s">
        <v>24107</v>
      </c>
      <c r="B447" s="232" t="s">
        <v>24114</v>
      </c>
      <c r="C447" s="509" t="s">
        <v>24115</v>
      </c>
      <c r="D447" s="510" t="s">
        <v>24116</v>
      </c>
      <c r="E447" s="511"/>
      <c r="F447" s="232" t="s">
        <v>24117</v>
      </c>
      <c r="G447" s="232" t="s">
        <v>9094</v>
      </c>
      <c r="H447" s="232">
        <v>8.360694429E9</v>
      </c>
      <c r="I447" s="509" t="s">
        <v>24118</v>
      </c>
      <c r="J447" s="232" t="b">
        <v>0</v>
      </c>
      <c r="K447" s="232" t="s">
        <v>334</v>
      </c>
      <c r="L447" s="232"/>
      <c r="M447" s="511"/>
      <c r="N447" s="232"/>
      <c r="O447" s="232"/>
      <c r="P447" s="312"/>
      <c r="Q447" s="312"/>
      <c r="R447" s="312"/>
      <c r="S447" s="312"/>
      <c r="T447" s="312"/>
      <c r="U447" s="312"/>
    </row>
    <row r="448">
      <c r="A448" s="508" t="s">
        <v>24107</v>
      </c>
      <c r="B448" s="232" t="s">
        <v>24119</v>
      </c>
      <c r="C448" s="509" t="s">
        <v>16648</v>
      </c>
      <c r="D448" s="510" t="s">
        <v>24120</v>
      </c>
      <c r="E448" s="511"/>
      <c r="F448" s="232" t="s">
        <v>24121</v>
      </c>
      <c r="G448" s="232" t="s">
        <v>22479</v>
      </c>
      <c r="H448" s="232">
        <v>7.017481274E9</v>
      </c>
      <c r="I448" s="509" t="s">
        <v>24122</v>
      </c>
      <c r="J448" s="232" t="b">
        <v>0</v>
      </c>
      <c r="K448" s="232" t="s">
        <v>22365</v>
      </c>
      <c r="L448" s="232" t="s">
        <v>22621</v>
      </c>
      <c r="M448" s="511"/>
      <c r="N448" s="232"/>
      <c r="O448" s="232"/>
      <c r="P448" s="312"/>
      <c r="Q448" s="312"/>
      <c r="R448" s="312"/>
      <c r="S448" s="312"/>
      <c r="T448" s="312"/>
      <c r="U448" s="312"/>
    </row>
    <row r="449">
      <c r="A449" s="508" t="s">
        <v>24107</v>
      </c>
      <c r="B449" s="232" t="s">
        <v>24123</v>
      </c>
      <c r="C449" s="509" t="s">
        <v>24124</v>
      </c>
      <c r="D449" s="510" t="s">
        <v>24125</v>
      </c>
      <c r="E449" s="511"/>
      <c r="F449" s="232" t="s">
        <v>24126</v>
      </c>
      <c r="G449" s="232" t="s">
        <v>2882</v>
      </c>
      <c r="H449" s="232">
        <v>9.910711046E9</v>
      </c>
      <c r="I449" s="509" t="s">
        <v>24127</v>
      </c>
      <c r="J449" s="232" t="b">
        <v>0</v>
      </c>
      <c r="K449" s="232" t="s">
        <v>22365</v>
      </c>
      <c r="L449" s="232" t="s">
        <v>24128</v>
      </c>
      <c r="M449" s="511"/>
      <c r="N449" s="232"/>
      <c r="O449" s="232"/>
      <c r="P449" s="312"/>
      <c r="Q449" s="312"/>
      <c r="R449" s="312"/>
      <c r="S449" s="312"/>
      <c r="T449" s="312"/>
      <c r="U449" s="312"/>
    </row>
    <row r="450">
      <c r="A450" s="508" t="s">
        <v>24107</v>
      </c>
      <c r="B450" s="232" t="s">
        <v>24129</v>
      </c>
      <c r="C450" s="509" t="s">
        <v>24130</v>
      </c>
      <c r="D450" s="510" t="s">
        <v>14534</v>
      </c>
      <c r="E450" s="511"/>
      <c r="F450" s="232"/>
      <c r="G450" s="232" t="s">
        <v>14534</v>
      </c>
      <c r="H450" s="232">
        <v>-9.816731031E9</v>
      </c>
      <c r="I450" s="509" t="s">
        <v>24131</v>
      </c>
      <c r="J450" s="232" t="b">
        <v>0</v>
      </c>
      <c r="K450" s="232"/>
      <c r="L450" s="232"/>
      <c r="M450" s="511"/>
      <c r="N450" s="232"/>
      <c r="O450" s="232"/>
      <c r="P450" s="312"/>
      <c r="Q450" s="312"/>
      <c r="R450" s="312"/>
      <c r="S450" s="312"/>
      <c r="T450" s="312"/>
      <c r="U450" s="312"/>
    </row>
    <row r="451">
      <c r="A451" s="508" t="s">
        <v>24107</v>
      </c>
      <c r="B451" s="232" t="s">
        <v>24132</v>
      </c>
      <c r="C451" s="509" t="s">
        <v>24133</v>
      </c>
      <c r="D451" s="510" t="s">
        <v>24134</v>
      </c>
      <c r="E451" s="511"/>
      <c r="F451" s="232" t="s">
        <v>24135</v>
      </c>
      <c r="G451" s="232" t="s">
        <v>44</v>
      </c>
      <c r="H451" s="232">
        <v>9.831169103E9</v>
      </c>
      <c r="I451" s="509" t="s">
        <v>24136</v>
      </c>
      <c r="J451" s="232" t="b">
        <v>0</v>
      </c>
      <c r="K451" s="232"/>
      <c r="L451" s="232"/>
      <c r="M451" s="511"/>
      <c r="N451" s="232"/>
      <c r="O451" s="232"/>
      <c r="P451" s="312"/>
      <c r="Q451" s="312"/>
      <c r="R451" s="312"/>
      <c r="S451" s="312"/>
      <c r="T451" s="312"/>
      <c r="U451" s="312"/>
    </row>
    <row r="452">
      <c r="A452" s="508" t="s">
        <v>24107</v>
      </c>
      <c r="B452" s="232" t="s">
        <v>24137</v>
      </c>
      <c r="C452" s="509" t="s">
        <v>24138</v>
      </c>
      <c r="D452" s="510" t="s">
        <v>24139</v>
      </c>
      <c r="E452" s="511"/>
      <c r="F452" s="232" t="s">
        <v>24140</v>
      </c>
      <c r="G452" s="232" t="s">
        <v>22821</v>
      </c>
      <c r="H452" s="232">
        <v>9.440390153E9</v>
      </c>
      <c r="I452" s="509" t="s">
        <v>24141</v>
      </c>
      <c r="J452" s="232" t="b">
        <v>0</v>
      </c>
      <c r="K452" s="232" t="s">
        <v>22365</v>
      </c>
      <c r="L452" s="232" t="s">
        <v>22611</v>
      </c>
      <c r="M452" s="511"/>
      <c r="N452" s="232"/>
      <c r="O452" s="232"/>
      <c r="P452" s="312"/>
      <c r="Q452" s="312"/>
      <c r="R452" s="312"/>
      <c r="S452" s="312"/>
      <c r="T452" s="312"/>
      <c r="U452" s="312"/>
    </row>
    <row r="453">
      <c r="A453" s="508" t="s">
        <v>24107</v>
      </c>
      <c r="B453" s="232" t="s">
        <v>24142</v>
      </c>
      <c r="C453" s="509" t="s">
        <v>4438</v>
      </c>
      <c r="D453" s="510" t="s">
        <v>24143</v>
      </c>
      <c r="E453" s="511"/>
      <c r="F453" s="232"/>
      <c r="G453" s="232" t="s">
        <v>22421</v>
      </c>
      <c r="H453" s="232">
        <v>8.898257174E9</v>
      </c>
      <c r="I453" s="509" t="s">
        <v>24144</v>
      </c>
      <c r="J453" s="232" t="b">
        <v>0</v>
      </c>
      <c r="K453" s="232"/>
      <c r="L453" s="232"/>
      <c r="M453" s="511"/>
      <c r="N453" s="232"/>
      <c r="O453" s="232"/>
      <c r="P453" s="312"/>
      <c r="Q453" s="312"/>
      <c r="R453" s="312"/>
      <c r="S453" s="312"/>
      <c r="T453" s="312"/>
      <c r="U453" s="312"/>
    </row>
    <row r="454">
      <c r="A454" s="508" t="s">
        <v>24107</v>
      </c>
      <c r="B454" s="232" t="s">
        <v>24145</v>
      </c>
      <c r="C454" s="509" t="s">
        <v>24146</v>
      </c>
      <c r="D454" s="510" t="s">
        <v>24147</v>
      </c>
      <c r="E454" s="511"/>
      <c r="F454" s="232" t="s">
        <v>24148</v>
      </c>
      <c r="G454" s="232" t="s">
        <v>24149</v>
      </c>
      <c r="H454" s="232">
        <v>8.073250302E9</v>
      </c>
      <c r="I454" s="509" t="s">
        <v>24150</v>
      </c>
      <c r="J454" s="232" t="b">
        <v>0</v>
      </c>
      <c r="K454" s="232" t="s">
        <v>22365</v>
      </c>
      <c r="L454" s="232" t="s">
        <v>22621</v>
      </c>
      <c r="M454" s="511"/>
      <c r="N454" s="232"/>
      <c r="O454" s="232"/>
      <c r="P454" s="312"/>
      <c r="Q454" s="312"/>
      <c r="R454" s="312"/>
      <c r="S454" s="312"/>
      <c r="T454" s="312"/>
      <c r="U454" s="312"/>
    </row>
    <row r="455">
      <c r="A455" s="508" t="s">
        <v>24107</v>
      </c>
      <c r="B455" s="232" t="s">
        <v>24151</v>
      </c>
      <c r="C455" s="509" t="s">
        <v>24152</v>
      </c>
      <c r="D455" s="510"/>
      <c r="E455" s="511"/>
      <c r="F455" s="232"/>
      <c r="G455" s="232" t="s">
        <v>24028</v>
      </c>
      <c r="H455" s="232">
        <v>9.744113978E9</v>
      </c>
      <c r="I455" s="509" t="s">
        <v>24153</v>
      </c>
      <c r="J455" s="232" t="b">
        <v>0</v>
      </c>
      <c r="K455" s="232"/>
      <c r="L455" s="232"/>
      <c r="M455" s="511"/>
      <c r="N455" s="232"/>
      <c r="O455" s="232"/>
      <c r="P455" s="312"/>
      <c r="Q455" s="312"/>
      <c r="R455" s="312"/>
      <c r="S455" s="312"/>
      <c r="T455" s="312"/>
      <c r="U455" s="312"/>
    </row>
    <row r="456">
      <c r="A456" s="508" t="s">
        <v>24107</v>
      </c>
      <c r="B456" s="232" t="s">
        <v>24154</v>
      </c>
      <c r="C456" s="509" t="s">
        <v>22986</v>
      </c>
      <c r="D456" s="510"/>
      <c r="E456" s="511"/>
      <c r="F456" s="232" t="s">
        <v>24155</v>
      </c>
      <c r="G456" s="232" t="s">
        <v>23660</v>
      </c>
      <c r="H456" s="232">
        <v>9.549999597E9</v>
      </c>
      <c r="I456" s="509" t="s">
        <v>23563</v>
      </c>
      <c r="J456" s="232" t="b">
        <v>0</v>
      </c>
      <c r="K456" s="232" t="s">
        <v>22365</v>
      </c>
      <c r="L456" s="232" t="s">
        <v>22509</v>
      </c>
      <c r="M456" s="511"/>
      <c r="N456" s="232"/>
      <c r="O456" s="232"/>
      <c r="P456" s="312"/>
      <c r="Q456" s="312"/>
      <c r="R456" s="312"/>
      <c r="S456" s="312"/>
      <c r="T456" s="312"/>
      <c r="U456" s="312"/>
    </row>
    <row r="457">
      <c r="A457" s="508" t="s">
        <v>24107</v>
      </c>
      <c r="B457" s="232" t="s">
        <v>24156</v>
      </c>
      <c r="C457" s="509" t="s">
        <v>24157</v>
      </c>
      <c r="D457" s="510"/>
      <c r="E457" s="511"/>
      <c r="F457" s="232" t="s">
        <v>24158</v>
      </c>
      <c r="G457" s="232" t="s">
        <v>9094</v>
      </c>
      <c r="H457" s="232">
        <v>7.888733289E9</v>
      </c>
      <c r="I457" s="509" t="s">
        <v>22577</v>
      </c>
      <c r="J457" s="232" t="b">
        <v>0</v>
      </c>
      <c r="K457" s="232" t="s">
        <v>22365</v>
      </c>
      <c r="L457" s="232" t="s">
        <v>22621</v>
      </c>
      <c r="M457" s="511"/>
      <c r="N457" s="232"/>
      <c r="O457" s="232"/>
      <c r="P457" s="312"/>
      <c r="Q457" s="312"/>
      <c r="R457" s="312"/>
      <c r="S457" s="312"/>
      <c r="T457" s="312"/>
      <c r="U457" s="312"/>
    </row>
    <row r="458">
      <c r="A458" s="508" t="s">
        <v>24107</v>
      </c>
      <c r="B458" s="232" t="s">
        <v>24159</v>
      </c>
      <c r="C458" s="509" t="s">
        <v>24160</v>
      </c>
      <c r="D458" s="510" t="s">
        <v>24161</v>
      </c>
      <c r="E458" s="511"/>
      <c r="F458" s="232"/>
      <c r="G458" s="232" t="s">
        <v>24162</v>
      </c>
      <c r="H458" s="232">
        <v>-9.83654862E9</v>
      </c>
      <c r="I458" s="509" t="s">
        <v>24163</v>
      </c>
      <c r="J458" s="232" t="b">
        <v>0</v>
      </c>
      <c r="K458" s="232" t="s">
        <v>22365</v>
      </c>
      <c r="L458" s="232" t="s">
        <v>22621</v>
      </c>
      <c r="M458" s="511"/>
      <c r="N458" s="232"/>
      <c r="O458" s="232"/>
      <c r="P458" s="312"/>
      <c r="Q458" s="312"/>
      <c r="R458" s="312"/>
      <c r="S458" s="312"/>
      <c r="T458" s="312"/>
      <c r="U458" s="312"/>
    </row>
    <row r="459">
      <c r="A459" s="508" t="s">
        <v>24107</v>
      </c>
      <c r="B459" s="232" t="s">
        <v>24164</v>
      </c>
      <c r="C459" s="509" t="s">
        <v>24165</v>
      </c>
      <c r="D459" s="510" t="s">
        <v>24166</v>
      </c>
      <c r="E459" s="511"/>
      <c r="F459" s="232"/>
      <c r="G459" s="232" t="s">
        <v>23782</v>
      </c>
      <c r="H459" s="232">
        <v>8.500377674E9</v>
      </c>
      <c r="I459" s="509" t="s">
        <v>24167</v>
      </c>
      <c r="J459" s="232" t="b">
        <v>0</v>
      </c>
      <c r="K459" s="232" t="s">
        <v>22365</v>
      </c>
      <c r="L459" s="425" t="s">
        <v>24168</v>
      </c>
      <c r="M459" s="511"/>
      <c r="N459" s="232"/>
      <c r="O459" s="232"/>
      <c r="P459" s="312"/>
      <c r="Q459" s="312"/>
      <c r="R459" s="312"/>
      <c r="S459" s="312"/>
      <c r="T459" s="312"/>
      <c r="U459" s="312"/>
    </row>
    <row r="460">
      <c r="A460" s="508" t="s">
        <v>24107</v>
      </c>
      <c r="B460" s="232" t="s">
        <v>24169</v>
      </c>
      <c r="C460" s="509" t="s">
        <v>24170</v>
      </c>
      <c r="D460" s="510" t="s">
        <v>24171</v>
      </c>
      <c r="E460" s="511"/>
      <c r="F460" s="232" t="s">
        <v>24172</v>
      </c>
      <c r="G460" s="232" t="s">
        <v>23660</v>
      </c>
      <c r="H460" s="232">
        <v>9.461732862E9</v>
      </c>
      <c r="I460" s="509" t="s">
        <v>22978</v>
      </c>
      <c r="J460" s="232" t="b">
        <v>0</v>
      </c>
      <c r="K460" s="232" t="s">
        <v>22365</v>
      </c>
      <c r="L460" s="232" t="s">
        <v>22554</v>
      </c>
      <c r="M460" s="511"/>
      <c r="N460" s="232"/>
      <c r="O460" s="232"/>
      <c r="P460" s="312"/>
      <c r="Q460" s="312"/>
      <c r="R460" s="312"/>
      <c r="S460" s="312"/>
      <c r="T460" s="312"/>
      <c r="U460" s="312"/>
    </row>
    <row r="461">
      <c r="A461" s="508" t="s">
        <v>24107</v>
      </c>
      <c r="B461" s="232" t="s">
        <v>24173</v>
      </c>
      <c r="C461" s="509" t="s">
        <v>24174</v>
      </c>
      <c r="D461" s="510"/>
      <c r="E461" s="511"/>
      <c r="F461" s="232" t="s">
        <v>24175</v>
      </c>
      <c r="G461" s="232" t="s">
        <v>24176</v>
      </c>
      <c r="H461" s="232">
        <v>7.025360963E9</v>
      </c>
      <c r="I461" s="512" t="s">
        <v>24177</v>
      </c>
      <c r="J461" s="232" t="b">
        <v>0</v>
      </c>
      <c r="K461" s="232" t="s">
        <v>334</v>
      </c>
      <c r="L461" s="232"/>
      <c r="M461" s="511"/>
      <c r="N461" s="232"/>
      <c r="O461" s="232"/>
      <c r="P461" s="312"/>
      <c r="Q461" s="312"/>
      <c r="R461" s="312"/>
      <c r="S461" s="312"/>
      <c r="T461" s="312"/>
      <c r="U461" s="312"/>
    </row>
    <row r="462">
      <c r="A462" s="508" t="s">
        <v>24178</v>
      </c>
      <c r="B462" s="232" t="s">
        <v>24179</v>
      </c>
      <c r="C462" s="509" t="s">
        <v>24180</v>
      </c>
      <c r="D462" s="510"/>
      <c r="E462" s="511"/>
      <c r="F462" s="232" t="s">
        <v>24181</v>
      </c>
      <c r="G462" s="232" t="s">
        <v>23782</v>
      </c>
      <c r="H462" s="232">
        <v>8.98494999E9</v>
      </c>
      <c r="I462" s="509" t="s">
        <v>24182</v>
      </c>
      <c r="J462" s="232" t="b">
        <v>0</v>
      </c>
      <c r="K462" s="232" t="s">
        <v>22365</v>
      </c>
      <c r="L462" s="232" t="s">
        <v>22514</v>
      </c>
      <c r="M462" s="511"/>
      <c r="N462" s="232"/>
      <c r="O462" s="232"/>
      <c r="P462" s="312"/>
      <c r="Q462" s="312"/>
      <c r="R462" s="312"/>
      <c r="S462" s="312"/>
      <c r="T462" s="312"/>
      <c r="U462" s="312"/>
    </row>
    <row r="463">
      <c r="A463" s="508" t="s">
        <v>24178</v>
      </c>
      <c r="B463" s="232" t="s">
        <v>24183</v>
      </c>
      <c r="C463" s="509" t="s">
        <v>24184</v>
      </c>
      <c r="D463" s="510" t="s">
        <v>24185</v>
      </c>
      <c r="E463" s="511"/>
      <c r="F463" s="232" t="s">
        <v>24186</v>
      </c>
      <c r="G463" s="232" t="s">
        <v>23782</v>
      </c>
      <c r="H463" s="232">
        <v>9.121694439E9</v>
      </c>
      <c r="I463" s="509" t="s">
        <v>4786</v>
      </c>
      <c r="J463" s="232" t="b">
        <v>0</v>
      </c>
      <c r="K463" s="232" t="s">
        <v>22349</v>
      </c>
      <c r="L463" s="232" t="s">
        <v>23977</v>
      </c>
      <c r="M463" s="511"/>
      <c r="N463" s="232"/>
      <c r="O463" s="232"/>
      <c r="P463" s="312"/>
      <c r="Q463" s="312"/>
      <c r="R463" s="312"/>
      <c r="S463" s="312"/>
      <c r="T463" s="312"/>
      <c r="U463" s="312"/>
    </row>
    <row r="464">
      <c r="A464" s="508" t="s">
        <v>24178</v>
      </c>
      <c r="B464" s="232" t="s">
        <v>24187</v>
      </c>
      <c r="C464" s="509" t="s">
        <v>24188</v>
      </c>
      <c r="D464" s="510" t="s">
        <v>24189</v>
      </c>
      <c r="E464" s="511"/>
      <c r="F464" s="232" t="s">
        <v>24190</v>
      </c>
      <c r="G464" s="232" t="s">
        <v>22479</v>
      </c>
      <c r="H464" s="232">
        <v>9.410877399E9</v>
      </c>
      <c r="I464" s="512" t="s">
        <v>24191</v>
      </c>
      <c r="J464" s="232" t="b">
        <v>0</v>
      </c>
      <c r="K464" s="232" t="s">
        <v>22365</v>
      </c>
      <c r="L464" s="425" t="s">
        <v>24192</v>
      </c>
      <c r="M464" s="511"/>
      <c r="N464" s="232"/>
      <c r="O464" s="232"/>
      <c r="P464" s="312"/>
      <c r="Q464" s="312"/>
      <c r="R464" s="312"/>
      <c r="S464" s="312"/>
      <c r="T464" s="312"/>
      <c r="U464" s="312"/>
    </row>
    <row r="465">
      <c r="A465" s="508" t="s">
        <v>24178</v>
      </c>
      <c r="B465" s="232" t="s">
        <v>24193</v>
      </c>
      <c r="C465" s="509" t="s">
        <v>17681</v>
      </c>
      <c r="D465" s="510" t="s">
        <v>24194</v>
      </c>
      <c r="E465" s="511"/>
      <c r="F465" s="232"/>
      <c r="G465" s="232" t="s">
        <v>22770</v>
      </c>
      <c r="H465" s="232">
        <v>8.80020803E9</v>
      </c>
      <c r="I465" s="509" t="s">
        <v>24195</v>
      </c>
      <c r="J465" s="232" t="b">
        <v>0</v>
      </c>
      <c r="K465" s="232" t="s">
        <v>22365</v>
      </c>
      <c r="L465" s="232" t="s">
        <v>24196</v>
      </c>
      <c r="M465" s="511"/>
      <c r="N465" s="232"/>
      <c r="O465" s="232"/>
      <c r="P465" s="312"/>
      <c r="Q465" s="312"/>
      <c r="R465" s="312"/>
      <c r="S465" s="312"/>
      <c r="T465" s="312"/>
      <c r="U465" s="312"/>
    </row>
    <row r="466">
      <c r="A466" s="508" t="s">
        <v>24178</v>
      </c>
      <c r="B466" s="232" t="s">
        <v>24197</v>
      </c>
      <c r="C466" s="509" t="s">
        <v>17887</v>
      </c>
      <c r="D466" s="510" t="s">
        <v>24198</v>
      </c>
      <c r="E466" s="511"/>
      <c r="F466" s="232" t="s">
        <v>24199</v>
      </c>
      <c r="G466" s="232" t="s">
        <v>22687</v>
      </c>
      <c r="H466" s="232">
        <v>9.312611228E9</v>
      </c>
      <c r="I466" s="509" t="s">
        <v>24200</v>
      </c>
      <c r="J466" s="232" t="b">
        <v>0</v>
      </c>
      <c r="K466" s="232" t="s">
        <v>22349</v>
      </c>
      <c r="L466" s="232" t="s">
        <v>24201</v>
      </c>
      <c r="M466" s="511"/>
      <c r="N466" s="232"/>
      <c r="O466" s="232"/>
      <c r="P466" s="312"/>
      <c r="Q466" s="312"/>
      <c r="R466" s="312"/>
      <c r="S466" s="312"/>
      <c r="T466" s="312"/>
      <c r="U466" s="312"/>
    </row>
    <row r="467">
      <c r="A467" s="508" t="s">
        <v>24178</v>
      </c>
      <c r="B467" s="232" t="s">
        <v>24202</v>
      </c>
      <c r="C467" s="509" t="s">
        <v>24203</v>
      </c>
      <c r="D467" s="510"/>
      <c r="E467" s="511"/>
      <c r="F467" s="232"/>
      <c r="G467" s="232" t="s">
        <v>22770</v>
      </c>
      <c r="H467" s="232">
        <v>7.840092079E9</v>
      </c>
      <c r="I467" s="509" t="s">
        <v>24204</v>
      </c>
      <c r="J467" s="232" t="b">
        <v>0</v>
      </c>
      <c r="K467" s="232" t="s">
        <v>12092</v>
      </c>
      <c r="L467" s="232"/>
      <c r="M467" s="511"/>
      <c r="N467" s="232"/>
      <c r="O467" s="232"/>
      <c r="P467" s="312"/>
      <c r="Q467" s="312"/>
      <c r="R467" s="312"/>
      <c r="S467" s="312"/>
      <c r="T467" s="312"/>
      <c r="U467" s="312"/>
    </row>
    <row r="468">
      <c r="A468" s="508" t="s">
        <v>24178</v>
      </c>
      <c r="B468" s="232" t="s">
        <v>24205</v>
      </c>
      <c r="C468" s="509" t="s">
        <v>24206</v>
      </c>
      <c r="D468" s="510"/>
      <c r="E468" s="511"/>
      <c r="F468" s="232" t="s">
        <v>24207</v>
      </c>
      <c r="G468" s="232" t="s">
        <v>398</v>
      </c>
      <c r="H468" s="232">
        <v>9.525731205E9</v>
      </c>
      <c r="I468" s="509" t="s">
        <v>22553</v>
      </c>
      <c r="J468" s="232" t="b">
        <v>0</v>
      </c>
      <c r="K468" s="232" t="s">
        <v>22365</v>
      </c>
      <c r="L468" s="232" t="s">
        <v>24208</v>
      </c>
      <c r="M468" s="511"/>
      <c r="N468" s="232"/>
      <c r="O468" s="232"/>
      <c r="P468" s="312"/>
      <c r="Q468" s="312"/>
      <c r="R468" s="312"/>
      <c r="S468" s="312"/>
      <c r="T468" s="312"/>
      <c r="U468" s="312"/>
    </row>
    <row r="469">
      <c r="A469" s="508" t="s">
        <v>24178</v>
      </c>
      <c r="B469" s="232" t="s">
        <v>24209</v>
      </c>
      <c r="C469" s="509" t="s">
        <v>14988</v>
      </c>
      <c r="D469" s="510" t="s">
        <v>24210</v>
      </c>
      <c r="E469" s="511"/>
      <c r="F469" s="232" t="s">
        <v>24211</v>
      </c>
      <c r="G469" s="232" t="s">
        <v>398</v>
      </c>
      <c r="H469" s="232">
        <v>9.713440213E9</v>
      </c>
      <c r="I469" s="509" t="s">
        <v>22278</v>
      </c>
      <c r="J469" s="232" t="b">
        <v>0</v>
      </c>
      <c r="K469" s="232" t="s">
        <v>334</v>
      </c>
      <c r="L469" s="232"/>
      <c r="M469" s="511"/>
      <c r="N469" s="232"/>
      <c r="O469" s="232"/>
      <c r="P469" s="312"/>
      <c r="Q469" s="312"/>
      <c r="R469" s="312"/>
      <c r="S469" s="312"/>
      <c r="T469" s="312"/>
      <c r="U469" s="312"/>
    </row>
    <row r="470">
      <c r="A470" s="508" t="s">
        <v>24178</v>
      </c>
      <c r="B470" s="232" t="s">
        <v>24212</v>
      </c>
      <c r="C470" s="509" t="s">
        <v>9991</v>
      </c>
      <c r="D470" s="510" t="s">
        <v>22607</v>
      </c>
      <c r="E470" s="511"/>
      <c r="F470" s="232" t="s">
        <v>9992</v>
      </c>
      <c r="G470" s="232" t="s">
        <v>24213</v>
      </c>
      <c r="H470" s="232">
        <v>7.980763914E9</v>
      </c>
      <c r="I470" s="509" t="s">
        <v>24214</v>
      </c>
      <c r="J470" s="232" t="b">
        <v>0</v>
      </c>
      <c r="K470" s="232" t="s">
        <v>22365</v>
      </c>
      <c r="L470" s="232" t="s">
        <v>22611</v>
      </c>
      <c r="M470" s="511"/>
      <c r="N470" s="232"/>
      <c r="O470" s="232"/>
      <c r="P470" s="312"/>
      <c r="Q470" s="312"/>
      <c r="R470" s="312"/>
      <c r="S470" s="312"/>
      <c r="T470" s="312"/>
      <c r="U470" s="312"/>
    </row>
    <row r="471">
      <c r="A471" s="508" t="s">
        <v>24178</v>
      </c>
      <c r="B471" s="232" t="s">
        <v>24215</v>
      </c>
      <c r="C471" s="509" t="s">
        <v>24216</v>
      </c>
      <c r="D471" s="510" t="s">
        <v>24217</v>
      </c>
      <c r="E471" s="511"/>
      <c r="F471" s="232" t="s">
        <v>24218</v>
      </c>
      <c r="G471" s="232" t="s">
        <v>22292</v>
      </c>
      <c r="H471" s="232">
        <v>8.999182796E9</v>
      </c>
      <c r="I471" s="512" t="s">
        <v>24219</v>
      </c>
      <c r="J471" s="232" t="b">
        <v>0</v>
      </c>
      <c r="K471" s="232" t="s">
        <v>12092</v>
      </c>
      <c r="L471" s="232"/>
      <c r="M471" s="511"/>
      <c r="N471" s="232"/>
      <c r="O471" s="232"/>
      <c r="P471" s="312"/>
      <c r="Q471" s="312"/>
      <c r="R471" s="312"/>
      <c r="S471" s="312"/>
      <c r="T471" s="312"/>
      <c r="U471" s="312"/>
    </row>
    <row r="472">
      <c r="A472" s="508" t="s">
        <v>24178</v>
      </c>
      <c r="B472" s="232" t="s">
        <v>24220</v>
      </c>
      <c r="C472" s="509" t="s">
        <v>24221</v>
      </c>
      <c r="D472" s="510"/>
      <c r="E472" s="511"/>
      <c r="F472" s="232" t="s">
        <v>24222</v>
      </c>
      <c r="G472" s="232" t="s">
        <v>2662</v>
      </c>
      <c r="H472" s="232">
        <v>9.095142823E9</v>
      </c>
      <c r="I472" s="509" t="s">
        <v>24223</v>
      </c>
      <c r="J472" s="232" t="b">
        <v>0</v>
      </c>
      <c r="K472" s="232" t="s">
        <v>22365</v>
      </c>
      <c r="L472" s="232" t="s">
        <v>24224</v>
      </c>
      <c r="M472" s="511"/>
      <c r="N472" s="232"/>
      <c r="O472" s="232"/>
      <c r="P472" s="312"/>
      <c r="Q472" s="312"/>
      <c r="R472" s="312"/>
      <c r="S472" s="312"/>
      <c r="T472" s="312"/>
      <c r="U472" s="312"/>
    </row>
    <row r="473">
      <c r="A473" s="508" t="s">
        <v>24178</v>
      </c>
      <c r="B473" s="232" t="s">
        <v>24225</v>
      </c>
      <c r="C473" s="509" t="s">
        <v>24226</v>
      </c>
      <c r="D473" s="510"/>
      <c r="E473" s="511"/>
      <c r="F473" s="232" t="s">
        <v>24227</v>
      </c>
      <c r="G473" s="232" t="s">
        <v>2662</v>
      </c>
      <c r="H473" s="232">
        <v>-8.870407159E9</v>
      </c>
      <c r="I473" s="509" t="s">
        <v>23522</v>
      </c>
      <c r="J473" s="232" t="b">
        <v>0</v>
      </c>
      <c r="K473" s="232" t="s">
        <v>12092</v>
      </c>
      <c r="L473" s="232"/>
      <c r="M473" s="511"/>
      <c r="N473" s="232"/>
      <c r="O473" s="232"/>
      <c r="P473" s="312"/>
      <c r="Q473" s="312"/>
      <c r="R473" s="312"/>
      <c r="S473" s="312"/>
      <c r="T473" s="312"/>
      <c r="U473" s="312"/>
    </row>
    <row r="474">
      <c r="A474" s="508" t="s">
        <v>24178</v>
      </c>
      <c r="B474" s="232" t="s">
        <v>24228</v>
      </c>
      <c r="C474" s="509" t="s">
        <v>24229</v>
      </c>
      <c r="D474" s="510" t="s">
        <v>24230</v>
      </c>
      <c r="E474" s="511"/>
      <c r="F474" s="232" t="s">
        <v>24231</v>
      </c>
      <c r="G474" s="232" t="s">
        <v>9094</v>
      </c>
      <c r="H474" s="232">
        <v>9.888500564E9</v>
      </c>
      <c r="I474" s="509" t="s">
        <v>22961</v>
      </c>
      <c r="J474" s="232" t="b">
        <v>0</v>
      </c>
      <c r="K474" s="232" t="s">
        <v>22365</v>
      </c>
      <c r="L474" s="232" t="s">
        <v>22801</v>
      </c>
      <c r="M474" s="511"/>
      <c r="N474" s="232"/>
      <c r="O474" s="232"/>
      <c r="P474" s="312"/>
      <c r="Q474" s="312"/>
      <c r="R474" s="312"/>
      <c r="S474" s="312"/>
      <c r="T474" s="312"/>
      <c r="U474" s="312"/>
    </row>
    <row r="475">
      <c r="A475" s="508" t="s">
        <v>24178</v>
      </c>
      <c r="B475" s="232" t="s">
        <v>24232</v>
      </c>
      <c r="C475" s="509" t="s">
        <v>24233</v>
      </c>
      <c r="D475" s="510" t="s">
        <v>24234</v>
      </c>
      <c r="E475" s="511"/>
      <c r="F475" s="232" t="s">
        <v>24235</v>
      </c>
      <c r="G475" s="232" t="s">
        <v>398</v>
      </c>
      <c r="H475" s="232">
        <v>9.977005547E9</v>
      </c>
      <c r="I475" s="509" t="s">
        <v>24236</v>
      </c>
      <c r="J475" s="232" t="b">
        <v>0</v>
      </c>
      <c r="K475" s="232" t="s">
        <v>22365</v>
      </c>
      <c r="L475" s="232" t="s">
        <v>24237</v>
      </c>
      <c r="M475" s="511"/>
      <c r="N475" s="232"/>
      <c r="O475" s="232"/>
      <c r="P475" s="312"/>
      <c r="Q475" s="312"/>
      <c r="R475" s="312"/>
      <c r="S475" s="312"/>
      <c r="T475" s="312"/>
      <c r="U475" s="312"/>
    </row>
    <row r="476">
      <c r="A476" s="513" t="s">
        <v>24178</v>
      </c>
      <c r="B476" s="514" t="s">
        <v>24238</v>
      </c>
      <c r="C476" s="515" t="s">
        <v>24239</v>
      </c>
      <c r="D476" s="516"/>
      <c r="E476" s="517"/>
      <c r="F476" s="514"/>
      <c r="G476" s="514" t="s">
        <v>24240</v>
      </c>
      <c r="H476" s="514">
        <v>7.895349884E9</v>
      </c>
      <c r="I476" s="515" t="s">
        <v>24241</v>
      </c>
      <c r="J476" s="514" t="b">
        <v>0</v>
      </c>
      <c r="K476" s="514" t="s">
        <v>22312</v>
      </c>
      <c r="L476" s="518" t="s">
        <v>24242</v>
      </c>
      <c r="M476" s="511"/>
      <c r="N476" s="232"/>
      <c r="O476" s="232"/>
      <c r="P476" s="312"/>
      <c r="Q476" s="312"/>
      <c r="R476" s="312"/>
      <c r="S476" s="312"/>
      <c r="T476" s="312"/>
      <c r="U476" s="312"/>
    </row>
    <row r="477">
      <c r="A477" s="508" t="s">
        <v>24178</v>
      </c>
      <c r="B477" s="232" t="s">
        <v>24238</v>
      </c>
      <c r="C477" s="509" t="s">
        <v>24243</v>
      </c>
      <c r="D477" s="510"/>
      <c r="E477" s="511"/>
      <c r="F477" s="232" t="s">
        <v>24244</v>
      </c>
      <c r="G477" s="232" t="s">
        <v>2882</v>
      </c>
      <c r="H477" s="232">
        <v>9.9918297E9</v>
      </c>
      <c r="I477" s="509" t="s">
        <v>23569</v>
      </c>
      <c r="J477" s="232" t="b">
        <v>0</v>
      </c>
      <c r="K477" s="232" t="s">
        <v>22365</v>
      </c>
      <c r="L477" s="526" t="s">
        <v>24245</v>
      </c>
      <c r="M477" s="511"/>
      <c r="N477" s="232"/>
      <c r="O477" s="232"/>
      <c r="P477" s="312"/>
      <c r="Q477" s="312"/>
      <c r="R477" s="312"/>
      <c r="S477" s="312"/>
      <c r="T477" s="312"/>
      <c r="U477" s="312"/>
    </row>
    <row r="478">
      <c r="A478" s="508" t="s">
        <v>24246</v>
      </c>
      <c r="B478" s="232" t="s">
        <v>24247</v>
      </c>
      <c r="C478" s="509" t="s">
        <v>24248</v>
      </c>
      <c r="D478" s="510" t="s">
        <v>24249</v>
      </c>
      <c r="E478" s="511"/>
      <c r="F478" s="232" t="s">
        <v>24250</v>
      </c>
      <c r="G478" s="232" t="s">
        <v>507</v>
      </c>
      <c r="H478" s="232">
        <v>7.97701246E9</v>
      </c>
      <c r="I478" s="509" t="s">
        <v>24251</v>
      </c>
      <c r="J478" s="232" t="b">
        <v>0</v>
      </c>
      <c r="K478" s="232" t="s">
        <v>22349</v>
      </c>
      <c r="L478" s="232" t="s">
        <v>24252</v>
      </c>
      <c r="M478" s="511"/>
      <c r="N478" s="232"/>
      <c r="O478" s="232"/>
      <c r="P478" s="312"/>
      <c r="Q478" s="312"/>
      <c r="R478" s="312"/>
      <c r="S478" s="312"/>
      <c r="T478" s="312"/>
      <c r="U478" s="312"/>
    </row>
    <row r="479">
      <c r="A479" s="508" t="s">
        <v>24246</v>
      </c>
      <c r="B479" s="232" t="s">
        <v>24253</v>
      </c>
      <c r="C479" s="509" t="s">
        <v>24254</v>
      </c>
      <c r="D479" s="510"/>
      <c r="E479" s="511"/>
      <c r="F479" s="232"/>
      <c r="G479" s="232" t="s">
        <v>507</v>
      </c>
      <c r="H479" s="232">
        <v>8.010132172E9</v>
      </c>
      <c r="I479" s="509" t="s">
        <v>24255</v>
      </c>
      <c r="J479" s="232" t="b">
        <v>0</v>
      </c>
      <c r="K479" s="232" t="s">
        <v>12092</v>
      </c>
      <c r="L479" s="232"/>
      <c r="M479" s="511"/>
      <c r="N479" s="232"/>
      <c r="O479" s="232"/>
      <c r="P479" s="312"/>
      <c r="Q479" s="312"/>
      <c r="R479" s="312"/>
      <c r="S479" s="312"/>
      <c r="T479" s="312"/>
      <c r="U479" s="312"/>
    </row>
    <row r="480">
      <c r="A480" s="508" t="s">
        <v>24246</v>
      </c>
      <c r="B480" s="232" t="s">
        <v>24256</v>
      </c>
      <c r="C480" s="509" t="s">
        <v>24043</v>
      </c>
      <c r="D480" s="510" t="s">
        <v>24257</v>
      </c>
      <c r="E480" s="511"/>
      <c r="F480" s="232" t="s">
        <v>24258</v>
      </c>
      <c r="G480" s="232" t="s">
        <v>44</v>
      </c>
      <c r="H480" s="232">
        <v>9.830166368E9</v>
      </c>
      <c r="I480" s="509" t="s">
        <v>22278</v>
      </c>
      <c r="J480" s="232" t="b">
        <v>0</v>
      </c>
      <c r="K480" s="232" t="s">
        <v>12092</v>
      </c>
      <c r="L480" s="232"/>
      <c r="M480" s="511"/>
      <c r="N480" s="232"/>
      <c r="O480" s="232"/>
      <c r="P480" s="312"/>
      <c r="Q480" s="312"/>
      <c r="R480" s="312"/>
      <c r="S480" s="312"/>
      <c r="T480" s="312"/>
      <c r="U480" s="312"/>
    </row>
    <row r="481">
      <c r="A481" s="508" t="s">
        <v>24246</v>
      </c>
      <c r="B481" s="232" t="s">
        <v>24259</v>
      </c>
      <c r="C481" s="509" t="s">
        <v>24260</v>
      </c>
      <c r="D481" s="510" t="s">
        <v>24261</v>
      </c>
      <c r="E481" s="511"/>
      <c r="F481" s="232" t="s">
        <v>24262</v>
      </c>
      <c r="G481" s="232" t="s">
        <v>2662</v>
      </c>
      <c r="H481" s="232">
        <v>9.380816139E9</v>
      </c>
      <c r="I481" s="509" t="s">
        <v>24263</v>
      </c>
      <c r="J481" s="232" t="b">
        <v>0</v>
      </c>
      <c r="K481" s="232" t="s">
        <v>334</v>
      </c>
      <c r="L481" s="232"/>
      <c r="M481" s="511"/>
      <c r="N481" s="232"/>
      <c r="O481" s="232"/>
      <c r="P481" s="312"/>
      <c r="Q481" s="312"/>
      <c r="R481" s="312"/>
      <c r="S481" s="312"/>
      <c r="T481" s="312"/>
      <c r="U481" s="312"/>
    </row>
    <row r="482">
      <c r="A482" s="508" t="s">
        <v>24246</v>
      </c>
      <c r="B482" s="232" t="s">
        <v>24264</v>
      </c>
      <c r="C482" s="509" t="s">
        <v>24265</v>
      </c>
      <c r="D482" s="510"/>
      <c r="E482" s="511"/>
      <c r="F482" s="232"/>
      <c r="G482" s="232" t="s">
        <v>7995</v>
      </c>
      <c r="H482" s="232">
        <v>8.420068368E9</v>
      </c>
      <c r="I482" s="509" t="s">
        <v>24122</v>
      </c>
      <c r="J482" s="232" t="b">
        <v>0</v>
      </c>
      <c r="K482" s="232" t="s">
        <v>12092</v>
      </c>
      <c r="L482" s="232"/>
      <c r="M482" s="511"/>
      <c r="N482" s="232"/>
      <c r="O482" s="232"/>
      <c r="P482" s="312"/>
      <c r="Q482" s="312"/>
      <c r="R482" s="312"/>
      <c r="S482" s="312"/>
      <c r="T482" s="312"/>
      <c r="U482" s="312"/>
    </row>
    <row r="483">
      <c r="A483" s="508" t="s">
        <v>24246</v>
      </c>
      <c r="B483" s="232" t="s">
        <v>24266</v>
      </c>
      <c r="C483" s="509" t="s">
        <v>24267</v>
      </c>
      <c r="D483" s="510" t="s">
        <v>24268</v>
      </c>
      <c r="E483" s="511"/>
      <c r="F483" s="232" t="s">
        <v>24269</v>
      </c>
      <c r="G483" s="232" t="s">
        <v>24270</v>
      </c>
      <c r="H483" s="232">
        <v>6.364743728E9</v>
      </c>
      <c r="I483" s="509" t="s">
        <v>22822</v>
      </c>
      <c r="J483" s="232" t="b">
        <v>0</v>
      </c>
      <c r="K483" s="232" t="s">
        <v>334</v>
      </c>
      <c r="L483" s="232"/>
      <c r="M483" s="511"/>
      <c r="N483" s="232"/>
      <c r="O483" s="232"/>
      <c r="P483" s="312"/>
      <c r="Q483" s="312"/>
      <c r="R483" s="312"/>
      <c r="S483" s="312"/>
      <c r="T483" s="312"/>
      <c r="U483" s="312"/>
    </row>
    <row r="484">
      <c r="A484" s="508" t="s">
        <v>24246</v>
      </c>
      <c r="B484" s="232" t="s">
        <v>24271</v>
      </c>
      <c r="C484" s="509" t="s">
        <v>24272</v>
      </c>
      <c r="D484" s="510"/>
      <c r="E484" s="511"/>
      <c r="F484" s="232" t="s">
        <v>24273</v>
      </c>
      <c r="G484" s="232" t="s">
        <v>507</v>
      </c>
      <c r="H484" s="232">
        <v>9.082149231E9</v>
      </c>
      <c r="I484" s="509" t="s">
        <v>24274</v>
      </c>
      <c r="J484" s="232" t="b">
        <v>0</v>
      </c>
      <c r="K484" s="232" t="s">
        <v>22355</v>
      </c>
      <c r="L484" s="232"/>
      <c r="M484" s="511"/>
      <c r="N484" s="232"/>
      <c r="O484" s="232"/>
      <c r="P484" s="312"/>
      <c r="Q484" s="312"/>
      <c r="R484" s="312"/>
      <c r="S484" s="312"/>
      <c r="T484" s="312"/>
      <c r="U484" s="312"/>
    </row>
    <row r="485">
      <c r="A485" s="508" t="s">
        <v>24246</v>
      </c>
      <c r="B485" s="232" t="s">
        <v>24275</v>
      </c>
      <c r="C485" s="509" t="s">
        <v>2880</v>
      </c>
      <c r="D485" s="510"/>
      <c r="E485" s="511"/>
      <c r="F485" s="232" t="s">
        <v>24276</v>
      </c>
      <c r="G485" s="232" t="s">
        <v>24270</v>
      </c>
      <c r="H485" s="232">
        <v>9.448392838E9</v>
      </c>
      <c r="I485" s="509" t="s">
        <v>22480</v>
      </c>
      <c r="J485" s="232" t="b">
        <v>0</v>
      </c>
      <c r="K485" s="232" t="s">
        <v>22349</v>
      </c>
      <c r="L485" s="232" t="s">
        <v>24277</v>
      </c>
      <c r="M485" s="511"/>
      <c r="N485" s="232"/>
      <c r="O485" s="232"/>
      <c r="P485" s="312"/>
      <c r="Q485" s="312"/>
      <c r="R485" s="312"/>
      <c r="S485" s="312"/>
      <c r="T485" s="312"/>
      <c r="U485" s="312"/>
    </row>
    <row r="486">
      <c r="A486" s="508" t="s">
        <v>24246</v>
      </c>
      <c r="B486" s="232" t="s">
        <v>24278</v>
      </c>
      <c r="C486" s="509" t="s">
        <v>17111</v>
      </c>
      <c r="D486" s="510" t="s">
        <v>24279</v>
      </c>
      <c r="E486" s="511"/>
      <c r="F486" s="232" t="s">
        <v>24280</v>
      </c>
      <c r="G486" s="232" t="s">
        <v>22564</v>
      </c>
      <c r="H486" s="232">
        <v>7.97515539E9</v>
      </c>
      <c r="I486" s="509" t="s">
        <v>22577</v>
      </c>
      <c r="J486" s="232" t="b">
        <v>0</v>
      </c>
      <c r="K486" s="232" t="s">
        <v>22365</v>
      </c>
      <c r="L486" s="232" t="s">
        <v>22422</v>
      </c>
      <c r="M486" s="511"/>
      <c r="N486" s="232"/>
      <c r="O486" s="232"/>
      <c r="P486" s="312"/>
      <c r="Q486" s="312"/>
      <c r="R486" s="312"/>
      <c r="S486" s="312"/>
      <c r="T486" s="312"/>
      <c r="U486" s="312"/>
    </row>
    <row r="487">
      <c r="A487" s="508" t="s">
        <v>24246</v>
      </c>
      <c r="B487" s="232" t="s">
        <v>24281</v>
      </c>
      <c r="C487" s="509" t="s">
        <v>24282</v>
      </c>
      <c r="D487" s="510" t="s">
        <v>24283</v>
      </c>
      <c r="E487" s="511"/>
      <c r="F487" s="232" t="s">
        <v>24284</v>
      </c>
      <c r="G487" s="232" t="s">
        <v>24270</v>
      </c>
      <c r="H487" s="232">
        <v>9.986452866E9</v>
      </c>
      <c r="I487" s="509" t="s">
        <v>22605</v>
      </c>
      <c r="J487" s="232" t="b">
        <v>0</v>
      </c>
      <c r="K487" s="232" t="s">
        <v>22349</v>
      </c>
      <c r="L487" s="232" t="s">
        <v>24277</v>
      </c>
      <c r="M487" s="511"/>
      <c r="N487" s="232"/>
      <c r="O487" s="232"/>
      <c r="P487" s="312"/>
      <c r="Q487" s="312"/>
      <c r="R487" s="312"/>
      <c r="S487" s="312"/>
      <c r="T487" s="312"/>
      <c r="U487" s="312"/>
    </row>
    <row r="488">
      <c r="A488" s="508" t="s">
        <v>24246</v>
      </c>
      <c r="B488" s="232" t="s">
        <v>24285</v>
      </c>
      <c r="C488" s="509" t="s">
        <v>24286</v>
      </c>
      <c r="D488" s="510"/>
      <c r="E488" s="511"/>
      <c r="F488" s="232" t="s">
        <v>24287</v>
      </c>
      <c r="G488" s="232" t="s">
        <v>24176</v>
      </c>
      <c r="H488" s="232">
        <v>9.946606661E9</v>
      </c>
      <c r="I488" s="509" t="s">
        <v>24288</v>
      </c>
      <c r="J488" s="232" t="b">
        <v>0</v>
      </c>
      <c r="K488" s="232" t="s">
        <v>22365</v>
      </c>
      <c r="L488" s="232" t="s">
        <v>24289</v>
      </c>
      <c r="M488" s="511"/>
      <c r="N488" s="232"/>
      <c r="O488" s="232"/>
      <c r="P488" s="312"/>
      <c r="Q488" s="312"/>
      <c r="R488" s="312"/>
      <c r="S488" s="312"/>
      <c r="T488" s="312"/>
      <c r="U488" s="312"/>
    </row>
    <row r="489">
      <c r="A489" s="508" t="s">
        <v>24246</v>
      </c>
      <c r="B489" s="232" t="s">
        <v>24290</v>
      </c>
      <c r="C489" s="509" t="s">
        <v>24291</v>
      </c>
      <c r="D489" s="510" t="s">
        <v>24292</v>
      </c>
      <c r="E489" s="511"/>
      <c r="F489" s="232" t="s">
        <v>24293</v>
      </c>
      <c r="G489" s="232" t="s">
        <v>2882</v>
      </c>
      <c r="H489" s="232">
        <v>9.992555248E9</v>
      </c>
      <c r="I489" s="509" t="s">
        <v>24294</v>
      </c>
      <c r="J489" s="232" t="b">
        <v>0</v>
      </c>
      <c r="K489" s="232" t="s">
        <v>334</v>
      </c>
      <c r="L489" s="232"/>
      <c r="M489" s="511"/>
      <c r="N489" s="232"/>
      <c r="O489" s="232"/>
      <c r="P489" s="312"/>
      <c r="Q489" s="312"/>
      <c r="R489" s="312"/>
      <c r="S489" s="312"/>
      <c r="T489" s="312"/>
      <c r="U489" s="312"/>
    </row>
    <row r="490">
      <c r="A490" s="508" t="s">
        <v>24246</v>
      </c>
      <c r="B490" s="232" t="s">
        <v>24295</v>
      </c>
      <c r="C490" s="509" t="s">
        <v>24296</v>
      </c>
      <c r="D490" s="510"/>
      <c r="E490" s="511"/>
      <c r="F490" s="232" t="s">
        <v>24297</v>
      </c>
      <c r="G490" s="232" t="s">
        <v>22687</v>
      </c>
      <c r="H490" s="232">
        <v>9.015427378E9</v>
      </c>
      <c r="I490" s="509" t="s">
        <v>24298</v>
      </c>
      <c r="J490" s="232" t="b">
        <v>0</v>
      </c>
      <c r="K490" s="232" t="s">
        <v>22365</v>
      </c>
      <c r="L490" s="232" t="s">
        <v>24299</v>
      </c>
      <c r="M490" s="511"/>
      <c r="N490" s="232"/>
      <c r="O490" s="232"/>
      <c r="P490" s="312"/>
      <c r="Q490" s="312"/>
      <c r="R490" s="312"/>
      <c r="S490" s="312"/>
      <c r="T490" s="312"/>
      <c r="U490" s="312"/>
    </row>
    <row r="491">
      <c r="A491" s="508" t="s">
        <v>24246</v>
      </c>
      <c r="B491" s="232" t="s">
        <v>24300</v>
      </c>
      <c r="C491" s="509" t="s">
        <v>24301</v>
      </c>
      <c r="D491" s="510"/>
      <c r="E491" s="511"/>
      <c r="F491" s="232" t="s">
        <v>24302</v>
      </c>
      <c r="G491" s="232" t="s">
        <v>24303</v>
      </c>
      <c r="H491" s="232">
        <v>9.123923018E9</v>
      </c>
      <c r="I491" s="509" t="s">
        <v>22860</v>
      </c>
      <c r="J491" s="232" t="b">
        <v>0</v>
      </c>
      <c r="K491" s="232" t="s">
        <v>22365</v>
      </c>
      <c r="L491" s="232" t="s">
        <v>24299</v>
      </c>
      <c r="M491" s="511"/>
      <c r="N491" s="232"/>
      <c r="O491" s="232"/>
      <c r="P491" s="312"/>
      <c r="Q491" s="312"/>
      <c r="R491" s="312"/>
      <c r="S491" s="312"/>
      <c r="T491" s="312"/>
      <c r="U491" s="312"/>
    </row>
    <row r="492">
      <c r="A492" s="508" t="s">
        <v>24246</v>
      </c>
      <c r="B492" s="232" t="s">
        <v>24304</v>
      </c>
      <c r="C492" s="509" t="s">
        <v>24305</v>
      </c>
      <c r="D492" s="510" t="s">
        <v>24306</v>
      </c>
      <c r="E492" s="511"/>
      <c r="F492" s="232" t="s">
        <v>24307</v>
      </c>
      <c r="G492" s="232" t="s">
        <v>24046</v>
      </c>
      <c r="H492" s="232">
        <v>9.542981411E9</v>
      </c>
      <c r="I492" s="509" t="s">
        <v>24308</v>
      </c>
      <c r="J492" s="232" t="b">
        <v>0</v>
      </c>
      <c r="K492" s="232"/>
      <c r="L492" s="232"/>
      <c r="M492" s="511"/>
      <c r="N492" s="232"/>
      <c r="O492" s="232"/>
      <c r="P492" s="312"/>
      <c r="Q492" s="312"/>
      <c r="R492" s="312"/>
      <c r="S492" s="312"/>
      <c r="T492" s="312"/>
      <c r="U492" s="312"/>
    </row>
    <row r="493">
      <c r="A493" s="513" t="s">
        <v>24309</v>
      </c>
      <c r="B493" s="514" t="s">
        <v>24310</v>
      </c>
      <c r="C493" s="515" t="s">
        <v>24311</v>
      </c>
      <c r="D493" s="516" t="s">
        <v>24312</v>
      </c>
      <c r="E493" s="517"/>
      <c r="F493" s="514" t="s">
        <v>24313</v>
      </c>
      <c r="G493" s="514" t="s">
        <v>9266</v>
      </c>
      <c r="H493" s="514">
        <v>7.994747287E9</v>
      </c>
      <c r="I493" s="515" t="s">
        <v>24314</v>
      </c>
      <c r="J493" s="514" t="b">
        <v>0</v>
      </c>
      <c r="K493" s="514" t="s">
        <v>22312</v>
      </c>
      <c r="L493" s="518" t="s">
        <v>24315</v>
      </c>
      <c r="M493" s="511"/>
      <c r="N493" s="232"/>
      <c r="O493" s="232"/>
      <c r="P493" s="312"/>
      <c r="Q493" s="312"/>
      <c r="R493" s="312"/>
      <c r="S493" s="312"/>
      <c r="T493" s="312"/>
      <c r="U493" s="312"/>
    </row>
    <row r="494">
      <c r="A494" s="508" t="s">
        <v>24309</v>
      </c>
      <c r="B494" s="232" t="s">
        <v>24316</v>
      </c>
      <c r="C494" s="509" t="s">
        <v>24317</v>
      </c>
      <c r="D494" s="510"/>
      <c r="E494" s="511"/>
      <c r="F494" s="232" t="s">
        <v>24318</v>
      </c>
      <c r="G494" s="232" t="s">
        <v>24270</v>
      </c>
      <c r="H494" s="232">
        <v>9.741827626E9</v>
      </c>
      <c r="I494" s="509" t="s">
        <v>24319</v>
      </c>
      <c r="J494" s="232" t="b">
        <v>0</v>
      </c>
      <c r="K494" s="232" t="s">
        <v>334</v>
      </c>
      <c r="L494" s="232" t="s">
        <v>24320</v>
      </c>
      <c r="M494" s="511"/>
      <c r="N494" s="232"/>
      <c r="O494" s="232"/>
      <c r="P494" s="312"/>
      <c r="Q494" s="312"/>
      <c r="R494" s="312"/>
      <c r="S494" s="312"/>
      <c r="T494" s="312"/>
      <c r="U494" s="312"/>
    </row>
    <row r="495">
      <c r="A495" s="508" t="s">
        <v>24309</v>
      </c>
      <c r="B495" s="232" t="s">
        <v>24321</v>
      </c>
      <c r="C495" s="509" t="s">
        <v>24322</v>
      </c>
      <c r="D495" s="510" t="s">
        <v>24323</v>
      </c>
      <c r="E495" s="511"/>
      <c r="F495" s="232"/>
      <c r="G495" s="232" t="s">
        <v>24324</v>
      </c>
      <c r="H495" s="232">
        <v>9.751461153E9</v>
      </c>
      <c r="I495" s="509" t="s">
        <v>22961</v>
      </c>
      <c r="J495" s="232" t="b">
        <v>0</v>
      </c>
      <c r="K495" s="232" t="s">
        <v>22365</v>
      </c>
      <c r="L495" s="232" t="s">
        <v>22611</v>
      </c>
      <c r="M495" s="511"/>
      <c r="N495" s="232"/>
      <c r="O495" s="232"/>
      <c r="P495" s="312"/>
      <c r="Q495" s="312"/>
      <c r="R495" s="312"/>
      <c r="S495" s="312"/>
      <c r="T495" s="312"/>
      <c r="U495" s="312"/>
    </row>
    <row r="496">
      <c r="A496" s="508" t="s">
        <v>24309</v>
      </c>
      <c r="B496" s="232" t="s">
        <v>24325</v>
      </c>
      <c r="C496" s="509" t="s">
        <v>24326</v>
      </c>
      <c r="D496" s="510" t="s">
        <v>24327</v>
      </c>
      <c r="E496" s="511"/>
      <c r="F496" s="232" t="s">
        <v>24328</v>
      </c>
      <c r="G496" s="232" t="s">
        <v>24270</v>
      </c>
      <c r="H496" s="232">
        <v>9.449642091E9</v>
      </c>
      <c r="I496" s="512" t="s">
        <v>24329</v>
      </c>
      <c r="J496" s="232" t="b">
        <v>0</v>
      </c>
      <c r="K496" s="232" t="s">
        <v>22355</v>
      </c>
      <c r="L496" s="232"/>
      <c r="M496" s="511"/>
      <c r="N496" s="232"/>
      <c r="O496" s="232"/>
      <c r="P496" s="312"/>
      <c r="Q496" s="312"/>
      <c r="R496" s="312"/>
      <c r="S496" s="312"/>
      <c r="T496" s="312"/>
      <c r="U496" s="312"/>
    </row>
    <row r="497">
      <c r="A497" s="508" t="s">
        <v>24309</v>
      </c>
      <c r="B497" s="232" t="s">
        <v>24330</v>
      </c>
      <c r="C497" s="509" t="s">
        <v>24331</v>
      </c>
      <c r="D497" s="510" t="s">
        <v>0</v>
      </c>
      <c r="E497" s="511"/>
      <c r="F497" s="232" t="s">
        <v>24332</v>
      </c>
      <c r="G497" s="232" t="s">
        <v>22564</v>
      </c>
      <c r="H497" s="232">
        <v>8.104025701E9</v>
      </c>
      <c r="I497" s="509" t="s">
        <v>24333</v>
      </c>
      <c r="J497" s="232" t="b">
        <v>0</v>
      </c>
      <c r="K497" s="232" t="s">
        <v>334</v>
      </c>
      <c r="L497" s="232"/>
      <c r="M497" s="511"/>
      <c r="N497" s="232"/>
      <c r="O497" s="232"/>
      <c r="P497" s="312"/>
      <c r="Q497" s="312"/>
      <c r="R497" s="312"/>
      <c r="S497" s="312"/>
      <c r="T497" s="312"/>
      <c r="U497" s="312"/>
    </row>
    <row r="498">
      <c r="A498" s="508" t="s">
        <v>24309</v>
      </c>
      <c r="B498" s="232" t="s">
        <v>24334</v>
      </c>
      <c r="C498" s="509" t="s">
        <v>24335</v>
      </c>
      <c r="D498" s="519" t="s">
        <v>24336</v>
      </c>
      <c r="E498" s="511"/>
      <c r="F498" s="232" t="s">
        <v>24337</v>
      </c>
      <c r="G498" s="232" t="s">
        <v>22583</v>
      </c>
      <c r="H498" s="232">
        <v>9.696929279E9</v>
      </c>
      <c r="I498" s="509" t="s">
        <v>22577</v>
      </c>
      <c r="J498" s="232" t="b">
        <v>0</v>
      </c>
      <c r="K498" s="232" t="s">
        <v>22365</v>
      </c>
      <c r="L498" s="232" t="s">
        <v>24338</v>
      </c>
      <c r="M498" s="511"/>
      <c r="N498" s="232"/>
      <c r="O498" s="232"/>
      <c r="P498" s="312"/>
      <c r="Q498" s="312"/>
      <c r="R498" s="312"/>
      <c r="S498" s="312"/>
      <c r="T498" s="312"/>
      <c r="U498" s="312"/>
    </row>
    <row r="499">
      <c r="A499" s="508" t="s">
        <v>24309</v>
      </c>
      <c r="B499" s="232" t="s">
        <v>24339</v>
      </c>
      <c r="C499" s="509" t="s">
        <v>24340</v>
      </c>
      <c r="D499" s="510" t="s">
        <v>24341</v>
      </c>
      <c r="E499" s="511"/>
      <c r="F499" s="232" t="s">
        <v>24342</v>
      </c>
      <c r="G499" s="232" t="s">
        <v>22292</v>
      </c>
      <c r="H499" s="232">
        <v>-9.594543412E9</v>
      </c>
      <c r="I499" s="509" t="s">
        <v>22961</v>
      </c>
      <c r="J499" s="232" t="b">
        <v>0</v>
      </c>
      <c r="K499" s="232" t="s">
        <v>22349</v>
      </c>
      <c r="L499" s="232" t="s">
        <v>24343</v>
      </c>
      <c r="M499" s="511"/>
      <c r="N499" s="232"/>
      <c r="O499" s="232"/>
      <c r="P499" s="312"/>
      <c r="Q499" s="312"/>
      <c r="R499" s="312"/>
      <c r="S499" s="312"/>
      <c r="T499" s="312"/>
      <c r="U499" s="312"/>
    </row>
    <row r="500">
      <c r="A500" s="508" t="s">
        <v>24309</v>
      </c>
      <c r="B500" s="232" t="s">
        <v>24344</v>
      </c>
      <c r="C500" s="509" t="s">
        <v>24345</v>
      </c>
      <c r="D500" s="510" t="s">
        <v>24346</v>
      </c>
      <c r="E500" s="511"/>
      <c r="F500" s="232"/>
      <c r="G500" s="232" t="s">
        <v>23782</v>
      </c>
      <c r="H500" s="232">
        <v>9.030662963E9</v>
      </c>
      <c r="I500" s="509" t="s">
        <v>22364</v>
      </c>
      <c r="J500" s="232" t="b">
        <v>0</v>
      </c>
      <c r="K500" s="232" t="s">
        <v>334</v>
      </c>
      <c r="L500" s="232"/>
      <c r="M500" s="511"/>
      <c r="N500" s="232"/>
      <c r="O500" s="232"/>
      <c r="P500" s="312"/>
      <c r="Q500" s="312"/>
      <c r="R500" s="312"/>
      <c r="S500" s="312"/>
      <c r="T500" s="312"/>
      <c r="U500" s="312"/>
    </row>
    <row r="501">
      <c r="A501" s="508" t="s">
        <v>24309</v>
      </c>
      <c r="B501" s="232" t="s">
        <v>24347</v>
      </c>
      <c r="C501" s="509" t="s">
        <v>24348</v>
      </c>
      <c r="D501" s="510"/>
      <c r="E501" s="511"/>
      <c r="F501" s="232" t="s">
        <v>24349</v>
      </c>
      <c r="G501" s="232" t="s">
        <v>22288</v>
      </c>
      <c r="H501" s="232">
        <v>9.521259821E9</v>
      </c>
      <c r="I501" s="509" t="s">
        <v>24060</v>
      </c>
      <c r="J501" s="232" t="b">
        <v>0</v>
      </c>
      <c r="K501" s="232"/>
      <c r="L501" s="232"/>
      <c r="M501" s="511"/>
      <c r="N501" s="232"/>
      <c r="O501" s="232"/>
      <c r="P501" s="312"/>
      <c r="Q501" s="312"/>
      <c r="R501" s="312"/>
      <c r="S501" s="312"/>
      <c r="T501" s="312"/>
      <c r="U501" s="312"/>
    </row>
    <row r="502">
      <c r="A502" s="508" t="s">
        <v>24309</v>
      </c>
      <c r="B502" s="232" t="s">
        <v>24350</v>
      </c>
      <c r="C502" s="509" t="s">
        <v>24351</v>
      </c>
      <c r="D502" s="510" t="s">
        <v>24352</v>
      </c>
      <c r="E502" s="511"/>
      <c r="F502" s="232" t="s">
        <v>24353</v>
      </c>
      <c r="G502" s="232" t="s">
        <v>22507</v>
      </c>
      <c r="H502" s="232">
        <v>9.380816139E9</v>
      </c>
      <c r="I502" s="509" t="s">
        <v>24263</v>
      </c>
      <c r="J502" s="232" t="b">
        <v>0</v>
      </c>
      <c r="K502" s="232" t="s">
        <v>22365</v>
      </c>
      <c r="L502" s="232" t="s">
        <v>22554</v>
      </c>
      <c r="M502" s="511"/>
      <c r="N502" s="232"/>
      <c r="O502" s="232"/>
      <c r="P502" s="312"/>
      <c r="Q502" s="312"/>
      <c r="R502" s="312"/>
      <c r="S502" s="312"/>
      <c r="T502" s="312"/>
      <c r="U502" s="312"/>
    </row>
    <row r="503">
      <c r="A503" s="508" t="s">
        <v>24309</v>
      </c>
      <c r="B503" s="232" t="s">
        <v>24354</v>
      </c>
      <c r="C503" s="509" t="s">
        <v>24355</v>
      </c>
      <c r="D503" s="510"/>
      <c r="E503" s="511"/>
      <c r="F503" s="232" t="s">
        <v>24356</v>
      </c>
      <c r="G503" s="232" t="s">
        <v>24357</v>
      </c>
      <c r="H503" s="232">
        <v>9.955999818E9</v>
      </c>
      <c r="I503" s="509" t="s">
        <v>24358</v>
      </c>
      <c r="J503" s="232" t="b">
        <v>0</v>
      </c>
      <c r="K503" s="232" t="s">
        <v>22355</v>
      </c>
      <c r="L503" s="232" t="s">
        <v>24359</v>
      </c>
      <c r="M503" s="511"/>
      <c r="N503" s="232"/>
      <c r="O503" s="232"/>
      <c r="P503" s="312"/>
      <c r="Q503" s="312"/>
      <c r="R503" s="312"/>
      <c r="S503" s="312"/>
      <c r="T503" s="312"/>
      <c r="U503" s="312"/>
    </row>
    <row r="504">
      <c r="A504" s="508" t="s">
        <v>24309</v>
      </c>
      <c r="B504" s="232" t="s">
        <v>24360</v>
      </c>
      <c r="C504" s="509" t="s">
        <v>24361</v>
      </c>
      <c r="D504" s="510" t="s">
        <v>24362</v>
      </c>
      <c r="E504" s="511"/>
      <c r="F504" s="232" t="s">
        <v>24363</v>
      </c>
      <c r="G504" s="232" t="s">
        <v>977</v>
      </c>
      <c r="H504" s="232">
        <v>9.334629127E9</v>
      </c>
      <c r="I504" s="509" t="s">
        <v>24364</v>
      </c>
      <c r="J504" s="232" t="b">
        <v>0</v>
      </c>
      <c r="K504" s="232" t="s">
        <v>22365</v>
      </c>
      <c r="L504" s="232" t="s">
        <v>24365</v>
      </c>
      <c r="M504" s="511"/>
      <c r="N504" s="232"/>
      <c r="O504" s="232"/>
      <c r="P504" s="312"/>
      <c r="Q504" s="312"/>
      <c r="R504" s="312"/>
      <c r="S504" s="312"/>
      <c r="T504" s="312"/>
      <c r="U504" s="312"/>
    </row>
    <row r="505">
      <c r="A505" s="508" t="s">
        <v>24309</v>
      </c>
      <c r="B505" s="232" t="s">
        <v>24366</v>
      </c>
      <c r="C505" s="509" t="s">
        <v>24367</v>
      </c>
      <c r="D505" s="510" t="s">
        <v>24368</v>
      </c>
      <c r="E505" s="511"/>
      <c r="F505" s="232" t="s">
        <v>24369</v>
      </c>
      <c r="G505" s="232" t="s">
        <v>22315</v>
      </c>
      <c r="H505" s="232">
        <v>9.734402618E9</v>
      </c>
      <c r="I505" s="509" t="s">
        <v>22903</v>
      </c>
      <c r="J505" s="232" t="b">
        <v>0</v>
      </c>
      <c r="K505" s="232" t="s">
        <v>22365</v>
      </c>
      <c r="L505" s="232" t="s">
        <v>24370</v>
      </c>
      <c r="M505" s="511"/>
      <c r="N505" s="232"/>
      <c r="O505" s="232"/>
      <c r="P505" s="312"/>
      <c r="Q505" s="312"/>
      <c r="R505" s="312"/>
      <c r="S505" s="312"/>
      <c r="T505" s="312"/>
      <c r="U505" s="312"/>
    </row>
    <row r="506">
      <c r="A506" s="508" t="s">
        <v>24309</v>
      </c>
      <c r="B506" s="232" t="s">
        <v>24371</v>
      </c>
      <c r="C506" s="509" t="s">
        <v>24372</v>
      </c>
      <c r="D506" s="510"/>
      <c r="E506" s="511"/>
      <c r="F506" s="232" t="s">
        <v>24373</v>
      </c>
      <c r="G506" s="232" t="s">
        <v>24374</v>
      </c>
      <c r="H506" s="232">
        <v>9.679154884E9</v>
      </c>
      <c r="I506" s="509" t="s">
        <v>24375</v>
      </c>
      <c r="J506" s="232" t="b">
        <v>0</v>
      </c>
      <c r="K506" s="232" t="s">
        <v>22349</v>
      </c>
      <c r="L506" s="232" t="s">
        <v>22398</v>
      </c>
      <c r="M506" s="511"/>
      <c r="N506" s="232"/>
      <c r="O506" s="232"/>
      <c r="P506" s="312"/>
      <c r="Q506" s="312"/>
      <c r="R506" s="312"/>
      <c r="S506" s="312"/>
      <c r="T506" s="312"/>
      <c r="U506" s="312"/>
    </row>
    <row r="507">
      <c r="A507" s="508" t="s">
        <v>24309</v>
      </c>
      <c r="B507" s="232" t="s">
        <v>24376</v>
      </c>
      <c r="C507" s="509" t="s">
        <v>24377</v>
      </c>
      <c r="D507" s="510" t="s">
        <v>24378</v>
      </c>
      <c r="E507" s="511"/>
      <c r="F507" s="232" t="s">
        <v>24379</v>
      </c>
      <c r="G507" s="232" t="s">
        <v>24162</v>
      </c>
      <c r="H507" s="232">
        <v>9.804950281E9</v>
      </c>
      <c r="I507" s="509" t="s">
        <v>24380</v>
      </c>
      <c r="J507" s="232" t="b">
        <v>0</v>
      </c>
      <c r="K507" s="232" t="s">
        <v>22349</v>
      </c>
      <c r="L507" s="232" t="s">
        <v>24381</v>
      </c>
      <c r="M507" s="511"/>
      <c r="N507" s="232"/>
      <c r="O507" s="232"/>
      <c r="P507" s="312"/>
      <c r="Q507" s="312"/>
      <c r="R507" s="312"/>
      <c r="S507" s="312"/>
      <c r="T507" s="312"/>
      <c r="U507" s="312"/>
    </row>
    <row r="508">
      <c r="A508" s="508" t="s">
        <v>24382</v>
      </c>
      <c r="B508" s="232" t="s">
        <v>24383</v>
      </c>
      <c r="C508" s="509" t="s">
        <v>24384</v>
      </c>
      <c r="D508" s="510" t="s">
        <v>24385</v>
      </c>
      <c r="E508" s="511"/>
      <c r="F508" s="232" t="s">
        <v>24386</v>
      </c>
      <c r="G508" s="232" t="s">
        <v>24387</v>
      </c>
      <c r="H508" s="232">
        <v>8.00181001E9</v>
      </c>
      <c r="I508" s="509" t="s">
        <v>24388</v>
      </c>
      <c r="J508" s="232" t="b">
        <v>0</v>
      </c>
      <c r="K508" s="232" t="s">
        <v>22365</v>
      </c>
      <c r="L508" s="232" t="s">
        <v>22514</v>
      </c>
      <c r="M508" s="511"/>
      <c r="N508" s="232"/>
      <c r="O508" s="232"/>
      <c r="P508" s="312"/>
      <c r="Q508" s="312"/>
      <c r="R508" s="312"/>
      <c r="S508" s="312"/>
      <c r="T508" s="312"/>
      <c r="U508" s="312"/>
    </row>
    <row r="509">
      <c r="A509" s="508" t="s">
        <v>24382</v>
      </c>
      <c r="B509" s="232" t="s">
        <v>24389</v>
      </c>
      <c r="C509" s="509" t="s">
        <v>24390</v>
      </c>
      <c r="D509" s="510" t="s">
        <v>24391</v>
      </c>
      <c r="E509" s="511"/>
      <c r="F509" s="232" t="s">
        <v>24392</v>
      </c>
      <c r="G509" s="232" t="s">
        <v>44</v>
      </c>
      <c r="H509" s="232">
        <v>8.777096309E9</v>
      </c>
      <c r="I509" s="509" t="s">
        <v>24393</v>
      </c>
      <c r="J509" s="232" t="b">
        <v>0</v>
      </c>
      <c r="K509" s="232" t="s">
        <v>22365</v>
      </c>
      <c r="L509" s="232" t="s">
        <v>22422</v>
      </c>
      <c r="M509" s="511"/>
      <c r="N509" s="232"/>
      <c r="O509" s="232"/>
      <c r="P509" s="312"/>
      <c r="Q509" s="312"/>
      <c r="R509" s="312"/>
      <c r="S509" s="312"/>
      <c r="T509" s="312"/>
      <c r="U509" s="312"/>
    </row>
    <row r="510">
      <c r="A510" s="508" t="s">
        <v>24382</v>
      </c>
      <c r="B510" s="232" t="s">
        <v>24394</v>
      </c>
      <c r="C510" s="509" t="s">
        <v>24395</v>
      </c>
      <c r="D510" s="510" t="s">
        <v>24396</v>
      </c>
      <c r="E510" s="511"/>
      <c r="F510" s="232" t="s">
        <v>24397</v>
      </c>
      <c r="G510" s="232" t="s">
        <v>44</v>
      </c>
      <c r="H510" s="232">
        <v>9.007554359E9</v>
      </c>
      <c r="I510" s="509" t="s">
        <v>24398</v>
      </c>
      <c r="J510" s="232" t="b">
        <v>0</v>
      </c>
      <c r="K510" s="232" t="s">
        <v>22355</v>
      </c>
      <c r="L510" s="232"/>
      <c r="M510" s="511"/>
      <c r="N510" s="232"/>
      <c r="O510" s="232"/>
      <c r="P510" s="312"/>
      <c r="Q510" s="312"/>
      <c r="R510" s="312"/>
      <c r="S510" s="312"/>
      <c r="T510" s="312"/>
      <c r="U510" s="312"/>
    </row>
    <row r="511">
      <c r="A511" s="508" t="s">
        <v>24382</v>
      </c>
      <c r="B511" s="232" t="s">
        <v>24399</v>
      </c>
      <c r="C511" s="509" t="s">
        <v>1474</v>
      </c>
      <c r="D511" s="510" t="s">
        <v>24400</v>
      </c>
      <c r="E511" s="511"/>
      <c r="F511" s="232" t="s">
        <v>24401</v>
      </c>
      <c r="G511" s="232" t="s">
        <v>23394</v>
      </c>
      <c r="H511" s="232">
        <v>7.975718656E9</v>
      </c>
      <c r="I511" s="509" t="s">
        <v>24402</v>
      </c>
      <c r="J511" s="232" t="b">
        <v>0</v>
      </c>
      <c r="K511" s="232" t="s">
        <v>22365</v>
      </c>
      <c r="L511" s="232" t="s">
        <v>22994</v>
      </c>
      <c r="M511" s="511"/>
      <c r="N511" s="232"/>
      <c r="O511" s="232"/>
      <c r="P511" s="312"/>
      <c r="Q511" s="312"/>
      <c r="R511" s="312"/>
      <c r="S511" s="312"/>
      <c r="T511" s="312"/>
      <c r="U511" s="312"/>
    </row>
    <row r="512">
      <c r="A512" s="508" t="s">
        <v>24382</v>
      </c>
      <c r="B512" s="232" t="s">
        <v>24403</v>
      </c>
      <c r="C512" s="509" t="s">
        <v>22739</v>
      </c>
      <c r="D512" s="510" t="s">
        <v>22740</v>
      </c>
      <c r="E512" s="511"/>
      <c r="F512" s="232" t="s">
        <v>22741</v>
      </c>
      <c r="G512" s="232" t="s">
        <v>99</v>
      </c>
      <c r="H512" s="232">
        <v>7.684923365E9</v>
      </c>
      <c r="I512" s="509" t="s">
        <v>24404</v>
      </c>
      <c r="J512" s="232" t="b">
        <v>0</v>
      </c>
      <c r="K512" s="232" t="s">
        <v>22365</v>
      </c>
      <c r="L512" s="232" t="s">
        <v>22621</v>
      </c>
      <c r="M512" s="511"/>
      <c r="N512" s="232"/>
      <c r="O512" s="232"/>
      <c r="P512" s="312"/>
      <c r="Q512" s="312"/>
      <c r="R512" s="312"/>
      <c r="S512" s="312"/>
      <c r="T512" s="312"/>
      <c r="U512" s="312"/>
    </row>
    <row r="513">
      <c r="A513" s="508" t="s">
        <v>24382</v>
      </c>
      <c r="B513" s="232" t="s">
        <v>24405</v>
      </c>
      <c r="C513" s="509" t="s">
        <v>24406</v>
      </c>
      <c r="D513" s="510"/>
      <c r="E513" s="511"/>
      <c r="F513" s="232"/>
      <c r="G513" s="232" t="s">
        <v>22770</v>
      </c>
      <c r="H513" s="232">
        <v>9.140721974E9</v>
      </c>
      <c r="I513" s="509" t="s">
        <v>24407</v>
      </c>
      <c r="J513" s="232" t="b">
        <v>0</v>
      </c>
      <c r="K513" s="232" t="s">
        <v>22365</v>
      </c>
      <c r="L513" s="232" t="s">
        <v>24408</v>
      </c>
      <c r="M513" s="511"/>
      <c r="N513" s="232"/>
      <c r="O513" s="232"/>
      <c r="P513" s="312"/>
      <c r="Q513" s="312"/>
      <c r="R513" s="312"/>
      <c r="S513" s="312"/>
      <c r="T513" s="312"/>
      <c r="U513" s="312"/>
    </row>
    <row r="514">
      <c r="A514" s="508" t="s">
        <v>24382</v>
      </c>
      <c r="B514" s="232" t="s">
        <v>24409</v>
      </c>
      <c r="C514" s="509" t="s">
        <v>3768</v>
      </c>
      <c r="D514" s="510"/>
      <c r="E514" s="511"/>
      <c r="F514" s="232" t="s">
        <v>24410</v>
      </c>
      <c r="G514" s="232" t="s">
        <v>22770</v>
      </c>
      <c r="H514" s="232">
        <v>9.899845964E9</v>
      </c>
      <c r="I514" s="509" t="s">
        <v>23661</v>
      </c>
      <c r="J514" s="232" t="b">
        <v>0</v>
      </c>
      <c r="K514" s="232"/>
      <c r="L514" s="232"/>
      <c r="M514" s="511"/>
      <c r="N514" s="232"/>
      <c r="O514" s="232"/>
      <c r="P514" s="312"/>
      <c r="Q514" s="312"/>
      <c r="R514" s="312"/>
      <c r="S514" s="312"/>
      <c r="T514" s="312"/>
      <c r="U514" s="312"/>
    </row>
    <row r="515">
      <c r="A515" s="508" t="s">
        <v>24382</v>
      </c>
      <c r="B515" s="232" t="s">
        <v>24411</v>
      </c>
      <c r="C515" s="509" t="s">
        <v>24412</v>
      </c>
      <c r="D515" s="510" t="s">
        <v>24413</v>
      </c>
      <c r="E515" s="511"/>
      <c r="F515" s="232" t="s">
        <v>24414</v>
      </c>
      <c r="G515" s="232" t="s">
        <v>23642</v>
      </c>
      <c r="H515" s="232">
        <v>8.826227788E9</v>
      </c>
      <c r="I515" s="509"/>
      <c r="J515" s="232" t="b">
        <v>0</v>
      </c>
      <c r="K515" s="232" t="s">
        <v>22349</v>
      </c>
      <c r="L515" s="232" t="s">
        <v>24415</v>
      </c>
      <c r="M515" s="511"/>
      <c r="N515" s="232"/>
      <c r="O515" s="232"/>
      <c r="P515" s="312"/>
      <c r="Q515" s="312"/>
      <c r="R515" s="312"/>
      <c r="S515" s="312"/>
      <c r="T515" s="312"/>
      <c r="U515" s="312"/>
    </row>
    <row r="516">
      <c r="A516" s="508" t="s">
        <v>24382</v>
      </c>
      <c r="B516" s="232" t="s">
        <v>24416</v>
      </c>
      <c r="C516" s="509" t="s">
        <v>24417</v>
      </c>
      <c r="D516" s="510" t="s">
        <v>24417</v>
      </c>
      <c r="E516" s="511"/>
      <c r="F516" s="232" t="s">
        <v>24418</v>
      </c>
      <c r="G516" s="232" t="s">
        <v>44</v>
      </c>
      <c r="H516" s="232">
        <v>9.051580471E9</v>
      </c>
      <c r="I516" s="509" t="s">
        <v>24419</v>
      </c>
      <c r="J516" s="232" t="b">
        <v>0</v>
      </c>
      <c r="K516" s="232" t="s">
        <v>22365</v>
      </c>
      <c r="L516" s="232" t="s">
        <v>24420</v>
      </c>
      <c r="M516" s="511"/>
      <c r="N516" s="232"/>
      <c r="O516" s="232"/>
      <c r="P516" s="312"/>
      <c r="Q516" s="312"/>
      <c r="R516" s="312"/>
      <c r="S516" s="312"/>
      <c r="T516" s="312"/>
      <c r="U516" s="312"/>
    </row>
    <row r="517">
      <c r="A517" s="508" t="s">
        <v>24382</v>
      </c>
      <c r="B517" s="232" t="s">
        <v>24421</v>
      </c>
      <c r="C517" s="509" t="s">
        <v>24422</v>
      </c>
      <c r="D517" s="510"/>
      <c r="E517" s="511"/>
      <c r="F517" s="232" t="s">
        <v>24423</v>
      </c>
      <c r="G517" s="232" t="s">
        <v>467</v>
      </c>
      <c r="H517" s="232">
        <v>8.586874764E9</v>
      </c>
      <c r="I517" s="509" t="s">
        <v>24424</v>
      </c>
      <c r="J517" s="232" t="b">
        <v>0</v>
      </c>
      <c r="K517" s="232" t="s">
        <v>22365</v>
      </c>
      <c r="L517" s="232" t="s">
        <v>24425</v>
      </c>
      <c r="M517" s="511"/>
      <c r="N517" s="232"/>
      <c r="O517" s="232"/>
      <c r="P517" s="312"/>
      <c r="Q517" s="312"/>
      <c r="R517" s="312"/>
      <c r="S517" s="312"/>
      <c r="T517" s="312"/>
      <c r="U517" s="312"/>
    </row>
    <row r="518">
      <c r="A518" s="508" t="s">
        <v>24382</v>
      </c>
      <c r="B518" s="232" t="s">
        <v>24426</v>
      </c>
      <c r="C518" s="509" t="s">
        <v>24427</v>
      </c>
      <c r="D518" s="510" t="s">
        <v>24428</v>
      </c>
      <c r="E518" s="511"/>
      <c r="F518" s="232" t="s">
        <v>24429</v>
      </c>
      <c r="G518" s="232" t="s">
        <v>24430</v>
      </c>
      <c r="H518" s="232">
        <v>7.097001825E9</v>
      </c>
      <c r="I518" s="509" t="s">
        <v>23635</v>
      </c>
      <c r="J518" s="232" t="b">
        <v>0</v>
      </c>
      <c r="K518" s="232" t="s">
        <v>334</v>
      </c>
      <c r="L518" s="232"/>
      <c r="M518" s="511"/>
      <c r="N518" s="232"/>
      <c r="O518" s="232"/>
      <c r="P518" s="312"/>
      <c r="Q518" s="312"/>
      <c r="R518" s="312"/>
      <c r="S518" s="312"/>
      <c r="T518" s="312"/>
      <c r="U518" s="312"/>
    </row>
    <row r="519">
      <c r="A519" s="508" t="s">
        <v>24382</v>
      </c>
      <c r="B519" s="232" t="s">
        <v>24431</v>
      </c>
      <c r="C519" s="509" t="s">
        <v>24043</v>
      </c>
      <c r="D519" s="510" t="s">
        <v>24044</v>
      </c>
      <c r="E519" s="511"/>
      <c r="F519" s="232" t="s">
        <v>24045</v>
      </c>
      <c r="G519" s="232" t="s">
        <v>24046</v>
      </c>
      <c r="H519" s="232">
        <v>8.00861601E9</v>
      </c>
      <c r="I519" s="509" t="s">
        <v>24432</v>
      </c>
      <c r="J519" s="232" t="b">
        <v>0</v>
      </c>
      <c r="K519" s="232"/>
      <c r="L519" s="232"/>
      <c r="M519" s="511"/>
      <c r="N519" s="232"/>
      <c r="O519" s="232"/>
      <c r="P519" s="312"/>
      <c r="Q519" s="312"/>
      <c r="R519" s="312"/>
      <c r="S519" s="312"/>
      <c r="T519" s="312"/>
      <c r="U519" s="312"/>
    </row>
    <row r="520">
      <c r="A520" s="508" t="s">
        <v>24382</v>
      </c>
      <c r="B520" s="232" t="s">
        <v>24433</v>
      </c>
      <c r="C520" s="509" t="s">
        <v>24434</v>
      </c>
      <c r="D520" s="510" t="s">
        <v>24435</v>
      </c>
      <c r="E520" s="511"/>
      <c r="F520" s="232" t="s">
        <v>24436</v>
      </c>
      <c r="G520" s="232" t="s">
        <v>467</v>
      </c>
      <c r="H520" s="232">
        <v>8.742982519E9</v>
      </c>
      <c r="I520" s="509" t="s">
        <v>24437</v>
      </c>
      <c r="J520" s="232" t="b">
        <v>0</v>
      </c>
      <c r="K520" s="232" t="s">
        <v>22365</v>
      </c>
      <c r="L520" s="232" t="s">
        <v>22566</v>
      </c>
      <c r="M520" s="511"/>
      <c r="N520" s="232"/>
      <c r="O520" s="232"/>
      <c r="P520" s="312"/>
      <c r="Q520" s="312"/>
      <c r="R520" s="312"/>
      <c r="S520" s="312"/>
      <c r="T520" s="312"/>
      <c r="U520" s="312"/>
    </row>
    <row r="521">
      <c r="A521" s="508" t="s">
        <v>24382</v>
      </c>
      <c r="B521" s="232" t="s">
        <v>24438</v>
      </c>
      <c r="C521" s="509" t="s">
        <v>17564</v>
      </c>
      <c r="D521" s="510" t="s">
        <v>24439</v>
      </c>
      <c r="E521" s="511"/>
      <c r="F521" s="232" t="s">
        <v>24440</v>
      </c>
      <c r="G521" s="232" t="s">
        <v>467</v>
      </c>
      <c r="H521" s="232">
        <v>9.837363456E9</v>
      </c>
      <c r="I521" s="509" t="s">
        <v>22829</v>
      </c>
      <c r="J521" s="232" t="b">
        <v>0</v>
      </c>
      <c r="K521" s="232" t="s">
        <v>22365</v>
      </c>
      <c r="L521" s="232" t="s">
        <v>24441</v>
      </c>
      <c r="M521" s="511"/>
      <c r="N521" s="232"/>
      <c r="O521" s="232"/>
      <c r="P521" s="312"/>
      <c r="Q521" s="312"/>
      <c r="R521" s="312"/>
      <c r="S521" s="312"/>
      <c r="T521" s="312"/>
      <c r="U521" s="312"/>
    </row>
    <row r="522">
      <c r="A522" s="520">
        <v>45233.0</v>
      </c>
      <c r="B522" s="232" t="s">
        <v>24442</v>
      </c>
      <c r="C522" s="509" t="s">
        <v>15306</v>
      </c>
      <c r="D522" s="510"/>
      <c r="E522" s="511"/>
      <c r="F522" s="232" t="s">
        <v>24443</v>
      </c>
      <c r="G522" s="232" t="s">
        <v>24100</v>
      </c>
      <c r="H522" s="232">
        <v>7.009600592E9</v>
      </c>
      <c r="I522" s="509" t="s">
        <v>22860</v>
      </c>
      <c r="J522" s="232" t="b">
        <v>0</v>
      </c>
      <c r="K522" s="232" t="s">
        <v>22355</v>
      </c>
      <c r="L522" s="232"/>
      <c r="M522" s="511"/>
      <c r="N522" s="232"/>
      <c r="O522" s="232"/>
      <c r="P522" s="312"/>
      <c r="Q522" s="312"/>
      <c r="R522" s="312"/>
      <c r="S522" s="312"/>
      <c r="T522" s="312"/>
      <c r="U522" s="312"/>
    </row>
    <row r="523">
      <c r="A523" s="520">
        <v>45233.0</v>
      </c>
      <c r="B523" s="232" t="s">
        <v>24444</v>
      </c>
      <c r="C523" s="509" t="s">
        <v>24445</v>
      </c>
      <c r="D523" s="510" t="s">
        <v>24446</v>
      </c>
      <c r="E523" s="511"/>
      <c r="F523" s="232" t="s">
        <v>24447</v>
      </c>
      <c r="G523" s="232" t="s">
        <v>467</v>
      </c>
      <c r="H523" s="232">
        <v>8.384853707E9</v>
      </c>
      <c r="I523" s="509" t="s">
        <v>22373</v>
      </c>
      <c r="J523" s="232" t="b">
        <v>0</v>
      </c>
      <c r="K523" s="232" t="s">
        <v>22365</v>
      </c>
      <c r="L523" s="232" t="s">
        <v>22422</v>
      </c>
      <c r="M523" s="511"/>
      <c r="N523" s="232"/>
      <c r="O523" s="232"/>
      <c r="P523" s="312"/>
      <c r="Q523" s="312"/>
      <c r="R523" s="312"/>
      <c r="S523" s="312"/>
      <c r="T523" s="312"/>
      <c r="U523" s="312"/>
    </row>
    <row r="524">
      <c r="A524" s="520">
        <v>45233.0</v>
      </c>
      <c r="B524" s="232" t="s">
        <v>24448</v>
      </c>
      <c r="C524" s="509" t="s">
        <v>24449</v>
      </c>
      <c r="D524" s="510" t="s">
        <v>24450</v>
      </c>
      <c r="E524" s="511"/>
      <c r="F524" s="232" t="s">
        <v>24451</v>
      </c>
      <c r="G524" s="232" t="s">
        <v>24452</v>
      </c>
      <c r="H524" s="232">
        <v>9.463125065E9</v>
      </c>
      <c r="I524" s="509" t="s">
        <v>24453</v>
      </c>
      <c r="J524" s="232" t="b">
        <v>0</v>
      </c>
      <c r="K524" s="232" t="s">
        <v>22349</v>
      </c>
      <c r="L524" s="232" t="s">
        <v>23793</v>
      </c>
      <c r="M524" s="511"/>
      <c r="N524" s="232"/>
      <c r="O524" s="232"/>
      <c r="P524" s="312"/>
      <c r="Q524" s="312"/>
      <c r="R524" s="312"/>
      <c r="S524" s="312"/>
      <c r="T524" s="312"/>
      <c r="U524" s="312"/>
    </row>
    <row r="525">
      <c r="A525" s="520">
        <v>45233.0</v>
      </c>
      <c r="B525" s="232" t="s">
        <v>24454</v>
      </c>
      <c r="C525" s="509" t="s">
        <v>24455</v>
      </c>
      <c r="D525" s="510"/>
      <c r="E525" s="511"/>
      <c r="F525" s="232" t="s">
        <v>24456</v>
      </c>
      <c r="G525" s="232" t="s">
        <v>23660</v>
      </c>
      <c r="H525" s="232">
        <v>9.784381995E9</v>
      </c>
      <c r="I525" s="509" t="s">
        <v>24457</v>
      </c>
      <c r="J525" s="232" t="b">
        <v>0</v>
      </c>
      <c r="K525" s="232" t="s">
        <v>22349</v>
      </c>
      <c r="L525" s="232" t="s">
        <v>23793</v>
      </c>
      <c r="M525" s="511"/>
      <c r="N525" s="232"/>
      <c r="O525" s="232"/>
      <c r="P525" s="312"/>
      <c r="Q525" s="312"/>
      <c r="R525" s="312"/>
      <c r="S525" s="312"/>
      <c r="T525" s="312"/>
      <c r="U525" s="312"/>
    </row>
    <row r="526">
      <c r="A526" s="520">
        <v>45233.0</v>
      </c>
      <c r="B526" s="232" t="s">
        <v>24458</v>
      </c>
      <c r="C526" s="509" t="s">
        <v>24459</v>
      </c>
      <c r="D526" s="510" t="s">
        <v>24460</v>
      </c>
      <c r="E526" s="511"/>
      <c r="F526" s="232" t="s">
        <v>24461</v>
      </c>
      <c r="G526" s="232" t="s">
        <v>24462</v>
      </c>
      <c r="H526" s="232">
        <v>9.810391301E9</v>
      </c>
      <c r="I526" s="509" t="s">
        <v>24463</v>
      </c>
      <c r="J526" s="232" t="b">
        <v>0</v>
      </c>
      <c r="K526" s="232"/>
      <c r="L526" s="232"/>
      <c r="M526" s="511"/>
      <c r="N526" s="232"/>
      <c r="O526" s="232"/>
      <c r="P526" s="312"/>
      <c r="Q526" s="312"/>
      <c r="R526" s="312"/>
      <c r="S526" s="312"/>
      <c r="T526" s="312"/>
      <c r="U526" s="312"/>
    </row>
    <row r="527">
      <c r="A527" s="520">
        <v>45233.0</v>
      </c>
      <c r="B527" s="232" t="s">
        <v>24464</v>
      </c>
      <c r="C527" s="509" t="s">
        <v>24465</v>
      </c>
      <c r="D527" s="510"/>
      <c r="E527" s="511"/>
      <c r="F527" s="232" t="s">
        <v>24466</v>
      </c>
      <c r="G527" s="232" t="s">
        <v>24467</v>
      </c>
      <c r="H527" s="232">
        <v>7.011360612E9</v>
      </c>
      <c r="I527" s="512" t="s">
        <v>23224</v>
      </c>
      <c r="J527" s="232" t="b">
        <v>0</v>
      </c>
      <c r="K527" s="232" t="s">
        <v>22365</v>
      </c>
      <c r="L527" s="232" t="s">
        <v>24468</v>
      </c>
      <c r="M527" s="511"/>
      <c r="N527" s="232"/>
      <c r="O527" s="232"/>
      <c r="P527" s="312"/>
      <c r="Q527" s="312"/>
      <c r="R527" s="312"/>
      <c r="S527" s="312"/>
      <c r="T527" s="312"/>
      <c r="U527" s="312"/>
    </row>
    <row r="528">
      <c r="A528" s="520">
        <v>45233.0</v>
      </c>
      <c r="B528" s="232" t="s">
        <v>24469</v>
      </c>
      <c r="C528" s="509" t="s">
        <v>24470</v>
      </c>
      <c r="D528" s="510"/>
      <c r="E528" s="511"/>
      <c r="F528" s="232" t="s">
        <v>24471</v>
      </c>
      <c r="G528" s="232" t="s">
        <v>22687</v>
      </c>
      <c r="H528" s="232">
        <v>8.810409804E9</v>
      </c>
      <c r="I528" s="509" t="s">
        <v>23661</v>
      </c>
      <c r="J528" s="232" t="b">
        <v>0</v>
      </c>
      <c r="K528" s="232" t="s">
        <v>22365</v>
      </c>
      <c r="L528" s="232" t="s">
        <v>24472</v>
      </c>
      <c r="M528" s="511"/>
      <c r="N528" s="232"/>
      <c r="O528" s="232"/>
      <c r="P528" s="312"/>
      <c r="Q528" s="312"/>
      <c r="R528" s="312"/>
      <c r="S528" s="312"/>
      <c r="T528" s="312"/>
      <c r="U528" s="312"/>
    </row>
    <row r="529">
      <c r="A529" s="520">
        <v>45202.0</v>
      </c>
      <c r="B529" s="232" t="s">
        <v>24473</v>
      </c>
      <c r="C529" s="509" t="s">
        <v>24474</v>
      </c>
      <c r="D529" s="510" t="s">
        <v>24475</v>
      </c>
      <c r="E529" s="511"/>
      <c r="F529" s="232"/>
      <c r="G529" s="232" t="s">
        <v>22770</v>
      </c>
      <c r="H529" s="232">
        <v>8.826688629E9</v>
      </c>
      <c r="I529" s="509" t="s">
        <v>22373</v>
      </c>
      <c r="J529" s="232" t="b">
        <v>0</v>
      </c>
      <c r="K529" s="232" t="s">
        <v>22365</v>
      </c>
      <c r="L529" s="232" t="s">
        <v>24476</v>
      </c>
      <c r="M529" s="511"/>
      <c r="N529" s="232"/>
      <c r="O529" s="232"/>
      <c r="P529" s="312"/>
      <c r="Q529" s="312"/>
      <c r="R529" s="312"/>
      <c r="S529" s="312"/>
      <c r="T529" s="312"/>
      <c r="U529" s="312"/>
    </row>
    <row r="530">
      <c r="A530" s="520">
        <v>45202.0</v>
      </c>
      <c r="B530" s="232" t="s">
        <v>24477</v>
      </c>
      <c r="C530" s="509" t="s">
        <v>22655</v>
      </c>
      <c r="D530" s="510"/>
      <c r="E530" s="511"/>
      <c r="F530" s="232" t="s">
        <v>22657</v>
      </c>
      <c r="G530" s="232" t="s">
        <v>22337</v>
      </c>
      <c r="H530" s="232">
        <v>6.370513437E9</v>
      </c>
      <c r="I530" s="509" t="s">
        <v>22364</v>
      </c>
      <c r="J530" s="232" t="b">
        <v>0</v>
      </c>
      <c r="K530" s="232" t="s">
        <v>22365</v>
      </c>
      <c r="L530" s="232" t="s">
        <v>24478</v>
      </c>
      <c r="M530" s="511"/>
      <c r="N530" s="232"/>
      <c r="O530" s="232"/>
      <c r="P530" s="312"/>
      <c r="Q530" s="312"/>
      <c r="R530" s="312"/>
      <c r="S530" s="312"/>
      <c r="T530" s="312"/>
      <c r="U530" s="312"/>
    </row>
    <row r="531">
      <c r="A531" s="520">
        <v>45202.0</v>
      </c>
      <c r="B531" s="232" t="s">
        <v>24479</v>
      </c>
      <c r="C531" s="509" t="s">
        <v>24480</v>
      </c>
      <c r="D531" s="510" t="s">
        <v>24481</v>
      </c>
      <c r="E531" s="511"/>
      <c r="F531" s="232" t="s">
        <v>24482</v>
      </c>
      <c r="G531" s="232" t="s">
        <v>22479</v>
      </c>
      <c r="H531" s="232">
        <v>-8.765751543E9</v>
      </c>
      <c r="I531" s="509" t="s">
        <v>23563</v>
      </c>
      <c r="J531" s="232" t="b">
        <v>0</v>
      </c>
      <c r="K531" s="232" t="s">
        <v>22365</v>
      </c>
      <c r="L531" s="232" t="s">
        <v>22509</v>
      </c>
      <c r="M531" s="511"/>
      <c r="N531" s="232"/>
      <c r="O531" s="232"/>
      <c r="P531" s="312"/>
      <c r="Q531" s="312"/>
      <c r="R531" s="312"/>
      <c r="S531" s="312"/>
      <c r="T531" s="312"/>
      <c r="U531" s="312"/>
    </row>
    <row r="532">
      <c r="A532" s="520">
        <v>45202.0</v>
      </c>
      <c r="B532" s="232" t="s">
        <v>24483</v>
      </c>
      <c r="C532" s="509" t="s">
        <v>24484</v>
      </c>
      <c r="D532" s="510" t="s">
        <v>24485</v>
      </c>
      <c r="E532" s="511"/>
      <c r="F532" s="232" t="s">
        <v>24486</v>
      </c>
      <c r="G532" s="232" t="s">
        <v>99</v>
      </c>
      <c r="H532" s="232">
        <v>-8.895667762E9</v>
      </c>
      <c r="I532" s="509" t="s">
        <v>24487</v>
      </c>
      <c r="J532" s="232" t="b">
        <v>0</v>
      </c>
      <c r="K532" s="232" t="s">
        <v>22365</v>
      </c>
      <c r="L532" s="232" t="s">
        <v>24488</v>
      </c>
      <c r="M532" s="511"/>
      <c r="N532" s="232"/>
      <c r="O532" s="232"/>
      <c r="P532" s="312"/>
      <c r="Q532" s="312"/>
      <c r="R532" s="312"/>
      <c r="S532" s="312"/>
      <c r="T532" s="312"/>
      <c r="U532" s="312"/>
    </row>
    <row r="533">
      <c r="A533" s="520">
        <v>45202.0</v>
      </c>
      <c r="B533" s="232" t="s">
        <v>24489</v>
      </c>
      <c r="C533" s="509" t="s">
        <v>24490</v>
      </c>
      <c r="D533" s="510" t="s">
        <v>24491</v>
      </c>
      <c r="E533" s="511"/>
      <c r="F533" s="232" t="s">
        <v>24492</v>
      </c>
      <c r="G533" s="232" t="s">
        <v>24493</v>
      </c>
      <c r="H533" s="232">
        <v>9.73312945E9</v>
      </c>
      <c r="I533" s="509" t="s">
        <v>24494</v>
      </c>
      <c r="J533" s="232" t="b">
        <v>0</v>
      </c>
      <c r="K533" s="232" t="s">
        <v>22365</v>
      </c>
      <c r="L533" s="232"/>
      <c r="M533" s="511"/>
      <c r="N533" s="232"/>
      <c r="O533" s="232"/>
      <c r="P533" s="312"/>
      <c r="Q533" s="312"/>
      <c r="R533" s="312"/>
      <c r="S533" s="312"/>
      <c r="T533" s="312"/>
      <c r="U533" s="312"/>
    </row>
    <row r="534">
      <c r="A534" s="521">
        <v>45202.0</v>
      </c>
      <c r="B534" s="514" t="s">
        <v>24495</v>
      </c>
      <c r="C534" s="515" t="s">
        <v>24496</v>
      </c>
      <c r="D534" s="516" t="s">
        <v>24497</v>
      </c>
      <c r="E534" s="517"/>
      <c r="F534" s="514" t="s">
        <v>24498</v>
      </c>
      <c r="G534" s="514" t="s">
        <v>24499</v>
      </c>
      <c r="H534" s="514">
        <v>8.967634809E9</v>
      </c>
      <c r="I534" s="515" t="s">
        <v>22278</v>
      </c>
      <c r="J534" s="514" t="b">
        <v>0</v>
      </c>
      <c r="K534" s="514" t="s">
        <v>22312</v>
      </c>
      <c r="L534" s="514" t="s">
        <v>24500</v>
      </c>
      <c r="M534" s="511"/>
      <c r="N534" s="232"/>
      <c r="O534" s="232"/>
      <c r="P534" s="312"/>
      <c r="Q534" s="312"/>
      <c r="R534" s="312"/>
      <c r="S534" s="312"/>
      <c r="T534" s="312"/>
      <c r="U534" s="312"/>
    </row>
    <row r="535">
      <c r="A535" s="520">
        <v>45202.0</v>
      </c>
      <c r="B535" s="232" t="s">
        <v>24501</v>
      </c>
      <c r="C535" s="509" t="s">
        <v>24502</v>
      </c>
      <c r="D535" s="510" t="s">
        <v>24503</v>
      </c>
      <c r="E535" s="511"/>
      <c r="F535" s="232" t="s">
        <v>24504</v>
      </c>
      <c r="G535" s="232" t="s">
        <v>24176</v>
      </c>
      <c r="H535" s="232">
        <v>7.736702413E9</v>
      </c>
      <c r="I535" s="509" t="s">
        <v>22321</v>
      </c>
      <c r="J535" s="232" t="b">
        <v>0</v>
      </c>
      <c r="K535" s="232" t="s">
        <v>22365</v>
      </c>
      <c r="L535" s="232" t="s">
        <v>24505</v>
      </c>
      <c r="M535" s="511"/>
      <c r="N535" s="232"/>
      <c r="O535" s="232"/>
      <c r="P535" s="312"/>
      <c r="Q535" s="312"/>
      <c r="R535" s="312"/>
      <c r="S535" s="312"/>
      <c r="T535" s="312"/>
      <c r="U535" s="312"/>
    </row>
    <row r="536">
      <c r="A536" s="520">
        <v>45202.0</v>
      </c>
      <c r="B536" s="232" t="s">
        <v>24506</v>
      </c>
      <c r="C536" s="509" t="s">
        <v>24507</v>
      </c>
      <c r="D536" s="510" t="s">
        <v>24508</v>
      </c>
      <c r="E536" s="511"/>
      <c r="F536" s="232" t="s">
        <v>24509</v>
      </c>
      <c r="G536" s="232" t="s">
        <v>23782</v>
      </c>
      <c r="H536" s="232">
        <v>8.374506508E9</v>
      </c>
      <c r="I536" s="509" t="s">
        <v>22577</v>
      </c>
      <c r="J536" s="232" t="b">
        <v>0</v>
      </c>
      <c r="K536" s="232" t="s">
        <v>22365</v>
      </c>
      <c r="L536" s="232" t="s">
        <v>22422</v>
      </c>
      <c r="M536" s="511"/>
      <c r="N536" s="232"/>
      <c r="O536" s="232"/>
      <c r="P536" s="312"/>
      <c r="Q536" s="312"/>
      <c r="R536" s="312"/>
      <c r="S536" s="312"/>
      <c r="T536" s="312"/>
      <c r="U536" s="312"/>
    </row>
    <row r="537">
      <c r="A537" s="520">
        <v>45202.0</v>
      </c>
      <c r="B537" s="232" t="s">
        <v>24510</v>
      </c>
      <c r="C537" s="509" t="s">
        <v>24511</v>
      </c>
      <c r="D537" s="510"/>
      <c r="E537" s="511"/>
      <c r="F537" s="232" t="s">
        <v>24512</v>
      </c>
      <c r="G537" s="232" t="s">
        <v>2882</v>
      </c>
      <c r="H537" s="232">
        <v>9.215533301E9</v>
      </c>
      <c r="I537" s="509" t="s">
        <v>24513</v>
      </c>
      <c r="J537" s="232" t="b">
        <v>0</v>
      </c>
      <c r="K537" s="232" t="s">
        <v>22365</v>
      </c>
      <c r="L537" s="425" t="s">
        <v>24514</v>
      </c>
      <c r="M537" s="511"/>
      <c r="N537" s="232"/>
      <c r="O537" s="232"/>
      <c r="P537" s="312"/>
      <c r="Q537" s="312"/>
      <c r="R537" s="312"/>
      <c r="S537" s="312"/>
      <c r="T537" s="312"/>
      <c r="U537" s="312"/>
    </row>
    <row r="538">
      <c r="A538" s="520">
        <v>45172.0</v>
      </c>
      <c r="B538" s="232" t="s">
        <v>24515</v>
      </c>
      <c r="C538" s="509" t="s">
        <v>24516</v>
      </c>
      <c r="D538" s="510" t="s">
        <v>24517</v>
      </c>
      <c r="E538" s="511"/>
      <c r="F538" s="232" t="s">
        <v>24518</v>
      </c>
      <c r="G538" s="232" t="s">
        <v>519</v>
      </c>
      <c r="H538" s="232">
        <v>9.913637689E9</v>
      </c>
      <c r="I538" s="509" t="s">
        <v>23503</v>
      </c>
      <c r="J538" s="232" t="b">
        <v>0</v>
      </c>
      <c r="K538" s="232" t="s">
        <v>22365</v>
      </c>
      <c r="L538" s="232" t="s">
        <v>24519</v>
      </c>
      <c r="M538" s="511"/>
      <c r="N538" s="232"/>
      <c r="O538" s="232"/>
      <c r="P538" s="312"/>
      <c r="Q538" s="312"/>
      <c r="R538" s="312"/>
      <c r="S538" s="312"/>
      <c r="T538" s="312"/>
      <c r="U538" s="312"/>
    </row>
    <row r="539">
      <c r="A539" s="520">
        <v>45172.0</v>
      </c>
      <c r="B539" s="232" t="s">
        <v>24520</v>
      </c>
      <c r="C539" s="509" t="s">
        <v>24521</v>
      </c>
      <c r="D539" s="510" t="s">
        <v>24522</v>
      </c>
      <c r="E539" s="511"/>
      <c r="F539" s="232" t="s">
        <v>24523</v>
      </c>
      <c r="G539" s="232" t="s">
        <v>24524</v>
      </c>
      <c r="H539" s="232">
        <v>9.774756459E9</v>
      </c>
      <c r="I539" s="509" t="s">
        <v>23522</v>
      </c>
      <c r="J539" s="232" t="b">
        <v>0</v>
      </c>
      <c r="K539" s="232" t="s">
        <v>22365</v>
      </c>
      <c r="L539" s="232"/>
      <c r="M539" s="511"/>
      <c r="N539" s="232"/>
      <c r="O539" s="232"/>
      <c r="P539" s="312"/>
      <c r="Q539" s="312"/>
      <c r="R539" s="312"/>
      <c r="S539" s="312"/>
      <c r="T539" s="312"/>
      <c r="U539" s="312"/>
    </row>
    <row r="540">
      <c r="A540" s="520">
        <v>45172.0</v>
      </c>
      <c r="B540" s="232" t="s">
        <v>24525</v>
      </c>
      <c r="C540" s="509" t="s">
        <v>24526</v>
      </c>
      <c r="D540" s="510" t="s">
        <v>24527</v>
      </c>
      <c r="E540" s="511"/>
      <c r="F540" s="232" t="s">
        <v>24528</v>
      </c>
      <c r="G540" s="232" t="s">
        <v>2662</v>
      </c>
      <c r="H540" s="232">
        <v>9.994685091E9</v>
      </c>
      <c r="I540" s="509" t="s">
        <v>23503</v>
      </c>
      <c r="J540" s="232" t="b">
        <v>0</v>
      </c>
      <c r="K540" s="232" t="s">
        <v>22365</v>
      </c>
      <c r="L540" s="232"/>
      <c r="M540" s="511"/>
      <c r="N540" s="232"/>
      <c r="O540" s="232"/>
      <c r="P540" s="312"/>
      <c r="Q540" s="312"/>
      <c r="R540" s="312"/>
      <c r="S540" s="312"/>
      <c r="T540" s="312"/>
      <c r="U540" s="312"/>
    </row>
    <row r="541">
      <c r="A541" s="520">
        <v>45172.0</v>
      </c>
      <c r="B541" s="232" t="s">
        <v>24529</v>
      </c>
      <c r="C541" s="509" t="s">
        <v>24530</v>
      </c>
      <c r="D541" s="510" t="s">
        <v>24531</v>
      </c>
      <c r="E541" s="511"/>
      <c r="F541" s="232" t="s">
        <v>24532</v>
      </c>
      <c r="G541" s="232" t="s">
        <v>24533</v>
      </c>
      <c r="H541" s="232">
        <v>-7.90707479E9</v>
      </c>
      <c r="I541" s="509" t="s">
        <v>24534</v>
      </c>
      <c r="J541" s="232" t="b">
        <v>0</v>
      </c>
      <c r="K541" s="232"/>
      <c r="L541" s="232"/>
      <c r="M541" s="511"/>
      <c r="N541" s="232"/>
      <c r="O541" s="232"/>
      <c r="P541" s="312"/>
      <c r="Q541" s="312"/>
      <c r="R541" s="312"/>
      <c r="S541" s="312"/>
      <c r="T541" s="312"/>
      <c r="U541" s="312"/>
    </row>
    <row r="542">
      <c r="A542" s="520">
        <v>45172.0</v>
      </c>
      <c r="B542" s="232" t="s">
        <v>24535</v>
      </c>
      <c r="C542" s="509" t="s">
        <v>24536</v>
      </c>
      <c r="D542" s="510" t="s">
        <v>24537</v>
      </c>
      <c r="E542" s="511"/>
      <c r="F542" s="232" t="s">
        <v>24538</v>
      </c>
      <c r="G542" s="232" t="s">
        <v>22677</v>
      </c>
      <c r="H542" s="232">
        <v>9.085721221E9</v>
      </c>
      <c r="I542" s="509" t="s">
        <v>23563</v>
      </c>
      <c r="J542" s="232" t="b">
        <v>0</v>
      </c>
      <c r="K542" s="232" t="s">
        <v>22365</v>
      </c>
      <c r="L542" s="232" t="s">
        <v>24539</v>
      </c>
      <c r="M542" s="511"/>
      <c r="N542" s="232"/>
      <c r="O542" s="232"/>
      <c r="P542" s="312"/>
      <c r="Q542" s="312"/>
      <c r="R542" s="312"/>
      <c r="S542" s="312"/>
      <c r="T542" s="312"/>
      <c r="U542" s="312"/>
    </row>
    <row r="543">
      <c r="A543" s="520">
        <v>45172.0</v>
      </c>
      <c r="B543" s="232" t="s">
        <v>24540</v>
      </c>
      <c r="C543" s="509" t="s">
        <v>24541</v>
      </c>
      <c r="D543" s="510" t="s">
        <v>24542</v>
      </c>
      <c r="E543" s="511"/>
      <c r="F543" s="232" t="s">
        <v>24543</v>
      </c>
      <c r="G543" s="232" t="s">
        <v>22292</v>
      </c>
      <c r="H543" s="232">
        <v>-8.080502929E9</v>
      </c>
      <c r="I543" s="509" t="s">
        <v>24544</v>
      </c>
      <c r="J543" s="232" t="b">
        <v>0</v>
      </c>
      <c r="K543" s="232" t="s">
        <v>334</v>
      </c>
      <c r="L543" s="232"/>
      <c r="M543" s="511"/>
      <c r="N543" s="232"/>
      <c r="O543" s="232"/>
      <c r="P543" s="312"/>
      <c r="Q543" s="312"/>
      <c r="R543" s="312"/>
      <c r="S543" s="312"/>
      <c r="T543" s="312"/>
      <c r="U543" s="312"/>
    </row>
    <row r="544">
      <c r="A544" s="520">
        <v>45172.0</v>
      </c>
      <c r="B544" s="232" t="s">
        <v>24545</v>
      </c>
      <c r="C544" s="509" t="s">
        <v>24546</v>
      </c>
      <c r="D544" s="519" t="s">
        <v>24547</v>
      </c>
      <c r="E544" s="511"/>
      <c r="F544" s="232" t="s">
        <v>24548</v>
      </c>
      <c r="G544" s="232" t="s">
        <v>467</v>
      </c>
      <c r="H544" s="232">
        <v>9.756389675E9</v>
      </c>
      <c r="I544" s="509" t="s">
        <v>24549</v>
      </c>
      <c r="J544" s="232" t="b">
        <v>0</v>
      </c>
      <c r="K544" s="232" t="s">
        <v>22365</v>
      </c>
      <c r="L544" s="232" t="s">
        <v>24550</v>
      </c>
      <c r="M544" s="511"/>
      <c r="N544" s="232"/>
      <c r="O544" s="232"/>
      <c r="P544" s="312"/>
      <c r="Q544" s="312"/>
      <c r="R544" s="312"/>
      <c r="S544" s="312"/>
      <c r="T544" s="312"/>
      <c r="U544" s="312"/>
    </row>
    <row r="545">
      <c r="A545" s="520">
        <v>45172.0</v>
      </c>
      <c r="B545" s="232" t="s">
        <v>24551</v>
      </c>
      <c r="C545" s="509" t="s">
        <v>24552</v>
      </c>
      <c r="D545" s="510"/>
      <c r="E545" s="511"/>
      <c r="F545" s="232"/>
      <c r="G545" s="232" t="s">
        <v>24462</v>
      </c>
      <c r="H545" s="232">
        <v>8.533000866E9</v>
      </c>
      <c r="I545" s="509" t="s">
        <v>24553</v>
      </c>
      <c r="J545" s="232" t="b">
        <v>0</v>
      </c>
      <c r="K545" s="232" t="s">
        <v>22365</v>
      </c>
      <c r="L545" s="232" t="s">
        <v>23537</v>
      </c>
      <c r="M545" s="511"/>
      <c r="N545" s="232"/>
      <c r="O545" s="232"/>
      <c r="P545" s="312"/>
      <c r="Q545" s="312"/>
      <c r="R545" s="312"/>
      <c r="S545" s="312"/>
      <c r="T545" s="312"/>
      <c r="U545" s="312"/>
    </row>
    <row r="546">
      <c r="A546" s="520">
        <v>45172.0</v>
      </c>
      <c r="B546" s="232" t="s">
        <v>24554</v>
      </c>
      <c r="C546" s="509" t="s">
        <v>24555</v>
      </c>
      <c r="D546" s="510"/>
      <c r="E546" s="511"/>
      <c r="F546" s="232" t="s">
        <v>24556</v>
      </c>
      <c r="G546" s="510" t="s">
        <v>2882</v>
      </c>
      <c r="H546" s="232">
        <v>7.400066645E9</v>
      </c>
      <c r="I546" s="509" t="s">
        <v>24557</v>
      </c>
      <c r="J546" s="232" t="b">
        <v>0</v>
      </c>
      <c r="K546" s="232" t="s">
        <v>22349</v>
      </c>
      <c r="L546" s="232" t="s">
        <v>24558</v>
      </c>
      <c r="M546" s="511"/>
      <c r="N546" s="232"/>
      <c r="O546" s="232"/>
      <c r="P546" s="312"/>
      <c r="Q546" s="312"/>
      <c r="R546" s="312"/>
      <c r="S546" s="312"/>
      <c r="T546" s="312"/>
      <c r="U546" s="312"/>
    </row>
    <row r="547">
      <c r="A547" s="520">
        <v>45172.0</v>
      </c>
      <c r="B547" s="232" t="s">
        <v>24559</v>
      </c>
      <c r="C547" s="509" t="s">
        <v>474</v>
      </c>
      <c r="D547" s="510"/>
      <c r="E547" s="511"/>
      <c r="F547" s="232" t="s">
        <v>24560</v>
      </c>
      <c r="G547" s="232" t="s">
        <v>22687</v>
      </c>
      <c r="H547" s="232">
        <v>9.54005432E9</v>
      </c>
      <c r="I547" s="509" t="s">
        <v>23522</v>
      </c>
      <c r="J547" s="232" t="b">
        <v>0</v>
      </c>
      <c r="K547" s="232"/>
      <c r="L547" s="232"/>
      <c r="M547" s="511"/>
      <c r="N547" s="232"/>
      <c r="O547" s="232"/>
      <c r="P547" s="312"/>
      <c r="Q547" s="312"/>
      <c r="R547" s="312"/>
      <c r="S547" s="312"/>
      <c r="T547" s="312"/>
      <c r="U547" s="312"/>
    </row>
    <row r="548">
      <c r="A548" s="520">
        <v>45172.0</v>
      </c>
      <c r="B548" s="232" t="s">
        <v>24561</v>
      </c>
      <c r="C548" s="509" t="s">
        <v>24562</v>
      </c>
      <c r="D548" s="510"/>
      <c r="E548" s="511"/>
      <c r="F548" s="232" t="s">
        <v>24563</v>
      </c>
      <c r="G548" s="232" t="s">
        <v>467</v>
      </c>
      <c r="H548" s="232">
        <v>8.527720024E9</v>
      </c>
      <c r="I548" s="512" t="s">
        <v>24564</v>
      </c>
      <c r="J548" s="232" t="b">
        <v>0</v>
      </c>
      <c r="K548" s="232"/>
      <c r="L548" s="232"/>
      <c r="M548" s="511"/>
      <c r="N548" s="232"/>
      <c r="O548" s="232"/>
      <c r="P548" s="312"/>
      <c r="Q548" s="312"/>
      <c r="R548" s="312"/>
      <c r="S548" s="312"/>
      <c r="T548" s="312"/>
      <c r="U548" s="312"/>
    </row>
    <row r="549">
      <c r="A549" s="520">
        <v>45172.0</v>
      </c>
      <c r="B549" s="232" t="s">
        <v>24565</v>
      </c>
      <c r="C549" s="509" t="s">
        <v>24566</v>
      </c>
      <c r="D549" s="510" t="s">
        <v>24567</v>
      </c>
      <c r="E549" s="511"/>
      <c r="F549" s="232"/>
      <c r="G549" s="232" t="s">
        <v>22932</v>
      </c>
      <c r="H549" s="232">
        <v>9.609587353E9</v>
      </c>
      <c r="I549" s="512" t="s">
        <v>24568</v>
      </c>
      <c r="J549" s="232" t="b">
        <v>0</v>
      </c>
      <c r="K549" s="232" t="s">
        <v>22365</v>
      </c>
      <c r="L549" s="232" t="s">
        <v>24569</v>
      </c>
      <c r="M549" s="511"/>
      <c r="N549" s="232"/>
      <c r="O549" s="232"/>
      <c r="P549" s="312"/>
      <c r="Q549" s="312"/>
      <c r="R549" s="312"/>
      <c r="S549" s="312"/>
      <c r="T549" s="312"/>
      <c r="U549" s="312"/>
    </row>
    <row r="550">
      <c r="A550" s="520">
        <v>45172.0</v>
      </c>
      <c r="B550" s="232" t="s">
        <v>24570</v>
      </c>
      <c r="C550" s="509" t="s">
        <v>11938</v>
      </c>
      <c r="D550" s="510" t="s">
        <v>24571</v>
      </c>
      <c r="E550" s="511"/>
      <c r="F550" s="232" t="s">
        <v>24572</v>
      </c>
      <c r="G550" s="232" t="s">
        <v>15263</v>
      </c>
      <c r="H550" s="232">
        <v>9.212224202E9</v>
      </c>
      <c r="I550" s="509" t="s">
        <v>22373</v>
      </c>
      <c r="J550" s="232" t="b">
        <v>0</v>
      </c>
      <c r="K550" s="232" t="s">
        <v>22355</v>
      </c>
      <c r="L550" s="232"/>
      <c r="M550" s="511"/>
      <c r="N550" s="232"/>
      <c r="O550" s="232"/>
      <c r="P550" s="312"/>
      <c r="Q550" s="312"/>
      <c r="R550" s="312"/>
      <c r="S550" s="312"/>
      <c r="T550" s="312"/>
      <c r="U550" s="312"/>
    </row>
    <row r="551">
      <c r="A551" s="520">
        <v>45080.0</v>
      </c>
      <c r="B551" s="232" t="s">
        <v>24573</v>
      </c>
      <c r="C551" s="509" t="s">
        <v>24574</v>
      </c>
      <c r="D551" s="510"/>
      <c r="E551" s="511"/>
      <c r="F551" s="232"/>
      <c r="G551" s="232" t="s">
        <v>507</v>
      </c>
      <c r="H551" s="232">
        <v>8.452828769E9</v>
      </c>
      <c r="I551" s="509" t="s">
        <v>23575</v>
      </c>
      <c r="J551" s="232" t="b">
        <v>0</v>
      </c>
      <c r="K551" s="232" t="s">
        <v>22365</v>
      </c>
      <c r="L551" s="232" t="s">
        <v>23537</v>
      </c>
      <c r="M551" s="511"/>
      <c r="N551" s="232"/>
      <c r="O551" s="232"/>
      <c r="P551" s="312"/>
      <c r="Q551" s="312"/>
      <c r="R551" s="312"/>
      <c r="S551" s="312"/>
      <c r="T551" s="312"/>
      <c r="U551" s="312"/>
    </row>
    <row r="552">
      <c r="A552" s="520">
        <v>45080.0</v>
      </c>
      <c r="B552" s="232" t="s">
        <v>24575</v>
      </c>
      <c r="C552" s="509" t="s">
        <v>24576</v>
      </c>
      <c r="D552" s="510"/>
      <c r="E552" s="511"/>
      <c r="F552" s="232" t="s">
        <v>24577</v>
      </c>
      <c r="G552" s="232" t="s">
        <v>20765</v>
      </c>
      <c r="H552" s="232">
        <v>9.952662248E9</v>
      </c>
      <c r="I552" s="509" t="s">
        <v>24578</v>
      </c>
      <c r="J552" s="232" t="b">
        <v>0</v>
      </c>
      <c r="K552" s="232" t="s">
        <v>334</v>
      </c>
      <c r="L552" s="232"/>
      <c r="M552" s="511"/>
      <c r="N552" s="232"/>
      <c r="O552" s="232"/>
      <c r="P552" s="312"/>
      <c r="Q552" s="312"/>
      <c r="R552" s="312"/>
      <c r="S552" s="312"/>
      <c r="T552" s="312"/>
      <c r="U552" s="312"/>
    </row>
    <row r="553">
      <c r="A553" s="520">
        <v>45080.0</v>
      </c>
      <c r="B553" s="232" t="s">
        <v>24579</v>
      </c>
      <c r="C553" s="509" t="s">
        <v>24580</v>
      </c>
      <c r="D553" s="510" t="s">
        <v>24581</v>
      </c>
      <c r="E553" s="511"/>
      <c r="F553" s="232"/>
      <c r="G553" s="232" t="s">
        <v>23231</v>
      </c>
      <c r="H553" s="232">
        <v>9.653321799E9</v>
      </c>
      <c r="I553" s="509" t="s">
        <v>24582</v>
      </c>
      <c r="J553" s="232" t="b">
        <v>0</v>
      </c>
      <c r="K553" s="232" t="s">
        <v>12092</v>
      </c>
      <c r="L553" s="232"/>
      <c r="M553" s="511"/>
      <c r="N553" s="232"/>
      <c r="O553" s="232"/>
      <c r="P553" s="312"/>
      <c r="Q553" s="312"/>
      <c r="R553" s="312"/>
      <c r="S553" s="312"/>
      <c r="T553" s="312"/>
      <c r="U553" s="312"/>
    </row>
    <row r="554">
      <c r="A554" s="520">
        <v>45080.0</v>
      </c>
      <c r="B554" s="232" t="s">
        <v>24583</v>
      </c>
      <c r="C554" s="509" t="s">
        <v>24584</v>
      </c>
      <c r="D554" s="510" t="s">
        <v>24585</v>
      </c>
      <c r="E554" s="511"/>
      <c r="F554" s="526" t="s">
        <v>24586</v>
      </c>
      <c r="G554" s="232" t="s">
        <v>22693</v>
      </c>
      <c r="H554" s="232">
        <v>9.677145595E9</v>
      </c>
      <c r="I554" s="509" t="s">
        <v>24587</v>
      </c>
      <c r="J554" s="232" t="b">
        <v>0</v>
      </c>
      <c r="K554" s="232" t="s">
        <v>12092</v>
      </c>
      <c r="L554" s="232"/>
      <c r="M554" s="511"/>
      <c r="N554" s="232"/>
      <c r="O554" s="232"/>
      <c r="P554" s="312"/>
      <c r="Q554" s="312"/>
      <c r="R554" s="312"/>
      <c r="S554" s="312"/>
      <c r="T554" s="312"/>
      <c r="U554" s="312"/>
    </row>
    <row r="555">
      <c r="A555" s="520">
        <v>45080.0</v>
      </c>
      <c r="B555" s="232" t="s">
        <v>24588</v>
      </c>
      <c r="C555" s="509" t="s">
        <v>24589</v>
      </c>
      <c r="D555" s="510" t="s">
        <v>24590</v>
      </c>
      <c r="E555" s="511"/>
      <c r="F555" s="232" t="s">
        <v>24591</v>
      </c>
      <c r="G555" s="232" t="s">
        <v>22821</v>
      </c>
      <c r="H555" s="232">
        <v>9.701478672E9</v>
      </c>
      <c r="I555" s="509" t="s">
        <v>24592</v>
      </c>
      <c r="J555" s="232" t="b">
        <v>0</v>
      </c>
      <c r="K555" s="232" t="s">
        <v>334</v>
      </c>
      <c r="L555" s="232"/>
      <c r="M555" s="511"/>
      <c r="N555" s="232"/>
      <c r="O555" s="232"/>
      <c r="P555" s="312"/>
      <c r="Q555" s="312"/>
      <c r="R555" s="312"/>
      <c r="S555" s="312"/>
      <c r="T555" s="312"/>
      <c r="U555" s="312"/>
    </row>
    <row r="556">
      <c r="A556" s="520">
        <v>45080.0</v>
      </c>
      <c r="B556" s="232" t="s">
        <v>24593</v>
      </c>
      <c r="C556" s="509" t="s">
        <v>24594</v>
      </c>
      <c r="D556" s="510" t="s">
        <v>24595</v>
      </c>
      <c r="E556" s="511"/>
      <c r="F556" s="232" t="s">
        <v>24596</v>
      </c>
      <c r="G556" s="232" t="s">
        <v>99</v>
      </c>
      <c r="H556" s="232">
        <v>9.938080604E9</v>
      </c>
      <c r="I556" s="509" t="s">
        <v>23221</v>
      </c>
      <c r="J556" s="232" t="b">
        <v>0</v>
      </c>
      <c r="K556" s="232" t="s">
        <v>334</v>
      </c>
      <c r="L556" s="232"/>
      <c r="M556" s="511"/>
      <c r="N556" s="232"/>
      <c r="O556" s="232"/>
      <c r="P556" s="312"/>
      <c r="Q556" s="312"/>
      <c r="R556" s="312"/>
      <c r="S556" s="312"/>
      <c r="T556" s="312"/>
      <c r="U556" s="312"/>
    </row>
    <row r="557">
      <c r="A557" s="520">
        <v>45080.0</v>
      </c>
      <c r="B557" s="232" t="s">
        <v>24597</v>
      </c>
      <c r="C557" s="509" t="s">
        <v>24598</v>
      </c>
      <c r="D557" s="510" t="s">
        <v>24599</v>
      </c>
      <c r="E557" s="511"/>
      <c r="F557" s="232" t="s">
        <v>24600</v>
      </c>
      <c r="G557" s="232" t="s">
        <v>24601</v>
      </c>
      <c r="H557" s="232">
        <v>7.896714565E9</v>
      </c>
      <c r="I557" s="509" t="s">
        <v>24602</v>
      </c>
      <c r="J557" s="232" t="b">
        <v>0</v>
      </c>
      <c r="K557" s="232" t="s">
        <v>22365</v>
      </c>
      <c r="L557" s="232"/>
      <c r="M557" s="511"/>
      <c r="N557" s="232"/>
      <c r="O557" s="232"/>
      <c r="P557" s="312"/>
      <c r="Q557" s="312"/>
      <c r="R557" s="312"/>
      <c r="S557" s="312"/>
      <c r="T557" s="312"/>
      <c r="U557" s="312"/>
    </row>
    <row r="558">
      <c r="A558" s="520">
        <v>45080.0</v>
      </c>
      <c r="B558" s="232" t="s">
        <v>24603</v>
      </c>
      <c r="C558" s="509" t="s">
        <v>24604</v>
      </c>
      <c r="D558" s="510" t="s">
        <v>24605</v>
      </c>
      <c r="E558" s="511"/>
      <c r="F558" s="232" t="s">
        <v>24606</v>
      </c>
      <c r="G558" s="232" t="s">
        <v>507</v>
      </c>
      <c r="H558" s="232">
        <v>9.30914602E9</v>
      </c>
      <c r="I558" s="509" t="s">
        <v>24144</v>
      </c>
      <c r="J558" s="232" t="b">
        <v>0</v>
      </c>
      <c r="K558" s="232" t="s">
        <v>22365</v>
      </c>
      <c r="L558" s="232" t="s">
        <v>22509</v>
      </c>
      <c r="M558" s="511"/>
      <c r="N558" s="232"/>
      <c r="O558" s="232"/>
      <c r="P558" s="312"/>
      <c r="Q558" s="312"/>
      <c r="R558" s="312"/>
      <c r="S558" s="312"/>
      <c r="T558" s="312"/>
      <c r="U558" s="312"/>
    </row>
    <row r="559">
      <c r="A559" s="520">
        <v>45080.0</v>
      </c>
      <c r="B559" s="232" t="s">
        <v>24607</v>
      </c>
      <c r="C559" s="509" t="s">
        <v>24608</v>
      </c>
      <c r="D559" s="510"/>
      <c r="E559" s="511"/>
      <c r="F559" s="232" t="s">
        <v>24609</v>
      </c>
      <c r="G559" s="232" t="s">
        <v>22724</v>
      </c>
      <c r="H559" s="232">
        <v>6.207209656E9</v>
      </c>
      <c r="I559" s="509" t="s">
        <v>23508</v>
      </c>
      <c r="J559" s="232" t="b">
        <v>0</v>
      </c>
      <c r="K559" s="232" t="s">
        <v>22355</v>
      </c>
      <c r="L559" s="232"/>
      <c r="M559" s="511"/>
      <c r="N559" s="232"/>
      <c r="O559" s="232"/>
      <c r="P559" s="312"/>
      <c r="Q559" s="312"/>
      <c r="R559" s="312"/>
      <c r="S559" s="312"/>
      <c r="T559" s="312"/>
      <c r="U559" s="312"/>
    </row>
    <row r="560">
      <c r="A560" s="520">
        <v>45080.0</v>
      </c>
      <c r="B560" s="232" t="s">
        <v>24610</v>
      </c>
      <c r="C560" s="509" t="s">
        <v>24611</v>
      </c>
      <c r="D560" s="510" t="s">
        <v>24612</v>
      </c>
      <c r="E560" s="511"/>
      <c r="F560" s="232" t="s">
        <v>24613</v>
      </c>
      <c r="G560" s="232" t="s">
        <v>23512</v>
      </c>
      <c r="H560" s="232">
        <v>9.033887788E9</v>
      </c>
      <c r="I560" s="509" t="s">
        <v>24553</v>
      </c>
      <c r="J560" s="232" t="b">
        <v>0</v>
      </c>
      <c r="K560" s="232" t="s">
        <v>22355</v>
      </c>
      <c r="L560" s="232"/>
      <c r="M560" s="511"/>
      <c r="N560" s="232"/>
      <c r="O560" s="232"/>
      <c r="P560" s="312"/>
      <c r="Q560" s="312"/>
      <c r="R560" s="312"/>
      <c r="S560" s="312"/>
      <c r="T560" s="312"/>
      <c r="U560" s="312"/>
    </row>
    <row r="561">
      <c r="A561" s="520">
        <v>45080.0</v>
      </c>
      <c r="B561" s="232" t="s">
        <v>24614</v>
      </c>
      <c r="C561" s="509" t="s">
        <v>24615</v>
      </c>
      <c r="D561" s="510" t="s">
        <v>24616</v>
      </c>
      <c r="E561" s="511"/>
      <c r="F561" s="232" t="s">
        <v>24617</v>
      </c>
      <c r="G561" s="232" t="s">
        <v>22770</v>
      </c>
      <c r="H561" s="232">
        <v>8.700634658E9</v>
      </c>
      <c r="I561" s="512" t="s">
        <v>24618</v>
      </c>
      <c r="J561" s="232" t="b">
        <v>0</v>
      </c>
      <c r="K561" s="232" t="s">
        <v>12092</v>
      </c>
      <c r="L561" s="232"/>
      <c r="M561" s="511"/>
      <c r="N561" s="232"/>
      <c r="O561" s="232"/>
      <c r="P561" s="312"/>
      <c r="Q561" s="312"/>
      <c r="R561" s="312"/>
      <c r="S561" s="312"/>
      <c r="T561" s="312"/>
      <c r="U561" s="312"/>
    </row>
    <row r="562">
      <c r="A562" s="520">
        <v>45080.0</v>
      </c>
      <c r="B562" s="232" t="s">
        <v>24619</v>
      </c>
      <c r="C562" s="509" t="s">
        <v>14764</v>
      </c>
      <c r="D562" s="510" t="s">
        <v>24620</v>
      </c>
      <c r="E562" s="511"/>
      <c r="F562" s="232" t="s">
        <v>24621</v>
      </c>
      <c r="G562" s="232" t="s">
        <v>398</v>
      </c>
      <c r="H562" s="232">
        <v>9.826285499E9</v>
      </c>
      <c r="I562" s="509" t="s">
        <v>23563</v>
      </c>
      <c r="J562" s="232" t="b">
        <v>0</v>
      </c>
      <c r="K562" s="232" t="s">
        <v>22365</v>
      </c>
      <c r="L562" s="232" t="s">
        <v>22509</v>
      </c>
      <c r="M562" s="511"/>
      <c r="N562" s="232"/>
      <c r="O562" s="232"/>
      <c r="P562" s="312"/>
      <c r="Q562" s="312"/>
      <c r="R562" s="312"/>
      <c r="S562" s="312"/>
      <c r="T562" s="312"/>
      <c r="U562" s="312"/>
    </row>
    <row r="563">
      <c r="A563" s="520">
        <v>45080.0</v>
      </c>
      <c r="B563" s="232" t="s">
        <v>24622</v>
      </c>
      <c r="C563" s="509" t="s">
        <v>24623</v>
      </c>
      <c r="D563" s="510"/>
      <c r="E563" s="511"/>
      <c r="F563" s="232" t="s">
        <v>24624</v>
      </c>
      <c r="G563" s="232" t="s">
        <v>24467</v>
      </c>
      <c r="H563" s="232">
        <v>9.818508905E9</v>
      </c>
      <c r="I563" s="509" t="s">
        <v>22373</v>
      </c>
      <c r="J563" s="232" t="b">
        <v>0</v>
      </c>
      <c r="K563" s="232" t="s">
        <v>22365</v>
      </c>
      <c r="L563" s="232" t="s">
        <v>24625</v>
      </c>
      <c r="M563" s="511"/>
      <c r="N563" s="232"/>
      <c r="O563" s="232"/>
      <c r="P563" s="312"/>
      <c r="Q563" s="312"/>
      <c r="R563" s="312"/>
      <c r="S563" s="312"/>
      <c r="T563" s="312"/>
      <c r="U563" s="312"/>
    </row>
    <row r="564">
      <c r="A564" s="520">
        <v>45080.0</v>
      </c>
      <c r="B564" s="232" t="s">
        <v>24626</v>
      </c>
      <c r="C564" s="509" t="s">
        <v>24627</v>
      </c>
      <c r="D564" s="510"/>
      <c r="E564" s="511"/>
      <c r="F564" s="232" t="s">
        <v>24628</v>
      </c>
      <c r="G564" s="232" t="s">
        <v>12170</v>
      </c>
      <c r="H564" s="232">
        <v>9.8736453E9</v>
      </c>
      <c r="I564" s="509" t="s">
        <v>24629</v>
      </c>
      <c r="J564" s="232" t="b">
        <v>0</v>
      </c>
      <c r="K564" s="232" t="s">
        <v>22365</v>
      </c>
      <c r="L564" s="232" t="s">
        <v>22422</v>
      </c>
      <c r="M564" s="511"/>
      <c r="N564" s="232"/>
      <c r="O564" s="232"/>
      <c r="P564" s="312"/>
      <c r="Q564" s="312"/>
      <c r="R564" s="312"/>
      <c r="S564" s="312"/>
      <c r="T564" s="312"/>
      <c r="U564" s="312"/>
    </row>
    <row r="565">
      <c r="A565" s="520">
        <v>45080.0</v>
      </c>
      <c r="B565" s="232" t="s">
        <v>24630</v>
      </c>
      <c r="C565" s="509" t="s">
        <v>24631</v>
      </c>
      <c r="D565" s="510"/>
      <c r="E565" s="511"/>
      <c r="F565" s="232"/>
      <c r="G565" s="232" t="s">
        <v>22770</v>
      </c>
      <c r="H565" s="232">
        <v>8.847340048E9</v>
      </c>
      <c r="I565" s="509" t="s">
        <v>24632</v>
      </c>
      <c r="J565" s="232" t="b">
        <v>0</v>
      </c>
      <c r="K565" s="232" t="s">
        <v>22365</v>
      </c>
      <c r="L565" s="232" t="s">
        <v>23537</v>
      </c>
      <c r="M565" s="511"/>
      <c r="N565" s="232"/>
      <c r="O565" s="232"/>
      <c r="P565" s="312"/>
      <c r="Q565" s="312"/>
      <c r="R565" s="312"/>
      <c r="S565" s="312"/>
      <c r="T565" s="312"/>
      <c r="U565" s="312"/>
    </row>
    <row r="566">
      <c r="A566" s="520">
        <v>45080.0</v>
      </c>
      <c r="B566" s="232" t="s">
        <v>24633</v>
      </c>
      <c r="C566" s="509" t="s">
        <v>24634</v>
      </c>
      <c r="D566" s="510"/>
      <c r="E566" s="511"/>
      <c r="F566" s="232" t="s">
        <v>24635</v>
      </c>
      <c r="G566" s="232" t="s">
        <v>22687</v>
      </c>
      <c r="H566" s="232">
        <v>8.800890599E9</v>
      </c>
      <c r="I566" s="509" t="s">
        <v>22373</v>
      </c>
      <c r="J566" s="232" t="b">
        <v>0</v>
      </c>
      <c r="K566" s="232"/>
      <c r="L566" s="232">
        <v>0.0</v>
      </c>
      <c r="M566" s="511"/>
      <c r="N566" s="232"/>
      <c r="O566" s="232"/>
      <c r="P566" s="312"/>
      <c r="Q566" s="312"/>
      <c r="R566" s="312"/>
      <c r="S566" s="312"/>
      <c r="T566" s="312"/>
      <c r="U566" s="312"/>
    </row>
    <row r="567">
      <c r="A567" s="520">
        <v>45080.0</v>
      </c>
      <c r="B567" s="232" t="s">
        <v>24636</v>
      </c>
      <c r="C567" s="509" t="s">
        <v>24637</v>
      </c>
      <c r="D567" s="510" t="s">
        <v>24638</v>
      </c>
      <c r="E567" s="511"/>
      <c r="F567" s="232" t="s">
        <v>24639</v>
      </c>
      <c r="G567" s="232" t="s">
        <v>467</v>
      </c>
      <c r="H567" s="232">
        <v>9.2127918E9</v>
      </c>
      <c r="I567" s="509" t="s">
        <v>22305</v>
      </c>
      <c r="J567" s="232" t="b">
        <v>0</v>
      </c>
      <c r="K567" s="232" t="s">
        <v>22365</v>
      </c>
      <c r="L567" s="232" t="s">
        <v>24640</v>
      </c>
      <c r="M567" s="511"/>
      <c r="N567" s="232"/>
      <c r="O567" s="232"/>
      <c r="P567" s="312"/>
      <c r="Q567" s="312"/>
      <c r="R567" s="312"/>
      <c r="S567" s="312"/>
      <c r="T567" s="312"/>
      <c r="U567" s="312"/>
    </row>
    <row r="568">
      <c r="A568" s="520">
        <v>45080.0</v>
      </c>
      <c r="B568" s="232" t="s">
        <v>24641</v>
      </c>
      <c r="C568" s="509" t="s">
        <v>24642</v>
      </c>
      <c r="D568" s="510" t="s">
        <v>24643</v>
      </c>
      <c r="E568" s="511"/>
      <c r="F568" s="232" t="s">
        <v>24644</v>
      </c>
      <c r="G568" s="232" t="s">
        <v>9266</v>
      </c>
      <c r="H568" s="232">
        <v>9.74457455E9</v>
      </c>
      <c r="I568" s="512" t="s">
        <v>24645</v>
      </c>
      <c r="J568" s="232" t="b">
        <v>0</v>
      </c>
      <c r="K568" s="232" t="s">
        <v>22365</v>
      </c>
      <c r="L568" s="232" t="s">
        <v>24646</v>
      </c>
      <c r="M568" s="511"/>
      <c r="N568" s="232"/>
      <c r="O568" s="232"/>
      <c r="P568" s="312"/>
      <c r="Q568" s="312"/>
      <c r="R568" s="312"/>
      <c r="S568" s="312"/>
      <c r="T568" s="312"/>
      <c r="U568" s="312"/>
    </row>
    <row r="569">
      <c r="A569" s="527">
        <v>45019.0</v>
      </c>
      <c r="B569" s="232" t="s">
        <v>24647</v>
      </c>
      <c r="C569" s="509" t="s">
        <v>24648</v>
      </c>
      <c r="D569" s="510"/>
      <c r="E569" s="511"/>
      <c r="F569" s="232"/>
      <c r="G569" s="232"/>
      <c r="H569" s="232">
        <v>9.6049553E9</v>
      </c>
      <c r="I569" s="509" t="s">
        <v>24649</v>
      </c>
      <c r="J569" s="232" t="b">
        <v>0</v>
      </c>
      <c r="K569" s="232" t="s">
        <v>22355</v>
      </c>
      <c r="L569" s="232"/>
      <c r="M569" s="511"/>
      <c r="N569" s="232"/>
      <c r="O569" s="232"/>
      <c r="P569" s="312"/>
      <c r="Q569" s="312"/>
      <c r="R569" s="312"/>
      <c r="S569" s="312"/>
      <c r="T569" s="312"/>
      <c r="U569" s="312"/>
    </row>
    <row r="570">
      <c r="A570" s="527">
        <v>45019.0</v>
      </c>
      <c r="B570" s="232" t="s">
        <v>24650</v>
      </c>
      <c r="C570" s="509" t="s">
        <v>24651</v>
      </c>
      <c r="D570" s="510" t="s">
        <v>24652</v>
      </c>
      <c r="E570" s="511"/>
      <c r="F570" s="232"/>
      <c r="G570" s="232" t="s">
        <v>24653</v>
      </c>
      <c r="H570" s="232">
        <v>9.661113008E9</v>
      </c>
      <c r="I570" s="509" t="s">
        <v>22364</v>
      </c>
      <c r="J570" s="232" t="b">
        <v>0</v>
      </c>
      <c r="K570" s="232" t="s">
        <v>22365</v>
      </c>
      <c r="L570" s="232" t="s">
        <v>22366</v>
      </c>
      <c r="M570" s="511"/>
      <c r="N570" s="232"/>
      <c r="O570" s="232"/>
      <c r="P570" s="312"/>
      <c r="Q570" s="312"/>
      <c r="R570" s="312"/>
      <c r="S570" s="312"/>
      <c r="T570" s="312"/>
      <c r="U570" s="312"/>
    </row>
    <row r="571">
      <c r="A571" s="521"/>
      <c r="B571" s="514" t="s">
        <v>24654</v>
      </c>
      <c r="C571" s="515" t="s">
        <v>24655</v>
      </c>
      <c r="D571" s="516"/>
      <c r="E571" s="517"/>
      <c r="F571" s="514"/>
      <c r="G571" s="514" t="s">
        <v>24656</v>
      </c>
      <c r="H571" s="514">
        <v>9.836256257E9</v>
      </c>
      <c r="I571" s="515" t="s">
        <v>24657</v>
      </c>
      <c r="J571" s="514" t="b">
        <v>0</v>
      </c>
      <c r="K571" s="514" t="s">
        <v>22312</v>
      </c>
      <c r="L571" s="514" t="s">
        <v>24658</v>
      </c>
      <c r="M571" s="511"/>
      <c r="N571" s="232"/>
      <c r="O571" s="232"/>
      <c r="P571" s="312"/>
      <c r="Q571" s="312"/>
      <c r="R571" s="312"/>
      <c r="S571" s="312"/>
      <c r="T571" s="312"/>
      <c r="U571" s="312"/>
    </row>
    <row r="572">
      <c r="A572" s="520">
        <v>45019.0</v>
      </c>
      <c r="B572" s="232" t="s">
        <v>24654</v>
      </c>
      <c r="C572" s="509" t="s">
        <v>24659</v>
      </c>
      <c r="D572" s="510"/>
      <c r="E572" s="511"/>
      <c r="F572" s="232" t="s">
        <v>24660</v>
      </c>
      <c r="G572" s="232"/>
      <c r="H572" s="232">
        <v>9.017334543E9</v>
      </c>
      <c r="I572" s="509" t="s">
        <v>24661</v>
      </c>
      <c r="J572" s="232" t="b">
        <v>0</v>
      </c>
      <c r="K572" s="232" t="s">
        <v>12092</v>
      </c>
      <c r="L572" s="232"/>
      <c r="M572" s="511"/>
      <c r="N572" s="232"/>
      <c r="O572" s="232"/>
      <c r="P572" s="312"/>
      <c r="Q572" s="312"/>
      <c r="R572" s="312"/>
      <c r="S572" s="312"/>
      <c r="T572" s="312"/>
      <c r="U572" s="312"/>
    </row>
    <row r="573">
      <c r="A573" s="520">
        <v>45019.0</v>
      </c>
      <c r="B573" s="232" t="s">
        <v>24662</v>
      </c>
      <c r="C573" s="509" t="s">
        <v>24663</v>
      </c>
      <c r="D573" s="510"/>
      <c r="E573" s="511"/>
      <c r="F573" s="232" t="s">
        <v>24664</v>
      </c>
      <c r="G573" s="232" t="s">
        <v>131</v>
      </c>
      <c r="H573" s="232">
        <v>9.365508076E9</v>
      </c>
      <c r="I573" s="509" t="s">
        <v>24665</v>
      </c>
      <c r="J573" s="232" t="b">
        <v>0</v>
      </c>
      <c r="K573" s="232" t="s">
        <v>22355</v>
      </c>
      <c r="L573" s="232"/>
      <c r="M573" s="511"/>
      <c r="N573" s="232"/>
      <c r="O573" s="232"/>
      <c r="P573" s="312"/>
      <c r="Q573" s="312"/>
      <c r="R573" s="312"/>
      <c r="S573" s="312"/>
      <c r="T573" s="312"/>
      <c r="U573" s="312"/>
    </row>
    <row r="574">
      <c r="A574" s="520">
        <v>45019.0</v>
      </c>
      <c r="B574" s="232" t="s">
        <v>24666</v>
      </c>
      <c r="C574" s="509" t="s">
        <v>24667</v>
      </c>
      <c r="D574" s="510" t="s">
        <v>24668</v>
      </c>
      <c r="E574" s="511"/>
      <c r="F574" s="232" t="s">
        <v>24669</v>
      </c>
      <c r="G574" s="232" t="s">
        <v>22507</v>
      </c>
      <c r="H574" s="232">
        <v>7.868837781E9</v>
      </c>
      <c r="I574" s="509" t="s">
        <v>24670</v>
      </c>
      <c r="J574" s="232" t="b">
        <v>0</v>
      </c>
      <c r="K574" s="232" t="s">
        <v>22365</v>
      </c>
      <c r="L574" s="232" t="s">
        <v>24671</v>
      </c>
      <c r="M574" s="511"/>
      <c r="N574" s="232"/>
      <c r="O574" s="232"/>
      <c r="P574" s="312"/>
      <c r="Q574" s="312"/>
      <c r="R574" s="312"/>
      <c r="S574" s="312"/>
      <c r="T574" s="312"/>
      <c r="U574" s="312"/>
    </row>
    <row r="575">
      <c r="A575" s="520">
        <v>45019.0</v>
      </c>
      <c r="B575" s="232" t="s">
        <v>24672</v>
      </c>
      <c r="C575" s="509" t="s">
        <v>24673</v>
      </c>
      <c r="D575" s="510" t="s">
        <v>24674</v>
      </c>
      <c r="E575" s="511"/>
      <c r="F575" s="232" t="s">
        <v>24675</v>
      </c>
      <c r="G575" s="232" t="s">
        <v>2662</v>
      </c>
      <c r="H575" s="232">
        <v>8.754011242E9</v>
      </c>
      <c r="I575" s="509" t="s">
        <v>23503</v>
      </c>
      <c r="J575" s="232" t="b">
        <v>0</v>
      </c>
      <c r="K575" s="232" t="s">
        <v>12092</v>
      </c>
      <c r="L575" s="232"/>
      <c r="M575" s="511"/>
      <c r="N575" s="232"/>
      <c r="O575" s="232"/>
      <c r="P575" s="312"/>
      <c r="Q575" s="312"/>
      <c r="R575" s="312"/>
      <c r="S575" s="312"/>
      <c r="T575" s="312"/>
      <c r="U575" s="312"/>
    </row>
    <row r="576">
      <c r="A576" s="520">
        <v>45019.0</v>
      </c>
      <c r="B576" s="232" t="s">
        <v>24676</v>
      </c>
      <c r="C576" s="509" t="s">
        <v>24677</v>
      </c>
      <c r="D576" s="510" t="s">
        <v>24678</v>
      </c>
      <c r="E576" s="511"/>
      <c r="F576" s="232" t="s">
        <v>24679</v>
      </c>
      <c r="G576" s="232" t="s">
        <v>22507</v>
      </c>
      <c r="H576" s="232">
        <v>9.159082453E9</v>
      </c>
      <c r="I576" s="509" t="s">
        <v>22961</v>
      </c>
      <c r="J576" s="232" t="b">
        <v>0</v>
      </c>
      <c r="K576" s="232" t="s">
        <v>22365</v>
      </c>
      <c r="L576" s="232" t="s">
        <v>22611</v>
      </c>
      <c r="M576" s="511"/>
      <c r="N576" s="232"/>
      <c r="O576" s="232"/>
      <c r="P576" s="312"/>
      <c r="Q576" s="312"/>
      <c r="R576" s="312"/>
      <c r="S576" s="312"/>
      <c r="T576" s="312"/>
      <c r="U576" s="312"/>
    </row>
    <row r="577">
      <c r="A577" s="520">
        <v>45019.0</v>
      </c>
      <c r="B577" s="232" t="s">
        <v>24680</v>
      </c>
      <c r="C577" s="509" t="s">
        <v>24681</v>
      </c>
      <c r="D577" s="510" t="s">
        <v>24682</v>
      </c>
      <c r="E577" s="511"/>
      <c r="F577" s="232" t="s">
        <v>24683</v>
      </c>
      <c r="G577" s="232" t="s">
        <v>22770</v>
      </c>
      <c r="H577" s="232">
        <v>9.717282777E9</v>
      </c>
      <c r="I577" s="509" t="s">
        <v>23522</v>
      </c>
      <c r="J577" s="232" t="b">
        <v>0</v>
      </c>
      <c r="K577" s="232" t="s">
        <v>22365</v>
      </c>
      <c r="L577" s="232" t="s">
        <v>23537</v>
      </c>
      <c r="M577" s="511"/>
      <c r="N577" s="232"/>
      <c r="O577" s="232"/>
      <c r="P577" s="312"/>
      <c r="Q577" s="312"/>
      <c r="R577" s="312"/>
      <c r="S577" s="312"/>
      <c r="T577" s="312"/>
      <c r="U577" s="312"/>
    </row>
    <row r="578">
      <c r="A578" s="520">
        <v>45019.0</v>
      </c>
      <c r="B578" s="232" t="s">
        <v>24684</v>
      </c>
      <c r="C578" s="509" t="s">
        <v>24685</v>
      </c>
      <c r="D578" s="510" t="s">
        <v>24686</v>
      </c>
      <c r="E578" s="511"/>
      <c r="F578" s="232" t="s">
        <v>24687</v>
      </c>
      <c r="G578" s="232" t="s">
        <v>24452</v>
      </c>
      <c r="H578" s="232">
        <v>9.812410811E9</v>
      </c>
      <c r="I578" s="509" t="s">
        <v>22373</v>
      </c>
      <c r="J578" s="232" t="b">
        <v>0</v>
      </c>
      <c r="K578" s="232" t="s">
        <v>22355</v>
      </c>
      <c r="L578" s="232"/>
      <c r="M578" s="511"/>
      <c r="N578" s="232"/>
      <c r="O578" s="232"/>
      <c r="P578" s="312"/>
      <c r="Q578" s="312"/>
      <c r="R578" s="312"/>
      <c r="S578" s="312"/>
      <c r="T578" s="312"/>
      <c r="U578" s="312"/>
    </row>
    <row r="579">
      <c r="A579" s="520">
        <v>45019.0</v>
      </c>
      <c r="B579" s="232" t="s">
        <v>24688</v>
      </c>
      <c r="C579" s="509" t="s">
        <v>24689</v>
      </c>
      <c r="D579" s="510" t="s">
        <v>24690</v>
      </c>
      <c r="E579" s="511"/>
      <c r="F579" s="232" t="s">
        <v>24691</v>
      </c>
      <c r="G579" s="232" t="s">
        <v>23593</v>
      </c>
      <c r="H579" s="232">
        <v>8.638147919E9</v>
      </c>
      <c r="I579" s="509" t="s">
        <v>24692</v>
      </c>
      <c r="J579" s="232" t="b">
        <v>0</v>
      </c>
      <c r="K579" s="232" t="s">
        <v>22365</v>
      </c>
      <c r="L579" s="232" t="s">
        <v>22994</v>
      </c>
      <c r="M579" s="511"/>
      <c r="N579" s="232"/>
      <c r="O579" s="232"/>
      <c r="P579" s="312"/>
      <c r="Q579" s="312"/>
      <c r="R579" s="312"/>
      <c r="S579" s="312"/>
      <c r="T579" s="312"/>
      <c r="U579" s="312"/>
    </row>
    <row r="580">
      <c r="A580" s="520">
        <v>45019.0</v>
      </c>
      <c r="B580" s="232" t="s">
        <v>24693</v>
      </c>
      <c r="C580" s="509" t="s">
        <v>24694</v>
      </c>
      <c r="D580" s="510" t="s">
        <v>24695</v>
      </c>
      <c r="E580" s="511"/>
      <c r="F580" s="232" t="s">
        <v>24696</v>
      </c>
      <c r="G580" s="232" t="s">
        <v>23642</v>
      </c>
      <c r="H580" s="232">
        <v>6.202386686E9</v>
      </c>
      <c r="I580" s="509" t="s">
        <v>24697</v>
      </c>
      <c r="J580" s="232" t="b">
        <v>0</v>
      </c>
      <c r="K580" s="232" t="s">
        <v>22365</v>
      </c>
      <c r="L580" s="232" t="s">
        <v>23537</v>
      </c>
      <c r="M580" s="511"/>
      <c r="N580" s="232"/>
      <c r="O580" s="232"/>
      <c r="P580" s="312"/>
      <c r="Q580" s="312"/>
      <c r="R580" s="312"/>
      <c r="S580" s="312"/>
      <c r="T580" s="312"/>
      <c r="U580" s="312"/>
    </row>
    <row r="581">
      <c r="A581" s="520">
        <v>45019.0</v>
      </c>
      <c r="B581" s="232" t="s">
        <v>24698</v>
      </c>
      <c r="C581" s="509" t="s">
        <v>24699</v>
      </c>
      <c r="D581" s="510" t="s">
        <v>24700</v>
      </c>
      <c r="E581" s="511"/>
      <c r="F581" s="232" t="s">
        <v>24701</v>
      </c>
      <c r="G581" s="232" t="s">
        <v>22479</v>
      </c>
      <c r="H581" s="232">
        <v>9.415491649E9</v>
      </c>
      <c r="I581" s="509" t="s">
        <v>24702</v>
      </c>
      <c r="J581" s="232" t="b">
        <v>0</v>
      </c>
      <c r="K581" s="232" t="s">
        <v>22365</v>
      </c>
      <c r="L581" s="232" t="s">
        <v>22509</v>
      </c>
      <c r="M581" s="511"/>
      <c r="N581" s="232"/>
      <c r="O581" s="232"/>
      <c r="P581" s="312"/>
      <c r="Q581" s="312"/>
      <c r="R581" s="312"/>
      <c r="S581" s="312"/>
      <c r="T581" s="312"/>
      <c r="U581" s="312"/>
    </row>
    <row r="582">
      <c r="A582" s="520">
        <v>45019.0</v>
      </c>
      <c r="B582" s="232" t="s">
        <v>24703</v>
      </c>
      <c r="C582" s="509" t="s">
        <v>24704</v>
      </c>
      <c r="D582" s="510" t="s">
        <v>24705</v>
      </c>
      <c r="E582" s="511"/>
      <c r="F582" s="232" t="s">
        <v>24706</v>
      </c>
      <c r="G582" s="232" t="s">
        <v>22630</v>
      </c>
      <c r="H582" s="232">
        <v>6.353262027E9</v>
      </c>
      <c r="I582" s="512" t="s">
        <v>24707</v>
      </c>
      <c r="J582" s="232" t="b">
        <v>0</v>
      </c>
      <c r="K582" s="232" t="s">
        <v>22365</v>
      </c>
      <c r="L582" s="232" t="s">
        <v>22422</v>
      </c>
      <c r="M582" s="511"/>
      <c r="N582" s="232"/>
      <c r="O582" s="232"/>
      <c r="P582" s="312"/>
      <c r="Q582" s="312"/>
      <c r="R582" s="312"/>
      <c r="S582" s="312"/>
      <c r="T582" s="312"/>
      <c r="U582" s="312"/>
    </row>
    <row r="583">
      <c r="A583" s="520">
        <v>45019.0</v>
      </c>
      <c r="B583" s="232" t="s">
        <v>24708</v>
      </c>
      <c r="C583" s="509" t="s">
        <v>24709</v>
      </c>
      <c r="D583" s="510" t="s">
        <v>24710</v>
      </c>
      <c r="E583" s="511"/>
      <c r="F583" s="232" t="s">
        <v>24711</v>
      </c>
      <c r="G583" s="232" t="s">
        <v>22479</v>
      </c>
      <c r="H583" s="232">
        <v>9.773942259E9</v>
      </c>
      <c r="I583" s="509" t="s">
        <v>24052</v>
      </c>
      <c r="J583" s="232" t="b">
        <v>0</v>
      </c>
      <c r="K583" s="232" t="s">
        <v>334</v>
      </c>
      <c r="L583" s="232"/>
      <c r="M583" s="511"/>
      <c r="N583" s="232"/>
      <c r="O583" s="232"/>
      <c r="P583" s="312"/>
      <c r="Q583" s="312"/>
      <c r="R583" s="312"/>
      <c r="S583" s="312"/>
      <c r="T583" s="312"/>
      <c r="U583" s="312"/>
    </row>
    <row r="584">
      <c r="A584" s="520">
        <v>45019.0</v>
      </c>
      <c r="B584" s="232" t="s">
        <v>24712</v>
      </c>
      <c r="C584" s="509" t="s">
        <v>24713</v>
      </c>
      <c r="D584" s="510"/>
      <c r="E584" s="511"/>
      <c r="F584" s="232" t="s">
        <v>24714</v>
      </c>
      <c r="G584" s="232" t="s">
        <v>23642</v>
      </c>
      <c r="H584" s="232">
        <v>8.651162618E9</v>
      </c>
      <c r="I584" s="509" t="s">
        <v>24715</v>
      </c>
      <c r="J584" s="232" t="b">
        <v>0</v>
      </c>
      <c r="K584" s="232" t="s">
        <v>22349</v>
      </c>
      <c r="L584" s="232" t="s">
        <v>24716</v>
      </c>
      <c r="M584" s="511"/>
      <c r="N584" s="232"/>
      <c r="O584" s="232"/>
      <c r="P584" s="312"/>
      <c r="Q584" s="312"/>
      <c r="R584" s="312"/>
      <c r="S584" s="312"/>
      <c r="T584" s="312"/>
      <c r="U584" s="312"/>
    </row>
    <row r="585">
      <c r="A585" s="520">
        <v>45019.0</v>
      </c>
      <c r="B585" s="232" t="s">
        <v>24717</v>
      </c>
      <c r="C585" s="509" t="s">
        <v>24718</v>
      </c>
      <c r="D585" s="510" t="s">
        <v>24719</v>
      </c>
      <c r="E585" s="511"/>
      <c r="F585" s="232" t="s">
        <v>24720</v>
      </c>
      <c r="G585" s="232" t="s">
        <v>22479</v>
      </c>
      <c r="H585" s="232">
        <v>9.289223585E9</v>
      </c>
      <c r="I585" s="509" t="s">
        <v>24721</v>
      </c>
      <c r="J585" s="232" t="b">
        <v>0</v>
      </c>
      <c r="K585" s="232" t="s">
        <v>334</v>
      </c>
      <c r="L585" s="232"/>
      <c r="M585" s="511"/>
      <c r="N585" s="232"/>
      <c r="O585" s="232"/>
      <c r="P585" s="312"/>
      <c r="Q585" s="312"/>
      <c r="R585" s="312"/>
      <c r="S585" s="312"/>
      <c r="T585" s="312"/>
      <c r="U585" s="312"/>
    </row>
    <row r="586">
      <c r="A586" s="520">
        <v>45019.0</v>
      </c>
      <c r="B586" s="232" t="s">
        <v>24722</v>
      </c>
      <c r="C586" s="509" t="s">
        <v>24723</v>
      </c>
      <c r="D586" s="510"/>
      <c r="E586" s="511"/>
      <c r="F586" s="232" t="s">
        <v>24724</v>
      </c>
      <c r="G586" s="232" t="s">
        <v>24462</v>
      </c>
      <c r="H586" s="232">
        <v>8.791144241E9</v>
      </c>
      <c r="I586" s="509" t="s">
        <v>24725</v>
      </c>
      <c r="J586" s="232" t="b">
        <v>0</v>
      </c>
      <c r="K586" s="232" t="s">
        <v>12092</v>
      </c>
      <c r="L586" s="232"/>
      <c r="M586" s="511"/>
      <c r="N586" s="232"/>
      <c r="O586" s="232"/>
      <c r="P586" s="312"/>
      <c r="Q586" s="312"/>
      <c r="R586" s="312"/>
      <c r="S586" s="312"/>
      <c r="T586" s="312"/>
      <c r="U586" s="312"/>
    </row>
    <row r="587">
      <c r="A587" s="520">
        <v>45019.0</v>
      </c>
      <c r="B587" s="232" t="s">
        <v>24726</v>
      </c>
      <c r="C587" s="509" t="s">
        <v>474</v>
      </c>
      <c r="D587" s="510" t="s">
        <v>24727</v>
      </c>
      <c r="E587" s="511"/>
      <c r="F587" s="232" t="s">
        <v>24728</v>
      </c>
      <c r="G587" s="232" t="s">
        <v>24462</v>
      </c>
      <c r="H587" s="232">
        <v>8.100072361E9</v>
      </c>
      <c r="I587" s="509" t="s">
        <v>22373</v>
      </c>
      <c r="J587" s="232" t="b">
        <v>0</v>
      </c>
      <c r="K587" s="232" t="s">
        <v>22365</v>
      </c>
      <c r="L587" s="232"/>
      <c r="M587" s="511"/>
      <c r="N587" s="232"/>
      <c r="O587" s="232"/>
      <c r="P587" s="312"/>
      <c r="Q587" s="312"/>
      <c r="R587" s="312"/>
      <c r="S587" s="312"/>
      <c r="T587" s="312"/>
      <c r="U587" s="312"/>
    </row>
    <row r="588">
      <c r="A588" s="520">
        <v>45019.0</v>
      </c>
      <c r="B588" s="232" t="s">
        <v>24729</v>
      </c>
      <c r="C588" s="509" t="s">
        <v>9534</v>
      </c>
      <c r="D588" s="510"/>
      <c r="E588" s="511"/>
      <c r="F588" s="232" t="s">
        <v>24730</v>
      </c>
      <c r="G588" s="232" t="s">
        <v>24731</v>
      </c>
      <c r="H588" s="232">
        <v>9.315593001E9</v>
      </c>
      <c r="I588" s="509" t="s">
        <v>24732</v>
      </c>
      <c r="J588" s="232" t="b">
        <v>0</v>
      </c>
      <c r="K588" s="232" t="s">
        <v>22349</v>
      </c>
      <c r="L588" s="232" t="s">
        <v>24733</v>
      </c>
      <c r="M588" s="511"/>
      <c r="N588" s="232"/>
      <c r="O588" s="232"/>
      <c r="P588" s="312"/>
      <c r="Q588" s="312"/>
      <c r="R588" s="312"/>
      <c r="S588" s="312"/>
      <c r="T588" s="312"/>
      <c r="U588" s="312"/>
    </row>
    <row r="589">
      <c r="A589" s="520">
        <v>45019.0</v>
      </c>
      <c r="B589" s="232" t="s">
        <v>24734</v>
      </c>
      <c r="C589" s="509" t="s">
        <v>24735</v>
      </c>
      <c r="D589" s="510" t="s">
        <v>24736</v>
      </c>
      <c r="E589" s="511"/>
      <c r="F589" s="232" t="s">
        <v>24737</v>
      </c>
      <c r="G589" s="232" t="s">
        <v>15263</v>
      </c>
      <c r="H589" s="232">
        <v>9.810180064E9</v>
      </c>
      <c r="I589" s="509" t="s">
        <v>24738</v>
      </c>
      <c r="J589" s="232" t="b">
        <v>0</v>
      </c>
      <c r="K589" s="232" t="s">
        <v>22365</v>
      </c>
      <c r="L589" s="232" t="s">
        <v>23537</v>
      </c>
      <c r="M589" s="511"/>
      <c r="N589" s="232"/>
      <c r="O589" s="232"/>
      <c r="P589" s="312"/>
      <c r="Q589" s="312"/>
      <c r="R589" s="312"/>
      <c r="S589" s="312"/>
      <c r="T589" s="312"/>
      <c r="U589" s="312"/>
    </row>
    <row r="590">
      <c r="A590" s="521">
        <v>44960.0</v>
      </c>
      <c r="B590" s="514" t="s">
        <v>24739</v>
      </c>
      <c r="C590" s="515" t="s">
        <v>24740</v>
      </c>
      <c r="D590" s="516"/>
      <c r="E590" s="517"/>
      <c r="F590" s="514"/>
      <c r="G590" s="514" t="s">
        <v>24741</v>
      </c>
      <c r="H590" s="514">
        <v>7.980667266E9</v>
      </c>
      <c r="I590" s="515" t="s">
        <v>24742</v>
      </c>
      <c r="J590" s="514" t="b">
        <v>0</v>
      </c>
      <c r="K590" s="514" t="s">
        <v>22312</v>
      </c>
      <c r="L590" s="518" t="s">
        <v>24743</v>
      </c>
      <c r="M590" s="511"/>
      <c r="N590" s="232"/>
      <c r="O590" s="232"/>
      <c r="P590" s="312"/>
      <c r="Q590" s="312"/>
      <c r="R590" s="312"/>
      <c r="S590" s="312"/>
      <c r="T590" s="312"/>
      <c r="U590" s="312"/>
    </row>
    <row r="591">
      <c r="A591" s="521">
        <v>44960.0</v>
      </c>
      <c r="B591" s="514" t="s">
        <v>24744</v>
      </c>
      <c r="C591" s="515" t="s">
        <v>24745</v>
      </c>
      <c r="D591" s="516"/>
      <c r="E591" s="517"/>
      <c r="F591" s="514"/>
      <c r="G591" s="514" t="s">
        <v>24746</v>
      </c>
      <c r="H591" s="514">
        <v>9.525173898E9</v>
      </c>
      <c r="I591" s="515" t="s">
        <v>24747</v>
      </c>
      <c r="J591" s="514" t="b">
        <v>0</v>
      </c>
      <c r="K591" s="514" t="s">
        <v>22312</v>
      </c>
      <c r="L591" s="514" t="s">
        <v>24748</v>
      </c>
      <c r="M591" s="511"/>
      <c r="N591" s="232"/>
      <c r="O591" s="232"/>
      <c r="P591" s="312"/>
      <c r="Q591" s="312"/>
      <c r="R591" s="312"/>
      <c r="S591" s="312"/>
      <c r="T591" s="312"/>
      <c r="U591" s="312"/>
    </row>
    <row r="592">
      <c r="A592" s="520">
        <v>44960.0</v>
      </c>
      <c r="B592" s="232" t="s">
        <v>24749</v>
      </c>
      <c r="C592" s="509" t="s">
        <v>24750</v>
      </c>
      <c r="D592" s="510" t="s">
        <v>24751</v>
      </c>
      <c r="E592" s="511"/>
      <c r="F592" s="232" t="s">
        <v>24752</v>
      </c>
      <c r="G592" s="232" t="s">
        <v>22630</v>
      </c>
      <c r="H592" s="232">
        <v>9.72402532E9</v>
      </c>
      <c r="I592" s="509" t="s">
        <v>24753</v>
      </c>
      <c r="J592" s="232" t="b">
        <v>0</v>
      </c>
      <c r="K592" s="232" t="s">
        <v>22349</v>
      </c>
      <c r="L592" s="232" t="s">
        <v>23977</v>
      </c>
      <c r="M592" s="511"/>
      <c r="N592" s="232"/>
      <c r="O592" s="232"/>
      <c r="P592" s="312"/>
      <c r="Q592" s="312"/>
      <c r="R592" s="312"/>
      <c r="S592" s="312"/>
      <c r="T592" s="312"/>
      <c r="U592" s="312"/>
    </row>
    <row r="593">
      <c r="A593" s="520">
        <v>44960.0</v>
      </c>
      <c r="B593" s="232" t="s">
        <v>24754</v>
      </c>
      <c r="C593" s="509" t="s">
        <v>24755</v>
      </c>
      <c r="D593" s="510" t="s">
        <v>24756</v>
      </c>
      <c r="E593" s="511"/>
      <c r="F593" s="232" t="s">
        <v>24757</v>
      </c>
      <c r="G593" s="232" t="s">
        <v>22337</v>
      </c>
      <c r="H593" s="232">
        <v>7.749047385E9</v>
      </c>
      <c r="I593" s="509" t="s">
        <v>24758</v>
      </c>
      <c r="J593" s="232" t="b">
        <v>0</v>
      </c>
      <c r="K593" s="232" t="s">
        <v>22355</v>
      </c>
      <c r="L593" s="232"/>
      <c r="M593" s="511"/>
      <c r="N593" s="232"/>
      <c r="O593" s="232"/>
      <c r="P593" s="312"/>
      <c r="Q593" s="312"/>
      <c r="R593" s="312"/>
      <c r="S593" s="312"/>
      <c r="T593" s="312"/>
      <c r="U593" s="312"/>
    </row>
    <row r="594">
      <c r="A594" s="520">
        <v>44960.0</v>
      </c>
      <c r="B594" s="232" t="s">
        <v>24759</v>
      </c>
      <c r="C594" s="509" t="s">
        <v>24760</v>
      </c>
      <c r="D594" s="510"/>
      <c r="E594" s="511"/>
      <c r="F594" s="232"/>
      <c r="G594" s="232" t="s">
        <v>23512</v>
      </c>
      <c r="H594" s="232">
        <v>7.620170076E9</v>
      </c>
      <c r="I594" s="509" t="s">
        <v>22373</v>
      </c>
      <c r="J594" s="232" t="b">
        <v>0</v>
      </c>
      <c r="K594" s="232" t="s">
        <v>22365</v>
      </c>
      <c r="L594" s="232"/>
      <c r="M594" s="511"/>
      <c r="N594" s="232"/>
      <c r="O594" s="232"/>
      <c r="P594" s="312"/>
      <c r="Q594" s="312"/>
      <c r="R594" s="312"/>
      <c r="S594" s="312"/>
      <c r="T594" s="312"/>
      <c r="U594" s="312"/>
    </row>
    <row r="595">
      <c r="A595" s="520">
        <v>44960.0</v>
      </c>
      <c r="B595" s="232" t="s">
        <v>24761</v>
      </c>
      <c r="C595" s="509" t="s">
        <v>22498</v>
      </c>
      <c r="D595" s="510" t="s">
        <v>22499</v>
      </c>
      <c r="E595" s="511"/>
      <c r="F595" s="232" t="s">
        <v>22500</v>
      </c>
      <c r="G595" s="232" t="s">
        <v>22359</v>
      </c>
      <c r="H595" s="232">
        <v>9.926050052E9</v>
      </c>
      <c r="I595" s="509" t="s">
        <v>23761</v>
      </c>
      <c r="J595" s="232" t="b">
        <v>0</v>
      </c>
      <c r="K595" s="232" t="s">
        <v>22365</v>
      </c>
      <c r="L595" s="232" t="s">
        <v>24762</v>
      </c>
      <c r="M595" s="511"/>
      <c r="N595" s="232"/>
      <c r="O595" s="232"/>
      <c r="P595" s="312"/>
      <c r="Q595" s="312"/>
      <c r="R595" s="312"/>
      <c r="S595" s="312"/>
      <c r="T595" s="312"/>
      <c r="U595" s="312"/>
    </row>
    <row r="596">
      <c r="A596" s="520">
        <v>44960.0</v>
      </c>
      <c r="B596" s="232" t="s">
        <v>24763</v>
      </c>
      <c r="C596" s="509" t="s">
        <v>24764</v>
      </c>
      <c r="D596" s="510" t="s">
        <v>24765</v>
      </c>
      <c r="E596" s="511"/>
      <c r="F596" s="232" t="s">
        <v>24766</v>
      </c>
      <c r="G596" s="232" t="s">
        <v>107</v>
      </c>
      <c r="H596" s="232">
        <v>9.599863871E9</v>
      </c>
      <c r="I596" s="509" t="s">
        <v>24767</v>
      </c>
      <c r="J596" s="232" t="b">
        <v>0</v>
      </c>
      <c r="K596" s="232" t="s">
        <v>22365</v>
      </c>
      <c r="L596" s="232" t="s">
        <v>22514</v>
      </c>
      <c r="M596" s="511"/>
      <c r="N596" s="232"/>
      <c r="O596" s="232"/>
      <c r="P596" s="312"/>
      <c r="Q596" s="312"/>
      <c r="R596" s="312"/>
      <c r="S596" s="312"/>
      <c r="T596" s="312"/>
      <c r="U596" s="312"/>
    </row>
    <row r="597">
      <c r="A597" s="520">
        <v>44960.0</v>
      </c>
      <c r="B597" s="232" t="s">
        <v>24768</v>
      </c>
      <c r="C597" s="509" t="s">
        <v>20608</v>
      </c>
      <c r="D597" s="510"/>
      <c r="E597" s="511"/>
      <c r="F597" s="232"/>
      <c r="G597" s="232" t="s">
        <v>2682</v>
      </c>
      <c r="H597" s="232">
        <v>9.632670429E9</v>
      </c>
      <c r="I597" s="509" t="s">
        <v>22860</v>
      </c>
      <c r="J597" s="232" t="b">
        <v>0</v>
      </c>
      <c r="K597" s="232" t="s">
        <v>22355</v>
      </c>
      <c r="L597" s="232"/>
      <c r="M597" s="511"/>
      <c r="N597" s="232"/>
      <c r="O597" s="232"/>
      <c r="P597" s="312"/>
      <c r="Q597" s="312"/>
      <c r="R597" s="312"/>
      <c r="S597" s="312"/>
      <c r="T597" s="312"/>
      <c r="U597" s="312"/>
    </row>
    <row r="598">
      <c r="A598" s="520">
        <v>44960.0</v>
      </c>
      <c r="B598" s="232" t="s">
        <v>24769</v>
      </c>
      <c r="C598" s="509" t="s">
        <v>24770</v>
      </c>
      <c r="D598" s="510" t="s">
        <v>24771</v>
      </c>
      <c r="E598" s="511"/>
      <c r="F598" s="232"/>
      <c r="G598" s="232" t="s">
        <v>2662</v>
      </c>
      <c r="H598" s="232">
        <v>9.487088947E9</v>
      </c>
      <c r="I598" s="509" t="s">
        <v>22289</v>
      </c>
      <c r="J598" s="232" t="b">
        <v>0</v>
      </c>
      <c r="K598" s="232"/>
      <c r="L598" s="232"/>
      <c r="M598" s="511"/>
      <c r="N598" s="232"/>
      <c r="O598" s="232"/>
      <c r="P598" s="312"/>
      <c r="Q598" s="312"/>
      <c r="R598" s="312"/>
      <c r="S598" s="312"/>
      <c r="T598" s="312"/>
      <c r="U598" s="312"/>
    </row>
    <row r="599">
      <c r="A599" s="520">
        <v>44960.0</v>
      </c>
      <c r="B599" s="232" t="s">
        <v>24772</v>
      </c>
      <c r="C599" s="509" t="s">
        <v>24773</v>
      </c>
      <c r="D599" s="510"/>
      <c r="E599" s="511"/>
      <c r="F599" s="232" t="s">
        <v>24774</v>
      </c>
      <c r="G599" s="232" t="s">
        <v>23274</v>
      </c>
      <c r="H599" s="232">
        <v>6.35193813E9</v>
      </c>
      <c r="I599" s="509" t="s">
        <v>22343</v>
      </c>
      <c r="J599" s="232" t="b">
        <v>0</v>
      </c>
      <c r="K599" s="232"/>
      <c r="L599" s="232"/>
      <c r="M599" s="511"/>
      <c r="N599" s="232"/>
      <c r="O599" s="232"/>
      <c r="P599" s="312"/>
      <c r="Q599" s="312"/>
      <c r="R599" s="312"/>
      <c r="S599" s="312"/>
      <c r="T599" s="312"/>
      <c r="U599" s="312"/>
    </row>
    <row r="600">
      <c r="A600" s="520">
        <v>44960.0</v>
      </c>
      <c r="B600" s="232" t="s">
        <v>24775</v>
      </c>
      <c r="C600" s="509" t="s">
        <v>24776</v>
      </c>
      <c r="D600" s="510" t="s">
        <v>24777</v>
      </c>
      <c r="E600" s="511"/>
      <c r="F600" s="232" t="s">
        <v>24778</v>
      </c>
      <c r="G600" s="232" t="s">
        <v>22384</v>
      </c>
      <c r="H600" s="232">
        <v>9.774316988E9</v>
      </c>
      <c r="I600" s="509" t="s">
        <v>24779</v>
      </c>
      <c r="J600" s="232" t="b">
        <v>0</v>
      </c>
      <c r="K600" s="232" t="s">
        <v>334</v>
      </c>
      <c r="L600" s="232"/>
      <c r="M600" s="511"/>
      <c r="N600" s="232"/>
      <c r="O600" s="232"/>
      <c r="P600" s="312"/>
      <c r="Q600" s="312"/>
      <c r="R600" s="312"/>
      <c r="S600" s="312"/>
      <c r="T600" s="312"/>
      <c r="U600" s="312"/>
    </row>
    <row r="601">
      <c r="A601" s="521">
        <v>44960.0</v>
      </c>
      <c r="B601" s="514" t="s">
        <v>24780</v>
      </c>
      <c r="C601" s="515" t="s">
        <v>24781</v>
      </c>
      <c r="D601" s="516"/>
      <c r="E601" s="517"/>
      <c r="F601" s="514" t="s">
        <v>24782</v>
      </c>
      <c r="G601" s="514" t="s">
        <v>15533</v>
      </c>
      <c r="H601" s="514">
        <v>9.366358167E9</v>
      </c>
      <c r="I601" s="515" t="s">
        <v>24783</v>
      </c>
      <c r="J601" s="514" t="b">
        <v>0</v>
      </c>
      <c r="K601" s="514" t="s">
        <v>22312</v>
      </c>
      <c r="L601" s="514" t="s">
        <v>24784</v>
      </c>
      <c r="M601" s="511"/>
      <c r="N601" s="232"/>
      <c r="O601" s="232"/>
      <c r="P601" s="312"/>
      <c r="Q601" s="312"/>
      <c r="R601" s="312"/>
      <c r="S601" s="312"/>
      <c r="T601" s="312"/>
      <c r="U601" s="312"/>
    </row>
    <row r="602">
      <c r="A602" s="520">
        <v>44960.0</v>
      </c>
      <c r="B602" s="232" t="s">
        <v>24785</v>
      </c>
      <c r="C602" s="509" t="s">
        <v>24786</v>
      </c>
      <c r="D602" s="510" t="s">
        <v>24787</v>
      </c>
      <c r="E602" s="511"/>
      <c r="F602" s="232" t="s">
        <v>24788</v>
      </c>
      <c r="G602" s="232" t="s">
        <v>449</v>
      </c>
      <c r="H602" s="232">
        <v>7.364881701E9</v>
      </c>
      <c r="I602" s="509" t="s">
        <v>24789</v>
      </c>
      <c r="J602" s="232" t="b">
        <v>0</v>
      </c>
      <c r="K602" s="232" t="s">
        <v>22365</v>
      </c>
      <c r="L602" s="232" t="s">
        <v>22514</v>
      </c>
      <c r="M602" s="511"/>
      <c r="N602" s="232"/>
      <c r="O602" s="232"/>
      <c r="P602" s="312"/>
      <c r="Q602" s="312"/>
      <c r="R602" s="312"/>
      <c r="S602" s="312"/>
      <c r="T602" s="312"/>
      <c r="U602" s="312"/>
    </row>
    <row r="603">
      <c r="A603" s="520">
        <v>44960.0</v>
      </c>
      <c r="B603" s="232" t="s">
        <v>24790</v>
      </c>
      <c r="C603" s="509" t="s">
        <v>24791</v>
      </c>
      <c r="D603" s="510"/>
      <c r="E603" s="511"/>
      <c r="F603" s="232"/>
      <c r="G603" s="232" t="s">
        <v>22844</v>
      </c>
      <c r="H603" s="232">
        <v>9.313016621E9</v>
      </c>
      <c r="I603" s="509" t="s">
        <v>24792</v>
      </c>
      <c r="J603" s="232" t="b">
        <v>0</v>
      </c>
      <c r="K603" s="232" t="s">
        <v>22365</v>
      </c>
      <c r="L603" s="232" t="s">
        <v>24793</v>
      </c>
      <c r="M603" s="511"/>
      <c r="N603" s="232"/>
      <c r="O603" s="232"/>
      <c r="P603" s="312"/>
      <c r="Q603" s="312"/>
      <c r="R603" s="312"/>
      <c r="S603" s="312"/>
      <c r="T603" s="312"/>
      <c r="U603" s="312"/>
    </row>
    <row r="604">
      <c r="A604" s="520">
        <v>44929.0</v>
      </c>
      <c r="B604" s="232" t="s">
        <v>24794</v>
      </c>
      <c r="C604" s="509" t="s">
        <v>24795</v>
      </c>
      <c r="D604" s="510"/>
      <c r="E604" s="511"/>
      <c r="F604" s="232"/>
      <c r="G604" s="232" t="s">
        <v>22844</v>
      </c>
      <c r="H604" s="232">
        <v>9.30993415E9</v>
      </c>
      <c r="I604" s="509" t="s">
        <v>24796</v>
      </c>
      <c r="J604" s="232" t="b">
        <v>0</v>
      </c>
      <c r="K604" s="232"/>
      <c r="L604" s="232"/>
      <c r="M604" s="511"/>
      <c r="N604" s="232"/>
      <c r="O604" s="232"/>
      <c r="P604" s="312"/>
      <c r="Q604" s="312"/>
      <c r="R604" s="312"/>
      <c r="S604" s="312"/>
      <c r="T604" s="312"/>
      <c r="U604" s="312"/>
    </row>
    <row r="605">
      <c r="A605" s="520">
        <v>44929.0</v>
      </c>
      <c r="B605" s="232" t="s">
        <v>24797</v>
      </c>
      <c r="C605" s="509" t="s">
        <v>24798</v>
      </c>
      <c r="D605" s="510"/>
      <c r="E605" s="511"/>
      <c r="F605" s="232"/>
      <c r="G605" s="232" t="s">
        <v>23512</v>
      </c>
      <c r="H605" s="232">
        <v>9.913696406E9</v>
      </c>
      <c r="I605" s="509" t="s">
        <v>24767</v>
      </c>
      <c r="J605" s="232" t="b">
        <v>0</v>
      </c>
      <c r="K605" s="232"/>
      <c r="L605" s="232"/>
      <c r="M605" s="511"/>
      <c r="N605" s="232"/>
      <c r="O605" s="232"/>
      <c r="P605" s="312"/>
      <c r="Q605" s="312"/>
      <c r="R605" s="312"/>
      <c r="S605" s="312"/>
      <c r="T605" s="312"/>
      <c r="U605" s="312"/>
    </row>
    <row r="606">
      <c r="A606" s="520">
        <v>44929.0</v>
      </c>
      <c r="B606" s="232" t="s">
        <v>24799</v>
      </c>
      <c r="C606" s="509" t="s">
        <v>24800</v>
      </c>
      <c r="D606" s="510" t="s">
        <v>24801</v>
      </c>
      <c r="E606" s="511"/>
      <c r="F606" s="232" t="s">
        <v>24802</v>
      </c>
      <c r="G606" s="232" t="s">
        <v>22844</v>
      </c>
      <c r="H606" s="232">
        <v>9.619770746E9</v>
      </c>
      <c r="I606" s="509" t="s">
        <v>22373</v>
      </c>
      <c r="J606" s="232" t="b">
        <v>0</v>
      </c>
      <c r="K606" s="232" t="s">
        <v>22365</v>
      </c>
      <c r="L606" s="232" t="s">
        <v>22422</v>
      </c>
      <c r="M606" s="511"/>
      <c r="N606" s="232"/>
      <c r="O606" s="232"/>
      <c r="P606" s="312"/>
      <c r="Q606" s="312"/>
      <c r="R606" s="312"/>
      <c r="S606" s="312"/>
      <c r="T606" s="312"/>
      <c r="U606" s="312"/>
    </row>
    <row r="607">
      <c r="A607" s="520">
        <v>44929.0</v>
      </c>
      <c r="B607" s="232" t="s">
        <v>24803</v>
      </c>
      <c r="C607" s="509" t="s">
        <v>24804</v>
      </c>
      <c r="D607" s="510"/>
      <c r="E607" s="511"/>
      <c r="F607" s="232"/>
      <c r="G607" s="232" t="s">
        <v>22479</v>
      </c>
      <c r="H607" s="232">
        <v>8.299520856E9</v>
      </c>
      <c r="I607" s="509" t="s">
        <v>22289</v>
      </c>
      <c r="J607" s="232" t="b">
        <v>0</v>
      </c>
      <c r="K607" s="232" t="s">
        <v>22365</v>
      </c>
      <c r="L607" s="232" t="s">
        <v>22514</v>
      </c>
      <c r="M607" s="511"/>
      <c r="N607" s="232"/>
      <c r="O607" s="232"/>
      <c r="P607" s="312"/>
      <c r="Q607" s="312"/>
      <c r="R607" s="312"/>
      <c r="S607" s="312"/>
      <c r="T607" s="312"/>
      <c r="U607" s="312"/>
    </row>
    <row r="608">
      <c r="A608" s="520">
        <v>44929.0</v>
      </c>
      <c r="B608" s="232" t="s">
        <v>24805</v>
      </c>
      <c r="C608" s="509" t="s">
        <v>24806</v>
      </c>
      <c r="D608" s="510"/>
      <c r="E608" s="511"/>
      <c r="F608" s="232"/>
      <c r="G608" s="232" t="s">
        <v>24807</v>
      </c>
      <c r="H608" s="232">
        <v>7.989223393E9</v>
      </c>
      <c r="I608" s="509" t="s">
        <v>22373</v>
      </c>
      <c r="J608" s="232" t="b">
        <v>0</v>
      </c>
      <c r="K608" s="232" t="s">
        <v>22349</v>
      </c>
      <c r="L608" s="232" t="s">
        <v>22398</v>
      </c>
      <c r="M608" s="511"/>
      <c r="N608" s="232"/>
      <c r="O608" s="232"/>
      <c r="P608" s="312"/>
      <c r="Q608" s="312"/>
      <c r="R608" s="312"/>
      <c r="S608" s="312"/>
      <c r="T608" s="312"/>
      <c r="U608" s="312"/>
    </row>
    <row r="609">
      <c r="A609" s="520">
        <v>44929.0</v>
      </c>
      <c r="B609" s="232" t="s">
        <v>24808</v>
      </c>
      <c r="C609" s="509" t="s">
        <v>15771</v>
      </c>
      <c r="D609" s="510"/>
      <c r="E609" s="511"/>
      <c r="F609" s="232"/>
      <c r="G609" s="232" t="s">
        <v>24809</v>
      </c>
      <c r="H609" s="232">
        <v>8.649848337E9</v>
      </c>
      <c r="I609" s="509" t="s">
        <v>24810</v>
      </c>
      <c r="J609" s="232" t="b">
        <v>0</v>
      </c>
      <c r="K609" s="232" t="s">
        <v>22365</v>
      </c>
      <c r="L609" s="232" t="s">
        <v>22422</v>
      </c>
      <c r="M609" s="511"/>
      <c r="N609" s="232"/>
      <c r="O609" s="232"/>
      <c r="P609" s="312"/>
      <c r="Q609" s="312"/>
      <c r="R609" s="312"/>
      <c r="S609" s="312"/>
      <c r="T609" s="312"/>
      <c r="U609" s="312"/>
    </row>
    <row r="610">
      <c r="A610" s="520">
        <v>44929.0</v>
      </c>
      <c r="B610" s="232" t="s">
        <v>24811</v>
      </c>
      <c r="C610" s="509" t="s">
        <v>24812</v>
      </c>
      <c r="D610" s="510"/>
      <c r="E610" s="511"/>
      <c r="F610" s="232"/>
      <c r="G610" s="232" t="s">
        <v>22359</v>
      </c>
      <c r="H610" s="232">
        <v>-7.7258384E9</v>
      </c>
      <c r="I610" s="509" t="s">
        <v>22354</v>
      </c>
      <c r="J610" s="232" t="b">
        <v>0</v>
      </c>
      <c r="K610" s="232" t="s">
        <v>22365</v>
      </c>
      <c r="L610" s="232" t="s">
        <v>23537</v>
      </c>
      <c r="M610" s="511"/>
      <c r="N610" s="232"/>
      <c r="O610" s="232"/>
      <c r="P610" s="312"/>
      <c r="Q610" s="312"/>
      <c r="R610" s="312"/>
      <c r="S610" s="312"/>
      <c r="T610" s="312"/>
      <c r="U610" s="312"/>
    </row>
    <row r="611">
      <c r="A611" s="520">
        <v>44929.0</v>
      </c>
      <c r="B611" s="232" t="s">
        <v>24813</v>
      </c>
      <c r="C611" s="509" t="s">
        <v>9514</v>
      </c>
      <c r="D611" s="510" t="s">
        <v>24814</v>
      </c>
      <c r="E611" s="511"/>
      <c r="F611" s="232" t="s">
        <v>24815</v>
      </c>
      <c r="G611" s="232" t="s">
        <v>22844</v>
      </c>
      <c r="H611" s="232">
        <v>8.0873308E9</v>
      </c>
      <c r="I611" s="509" t="s">
        <v>24816</v>
      </c>
      <c r="J611" s="232" t="b">
        <v>0</v>
      </c>
      <c r="K611" s="232" t="s">
        <v>22365</v>
      </c>
      <c r="L611" s="232" t="s">
        <v>23537</v>
      </c>
      <c r="M611" s="511"/>
      <c r="N611" s="232"/>
      <c r="O611" s="232"/>
      <c r="P611" s="312"/>
      <c r="Q611" s="312"/>
      <c r="R611" s="312"/>
      <c r="S611" s="312"/>
      <c r="T611" s="312"/>
      <c r="U611" s="312"/>
    </row>
    <row r="612">
      <c r="A612" s="520">
        <v>44929.0</v>
      </c>
      <c r="B612" s="232" t="s">
        <v>24817</v>
      </c>
      <c r="C612" s="509" t="s">
        <v>24818</v>
      </c>
      <c r="D612" s="510"/>
      <c r="E612" s="511"/>
      <c r="F612" s="232" t="s">
        <v>24819</v>
      </c>
      <c r="G612" s="232"/>
      <c r="H612" s="232">
        <v>9.870739072E9</v>
      </c>
      <c r="I612" s="509" t="s">
        <v>22354</v>
      </c>
      <c r="J612" s="232" t="b">
        <v>0</v>
      </c>
      <c r="K612" s="232" t="s">
        <v>22365</v>
      </c>
      <c r="L612" s="232"/>
      <c r="M612" s="511"/>
      <c r="N612" s="232"/>
      <c r="O612" s="232"/>
      <c r="P612" s="312"/>
      <c r="Q612" s="312"/>
      <c r="R612" s="312"/>
      <c r="S612" s="312"/>
      <c r="T612" s="312"/>
      <c r="U612" s="312"/>
    </row>
    <row r="613">
      <c r="A613" s="520">
        <v>44929.0</v>
      </c>
      <c r="B613" s="232" t="s">
        <v>24820</v>
      </c>
      <c r="C613" s="509" t="s">
        <v>24821</v>
      </c>
      <c r="D613" s="510" t="s">
        <v>24822</v>
      </c>
      <c r="E613" s="511"/>
      <c r="F613" s="232" t="s">
        <v>24823</v>
      </c>
      <c r="G613" s="232" t="s">
        <v>22479</v>
      </c>
      <c r="H613" s="232">
        <v>9.918467111E9</v>
      </c>
      <c r="I613" s="509" t="s">
        <v>24824</v>
      </c>
      <c r="J613" s="232" t="b">
        <v>0</v>
      </c>
      <c r="K613" s="232" t="s">
        <v>22365</v>
      </c>
      <c r="L613" s="232" t="s">
        <v>22366</v>
      </c>
      <c r="M613" s="511"/>
      <c r="N613" s="232"/>
      <c r="O613" s="232"/>
      <c r="P613" s="312"/>
      <c r="Q613" s="312"/>
      <c r="R613" s="312"/>
      <c r="S613" s="312"/>
      <c r="T613" s="312"/>
      <c r="U613" s="312"/>
    </row>
    <row r="614">
      <c r="A614" s="520">
        <v>44929.0</v>
      </c>
      <c r="B614" s="232" t="s">
        <v>24825</v>
      </c>
      <c r="C614" s="509" t="s">
        <v>24826</v>
      </c>
      <c r="D614" s="519" t="s">
        <v>24827</v>
      </c>
      <c r="E614" s="511"/>
      <c r="F614" s="232" t="s">
        <v>24828</v>
      </c>
      <c r="G614" s="232" t="s">
        <v>1691</v>
      </c>
      <c r="H614" s="232">
        <v>9.831289364E9</v>
      </c>
      <c r="I614" s="509" t="s">
        <v>24829</v>
      </c>
      <c r="J614" s="232" t="b">
        <v>0</v>
      </c>
      <c r="K614" s="232" t="s">
        <v>22355</v>
      </c>
      <c r="L614" s="232"/>
      <c r="M614" s="511"/>
      <c r="N614" s="232"/>
      <c r="O614" s="232"/>
      <c r="P614" s="312"/>
      <c r="Q614" s="312"/>
      <c r="R614" s="312"/>
      <c r="S614" s="312"/>
      <c r="T614" s="312"/>
      <c r="U614" s="312"/>
    </row>
    <row r="615">
      <c r="A615" s="520">
        <v>44929.0</v>
      </c>
      <c r="B615" s="232" t="s">
        <v>24830</v>
      </c>
      <c r="C615" s="509" t="s">
        <v>24831</v>
      </c>
      <c r="D615" s="510" t="s">
        <v>24832</v>
      </c>
      <c r="E615" s="511"/>
      <c r="F615" s="232" t="s">
        <v>24833</v>
      </c>
      <c r="G615" s="232" t="s">
        <v>44</v>
      </c>
      <c r="H615" s="232">
        <v>9.415590915E9</v>
      </c>
      <c r="I615" s="509" t="s">
        <v>24834</v>
      </c>
      <c r="J615" s="232" t="b">
        <v>0</v>
      </c>
      <c r="K615" s="232" t="s">
        <v>22365</v>
      </c>
      <c r="L615" s="232" t="s">
        <v>24835</v>
      </c>
      <c r="M615" s="511"/>
      <c r="N615" s="232"/>
      <c r="O615" s="232"/>
      <c r="P615" s="312"/>
      <c r="Q615" s="312"/>
      <c r="R615" s="312"/>
      <c r="S615" s="312"/>
      <c r="T615" s="312"/>
      <c r="U615" s="312"/>
    </row>
    <row r="616">
      <c r="A616" s="520">
        <v>44929.0</v>
      </c>
      <c r="B616" s="232" t="s">
        <v>24836</v>
      </c>
      <c r="C616" s="509" t="s">
        <v>24837</v>
      </c>
      <c r="D616" s="510"/>
      <c r="E616" s="511"/>
      <c r="F616" s="232" t="s">
        <v>24838</v>
      </c>
      <c r="G616" s="232" t="s">
        <v>1337</v>
      </c>
      <c r="H616" s="232">
        <v>8.486396672E9</v>
      </c>
      <c r="I616" s="509" t="s">
        <v>22278</v>
      </c>
      <c r="J616" s="232" t="b">
        <v>0</v>
      </c>
      <c r="K616" s="232" t="s">
        <v>22365</v>
      </c>
      <c r="L616" s="232" t="s">
        <v>22422</v>
      </c>
      <c r="M616" s="511"/>
      <c r="N616" s="232"/>
      <c r="O616" s="232"/>
      <c r="P616" s="312"/>
      <c r="Q616" s="312"/>
      <c r="R616" s="312"/>
      <c r="S616" s="312"/>
      <c r="T616" s="312"/>
      <c r="U616" s="312"/>
    </row>
    <row r="617">
      <c r="A617" s="520">
        <v>44929.0</v>
      </c>
      <c r="B617" s="232" t="s">
        <v>24839</v>
      </c>
      <c r="C617" s="509" t="s">
        <v>24840</v>
      </c>
      <c r="D617" s="510"/>
      <c r="E617" s="511"/>
      <c r="F617" s="232" t="s">
        <v>24841</v>
      </c>
      <c r="G617" s="232" t="s">
        <v>467</v>
      </c>
      <c r="H617" s="232">
        <v>8.130641549E9</v>
      </c>
      <c r="I617" s="509" t="s">
        <v>24842</v>
      </c>
      <c r="J617" s="232" t="b">
        <v>0</v>
      </c>
      <c r="K617" s="232" t="s">
        <v>22365</v>
      </c>
      <c r="L617" s="232" t="s">
        <v>22451</v>
      </c>
      <c r="M617" s="511"/>
      <c r="N617" s="232"/>
      <c r="O617" s="232"/>
      <c r="P617" s="312"/>
      <c r="Q617" s="312"/>
      <c r="R617" s="312"/>
      <c r="S617" s="312"/>
      <c r="T617" s="312"/>
      <c r="U617" s="312"/>
    </row>
    <row r="618">
      <c r="A618" s="520">
        <v>44929.0</v>
      </c>
      <c r="B618" s="232" t="s">
        <v>24843</v>
      </c>
      <c r="C618" s="509" t="s">
        <v>24844</v>
      </c>
      <c r="D618" s="510" t="s">
        <v>24845</v>
      </c>
      <c r="E618" s="511"/>
      <c r="F618" s="232" t="s">
        <v>24846</v>
      </c>
      <c r="G618" s="232" t="s">
        <v>7995</v>
      </c>
      <c r="H618" s="232">
        <v>9.674441633E9</v>
      </c>
      <c r="I618" s="509" t="s">
        <v>24792</v>
      </c>
      <c r="J618" s="232" t="b">
        <v>0</v>
      </c>
      <c r="K618" s="232" t="s">
        <v>22365</v>
      </c>
      <c r="L618" s="232" t="s">
        <v>23537</v>
      </c>
      <c r="M618" s="511"/>
      <c r="N618" s="232"/>
      <c r="O618" s="232"/>
      <c r="P618" s="312"/>
      <c r="Q618" s="312"/>
      <c r="R618" s="312"/>
      <c r="S618" s="312"/>
      <c r="T618" s="312"/>
      <c r="U618" s="312"/>
    </row>
    <row r="619">
      <c r="A619" s="508" t="s">
        <v>24847</v>
      </c>
      <c r="B619" s="232" t="s">
        <v>24848</v>
      </c>
      <c r="C619" s="509" t="s">
        <v>24849</v>
      </c>
      <c r="D619" s="510"/>
      <c r="E619" s="511"/>
      <c r="F619" s="232"/>
      <c r="G619" s="232" t="s">
        <v>22992</v>
      </c>
      <c r="H619" s="232">
        <v>-7.69675626E9</v>
      </c>
      <c r="I619" s="509" t="s">
        <v>22537</v>
      </c>
      <c r="J619" s="232" t="b">
        <v>0</v>
      </c>
      <c r="K619" s="232" t="s">
        <v>22365</v>
      </c>
      <c r="L619" s="232" t="s">
        <v>24850</v>
      </c>
      <c r="M619" s="511"/>
      <c r="N619" s="232"/>
      <c r="O619" s="232"/>
      <c r="P619" s="312"/>
      <c r="Q619" s="312"/>
      <c r="R619" s="312"/>
      <c r="S619" s="312"/>
      <c r="T619" s="312"/>
      <c r="U619" s="312"/>
    </row>
    <row r="620">
      <c r="A620" s="508" t="s">
        <v>24847</v>
      </c>
      <c r="B620" s="232" t="s">
        <v>24851</v>
      </c>
      <c r="C620" s="509" t="s">
        <v>22125</v>
      </c>
      <c r="D620" s="510" t="s">
        <v>24852</v>
      </c>
      <c r="E620" s="511"/>
      <c r="F620" s="232"/>
      <c r="G620" s="232" t="s">
        <v>22583</v>
      </c>
      <c r="H620" s="232">
        <v>-9.14902825E9</v>
      </c>
      <c r="I620" s="509" t="s">
        <v>22903</v>
      </c>
      <c r="J620" s="232" t="b">
        <v>0</v>
      </c>
      <c r="K620" s="232" t="s">
        <v>22365</v>
      </c>
      <c r="L620" s="232" t="s">
        <v>24853</v>
      </c>
      <c r="M620" s="511"/>
      <c r="N620" s="232"/>
      <c r="O620" s="232"/>
      <c r="P620" s="312"/>
      <c r="Q620" s="312"/>
      <c r="R620" s="312"/>
      <c r="S620" s="312"/>
      <c r="T620" s="312"/>
      <c r="U620" s="312"/>
    </row>
    <row r="621">
      <c r="A621" s="508" t="s">
        <v>24847</v>
      </c>
      <c r="B621" s="232" t="s">
        <v>24854</v>
      </c>
      <c r="C621" s="509" t="s">
        <v>11231</v>
      </c>
      <c r="D621" s="510"/>
      <c r="E621" s="511"/>
      <c r="F621" s="232"/>
      <c r="G621" s="232" t="s">
        <v>467</v>
      </c>
      <c r="H621" s="232">
        <v>9.695593983E9</v>
      </c>
      <c r="I621" s="509" t="s">
        <v>22289</v>
      </c>
      <c r="J621" s="232" t="b">
        <v>0</v>
      </c>
      <c r="K621" s="232" t="s">
        <v>22349</v>
      </c>
      <c r="L621" s="232" t="s">
        <v>24853</v>
      </c>
      <c r="M621" s="511"/>
      <c r="N621" s="232"/>
      <c r="O621" s="232"/>
      <c r="P621" s="312"/>
      <c r="Q621" s="312"/>
      <c r="R621" s="312"/>
      <c r="S621" s="312"/>
      <c r="T621" s="312"/>
      <c r="U621" s="312"/>
    </row>
    <row r="622">
      <c r="A622" s="508" t="s">
        <v>24847</v>
      </c>
      <c r="B622" s="232" t="s">
        <v>24855</v>
      </c>
      <c r="C622" s="509" t="s">
        <v>10017</v>
      </c>
      <c r="D622" s="510" t="s">
        <v>24856</v>
      </c>
      <c r="E622" s="511"/>
      <c r="F622" s="232" t="s">
        <v>24857</v>
      </c>
      <c r="G622" s="232" t="s">
        <v>9359</v>
      </c>
      <c r="H622" s="232">
        <v>-9.492357555E9</v>
      </c>
      <c r="I622" s="509" t="s">
        <v>22289</v>
      </c>
      <c r="J622" s="232" t="b">
        <v>0</v>
      </c>
      <c r="K622" s="232"/>
      <c r="L622" s="232"/>
      <c r="M622" s="511"/>
      <c r="N622" s="232"/>
      <c r="O622" s="232"/>
      <c r="P622" s="312"/>
      <c r="Q622" s="312"/>
      <c r="R622" s="312"/>
      <c r="S622" s="312"/>
      <c r="T622" s="312"/>
      <c r="U622" s="312"/>
    </row>
    <row r="623">
      <c r="A623" s="508" t="s">
        <v>24847</v>
      </c>
      <c r="B623" s="232" t="s">
        <v>24858</v>
      </c>
      <c r="C623" s="509" t="s">
        <v>20791</v>
      </c>
      <c r="D623" s="510" t="s">
        <v>24859</v>
      </c>
      <c r="E623" s="511"/>
      <c r="F623" s="232" t="s">
        <v>24860</v>
      </c>
      <c r="G623" s="232" t="s">
        <v>24240</v>
      </c>
      <c r="H623" s="232">
        <v>9.536699334E9</v>
      </c>
      <c r="I623" s="509" t="s">
        <v>22903</v>
      </c>
      <c r="J623" s="232" t="b">
        <v>0</v>
      </c>
      <c r="K623" s="232" t="s">
        <v>22365</v>
      </c>
      <c r="L623" s="232" t="s">
        <v>22514</v>
      </c>
      <c r="M623" s="511"/>
      <c r="N623" s="232"/>
      <c r="O623" s="232"/>
      <c r="P623" s="312"/>
      <c r="Q623" s="312"/>
      <c r="R623" s="312"/>
      <c r="S623" s="312"/>
      <c r="T623" s="312"/>
      <c r="U623" s="312"/>
    </row>
    <row r="624">
      <c r="A624" s="508" t="s">
        <v>24847</v>
      </c>
      <c r="B624" s="232" t="s">
        <v>24861</v>
      </c>
      <c r="C624" s="509" t="s">
        <v>15062</v>
      </c>
      <c r="D624" s="510" t="s">
        <v>24862</v>
      </c>
      <c r="E624" s="511"/>
      <c r="F624" s="232"/>
      <c r="G624" s="232" t="s">
        <v>1640</v>
      </c>
      <c r="H624" s="232">
        <v>7.908993762E9</v>
      </c>
      <c r="I624" s="509" t="s">
        <v>24863</v>
      </c>
      <c r="J624" s="232" t="b">
        <v>0</v>
      </c>
      <c r="K624" s="232"/>
      <c r="L624" s="232"/>
      <c r="M624" s="511"/>
      <c r="N624" s="232"/>
      <c r="O624" s="232"/>
      <c r="P624" s="312"/>
      <c r="Q624" s="312"/>
      <c r="R624" s="312"/>
      <c r="S624" s="312"/>
      <c r="T624" s="312"/>
      <c r="U624" s="312"/>
    </row>
    <row r="625">
      <c r="A625" s="508" t="s">
        <v>24847</v>
      </c>
      <c r="B625" s="232" t="s">
        <v>24864</v>
      </c>
      <c r="C625" s="509" t="s">
        <v>24865</v>
      </c>
      <c r="D625" s="510"/>
      <c r="E625" s="511"/>
      <c r="F625" s="232" t="s">
        <v>24866</v>
      </c>
      <c r="G625" s="232" t="s">
        <v>99</v>
      </c>
      <c r="H625" s="232">
        <v>9.776060556E9</v>
      </c>
      <c r="I625" s="509" t="s">
        <v>24867</v>
      </c>
      <c r="J625" s="232" t="b">
        <v>0</v>
      </c>
      <c r="K625" s="232" t="s">
        <v>22365</v>
      </c>
      <c r="L625" s="232" t="s">
        <v>22514</v>
      </c>
      <c r="M625" s="511"/>
      <c r="N625" s="232"/>
      <c r="O625" s="232"/>
      <c r="P625" s="312"/>
      <c r="Q625" s="312"/>
      <c r="R625" s="312"/>
      <c r="S625" s="312"/>
      <c r="T625" s="312"/>
      <c r="U625" s="312"/>
    </row>
    <row r="626">
      <c r="A626" s="508" t="s">
        <v>24847</v>
      </c>
      <c r="B626" s="232" t="s">
        <v>24868</v>
      </c>
      <c r="C626" s="509" t="s">
        <v>24869</v>
      </c>
      <c r="D626" s="510" t="s">
        <v>24870</v>
      </c>
      <c r="E626" s="511"/>
      <c r="F626" s="232" t="s">
        <v>24871</v>
      </c>
      <c r="G626" s="232" t="s">
        <v>23494</v>
      </c>
      <c r="H626" s="232">
        <v>9.916177733E9</v>
      </c>
      <c r="I626" s="509" t="s">
        <v>22570</v>
      </c>
      <c r="J626" s="232" t="b">
        <v>0</v>
      </c>
      <c r="K626" s="232" t="s">
        <v>22365</v>
      </c>
      <c r="L626" s="232" t="s">
        <v>24488</v>
      </c>
      <c r="M626" s="511"/>
      <c r="N626" s="232"/>
      <c r="O626" s="232"/>
      <c r="P626" s="312"/>
      <c r="Q626" s="312"/>
      <c r="R626" s="312"/>
      <c r="S626" s="312"/>
      <c r="T626" s="312"/>
      <c r="U626" s="312"/>
    </row>
    <row r="627">
      <c r="A627" s="508" t="s">
        <v>24847</v>
      </c>
      <c r="B627" s="232" t="s">
        <v>24872</v>
      </c>
      <c r="C627" s="509" t="s">
        <v>24873</v>
      </c>
      <c r="D627" s="510" t="s">
        <v>24874</v>
      </c>
      <c r="E627" s="511"/>
      <c r="F627" s="232" t="s">
        <v>24875</v>
      </c>
      <c r="G627" s="232" t="s">
        <v>22479</v>
      </c>
      <c r="H627" s="232">
        <v>7.355081493E9</v>
      </c>
      <c r="I627" s="509" t="s">
        <v>22860</v>
      </c>
      <c r="J627" s="232" t="b">
        <v>0</v>
      </c>
      <c r="K627" s="232" t="s">
        <v>22365</v>
      </c>
      <c r="L627" s="232" t="s">
        <v>22566</v>
      </c>
      <c r="M627" s="511"/>
      <c r="N627" s="232"/>
      <c r="O627" s="232"/>
      <c r="P627" s="312"/>
      <c r="Q627" s="312"/>
      <c r="R627" s="312"/>
      <c r="S627" s="312"/>
      <c r="T627" s="312"/>
      <c r="U627" s="312"/>
    </row>
    <row r="628">
      <c r="A628" s="508" t="s">
        <v>24847</v>
      </c>
      <c r="B628" s="232" t="s">
        <v>24876</v>
      </c>
      <c r="C628" s="509" t="s">
        <v>24877</v>
      </c>
      <c r="D628" s="510"/>
      <c r="E628" s="511"/>
      <c r="F628" s="232"/>
      <c r="G628" s="232" t="s">
        <v>742</v>
      </c>
      <c r="H628" s="232">
        <v>8.790184899E9</v>
      </c>
      <c r="I628" s="509" t="s">
        <v>24878</v>
      </c>
      <c r="J628" s="232" t="b">
        <v>0</v>
      </c>
      <c r="K628" s="232" t="s">
        <v>22355</v>
      </c>
      <c r="L628" s="232"/>
      <c r="M628" s="511"/>
      <c r="N628" s="232"/>
      <c r="O628" s="232"/>
      <c r="P628" s="312"/>
      <c r="Q628" s="312"/>
      <c r="R628" s="312"/>
      <c r="S628" s="312"/>
      <c r="T628" s="312"/>
      <c r="U628" s="312"/>
    </row>
    <row r="629">
      <c r="A629" s="508" t="s">
        <v>24847</v>
      </c>
      <c r="B629" s="232" t="s">
        <v>24879</v>
      </c>
      <c r="C629" s="509" t="s">
        <v>24880</v>
      </c>
      <c r="D629" s="510" t="s">
        <v>24881</v>
      </c>
      <c r="E629" s="511"/>
      <c r="F629" s="232"/>
      <c r="G629" s="232" t="s">
        <v>23231</v>
      </c>
      <c r="H629" s="232">
        <v>9.9452371E9</v>
      </c>
      <c r="I629" s="509" t="s">
        <v>22373</v>
      </c>
      <c r="J629" s="232" t="b">
        <v>0</v>
      </c>
      <c r="K629" s="232" t="s">
        <v>22355</v>
      </c>
      <c r="L629" s="232" t="s">
        <v>22398</v>
      </c>
      <c r="M629" s="511"/>
      <c r="N629" s="232"/>
      <c r="O629" s="232"/>
      <c r="P629" s="312"/>
      <c r="Q629" s="312"/>
      <c r="R629" s="312"/>
      <c r="S629" s="312"/>
      <c r="T629" s="312"/>
      <c r="U629" s="312"/>
    </row>
    <row r="630">
      <c r="A630" s="508" t="s">
        <v>24847</v>
      </c>
      <c r="B630" s="232" t="s">
        <v>24882</v>
      </c>
      <c r="C630" s="509" t="s">
        <v>24206</v>
      </c>
      <c r="D630" s="510"/>
      <c r="E630" s="511"/>
      <c r="F630" s="232" t="s">
        <v>24207</v>
      </c>
      <c r="G630" s="232" t="s">
        <v>398</v>
      </c>
      <c r="H630" s="232">
        <v>9.525731205E9</v>
      </c>
      <c r="I630" s="512" t="s">
        <v>24883</v>
      </c>
      <c r="J630" s="232" t="b">
        <v>0</v>
      </c>
      <c r="K630" s="232" t="s">
        <v>22365</v>
      </c>
      <c r="L630" s="232"/>
      <c r="M630" s="511"/>
      <c r="N630" s="232"/>
      <c r="O630" s="232"/>
      <c r="P630" s="312"/>
      <c r="Q630" s="312"/>
      <c r="R630" s="312"/>
      <c r="S630" s="312"/>
      <c r="T630" s="312"/>
      <c r="U630" s="312"/>
    </row>
    <row r="631">
      <c r="A631" s="508" t="s">
        <v>24884</v>
      </c>
      <c r="B631" s="232" t="s">
        <v>24885</v>
      </c>
      <c r="C631" s="509" t="s">
        <v>24886</v>
      </c>
      <c r="D631" s="510" t="s">
        <v>24887</v>
      </c>
      <c r="E631" s="511"/>
      <c r="F631" s="232"/>
      <c r="G631" s="232" t="s">
        <v>467</v>
      </c>
      <c r="H631" s="232">
        <v>8.173020999E9</v>
      </c>
      <c r="I631" s="509" t="s">
        <v>4786</v>
      </c>
      <c r="J631" s="232" t="b">
        <v>0</v>
      </c>
      <c r="K631" s="232" t="s">
        <v>22365</v>
      </c>
      <c r="L631" s="232"/>
      <c r="M631" s="511"/>
      <c r="N631" s="232"/>
      <c r="O631" s="232"/>
      <c r="P631" s="312"/>
      <c r="Q631" s="312"/>
      <c r="R631" s="312"/>
      <c r="S631" s="312"/>
      <c r="T631" s="312"/>
      <c r="U631" s="312"/>
    </row>
    <row r="632">
      <c r="A632" s="513" t="s">
        <v>24884</v>
      </c>
      <c r="B632" s="514" t="s">
        <v>24888</v>
      </c>
      <c r="C632" s="515" t="s">
        <v>24889</v>
      </c>
      <c r="D632" s="516"/>
      <c r="E632" s="517"/>
      <c r="F632" s="514" t="s">
        <v>24890</v>
      </c>
      <c r="G632" s="514" t="s">
        <v>24891</v>
      </c>
      <c r="H632" s="514">
        <v>7.003706828E9</v>
      </c>
      <c r="I632" s="515" t="s">
        <v>24892</v>
      </c>
      <c r="J632" s="514" t="b">
        <v>0</v>
      </c>
      <c r="K632" s="514" t="s">
        <v>22312</v>
      </c>
      <c r="L632" s="518" t="s">
        <v>24893</v>
      </c>
      <c r="M632" s="511"/>
      <c r="N632" s="232"/>
      <c r="O632" s="232"/>
      <c r="P632" s="312"/>
      <c r="Q632" s="312"/>
      <c r="R632" s="312"/>
      <c r="S632" s="312"/>
      <c r="T632" s="312"/>
      <c r="U632" s="312"/>
    </row>
    <row r="633">
      <c r="A633" s="508" t="s">
        <v>24884</v>
      </c>
      <c r="B633" s="232" t="s">
        <v>24894</v>
      </c>
      <c r="C633" s="509" t="s">
        <v>24895</v>
      </c>
      <c r="D633" s="510"/>
      <c r="E633" s="511"/>
      <c r="F633" s="232" t="s">
        <v>24896</v>
      </c>
      <c r="G633" s="232" t="s">
        <v>22337</v>
      </c>
      <c r="H633" s="232">
        <v>9.178290469E9</v>
      </c>
      <c r="I633" s="509" t="s">
        <v>22903</v>
      </c>
      <c r="J633" s="232" t="b">
        <v>0</v>
      </c>
      <c r="K633" s="232" t="s">
        <v>12092</v>
      </c>
      <c r="L633" s="232"/>
      <c r="M633" s="511"/>
      <c r="N633" s="232"/>
      <c r="O633" s="232"/>
      <c r="P633" s="312"/>
      <c r="Q633" s="312"/>
      <c r="R633" s="312"/>
      <c r="S633" s="312"/>
      <c r="T633" s="312"/>
      <c r="U633" s="312"/>
    </row>
    <row r="634">
      <c r="A634" s="508" t="s">
        <v>24884</v>
      </c>
      <c r="B634" s="232" t="s">
        <v>24897</v>
      </c>
      <c r="C634" s="509" t="s">
        <v>24898</v>
      </c>
      <c r="D634" s="510" t="s">
        <v>0</v>
      </c>
      <c r="E634" s="511"/>
      <c r="F634" s="232" t="s">
        <v>24899</v>
      </c>
      <c r="G634" s="232" t="s">
        <v>22592</v>
      </c>
      <c r="H634" s="232">
        <v>8.087182176E9</v>
      </c>
      <c r="I634" s="509" t="s">
        <v>24900</v>
      </c>
      <c r="J634" s="232" t="b">
        <v>0</v>
      </c>
      <c r="K634" s="232" t="s">
        <v>12092</v>
      </c>
      <c r="L634" s="232"/>
      <c r="M634" s="511"/>
      <c r="N634" s="232"/>
      <c r="O634" s="232"/>
      <c r="P634" s="312"/>
      <c r="Q634" s="312"/>
      <c r="R634" s="312"/>
      <c r="S634" s="312"/>
      <c r="T634" s="312"/>
      <c r="U634" s="312"/>
    </row>
    <row r="635">
      <c r="A635" s="508" t="s">
        <v>24884</v>
      </c>
      <c r="B635" s="232" t="s">
        <v>24901</v>
      </c>
      <c r="C635" s="509" t="s">
        <v>9615</v>
      </c>
      <c r="D635" s="510" t="s">
        <v>24902</v>
      </c>
      <c r="E635" s="511"/>
      <c r="F635" s="232" t="s">
        <v>24903</v>
      </c>
      <c r="G635" s="232" t="s">
        <v>22770</v>
      </c>
      <c r="H635" s="232">
        <v>9.599379946E9</v>
      </c>
      <c r="I635" s="509" t="s">
        <v>22430</v>
      </c>
      <c r="J635" s="232" t="b">
        <v>0</v>
      </c>
      <c r="K635" s="232" t="s">
        <v>22349</v>
      </c>
      <c r="L635" s="232" t="s">
        <v>24904</v>
      </c>
      <c r="M635" s="511"/>
      <c r="N635" s="232"/>
      <c r="O635" s="232"/>
      <c r="P635" s="312"/>
      <c r="Q635" s="312"/>
      <c r="R635" s="312"/>
      <c r="S635" s="312"/>
      <c r="T635" s="312"/>
      <c r="U635" s="312"/>
    </row>
    <row r="636">
      <c r="A636" s="508" t="s">
        <v>24884</v>
      </c>
      <c r="B636" s="232" t="s">
        <v>24905</v>
      </c>
      <c r="C636" s="509" t="s">
        <v>24906</v>
      </c>
      <c r="D636" s="510"/>
      <c r="E636" s="511"/>
      <c r="F636" s="232"/>
      <c r="G636" s="232" t="s">
        <v>22292</v>
      </c>
      <c r="H636" s="232">
        <v>9.97515202E9</v>
      </c>
      <c r="I636" s="509" t="s">
        <v>22961</v>
      </c>
      <c r="J636" s="232" t="b">
        <v>0</v>
      </c>
      <c r="K636" s="232"/>
      <c r="L636" s="232"/>
      <c r="M636" s="511"/>
      <c r="N636" s="232"/>
      <c r="O636" s="232"/>
      <c r="P636" s="312"/>
      <c r="Q636" s="312"/>
      <c r="R636" s="312"/>
      <c r="S636" s="312"/>
      <c r="T636" s="312"/>
      <c r="U636" s="312"/>
    </row>
    <row r="637">
      <c r="A637" s="508" t="s">
        <v>24884</v>
      </c>
      <c r="B637" s="232" t="s">
        <v>24907</v>
      </c>
      <c r="C637" s="509" t="s">
        <v>22046</v>
      </c>
      <c r="D637" s="510"/>
      <c r="E637" s="511"/>
      <c r="F637" s="232"/>
      <c r="G637" s="232" t="s">
        <v>3167</v>
      </c>
      <c r="H637" s="232">
        <v>6.296443903E9</v>
      </c>
      <c r="I637" s="509" t="s">
        <v>22289</v>
      </c>
      <c r="J637" s="232" t="b">
        <v>0</v>
      </c>
      <c r="K637" s="232" t="s">
        <v>22365</v>
      </c>
      <c r="L637" s="232"/>
      <c r="M637" s="511"/>
      <c r="N637" s="232"/>
      <c r="O637" s="232"/>
      <c r="P637" s="312"/>
      <c r="Q637" s="312"/>
      <c r="R637" s="312"/>
      <c r="S637" s="312"/>
      <c r="T637" s="312"/>
      <c r="U637" s="312"/>
    </row>
    <row r="638">
      <c r="A638" s="508" t="s">
        <v>24884</v>
      </c>
      <c r="B638" s="232" t="s">
        <v>24908</v>
      </c>
      <c r="C638" s="509" t="s">
        <v>24909</v>
      </c>
      <c r="D638" s="510" t="s">
        <v>24910</v>
      </c>
      <c r="E638" s="511"/>
      <c r="F638" s="232" t="s">
        <v>24911</v>
      </c>
      <c r="G638" s="232" t="s">
        <v>906</v>
      </c>
      <c r="H638" s="232">
        <v>9.867748939E9</v>
      </c>
      <c r="I638" s="509" t="s">
        <v>24912</v>
      </c>
      <c r="J638" s="232" t="b">
        <v>0</v>
      </c>
      <c r="K638" s="232" t="s">
        <v>22365</v>
      </c>
      <c r="L638" s="232" t="s">
        <v>24913</v>
      </c>
      <c r="M638" s="511"/>
      <c r="N638" s="232"/>
      <c r="O638" s="232"/>
      <c r="P638" s="312"/>
      <c r="Q638" s="312"/>
      <c r="R638" s="312"/>
      <c r="S638" s="312"/>
      <c r="T638" s="312"/>
      <c r="U638" s="312"/>
    </row>
    <row r="639">
      <c r="A639" s="508" t="s">
        <v>24884</v>
      </c>
      <c r="B639" s="232" t="s">
        <v>24914</v>
      </c>
      <c r="C639" s="509" t="s">
        <v>20825</v>
      </c>
      <c r="D639" s="510" t="s">
        <v>24915</v>
      </c>
      <c r="E639" s="511"/>
      <c r="F639" s="232" t="s">
        <v>24916</v>
      </c>
      <c r="G639" s="232" t="s">
        <v>22304</v>
      </c>
      <c r="H639" s="232">
        <v>7.894218057E9</v>
      </c>
      <c r="I639" s="509" t="s">
        <v>24917</v>
      </c>
      <c r="J639" s="232" t="b">
        <v>0</v>
      </c>
      <c r="K639" s="232" t="s">
        <v>22365</v>
      </c>
      <c r="L639" s="232" t="s">
        <v>24918</v>
      </c>
      <c r="M639" s="511"/>
      <c r="N639" s="232"/>
      <c r="O639" s="232"/>
      <c r="P639" s="312"/>
      <c r="Q639" s="312"/>
      <c r="R639" s="312"/>
      <c r="S639" s="312"/>
      <c r="T639" s="312"/>
      <c r="U639" s="312"/>
    </row>
    <row r="640">
      <c r="A640" s="508" t="s">
        <v>24884</v>
      </c>
      <c r="B640" s="232" t="s">
        <v>24919</v>
      </c>
      <c r="C640" s="509" t="s">
        <v>24920</v>
      </c>
      <c r="D640" s="510" t="s">
        <v>24921</v>
      </c>
      <c r="E640" s="511"/>
      <c r="F640" s="232" t="s">
        <v>24922</v>
      </c>
      <c r="G640" s="232" t="s">
        <v>131</v>
      </c>
      <c r="H640" s="232">
        <v>9.707318876E9</v>
      </c>
      <c r="I640" s="509" t="s">
        <v>24923</v>
      </c>
      <c r="J640" s="232" t="b">
        <v>0</v>
      </c>
      <c r="K640" s="232" t="s">
        <v>22355</v>
      </c>
      <c r="L640" s="232"/>
      <c r="M640" s="511"/>
      <c r="N640" s="232"/>
      <c r="O640" s="232"/>
      <c r="P640" s="312"/>
      <c r="Q640" s="312"/>
      <c r="R640" s="312"/>
      <c r="S640" s="312"/>
      <c r="T640" s="312"/>
      <c r="U640" s="312"/>
    </row>
    <row r="641">
      <c r="A641" s="508" t="s">
        <v>24884</v>
      </c>
      <c r="B641" s="232" t="s">
        <v>24924</v>
      </c>
      <c r="C641" s="509" t="s">
        <v>24925</v>
      </c>
      <c r="D641" s="510" t="s">
        <v>24926</v>
      </c>
      <c r="E641" s="511"/>
      <c r="F641" s="232" t="s">
        <v>24927</v>
      </c>
      <c r="G641" s="232" t="s">
        <v>7995</v>
      </c>
      <c r="H641" s="232">
        <v>9.12303637E9</v>
      </c>
      <c r="I641" s="509" t="s">
        <v>24928</v>
      </c>
      <c r="J641" s="232" t="b">
        <v>0</v>
      </c>
      <c r="K641" s="232" t="s">
        <v>22365</v>
      </c>
      <c r="L641" s="232" t="s">
        <v>24929</v>
      </c>
      <c r="M641" s="511"/>
      <c r="N641" s="232"/>
      <c r="O641" s="232"/>
      <c r="P641" s="312"/>
      <c r="Q641" s="312"/>
      <c r="R641" s="312"/>
      <c r="S641" s="312"/>
      <c r="T641" s="312"/>
      <c r="U641" s="312"/>
    </row>
    <row r="642">
      <c r="A642" s="508" t="s">
        <v>24884</v>
      </c>
      <c r="B642" s="232" t="s">
        <v>24930</v>
      </c>
      <c r="C642" s="509" t="s">
        <v>24931</v>
      </c>
      <c r="D642" s="510"/>
      <c r="E642" s="511"/>
      <c r="F642" s="232"/>
      <c r="G642" s="232" t="s">
        <v>44</v>
      </c>
      <c r="H642" s="232">
        <v>7.003969605E9</v>
      </c>
      <c r="I642" s="509" t="s">
        <v>24932</v>
      </c>
      <c r="J642" s="232" t="b">
        <v>0</v>
      </c>
      <c r="K642" s="232" t="s">
        <v>22355</v>
      </c>
      <c r="L642" s="232"/>
      <c r="M642" s="511"/>
      <c r="N642" s="232"/>
      <c r="O642" s="232"/>
      <c r="P642" s="312"/>
      <c r="Q642" s="312"/>
      <c r="R642" s="312"/>
      <c r="S642" s="312"/>
      <c r="T642" s="312"/>
      <c r="U642" s="312"/>
    </row>
    <row r="643">
      <c r="A643" s="508" t="s">
        <v>24933</v>
      </c>
      <c r="B643" s="232" t="s">
        <v>24934</v>
      </c>
      <c r="C643" s="509" t="s">
        <v>24935</v>
      </c>
      <c r="D643" s="510" t="s">
        <v>24936</v>
      </c>
      <c r="E643" s="511"/>
      <c r="F643" s="232" t="s">
        <v>24937</v>
      </c>
      <c r="G643" s="232" t="s">
        <v>519</v>
      </c>
      <c r="H643" s="232">
        <v>9.879881477E9</v>
      </c>
      <c r="I643" s="509" t="s">
        <v>24938</v>
      </c>
      <c r="J643" s="232" t="b">
        <v>0</v>
      </c>
      <c r="K643" s="232" t="s">
        <v>22365</v>
      </c>
      <c r="L643" s="232" t="s">
        <v>24939</v>
      </c>
      <c r="M643" s="511"/>
      <c r="N643" s="232"/>
      <c r="O643" s="232"/>
      <c r="P643" s="312"/>
      <c r="Q643" s="312"/>
      <c r="R643" s="312"/>
      <c r="S643" s="312"/>
      <c r="T643" s="312"/>
      <c r="U643" s="312"/>
    </row>
    <row r="644">
      <c r="A644" s="508" t="s">
        <v>24933</v>
      </c>
      <c r="B644" s="232" t="s">
        <v>24940</v>
      </c>
      <c r="C644" s="509" t="s">
        <v>24941</v>
      </c>
      <c r="D644" s="510" t="s">
        <v>24942</v>
      </c>
      <c r="E644" s="511"/>
      <c r="F644" s="232" t="s">
        <v>24943</v>
      </c>
      <c r="G644" s="232" t="s">
        <v>24100</v>
      </c>
      <c r="H644" s="232">
        <v>9.875946431E9</v>
      </c>
      <c r="I644" s="509" t="s">
        <v>22961</v>
      </c>
      <c r="J644" s="232" t="b">
        <v>0</v>
      </c>
      <c r="K644" s="232" t="s">
        <v>22365</v>
      </c>
      <c r="L644" s="232" t="s">
        <v>22611</v>
      </c>
      <c r="M644" s="511"/>
      <c r="N644" s="232"/>
      <c r="O644" s="232"/>
      <c r="P644" s="312"/>
      <c r="Q644" s="312"/>
      <c r="R644" s="312"/>
      <c r="S644" s="312"/>
      <c r="T644" s="312"/>
      <c r="U644" s="312"/>
    </row>
    <row r="645">
      <c r="A645" s="508" t="s">
        <v>24933</v>
      </c>
      <c r="B645" s="232" t="s">
        <v>24944</v>
      </c>
      <c r="C645" s="509" t="s">
        <v>24945</v>
      </c>
      <c r="D645" s="510" t="s">
        <v>24946</v>
      </c>
      <c r="E645" s="511"/>
      <c r="F645" s="232" t="s">
        <v>24947</v>
      </c>
      <c r="G645" s="232" t="s">
        <v>99</v>
      </c>
      <c r="H645" s="232">
        <v>9.439362475E9</v>
      </c>
      <c r="I645" s="509" t="s">
        <v>22694</v>
      </c>
      <c r="J645" s="232" t="b">
        <v>0</v>
      </c>
      <c r="K645" s="232" t="s">
        <v>22355</v>
      </c>
      <c r="L645" s="232"/>
      <c r="M645" s="511"/>
      <c r="N645" s="232"/>
      <c r="O645" s="232"/>
      <c r="P645" s="312"/>
      <c r="Q645" s="312"/>
      <c r="R645" s="312"/>
      <c r="S645" s="312"/>
      <c r="T645" s="312"/>
      <c r="U645" s="312"/>
    </row>
    <row r="646">
      <c r="A646" s="508" t="s">
        <v>24933</v>
      </c>
      <c r="B646" s="232" t="s">
        <v>24948</v>
      </c>
      <c r="C646" s="509" t="s">
        <v>24949</v>
      </c>
      <c r="D646" s="510" t="s">
        <v>24950</v>
      </c>
      <c r="E646" s="511"/>
      <c r="F646" s="232" t="s">
        <v>24951</v>
      </c>
      <c r="G646" s="232" t="s">
        <v>24303</v>
      </c>
      <c r="H646" s="232">
        <v>9.674718783E9</v>
      </c>
      <c r="I646" s="509" t="s">
        <v>22373</v>
      </c>
      <c r="J646" s="232" t="b">
        <v>0</v>
      </c>
      <c r="K646" s="232" t="s">
        <v>22365</v>
      </c>
      <c r="L646" s="232" t="s">
        <v>22422</v>
      </c>
      <c r="M646" s="511"/>
      <c r="N646" s="232"/>
      <c r="O646" s="232"/>
      <c r="P646" s="312"/>
      <c r="Q646" s="312"/>
      <c r="R646" s="312"/>
      <c r="S646" s="312"/>
      <c r="T646" s="312"/>
      <c r="U646" s="312"/>
    </row>
    <row r="647">
      <c r="A647" s="508" t="s">
        <v>24933</v>
      </c>
      <c r="B647" s="232" t="s">
        <v>24952</v>
      </c>
      <c r="C647" s="509" t="s">
        <v>17111</v>
      </c>
      <c r="D647" s="510"/>
      <c r="E647" s="511"/>
      <c r="F647" s="232" t="s">
        <v>24953</v>
      </c>
      <c r="G647" s="232" t="s">
        <v>507</v>
      </c>
      <c r="H647" s="232">
        <v>9.022772362E9</v>
      </c>
      <c r="I647" s="509" t="s">
        <v>24954</v>
      </c>
      <c r="J647" s="232" t="b">
        <v>0</v>
      </c>
      <c r="K647" s="232"/>
      <c r="L647" s="232"/>
      <c r="M647" s="511"/>
      <c r="N647" s="232"/>
      <c r="O647" s="232"/>
      <c r="P647" s="312"/>
      <c r="Q647" s="312"/>
      <c r="R647" s="312"/>
      <c r="S647" s="312"/>
      <c r="T647" s="312"/>
      <c r="U647" s="312"/>
    </row>
    <row r="648">
      <c r="A648" s="508" t="s">
        <v>24933</v>
      </c>
      <c r="B648" s="232" t="s">
        <v>24955</v>
      </c>
      <c r="C648" s="509" t="s">
        <v>24956</v>
      </c>
      <c r="D648" s="510" t="s">
        <v>24957</v>
      </c>
      <c r="E648" s="511"/>
      <c r="F648" s="232"/>
      <c r="G648" s="232" t="s">
        <v>467</v>
      </c>
      <c r="H648" s="232">
        <v>7.07884369E9</v>
      </c>
      <c r="I648" s="509" t="s">
        <v>22289</v>
      </c>
      <c r="J648" s="232" t="b">
        <v>0</v>
      </c>
      <c r="K648" s="232" t="s">
        <v>22349</v>
      </c>
      <c r="L648" s="232" t="s">
        <v>24343</v>
      </c>
      <c r="M648" s="511"/>
      <c r="N648" s="232"/>
      <c r="O648" s="232"/>
      <c r="P648" s="312"/>
      <c r="Q648" s="312"/>
      <c r="R648" s="312"/>
      <c r="S648" s="312"/>
      <c r="T648" s="312"/>
      <c r="U648" s="312"/>
    </row>
    <row r="649">
      <c r="A649" s="508" t="s">
        <v>24933</v>
      </c>
      <c r="B649" s="232" t="s">
        <v>24958</v>
      </c>
      <c r="C649" s="509" t="s">
        <v>24206</v>
      </c>
      <c r="D649" s="510"/>
      <c r="E649" s="511"/>
      <c r="F649" s="232" t="s">
        <v>24959</v>
      </c>
      <c r="G649" s="232" t="s">
        <v>398</v>
      </c>
      <c r="H649" s="232">
        <v>9.525731205E9</v>
      </c>
      <c r="I649" s="512" t="s">
        <v>24960</v>
      </c>
      <c r="J649" s="232" t="b">
        <v>0</v>
      </c>
      <c r="K649" s="232" t="s">
        <v>22365</v>
      </c>
      <c r="L649" s="425" t="s">
        <v>24961</v>
      </c>
      <c r="M649" s="511"/>
      <c r="N649" s="232"/>
      <c r="O649" s="232"/>
      <c r="P649" s="312"/>
      <c r="Q649" s="312"/>
      <c r="R649" s="312"/>
      <c r="S649" s="312"/>
      <c r="T649" s="312"/>
      <c r="U649" s="312"/>
    </row>
    <row r="650">
      <c r="A650" s="508" t="s">
        <v>24933</v>
      </c>
      <c r="B650" s="232" t="s">
        <v>24962</v>
      </c>
      <c r="C650" s="509" t="s">
        <v>24963</v>
      </c>
      <c r="D650" s="510" t="s">
        <v>24964</v>
      </c>
      <c r="E650" s="511"/>
      <c r="F650" s="232" t="s">
        <v>24965</v>
      </c>
      <c r="G650" s="232" t="s">
        <v>24966</v>
      </c>
      <c r="H650" s="232">
        <v>7.715828709E9</v>
      </c>
      <c r="I650" s="509" t="s">
        <v>22373</v>
      </c>
      <c r="J650" s="232" t="b">
        <v>0</v>
      </c>
      <c r="K650" s="232"/>
      <c r="L650" s="232"/>
      <c r="M650" s="511"/>
      <c r="N650" s="232"/>
      <c r="O650" s="232"/>
      <c r="P650" s="312"/>
      <c r="Q650" s="312"/>
      <c r="R650" s="312"/>
      <c r="S650" s="312"/>
      <c r="T650" s="312"/>
      <c r="U650" s="312"/>
    </row>
    <row r="651">
      <c r="A651" s="508" t="s">
        <v>24933</v>
      </c>
      <c r="B651" s="232" t="s">
        <v>24967</v>
      </c>
      <c r="C651" s="509" t="s">
        <v>24968</v>
      </c>
      <c r="D651" s="510" t="s">
        <v>24969</v>
      </c>
      <c r="E651" s="511"/>
      <c r="F651" s="232" t="s">
        <v>24970</v>
      </c>
      <c r="G651" s="232" t="s">
        <v>3216</v>
      </c>
      <c r="H651" s="232">
        <v>9.749620978E9</v>
      </c>
      <c r="I651" s="509" t="s">
        <v>24971</v>
      </c>
      <c r="J651" s="232" t="b">
        <v>0</v>
      </c>
      <c r="K651" s="232"/>
      <c r="L651" s="232"/>
      <c r="M651" s="511"/>
      <c r="N651" s="232"/>
      <c r="O651" s="232"/>
      <c r="P651" s="312"/>
      <c r="Q651" s="312"/>
      <c r="R651" s="312"/>
      <c r="S651" s="312"/>
      <c r="T651" s="312"/>
      <c r="U651" s="312"/>
    </row>
    <row r="652">
      <c r="A652" s="508" t="s">
        <v>24933</v>
      </c>
      <c r="B652" s="232" t="s">
        <v>24972</v>
      </c>
      <c r="C652" s="509" t="s">
        <v>24973</v>
      </c>
      <c r="D652" s="510" t="s">
        <v>24974</v>
      </c>
      <c r="E652" s="511"/>
      <c r="F652" s="232" t="s">
        <v>24975</v>
      </c>
      <c r="G652" s="232" t="s">
        <v>44</v>
      </c>
      <c r="H652" s="232">
        <v>9.748852364E9</v>
      </c>
      <c r="I652" s="509" t="s">
        <v>23546</v>
      </c>
      <c r="J652" s="232" t="b">
        <v>0</v>
      </c>
      <c r="K652" s="232" t="s">
        <v>22365</v>
      </c>
      <c r="L652" s="232" t="s">
        <v>22611</v>
      </c>
      <c r="M652" s="511"/>
      <c r="N652" s="232"/>
      <c r="O652" s="232"/>
      <c r="P652" s="312"/>
      <c r="Q652" s="312"/>
      <c r="R652" s="312"/>
      <c r="S652" s="312"/>
      <c r="T652" s="312"/>
      <c r="U652" s="312"/>
    </row>
    <row r="653">
      <c r="A653" s="508" t="s">
        <v>24933</v>
      </c>
      <c r="B653" s="232" t="s">
        <v>24976</v>
      </c>
      <c r="C653" s="509" t="s">
        <v>24977</v>
      </c>
      <c r="D653" s="510"/>
      <c r="E653" s="511"/>
      <c r="F653" s="232" t="s">
        <v>24978</v>
      </c>
      <c r="G653" s="232" t="s">
        <v>23770</v>
      </c>
      <c r="H653" s="232">
        <v>9.097149607E9</v>
      </c>
      <c r="I653" s="509" t="s">
        <v>24979</v>
      </c>
      <c r="J653" s="232" t="b">
        <v>0</v>
      </c>
      <c r="K653" s="232"/>
      <c r="L653" s="232"/>
      <c r="M653" s="511"/>
      <c r="N653" s="232"/>
      <c r="O653" s="232"/>
      <c r="P653" s="312"/>
      <c r="Q653" s="312"/>
      <c r="R653" s="312"/>
      <c r="S653" s="312"/>
      <c r="T653" s="312"/>
      <c r="U653" s="312"/>
    </row>
    <row r="654">
      <c r="A654" s="508" t="s">
        <v>24933</v>
      </c>
      <c r="B654" s="232" t="s">
        <v>24980</v>
      </c>
      <c r="C654" s="509" t="s">
        <v>24981</v>
      </c>
      <c r="D654" s="510" t="s">
        <v>24982</v>
      </c>
      <c r="E654" s="511"/>
      <c r="F654" s="232" t="s">
        <v>24983</v>
      </c>
      <c r="G654" s="232" t="s">
        <v>44</v>
      </c>
      <c r="H654" s="232">
        <v>7.00331591E9</v>
      </c>
      <c r="I654" s="509" t="s">
        <v>24984</v>
      </c>
      <c r="J654" s="232" t="b">
        <v>0</v>
      </c>
      <c r="K654" s="232" t="s">
        <v>22365</v>
      </c>
      <c r="L654" s="232" t="s">
        <v>22366</v>
      </c>
      <c r="M654" s="511"/>
      <c r="N654" s="232"/>
      <c r="O654" s="232"/>
      <c r="P654" s="312"/>
      <c r="Q654" s="312"/>
      <c r="R654" s="312"/>
      <c r="S654" s="312"/>
      <c r="T654" s="312"/>
      <c r="U654" s="312"/>
    </row>
    <row r="655">
      <c r="A655" s="508" t="s">
        <v>24985</v>
      </c>
      <c r="B655" s="232" t="s">
        <v>24986</v>
      </c>
      <c r="C655" s="509" t="s">
        <v>24987</v>
      </c>
      <c r="D655" s="510"/>
      <c r="E655" s="511"/>
      <c r="F655" s="232"/>
      <c r="G655" s="232" t="s">
        <v>467</v>
      </c>
      <c r="H655" s="232">
        <v>9.818913631E9</v>
      </c>
      <c r="I655" s="509" t="s">
        <v>22373</v>
      </c>
      <c r="J655" s="232" t="b">
        <v>0</v>
      </c>
      <c r="K655" s="232" t="s">
        <v>22355</v>
      </c>
      <c r="L655" s="232"/>
      <c r="M655" s="511"/>
      <c r="N655" s="232"/>
      <c r="O655" s="232"/>
      <c r="P655" s="312"/>
      <c r="Q655" s="312"/>
      <c r="R655" s="312"/>
      <c r="S655" s="312"/>
      <c r="T655" s="312"/>
      <c r="U655" s="312"/>
    </row>
    <row r="656">
      <c r="A656" s="508" t="s">
        <v>24985</v>
      </c>
      <c r="B656" s="232" t="s">
        <v>24988</v>
      </c>
      <c r="C656" s="509" t="s">
        <v>24989</v>
      </c>
      <c r="D656" s="510"/>
      <c r="E656" s="511"/>
      <c r="F656" s="232"/>
      <c r="G656" s="232" t="s">
        <v>2643</v>
      </c>
      <c r="H656" s="232">
        <v>9.691056525E9</v>
      </c>
      <c r="I656" s="509" t="s">
        <v>22289</v>
      </c>
      <c r="J656" s="232" t="b">
        <v>0</v>
      </c>
      <c r="K656" s="232" t="s">
        <v>22365</v>
      </c>
      <c r="L656" s="232"/>
      <c r="M656" s="511"/>
      <c r="N656" s="232"/>
      <c r="O656" s="232"/>
      <c r="P656" s="312"/>
      <c r="Q656" s="312"/>
      <c r="R656" s="312"/>
      <c r="S656" s="312"/>
      <c r="T656" s="312"/>
      <c r="U656" s="312"/>
    </row>
    <row r="657">
      <c r="A657" s="508" t="s">
        <v>24985</v>
      </c>
      <c r="B657" s="232" t="s">
        <v>24990</v>
      </c>
      <c r="C657" s="509" t="s">
        <v>24991</v>
      </c>
      <c r="D657" s="510" t="s">
        <v>24992</v>
      </c>
      <c r="E657" s="511"/>
      <c r="F657" s="232" t="s">
        <v>24993</v>
      </c>
      <c r="G657" s="232" t="s">
        <v>22770</v>
      </c>
      <c r="H657" s="232">
        <v>8.700373086E9</v>
      </c>
      <c r="I657" s="509" t="s">
        <v>24994</v>
      </c>
      <c r="J657" s="232" t="b">
        <v>0</v>
      </c>
      <c r="K657" s="232" t="s">
        <v>12092</v>
      </c>
      <c r="L657" s="232" t="s">
        <v>24995</v>
      </c>
      <c r="M657" s="511"/>
      <c r="N657" s="232"/>
      <c r="O657" s="232"/>
      <c r="P657" s="312"/>
      <c r="Q657" s="312"/>
      <c r="R657" s="312"/>
      <c r="S657" s="312"/>
      <c r="T657" s="312"/>
      <c r="U657" s="312"/>
    </row>
    <row r="658">
      <c r="A658" s="508" t="s">
        <v>24985</v>
      </c>
      <c r="B658" s="232" t="s">
        <v>24996</v>
      </c>
      <c r="C658" s="509" t="s">
        <v>24997</v>
      </c>
      <c r="D658" s="510"/>
      <c r="E658" s="511"/>
      <c r="F658" s="232"/>
      <c r="G658" s="232" t="s">
        <v>24998</v>
      </c>
      <c r="H658" s="232">
        <v>7.596909647E9</v>
      </c>
      <c r="I658" s="509" t="s">
        <v>22289</v>
      </c>
      <c r="J658" s="232" t="b">
        <v>0</v>
      </c>
      <c r="K658" s="232" t="s">
        <v>22365</v>
      </c>
      <c r="L658" s="232" t="s">
        <v>22514</v>
      </c>
      <c r="M658" s="511"/>
      <c r="N658" s="232"/>
      <c r="O658" s="232"/>
      <c r="P658" s="312"/>
      <c r="Q658" s="312"/>
      <c r="R658" s="312"/>
      <c r="S658" s="312"/>
      <c r="T658" s="312"/>
      <c r="U658" s="312"/>
    </row>
    <row r="659">
      <c r="A659" s="508" t="s">
        <v>24985</v>
      </c>
      <c r="B659" s="232" t="s">
        <v>24999</v>
      </c>
      <c r="C659" s="509" t="s">
        <v>25000</v>
      </c>
      <c r="D659" s="510" t="s">
        <v>25001</v>
      </c>
      <c r="E659" s="511"/>
      <c r="F659" s="232" t="s">
        <v>25002</v>
      </c>
      <c r="G659" s="232" t="s">
        <v>22421</v>
      </c>
      <c r="H659" s="232">
        <v>8.88828771E9</v>
      </c>
      <c r="I659" s="509" t="s">
        <v>25003</v>
      </c>
      <c r="J659" s="232" t="b">
        <v>0</v>
      </c>
      <c r="K659" s="232"/>
      <c r="L659" s="232"/>
      <c r="M659" s="511"/>
      <c r="N659" s="232"/>
      <c r="O659" s="232"/>
      <c r="P659" s="312"/>
      <c r="Q659" s="312"/>
      <c r="R659" s="312"/>
      <c r="S659" s="312"/>
      <c r="T659" s="312"/>
      <c r="U659" s="312"/>
    </row>
    <row r="660">
      <c r="A660" s="508" t="s">
        <v>24985</v>
      </c>
      <c r="B660" s="232" t="s">
        <v>25004</v>
      </c>
      <c r="C660" s="509" t="s">
        <v>1730</v>
      </c>
      <c r="D660" s="510"/>
      <c r="E660" s="511"/>
      <c r="F660" s="232" t="s">
        <v>25005</v>
      </c>
      <c r="G660" s="232" t="s">
        <v>23598</v>
      </c>
      <c r="H660" s="232">
        <v>8.091706969E9</v>
      </c>
      <c r="I660" s="509" t="s">
        <v>22289</v>
      </c>
      <c r="J660" s="232" t="b">
        <v>0</v>
      </c>
      <c r="K660" s="232" t="s">
        <v>22365</v>
      </c>
      <c r="L660" s="232" t="s">
        <v>25006</v>
      </c>
      <c r="M660" s="511"/>
      <c r="N660" s="232"/>
      <c r="O660" s="232"/>
      <c r="P660" s="312"/>
      <c r="Q660" s="312"/>
      <c r="R660" s="312"/>
      <c r="S660" s="312"/>
      <c r="T660" s="312"/>
      <c r="U660" s="312"/>
    </row>
    <row r="661">
      <c r="A661" s="508" t="s">
        <v>24985</v>
      </c>
      <c r="B661" s="232" t="s">
        <v>25007</v>
      </c>
      <c r="C661" s="509" t="s">
        <v>25008</v>
      </c>
      <c r="D661" s="510" t="s">
        <v>25009</v>
      </c>
      <c r="E661" s="511"/>
      <c r="F661" s="232" t="s">
        <v>25010</v>
      </c>
      <c r="G661" s="232" t="s">
        <v>99</v>
      </c>
      <c r="H661" s="232">
        <v>9.853161471E9</v>
      </c>
      <c r="I661" s="512" t="s">
        <v>25011</v>
      </c>
      <c r="J661" s="232" t="b">
        <v>0</v>
      </c>
      <c r="K661" s="232" t="s">
        <v>334</v>
      </c>
      <c r="L661" s="232"/>
      <c r="M661" s="511"/>
      <c r="N661" s="232"/>
      <c r="O661" s="232"/>
      <c r="P661" s="312"/>
      <c r="Q661" s="312"/>
      <c r="R661" s="312"/>
      <c r="S661" s="312"/>
      <c r="T661" s="312"/>
      <c r="U661" s="312"/>
    </row>
    <row r="662">
      <c r="A662" s="508" t="s">
        <v>24985</v>
      </c>
      <c r="B662" s="232" t="s">
        <v>25012</v>
      </c>
      <c r="C662" s="509" t="s">
        <v>18622</v>
      </c>
      <c r="D662" s="510" t="s">
        <v>25013</v>
      </c>
      <c r="E662" s="511"/>
      <c r="F662" s="232" t="s">
        <v>25014</v>
      </c>
      <c r="G662" s="232" t="s">
        <v>25015</v>
      </c>
      <c r="H662" s="232">
        <v>9.9108561E9</v>
      </c>
      <c r="I662" s="509" t="s">
        <v>25016</v>
      </c>
      <c r="J662" s="232" t="b">
        <v>0</v>
      </c>
      <c r="K662" s="232" t="s">
        <v>334</v>
      </c>
      <c r="L662" s="232" t="s">
        <v>22398</v>
      </c>
      <c r="M662" s="511"/>
      <c r="N662" s="232"/>
      <c r="O662" s="232"/>
      <c r="P662" s="312"/>
      <c r="Q662" s="312"/>
      <c r="R662" s="312"/>
      <c r="S662" s="312"/>
      <c r="T662" s="312"/>
      <c r="U662" s="312"/>
    </row>
    <row r="663">
      <c r="A663" s="508" t="s">
        <v>24985</v>
      </c>
      <c r="B663" s="232" t="s">
        <v>25017</v>
      </c>
      <c r="C663" s="509" t="s">
        <v>25018</v>
      </c>
      <c r="D663" s="510"/>
      <c r="E663" s="511"/>
      <c r="F663" s="232" t="s">
        <v>25019</v>
      </c>
      <c r="G663" s="232" t="s">
        <v>22818</v>
      </c>
      <c r="H663" s="232">
        <v>9.974387841E9</v>
      </c>
      <c r="I663" s="509" t="s">
        <v>22289</v>
      </c>
      <c r="J663" s="232" t="b">
        <v>0</v>
      </c>
      <c r="K663" s="232" t="s">
        <v>22365</v>
      </c>
      <c r="L663" s="232" t="s">
        <v>22514</v>
      </c>
      <c r="M663" s="511"/>
      <c r="N663" s="232"/>
      <c r="O663" s="232"/>
      <c r="P663" s="312"/>
      <c r="Q663" s="312"/>
      <c r="R663" s="312"/>
      <c r="S663" s="312"/>
      <c r="T663" s="312"/>
      <c r="U663" s="312"/>
    </row>
    <row r="664">
      <c r="A664" s="513" t="s">
        <v>24985</v>
      </c>
      <c r="B664" s="514" t="s">
        <v>25020</v>
      </c>
      <c r="C664" s="515" t="s">
        <v>15306</v>
      </c>
      <c r="D664" s="516"/>
      <c r="E664" s="517"/>
      <c r="F664" s="514" t="s">
        <v>25021</v>
      </c>
      <c r="G664" s="514" t="s">
        <v>906</v>
      </c>
      <c r="H664" s="514">
        <v>9.773937032E9</v>
      </c>
      <c r="I664" s="515" t="s">
        <v>25022</v>
      </c>
      <c r="J664" s="514" t="b">
        <v>0</v>
      </c>
      <c r="K664" s="514" t="s">
        <v>22312</v>
      </c>
      <c r="L664" s="514" t="s">
        <v>25023</v>
      </c>
      <c r="M664" s="511"/>
      <c r="N664" s="232"/>
      <c r="O664" s="232"/>
      <c r="P664" s="312"/>
      <c r="Q664" s="312"/>
      <c r="R664" s="312"/>
      <c r="S664" s="312"/>
      <c r="T664" s="312"/>
      <c r="U664" s="312"/>
    </row>
    <row r="665">
      <c r="A665" s="508" t="s">
        <v>24985</v>
      </c>
      <c r="B665" s="232" t="s">
        <v>25024</v>
      </c>
      <c r="C665" s="509" t="s">
        <v>25025</v>
      </c>
      <c r="D665" s="510"/>
      <c r="E665" s="511"/>
      <c r="F665" s="232" t="s">
        <v>25026</v>
      </c>
      <c r="G665" s="232" t="s">
        <v>99</v>
      </c>
      <c r="H665" s="232">
        <v>7.978249831E9</v>
      </c>
      <c r="I665" s="509" t="s">
        <v>25027</v>
      </c>
      <c r="J665" s="232" t="b">
        <v>0</v>
      </c>
      <c r="K665" s="232" t="s">
        <v>12092</v>
      </c>
      <c r="L665" s="232"/>
      <c r="M665" s="511"/>
      <c r="N665" s="232"/>
      <c r="O665" s="232"/>
      <c r="P665" s="312"/>
      <c r="Q665" s="312"/>
      <c r="R665" s="312"/>
      <c r="S665" s="312"/>
      <c r="T665" s="312"/>
      <c r="U665" s="312"/>
    </row>
    <row r="666">
      <c r="A666" s="508" t="s">
        <v>25028</v>
      </c>
      <c r="B666" s="232" t="s">
        <v>25029</v>
      </c>
      <c r="C666" s="509" t="s">
        <v>25030</v>
      </c>
      <c r="D666" s="510" t="s">
        <v>25031</v>
      </c>
      <c r="E666" s="511"/>
      <c r="F666" s="232" t="s">
        <v>25032</v>
      </c>
      <c r="G666" s="232" t="s">
        <v>22348</v>
      </c>
      <c r="H666" s="232">
        <v>8.809046085E9</v>
      </c>
      <c r="I666" s="509" t="s">
        <v>23871</v>
      </c>
      <c r="J666" s="232" t="b">
        <v>0</v>
      </c>
      <c r="K666" s="232" t="s">
        <v>22365</v>
      </c>
      <c r="L666" s="232" t="s">
        <v>22554</v>
      </c>
      <c r="M666" s="511"/>
      <c r="N666" s="232"/>
      <c r="O666" s="232"/>
      <c r="P666" s="312"/>
      <c r="Q666" s="312"/>
      <c r="R666" s="312"/>
      <c r="S666" s="312"/>
      <c r="T666" s="312"/>
      <c r="U666" s="312"/>
    </row>
    <row r="667">
      <c r="A667" s="508" t="s">
        <v>25028</v>
      </c>
      <c r="B667" s="232" t="s">
        <v>25033</v>
      </c>
      <c r="C667" s="509" t="s">
        <v>25034</v>
      </c>
      <c r="D667" s="510"/>
      <c r="E667" s="511"/>
      <c r="F667" s="232"/>
      <c r="G667" s="232" t="s">
        <v>25035</v>
      </c>
      <c r="H667" s="232">
        <v>8.207255671E9</v>
      </c>
      <c r="I667" s="509" t="s">
        <v>24747</v>
      </c>
      <c r="J667" s="232" t="b">
        <v>0</v>
      </c>
      <c r="K667" s="232" t="s">
        <v>22365</v>
      </c>
      <c r="L667" s="232" t="s">
        <v>25036</v>
      </c>
      <c r="M667" s="511"/>
      <c r="N667" s="232"/>
      <c r="O667" s="232"/>
      <c r="P667" s="312"/>
      <c r="Q667" s="312"/>
      <c r="R667" s="312"/>
      <c r="S667" s="312"/>
      <c r="T667" s="312"/>
      <c r="U667" s="312"/>
    </row>
    <row r="668">
      <c r="A668" s="508" t="s">
        <v>25028</v>
      </c>
      <c r="B668" s="232" t="s">
        <v>25037</v>
      </c>
      <c r="C668" s="509" t="s">
        <v>25038</v>
      </c>
      <c r="D668" s="510" t="s">
        <v>25039</v>
      </c>
      <c r="E668" s="511"/>
      <c r="F668" s="232" t="s">
        <v>25040</v>
      </c>
      <c r="G668" s="232" t="s">
        <v>2682</v>
      </c>
      <c r="H668" s="232">
        <v>8.095842263E9</v>
      </c>
      <c r="I668" s="509" t="s">
        <v>25041</v>
      </c>
      <c r="J668" s="232" t="b">
        <v>0</v>
      </c>
      <c r="K668" s="232" t="s">
        <v>22365</v>
      </c>
      <c r="L668" s="232" t="s">
        <v>25042</v>
      </c>
      <c r="M668" s="511"/>
      <c r="N668" s="232"/>
      <c r="O668" s="232"/>
      <c r="P668" s="312"/>
      <c r="Q668" s="312"/>
      <c r="R668" s="312"/>
      <c r="S668" s="312"/>
      <c r="T668" s="312"/>
      <c r="U668" s="312"/>
    </row>
    <row r="669">
      <c r="A669" s="508" t="s">
        <v>25028</v>
      </c>
      <c r="B669" s="232" t="s">
        <v>25043</v>
      </c>
      <c r="C669" s="509" t="s">
        <v>25044</v>
      </c>
      <c r="D669" s="510" t="s">
        <v>25045</v>
      </c>
      <c r="E669" s="511"/>
      <c r="F669" s="232" t="s">
        <v>25046</v>
      </c>
      <c r="G669" s="232" t="s">
        <v>2662</v>
      </c>
      <c r="H669" s="232">
        <v>9.894130492E9</v>
      </c>
      <c r="I669" s="509" t="s">
        <v>23947</v>
      </c>
      <c r="J669" s="232" t="b">
        <v>0</v>
      </c>
      <c r="K669" s="232" t="s">
        <v>22365</v>
      </c>
      <c r="L669" s="232" t="s">
        <v>22422</v>
      </c>
      <c r="M669" s="511"/>
      <c r="N669" s="232"/>
      <c r="O669" s="232"/>
      <c r="P669" s="312"/>
      <c r="Q669" s="312"/>
      <c r="R669" s="312"/>
      <c r="S669" s="312"/>
      <c r="T669" s="312"/>
      <c r="U669" s="312"/>
    </row>
    <row r="670">
      <c r="A670" s="508" t="s">
        <v>25028</v>
      </c>
      <c r="B670" s="232" t="s">
        <v>25047</v>
      </c>
      <c r="C670" s="509" t="s">
        <v>25048</v>
      </c>
      <c r="D670" s="510" t="s">
        <v>25049</v>
      </c>
      <c r="E670" s="511"/>
      <c r="F670" s="232" t="s">
        <v>25050</v>
      </c>
      <c r="G670" s="232" t="s">
        <v>24176</v>
      </c>
      <c r="H670" s="232">
        <v>-9.809636363E9</v>
      </c>
      <c r="I670" s="509" t="s">
        <v>25051</v>
      </c>
      <c r="J670" s="232" t="b">
        <v>0</v>
      </c>
      <c r="K670" s="232" t="s">
        <v>22365</v>
      </c>
      <c r="L670" s="232" t="s">
        <v>22422</v>
      </c>
      <c r="M670" s="511"/>
      <c r="N670" s="232"/>
      <c r="O670" s="232"/>
      <c r="P670" s="312"/>
      <c r="Q670" s="312"/>
      <c r="R670" s="312"/>
      <c r="S670" s="312"/>
      <c r="T670" s="312"/>
      <c r="U670" s="312"/>
    </row>
    <row r="671">
      <c r="A671" s="508" t="s">
        <v>25028</v>
      </c>
      <c r="B671" s="232" t="s">
        <v>25052</v>
      </c>
      <c r="C671" s="510" t="s">
        <v>25053</v>
      </c>
      <c r="D671" s="510"/>
      <c r="E671" s="511"/>
      <c r="F671" s="232" t="s">
        <v>25054</v>
      </c>
      <c r="G671" s="232" t="s">
        <v>742</v>
      </c>
      <c r="H671" s="232">
        <v>7.032546547E9</v>
      </c>
      <c r="I671" s="509" t="s">
        <v>22289</v>
      </c>
      <c r="J671" s="232" t="b">
        <v>0</v>
      </c>
      <c r="K671" s="232" t="s">
        <v>334</v>
      </c>
      <c r="L671" s="232"/>
      <c r="M671" s="511"/>
      <c r="N671" s="232"/>
      <c r="O671" s="232"/>
      <c r="P671" s="312"/>
      <c r="Q671" s="312"/>
      <c r="R671" s="312"/>
      <c r="S671" s="312"/>
      <c r="T671" s="312"/>
      <c r="U671" s="312"/>
    </row>
    <row r="672">
      <c r="A672" s="508" t="s">
        <v>25028</v>
      </c>
      <c r="B672" s="232" t="s">
        <v>25055</v>
      </c>
      <c r="C672" s="509" t="s">
        <v>25056</v>
      </c>
      <c r="D672" s="510" t="s">
        <v>25057</v>
      </c>
      <c r="E672" s="511"/>
      <c r="F672" s="232" t="s">
        <v>25058</v>
      </c>
      <c r="G672" s="232" t="s">
        <v>23303</v>
      </c>
      <c r="H672" s="232">
        <v>8.141655878E9</v>
      </c>
      <c r="I672" s="509" t="s">
        <v>22373</v>
      </c>
      <c r="J672" s="232" t="b">
        <v>0</v>
      </c>
      <c r="K672" s="232" t="s">
        <v>22365</v>
      </c>
      <c r="L672" s="232" t="s">
        <v>25059</v>
      </c>
      <c r="M672" s="511"/>
      <c r="N672" s="232"/>
      <c r="O672" s="232"/>
      <c r="P672" s="312"/>
      <c r="Q672" s="312"/>
      <c r="R672" s="312"/>
      <c r="S672" s="312"/>
      <c r="T672" s="312"/>
      <c r="U672" s="312"/>
    </row>
    <row r="673">
      <c r="A673" s="508" t="s">
        <v>25028</v>
      </c>
      <c r="B673" s="232" t="s">
        <v>25060</v>
      </c>
      <c r="C673" s="509" t="s">
        <v>25061</v>
      </c>
      <c r="D673" s="510" t="s">
        <v>25062</v>
      </c>
      <c r="E673" s="511"/>
      <c r="F673" s="232" t="s">
        <v>25063</v>
      </c>
      <c r="G673" s="232" t="s">
        <v>930</v>
      </c>
      <c r="H673" s="232">
        <v>-8.34155061E9</v>
      </c>
      <c r="I673" s="509" t="s">
        <v>25064</v>
      </c>
      <c r="J673" s="232" t="b">
        <v>0</v>
      </c>
      <c r="K673" s="232" t="s">
        <v>22365</v>
      </c>
      <c r="L673" s="232" t="s">
        <v>25065</v>
      </c>
      <c r="M673" s="511"/>
      <c r="N673" s="232"/>
      <c r="O673" s="232"/>
      <c r="P673" s="312"/>
      <c r="Q673" s="312"/>
      <c r="R673" s="312"/>
      <c r="S673" s="312"/>
      <c r="T673" s="312"/>
      <c r="U673" s="312"/>
    </row>
    <row r="674">
      <c r="A674" s="508" t="s">
        <v>25028</v>
      </c>
      <c r="B674" s="232" t="s">
        <v>25066</v>
      </c>
      <c r="C674" s="509" t="s">
        <v>16036</v>
      </c>
      <c r="D674" s="510"/>
      <c r="E674" s="511"/>
      <c r="F674" s="232" t="s">
        <v>25067</v>
      </c>
      <c r="G674" s="232" t="s">
        <v>44</v>
      </c>
      <c r="H674" s="232">
        <v>7.86594959E9</v>
      </c>
      <c r="I674" s="509" t="s">
        <v>22278</v>
      </c>
      <c r="J674" s="232" t="b">
        <v>0</v>
      </c>
      <c r="K674" s="232"/>
      <c r="L674" s="232"/>
      <c r="M674" s="511"/>
      <c r="N674" s="232"/>
      <c r="O674" s="232"/>
      <c r="P674" s="312"/>
      <c r="Q674" s="312"/>
      <c r="R674" s="312"/>
      <c r="S674" s="312"/>
      <c r="T674" s="312"/>
      <c r="U674" s="312"/>
    </row>
    <row r="675">
      <c r="A675" s="508" t="s">
        <v>25028</v>
      </c>
      <c r="B675" s="232" t="s">
        <v>25068</v>
      </c>
      <c r="C675" s="509" t="s">
        <v>25069</v>
      </c>
      <c r="D675" s="510" t="s">
        <v>25070</v>
      </c>
      <c r="E675" s="511"/>
      <c r="F675" s="232" t="s">
        <v>25071</v>
      </c>
      <c r="G675" s="232" t="s">
        <v>24162</v>
      </c>
      <c r="H675" s="232">
        <v>8.777891805E9</v>
      </c>
      <c r="I675" s="509" t="s">
        <v>9648</v>
      </c>
      <c r="J675" s="232" t="b">
        <v>0</v>
      </c>
      <c r="K675" s="232" t="s">
        <v>22365</v>
      </c>
      <c r="L675" s="232" t="s">
        <v>24569</v>
      </c>
      <c r="M675" s="511"/>
      <c r="N675" s="232"/>
      <c r="O675" s="232"/>
      <c r="P675" s="312"/>
      <c r="Q675" s="312"/>
      <c r="R675" s="312"/>
      <c r="S675" s="312"/>
      <c r="T675" s="312"/>
      <c r="U675" s="312"/>
    </row>
    <row r="676">
      <c r="A676" s="508" t="s">
        <v>25072</v>
      </c>
      <c r="B676" s="232" t="s">
        <v>25073</v>
      </c>
      <c r="C676" s="509" t="s">
        <v>25030</v>
      </c>
      <c r="D676" s="510" t="s">
        <v>25031</v>
      </c>
      <c r="E676" s="511"/>
      <c r="F676" s="232" t="s">
        <v>25032</v>
      </c>
      <c r="G676" s="232" t="s">
        <v>25074</v>
      </c>
      <c r="H676" s="232">
        <v>8.809046085E9</v>
      </c>
      <c r="I676" s="509" t="s">
        <v>25075</v>
      </c>
      <c r="J676" s="232" t="b">
        <v>0</v>
      </c>
      <c r="K676" s="232" t="s">
        <v>22365</v>
      </c>
      <c r="L676" s="232" t="s">
        <v>22554</v>
      </c>
      <c r="M676" s="511"/>
      <c r="N676" s="232"/>
      <c r="O676" s="232"/>
      <c r="P676" s="312"/>
      <c r="Q676" s="312"/>
      <c r="R676" s="312"/>
      <c r="S676" s="312"/>
      <c r="T676" s="312"/>
      <c r="U676" s="312"/>
    </row>
    <row r="677">
      <c r="A677" s="508" t="s">
        <v>25072</v>
      </c>
      <c r="B677" s="232" t="s">
        <v>25076</v>
      </c>
      <c r="C677" s="509" t="s">
        <v>25077</v>
      </c>
      <c r="D677" s="510" t="s">
        <v>25078</v>
      </c>
      <c r="E677" s="511"/>
      <c r="F677" s="232"/>
      <c r="G677" s="232" t="s">
        <v>398</v>
      </c>
      <c r="H677" s="232">
        <v>9.926412731E9</v>
      </c>
      <c r="I677" s="509" t="s">
        <v>25079</v>
      </c>
      <c r="J677" s="232" t="b">
        <v>0</v>
      </c>
      <c r="K677" s="232" t="s">
        <v>22365</v>
      </c>
      <c r="L677" s="232" t="s">
        <v>24569</v>
      </c>
      <c r="M677" s="511"/>
      <c r="N677" s="232"/>
      <c r="O677" s="232"/>
      <c r="P677" s="312"/>
      <c r="Q677" s="312"/>
      <c r="R677" s="312"/>
      <c r="S677" s="312"/>
      <c r="T677" s="312"/>
      <c r="U677" s="312"/>
    </row>
    <row r="678">
      <c r="A678" s="508" t="s">
        <v>25072</v>
      </c>
      <c r="B678" s="232" t="s">
        <v>25080</v>
      </c>
      <c r="C678" s="509" t="s">
        <v>25081</v>
      </c>
      <c r="D678" s="510"/>
      <c r="E678" s="511"/>
      <c r="F678" s="232" t="s">
        <v>25082</v>
      </c>
      <c r="G678" s="232" t="s">
        <v>7995</v>
      </c>
      <c r="H678" s="232">
        <v>7.890326263E9</v>
      </c>
      <c r="I678" s="509" t="s">
        <v>23569</v>
      </c>
      <c r="J678" s="232" t="b">
        <v>0</v>
      </c>
      <c r="K678" s="232" t="s">
        <v>22365</v>
      </c>
      <c r="L678" s="232" t="s">
        <v>24569</v>
      </c>
      <c r="M678" s="511"/>
      <c r="N678" s="232"/>
      <c r="O678" s="232"/>
      <c r="P678" s="312"/>
      <c r="Q678" s="312"/>
      <c r="R678" s="312"/>
      <c r="S678" s="312"/>
      <c r="T678" s="312"/>
      <c r="U678" s="312"/>
    </row>
    <row r="679">
      <c r="A679" s="508" t="s">
        <v>25072</v>
      </c>
      <c r="B679" s="232" t="s">
        <v>25083</v>
      </c>
      <c r="C679" s="509" t="s">
        <v>25084</v>
      </c>
      <c r="D679" s="510" t="s">
        <v>25085</v>
      </c>
      <c r="E679" s="511"/>
      <c r="F679" s="232" t="s">
        <v>25086</v>
      </c>
      <c r="G679" s="232" t="s">
        <v>519</v>
      </c>
      <c r="H679" s="232">
        <v>8.530118496E9</v>
      </c>
      <c r="I679" s="509" t="s">
        <v>25087</v>
      </c>
      <c r="J679" s="232" t="b">
        <v>0</v>
      </c>
      <c r="K679" s="232" t="s">
        <v>22365</v>
      </c>
      <c r="L679" s="232" t="s">
        <v>22554</v>
      </c>
      <c r="M679" s="511"/>
      <c r="N679" s="232"/>
      <c r="O679" s="232"/>
      <c r="P679" s="312"/>
      <c r="Q679" s="312"/>
      <c r="R679" s="312"/>
      <c r="S679" s="312"/>
      <c r="T679" s="312"/>
      <c r="U679" s="312"/>
    </row>
    <row r="680">
      <c r="A680" s="508" t="s">
        <v>25072</v>
      </c>
      <c r="B680" s="232" t="s">
        <v>25088</v>
      </c>
      <c r="C680" s="509" t="s">
        <v>25089</v>
      </c>
      <c r="D680" s="510"/>
      <c r="E680" s="511"/>
      <c r="F680" s="232" t="s">
        <v>25090</v>
      </c>
      <c r="G680" s="232" t="s">
        <v>23823</v>
      </c>
      <c r="H680" s="232">
        <v>8.249195412E9</v>
      </c>
      <c r="I680" s="509" t="s">
        <v>22289</v>
      </c>
      <c r="J680" s="232" t="b">
        <v>0</v>
      </c>
      <c r="K680" s="232" t="s">
        <v>22365</v>
      </c>
      <c r="L680" s="232" t="s">
        <v>22554</v>
      </c>
      <c r="M680" s="511"/>
      <c r="N680" s="232"/>
      <c r="O680" s="232"/>
      <c r="P680" s="312"/>
      <c r="Q680" s="312"/>
      <c r="R680" s="312"/>
      <c r="S680" s="312"/>
      <c r="T680" s="312"/>
      <c r="U680" s="312"/>
    </row>
    <row r="681">
      <c r="A681" s="508" t="s">
        <v>25072</v>
      </c>
      <c r="B681" s="232" t="s">
        <v>25091</v>
      </c>
      <c r="C681" s="509" t="s">
        <v>25092</v>
      </c>
      <c r="D681" s="510"/>
      <c r="E681" s="511"/>
      <c r="F681" s="232" t="s">
        <v>25093</v>
      </c>
      <c r="G681" s="232" t="s">
        <v>23642</v>
      </c>
      <c r="H681" s="232">
        <v>9.162909133E9</v>
      </c>
      <c r="I681" s="509" t="s">
        <v>23803</v>
      </c>
      <c r="J681" s="232" t="b">
        <v>0</v>
      </c>
      <c r="K681" s="232"/>
      <c r="L681" s="232"/>
      <c r="M681" s="511"/>
      <c r="N681" s="232"/>
      <c r="O681" s="232"/>
      <c r="P681" s="312"/>
      <c r="Q681" s="312"/>
      <c r="R681" s="312"/>
      <c r="S681" s="312"/>
      <c r="T681" s="312"/>
      <c r="U681" s="312"/>
    </row>
    <row r="682">
      <c r="A682" s="508" t="s">
        <v>25072</v>
      </c>
      <c r="B682" s="232" t="s">
        <v>25094</v>
      </c>
      <c r="C682" s="509" t="s">
        <v>25095</v>
      </c>
      <c r="D682" s="510" t="s">
        <v>25096</v>
      </c>
      <c r="E682" s="511"/>
      <c r="F682" s="232" t="s">
        <v>25097</v>
      </c>
      <c r="G682" s="232" t="s">
        <v>99</v>
      </c>
      <c r="H682" s="232">
        <v>6.370611812E9</v>
      </c>
      <c r="I682" s="509" t="s">
        <v>22289</v>
      </c>
      <c r="J682" s="232" t="b">
        <v>0</v>
      </c>
      <c r="K682" s="232" t="s">
        <v>22365</v>
      </c>
      <c r="L682" s="232"/>
      <c r="M682" s="511"/>
      <c r="N682" s="232"/>
      <c r="O682" s="232"/>
      <c r="P682" s="312"/>
      <c r="Q682" s="312"/>
      <c r="R682" s="312"/>
      <c r="S682" s="312"/>
      <c r="T682" s="312"/>
      <c r="U682" s="312"/>
    </row>
    <row r="683">
      <c r="A683" s="508" t="s">
        <v>25072</v>
      </c>
      <c r="B683" s="232" t="s">
        <v>25098</v>
      </c>
      <c r="C683" s="509" t="s">
        <v>25099</v>
      </c>
      <c r="D683" s="510" t="s">
        <v>25100</v>
      </c>
      <c r="E683" s="511"/>
      <c r="F683" s="232" t="s">
        <v>25101</v>
      </c>
      <c r="G683" s="232" t="s">
        <v>507</v>
      </c>
      <c r="H683" s="232">
        <v>9.404350962E9</v>
      </c>
      <c r="I683" s="509" t="s">
        <v>25102</v>
      </c>
      <c r="J683" s="232" t="b">
        <v>0</v>
      </c>
      <c r="K683" s="232" t="s">
        <v>22365</v>
      </c>
      <c r="L683" s="232"/>
      <c r="M683" s="511"/>
      <c r="N683" s="232"/>
      <c r="O683" s="232"/>
      <c r="P683" s="312"/>
      <c r="Q683" s="312"/>
      <c r="R683" s="312"/>
      <c r="S683" s="312"/>
      <c r="T683" s="312"/>
      <c r="U683" s="312"/>
    </row>
    <row r="684">
      <c r="A684" s="508" t="s">
        <v>25072</v>
      </c>
      <c r="B684" s="232" t="s">
        <v>25103</v>
      </c>
      <c r="C684" s="509" t="s">
        <v>25104</v>
      </c>
      <c r="D684" s="510" t="s">
        <v>25105</v>
      </c>
      <c r="E684" s="511"/>
      <c r="F684" s="232" t="s">
        <v>25106</v>
      </c>
      <c r="G684" s="232" t="s">
        <v>22348</v>
      </c>
      <c r="H684" s="232">
        <v>7.301784684E9</v>
      </c>
      <c r="I684" s="509" t="s">
        <v>22373</v>
      </c>
      <c r="J684" s="232" t="b">
        <v>0</v>
      </c>
      <c r="K684" s="232" t="s">
        <v>22365</v>
      </c>
      <c r="L684" s="232" t="s">
        <v>24569</v>
      </c>
      <c r="M684" s="511"/>
      <c r="N684" s="232"/>
      <c r="O684" s="232"/>
      <c r="P684" s="312"/>
      <c r="Q684" s="312"/>
      <c r="R684" s="312"/>
      <c r="S684" s="312"/>
      <c r="T684" s="312"/>
      <c r="U684" s="312"/>
    </row>
    <row r="685">
      <c r="A685" s="508" t="s">
        <v>25107</v>
      </c>
      <c r="B685" s="232" t="s">
        <v>25108</v>
      </c>
      <c r="C685" s="509" t="s">
        <v>25109</v>
      </c>
      <c r="D685" s="510" t="s">
        <v>25110</v>
      </c>
      <c r="E685" s="511"/>
      <c r="F685" s="232" t="s">
        <v>25111</v>
      </c>
      <c r="G685" s="232" t="s">
        <v>981</v>
      </c>
      <c r="H685" s="232">
        <v>9.734846548E9</v>
      </c>
      <c r="I685" s="509" t="s">
        <v>25112</v>
      </c>
      <c r="J685" s="232" t="b">
        <v>0</v>
      </c>
      <c r="K685" s="232" t="s">
        <v>22365</v>
      </c>
      <c r="L685" s="232" t="s">
        <v>25113</v>
      </c>
      <c r="M685" s="511"/>
      <c r="N685" s="232"/>
      <c r="O685" s="232"/>
      <c r="P685" s="312"/>
      <c r="Q685" s="312"/>
      <c r="R685" s="312"/>
      <c r="S685" s="312"/>
      <c r="T685" s="312"/>
      <c r="U685" s="312"/>
    </row>
    <row r="686">
      <c r="A686" s="508" t="s">
        <v>25107</v>
      </c>
      <c r="B686" s="232" t="s">
        <v>25114</v>
      </c>
      <c r="C686" s="509" t="s">
        <v>25115</v>
      </c>
      <c r="D686" s="510"/>
      <c r="E686" s="511"/>
      <c r="F686" s="232" t="s">
        <v>25116</v>
      </c>
      <c r="G686" s="232" t="s">
        <v>23303</v>
      </c>
      <c r="H686" s="232">
        <v>9.825032217E9</v>
      </c>
      <c r="I686" s="509" t="s">
        <v>22727</v>
      </c>
      <c r="J686" s="232" t="b">
        <v>0</v>
      </c>
      <c r="K686" s="232" t="s">
        <v>22355</v>
      </c>
      <c r="L686" s="232"/>
      <c r="M686" s="511"/>
      <c r="N686" s="232"/>
      <c r="O686" s="232"/>
      <c r="P686" s="312"/>
      <c r="Q686" s="312"/>
      <c r="R686" s="312"/>
      <c r="S686" s="312"/>
      <c r="T686" s="312"/>
      <c r="U686" s="312"/>
    </row>
    <row r="687">
      <c r="A687" s="508" t="s">
        <v>25107</v>
      </c>
      <c r="B687" s="232" t="s">
        <v>25117</v>
      </c>
      <c r="C687" s="509" t="s">
        <v>24699</v>
      </c>
      <c r="D687" s="510"/>
      <c r="E687" s="511"/>
      <c r="F687" s="232" t="s">
        <v>24701</v>
      </c>
      <c r="G687" s="232" t="s">
        <v>22479</v>
      </c>
      <c r="H687" s="232">
        <v>9.415491649E9</v>
      </c>
      <c r="I687" s="509" t="s">
        <v>25118</v>
      </c>
      <c r="J687" s="232" t="b">
        <v>0</v>
      </c>
      <c r="K687" s="232" t="s">
        <v>22365</v>
      </c>
      <c r="L687" s="232" t="s">
        <v>22509</v>
      </c>
      <c r="M687" s="511"/>
      <c r="N687" s="232"/>
      <c r="O687" s="232"/>
      <c r="P687" s="312"/>
      <c r="Q687" s="312"/>
      <c r="R687" s="312"/>
      <c r="S687" s="312"/>
      <c r="T687" s="312"/>
      <c r="U687" s="312"/>
    </row>
    <row r="688">
      <c r="A688" s="508" t="s">
        <v>25107</v>
      </c>
      <c r="B688" s="232" t="s">
        <v>25119</v>
      </c>
      <c r="C688" s="509" t="s">
        <v>24704</v>
      </c>
      <c r="D688" s="510" t="s">
        <v>24705</v>
      </c>
      <c r="E688" s="511"/>
      <c r="F688" s="232" t="s">
        <v>24706</v>
      </c>
      <c r="G688" s="232" t="s">
        <v>22630</v>
      </c>
      <c r="H688" s="232">
        <v>6.353262027E9</v>
      </c>
      <c r="I688" s="512" t="s">
        <v>24707</v>
      </c>
      <c r="J688" s="232" t="b">
        <v>0</v>
      </c>
      <c r="K688" s="232" t="s">
        <v>22365</v>
      </c>
      <c r="L688" s="232" t="s">
        <v>22422</v>
      </c>
      <c r="M688" s="511"/>
      <c r="N688" s="232"/>
      <c r="O688" s="232"/>
      <c r="P688" s="312"/>
      <c r="Q688" s="312"/>
      <c r="R688" s="312"/>
      <c r="S688" s="312"/>
      <c r="T688" s="312"/>
      <c r="U688" s="312"/>
    </row>
    <row r="689">
      <c r="A689" s="508" t="s">
        <v>25107</v>
      </c>
      <c r="B689" s="232" t="s">
        <v>25120</v>
      </c>
      <c r="C689" s="509" t="s">
        <v>24709</v>
      </c>
      <c r="D689" s="510" t="s">
        <v>24710</v>
      </c>
      <c r="E689" s="511"/>
      <c r="F689" s="232" t="s">
        <v>24711</v>
      </c>
      <c r="G689" s="232" t="s">
        <v>22479</v>
      </c>
      <c r="H689" s="232">
        <v>9.773942259E9</v>
      </c>
      <c r="I689" s="509" t="s">
        <v>22373</v>
      </c>
      <c r="J689" s="232" t="b">
        <v>0</v>
      </c>
      <c r="K689" s="232" t="s">
        <v>334</v>
      </c>
      <c r="L689" s="232"/>
      <c r="M689" s="511"/>
      <c r="N689" s="232"/>
      <c r="O689" s="232"/>
      <c r="P689" s="312"/>
      <c r="Q689" s="312"/>
      <c r="R689" s="312"/>
      <c r="S689" s="312"/>
      <c r="T689" s="312"/>
      <c r="U689" s="312"/>
    </row>
    <row r="690">
      <c r="A690" s="508" t="s">
        <v>25107</v>
      </c>
      <c r="B690" s="232" t="s">
        <v>25121</v>
      </c>
      <c r="C690" s="509" t="s">
        <v>25122</v>
      </c>
      <c r="D690" s="510" t="s">
        <v>25123</v>
      </c>
      <c r="E690" s="511"/>
      <c r="F690" s="232" t="s">
        <v>25124</v>
      </c>
      <c r="G690" s="232" t="s">
        <v>2882</v>
      </c>
      <c r="H690" s="232">
        <v>8.527733787E9</v>
      </c>
      <c r="I690" s="509" t="s">
        <v>24892</v>
      </c>
      <c r="J690" s="232" t="b">
        <v>0</v>
      </c>
      <c r="K690" s="232" t="s">
        <v>22365</v>
      </c>
      <c r="L690" s="232" t="s">
        <v>22451</v>
      </c>
      <c r="M690" s="511"/>
      <c r="N690" s="232"/>
      <c r="O690" s="232"/>
      <c r="P690" s="312"/>
      <c r="Q690" s="312"/>
      <c r="R690" s="312"/>
      <c r="S690" s="312"/>
      <c r="T690" s="312"/>
      <c r="U690" s="312"/>
    </row>
    <row r="691">
      <c r="A691" s="508" t="s">
        <v>25107</v>
      </c>
      <c r="B691" s="232" t="s">
        <v>25125</v>
      </c>
      <c r="C691" s="509" t="s">
        <v>21458</v>
      </c>
      <c r="D691" s="510" t="s">
        <v>25126</v>
      </c>
      <c r="E691" s="511"/>
      <c r="F691" s="232" t="s">
        <v>25127</v>
      </c>
      <c r="G691" s="232" t="s">
        <v>22479</v>
      </c>
      <c r="H691" s="232">
        <v>7.992247385E9</v>
      </c>
      <c r="I691" s="509" t="s">
        <v>22289</v>
      </c>
      <c r="J691" s="232" t="b">
        <v>0</v>
      </c>
      <c r="K691" s="232" t="s">
        <v>12092</v>
      </c>
      <c r="L691" s="232"/>
      <c r="M691" s="511"/>
      <c r="N691" s="232"/>
      <c r="O691" s="232"/>
      <c r="P691" s="312"/>
      <c r="Q691" s="312"/>
      <c r="R691" s="312"/>
      <c r="S691" s="312"/>
      <c r="T691" s="312"/>
      <c r="U691" s="312"/>
    </row>
    <row r="692">
      <c r="A692" s="508" t="s">
        <v>25107</v>
      </c>
      <c r="B692" s="232" t="s">
        <v>25128</v>
      </c>
      <c r="C692" s="509" t="s">
        <v>25129</v>
      </c>
      <c r="D692" s="510"/>
      <c r="E692" s="511"/>
      <c r="F692" s="232"/>
      <c r="G692" s="232" t="s">
        <v>1640</v>
      </c>
      <c r="H692" s="232">
        <v>8.617029043E9</v>
      </c>
      <c r="I692" s="509" t="s">
        <v>22289</v>
      </c>
      <c r="J692" s="232" t="b">
        <v>0</v>
      </c>
      <c r="K692" s="232" t="s">
        <v>12092</v>
      </c>
      <c r="L692" s="232"/>
      <c r="M692" s="511"/>
      <c r="N692" s="232"/>
      <c r="O692" s="232"/>
      <c r="P692" s="312"/>
      <c r="Q692" s="312"/>
      <c r="R692" s="312"/>
      <c r="S692" s="312"/>
      <c r="T692" s="312"/>
      <c r="U692" s="312"/>
    </row>
    <row r="693">
      <c r="A693" s="508" t="s">
        <v>25107</v>
      </c>
      <c r="B693" s="232" t="s">
        <v>25130</v>
      </c>
      <c r="C693" s="509" t="s">
        <v>25131</v>
      </c>
      <c r="D693" s="510"/>
      <c r="E693" s="511"/>
      <c r="F693" s="232"/>
      <c r="G693" s="232" t="s">
        <v>2682</v>
      </c>
      <c r="H693" s="232">
        <v>8.217660375E9</v>
      </c>
      <c r="I693" s="509" t="s">
        <v>22373</v>
      </c>
      <c r="J693" s="232" t="b">
        <v>0</v>
      </c>
      <c r="K693" s="232" t="s">
        <v>22365</v>
      </c>
      <c r="L693" s="232"/>
      <c r="M693" s="511"/>
      <c r="N693" s="232"/>
      <c r="O693" s="232"/>
      <c r="P693" s="312"/>
      <c r="Q693" s="312"/>
      <c r="R693" s="312"/>
      <c r="S693" s="312"/>
      <c r="T693" s="312"/>
      <c r="U693" s="312"/>
    </row>
    <row r="694">
      <c r="A694" s="508" t="s">
        <v>25107</v>
      </c>
      <c r="B694" s="232" t="s">
        <v>25132</v>
      </c>
      <c r="C694" s="509" t="s">
        <v>25133</v>
      </c>
      <c r="D694" s="510" t="s">
        <v>25134</v>
      </c>
      <c r="E694" s="511"/>
      <c r="F694" s="232" t="s">
        <v>25135</v>
      </c>
      <c r="G694" s="232" t="s">
        <v>930</v>
      </c>
      <c r="H694" s="232">
        <v>9.542022496E9</v>
      </c>
      <c r="I694" s="509" t="s">
        <v>24767</v>
      </c>
      <c r="J694" s="232" t="b">
        <v>0</v>
      </c>
      <c r="K694" s="232" t="s">
        <v>22365</v>
      </c>
      <c r="L694" s="232" t="s">
        <v>25136</v>
      </c>
      <c r="M694" s="511"/>
      <c r="N694" s="232"/>
      <c r="O694" s="232"/>
      <c r="P694" s="312"/>
      <c r="Q694" s="312"/>
      <c r="R694" s="312"/>
      <c r="S694" s="312"/>
      <c r="T694" s="312"/>
      <c r="U694" s="312"/>
    </row>
    <row r="695">
      <c r="A695" s="508" t="s">
        <v>25107</v>
      </c>
      <c r="B695" s="232" t="s">
        <v>25137</v>
      </c>
      <c r="C695" s="509" t="s">
        <v>22986</v>
      </c>
      <c r="D695" s="510" t="s">
        <v>1461</v>
      </c>
      <c r="E695" s="511"/>
      <c r="F695" s="232" t="s">
        <v>24155</v>
      </c>
      <c r="G695" s="232" t="s">
        <v>1461</v>
      </c>
      <c r="H695" s="232">
        <v>9.549999597E9</v>
      </c>
      <c r="I695" s="509" t="s">
        <v>22373</v>
      </c>
      <c r="J695" s="232" t="b">
        <v>0</v>
      </c>
      <c r="K695" s="232" t="s">
        <v>22365</v>
      </c>
      <c r="L695" s="232" t="s">
        <v>22509</v>
      </c>
      <c r="M695" s="511"/>
      <c r="N695" s="232"/>
      <c r="O695" s="232"/>
      <c r="P695" s="312"/>
      <c r="Q695" s="312"/>
      <c r="R695" s="312"/>
      <c r="S695" s="312"/>
      <c r="T695" s="312"/>
      <c r="U695" s="312"/>
    </row>
    <row r="696">
      <c r="A696" s="508" t="s">
        <v>25107</v>
      </c>
      <c r="B696" s="232" t="s">
        <v>25138</v>
      </c>
      <c r="C696" s="509" t="s">
        <v>25139</v>
      </c>
      <c r="D696" s="510"/>
      <c r="E696" s="511"/>
      <c r="F696" s="232" t="s">
        <v>25140</v>
      </c>
      <c r="G696" s="232" t="s">
        <v>22479</v>
      </c>
      <c r="H696" s="232">
        <v>9.149033502E9</v>
      </c>
      <c r="I696" s="509" t="s">
        <v>25141</v>
      </c>
      <c r="J696" s="232" t="b">
        <v>0</v>
      </c>
      <c r="K696" s="232" t="s">
        <v>22355</v>
      </c>
      <c r="L696" s="232"/>
      <c r="M696" s="511"/>
      <c r="N696" s="232"/>
      <c r="O696" s="232"/>
      <c r="P696" s="312"/>
      <c r="Q696" s="312"/>
      <c r="R696" s="312"/>
      <c r="S696" s="312"/>
      <c r="T696" s="312"/>
      <c r="U696" s="312"/>
    </row>
    <row r="697">
      <c r="A697" s="508" t="s">
        <v>25107</v>
      </c>
      <c r="B697" s="232" t="s">
        <v>25142</v>
      </c>
      <c r="C697" s="509" t="s">
        <v>25143</v>
      </c>
      <c r="D697" s="510"/>
      <c r="E697" s="511"/>
      <c r="F697" s="232"/>
      <c r="G697" s="232" t="s">
        <v>22348</v>
      </c>
      <c r="H697" s="232">
        <v>9.421843346E9</v>
      </c>
      <c r="I697" s="509" t="s">
        <v>22278</v>
      </c>
      <c r="J697" s="232" t="b">
        <v>0</v>
      </c>
      <c r="K697" s="232" t="s">
        <v>22365</v>
      </c>
      <c r="L697" s="232" t="s">
        <v>22422</v>
      </c>
      <c r="M697" s="511"/>
      <c r="N697" s="232"/>
      <c r="O697" s="232"/>
      <c r="P697" s="312"/>
      <c r="Q697" s="312"/>
      <c r="R697" s="312"/>
      <c r="S697" s="312"/>
      <c r="T697" s="312"/>
      <c r="U697" s="312"/>
    </row>
    <row r="698">
      <c r="A698" s="508" t="s">
        <v>25107</v>
      </c>
      <c r="B698" s="232" t="s">
        <v>25144</v>
      </c>
      <c r="C698" s="509" t="s">
        <v>25145</v>
      </c>
      <c r="D698" s="510" t="s">
        <v>25146</v>
      </c>
      <c r="E698" s="511"/>
      <c r="F698" s="232" t="s">
        <v>25147</v>
      </c>
      <c r="G698" s="232" t="s">
        <v>99</v>
      </c>
      <c r="H698" s="232">
        <v>7.846857272E9</v>
      </c>
      <c r="I698" s="509" t="s">
        <v>25148</v>
      </c>
      <c r="J698" s="232" t="b">
        <v>0</v>
      </c>
      <c r="K698" s="232" t="s">
        <v>22365</v>
      </c>
      <c r="L698" s="232" t="s">
        <v>22422</v>
      </c>
      <c r="M698" s="511"/>
      <c r="N698" s="232"/>
      <c r="O698" s="232"/>
      <c r="P698" s="312"/>
      <c r="Q698" s="312"/>
      <c r="R698" s="312"/>
      <c r="S698" s="312"/>
      <c r="T698" s="312"/>
      <c r="U698" s="312"/>
    </row>
    <row r="699">
      <c r="A699" s="508" t="s">
        <v>25107</v>
      </c>
      <c r="B699" s="232" t="s">
        <v>25149</v>
      </c>
      <c r="C699" s="509" t="s">
        <v>25150</v>
      </c>
      <c r="D699" s="510"/>
      <c r="E699" s="511"/>
      <c r="F699" s="232" t="s">
        <v>25151</v>
      </c>
      <c r="G699" s="232" t="s">
        <v>22359</v>
      </c>
      <c r="H699" s="232">
        <v>8.889696695E9</v>
      </c>
      <c r="I699" s="509" t="s">
        <v>22373</v>
      </c>
      <c r="J699" s="232" t="b">
        <v>0</v>
      </c>
      <c r="K699" s="232" t="s">
        <v>22365</v>
      </c>
      <c r="L699" s="232" t="s">
        <v>24569</v>
      </c>
      <c r="M699" s="511"/>
      <c r="N699" s="232"/>
      <c r="O699" s="232"/>
      <c r="P699" s="312"/>
      <c r="Q699" s="312"/>
      <c r="R699" s="312"/>
      <c r="S699" s="312"/>
      <c r="T699" s="312"/>
      <c r="U699" s="312"/>
    </row>
    <row r="700">
      <c r="A700" s="508" t="s">
        <v>25107</v>
      </c>
      <c r="B700" s="232" t="s">
        <v>25152</v>
      </c>
      <c r="C700" s="509" t="s">
        <v>25153</v>
      </c>
      <c r="D700" s="510" t="s">
        <v>25154</v>
      </c>
      <c r="E700" s="511"/>
      <c r="F700" s="232" t="s">
        <v>25155</v>
      </c>
      <c r="G700" s="232" t="s">
        <v>2662</v>
      </c>
      <c r="H700" s="232">
        <v>7.639438994E9</v>
      </c>
      <c r="I700" s="509" t="s">
        <v>25156</v>
      </c>
      <c r="J700" s="232" t="b">
        <v>0</v>
      </c>
      <c r="K700" s="232" t="s">
        <v>22365</v>
      </c>
      <c r="L700" s="232" t="s">
        <v>22509</v>
      </c>
      <c r="M700" s="511"/>
      <c r="N700" s="232"/>
      <c r="O700" s="232"/>
      <c r="P700" s="312"/>
      <c r="Q700" s="312"/>
      <c r="R700" s="312"/>
      <c r="S700" s="312"/>
      <c r="T700" s="312"/>
      <c r="U700" s="312"/>
    </row>
    <row r="701">
      <c r="A701" s="508" t="s">
        <v>25107</v>
      </c>
      <c r="B701" s="232" t="s">
        <v>25157</v>
      </c>
      <c r="C701" s="509" t="s">
        <v>25158</v>
      </c>
      <c r="D701" s="510" t="s">
        <v>25159</v>
      </c>
      <c r="E701" s="511"/>
      <c r="F701" s="232" t="s">
        <v>25160</v>
      </c>
      <c r="G701" s="232" t="s">
        <v>2662</v>
      </c>
      <c r="H701" s="232">
        <v>7.844004433E9</v>
      </c>
      <c r="I701" s="509" t="s">
        <v>24649</v>
      </c>
      <c r="J701" s="232" t="b">
        <v>0</v>
      </c>
      <c r="K701" s="232" t="s">
        <v>22355</v>
      </c>
      <c r="L701" s="232"/>
      <c r="M701" s="511"/>
      <c r="N701" s="232"/>
      <c r="O701" s="232"/>
      <c r="P701" s="312"/>
      <c r="Q701" s="312"/>
      <c r="R701" s="312"/>
      <c r="S701" s="312"/>
      <c r="T701" s="312"/>
      <c r="U701" s="312"/>
    </row>
    <row r="702">
      <c r="A702" s="508" t="s">
        <v>25107</v>
      </c>
      <c r="B702" s="232" t="s">
        <v>25161</v>
      </c>
      <c r="C702" s="509" t="s">
        <v>25162</v>
      </c>
      <c r="D702" s="510" t="s">
        <v>25163</v>
      </c>
      <c r="E702" s="511"/>
      <c r="F702" s="232" t="s">
        <v>25164</v>
      </c>
      <c r="G702" s="232" t="s">
        <v>44</v>
      </c>
      <c r="H702" s="232">
        <v>9.830564041E9</v>
      </c>
      <c r="I702" s="509" t="s">
        <v>22373</v>
      </c>
      <c r="J702" s="232" t="b">
        <v>0</v>
      </c>
      <c r="K702" s="232" t="s">
        <v>334</v>
      </c>
      <c r="L702" s="232"/>
      <c r="M702" s="511"/>
      <c r="N702" s="232"/>
      <c r="O702" s="232"/>
      <c r="P702" s="312"/>
      <c r="Q702" s="312"/>
      <c r="R702" s="312"/>
      <c r="S702" s="312"/>
      <c r="T702" s="312"/>
      <c r="U702" s="312"/>
    </row>
    <row r="703">
      <c r="A703" s="513" t="s">
        <v>25165</v>
      </c>
      <c r="B703" s="514" t="s">
        <v>25166</v>
      </c>
      <c r="C703" s="515" t="s">
        <v>25167</v>
      </c>
      <c r="D703" s="516" t="s">
        <v>25168</v>
      </c>
      <c r="E703" s="517"/>
      <c r="F703" s="514"/>
      <c r="G703" s="514" t="s">
        <v>25169</v>
      </c>
      <c r="H703" s="514">
        <v>9.85170002E9</v>
      </c>
      <c r="I703" s="515" t="s">
        <v>22364</v>
      </c>
      <c r="J703" s="514" t="b">
        <v>0</v>
      </c>
      <c r="K703" s="514" t="s">
        <v>22312</v>
      </c>
      <c r="L703" s="518" t="s">
        <v>25170</v>
      </c>
      <c r="M703" s="511"/>
      <c r="N703" s="232"/>
      <c r="O703" s="232"/>
      <c r="P703" s="312"/>
      <c r="Q703" s="312"/>
      <c r="R703" s="312"/>
      <c r="S703" s="312"/>
      <c r="T703" s="312"/>
      <c r="U703" s="312"/>
    </row>
    <row r="704">
      <c r="A704" s="508" t="s">
        <v>25165</v>
      </c>
      <c r="B704" s="232" t="s">
        <v>25171</v>
      </c>
      <c r="C704" s="509" t="s">
        <v>24627</v>
      </c>
      <c r="D704" s="510"/>
      <c r="E704" s="511"/>
      <c r="F704" s="232" t="s">
        <v>24628</v>
      </c>
      <c r="G704" s="510" t="s">
        <v>24462</v>
      </c>
      <c r="H704" s="232">
        <v>9.8736453E9</v>
      </c>
      <c r="I704" s="509" t="s">
        <v>22373</v>
      </c>
      <c r="J704" s="232" t="b">
        <v>0</v>
      </c>
      <c r="K704" s="232" t="s">
        <v>22365</v>
      </c>
      <c r="L704" s="232" t="s">
        <v>25172</v>
      </c>
      <c r="M704" s="511"/>
      <c r="N704" s="232"/>
      <c r="O704" s="232"/>
      <c r="P704" s="312"/>
      <c r="Q704" s="312"/>
      <c r="R704" s="312"/>
      <c r="S704" s="312"/>
      <c r="T704" s="312"/>
      <c r="U704" s="312"/>
    </row>
    <row r="705">
      <c r="A705" s="508" t="s">
        <v>25165</v>
      </c>
      <c r="B705" s="232" t="s">
        <v>25173</v>
      </c>
      <c r="C705" s="509" t="s">
        <v>25174</v>
      </c>
      <c r="D705" s="510" t="s">
        <v>25175</v>
      </c>
      <c r="E705" s="511"/>
      <c r="F705" s="232" t="s">
        <v>25176</v>
      </c>
      <c r="G705" s="232" t="s">
        <v>22292</v>
      </c>
      <c r="H705" s="232">
        <v>7.020856822E9</v>
      </c>
      <c r="I705" s="509" t="s">
        <v>25177</v>
      </c>
      <c r="J705" s="232" t="b">
        <v>0</v>
      </c>
      <c r="K705" s="232" t="s">
        <v>22365</v>
      </c>
      <c r="L705" s="232" t="s">
        <v>23537</v>
      </c>
      <c r="M705" s="511"/>
      <c r="N705" s="232"/>
      <c r="O705" s="232"/>
      <c r="P705" s="312"/>
      <c r="Q705" s="312"/>
      <c r="R705" s="312"/>
      <c r="S705" s="312"/>
      <c r="T705" s="312"/>
      <c r="U705" s="312"/>
    </row>
    <row r="706">
      <c r="A706" s="508" t="s">
        <v>25165</v>
      </c>
      <c r="B706" s="232" t="s">
        <v>25178</v>
      </c>
      <c r="C706" s="509" t="s">
        <v>25179</v>
      </c>
      <c r="D706" s="510"/>
      <c r="E706" s="511"/>
      <c r="F706" s="232" t="s">
        <v>25180</v>
      </c>
      <c r="G706" s="232" t="s">
        <v>507</v>
      </c>
      <c r="H706" s="232">
        <v>9.098786762E9</v>
      </c>
      <c r="I706" s="509" t="s">
        <v>25181</v>
      </c>
      <c r="J706" s="232" t="b">
        <v>0</v>
      </c>
      <c r="K706" s="232" t="s">
        <v>22365</v>
      </c>
      <c r="L706" s="232" t="s">
        <v>24569</v>
      </c>
      <c r="M706" s="511"/>
      <c r="N706" s="232"/>
      <c r="O706" s="232"/>
      <c r="P706" s="312"/>
      <c r="Q706" s="312"/>
      <c r="R706" s="312"/>
      <c r="S706" s="312"/>
      <c r="T706" s="312"/>
      <c r="U706" s="312"/>
    </row>
    <row r="707">
      <c r="A707" s="508" t="s">
        <v>25165</v>
      </c>
      <c r="B707" s="232" t="s">
        <v>25182</v>
      </c>
      <c r="C707" s="509" t="s">
        <v>25183</v>
      </c>
      <c r="D707" s="510" t="s">
        <v>25184</v>
      </c>
      <c r="E707" s="511"/>
      <c r="F707" s="232" t="s">
        <v>25185</v>
      </c>
      <c r="G707" s="232" t="s">
        <v>22348</v>
      </c>
      <c r="H707" s="232">
        <v>9.560962968E9</v>
      </c>
      <c r="I707" s="509" t="s">
        <v>22577</v>
      </c>
      <c r="J707" s="232" t="b">
        <v>0</v>
      </c>
      <c r="K707" s="232" t="s">
        <v>22365</v>
      </c>
      <c r="L707" s="232" t="s">
        <v>24569</v>
      </c>
      <c r="M707" s="511"/>
      <c r="N707" s="232"/>
      <c r="O707" s="232"/>
      <c r="P707" s="312"/>
      <c r="Q707" s="312"/>
      <c r="R707" s="312"/>
      <c r="S707" s="312"/>
      <c r="T707" s="312"/>
      <c r="U707" s="312"/>
    </row>
    <row r="708">
      <c r="A708" s="508" t="s">
        <v>25165</v>
      </c>
      <c r="B708" s="232" t="s">
        <v>25186</v>
      </c>
      <c r="C708" s="509" t="s">
        <v>25099</v>
      </c>
      <c r="D708" s="510" t="s">
        <v>25100</v>
      </c>
      <c r="E708" s="511"/>
      <c r="F708" s="232" t="s">
        <v>25101</v>
      </c>
      <c r="G708" s="232" t="s">
        <v>22292</v>
      </c>
      <c r="H708" s="232">
        <v>9.404350962E9</v>
      </c>
      <c r="I708" s="509" t="s">
        <v>22860</v>
      </c>
      <c r="J708" s="232" t="b">
        <v>0</v>
      </c>
      <c r="K708" s="232" t="s">
        <v>22349</v>
      </c>
      <c r="L708" s="232" t="s">
        <v>22398</v>
      </c>
      <c r="M708" s="511"/>
      <c r="N708" s="232"/>
      <c r="O708" s="232"/>
      <c r="P708" s="312"/>
      <c r="Q708" s="312"/>
      <c r="R708" s="312"/>
      <c r="S708" s="312"/>
      <c r="T708" s="312"/>
      <c r="U708" s="312"/>
    </row>
    <row r="709">
      <c r="A709" s="508" t="s">
        <v>25165</v>
      </c>
      <c r="B709" s="232" t="s">
        <v>25187</v>
      </c>
      <c r="C709" s="509" t="s">
        <v>25188</v>
      </c>
      <c r="D709" s="510"/>
      <c r="E709" s="511"/>
      <c r="F709" s="232" t="s">
        <v>25189</v>
      </c>
      <c r="G709" s="232" t="s">
        <v>44</v>
      </c>
      <c r="H709" s="232">
        <v>8.240139668E9</v>
      </c>
      <c r="I709" s="509" t="s">
        <v>25190</v>
      </c>
      <c r="J709" s="232" t="b">
        <v>0</v>
      </c>
      <c r="K709" s="232" t="s">
        <v>22365</v>
      </c>
      <c r="L709" s="232" t="s">
        <v>23537</v>
      </c>
      <c r="M709" s="511"/>
      <c r="N709" s="232"/>
      <c r="O709" s="232"/>
      <c r="P709" s="312"/>
      <c r="Q709" s="312"/>
      <c r="R709" s="312"/>
      <c r="S709" s="312"/>
      <c r="T709" s="312"/>
      <c r="U709" s="312"/>
    </row>
    <row r="710">
      <c r="A710" s="508" t="s">
        <v>25165</v>
      </c>
      <c r="B710" s="232" t="s">
        <v>25191</v>
      </c>
      <c r="C710" s="509" t="s">
        <v>25192</v>
      </c>
      <c r="D710" s="510" t="s">
        <v>25193</v>
      </c>
      <c r="E710" s="511"/>
      <c r="F710" s="232" t="s">
        <v>25194</v>
      </c>
      <c r="G710" s="232" t="s">
        <v>4271</v>
      </c>
      <c r="H710" s="232">
        <v>7.384339086E9</v>
      </c>
      <c r="I710" s="509" t="s">
        <v>22278</v>
      </c>
      <c r="J710" s="232" t="b">
        <v>0</v>
      </c>
      <c r="K710" s="232" t="s">
        <v>12092</v>
      </c>
      <c r="L710" s="232"/>
      <c r="M710" s="511"/>
      <c r="N710" s="232"/>
      <c r="O710" s="232"/>
      <c r="P710" s="312"/>
      <c r="Q710" s="312"/>
      <c r="R710" s="312"/>
      <c r="S710" s="312"/>
      <c r="T710" s="312"/>
      <c r="U710" s="312"/>
    </row>
    <row r="711">
      <c r="A711" s="508" t="s">
        <v>25165</v>
      </c>
      <c r="B711" s="232" t="s">
        <v>25195</v>
      </c>
      <c r="C711" s="509" t="s">
        <v>25196</v>
      </c>
      <c r="D711" s="510"/>
      <c r="E711" s="511"/>
      <c r="F711" s="232" t="s">
        <v>25197</v>
      </c>
      <c r="G711" s="232" t="s">
        <v>590</v>
      </c>
      <c r="H711" s="232">
        <v>7.872277821E9</v>
      </c>
      <c r="I711" s="528" t="s">
        <v>22961</v>
      </c>
      <c r="J711" s="232" t="b">
        <v>0</v>
      </c>
      <c r="K711" s="232" t="s">
        <v>22365</v>
      </c>
      <c r="L711" s="526" t="s">
        <v>22611</v>
      </c>
      <c r="M711" s="511"/>
      <c r="N711" s="232"/>
      <c r="O711" s="232"/>
      <c r="P711" s="312"/>
      <c r="Q711" s="312"/>
      <c r="R711" s="312"/>
      <c r="S711" s="312"/>
      <c r="T711" s="312"/>
      <c r="U711" s="312"/>
    </row>
    <row r="712">
      <c r="A712" s="508" t="s">
        <v>25165</v>
      </c>
      <c r="B712" s="232" t="s">
        <v>25198</v>
      </c>
      <c r="C712" s="509" t="s">
        <v>25199</v>
      </c>
      <c r="D712" s="510" t="s">
        <v>25200</v>
      </c>
      <c r="E712" s="511"/>
      <c r="F712" s="232" t="s">
        <v>25201</v>
      </c>
      <c r="G712" s="232" t="s">
        <v>22479</v>
      </c>
      <c r="H712" s="232">
        <v>9.457423783E9</v>
      </c>
      <c r="I712" s="509" t="s">
        <v>25202</v>
      </c>
      <c r="J712" s="232" t="b">
        <v>0</v>
      </c>
      <c r="K712" s="232" t="s">
        <v>22349</v>
      </c>
      <c r="L712" s="232" t="s">
        <v>25203</v>
      </c>
      <c r="M712" s="511"/>
      <c r="N712" s="232"/>
      <c r="O712" s="232"/>
      <c r="P712" s="312"/>
      <c r="Q712" s="312"/>
      <c r="R712" s="312"/>
      <c r="S712" s="312"/>
      <c r="T712" s="312"/>
      <c r="U712" s="312"/>
    </row>
    <row r="713">
      <c r="A713" s="513" t="s">
        <v>25165</v>
      </c>
      <c r="B713" s="514" t="s">
        <v>25204</v>
      </c>
      <c r="C713" s="515" t="s">
        <v>25205</v>
      </c>
      <c r="D713" s="516"/>
      <c r="E713" s="517"/>
      <c r="F713" s="514" t="s">
        <v>25206</v>
      </c>
      <c r="G713" s="514" t="s">
        <v>23642</v>
      </c>
      <c r="H713" s="514">
        <v>8.102231779E9</v>
      </c>
      <c r="I713" s="515" t="s">
        <v>25207</v>
      </c>
      <c r="J713" s="514" t="b">
        <v>0</v>
      </c>
      <c r="K713" s="514" t="s">
        <v>22312</v>
      </c>
      <c r="L713" s="514" t="s">
        <v>25208</v>
      </c>
      <c r="M713" s="511"/>
      <c r="N713" s="232"/>
      <c r="O713" s="232"/>
      <c r="P713" s="312"/>
      <c r="Q713" s="312"/>
      <c r="R713" s="312"/>
      <c r="S713" s="312"/>
      <c r="T713" s="312"/>
      <c r="U713" s="312"/>
    </row>
    <row r="714">
      <c r="A714" s="508" t="s">
        <v>25209</v>
      </c>
      <c r="B714" s="232" t="s">
        <v>25210</v>
      </c>
      <c r="C714" s="509" t="s">
        <v>25211</v>
      </c>
      <c r="D714" s="510"/>
      <c r="E714" s="511"/>
      <c r="F714" s="232" t="s">
        <v>25212</v>
      </c>
      <c r="G714" s="232" t="s">
        <v>99</v>
      </c>
      <c r="H714" s="232">
        <v>9.437228025E9</v>
      </c>
      <c r="I714" s="509" t="s">
        <v>22289</v>
      </c>
      <c r="J714" s="232" t="b">
        <v>0</v>
      </c>
      <c r="K714" s="232" t="s">
        <v>12092</v>
      </c>
      <c r="L714" s="232"/>
      <c r="M714" s="511"/>
      <c r="N714" s="232"/>
      <c r="O714" s="232"/>
      <c r="P714" s="312"/>
      <c r="Q714" s="312"/>
      <c r="R714" s="312"/>
      <c r="S714" s="312"/>
      <c r="T714" s="312"/>
      <c r="U714" s="312"/>
    </row>
    <row r="715">
      <c r="A715" s="508" t="s">
        <v>25209</v>
      </c>
      <c r="B715" s="232" t="s">
        <v>25213</v>
      </c>
      <c r="C715" s="509" t="s">
        <v>25214</v>
      </c>
      <c r="D715" s="510"/>
      <c r="E715" s="511"/>
      <c r="F715" s="232" t="s">
        <v>25215</v>
      </c>
      <c r="G715" s="232" t="s">
        <v>22421</v>
      </c>
      <c r="H715" s="232">
        <v>8.890848538E9</v>
      </c>
      <c r="I715" s="509" t="s">
        <v>22354</v>
      </c>
      <c r="J715" s="232" t="b">
        <v>0</v>
      </c>
      <c r="K715" s="232" t="s">
        <v>22365</v>
      </c>
      <c r="L715" s="232"/>
      <c r="M715" s="511"/>
      <c r="N715" s="232"/>
      <c r="O715" s="232"/>
      <c r="P715" s="312"/>
      <c r="Q715" s="312"/>
      <c r="R715" s="312"/>
      <c r="S715" s="312"/>
      <c r="T715" s="312"/>
      <c r="U715" s="312"/>
    </row>
    <row r="716">
      <c r="A716" s="508" t="s">
        <v>25209</v>
      </c>
      <c r="B716" s="232" t="s">
        <v>25216</v>
      </c>
      <c r="C716" s="509" t="s">
        <v>25217</v>
      </c>
      <c r="D716" s="510"/>
      <c r="E716" s="511"/>
      <c r="F716" s="232" t="s">
        <v>25218</v>
      </c>
      <c r="G716" s="232" t="s">
        <v>184</v>
      </c>
      <c r="H716" s="232">
        <v>8.48795268E9</v>
      </c>
      <c r="I716" s="509" t="s">
        <v>25219</v>
      </c>
      <c r="J716" s="232" t="b">
        <v>0</v>
      </c>
      <c r="K716" s="232" t="s">
        <v>12092</v>
      </c>
      <c r="L716" s="232"/>
      <c r="M716" s="511"/>
      <c r="N716" s="232"/>
      <c r="O716" s="232"/>
      <c r="P716" s="312"/>
      <c r="Q716" s="312"/>
      <c r="R716" s="312"/>
      <c r="S716" s="312"/>
      <c r="T716" s="312"/>
      <c r="U716" s="312"/>
    </row>
    <row r="717">
      <c r="A717" s="508" t="s">
        <v>25209</v>
      </c>
      <c r="B717" s="232" t="s">
        <v>25220</v>
      </c>
      <c r="C717" s="509" t="s">
        <v>25221</v>
      </c>
      <c r="D717" s="510"/>
      <c r="E717" s="511"/>
      <c r="F717" s="232"/>
      <c r="G717" s="232" t="s">
        <v>44</v>
      </c>
      <c r="H717" s="232">
        <v>7.685927374E9</v>
      </c>
      <c r="I717" s="528" t="s">
        <v>22794</v>
      </c>
      <c r="J717" s="232" t="b">
        <v>0</v>
      </c>
      <c r="K717" s="232" t="s">
        <v>22365</v>
      </c>
      <c r="L717" s="232"/>
      <c r="M717" s="511"/>
      <c r="N717" s="232"/>
      <c r="O717" s="232"/>
      <c r="P717" s="312"/>
      <c r="Q717" s="312"/>
      <c r="R717" s="312"/>
      <c r="S717" s="312"/>
      <c r="T717" s="312"/>
      <c r="U717" s="312"/>
    </row>
    <row r="718">
      <c r="A718" s="508" t="s">
        <v>25209</v>
      </c>
      <c r="B718" s="232" t="s">
        <v>25222</v>
      </c>
      <c r="C718" s="509" t="s">
        <v>3400</v>
      </c>
      <c r="D718" s="510" t="s">
        <v>25223</v>
      </c>
      <c r="E718" s="511"/>
      <c r="F718" s="232"/>
      <c r="G718" s="232" t="s">
        <v>184</v>
      </c>
      <c r="H718" s="232">
        <v>8.986619001E9</v>
      </c>
      <c r="I718" s="509" t="s">
        <v>25224</v>
      </c>
      <c r="J718" s="232" t="b">
        <v>0</v>
      </c>
      <c r="K718" s="232"/>
      <c r="L718" s="232"/>
      <c r="M718" s="511"/>
      <c r="N718" s="232"/>
      <c r="O718" s="232"/>
      <c r="P718" s="312"/>
      <c r="Q718" s="312"/>
      <c r="R718" s="312"/>
      <c r="S718" s="312"/>
      <c r="T718" s="312"/>
      <c r="U718" s="312"/>
    </row>
    <row r="719">
      <c r="A719" s="508" t="s">
        <v>25209</v>
      </c>
      <c r="B719" s="232" t="s">
        <v>25225</v>
      </c>
      <c r="C719" s="509" t="s">
        <v>474</v>
      </c>
      <c r="D719" s="510" t="s">
        <v>25226</v>
      </c>
      <c r="E719" s="511"/>
      <c r="F719" s="232"/>
      <c r="G719" s="232" t="s">
        <v>22359</v>
      </c>
      <c r="H719" s="232">
        <v>7.987090653E9</v>
      </c>
      <c r="I719" s="509" t="s">
        <v>25227</v>
      </c>
      <c r="J719" s="232" t="b">
        <v>0</v>
      </c>
      <c r="K719" s="232" t="s">
        <v>22355</v>
      </c>
      <c r="L719" s="232"/>
      <c r="M719" s="511"/>
      <c r="N719" s="232"/>
      <c r="O719" s="232"/>
      <c r="P719" s="312"/>
      <c r="Q719" s="312"/>
      <c r="R719" s="312"/>
      <c r="S719" s="312"/>
      <c r="T719" s="312"/>
      <c r="U719" s="312"/>
    </row>
    <row r="720">
      <c r="A720" s="508" t="s">
        <v>25209</v>
      </c>
      <c r="B720" s="232" t="s">
        <v>25228</v>
      </c>
      <c r="C720" s="509" t="s">
        <v>25229</v>
      </c>
      <c r="D720" s="510"/>
      <c r="E720" s="511"/>
      <c r="F720" s="425" t="s">
        <v>25230</v>
      </c>
      <c r="G720" s="232" t="s">
        <v>99</v>
      </c>
      <c r="H720" s="232">
        <v>9.776583848E9</v>
      </c>
      <c r="I720" s="509" t="s">
        <v>25231</v>
      </c>
      <c r="J720" s="232" t="b">
        <v>0</v>
      </c>
      <c r="K720" s="232" t="s">
        <v>22365</v>
      </c>
      <c r="L720" s="232"/>
      <c r="M720" s="511"/>
      <c r="N720" s="232"/>
      <c r="O720" s="232"/>
      <c r="P720" s="312"/>
      <c r="Q720" s="312"/>
      <c r="R720" s="312"/>
      <c r="S720" s="312"/>
      <c r="T720" s="312"/>
      <c r="U720" s="312"/>
    </row>
    <row r="721">
      <c r="A721" s="508" t="s">
        <v>25232</v>
      </c>
      <c r="B721" s="232" t="s">
        <v>25228</v>
      </c>
      <c r="C721" s="509" t="s">
        <v>25233</v>
      </c>
      <c r="D721" s="510"/>
      <c r="E721" s="511"/>
      <c r="F721" s="232"/>
      <c r="G721" s="232" t="s">
        <v>22479</v>
      </c>
      <c r="H721" s="232">
        <v>9.795433694E9</v>
      </c>
      <c r="I721" s="509" t="s">
        <v>22278</v>
      </c>
      <c r="J721" s="232" t="b">
        <v>0</v>
      </c>
      <c r="K721" s="232" t="s">
        <v>22365</v>
      </c>
      <c r="L721" s="232" t="s">
        <v>25234</v>
      </c>
      <c r="M721" s="511"/>
      <c r="N721" s="232"/>
      <c r="O721" s="232"/>
      <c r="P721" s="312"/>
      <c r="Q721" s="312"/>
      <c r="R721" s="312"/>
      <c r="S721" s="312"/>
      <c r="T721" s="312"/>
      <c r="U721" s="312"/>
    </row>
    <row r="722">
      <c r="A722" s="513" t="s">
        <v>25232</v>
      </c>
      <c r="B722" s="514" t="s">
        <v>25235</v>
      </c>
      <c r="C722" s="515" t="s">
        <v>25236</v>
      </c>
      <c r="D722" s="516" t="s">
        <v>25237</v>
      </c>
      <c r="E722" s="517"/>
      <c r="F722" s="514" t="s">
        <v>25238</v>
      </c>
      <c r="G722" s="514" t="s">
        <v>23303</v>
      </c>
      <c r="H722" s="514">
        <v>9.106671816E9</v>
      </c>
      <c r="I722" s="515" t="s">
        <v>25239</v>
      </c>
      <c r="J722" s="514" t="b">
        <v>0</v>
      </c>
      <c r="K722" s="514" t="s">
        <v>22312</v>
      </c>
      <c r="L722" s="514" t="s">
        <v>25240</v>
      </c>
      <c r="M722" s="511"/>
      <c r="N722" s="232"/>
      <c r="O722" s="232"/>
      <c r="P722" s="312"/>
      <c r="Q722" s="312"/>
      <c r="R722" s="312"/>
      <c r="S722" s="312"/>
      <c r="T722" s="312"/>
      <c r="U722" s="312"/>
    </row>
    <row r="723">
      <c r="A723" s="508" t="s">
        <v>25232</v>
      </c>
      <c r="B723" s="232" t="s">
        <v>25241</v>
      </c>
      <c r="C723" s="509" t="s">
        <v>25242</v>
      </c>
      <c r="D723" s="510" t="s">
        <v>25243</v>
      </c>
      <c r="E723" s="511"/>
      <c r="F723" s="232" t="s">
        <v>25244</v>
      </c>
      <c r="G723" s="232" t="s">
        <v>22479</v>
      </c>
      <c r="H723" s="232">
        <v>9.643805316E9</v>
      </c>
      <c r="I723" s="509" t="s">
        <v>25245</v>
      </c>
      <c r="J723" s="232" t="b">
        <v>0</v>
      </c>
      <c r="K723" s="232" t="s">
        <v>22349</v>
      </c>
      <c r="L723" s="232" t="s">
        <v>25246</v>
      </c>
      <c r="M723" s="511"/>
      <c r="N723" s="232"/>
      <c r="O723" s="232"/>
      <c r="P723" s="312"/>
      <c r="Q723" s="312"/>
      <c r="R723" s="312"/>
      <c r="S723" s="312"/>
      <c r="T723" s="312"/>
      <c r="U723" s="312"/>
    </row>
    <row r="724">
      <c r="A724" s="508" t="s">
        <v>25232</v>
      </c>
      <c r="B724" s="232" t="s">
        <v>25247</v>
      </c>
      <c r="C724" s="509" t="s">
        <v>25248</v>
      </c>
      <c r="D724" s="510"/>
      <c r="E724" s="511"/>
      <c r="F724" s="232"/>
      <c r="G724" s="232" t="s">
        <v>1414</v>
      </c>
      <c r="H724" s="232">
        <v>8.972059223E9</v>
      </c>
      <c r="I724" s="509" t="s">
        <v>22373</v>
      </c>
      <c r="J724" s="232" t="b">
        <v>0</v>
      </c>
      <c r="K724" s="232" t="s">
        <v>22365</v>
      </c>
      <c r="L724" s="232"/>
      <c r="M724" s="511"/>
      <c r="N724" s="232"/>
      <c r="O724" s="232"/>
      <c r="P724" s="312"/>
      <c r="Q724" s="312"/>
      <c r="R724" s="312"/>
      <c r="S724" s="312"/>
      <c r="T724" s="312"/>
      <c r="U724" s="312"/>
    </row>
    <row r="725">
      <c r="A725" s="508" t="s">
        <v>25232</v>
      </c>
      <c r="B725" s="232" t="s">
        <v>25249</v>
      </c>
      <c r="C725" s="509" t="s">
        <v>19548</v>
      </c>
      <c r="D725" s="510"/>
      <c r="E725" s="511"/>
      <c r="F725" s="232"/>
      <c r="G725" s="232" t="s">
        <v>184</v>
      </c>
      <c r="H725" s="232">
        <v>7.07064136E9</v>
      </c>
      <c r="I725" s="509" t="s">
        <v>22289</v>
      </c>
      <c r="J725" s="232" t="b">
        <v>0</v>
      </c>
      <c r="K725" s="232" t="s">
        <v>22365</v>
      </c>
      <c r="L725" s="232"/>
      <c r="M725" s="511"/>
      <c r="N725" s="232"/>
      <c r="O725" s="232"/>
      <c r="P725" s="312"/>
      <c r="Q725" s="312"/>
      <c r="R725" s="312"/>
      <c r="S725" s="312"/>
      <c r="T725" s="312"/>
      <c r="U725" s="312"/>
    </row>
    <row r="726">
      <c r="A726" s="508" t="s">
        <v>25232</v>
      </c>
      <c r="B726" s="232" t="s">
        <v>25250</v>
      </c>
      <c r="C726" s="509" t="s">
        <v>25251</v>
      </c>
      <c r="D726" s="510" t="s">
        <v>25252</v>
      </c>
      <c r="E726" s="511"/>
      <c r="F726" s="232" t="s">
        <v>25253</v>
      </c>
      <c r="G726" s="232" t="s">
        <v>25254</v>
      </c>
      <c r="H726" s="232">
        <v>7.490003663E9</v>
      </c>
      <c r="I726" s="509" t="s">
        <v>22289</v>
      </c>
      <c r="J726" s="232" t="b">
        <v>0</v>
      </c>
      <c r="K726" s="232" t="s">
        <v>22365</v>
      </c>
      <c r="L726" s="232" t="s">
        <v>22514</v>
      </c>
      <c r="M726" s="511"/>
      <c r="N726" s="232"/>
      <c r="O726" s="232"/>
      <c r="P726" s="312"/>
      <c r="Q726" s="312"/>
      <c r="R726" s="312"/>
      <c r="S726" s="312"/>
      <c r="T726" s="312"/>
      <c r="U726" s="312"/>
    </row>
    <row r="727">
      <c r="A727" s="508" t="s">
        <v>25232</v>
      </c>
      <c r="B727" s="232" t="s">
        <v>25255</v>
      </c>
      <c r="C727" s="509" t="s">
        <v>25256</v>
      </c>
      <c r="D727" s="510"/>
      <c r="E727" s="511"/>
      <c r="F727" s="232" t="s">
        <v>25257</v>
      </c>
      <c r="G727" s="232" t="s">
        <v>22630</v>
      </c>
      <c r="H727" s="232">
        <v>8.469532697E9</v>
      </c>
      <c r="I727" s="509" t="s">
        <v>22373</v>
      </c>
      <c r="J727" s="232" t="b">
        <v>0</v>
      </c>
      <c r="K727" s="232"/>
      <c r="L727" s="232"/>
      <c r="M727" s="511"/>
      <c r="N727" s="232"/>
      <c r="O727" s="232"/>
      <c r="P727" s="312"/>
      <c r="Q727" s="312"/>
      <c r="R727" s="312"/>
      <c r="S727" s="312"/>
      <c r="T727" s="312"/>
      <c r="U727" s="312"/>
    </row>
    <row r="728">
      <c r="A728" s="508" t="s">
        <v>25232</v>
      </c>
      <c r="B728" s="232" t="s">
        <v>25258</v>
      </c>
      <c r="C728" s="509" t="s">
        <v>25259</v>
      </c>
      <c r="D728" s="510" t="s">
        <v>25260</v>
      </c>
      <c r="E728" s="511"/>
      <c r="F728" s="232"/>
      <c r="G728" s="232" t="s">
        <v>25261</v>
      </c>
      <c r="H728" s="232">
        <v>9.899040444E9</v>
      </c>
      <c r="I728" s="509" t="s">
        <v>22860</v>
      </c>
      <c r="J728" s="232" t="b">
        <v>0</v>
      </c>
      <c r="K728" s="232" t="s">
        <v>22365</v>
      </c>
      <c r="L728" s="232" t="s">
        <v>22366</v>
      </c>
      <c r="M728" s="511"/>
      <c r="N728" s="232"/>
      <c r="O728" s="232"/>
      <c r="P728" s="312"/>
      <c r="Q728" s="312"/>
      <c r="R728" s="312"/>
      <c r="S728" s="312"/>
      <c r="T728" s="312"/>
      <c r="U728" s="312"/>
    </row>
    <row r="729">
      <c r="A729" s="508" t="s">
        <v>25232</v>
      </c>
      <c r="B729" s="232" t="s">
        <v>25262</v>
      </c>
      <c r="C729" s="509" t="s">
        <v>25263</v>
      </c>
      <c r="D729" s="510" t="s">
        <v>25264</v>
      </c>
      <c r="E729" s="511"/>
      <c r="F729" s="232" t="s">
        <v>25265</v>
      </c>
      <c r="G729" s="232" t="s">
        <v>2662</v>
      </c>
      <c r="H729" s="232">
        <v>9.789603006E9</v>
      </c>
      <c r="I729" s="529" t="s">
        <v>23761</v>
      </c>
      <c r="J729" s="232" t="b">
        <v>0</v>
      </c>
      <c r="K729" s="232" t="s">
        <v>22365</v>
      </c>
      <c r="L729" s="232"/>
      <c r="M729" s="511"/>
      <c r="N729" s="232"/>
      <c r="O729" s="232"/>
      <c r="P729" s="312"/>
      <c r="Q729" s="312"/>
      <c r="R729" s="312"/>
      <c r="S729" s="312"/>
      <c r="T729" s="312"/>
      <c r="U729" s="312"/>
    </row>
    <row r="730">
      <c r="A730" s="508" t="s">
        <v>25232</v>
      </c>
      <c r="B730" s="232" t="s">
        <v>25266</v>
      </c>
      <c r="C730" s="509" t="s">
        <v>25267</v>
      </c>
      <c r="D730" s="510" t="s">
        <v>25268</v>
      </c>
      <c r="E730" s="511"/>
      <c r="F730" s="232"/>
      <c r="G730" s="232" t="s">
        <v>7995</v>
      </c>
      <c r="H730" s="232">
        <v>9.734566777E9</v>
      </c>
      <c r="I730" s="529" t="s">
        <v>25269</v>
      </c>
      <c r="J730" s="232" t="b">
        <v>0</v>
      </c>
      <c r="K730" s="232" t="s">
        <v>22365</v>
      </c>
      <c r="L730" s="232" t="s">
        <v>25270</v>
      </c>
      <c r="M730" s="511"/>
      <c r="N730" s="232"/>
      <c r="O730" s="232"/>
      <c r="P730" s="312"/>
      <c r="Q730" s="312"/>
      <c r="R730" s="312"/>
      <c r="S730" s="312"/>
      <c r="T730" s="312"/>
      <c r="U730" s="312"/>
    </row>
    <row r="731">
      <c r="A731" s="508" t="s">
        <v>25232</v>
      </c>
      <c r="B731" s="232" t="s">
        <v>25271</v>
      </c>
      <c r="C731" s="509" t="s">
        <v>25272</v>
      </c>
      <c r="D731" s="510"/>
      <c r="E731" s="511"/>
      <c r="F731" s="232"/>
      <c r="G731" s="232" t="s">
        <v>22421</v>
      </c>
      <c r="H731" s="232">
        <v>8.956796655E9</v>
      </c>
      <c r="I731" s="509" t="s">
        <v>22373</v>
      </c>
      <c r="J731" s="232" t="b">
        <v>0</v>
      </c>
      <c r="K731" s="232" t="s">
        <v>22355</v>
      </c>
      <c r="L731" s="232"/>
      <c r="M731" s="511"/>
      <c r="N731" s="232"/>
      <c r="O731" s="232"/>
      <c r="P731" s="312"/>
      <c r="Q731" s="312"/>
      <c r="R731" s="312"/>
      <c r="S731" s="312"/>
      <c r="T731" s="312"/>
      <c r="U731" s="312"/>
    </row>
    <row r="732">
      <c r="A732" s="508" t="s">
        <v>25232</v>
      </c>
      <c r="B732" s="232" t="s">
        <v>25273</v>
      </c>
      <c r="C732" s="509" t="s">
        <v>25274</v>
      </c>
      <c r="D732" s="510" t="s">
        <v>25275</v>
      </c>
      <c r="E732" s="511"/>
      <c r="F732" s="232" t="s">
        <v>25276</v>
      </c>
      <c r="G732" s="232" t="s">
        <v>158</v>
      </c>
      <c r="H732" s="232">
        <v>8.597558099E9</v>
      </c>
      <c r="I732" s="509" t="s">
        <v>24274</v>
      </c>
      <c r="J732" s="232" t="b">
        <v>0</v>
      </c>
      <c r="K732" s="232" t="s">
        <v>22365</v>
      </c>
      <c r="L732" s="232" t="s">
        <v>22422</v>
      </c>
      <c r="M732" s="511"/>
      <c r="N732" s="232"/>
      <c r="O732" s="232"/>
      <c r="P732" s="312"/>
      <c r="Q732" s="312"/>
      <c r="R732" s="312"/>
      <c r="S732" s="312"/>
      <c r="T732" s="312"/>
      <c r="U732" s="312"/>
    </row>
    <row r="733">
      <c r="A733" s="508" t="s">
        <v>25232</v>
      </c>
      <c r="B733" s="232" t="s">
        <v>25277</v>
      </c>
      <c r="C733" s="509" t="s">
        <v>25278</v>
      </c>
      <c r="D733" s="510"/>
      <c r="E733" s="511"/>
      <c r="F733" s="232" t="s">
        <v>25279</v>
      </c>
      <c r="G733" s="232" t="s">
        <v>22742</v>
      </c>
      <c r="H733" s="232">
        <v>7.89907948E9</v>
      </c>
      <c r="I733" s="509" t="s">
        <v>25280</v>
      </c>
      <c r="J733" s="232" t="b">
        <v>0</v>
      </c>
      <c r="K733" s="232"/>
      <c r="L733" s="232"/>
      <c r="M733" s="511"/>
      <c r="N733" s="232"/>
      <c r="O733" s="232"/>
      <c r="P733" s="312"/>
      <c r="Q733" s="312"/>
      <c r="R733" s="312"/>
      <c r="S733" s="312"/>
      <c r="T733" s="312"/>
      <c r="U733" s="312"/>
    </row>
    <row r="734">
      <c r="A734" s="508" t="s">
        <v>25232</v>
      </c>
      <c r="B734" s="232" t="s">
        <v>25281</v>
      </c>
      <c r="C734" s="509" t="s">
        <v>25282</v>
      </c>
      <c r="D734" s="510"/>
      <c r="E734" s="511"/>
      <c r="F734" s="232"/>
      <c r="G734" s="232" t="s">
        <v>25283</v>
      </c>
      <c r="H734" s="232">
        <v>7.003225306E9</v>
      </c>
      <c r="I734" s="509" t="s">
        <v>25284</v>
      </c>
      <c r="J734" s="232" t="b">
        <v>0</v>
      </c>
      <c r="K734" s="232" t="s">
        <v>22365</v>
      </c>
      <c r="L734" s="232" t="s">
        <v>22554</v>
      </c>
      <c r="M734" s="511"/>
      <c r="N734" s="232"/>
      <c r="O734" s="232"/>
      <c r="P734" s="312"/>
      <c r="Q734" s="312"/>
      <c r="R734" s="312"/>
      <c r="S734" s="312"/>
      <c r="T734" s="312"/>
      <c r="U734" s="312"/>
    </row>
    <row r="735">
      <c r="A735" s="508" t="s">
        <v>25232</v>
      </c>
      <c r="B735" s="232" t="s">
        <v>25285</v>
      </c>
      <c r="C735" s="509" t="s">
        <v>25286</v>
      </c>
      <c r="D735" s="510" t="s">
        <v>25287</v>
      </c>
      <c r="E735" s="511"/>
      <c r="F735" s="232" t="s">
        <v>25288</v>
      </c>
      <c r="G735" s="232" t="s">
        <v>12709</v>
      </c>
      <c r="H735" s="232">
        <v>8.238050526E9</v>
      </c>
      <c r="I735" s="509" t="s">
        <v>24789</v>
      </c>
      <c r="J735" s="232" t="b">
        <v>0</v>
      </c>
      <c r="K735" s="232" t="s">
        <v>22365</v>
      </c>
      <c r="L735" s="232" t="s">
        <v>25289</v>
      </c>
      <c r="M735" s="511"/>
      <c r="N735" s="232"/>
      <c r="O735" s="232"/>
      <c r="P735" s="312"/>
      <c r="Q735" s="312"/>
      <c r="R735" s="312"/>
      <c r="S735" s="312"/>
      <c r="T735" s="312"/>
      <c r="U735" s="312"/>
    </row>
    <row r="736">
      <c r="A736" s="508" t="s">
        <v>25232</v>
      </c>
      <c r="B736" s="232" t="s">
        <v>25290</v>
      </c>
      <c r="C736" s="509" t="s">
        <v>17111</v>
      </c>
      <c r="D736" s="510" t="s">
        <v>25291</v>
      </c>
      <c r="E736" s="511"/>
      <c r="F736" s="232" t="s">
        <v>25292</v>
      </c>
      <c r="G736" s="232" t="s">
        <v>22932</v>
      </c>
      <c r="H736" s="232">
        <v>9.832223512E9</v>
      </c>
      <c r="I736" s="509" t="s">
        <v>25293</v>
      </c>
      <c r="J736" s="232" t="b">
        <v>0</v>
      </c>
      <c r="K736" s="232" t="s">
        <v>22365</v>
      </c>
      <c r="L736" s="232" t="s">
        <v>25294</v>
      </c>
      <c r="M736" s="511"/>
      <c r="N736" s="232"/>
      <c r="O736" s="232"/>
      <c r="P736" s="312"/>
      <c r="Q736" s="312"/>
      <c r="R736" s="312"/>
      <c r="S736" s="312"/>
      <c r="T736" s="312"/>
      <c r="U736" s="312"/>
    </row>
    <row r="737">
      <c r="A737" s="508" t="s">
        <v>25232</v>
      </c>
      <c r="B737" s="232" t="s">
        <v>25295</v>
      </c>
      <c r="C737" s="509" t="s">
        <v>25296</v>
      </c>
      <c r="D737" s="510"/>
      <c r="E737" s="511"/>
      <c r="F737" s="232" t="s">
        <v>25297</v>
      </c>
      <c r="G737" s="232" t="s">
        <v>22429</v>
      </c>
      <c r="H737" s="232">
        <v>9.831615097E9</v>
      </c>
      <c r="I737" s="509" t="s">
        <v>22727</v>
      </c>
      <c r="J737" s="232" t="b">
        <v>0</v>
      </c>
      <c r="K737" s="232" t="s">
        <v>22355</v>
      </c>
      <c r="L737" s="232"/>
      <c r="M737" s="511"/>
      <c r="N737" s="232"/>
      <c r="O737" s="232"/>
      <c r="P737" s="312"/>
      <c r="Q737" s="312"/>
      <c r="R737" s="312"/>
      <c r="S737" s="312"/>
      <c r="T737" s="312"/>
      <c r="U737" s="312"/>
    </row>
    <row r="738">
      <c r="A738" s="508" t="s">
        <v>25232</v>
      </c>
      <c r="B738" s="232" t="s">
        <v>25298</v>
      </c>
      <c r="C738" s="509" t="s">
        <v>25299</v>
      </c>
      <c r="D738" s="510"/>
      <c r="E738" s="511"/>
      <c r="F738" s="232" t="s">
        <v>25300</v>
      </c>
      <c r="G738" s="232" t="s">
        <v>44</v>
      </c>
      <c r="H738" s="232">
        <v>8.585013927E9</v>
      </c>
      <c r="I738" s="509" t="s">
        <v>25301</v>
      </c>
      <c r="J738" s="232" t="b">
        <v>0</v>
      </c>
      <c r="K738" s="232" t="s">
        <v>22365</v>
      </c>
      <c r="L738" s="232" t="s">
        <v>22509</v>
      </c>
      <c r="M738" s="511"/>
      <c r="N738" s="232"/>
      <c r="O738" s="232"/>
      <c r="P738" s="312"/>
      <c r="Q738" s="312"/>
      <c r="R738" s="312"/>
      <c r="S738" s="312"/>
      <c r="T738" s="312"/>
      <c r="U738" s="312"/>
    </row>
    <row r="739">
      <c r="A739" s="508" t="s">
        <v>25232</v>
      </c>
      <c r="B739" s="232" t="s">
        <v>25302</v>
      </c>
      <c r="C739" s="509" t="s">
        <v>25303</v>
      </c>
      <c r="D739" s="510"/>
      <c r="E739" s="511"/>
      <c r="F739" s="232"/>
      <c r="G739" s="232" t="s">
        <v>268</v>
      </c>
      <c r="H739" s="232">
        <v>9.046731514E9</v>
      </c>
      <c r="I739" s="509" t="s">
        <v>25304</v>
      </c>
      <c r="J739" s="232" t="b">
        <v>0</v>
      </c>
      <c r="K739" s="232" t="s">
        <v>22355</v>
      </c>
      <c r="L739" s="232"/>
      <c r="M739" s="511"/>
      <c r="N739" s="232"/>
      <c r="O739" s="232"/>
      <c r="P739" s="312"/>
      <c r="Q739" s="312"/>
      <c r="R739" s="312"/>
      <c r="S739" s="312"/>
      <c r="T739" s="312"/>
      <c r="U739" s="312"/>
    </row>
    <row r="740">
      <c r="A740" s="513" t="s">
        <v>25305</v>
      </c>
      <c r="B740" s="514" t="s">
        <v>25306</v>
      </c>
      <c r="C740" s="515" t="s">
        <v>25307</v>
      </c>
      <c r="D740" s="516"/>
      <c r="E740" s="517"/>
      <c r="F740" s="514"/>
      <c r="G740" s="514" t="s">
        <v>25308</v>
      </c>
      <c r="H740" s="514">
        <v>7.004498956E9</v>
      </c>
      <c r="I740" s="515" t="s">
        <v>24742</v>
      </c>
      <c r="J740" s="514" t="b">
        <v>0</v>
      </c>
      <c r="K740" s="514" t="s">
        <v>22312</v>
      </c>
      <c r="L740" s="514" t="s">
        <v>25309</v>
      </c>
      <c r="M740" s="511"/>
      <c r="N740" s="232"/>
      <c r="O740" s="232"/>
      <c r="P740" s="312"/>
      <c r="Q740" s="312"/>
      <c r="R740" s="312"/>
      <c r="S740" s="312"/>
      <c r="T740" s="312"/>
      <c r="U740" s="312"/>
    </row>
    <row r="741">
      <c r="A741" s="508" t="s">
        <v>25305</v>
      </c>
      <c r="B741" s="232" t="s">
        <v>25310</v>
      </c>
      <c r="C741" s="509" t="s">
        <v>25311</v>
      </c>
      <c r="D741" s="510" t="s">
        <v>25312</v>
      </c>
      <c r="E741" s="511"/>
      <c r="F741" s="232" t="s">
        <v>25313</v>
      </c>
      <c r="G741" s="232" t="s">
        <v>10038</v>
      </c>
      <c r="H741" s="232">
        <v>7.278177147E9</v>
      </c>
      <c r="I741" s="509" t="s">
        <v>25314</v>
      </c>
      <c r="J741" s="232" t="b">
        <v>0</v>
      </c>
      <c r="K741" s="232" t="s">
        <v>22365</v>
      </c>
      <c r="L741" s="232" t="s">
        <v>22509</v>
      </c>
      <c r="M741" s="511"/>
      <c r="N741" s="232"/>
      <c r="O741" s="232"/>
      <c r="P741" s="312"/>
      <c r="Q741" s="312"/>
      <c r="R741" s="312"/>
      <c r="S741" s="312"/>
      <c r="T741" s="312"/>
      <c r="U741" s="312"/>
    </row>
    <row r="742">
      <c r="A742" s="508" t="s">
        <v>25305</v>
      </c>
      <c r="B742" s="232" t="s">
        <v>25315</v>
      </c>
      <c r="C742" s="509" t="s">
        <v>25316</v>
      </c>
      <c r="D742" s="510"/>
      <c r="E742" s="511"/>
      <c r="F742" s="232" t="s">
        <v>25317</v>
      </c>
      <c r="G742" s="232" t="s">
        <v>23906</v>
      </c>
      <c r="H742" s="232">
        <v>9.677349449E9</v>
      </c>
      <c r="I742" s="509" t="s">
        <v>25318</v>
      </c>
      <c r="J742" s="232" t="b">
        <v>0</v>
      </c>
      <c r="K742" s="232"/>
      <c r="L742" s="232"/>
      <c r="M742" s="511"/>
      <c r="N742" s="232"/>
      <c r="O742" s="232"/>
      <c r="P742" s="312"/>
      <c r="Q742" s="312"/>
      <c r="R742" s="312"/>
      <c r="S742" s="312"/>
      <c r="T742" s="312"/>
      <c r="U742" s="312"/>
    </row>
    <row r="743">
      <c r="A743" s="508" t="s">
        <v>25305</v>
      </c>
      <c r="B743" s="232" t="s">
        <v>25319</v>
      </c>
      <c r="C743" s="509" t="s">
        <v>25320</v>
      </c>
      <c r="D743" s="510"/>
      <c r="E743" s="511"/>
      <c r="F743" s="232" t="s">
        <v>25321</v>
      </c>
      <c r="G743" s="232" t="s">
        <v>7995</v>
      </c>
      <c r="H743" s="232">
        <v>9.87415669E9</v>
      </c>
      <c r="I743" s="509" t="s">
        <v>25322</v>
      </c>
      <c r="J743" s="232" t="b">
        <v>0</v>
      </c>
      <c r="K743" s="232"/>
      <c r="L743" s="232"/>
      <c r="M743" s="511"/>
      <c r="N743" s="232"/>
      <c r="O743" s="232"/>
      <c r="P743" s="312"/>
      <c r="Q743" s="312"/>
      <c r="R743" s="312"/>
      <c r="S743" s="312"/>
      <c r="T743" s="312"/>
      <c r="U743" s="312"/>
    </row>
    <row r="744">
      <c r="A744" s="508" t="s">
        <v>25305</v>
      </c>
      <c r="B744" s="232" t="s">
        <v>25323</v>
      </c>
      <c r="C744" s="509" t="s">
        <v>25324</v>
      </c>
      <c r="D744" s="510" t="s">
        <v>25325</v>
      </c>
      <c r="E744" s="511"/>
      <c r="F744" s="232" t="s">
        <v>25326</v>
      </c>
      <c r="G744" s="232" t="s">
        <v>44</v>
      </c>
      <c r="H744" s="232">
        <v>9.43419436E9</v>
      </c>
      <c r="I744" s="509" t="s">
        <v>22698</v>
      </c>
      <c r="J744" s="232" t="b">
        <v>0</v>
      </c>
      <c r="K744" s="232" t="s">
        <v>22365</v>
      </c>
      <c r="M744" s="511"/>
      <c r="N744" s="232"/>
      <c r="O744" s="232"/>
      <c r="P744" s="312"/>
      <c r="Q744" s="312"/>
      <c r="R744" s="312"/>
      <c r="S744" s="312"/>
      <c r="T744" s="312"/>
      <c r="U744" s="312"/>
    </row>
    <row r="745">
      <c r="A745" s="508" t="s">
        <v>25305</v>
      </c>
      <c r="B745" s="232" t="s">
        <v>25327</v>
      </c>
      <c r="C745" s="509" t="s">
        <v>25328</v>
      </c>
      <c r="D745" s="510"/>
      <c r="E745" s="511"/>
      <c r="F745" s="232" t="s">
        <v>1949</v>
      </c>
      <c r="G745" s="232" t="s">
        <v>8364</v>
      </c>
      <c r="H745" s="232">
        <v>7.029255475E9</v>
      </c>
      <c r="I745" s="509" t="s">
        <v>24364</v>
      </c>
      <c r="J745" s="232" t="b">
        <v>0</v>
      </c>
      <c r="K745" s="232"/>
      <c r="L745" s="232"/>
      <c r="M745" s="511"/>
      <c r="N745" s="232"/>
      <c r="O745" s="232"/>
      <c r="P745" s="312"/>
      <c r="Q745" s="312"/>
      <c r="R745" s="312"/>
      <c r="S745" s="312"/>
      <c r="T745" s="312"/>
      <c r="U745" s="312"/>
    </row>
    <row r="746">
      <c r="A746" s="508" t="s">
        <v>25305</v>
      </c>
      <c r="B746" s="232" t="s">
        <v>25329</v>
      </c>
      <c r="C746" s="509" t="s">
        <v>25330</v>
      </c>
      <c r="D746" s="510"/>
      <c r="E746" s="511"/>
      <c r="F746" s="232"/>
      <c r="G746" s="232" t="s">
        <v>507</v>
      </c>
      <c r="H746" s="232">
        <v>9.920121581E9</v>
      </c>
      <c r="I746" s="509" t="s">
        <v>25331</v>
      </c>
      <c r="J746" s="232" t="b">
        <v>0</v>
      </c>
      <c r="K746" s="232" t="s">
        <v>22365</v>
      </c>
      <c r="L746" s="232" t="s">
        <v>23537</v>
      </c>
      <c r="M746" s="511"/>
      <c r="N746" s="232"/>
      <c r="O746" s="232"/>
      <c r="P746" s="312"/>
      <c r="Q746" s="312"/>
      <c r="R746" s="312"/>
      <c r="S746" s="312"/>
      <c r="T746" s="312"/>
      <c r="U746" s="312"/>
    </row>
    <row r="747">
      <c r="A747" s="508" t="s">
        <v>25305</v>
      </c>
      <c r="B747" s="232" t="s">
        <v>25332</v>
      </c>
      <c r="C747" s="509" t="s">
        <v>25333</v>
      </c>
      <c r="D747" s="510"/>
      <c r="E747" s="511"/>
      <c r="F747" s="232"/>
      <c r="G747" s="232" t="s">
        <v>22304</v>
      </c>
      <c r="H747" s="232">
        <v>7.789805344E9</v>
      </c>
      <c r="I747" s="509" t="s">
        <v>22794</v>
      </c>
      <c r="J747" s="232" t="b">
        <v>0</v>
      </c>
      <c r="K747" s="232"/>
      <c r="L747" s="232"/>
      <c r="M747" s="511"/>
      <c r="N747" s="232"/>
      <c r="O747" s="232"/>
      <c r="P747" s="312"/>
      <c r="Q747" s="312"/>
      <c r="R747" s="312"/>
      <c r="S747" s="312"/>
      <c r="T747" s="312"/>
      <c r="U747" s="312"/>
    </row>
    <row r="748">
      <c r="A748" s="508" t="s">
        <v>25305</v>
      </c>
      <c r="B748" s="232" t="s">
        <v>25334</v>
      </c>
      <c r="C748" s="509" t="s">
        <v>25335</v>
      </c>
      <c r="D748" s="510" t="s">
        <v>25336</v>
      </c>
      <c r="E748" s="511"/>
      <c r="F748" s="232" t="s">
        <v>25337</v>
      </c>
      <c r="G748" s="232" t="s">
        <v>24998</v>
      </c>
      <c r="H748" s="232">
        <v>8.617684974E9</v>
      </c>
      <c r="I748" s="509" t="s">
        <v>22961</v>
      </c>
      <c r="J748" s="232" t="b">
        <v>0</v>
      </c>
      <c r="K748" s="232"/>
      <c r="L748" s="232"/>
      <c r="M748" s="511"/>
      <c r="N748" s="232"/>
      <c r="O748" s="232"/>
      <c r="P748" s="312"/>
      <c r="Q748" s="312"/>
      <c r="R748" s="312"/>
      <c r="S748" s="312"/>
      <c r="T748" s="312"/>
      <c r="U748" s="312"/>
    </row>
    <row r="749">
      <c r="A749" s="508" t="s">
        <v>25338</v>
      </c>
      <c r="B749" s="232" t="s">
        <v>25339</v>
      </c>
      <c r="C749" s="509" t="s">
        <v>25340</v>
      </c>
      <c r="D749" s="510" t="s">
        <v>25341</v>
      </c>
      <c r="E749" s="511"/>
      <c r="F749" s="232" t="s">
        <v>25342</v>
      </c>
      <c r="G749" s="232" t="s">
        <v>449</v>
      </c>
      <c r="H749" s="232">
        <v>8.170894655E9</v>
      </c>
      <c r="I749" s="509" t="s">
        <v>25343</v>
      </c>
      <c r="J749" s="232" t="b">
        <v>0</v>
      </c>
      <c r="K749" s="232" t="s">
        <v>22365</v>
      </c>
      <c r="L749" s="232" t="s">
        <v>25344</v>
      </c>
      <c r="M749" s="511"/>
      <c r="N749" s="232"/>
      <c r="O749" s="232"/>
      <c r="P749" s="312"/>
      <c r="Q749" s="312"/>
      <c r="R749" s="312"/>
      <c r="S749" s="312"/>
      <c r="T749" s="312"/>
      <c r="U749" s="312"/>
    </row>
    <row r="750">
      <c r="A750" s="508" t="s">
        <v>25338</v>
      </c>
      <c r="B750" s="232" t="s">
        <v>25345</v>
      </c>
      <c r="C750" s="509" t="s">
        <v>25346</v>
      </c>
      <c r="D750" s="510"/>
      <c r="E750" s="511"/>
      <c r="F750" s="232" t="s">
        <v>25347</v>
      </c>
      <c r="G750" s="232" t="s">
        <v>22337</v>
      </c>
      <c r="H750" s="232">
        <v>9.178889616E9</v>
      </c>
      <c r="I750" s="509" t="s">
        <v>22289</v>
      </c>
      <c r="J750" s="232" t="b">
        <v>0</v>
      </c>
      <c r="K750" s="232" t="s">
        <v>22365</v>
      </c>
      <c r="L750" s="232" t="s">
        <v>22514</v>
      </c>
      <c r="M750" s="511"/>
      <c r="N750" s="232"/>
      <c r="O750" s="232"/>
      <c r="P750" s="312"/>
      <c r="Q750" s="312"/>
      <c r="R750" s="312"/>
      <c r="S750" s="312"/>
      <c r="T750" s="312"/>
      <c r="U750" s="312"/>
    </row>
    <row r="751">
      <c r="A751" s="508" t="s">
        <v>25338</v>
      </c>
      <c r="B751" s="232" t="s">
        <v>25348</v>
      </c>
      <c r="C751" s="509" t="s">
        <v>21428</v>
      </c>
      <c r="D751" s="510"/>
      <c r="E751" s="511"/>
      <c r="F751" s="232"/>
      <c r="G751" s="232" t="s">
        <v>22479</v>
      </c>
      <c r="H751" s="232">
        <v>9.528441306E9</v>
      </c>
      <c r="I751" s="509" t="s">
        <v>22577</v>
      </c>
      <c r="J751" s="232" t="b">
        <v>0</v>
      </c>
      <c r="K751" s="232" t="s">
        <v>22365</v>
      </c>
      <c r="L751" s="232"/>
      <c r="M751" s="511"/>
      <c r="N751" s="232"/>
      <c r="O751" s="232"/>
      <c r="P751" s="312"/>
      <c r="Q751" s="312"/>
      <c r="R751" s="312"/>
      <c r="S751" s="312"/>
      <c r="T751" s="312"/>
      <c r="U751" s="312"/>
    </row>
    <row r="752">
      <c r="A752" s="508" t="s">
        <v>25338</v>
      </c>
      <c r="B752" s="232" t="s">
        <v>25349</v>
      </c>
      <c r="C752" s="509" t="s">
        <v>25350</v>
      </c>
      <c r="D752" s="510" t="s">
        <v>25351</v>
      </c>
      <c r="E752" s="511"/>
      <c r="F752" s="232" t="s">
        <v>25352</v>
      </c>
      <c r="G752" s="232" t="s">
        <v>981</v>
      </c>
      <c r="H752" s="232">
        <v>8.38994606E9</v>
      </c>
      <c r="I752" s="509" t="s">
        <v>4786</v>
      </c>
      <c r="J752" s="232" t="b">
        <v>0</v>
      </c>
      <c r="K752" s="232" t="s">
        <v>22365</v>
      </c>
      <c r="L752" s="232" t="s">
        <v>25353</v>
      </c>
      <c r="M752" s="511"/>
      <c r="N752" s="232"/>
      <c r="O752" s="232"/>
      <c r="P752" s="312"/>
      <c r="Q752" s="312"/>
      <c r="R752" s="312"/>
      <c r="S752" s="312"/>
      <c r="T752" s="312"/>
      <c r="U752" s="312"/>
    </row>
    <row r="753">
      <c r="A753" s="508" t="s">
        <v>25338</v>
      </c>
      <c r="B753" s="232" t="s">
        <v>25354</v>
      </c>
      <c r="C753" s="509" t="s">
        <v>25355</v>
      </c>
      <c r="D753" s="510"/>
      <c r="E753" s="511"/>
      <c r="F753" s="232"/>
      <c r="G753" s="232" t="s">
        <v>22821</v>
      </c>
      <c r="H753" s="232">
        <v>9.381093782E9</v>
      </c>
      <c r="I753" s="509" t="s">
        <v>25075</v>
      </c>
      <c r="J753" s="232" t="b">
        <v>0</v>
      </c>
      <c r="K753" s="232"/>
      <c r="L753" s="232"/>
      <c r="M753" s="511"/>
      <c r="N753" s="232"/>
      <c r="O753" s="232"/>
      <c r="P753" s="312"/>
      <c r="Q753" s="312"/>
      <c r="R753" s="312"/>
      <c r="S753" s="312"/>
      <c r="T753" s="312"/>
      <c r="U753" s="312"/>
    </row>
    <row r="754">
      <c r="A754" s="508" t="s">
        <v>25338</v>
      </c>
      <c r="B754" s="232" t="s">
        <v>25356</v>
      </c>
      <c r="C754" s="509" t="s">
        <v>25357</v>
      </c>
      <c r="D754" s="510"/>
      <c r="E754" s="511"/>
      <c r="F754" s="232"/>
      <c r="G754" s="232" t="s">
        <v>99</v>
      </c>
      <c r="H754" s="232">
        <v>9.556765576E9</v>
      </c>
      <c r="I754" s="509" t="s">
        <v>22289</v>
      </c>
      <c r="J754" s="232" t="b">
        <v>0</v>
      </c>
      <c r="K754" s="232" t="s">
        <v>22365</v>
      </c>
      <c r="L754" s="232"/>
      <c r="M754" s="511"/>
      <c r="N754" s="232"/>
      <c r="O754" s="232"/>
      <c r="P754" s="312"/>
      <c r="Q754" s="312"/>
      <c r="R754" s="312"/>
      <c r="S754" s="312"/>
      <c r="T754" s="312"/>
      <c r="U754" s="312"/>
    </row>
    <row r="755">
      <c r="A755" s="508" t="s">
        <v>25338</v>
      </c>
      <c r="B755" s="232" t="s">
        <v>25358</v>
      </c>
      <c r="C755" s="509" t="s">
        <v>25359</v>
      </c>
      <c r="D755" s="510"/>
      <c r="E755" s="511"/>
      <c r="F755" s="232"/>
      <c r="G755" s="232" t="s">
        <v>44</v>
      </c>
      <c r="H755" s="232">
        <v>7.003390622E9</v>
      </c>
      <c r="I755" s="509" t="s">
        <v>22903</v>
      </c>
      <c r="J755" s="232" t="b">
        <v>0</v>
      </c>
      <c r="K755" s="232" t="s">
        <v>12092</v>
      </c>
      <c r="L755" s="232"/>
      <c r="M755" s="511"/>
      <c r="N755" s="232"/>
      <c r="O755" s="232"/>
      <c r="P755" s="312"/>
      <c r="Q755" s="312"/>
      <c r="R755" s="312"/>
      <c r="S755" s="312"/>
      <c r="T755" s="312"/>
      <c r="U755" s="312"/>
    </row>
    <row r="756">
      <c r="A756" s="508" t="s">
        <v>25338</v>
      </c>
      <c r="B756" s="232" t="s">
        <v>25360</v>
      </c>
      <c r="C756" s="509" t="s">
        <v>10640</v>
      </c>
      <c r="D756" s="510"/>
      <c r="E756" s="511"/>
      <c r="F756" s="232"/>
      <c r="G756" s="232" t="s">
        <v>25361</v>
      </c>
      <c r="H756" s="232">
        <v>7.667208864E9</v>
      </c>
      <c r="I756" s="509" t="s">
        <v>25362</v>
      </c>
      <c r="J756" s="232" t="b">
        <v>0</v>
      </c>
      <c r="K756" s="232" t="s">
        <v>12092</v>
      </c>
      <c r="L756" s="232"/>
      <c r="M756" s="511"/>
      <c r="N756" s="232"/>
      <c r="O756" s="232"/>
      <c r="P756" s="312"/>
      <c r="Q756" s="312"/>
      <c r="R756" s="312"/>
      <c r="S756" s="312"/>
      <c r="T756" s="312"/>
      <c r="U756" s="312"/>
    </row>
    <row r="757">
      <c r="A757" s="508" t="s">
        <v>25338</v>
      </c>
      <c r="B757" s="232" t="s">
        <v>25363</v>
      </c>
      <c r="C757" s="509" t="s">
        <v>25364</v>
      </c>
      <c r="D757" s="510"/>
      <c r="E757" s="511"/>
      <c r="F757" s="232"/>
      <c r="G757" s="232" t="s">
        <v>22337</v>
      </c>
      <c r="H757" s="232">
        <v>8.658946838E9</v>
      </c>
      <c r="I757" s="509" t="s">
        <v>25365</v>
      </c>
      <c r="J757" s="232" t="b">
        <v>0</v>
      </c>
      <c r="K757" s="232" t="s">
        <v>334</v>
      </c>
      <c r="L757" s="232"/>
      <c r="M757" s="511"/>
      <c r="N757" s="232"/>
      <c r="O757" s="232"/>
      <c r="P757" s="312"/>
      <c r="Q757" s="312"/>
      <c r="R757" s="312"/>
      <c r="S757" s="312"/>
      <c r="T757" s="312"/>
      <c r="U757" s="312"/>
    </row>
    <row r="758">
      <c r="A758" s="508" t="s">
        <v>25338</v>
      </c>
      <c r="B758" s="232" t="s">
        <v>25366</v>
      </c>
      <c r="C758" s="509" t="s">
        <v>23271</v>
      </c>
      <c r="D758" s="510" t="s">
        <v>25367</v>
      </c>
      <c r="E758" s="511"/>
      <c r="F758" s="232" t="s">
        <v>25368</v>
      </c>
      <c r="G758" s="232" t="s">
        <v>25369</v>
      </c>
      <c r="H758" s="232">
        <v>8.804765787E9</v>
      </c>
      <c r="I758" s="509" t="s">
        <v>25314</v>
      </c>
      <c r="J758" s="232" t="b">
        <v>0</v>
      </c>
      <c r="K758" s="232" t="s">
        <v>22365</v>
      </c>
      <c r="L758" s="232" t="s">
        <v>25370</v>
      </c>
      <c r="M758" s="511"/>
      <c r="N758" s="232"/>
      <c r="O758" s="232"/>
      <c r="P758" s="312"/>
      <c r="Q758" s="312"/>
      <c r="R758" s="312"/>
      <c r="S758" s="312"/>
      <c r="T758" s="312"/>
      <c r="U758" s="312"/>
    </row>
    <row r="759">
      <c r="A759" s="508" t="s">
        <v>25338</v>
      </c>
      <c r="B759" s="232" t="s">
        <v>25371</v>
      </c>
      <c r="C759" s="509" t="s">
        <v>25372</v>
      </c>
      <c r="D759" s="510" t="s">
        <v>25373</v>
      </c>
      <c r="E759" s="511"/>
      <c r="F759" s="232" t="s">
        <v>25374</v>
      </c>
      <c r="G759" s="232" t="s">
        <v>25375</v>
      </c>
      <c r="H759" s="232">
        <v>9.852028284E9</v>
      </c>
      <c r="I759" s="509" t="s">
        <v>25376</v>
      </c>
      <c r="J759" s="232" t="b">
        <v>0</v>
      </c>
      <c r="K759" s="232" t="s">
        <v>22349</v>
      </c>
      <c r="L759" s="232" t="s">
        <v>25377</v>
      </c>
      <c r="M759" s="511"/>
      <c r="N759" s="232"/>
      <c r="O759" s="232"/>
      <c r="P759" s="312"/>
      <c r="Q759" s="312"/>
      <c r="R759" s="312"/>
      <c r="S759" s="312"/>
      <c r="T759" s="312"/>
      <c r="U759" s="312"/>
    </row>
    <row r="760">
      <c r="A760" s="508" t="s">
        <v>25338</v>
      </c>
      <c r="B760" s="232" t="s">
        <v>25378</v>
      </c>
      <c r="C760" s="509" t="s">
        <v>25379</v>
      </c>
      <c r="D760" s="510" t="s">
        <v>25380</v>
      </c>
      <c r="E760" s="511"/>
      <c r="F760" s="232" t="s">
        <v>25381</v>
      </c>
      <c r="G760" s="232" t="s">
        <v>25382</v>
      </c>
      <c r="H760" s="232">
        <v>9.774613178E9</v>
      </c>
      <c r="I760" s="509" t="s">
        <v>22289</v>
      </c>
      <c r="J760" s="232" t="b">
        <v>0</v>
      </c>
      <c r="K760" s="232" t="s">
        <v>22365</v>
      </c>
      <c r="L760" s="232" t="s">
        <v>22514</v>
      </c>
      <c r="M760" s="511"/>
      <c r="N760" s="232"/>
      <c r="O760" s="232"/>
      <c r="P760" s="312"/>
      <c r="Q760" s="312"/>
      <c r="R760" s="312"/>
      <c r="S760" s="312"/>
      <c r="T760" s="312"/>
      <c r="U760" s="312"/>
    </row>
    <row r="761">
      <c r="A761" s="508" t="s">
        <v>25338</v>
      </c>
      <c r="B761" s="232" t="s">
        <v>25383</v>
      </c>
      <c r="C761" s="509" t="s">
        <v>25384</v>
      </c>
      <c r="D761" s="510" t="s">
        <v>25385</v>
      </c>
      <c r="E761" s="511"/>
      <c r="F761" s="232" t="s">
        <v>25386</v>
      </c>
      <c r="G761" s="232" t="s">
        <v>23231</v>
      </c>
      <c r="H761" s="232">
        <v>8.618197952E9</v>
      </c>
      <c r="I761" s="509" t="s">
        <v>25387</v>
      </c>
      <c r="J761" s="232" t="b">
        <v>0</v>
      </c>
      <c r="K761" s="232" t="s">
        <v>22365</v>
      </c>
      <c r="L761" s="232" t="s">
        <v>22451</v>
      </c>
      <c r="M761" s="511"/>
      <c r="N761" s="232"/>
      <c r="O761" s="232"/>
      <c r="P761" s="312"/>
      <c r="Q761" s="312"/>
      <c r="R761" s="312"/>
      <c r="S761" s="312"/>
      <c r="T761" s="312"/>
      <c r="U761" s="312"/>
    </row>
    <row r="762">
      <c r="A762" s="508" t="s">
        <v>25338</v>
      </c>
      <c r="B762" s="232" t="s">
        <v>25388</v>
      </c>
      <c r="C762" s="509" t="s">
        <v>25389</v>
      </c>
      <c r="D762" s="510" t="s">
        <v>25390</v>
      </c>
      <c r="E762" s="511"/>
      <c r="F762" s="232"/>
      <c r="G762" s="232" t="s">
        <v>25391</v>
      </c>
      <c r="H762" s="232">
        <v>7.001013289E9</v>
      </c>
      <c r="I762" s="509" t="s">
        <v>22860</v>
      </c>
      <c r="J762" s="232" t="b">
        <v>0</v>
      </c>
      <c r="K762" s="232" t="s">
        <v>22365</v>
      </c>
      <c r="L762" s="232" t="s">
        <v>25392</v>
      </c>
      <c r="M762" s="511"/>
      <c r="N762" s="232"/>
      <c r="O762" s="232"/>
      <c r="P762" s="312"/>
      <c r="Q762" s="312"/>
      <c r="R762" s="312"/>
      <c r="S762" s="312"/>
      <c r="T762" s="312"/>
      <c r="U762" s="312"/>
    </row>
    <row r="763">
      <c r="A763" s="508" t="s">
        <v>25338</v>
      </c>
      <c r="B763" s="232" t="s">
        <v>25393</v>
      </c>
      <c r="C763" s="509" t="s">
        <v>25394</v>
      </c>
      <c r="D763" s="510" t="s">
        <v>25395</v>
      </c>
      <c r="E763" s="511"/>
      <c r="F763" s="232" t="s">
        <v>25396</v>
      </c>
      <c r="G763" s="232" t="s">
        <v>25397</v>
      </c>
      <c r="H763" s="232">
        <v>7.866050796E9</v>
      </c>
      <c r="I763" s="509" t="s">
        <v>24834</v>
      </c>
      <c r="J763" s="232" t="b">
        <v>0</v>
      </c>
      <c r="K763" s="232" t="s">
        <v>22355</v>
      </c>
      <c r="L763" s="232"/>
      <c r="M763" s="511"/>
      <c r="N763" s="232"/>
      <c r="O763" s="232"/>
      <c r="P763" s="312"/>
      <c r="Q763" s="312"/>
      <c r="R763" s="312"/>
      <c r="S763" s="312"/>
      <c r="T763" s="312"/>
      <c r="U763" s="312"/>
    </row>
    <row r="764">
      <c r="A764" s="508" t="s">
        <v>25398</v>
      </c>
      <c r="B764" s="232" t="s">
        <v>25399</v>
      </c>
      <c r="C764" s="509" t="s">
        <v>25400</v>
      </c>
      <c r="D764" s="510" t="s">
        <v>25401</v>
      </c>
      <c r="E764" s="511"/>
      <c r="F764" s="232" t="s">
        <v>25402</v>
      </c>
      <c r="G764" s="232" t="s">
        <v>2682</v>
      </c>
      <c r="H764" s="232">
        <v>7.892331057E9</v>
      </c>
      <c r="I764" s="509" t="s">
        <v>22289</v>
      </c>
      <c r="J764" s="232" t="b">
        <v>0</v>
      </c>
      <c r="K764" s="232" t="s">
        <v>22365</v>
      </c>
      <c r="L764" s="232"/>
      <c r="M764" s="511"/>
      <c r="N764" s="232"/>
      <c r="O764" s="232"/>
      <c r="P764" s="312"/>
      <c r="Q764" s="312"/>
      <c r="R764" s="312"/>
      <c r="S764" s="312"/>
      <c r="T764" s="312"/>
      <c r="U764" s="312"/>
    </row>
    <row r="765">
      <c r="A765" s="508" t="s">
        <v>25398</v>
      </c>
      <c r="B765" s="232" t="s">
        <v>25403</v>
      </c>
      <c r="C765" s="509" t="s">
        <v>25404</v>
      </c>
      <c r="D765" s="510"/>
      <c r="E765" s="511"/>
      <c r="F765" s="232"/>
      <c r="G765" s="232" t="s">
        <v>25405</v>
      </c>
      <c r="H765" s="232">
        <v>9.988185204E9</v>
      </c>
      <c r="I765" s="509" t="s">
        <v>22373</v>
      </c>
      <c r="J765" s="232" t="b">
        <v>0</v>
      </c>
      <c r="K765" s="232" t="s">
        <v>334</v>
      </c>
      <c r="L765" s="232"/>
      <c r="M765" s="511"/>
      <c r="N765" s="232"/>
      <c r="O765" s="232"/>
      <c r="P765" s="312"/>
      <c r="Q765" s="312"/>
      <c r="R765" s="312"/>
      <c r="S765" s="312"/>
      <c r="T765" s="312"/>
      <c r="U765" s="312"/>
    </row>
    <row r="766">
      <c r="A766" s="508" t="s">
        <v>25398</v>
      </c>
      <c r="B766" s="232" t="s">
        <v>25406</v>
      </c>
      <c r="C766" s="509" t="s">
        <v>25407</v>
      </c>
      <c r="D766" s="510"/>
      <c r="E766" s="511"/>
      <c r="F766" s="232"/>
      <c r="G766" s="232" t="s">
        <v>398</v>
      </c>
      <c r="H766" s="232">
        <v>7.999802774E9</v>
      </c>
      <c r="I766" s="509" t="s">
        <v>22373</v>
      </c>
      <c r="J766" s="232" t="b">
        <v>0</v>
      </c>
      <c r="K766" s="232" t="s">
        <v>22349</v>
      </c>
      <c r="L766" s="232" t="s">
        <v>23793</v>
      </c>
      <c r="M766" s="511"/>
      <c r="N766" s="232"/>
      <c r="O766" s="232"/>
      <c r="P766" s="312"/>
      <c r="Q766" s="312"/>
      <c r="R766" s="312"/>
      <c r="S766" s="312"/>
      <c r="T766" s="312"/>
      <c r="U766" s="312"/>
    </row>
    <row r="767">
      <c r="A767" s="508" t="s">
        <v>25398</v>
      </c>
      <c r="B767" s="232" t="s">
        <v>25408</v>
      </c>
      <c r="C767" s="509" t="s">
        <v>25409</v>
      </c>
      <c r="D767" s="510" t="s">
        <v>25410</v>
      </c>
      <c r="E767" s="511"/>
      <c r="F767" s="232" t="s">
        <v>25411</v>
      </c>
      <c r="G767" s="232" t="s">
        <v>25412</v>
      </c>
      <c r="H767" s="232">
        <v>9.060987694E9</v>
      </c>
      <c r="I767" s="509" t="s">
        <v>4786</v>
      </c>
      <c r="J767" s="232" t="b">
        <v>0</v>
      </c>
      <c r="K767" s="232" t="s">
        <v>22365</v>
      </c>
      <c r="L767" s="232"/>
      <c r="M767" s="511"/>
      <c r="N767" s="232"/>
      <c r="O767" s="232"/>
      <c r="P767" s="312"/>
      <c r="Q767" s="312"/>
      <c r="R767" s="312"/>
      <c r="S767" s="312"/>
      <c r="T767" s="312"/>
      <c r="U767" s="312"/>
    </row>
    <row r="768">
      <c r="A768" s="508" t="s">
        <v>25398</v>
      </c>
      <c r="B768" s="232" t="s">
        <v>25413</v>
      </c>
      <c r="C768" s="509" t="s">
        <v>25414</v>
      </c>
      <c r="D768" s="510" t="s">
        <v>25415</v>
      </c>
      <c r="E768" s="511"/>
      <c r="F768" s="232" t="s">
        <v>25416</v>
      </c>
      <c r="G768" s="232" t="s">
        <v>507</v>
      </c>
      <c r="H768" s="232">
        <v>9.145248341E9</v>
      </c>
      <c r="I768" s="509" t="s">
        <v>25417</v>
      </c>
      <c r="J768" s="232" t="b">
        <v>0</v>
      </c>
      <c r="K768" s="232" t="s">
        <v>22355</v>
      </c>
      <c r="L768" s="232"/>
      <c r="M768" s="511"/>
      <c r="N768" s="232"/>
      <c r="O768" s="232"/>
      <c r="P768" s="312"/>
      <c r="Q768" s="312"/>
      <c r="R768" s="312"/>
      <c r="S768" s="312"/>
      <c r="T768" s="312"/>
      <c r="U768" s="312"/>
    </row>
    <row r="769">
      <c r="A769" s="508" t="s">
        <v>25398</v>
      </c>
      <c r="B769" s="232" t="s">
        <v>25418</v>
      </c>
      <c r="C769" s="509" t="s">
        <v>25419</v>
      </c>
      <c r="D769" s="510"/>
      <c r="E769" s="511"/>
      <c r="F769" s="232" t="s">
        <v>25420</v>
      </c>
      <c r="G769" s="232" t="s">
        <v>23593</v>
      </c>
      <c r="H769" s="232">
        <v>-9.310737229E9</v>
      </c>
      <c r="I769" s="509" t="s">
        <v>25421</v>
      </c>
      <c r="J769" s="232" t="b">
        <v>0</v>
      </c>
      <c r="K769" s="232" t="s">
        <v>334</v>
      </c>
      <c r="L769" s="232"/>
      <c r="M769" s="511"/>
      <c r="N769" s="232"/>
      <c r="O769" s="232"/>
      <c r="P769" s="312"/>
      <c r="Q769" s="312"/>
      <c r="R769" s="312"/>
      <c r="S769" s="312"/>
      <c r="T769" s="312"/>
      <c r="U769" s="312"/>
    </row>
    <row r="770">
      <c r="A770" s="508" t="s">
        <v>25398</v>
      </c>
      <c r="B770" s="232" t="s">
        <v>25422</v>
      </c>
      <c r="C770" s="509" t="s">
        <v>18434</v>
      </c>
      <c r="D770" s="510" t="s">
        <v>25423</v>
      </c>
      <c r="E770" s="511"/>
      <c r="F770" s="232" t="s">
        <v>25424</v>
      </c>
      <c r="G770" s="232" t="s">
        <v>9359</v>
      </c>
      <c r="H770" s="232">
        <v>9.44048154E9</v>
      </c>
      <c r="I770" s="509" t="s">
        <v>22698</v>
      </c>
      <c r="J770" s="232" t="b">
        <v>0</v>
      </c>
      <c r="K770" s="232" t="s">
        <v>22365</v>
      </c>
      <c r="L770" s="232" t="s">
        <v>22422</v>
      </c>
      <c r="M770" s="511"/>
      <c r="N770" s="232"/>
      <c r="O770" s="232"/>
      <c r="P770" s="312"/>
      <c r="Q770" s="312"/>
      <c r="R770" s="312"/>
      <c r="S770" s="312"/>
      <c r="T770" s="312"/>
      <c r="U770" s="312"/>
    </row>
    <row r="771">
      <c r="A771" s="508" t="s">
        <v>25398</v>
      </c>
      <c r="B771" s="232" t="s">
        <v>25425</v>
      </c>
      <c r="C771" s="509" t="s">
        <v>25426</v>
      </c>
      <c r="D771" s="510" t="s">
        <v>25427</v>
      </c>
      <c r="E771" s="511"/>
      <c r="F771" s="232" t="s">
        <v>25428</v>
      </c>
      <c r="G771" s="232" t="s">
        <v>7995</v>
      </c>
      <c r="H771" s="232">
        <v>9.309141499E9</v>
      </c>
      <c r="I771" s="512" t="s">
        <v>25429</v>
      </c>
      <c r="J771" s="232" t="b">
        <v>0</v>
      </c>
      <c r="K771" s="232" t="s">
        <v>22365</v>
      </c>
      <c r="L771" s="232" t="s">
        <v>22422</v>
      </c>
      <c r="M771" s="511"/>
      <c r="N771" s="232"/>
      <c r="O771" s="232"/>
      <c r="P771" s="312"/>
      <c r="Q771" s="312"/>
      <c r="R771" s="312"/>
      <c r="S771" s="312"/>
      <c r="T771" s="312"/>
      <c r="U771" s="312"/>
    </row>
    <row r="772">
      <c r="A772" s="508" t="s">
        <v>25398</v>
      </c>
      <c r="B772" s="232" t="s">
        <v>25430</v>
      </c>
      <c r="C772" s="509" t="s">
        <v>25431</v>
      </c>
      <c r="D772" s="510" t="s">
        <v>25432</v>
      </c>
      <c r="E772" s="511"/>
      <c r="F772" s="232" t="s">
        <v>25433</v>
      </c>
      <c r="G772" s="232" t="s">
        <v>22844</v>
      </c>
      <c r="H772" s="232">
        <v>-9.04962918E9</v>
      </c>
      <c r="I772" s="509" t="s">
        <v>22373</v>
      </c>
      <c r="J772" s="232" t="b">
        <v>0</v>
      </c>
      <c r="K772" s="232" t="s">
        <v>22365</v>
      </c>
      <c r="L772" s="232" t="s">
        <v>25434</v>
      </c>
      <c r="M772" s="511"/>
      <c r="N772" s="232"/>
      <c r="O772" s="232"/>
      <c r="P772" s="312"/>
      <c r="Q772" s="312"/>
      <c r="R772" s="312"/>
      <c r="S772" s="312"/>
      <c r="T772" s="312"/>
      <c r="U772" s="312"/>
    </row>
    <row r="773">
      <c r="A773" s="508" t="s">
        <v>25398</v>
      </c>
      <c r="B773" s="232" t="s">
        <v>25435</v>
      </c>
      <c r="C773" s="509" t="s">
        <v>25436</v>
      </c>
      <c r="D773" s="510" t="s">
        <v>25437</v>
      </c>
      <c r="E773" s="511"/>
      <c r="F773" s="232" t="s">
        <v>25438</v>
      </c>
      <c r="G773" s="232" t="s">
        <v>22479</v>
      </c>
      <c r="H773" s="232">
        <v>8.800488E9</v>
      </c>
      <c r="I773" s="509" t="s">
        <v>22354</v>
      </c>
      <c r="J773" s="232" t="b">
        <v>0</v>
      </c>
      <c r="K773" s="232" t="s">
        <v>22365</v>
      </c>
      <c r="L773" s="232" t="s">
        <v>25439</v>
      </c>
      <c r="M773" s="511"/>
      <c r="N773" s="232"/>
      <c r="O773" s="232"/>
      <c r="P773" s="312"/>
      <c r="Q773" s="312"/>
      <c r="R773" s="312"/>
      <c r="S773" s="312"/>
      <c r="T773" s="312"/>
      <c r="U773" s="312"/>
    </row>
    <row r="774">
      <c r="A774" s="508" t="s">
        <v>25398</v>
      </c>
      <c r="B774" s="232" t="s">
        <v>25440</v>
      </c>
      <c r="C774" s="509" t="s">
        <v>25441</v>
      </c>
      <c r="D774" s="510"/>
      <c r="E774" s="511"/>
      <c r="F774" s="232" t="s">
        <v>25442</v>
      </c>
      <c r="G774" s="232" t="s">
        <v>22479</v>
      </c>
      <c r="H774" s="232">
        <v>9.837283741E9</v>
      </c>
      <c r="I774" s="509" t="s">
        <v>22373</v>
      </c>
      <c r="J774" s="232" t="b">
        <v>0</v>
      </c>
      <c r="K774" s="232" t="s">
        <v>22365</v>
      </c>
      <c r="L774" s="232" t="s">
        <v>25443</v>
      </c>
      <c r="M774" s="511"/>
      <c r="N774" s="232"/>
      <c r="O774" s="232"/>
      <c r="P774" s="312"/>
      <c r="Q774" s="312"/>
      <c r="R774" s="312"/>
      <c r="S774" s="312"/>
      <c r="T774" s="312"/>
      <c r="U774" s="312"/>
    </row>
    <row r="775">
      <c r="A775" s="508" t="s">
        <v>25398</v>
      </c>
      <c r="B775" s="232" t="s">
        <v>25444</v>
      </c>
      <c r="C775" s="509" t="s">
        <v>4293</v>
      </c>
      <c r="D775" s="510" t="s">
        <v>25445</v>
      </c>
      <c r="E775" s="511"/>
      <c r="F775" s="232"/>
      <c r="G775" s="232" t="s">
        <v>44</v>
      </c>
      <c r="H775" s="232">
        <v>9.87552166E9</v>
      </c>
      <c r="I775" s="509" t="s">
        <v>25446</v>
      </c>
      <c r="J775" s="232" t="b">
        <v>0</v>
      </c>
      <c r="K775" s="232"/>
      <c r="L775" s="232"/>
      <c r="M775" s="511"/>
      <c r="N775" s="232"/>
      <c r="O775" s="232"/>
      <c r="P775" s="312"/>
      <c r="Q775" s="312"/>
      <c r="R775" s="312"/>
      <c r="S775" s="312"/>
      <c r="T775" s="312"/>
      <c r="U775" s="312"/>
    </row>
    <row r="776">
      <c r="A776" s="508" t="s">
        <v>25398</v>
      </c>
      <c r="B776" s="232" t="s">
        <v>25447</v>
      </c>
      <c r="C776" s="509" t="s">
        <v>25448</v>
      </c>
      <c r="D776" s="510" t="s">
        <v>25449</v>
      </c>
      <c r="E776" s="511"/>
      <c r="F776" s="232"/>
      <c r="G776" s="232" t="s">
        <v>22479</v>
      </c>
      <c r="H776" s="232">
        <v>9.316450147E9</v>
      </c>
      <c r="I776" s="509" t="s">
        <v>24402</v>
      </c>
      <c r="J776" s="232" t="b">
        <v>0</v>
      </c>
      <c r="K776" s="232" t="s">
        <v>22355</v>
      </c>
      <c r="L776" s="232"/>
      <c r="M776" s="511"/>
      <c r="N776" s="232"/>
      <c r="O776" s="232"/>
      <c r="P776" s="312"/>
      <c r="Q776" s="312"/>
      <c r="R776" s="312"/>
      <c r="S776" s="312"/>
      <c r="T776" s="312"/>
      <c r="U776" s="312"/>
    </row>
    <row r="777">
      <c r="A777" s="513" t="s">
        <v>25450</v>
      </c>
      <c r="B777" s="514" t="s">
        <v>25451</v>
      </c>
      <c r="C777" s="515" t="s">
        <v>25452</v>
      </c>
      <c r="D777" s="516"/>
      <c r="E777" s="517"/>
      <c r="F777" s="514"/>
      <c r="G777" s="514" t="s">
        <v>23612</v>
      </c>
      <c r="H777" s="514">
        <v>9.828677202E9</v>
      </c>
      <c r="I777" s="515" t="s">
        <v>24742</v>
      </c>
      <c r="J777" s="514" t="b">
        <v>0</v>
      </c>
      <c r="K777" s="514" t="s">
        <v>22312</v>
      </c>
      <c r="L777" s="514" t="s">
        <v>25453</v>
      </c>
      <c r="M777" s="511"/>
      <c r="N777" s="232"/>
      <c r="O777" s="232"/>
      <c r="P777" s="312"/>
      <c r="Q777" s="312"/>
      <c r="R777" s="312"/>
      <c r="S777" s="312"/>
      <c r="T777" s="312"/>
      <c r="U777" s="312"/>
    </row>
    <row r="778">
      <c r="A778" s="513" t="s">
        <v>25450</v>
      </c>
      <c r="B778" s="514" t="s">
        <v>25454</v>
      </c>
      <c r="C778" s="515" t="s">
        <v>25455</v>
      </c>
      <c r="D778" s="516"/>
      <c r="E778" s="517"/>
      <c r="F778" s="514"/>
      <c r="G778" s="514" t="s">
        <v>24746</v>
      </c>
      <c r="H778" s="514">
        <v>9.525173898E9</v>
      </c>
      <c r="I778" s="515" t="s">
        <v>25456</v>
      </c>
      <c r="J778" s="514" t="b">
        <v>0</v>
      </c>
      <c r="K778" s="514" t="s">
        <v>22312</v>
      </c>
      <c r="L778" s="514" t="s">
        <v>25457</v>
      </c>
      <c r="M778" s="511"/>
      <c r="N778" s="232"/>
      <c r="O778" s="232"/>
      <c r="P778" s="312"/>
      <c r="Q778" s="312"/>
      <c r="R778" s="312"/>
      <c r="S778" s="312"/>
      <c r="T778" s="312"/>
      <c r="U778" s="312"/>
    </row>
    <row r="779">
      <c r="A779" s="508" t="s">
        <v>25450</v>
      </c>
      <c r="B779" s="232" t="s">
        <v>25458</v>
      </c>
      <c r="C779" s="509" t="s">
        <v>25459</v>
      </c>
      <c r="D779" s="510" t="s">
        <v>25460</v>
      </c>
      <c r="E779" s="511"/>
      <c r="F779" s="232"/>
      <c r="G779" s="232" t="s">
        <v>22348</v>
      </c>
      <c r="H779" s="232">
        <v>-9.097177011E9</v>
      </c>
      <c r="I779" s="509" t="s">
        <v>22278</v>
      </c>
      <c r="J779" s="232" t="b">
        <v>0</v>
      </c>
      <c r="K779" s="232" t="s">
        <v>12092</v>
      </c>
      <c r="L779" s="232"/>
      <c r="M779" s="511"/>
      <c r="N779" s="232"/>
      <c r="O779" s="232"/>
      <c r="P779" s="312"/>
      <c r="Q779" s="312"/>
      <c r="R779" s="312"/>
      <c r="S779" s="312"/>
      <c r="T779" s="312"/>
      <c r="U779" s="312"/>
    </row>
    <row r="780">
      <c r="A780" s="508" t="s">
        <v>25450</v>
      </c>
      <c r="B780" s="232" t="s">
        <v>25461</v>
      </c>
      <c r="C780" s="509" t="s">
        <v>13963</v>
      </c>
      <c r="D780" s="510"/>
      <c r="E780" s="511"/>
      <c r="F780" s="232"/>
      <c r="G780" s="232" t="s">
        <v>507</v>
      </c>
      <c r="H780" s="232">
        <v>8.793763155E9</v>
      </c>
      <c r="I780" s="509" t="s">
        <v>22373</v>
      </c>
      <c r="J780" s="232" t="b">
        <v>0</v>
      </c>
      <c r="K780" s="232" t="s">
        <v>334</v>
      </c>
      <c r="L780" s="232"/>
      <c r="M780" s="511"/>
      <c r="N780" s="232"/>
      <c r="O780" s="232"/>
      <c r="P780" s="312"/>
      <c r="Q780" s="312"/>
      <c r="R780" s="312"/>
      <c r="S780" s="312"/>
      <c r="T780" s="312"/>
      <c r="U780" s="312"/>
    </row>
    <row r="781">
      <c r="A781" s="508" t="s">
        <v>25450</v>
      </c>
      <c r="B781" s="232" t="s">
        <v>25462</v>
      </c>
      <c r="C781" s="509" t="s">
        <v>25463</v>
      </c>
      <c r="D781" s="510"/>
      <c r="E781" s="511"/>
      <c r="F781" s="232" t="s">
        <v>25464</v>
      </c>
      <c r="G781" s="232" t="s">
        <v>23494</v>
      </c>
      <c r="H781" s="232">
        <v>7.795002373E9</v>
      </c>
      <c r="I781" s="509" t="s">
        <v>22289</v>
      </c>
      <c r="J781" s="232" t="b">
        <v>0</v>
      </c>
      <c r="K781" s="232" t="s">
        <v>22365</v>
      </c>
      <c r="L781" s="232" t="s">
        <v>25465</v>
      </c>
      <c r="M781" s="511"/>
      <c r="N781" s="232"/>
      <c r="O781" s="232"/>
      <c r="P781" s="312"/>
      <c r="Q781" s="312"/>
      <c r="R781" s="312"/>
      <c r="S781" s="312"/>
      <c r="T781" s="312"/>
      <c r="U781" s="312"/>
    </row>
    <row r="782">
      <c r="A782" s="508" t="s">
        <v>25450</v>
      </c>
      <c r="B782" s="232" t="s">
        <v>25466</v>
      </c>
      <c r="C782" s="509" t="s">
        <v>25467</v>
      </c>
      <c r="D782" s="510"/>
      <c r="E782" s="511"/>
      <c r="F782" s="232" t="s">
        <v>25468</v>
      </c>
      <c r="G782" s="232" t="s">
        <v>25469</v>
      </c>
      <c r="H782" s="232">
        <v>6.267457787E9</v>
      </c>
      <c r="I782" s="509" t="s">
        <v>22373</v>
      </c>
      <c r="J782" s="232" t="b">
        <v>0</v>
      </c>
      <c r="K782" s="232" t="s">
        <v>334</v>
      </c>
      <c r="L782" s="232"/>
      <c r="M782" s="511"/>
      <c r="N782" s="232"/>
      <c r="O782" s="232"/>
      <c r="P782" s="312"/>
      <c r="Q782" s="312"/>
      <c r="R782" s="312"/>
      <c r="S782" s="312"/>
      <c r="T782" s="312"/>
      <c r="U782" s="312"/>
    </row>
    <row r="783">
      <c r="A783" s="508" t="s">
        <v>25450</v>
      </c>
      <c r="B783" s="232" t="s">
        <v>25470</v>
      </c>
      <c r="C783" s="509" t="s">
        <v>19075</v>
      </c>
      <c r="D783" s="510" t="s">
        <v>25471</v>
      </c>
      <c r="E783" s="511"/>
      <c r="F783" s="232" t="s">
        <v>25472</v>
      </c>
      <c r="G783" s="232" t="s">
        <v>24462</v>
      </c>
      <c r="H783" s="232">
        <v>9.792515073E9</v>
      </c>
      <c r="I783" s="509" t="s">
        <v>22903</v>
      </c>
      <c r="J783" s="232" t="b">
        <v>0</v>
      </c>
      <c r="K783" s="232" t="s">
        <v>22365</v>
      </c>
      <c r="L783" s="232" t="s">
        <v>25465</v>
      </c>
      <c r="M783" s="511"/>
      <c r="N783" s="232"/>
      <c r="O783" s="232"/>
      <c r="P783" s="312"/>
      <c r="Q783" s="312"/>
      <c r="R783" s="312"/>
      <c r="S783" s="312"/>
      <c r="T783" s="312"/>
      <c r="U783" s="312"/>
    </row>
    <row r="784">
      <c r="A784" s="508" t="s">
        <v>25450</v>
      </c>
      <c r="B784" s="232" t="s">
        <v>25473</v>
      </c>
      <c r="C784" s="509" t="s">
        <v>25474</v>
      </c>
      <c r="D784" s="510"/>
      <c r="E784" s="511"/>
      <c r="F784" s="232" t="s">
        <v>25475</v>
      </c>
      <c r="G784" s="232" t="s">
        <v>2662</v>
      </c>
      <c r="H784" s="232">
        <v>9.994687893E9</v>
      </c>
      <c r="I784" s="509" t="s">
        <v>22360</v>
      </c>
      <c r="J784" s="232" t="b">
        <v>0</v>
      </c>
      <c r="K784" s="232" t="s">
        <v>22349</v>
      </c>
      <c r="L784" s="232" t="s">
        <v>24733</v>
      </c>
      <c r="M784" s="511"/>
      <c r="N784" s="232"/>
      <c r="O784" s="232"/>
      <c r="P784" s="312"/>
      <c r="Q784" s="312"/>
      <c r="R784" s="312"/>
      <c r="S784" s="312"/>
      <c r="T784" s="312"/>
      <c r="U784" s="312"/>
    </row>
    <row r="785">
      <c r="A785" s="508" t="s">
        <v>25450</v>
      </c>
      <c r="B785" s="232" t="s">
        <v>25476</v>
      </c>
      <c r="C785" s="509" t="s">
        <v>25477</v>
      </c>
      <c r="D785" s="510"/>
      <c r="E785" s="511"/>
      <c r="F785" s="232" t="s">
        <v>25478</v>
      </c>
      <c r="G785" s="232" t="s">
        <v>23906</v>
      </c>
      <c r="H785" s="232">
        <v>8.489180485E9</v>
      </c>
      <c r="I785" s="509" t="s">
        <v>25156</v>
      </c>
      <c r="J785" s="232" t="b">
        <v>0</v>
      </c>
      <c r="K785" s="232" t="s">
        <v>12092</v>
      </c>
      <c r="L785" s="232"/>
      <c r="M785" s="511"/>
      <c r="N785" s="232"/>
      <c r="O785" s="232"/>
      <c r="P785" s="312"/>
      <c r="Q785" s="312"/>
      <c r="R785" s="312"/>
      <c r="S785" s="312"/>
      <c r="T785" s="312"/>
      <c r="U785" s="312"/>
    </row>
    <row r="786">
      <c r="A786" s="508" t="s">
        <v>25450</v>
      </c>
      <c r="B786" s="232" t="s">
        <v>25479</v>
      </c>
      <c r="C786" s="509" t="s">
        <v>25480</v>
      </c>
      <c r="D786" s="510" t="s">
        <v>25481</v>
      </c>
      <c r="E786" s="511"/>
      <c r="F786" s="232" t="s">
        <v>25482</v>
      </c>
      <c r="G786" s="232" t="s">
        <v>15263</v>
      </c>
      <c r="H786" s="232">
        <v>9.411005178E9</v>
      </c>
      <c r="I786" s="509" t="s">
        <v>25483</v>
      </c>
      <c r="J786" s="232" t="b">
        <v>0</v>
      </c>
      <c r="K786" s="232" t="s">
        <v>22349</v>
      </c>
      <c r="L786" s="232" t="s">
        <v>25484</v>
      </c>
      <c r="M786" s="511"/>
      <c r="N786" s="232"/>
      <c r="O786" s="232"/>
      <c r="P786" s="312"/>
      <c r="Q786" s="312"/>
      <c r="R786" s="312"/>
      <c r="S786" s="312"/>
      <c r="T786" s="312"/>
      <c r="U786" s="312"/>
    </row>
    <row r="787">
      <c r="A787" s="508" t="s">
        <v>25450</v>
      </c>
      <c r="B787" s="232" t="s">
        <v>25485</v>
      </c>
      <c r="C787" s="509" t="s">
        <v>25486</v>
      </c>
      <c r="D787" s="510"/>
      <c r="E787" s="511"/>
      <c r="F787" s="232" t="s">
        <v>25487</v>
      </c>
      <c r="G787" s="232" t="s">
        <v>25488</v>
      </c>
      <c r="H787" s="232">
        <v>7.908147727E9</v>
      </c>
      <c r="I787" s="509" t="s">
        <v>25489</v>
      </c>
      <c r="J787" s="232" t="b">
        <v>0</v>
      </c>
      <c r="K787" s="232" t="s">
        <v>22365</v>
      </c>
      <c r="L787" s="232" t="s">
        <v>25490</v>
      </c>
      <c r="M787" s="511"/>
      <c r="N787" s="232"/>
      <c r="O787" s="232"/>
      <c r="P787" s="312"/>
      <c r="Q787" s="312"/>
      <c r="R787" s="312"/>
      <c r="S787" s="312"/>
      <c r="T787" s="312"/>
      <c r="U787" s="312"/>
    </row>
    <row r="788">
      <c r="A788" s="513" t="s">
        <v>25450</v>
      </c>
      <c r="B788" s="514" t="s">
        <v>25491</v>
      </c>
      <c r="C788" s="515" t="s">
        <v>25492</v>
      </c>
      <c r="D788" s="516" t="s">
        <v>25493</v>
      </c>
      <c r="E788" s="517"/>
      <c r="F788" s="514" t="s">
        <v>25494</v>
      </c>
      <c r="G788" s="514" t="s">
        <v>24162</v>
      </c>
      <c r="H788" s="514">
        <v>9.163574855E9</v>
      </c>
      <c r="I788" s="515" t="s">
        <v>25495</v>
      </c>
      <c r="J788" s="514" t="b">
        <v>0</v>
      </c>
      <c r="K788" s="514" t="s">
        <v>22312</v>
      </c>
      <c r="L788" s="514" t="s">
        <v>25496</v>
      </c>
      <c r="M788" s="511"/>
      <c r="N788" s="232"/>
      <c r="O788" s="232"/>
      <c r="P788" s="312"/>
      <c r="Q788" s="312"/>
      <c r="R788" s="312"/>
      <c r="S788" s="312"/>
      <c r="T788" s="312"/>
      <c r="U788" s="312"/>
    </row>
    <row r="789">
      <c r="A789" s="508" t="s">
        <v>25450</v>
      </c>
      <c r="B789" s="232" t="s">
        <v>25497</v>
      </c>
      <c r="C789" s="509" t="s">
        <v>2545</v>
      </c>
      <c r="D789" s="510"/>
      <c r="E789" s="511"/>
      <c r="F789" s="232"/>
      <c r="G789" s="232" t="s">
        <v>25498</v>
      </c>
      <c r="H789" s="232">
        <v>9.475719847E9</v>
      </c>
      <c r="I789" s="509" t="s">
        <v>25499</v>
      </c>
      <c r="J789" s="232" t="b">
        <v>0</v>
      </c>
      <c r="K789" s="232"/>
      <c r="L789" s="232"/>
      <c r="M789" s="511"/>
      <c r="N789" s="232"/>
      <c r="O789" s="232"/>
      <c r="P789" s="312"/>
      <c r="Q789" s="312"/>
      <c r="R789" s="312"/>
      <c r="S789" s="312"/>
      <c r="T789" s="312"/>
      <c r="U789" s="312"/>
    </row>
    <row r="790">
      <c r="A790" s="508" t="s">
        <v>25450</v>
      </c>
      <c r="B790" s="232" t="s">
        <v>25500</v>
      </c>
      <c r="C790" s="509" t="s">
        <v>25501</v>
      </c>
      <c r="D790" s="510" t="s">
        <v>25502</v>
      </c>
      <c r="E790" s="511"/>
      <c r="F790" s="232" t="s">
        <v>25503</v>
      </c>
      <c r="G790" s="232" t="s">
        <v>99</v>
      </c>
      <c r="H790" s="232">
        <v>9.438777279E9</v>
      </c>
      <c r="I790" s="509" t="s">
        <v>25504</v>
      </c>
      <c r="J790" s="232" t="b">
        <v>0</v>
      </c>
      <c r="K790" s="232" t="s">
        <v>22365</v>
      </c>
      <c r="L790" s="232"/>
      <c r="M790" s="511"/>
      <c r="N790" s="232"/>
      <c r="O790" s="232"/>
      <c r="P790" s="312"/>
      <c r="Q790" s="312"/>
      <c r="R790" s="312"/>
      <c r="S790" s="312"/>
      <c r="T790" s="312"/>
      <c r="U790" s="312"/>
    </row>
    <row r="791">
      <c r="A791" s="508" t="s">
        <v>25450</v>
      </c>
      <c r="B791" s="232" t="s">
        <v>25505</v>
      </c>
      <c r="C791" s="509" t="s">
        <v>25506</v>
      </c>
      <c r="D791" s="510" t="s">
        <v>25507</v>
      </c>
      <c r="E791" s="511"/>
      <c r="F791" s="232" t="s">
        <v>25508</v>
      </c>
      <c r="G791" s="232" t="s">
        <v>25509</v>
      </c>
      <c r="H791" s="232">
        <v>8.240663836E9</v>
      </c>
      <c r="I791" s="509" t="s">
        <v>25343</v>
      </c>
      <c r="J791" s="232" t="b">
        <v>0</v>
      </c>
      <c r="K791" s="526" t="s">
        <v>22365</v>
      </c>
      <c r="L791" s="232" t="s">
        <v>22514</v>
      </c>
      <c r="M791" s="511"/>
      <c r="N791" s="232"/>
      <c r="O791" s="232"/>
      <c r="P791" s="312"/>
      <c r="Q791" s="312"/>
      <c r="R791" s="312"/>
      <c r="S791" s="312"/>
      <c r="T791" s="312"/>
      <c r="U791" s="312"/>
    </row>
    <row r="792">
      <c r="A792" s="508" t="s">
        <v>25450</v>
      </c>
      <c r="B792" s="232" t="s">
        <v>25510</v>
      </c>
      <c r="C792" s="509" t="s">
        <v>4438</v>
      </c>
      <c r="D792" s="510" t="s">
        <v>25511</v>
      </c>
      <c r="E792" s="511"/>
      <c r="F792" s="232" t="s">
        <v>25512</v>
      </c>
      <c r="G792" s="232" t="s">
        <v>44</v>
      </c>
      <c r="H792" s="232">
        <v>8.240475803E9</v>
      </c>
      <c r="I792" s="509" t="s">
        <v>23074</v>
      </c>
      <c r="J792" s="232" t="b">
        <v>0</v>
      </c>
      <c r="K792" s="232" t="s">
        <v>22355</v>
      </c>
      <c r="L792" s="232"/>
      <c r="M792" s="511"/>
      <c r="N792" s="232"/>
      <c r="O792" s="232"/>
      <c r="P792" s="312"/>
      <c r="Q792" s="312"/>
      <c r="R792" s="312"/>
      <c r="S792" s="312"/>
      <c r="T792" s="312"/>
      <c r="U792" s="312"/>
    </row>
    <row r="793">
      <c r="A793" s="520">
        <v>45232.0</v>
      </c>
      <c r="B793" s="232" t="s">
        <v>25513</v>
      </c>
      <c r="C793" s="509" t="s">
        <v>25514</v>
      </c>
      <c r="D793" s="510"/>
      <c r="E793" s="511"/>
      <c r="F793" s="232"/>
      <c r="G793" s="232" t="s">
        <v>18463</v>
      </c>
      <c r="H793" s="232">
        <v>8.927164488E9</v>
      </c>
      <c r="I793" s="512" t="s">
        <v>25515</v>
      </c>
      <c r="J793" s="232" t="b">
        <v>0</v>
      </c>
      <c r="K793" s="232" t="s">
        <v>22349</v>
      </c>
      <c r="L793" s="232" t="s">
        <v>25516</v>
      </c>
      <c r="M793" s="511"/>
      <c r="N793" s="232"/>
      <c r="O793" s="232"/>
      <c r="P793" s="312"/>
      <c r="Q793" s="312"/>
      <c r="R793" s="312"/>
      <c r="S793" s="312"/>
      <c r="T793" s="312"/>
      <c r="U793" s="312"/>
    </row>
    <row r="794">
      <c r="A794" s="520">
        <v>45232.0</v>
      </c>
      <c r="B794" s="232" t="s">
        <v>25517</v>
      </c>
      <c r="C794" s="509" t="s">
        <v>25518</v>
      </c>
      <c r="D794" s="510" t="s">
        <v>25519</v>
      </c>
      <c r="E794" s="511"/>
      <c r="F794" s="232"/>
      <c r="G794" s="232" t="s">
        <v>507</v>
      </c>
      <c r="H794" s="232">
        <v>-9.022686323E9</v>
      </c>
      <c r="I794" s="509" t="s">
        <v>25520</v>
      </c>
      <c r="J794" s="232" t="b">
        <v>0</v>
      </c>
      <c r="K794" s="232" t="s">
        <v>22365</v>
      </c>
      <c r="L794" s="232" t="s">
        <v>24569</v>
      </c>
      <c r="M794" s="511"/>
      <c r="N794" s="232"/>
      <c r="O794" s="232"/>
      <c r="P794" s="312"/>
      <c r="Q794" s="312"/>
      <c r="R794" s="312"/>
      <c r="S794" s="312"/>
      <c r="T794" s="312"/>
      <c r="U794" s="312"/>
    </row>
    <row r="795">
      <c r="A795" s="520">
        <v>45232.0</v>
      </c>
      <c r="B795" s="232" t="s">
        <v>25521</v>
      </c>
      <c r="C795" s="509" t="s">
        <v>25522</v>
      </c>
      <c r="D795" s="510"/>
      <c r="E795" s="511"/>
      <c r="F795" s="232" t="s">
        <v>25523</v>
      </c>
      <c r="G795" s="232" t="s">
        <v>25498</v>
      </c>
      <c r="H795" s="232">
        <v>7.699858319E9</v>
      </c>
      <c r="I795" s="509" t="s">
        <v>22373</v>
      </c>
      <c r="J795" s="232" t="b">
        <v>0</v>
      </c>
      <c r="K795" s="232" t="s">
        <v>22355</v>
      </c>
      <c r="L795" s="232"/>
      <c r="M795" s="511"/>
      <c r="N795" s="232"/>
      <c r="O795" s="232"/>
      <c r="P795" s="312"/>
      <c r="Q795" s="312"/>
      <c r="R795" s="312"/>
      <c r="S795" s="312"/>
      <c r="T795" s="312"/>
      <c r="U795" s="312"/>
    </row>
    <row r="796">
      <c r="A796" s="521">
        <v>45232.0</v>
      </c>
      <c r="B796" s="514" t="s">
        <v>25524</v>
      </c>
      <c r="C796" s="515" t="s">
        <v>25525</v>
      </c>
      <c r="D796" s="516" t="s">
        <v>25526</v>
      </c>
      <c r="E796" s="517"/>
      <c r="F796" s="514" t="s">
        <v>25527</v>
      </c>
      <c r="G796" s="514" t="s">
        <v>25528</v>
      </c>
      <c r="H796" s="514">
        <v>9.836307568E9</v>
      </c>
      <c r="I796" s="515" t="s">
        <v>25529</v>
      </c>
      <c r="J796" s="514" t="b">
        <v>0</v>
      </c>
      <c r="K796" s="514" t="s">
        <v>22312</v>
      </c>
      <c r="L796" s="514" t="s">
        <v>25457</v>
      </c>
      <c r="M796" s="511"/>
      <c r="N796" s="232"/>
      <c r="O796" s="232"/>
      <c r="P796" s="312"/>
      <c r="Q796" s="312"/>
      <c r="R796" s="312"/>
      <c r="S796" s="312"/>
      <c r="T796" s="312"/>
      <c r="U796" s="312"/>
    </row>
    <row r="797">
      <c r="A797" s="520">
        <v>45232.0</v>
      </c>
      <c r="B797" s="232" t="s">
        <v>25530</v>
      </c>
      <c r="C797" s="509" t="s">
        <v>25531</v>
      </c>
      <c r="D797" s="510" t="s">
        <v>25532</v>
      </c>
      <c r="E797" s="511"/>
      <c r="F797" s="232" t="s">
        <v>25533</v>
      </c>
      <c r="G797" s="232" t="s">
        <v>25534</v>
      </c>
      <c r="H797" s="232">
        <v>9.03138461E9</v>
      </c>
      <c r="I797" s="509" t="s">
        <v>24767</v>
      </c>
      <c r="J797" s="232" t="b">
        <v>0</v>
      </c>
      <c r="K797" s="232" t="s">
        <v>12092</v>
      </c>
      <c r="L797" s="232"/>
      <c r="M797" s="511"/>
      <c r="N797" s="232"/>
      <c r="O797" s="232"/>
      <c r="P797" s="312"/>
      <c r="Q797" s="312"/>
      <c r="R797" s="312"/>
      <c r="S797" s="312"/>
      <c r="T797" s="312"/>
      <c r="U797" s="312"/>
    </row>
    <row r="798">
      <c r="A798" s="520">
        <v>45232.0</v>
      </c>
      <c r="B798" s="232" t="s">
        <v>25535</v>
      </c>
      <c r="C798" s="509" t="s">
        <v>25536</v>
      </c>
      <c r="D798" s="510"/>
      <c r="E798" s="511"/>
      <c r="F798" s="232" t="s">
        <v>25537</v>
      </c>
      <c r="G798" s="232" t="s">
        <v>25538</v>
      </c>
      <c r="H798" s="232">
        <v>8.974565837E9</v>
      </c>
      <c r="I798" s="19" t="s">
        <v>22373</v>
      </c>
      <c r="J798" s="232" t="b">
        <v>0</v>
      </c>
      <c r="K798" s="232" t="s">
        <v>22349</v>
      </c>
      <c r="L798" s="232" t="s">
        <v>25539</v>
      </c>
      <c r="M798" s="511"/>
      <c r="N798" s="232"/>
      <c r="O798" s="232"/>
      <c r="P798" s="312"/>
      <c r="Q798" s="312"/>
      <c r="R798" s="312"/>
      <c r="S798" s="312"/>
      <c r="T798" s="312"/>
      <c r="U798" s="312"/>
    </row>
    <row r="799">
      <c r="A799" s="520">
        <v>45201.0</v>
      </c>
      <c r="B799" s="232" t="s">
        <v>25540</v>
      </c>
      <c r="C799" s="509" t="s">
        <v>25541</v>
      </c>
      <c r="D799" s="510"/>
      <c r="E799" s="511"/>
      <c r="F799" s="232" t="s">
        <v>25542</v>
      </c>
      <c r="G799" s="232" t="s">
        <v>1691</v>
      </c>
      <c r="H799" s="232">
        <v>7.001471054E9</v>
      </c>
      <c r="I799" s="509" t="s">
        <v>22289</v>
      </c>
      <c r="J799" s="232" t="b">
        <v>0</v>
      </c>
      <c r="K799" s="232" t="s">
        <v>334</v>
      </c>
      <c r="L799" s="232"/>
      <c r="M799" s="511"/>
      <c r="N799" s="232"/>
      <c r="O799" s="232"/>
      <c r="P799" s="312"/>
      <c r="Q799" s="312"/>
      <c r="R799" s="312"/>
      <c r="S799" s="312"/>
      <c r="T799" s="312"/>
      <c r="U799" s="312"/>
    </row>
    <row r="800">
      <c r="A800" s="520">
        <v>45201.0</v>
      </c>
      <c r="B800" s="232" t="s">
        <v>25543</v>
      </c>
      <c r="C800" s="509" t="s">
        <v>25536</v>
      </c>
      <c r="D800" s="510"/>
      <c r="E800" s="511"/>
      <c r="F800" s="232"/>
      <c r="G800" s="232" t="s">
        <v>22384</v>
      </c>
      <c r="H800" s="232">
        <v>8.974565837E9</v>
      </c>
      <c r="I800" s="509" t="s">
        <v>22373</v>
      </c>
      <c r="J800" s="232" t="b">
        <v>0</v>
      </c>
      <c r="K800" s="232" t="s">
        <v>22349</v>
      </c>
      <c r="L800" s="232" t="s">
        <v>25539</v>
      </c>
      <c r="M800" s="511"/>
      <c r="N800" s="232"/>
      <c r="O800" s="232"/>
      <c r="P800" s="312"/>
      <c r="Q800" s="312"/>
      <c r="R800" s="312"/>
      <c r="S800" s="312"/>
      <c r="T800" s="312"/>
      <c r="U800" s="312"/>
    </row>
    <row r="801">
      <c r="A801" s="520">
        <v>45201.0</v>
      </c>
      <c r="B801" s="232" t="s">
        <v>25544</v>
      </c>
      <c r="C801" s="509" t="s">
        <v>25545</v>
      </c>
      <c r="D801" s="510"/>
      <c r="E801" s="511"/>
      <c r="F801" s="232" t="s">
        <v>25546</v>
      </c>
      <c r="G801" s="232" t="s">
        <v>25547</v>
      </c>
      <c r="H801" s="232">
        <v>7.602810732E9</v>
      </c>
      <c r="I801" s="509" t="s">
        <v>22577</v>
      </c>
      <c r="J801" s="232" t="b">
        <v>0</v>
      </c>
      <c r="K801" s="232" t="s">
        <v>22365</v>
      </c>
      <c r="L801" s="232" t="s">
        <v>22422</v>
      </c>
      <c r="M801" s="511"/>
      <c r="N801" s="232"/>
      <c r="O801" s="232"/>
      <c r="P801" s="312"/>
      <c r="Q801" s="312"/>
      <c r="R801" s="312"/>
      <c r="S801" s="312"/>
      <c r="T801" s="312"/>
      <c r="U801" s="312"/>
    </row>
    <row r="802">
      <c r="A802" s="520">
        <v>45201.0</v>
      </c>
      <c r="B802" s="232" t="s">
        <v>25548</v>
      </c>
      <c r="C802" s="509" t="s">
        <v>25549</v>
      </c>
      <c r="D802" s="510" t="s">
        <v>25550</v>
      </c>
      <c r="E802" s="511"/>
      <c r="F802" s="232" t="s">
        <v>25551</v>
      </c>
      <c r="G802" s="232" t="s">
        <v>44</v>
      </c>
      <c r="H802" s="232">
        <v>9.83095638E9</v>
      </c>
      <c r="I802" s="509" t="s">
        <v>23669</v>
      </c>
      <c r="J802" s="232" t="b">
        <v>0</v>
      </c>
      <c r="K802" s="232" t="s">
        <v>22365</v>
      </c>
      <c r="L802" s="232" t="s">
        <v>22366</v>
      </c>
      <c r="M802" s="511"/>
      <c r="N802" s="232"/>
      <c r="O802" s="232"/>
      <c r="P802" s="312"/>
      <c r="Q802" s="312"/>
      <c r="R802" s="312"/>
      <c r="S802" s="312"/>
      <c r="T802" s="312"/>
      <c r="U802" s="312"/>
    </row>
    <row r="803">
      <c r="A803" s="520">
        <v>45201.0</v>
      </c>
      <c r="B803" s="232" t="s">
        <v>25552</v>
      </c>
      <c r="C803" s="509" t="s">
        <v>25553</v>
      </c>
      <c r="D803" s="510"/>
      <c r="E803" s="511"/>
      <c r="F803" s="232"/>
      <c r="G803" s="232" t="s">
        <v>822</v>
      </c>
      <c r="H803" s="232">
        <v>7.585816484E9</v>
      </c>
      <c r="I803" s="509" t="s">
        <v>22373</v>
      </c>
      <c r="J803" s="232" t="b">
        <v>0</v>
      </c>
      <c r="K803" s="232" t="s">
        <v>22349</v>
      </c>
      <c r="L803" s="232" t="s">
        <v>23793</v>
      </c>
      <c r="M803" s="511"/>
      <c r="N803" s="232"/>
      <c r="O803" s="232"/>
      <c r="P803" s="312"/>
      <c r="Q803" s="312"/>
      <c r="R803" s="312"/>
      <c r="S803" s="312"/>
      <c r="T803" s="312"/>
      <c r="U803" s="312"/>
    </row>
    <row r="804">
      <c r="A804" s="520">
        <v>45201.0</v>
      </c>
      <c r="B804" s="232" t="s">
        <v>25554</v>
      </c>
      <c r="C804" s="509" t="s">
        <v>474</v>
      </c>
      <c r="D804" s="510"/>
      <c r="E804" s="511"/>
      <c r="F804" s="232" t="s">
        <v>25555</v>
      </c>
      <c r="G804" s="232" t="s">
        <v>25556</v>
      </c>
      <c r="H804" s="232">
        <v>8.653841729E9</v>
      </c>
      <c r="I804" s="509" t="s">
        <v>22289</v>
      </c>
      <c r="J804" s="232" t="b">
        <v>0</v>
      </c>
      <c r="K804" s="232" t="s">
        <v>22365</v>
      </c>
      <c r="L804" s="232" t="s">
        <v>22514</v>
      </c>
      <c r="M804" s="511"/>
      <c r="N804" s="232"/>
      <c r="O804" s="232"/>
      <c r="P804" s="312"/>
      <c r="Q804" s="312"/>
      <c r="R804" s="312"/>
      <c r="S804" s="312"/>
      <c r="T804" s="312"/>
      <c r="U804" s="312"/>
    </row>
    <row r="805">
      <c r="A805" s="520">
        <v>45201.0</v>
      </c>
      <c r="B805" s="232" t="s">
        <v>25557</v>
      </c>
      <c r="C805" s="509" t="s">
        <v>25558</v>
      </c>
      <c r="D805" s="510" t="s">
        <v>25559</v>
      </c>
      <c r="E805" s="511"/>
      <c r="F805" s="232" t="s">
        <v>25560</v>
      </c>
      <c r="G805" s="232" t="s">
        <v>3216</v>
      </c>
      <c r="H805" s="232">
        <v>9.330767645E9</v>
      </c>
      <c r="I805" s="509" t="s">
        <v>25561</v>
      </c>
      <c r="J805" s="232" t="b">
        <v>0</v>
      </c>
      <c r="K805" s="232" t="s">
        <v>22355</v>
      </c>
      <c r="L805" s="232"/>
      <c r="M805" s="511"/>
      <c r="N805" s="232"/>
      <c r="O805" s="232"/>
      <c r="P805" s="312"/>
      <c r="Q805" s="312"/>
      <c r="R805" s="312"/>
      <c r="S805" s="312"/>
      <c r="T805" s="312"/>
      <c r="U805" s="312"/>
    </row>
    <row r="806">
      <c r="A806" s="520">
        <v>45201.0</v>
      </c>
      <c r="B806" s="232" t="s">
        <v>25562</v>
      </c>
      <c r="C806" s="509" t="s">
        <v>25563</v>
      </c>
      <c r="D806" s="510" t="s">
        <v>25564</v>
      </c>
      <c r="E806" s="511"/>
      <c r="F806" s="232" t="s">
        <v>25565</v>
      </c>
      <c r="G806" s="232" t="s">
        <v>44</v>
      </c>
      <c r="H806" s="232">
        <v>8.017158668E9</v>
      </c>
      <c r="I806" s="509" t="s">
        <v>22903</v>
      </c>
      <c r="J806" s="232" t="b">
        <v>0</v>
      </c>
      <c r="K806" s="232" t="s">
        <v>22365</v>
      </c>
      <c r="L806" s="232" t="s">
        <v>22514</v>
      </c>
      <c r="M806" s="511"/>
      <c r="N806" s="232"/>
      <c r="O806" s="232"/>
      <c r="P806" s="312"/>
      <c r="Q806" s="312"/>
      <c r="R806" s="312"/>
      <c r="S806" s="312"/>
      <c r="T806" s="312"/>
      <c r="U806" s="312"/>
    </row>
    <row r="807">
      <c r="A807" s="521">
        <v>45171.0</v>
      </c>
      <c r="B807" s="514" t="s">
        <v>25566</v>
      </c>
      <c r="C807" s="515" t="s">
        <v>25567</v>
      </c>
      <c r="D807" s="516"/>
      <c r="E807" s="517"/>
      <c r="F807" s="514"/>
      <c r="G807" s="514" t="s">
        <v>23673</v>
      </c>
      <c r="H807" s="514">
        <v>8.275695638E9</v>
      </c>
      <c r="I807" s="515" t="s">
        <v>25568</v>
      </c>
      <c r="J807" s="514" t="b">
        <v>0</v>
      </c>
      <c r="K807" s="514" t="s">
        <v>22312</v>
      </c>
      <c r="L807" s="514" t="s">
        <v>25569</v>
      </c>
      <c r="M807" s="511"/>
      <c r="N807" s="232"/>
      <c r="O807" s="232"/>
      <c r="P807" s="312"/>
      <c r="Q807" s="312"/>
      <c r="R807" s="312"/>
      <c r="S807" s="312"/>
      <c r="T807" s="312"/>
      <c r="U807" s="312"/>
    </row>
    <row r="808">
      <c r="A808" s="520">
        <v>45171.0</v>
      </c>
      <c r="B808" s="232" t="s">
        <v>25570</v>
      </c>
      <c r="C808" s="509" t="s">
        <v>2020</v>
      </c>
      <c r="D808" s="510"/>
      <c r="E808" s="511"/>
      <c r="F808" s="232" t="s">
        <v>25571</v>
      </c>
      <c r="G808" s="232" t="s">
        <v>2882</v>
      </c>
      <c r="H808" s="232">
        <v>8.607600804E9</v>
      </c>
      <c r="I808" s="509" t="s">
        <v>22360</v>
      </c>
      <c r="J808" s="232" t="b">
        <v>0</v>
      </c>
      <c r="K808" s="232" t="s">
        <v>334</v>
      </c>
      <c r="L808" s="232"/>
      <c r="M808" s="511"/>
      <c r="N808" s="232"/>
      <c r="O808" s="232"/>
      <c r="P808" s="312"/>
      <c r="Q808" s="312"/>
      <c r="R808" s="312"/>
      <c r="S808" s="312"/>
      <c r="T808" s="312"/>
      <c r="U808" s="312"/>
    </row>
    <row r="809">
      <c r="A809" s="520">
        <v>45171.0</v>
      </c>
      <c r="B809" s="232" t="s">
        <v>25572</v>
      </c>
      <c r="C809" s="509" t="s">
        <v>25573</v>
      </c>
      <c r="D809" s="510"/>
      <c r="E809" s="511"/>
      <c r="F809" s="232"/>
      <c r="G809" s="232" t="s">
        <v>1461</v>
      </c>
      <c r="H809" s="232">
        <v>9.729266128E9</v>
      </c>
      <c r="I809" s="509" t="s">
        <v>25574</v>
      </c>
      <c r="J809" s="232" t="b">
        <v>0</v>
      </c>
      <c r="K809" s="232" t="s">
        <v>22349</v>
      </c>
      <c r="L809" s="232" t="s">
        <v>25575</v>
      </c>
      <c r="M809" s="511"/>
      <c r="N809" s="232"/>
      <c r="O809" s="232"/>
      <c r="P809" s="312"/>
      <c r="Q809" s="312"/>
      <c r="R809" s="312"/>
      <c r="S809" s="312"/>
      <c r="T809" s="312"/>
      <c r="U809" s="312"/>
    </row>
    <row r="810">
      <c r="A810" s="520">
        <v>45171.0</v>
      </c>
      <c r="B810" s="232" t="s">
        <v>25576</v>
      </c>
      <c r="C810" s="509" t="s">
        <v>25577</v>
      </c>
      <c r="D810" s="510" t="s">
        <v>25578</v>
      </c>
      <c r="E810" s="511"/>
      <c r="F810" s="232"/>
      <c r="G810" s="232" t="s">
        <v>22337</v>
      </c>
      <c r="H810" s="232">
        <v>7.327853405E9</v>
      </c>
      <c r="I810" s="512" t="s">
        <v>25579</v>
      </c>
      <c r="J810" s="232" t="b">
        <v>0</v>
      </c>
      <c r="K810" s="232" t="s">
        <v>22365</v>
      </c>
      <c r="L810" s="232" t="s">
        <v>22422</v>
      </c>
      <c r="M810" s="511"/>
      <c r="N810" s="232"/>
      <c r="O810" s="232"/>
      <c r="P810" s="312"/>
      <c r="Q810" s="312"/>
      <c r="R810" s="312"/>
      <c r="S810" s="312"/>
      <c r="T810" s="312"/>
      <c r="U810" s="312"/>
    </row>
    <row r="811">
      <c r="A811" s="520">
        <v>45171.0</v>
      </c>
      <c r="B811" s="232" t="s">
        <v>25580</v>
      </c>
      <c r="C811" s="509" t="s">
        <v>25581</v>
      </c>
      <c r="D811" s="510" t="s">
        <v>25582</v>
      </c>
      <c r="E811" s="511"/>
      <c r="F811" s="232" t="s">
        <v>25583</v>
      </c>
      <c r="G811" s="232" t="s">
        <v>25584</v>
      </c>
      <c r="H811" s="232">
        <v>9.946934274E9</v>
      </c>
      <c r="I811" s="509" t="s">
        <v>22373</v>
      </c>
      <c r="J811" s="232" t="b">
        <v>0</v>
      </c>
      <c r="K811" s="232" t="s">
        <v>22365</v>
      </c>
      <c r="L811" s="232" t="s">
        <v>25585</v>
      </c>
      <c r="M811" s="511"/>
      <c r="N811" s="232"/>
      <c r="O811" s="232"/>
      <c r="P811" s="312"/>
      <c r="Q811" s="312"/>
      <c r="R811" s="312"/>
      <c r="S811" s="312"/>
      <c r="T811" s="312"/>
      <c r="U811" s="312"/>
    </row>
    <row r="812">
      <c r="A812" s="520">
        <v>45171.0</v>
      </c>
      <c r="B812" s="232" t="s">
        <v>25586</v>
      </c>
      <c r="C812" s="509" t="s">
        <v>25587</v>
      </c>
      <c r="D812" s="510"/>
      <c r="E812" s="511"/>
      <c r="F812" s="232" t="s">
        <v>25588</v>
      </c>
      <c r="G812" s="232" t="s">
        <v>24240</v>
      </c>
      <c r="H812" s="232">
        <v>9.412087399E9</v>
      </c>
      <c r="I812" s="512" t="s">
        <v>25589</v>
      </c>
      <c r="J812" s="232" t="b">
        <v>0</v>
      </c>
      <c r="K812" s="232" t="s">
        <v>22365</v>
      </c>
      <c r="L812" s="232" t="s">
        <v>22509</v>
      </c>
      <c r="M812" s="511"/>
      <c r="N812" s="232"/>
      <c r="O812" s="232"/>
      <c r="P812" s="312"/>
      <c r="Q812" s="312"/>
      <c r="R812" s="312"/>
      <c r="S812" s="312"/>
      <c r="T812" s="312"/>
      <c r="U812" s="312"/>
    </row>
    <row r="813">
      <c r="A813" s="520">
        <v>45171.0</v>
      </c>
      <c r="B813" s="232" t="s">
        <v>25590</v>
      </c>
      <c r="C813" s="509" t="s">
        <v>6486</v>
      </c>
      <c r="D813" s="510" t="s">
        <v>25591</v>
      </c>
      <c r="E813" s="511"/>
      <c r="F813" s="232" t="s">
        <v>25592</v>
      </c>
      <c r="G813" s="232" t="s">
        <v>22630</v>
      </c>
      <c r="H813" s="232">
        <v>7.984619296E9</v>
      </c>
      <c r="I813" s="509" t="s">
        <v>22502</v>
      </c>
      <c r="J813" s="232" t="b">
        <v>0</v>
      </c>
      <c r="K813" s="232" t="s">
        <v>22365</v>
      </c>
      <c r="L813" s="232" t="s">
        <v>22509</v>
      </c>
      <c r="M813" s="511"/>
      <c r="N813" s="232"/>
      <c r="O813" s="232"/>
      <c r="P813" s="312"/>
      <c r="Q813" s="312"/>
      <c r="R813" s="312"/>
      <c r="S813" s="312"/>
      <c r="T813" s="312"/>
      <c r="U813" s="312"/>
    </row>
    <row r="814" ht="24.75" customHeight="1">
      <c r="A814" s="520">
        <v>45171.0</v>
      </c>
      <c r="B814" s="232" t="s">
        <v>25593</v>
      </c>
      <c r="C814" s="509" t="s">
        <v>25594</v>
      </c>
      <c r="D814" s="510" t="s">
        <v>25595</v>
      </c>
      <c r="E814" s="511"/>
      <c r="F814" s="232" t="s">
        <v>25596</v>
      </c>
      <c r="G814" s="232" t="s">
        <v>25597</v>
      </c>
      <c r="H814" s="232">
        <v>7.797184854E9</v>
      </c>
      <c r="I814" s="509" t="s">
        <v>25598</v>
      </c>
      <c r="J814" s="232" t="b">
        <v>0</v>
      </c>
      <c r="K814" s="232" t="s">
        <v>22355</v>
      </c>
      <c r="L814" s="232"/>
      <c r="M814" s="511"/>
      <c r="N814" s="232"/>
      <c r="O814" s="232"/>
      <c r="P814" s="312"/>
      <c r="Q814" s="312"/>
      <c r="R814" s="312"/>
      <c r="S814" s="312"/>
      <c r="T814" s="312"/>
      <c r="U814" s="312"/>
    </row>
    <row r="815">
      <c r="A815" s="520">
        <v>45171.0</v>
      </c>
      <c r="B815" s="232" t="s">
        <v>25599</v>
      </c>
      <c r="C815" s="509" t="s">
        <v>10053</v>
      </c>
      <c r="D815" s="510" t="s">
        <v>25600</v>
      </c>
      <c r="E815" s="511"/>
      <c r="F815" s="232" t="s">
        <v>25601</v>
      </c>
      <c r="G815" s="232" t="s">
        <v>507</v>
      </c>
      <c r="H815" s="232">
        <v>7.499836549E9</v>
      </c>
      <c r="I815" s="509" t="s">
        <v>22373</v>
      </c>
      <c r="J815" s="232" t="b">
        <v>0</v>
      </c>
      <c r="K815" s="232" t="s">
        <v>22349</v>
      </c>
      <c r="L815" s="232" t="s">
        <v>24733</v>
      </c>
      <c r="M815" s="511"/>
      <c r="N815" s="232"/>
      <c r="O815" s="232"/>
      <c r="P815" s="312"/>
      <c r="Q815" s="312"/>
      <c r="R815" s="312"/>
      <c r="S815" s="312"/>
      <c r="T815" s="312"/>
      <c r="U815" s="312"/>
    </row>
    <row r="816">
      <c r="A816" s="520">
        <v>45171.0</v>
      </c>
      <c r="B816" s="232" t="s">
        <v>25602</v>
      </c>
      <c r="C816" s="509" t="s">
        <v>10371</v>
      </c>
      <c r="D816" s="510" t="s">
        <v>25603</v>
      </c>
      <c r="E816" s="511"/>
      <c r="F816" s="232" t="s">
        <v>25604</v>
      </c>
      <c r="G816" s="232" t="s">
        <v>507</v>
      </c>
      <c r="H816" s="232">
        <v>9.766857958E9</v>
      </c>
      <c r="I816" s="509" t="s">
        <v>22289</v>
      </c>
      <c r="J816" s="232" t="b">
        <v>0</v>
      </c>
      <c r="K816" s="232" t="s">
        <v>22349</v>
      </c>
      <c r="L816" s="232" t="s">
        <v>25605</v>
      </c>
      <c r="M816" s="511"/>
      <c r="N816" s="232"/>
      <c r="O816" s="232"/>
      <c r="P816" s="312"/>
      <c r="Q816" s="312"/>
      <c r="R816" s="312"/>
      <c r="S816" s="312"/>
      <c r="T816" s="312"/>
      <c r="U816" s="312"/>
    </row>
    <row r="817">
      <c r="A817" s="520">
        <v>45171.0</v>
      </c>
      <c r="B817" s="232" t="s">
        <v>25606</v>
      </c>
      <c r="C817" s="509" t="s">
        <v>14637</v>
      </c>
      <c r="D817" s="510"/>
      <c r="E817" s="511"/>
      <c r="F817" s="232"/>
      <c r="G817" s="232" t="s">
        <v>23598</v>
      </c>
      <c r="H817" s="232">
        <v>7.903529307E9</v>
      </c>
      <c r="I817" s="509" t="s">
        <v>25607</v>
      </c>
      <c r="J817" s="232" t="b">
        <v>0</v>
      </c>
      <c r="K817" s="232" t="s">
        <v>22349</v>
      </c>
      <c r="L817" s="232" t="s">
        <v>24733</v>
      </c>
      <c r="M817" s="511"/>
      <c r="N817" s="232"/>
      <c r="O817" s="232"/>
      <c r="P817" s="312"/>
      <c r="Q817" s="312"/>
      <c r="R817" s="312"/>
      <c r="S817" s="312"/>
      <c r="T817" s="312"/>
      <c r="U817" s="312"/>
    </row>
    <row r="818">
      <c r="A818" s="520">
        <v>45171.0</v>
      </c>
      <c r="B818" s="232" t="s">
        <v>25608</v>
      </c>
      <c r="C818" s="509" t="s">
        <v>25609</v>
      </c>
      <c r="D818" s="510"/>
      <c r="E818" s="511"/>
      <c r="F818" s="232"/>
      <c r="G818" s="232" t="s">
        <v>23598</v>
      </c>
      <c r="H818" s="232">
        <v>8.292513134E9</v>
      </c>
      <c r="I818" s="509" t="s">
        <v>22373</v>
      </c>
      <c r="J818" s="232" t="b">
        <v>0</v>
      </c>
      <c r="K818" s="232" t="s">
        <v>22355</v>
      </c>
      <c r="L818" s="232"/>
      <c r="M818" s="511"/>
      <c r="N818" s="232"/>
      <c r="O818" s="232"/>
      <c r="P818" s="312"/>
      <c r="Q818" s="312"/>
      <c r="R818" s="312"/>
      <c r="S818" s="312"/>
      <c r="T818" s="312"/>
      <c r="U818" s="312"/>
    </row>
    <row r="819">
      <c r="A819" s="520">
        <v>45171.0</v>
      </c>
      <c r="B819" s="232" t="s">
        <v>25610</v>
      </c>
      <c r="C819" s="509" t="s">
        <v>25611</v>
      </c>
      <c r="D819" s="510"/>
      <c r="E819" s="511"/>
      <c r="F819" s="232" t="s">
        <v>25612</v>
      </c>
      <c r="G819" s="232" t="s">
        <v>7995</v>
      </c>
      <c r="H819" s="232">
        <v>9.830814392E9</v>
      </c>
      <c r="I819" s="509" t="s">
        <v>23761</v>
      </c>
      <c r="J819" s="232" t="b">
        <v>0</v>
      </c>
      <c r="K819" s="232" t="s">
        <v>22349</v>
      </c>
      <c r="L819" s="232" t="s">
        <v>25613</v>
      </c>
      <c r="M819" s="511"/>
      <c r="N819" s="232"/>
      <c r="O819" s="232"/>
      <c r="P819" s="312"/>
      <c r="Q819" s="312"/>
      <c r="R819" s="312"/>
      <c r="S819" s="312"/>
      <c r="T819" s="312"/>
      <c r="U819" s="312"/>
    </row>
    <row r="820">
      <c r="A820" s="520">
        <v>45171.0</v>
      </c>
      <c r="B820" s="232" t="s">
        <v>25614</v>
      </c>
      <c r="C820" s="509" t="s">
        <v>25615</v>
      </c>
      <c r="D820" s="510"/>
      <c r="E820" s="511"/>
      <c r="F820" s="232" t="s">
        <v>25616</v>
      </c>
      <c r="G820" s="232" t="s">
        <v>507</v>
      </c>
      <c r="H820" s="232">
        <v>8.850188631E9</v>
      </c>
      <c r="I820" s="509" t="s">
        <v>22698</v>
      </c>
      <c r="J820" s="232" t="b">
        <v>0</v>
      </c>
      <c r="K820" s="232" t="s">
        <v>22365</v>
      </c>
      <c r="L820" s="232" t="s">
        <v>23537</v>
      </c>
      <c r="M820" s="511"/>
      <c r="N820" s="232"/>
      <c r="O820" s="232"/>
      <c r="P820" s="312"/>
      <c r="Q820" s="312"/>
      <c r="R820" s="312"/>
      <c r="S820" s="312"/>
      <c r="T820" s="312"/>
      <c r="U820" s="312"/>
    </row>
    <row r="821">
      <c r="A821" s="520">
        <v>45171.0</v>
      </c>
      <c r="B821" s="232" t="s">
        <v>25617</v>
      </c>
      <c r="C821" s="509" t="s">
        <v>25618</v>
      </c>
      <c r="D821" s="510"/>
      <c r="E821" s="511"/>
      <c r="F821" s="232" t="s">
        <v>25619</v>
      </c>
      <c r="G821" s="232" t="s">
        <v>22770</v>
      </c>
      <c r="H821" s="232">
        <v>9.91122887E9</v>
      </c>
      <c r="I821" s="509" t="s">
        <v>22373</v>
      </c>
      <c r="J821" s="232" t="b">
        <v>0</v>
      </c>
      <c r="K821" s="232"/>
      <c r="L821" s="232"/>
      <c r="M821" s="511"/>
      <c r="N821" s="232"/>
      <c r="O821" s="232"/>
      <c r="P821" s="312"/>
      <c r="Q821" s="312"/>
      <c r="R821" s="312"/>
      <c r="S821" s="312"/>
      <c r="T821" s="312"/>
      <c r="U821" s="312"/>
    </row>
    <row r="822">
      <c r="A822" s="520">
        <v>45140.0</v>
      </c>
      <c r="B822" s="232" t="s">
        <v>25620</v>
      </c>
      <c r="C822" s="509" t="s">
        <v>25621</v>
      </c>
      <c r="D822" s="510" t="s">
        <v>25622</v>
      </c>
      <c r="E822" s="511"/>
      <c r="F822" s="232" t="s">
        <v>25623</v>
      </c>
      <c r="G822" s="232" t="s">
        <v>23823</v>
      </c>
      <c r="H822" s="232">
        <v>8.249093157E9</v>
      </c>
      <c r="I822" s="509" t="s">
        <v>22289</v>
      </c>
      <c r="J822" s="232" t="b">
        <v>0</v>
      </c>
      <c r="K822" s="232" t="s">
        <v>22365</v>
      </c>
      <c r="L822" s="232" t="s">
        <v>22904</v>
      </c>
      <c r="M822" s="511"/>
      <c r="N822" s="232"/>
      <c r="O822" s="232"/>
      <c r="P822" s="312"/>
      <c r="Q822" s="312"/>
      <c r="R822" s="312"/>
      <c r="S822" s="312"/>
      <c r="T822" s="312"/>
      <c r="U822" s="312"/>
    </row>
    <row r="823">
      <c r="A823" s="520">
        <v>45140.0</v>
      </c>
      <c r="B823" s="232" t="s">
        <v>25624</v>
      </c>
      <c r="C823" s="509" t="s">
        <v>25625</v>
      </c>
      <c r="D823" s="510"/>
      <c r="E823" s="511"/>
      <c r="F823" s="232"/>
      <c r="G823" s="232" t="s">
        <v>2662</v>
      </c>
      <c r="H823" s="232">
        <v>9.884517177E9</v>
      </c>
      <c r="I823" s="509" t="s">
        <v>25626</v>
      </c>
      <c r="J823" s="232" t="b">
        <v>0</v>
      </c>
      <c r="K823" s="232" t="s">
        <v>22365</v>
      </c>
      <c r="L823" s="232" t="s">
        <v>22386</v>
      </c>
      <c r="M823" s="511"/>
      <c r="N823" s="232"/>
      <c r="O823" s="232"/>
      <c r="P823" s="312"/>
      <c r="Q823" s="312"/>
      <c r="R823" s="312"/>
      <c r="S823" s="312"/>
      <c r="T823" s="312"/>
      <c r="U823" s="312"/>
    </row>
    <row r="824">
      <c r="A824" s="520">
        <v>45140.0</v>
      </c>
      <c r="B824" s="232" t="s">
        <v>25627</v>
      </c>
      <c r="C824" s="509" t="s">
        <v>25628</v>
      </c>
      <c r="D824" s="510" t="s">
        <v>25629</v>
      </c>
      <c r="E824" s="511"/>
      <c r="F824" s="232" t="s">
        <v>25630</v>
      </c>
      <c r="G824" s="232" t="s">
        <v>25631</v>
      </c>
      <c r="H824" s="232">
        <v>9.818666121E9</v>
      </c>
      <c r="I824" s="512" t="s">
        <v>25632</v>
      </c>
      <c r="J824" s="232" t="b">
        <v>0</v>
      </c>
      <c r="K824" s="232" t="s">
        <v>22365</v>
      </c>
      <c r="L824" s="232" t="s">
        <v>25633</v>
      </c>
      <c r="M824" s="511"/>
      <c r="N824" s="232"/>
      <c r="O824" s="232"/>
      <c r="P824" s="312"/>
      <c r="Q824" s="312"/>
      <c r="R824" s="312"/>
      <c r="S824" s="312"/>
      <c r="T824" s="312"/>
      <c r="U824" s="312"/>
    </row>
    <row r="825">
      <c r="A825" s="520">
        <v>45140.0</v>
      </c>
      <c r="B825" s="232" t="s">
        <v>25634</v>
      </c>
      <c r="C825" s="509" t="s">
        <v>25635</v>
      </c>
      <c r="D825" s="510"/>
      <c r="E825" s="511"/>
      <c r="F825" s="232" t="s">
        <v>25636</v>
      </c>
      <c r="G825" s="232" t="s">
        <v>507</v>
      </c>
      <c r="H825" s="232">
        <v>8.080911605E9</v>
      </c>
      <c r="I825" s="509" t="s">
        <v>25637</v>
      </c>
      <c r="J825" s="232" t="b">
        <v>0</v>
      </c>
      <c r="K825" s="232" t="s">
        <v>334</v>
      </c>
      <c r="L825" s="232"/>
      <c r="M825" s="511"/>
      <c r="N825" s="232"/>
      <c r="O825" s="232"/>
      <c r="P825" s="312"/>
      <c r="Q825" s="312"/>
      <c r="R825" s="312"/>
      <c r="S825" s="312"/>
      <c r="T825" s="312"/>
      <c r="U825" s="312"/>
    </row>
    <row r="826">
      <c r="A826" s="520">
        <v>45140.0</v>
      </c>
      <c r="B826" s="232" t="s">
        <v>25638</v>
      </c>
      <c r="C826" s="509" t="s">
        <v>25639</v>
      </c>
      <c r="D826" s="510"/>
      <c r="E826" s="511"/>
      <c r="F826" s="232" t="s">
        <v>25640</v>
      </c>
      <c r="G826" s="232" t="s">
        <v>9359</v>
      </c>
      <c r="H826" s="232">
        <v>9.666887283E9</v>
      </c>
      <c r="I826" s="509" t="s">
        <v>22373</v>
      </c>
      <c r="J826" s="232" t="b">
        <v>0</v>
      </c>
      <c r="K826" s="232" t="s">
        <v>334</v>
      </c>
      <c r="L826" s="232"/>
      <c r="M826" s="511"/>
      <c r="N826" s="232"/>
      <c r="O826" s="232"/>
      <c r="P826" s="312"/>
      <c r="Q826" s="312"/>
      <c r="R826" s="312"/>
      <c r="S826" s="312"/>
      <c r="T826" s="312"/>
      <c r="U826" s="312"/>
    </row>
    <row r="827">
      <c r="A827" s="521">
        <v>45140.0</v>
      </c>
      <c r="B827" s="514" t="s">
        <v>25641</v>
      </c>
      <c r="C827" s="515" t="s">
        <v>25642</v>
      </c>
      <c r="D827" s="530" t="s">
        <v>25643</v>
      </c>
      <c r="E827" s="517"/>
      <c r="F827" s="514" t="s">
        <v>25644</v>
      </c>
      <c r="G827" s="514" t="s">
        <v>23718</v>
      </c>
      <c r="H827" s="514">
        <v>9.248377888E9</v>
      </c>
      <c r="I827" s="515" t="s">
        <v>25365</v>
      </c>
      <c r="J827" s="514" t="b">
        <v>0</v>
      </c>
      <c r="K827" s="514" t="s">
        <v>22312</v>
      </c>
      <c r="L827" s="518" t="s">
        <v>25645</v>
      </c>
      <c r="M827" s="511"/>
      <c r="N827" s="232"/>
      <c r="O827" s="232"/>
      <c r="P827" s="312"/>
      <c r="Q827" s="312"/>
      <c r="R827" s="312"/>
      <c r="S827" s="312"/>
      <c r="T827" s="312"/>
      <c r="U827" s="312"/>
    </row>
    <row r="828">
      <c r="A828" s="520">
        <v>45140.0</v>
      </c>
      <c r="B828" s="232" t="s">
        <v>25646</v>
      </c>
      <c r="C828" s="509" t="s">
        <v>21458</v>
      </c>
      <c r="D828" s="510"/>
      <c r="E828" s="511"/>
      <c r="F828" s="232"/>
      <c r="G828" s="232" t="s">
        <v>44</v>
      </c>
      <c r="H828" s="232">
        <v>8.583806933E9</v>
      </c>
      <c r="I828" s="509" t="s">
        <v>25376</v>
      </c>
      <c r="J828" s="232" t="b">
        <v>0</v>
      </c>
      <c r="K828" s="232" t="s">
        <v>22365</v>
      </c>
      <c r="L828" s="232" t="s">
        <v>22514</v>
      </c>
      <c r="M828" s="511"/>
      <c r="N828" s="232"/>
      <c r="O828" s="232"/>
      <c r="P828" s="312"/>
      <c r="Q828" s="312"/>
      <c r="R828" s="312"/>
      <c r="S828" s="312"/>
      <c r="T828" s="312"/>
      <c r="U828" s="312"/>
    </row>
    <row r="829">
      <c r="A829" s="520">
        <v>45140.0</v>
      </c>
      <c r="B829" s="232" t="s">
        <v>25647</v>
      </c>
      <c r="C829" s="509" t="s">
        <v>25648</v>
      </c>
      <c r="D829" s="510"/>
      <c r="E829" s="511"/>
      <c r="F829" s="232"/>
      <c r="G829" s="232" t="s">
        <v>23019</v>
      </c>
      <c r="H829" s="232">
        <v>9.746910582E9</v>
      </c>
      <c r="I829" s="509" t="s">
        <v>25649</v>
      </c>
      <c r="J829" s="232" t="b">
        <v>0</v>
      </c>
      <c r="K829" s="232" t="s">
        <v>22365</v>
      </c>
      <c r="L829" s="232" t="s">
        <v>22994</v>
      </c>
      <c r="M829" s="511"/>
      <c r="N829" s="232"/>
      <c r="O829" s="232"/>
      <c r="P829" s="312"/>
      <c r="Q829" s="312"/>
      <c r="R829" s="312"/>
      <c r="S829" s="312"/>
      <c r="T829" s="312"/>
      <c r="U829" s="312"/>
    </row>
    <row r="830">
      <c r="A830" s="520">
        <v>45140.0</v>
      </c>
      <c r="B830" s="232" t="s">
        <v>25650</v>
      </c>
      <c r="C830" s="509" t="s">
        <v>25651</v>
      </c>
      <c r="D830" s="510"/>
      <c r="E830" s="511"/>
      <c r="F830" s="232" t="s">
        <v>25652</v>
      </c>
      <c r="G830" s="232" t="s">
        <v>22742</v>
      </c>
      <c r="H830" s="232">
        <v>7.978201443E9</v>
      </c>
      <c r="I830" s="509" t="s">
        <v>25653</v>
      </c>
      <c r="J830" s="232" t="b">
        <v>0</v>
      </c>
      <c r="K830" s="232" t="s">
        <v>12092</v>
      </c>
      <c r="L830" s="232"/>
      <c r="M830" s="511"/>
      <c r="N830" s="232"/>
      <c r="O830" s="232"/>
      <c r="P830" s="312"/>
      <c r="Q830" s="312"/>
      <c r="R830" s="312"/>
      <c r="S830" s="312"/>
      <c r="T830" s="312"/>
      <c r="U830" s="312"/>
    </row>
    <row r="831">
      <c r="A831" s="520">
        <v>45140.0</v>
      </c>
      <c r="B831" s="232" t="s">
        <v>25654</v>
      </c>
      <c r="C831" s="509" t="s">
        <v>25655</v>
      </c>
      <c r="D831" s="510"/>
      <c r="E831" s="511"/>
      <c r="F831" s="232" t="s">
        <v>25656</v>
      </c>
      <c r="G831" s="232" t="s">
        <v>44</v>
      </c>
      <c r="H831" s="232">
        <v>9.830278565E9</v>
      </c>
      <c r="I831" s="509" t="s">
        <v>22698</v>
      </c>
      <c r="J831" s="232" t="b">
        <v>0</v>
      </c>
      <c r="K831" s="232" t="s">
        <v>22365</v>
      </c>
      <c r="L831" s="232" t="s">
        <v>23537</v>
      </c>
      <c r="M831" s="511"/>
      <c r="N831" s="232"/>
      <c r="O831" s="232"/>
      <c r="P831" s="312"/>
      <c r="Q831" s="312"/>
      <c r="R831" s="312"/>
      <c r="S831" s="312"/>
      <c r="T831" s="312"/>
      <c r="U831" s="312"/>
    </row>
    <row r="832">
      <c r="A832" s="520">
        <v>45109.0</v>
      </c>
      <c r="B832" s="232" t="s">
        <v>25657</v>
      </c>
      <c r="C832" s="509" t="s">
        <v>25658</v>
      </c>
      <c r="D832" s="510"/>
      <c r="E832" s="511"/>
      <c r="F832" s="232" t="s">
        <v>25659</v>
      </c>
      <c r="G832" s="232" t="s">
        <v>99</v>
      </c>
      <c r="H832" s="232">
        <v>8.457813514E9</v>
      </c>
      <c r="I832" s="509" t="s">
        <v>22903</v>
      </c>
      <c r="J832" s="232" t="b">
        <v>0</v>
      </c>
      <c r="K832" s="232" t="s">
        <v>22365</v>
      </c>
      <c r="L832" s="232"/>
      <c r="M832" s="511"/>
      <c r="N832" s="232"/>
      <c r="O832" s="232"/>
      <c r="P832" s="312"/>
      <c r="Q832" s="312"/>
      <c r="R832" s="312"/>
      <c r="S832" s="312"/>
      <c r="T832" s="312"/>
      <c r="U832" s="312"/>
    </row>
    <row r="833">
      <c r="A833" s="520">
        <v>45109.0</v>
      </c>
      <c r="B833" s="232" t="s">
        <v>25660</v>
      </c>
      <c r="C833" s="509" t="s">
        <v>25661</v>
      </c>
      <c r="D833" s="510" t="s">
        <v>2682</v>
      </c>
      <c r="E833" s="511"/>
      <c r="F833" s="232" t="s">
        <v>25662</v>
      </c>
      <c r="G833" s="232" t="s">
        <v>2682</v>
      </c>
      <c r="H833" s="232">
        <v>9.743050314E9</v>
      </c>
      <c r="I833" s="509" t="s">
        <v>25663</v>
      </c>
      <c r="J833" s="232" t="b">
        <v>0</v>
      </c>
      <c r="K833" s="232" t="s">
        <v>334</v>
      </c>
      <c r="L833" s="232"/>
      <c r="M833" s="511"/>
      <c r="N833" s="232"/>
      <c r="O833" s="232"/>
      <c r="P833" s="312"/>
      <c r="Q833" s="312"/>
      <c r="R833" s="312"/>
      <c r="S833" s="312"/>
      <c r="T833" s="312"/>
      <c r="U833" s="312"/>
    </row>
    <row r="834">
      <c r="A834" s="520">
        <v>45109.0</v>
      </c>
      <c r="B834" s="232" t="s">
        <v>25664</v>
      </c>
      <c r="C834" s="509" t="s">
        <v>25665</v>
      </c>
      <c r="D834" s="510" t="s">
        <v>25666</v>
      </c>
      <c r="E834" s="511"/>
      <c r="F834" s="232" t="s">
        <v>25667</v>
      </c>
      <c r="G834" s="232" t="s">
        <v>742</v>
      </c>
      <c r="H834" s="232">
        <v>9.441172671E9</v>
      </c>
      <c r="I834" s="509" t="s">
        <v>25663</v>
      </c>
      <c r="J834" s="232" t="b">
        <v>0</v>
      </c>
      <c r="K834" s="232" t="s">
        <v>22349</v>
      </c>
      <c r="L834" s="232" t="s">
        <v>25668</v>
      </c>
      <c r="M834" s="511"/>
      <c r="N834" s="232"/>
      <c r="O834" s="232"/>
      <c r="P834" s="312"/>
      <c r="Q834" s="312"/>
      <c r="R834" s="312"/>
      <c r="S834" s="312"/>
      <c r="T834" s="312"/>
      <c r="U834" s="312"/>
    </row>
    <row r="835">
      <c r="A835" s="520">
        <v>45109.0</v>
      </c>
      <c r="B835" s="232" t="s">
        <v>25669</v>
      </c>
      <c r="C835" s="509" t="s">
        <v>25670</v>
      </c>
      <c r="D835" s="510"/>
      <c r="E835" s="511"/>
      <c r="F835" s="232" t="s">
        <v>25671</v>
      </c>
      <c r="G835" s="232" t="s">
        <v>398</v>
      </c>
      <c r="H835" s="232">
        <v>9.109206625E9</v>
      </c>
      <c r="I835" s="509" t="s">
        <v>22289</v>
      </c>
      <c r="J835" s="232" t="b">
        <v>0</v>
      </c>
      <c r="K835" s="232" t="s">
        <v>334</v>
      </c>
      <c r="L835" s="232"/>
      <c r="M835" s="511"/>
      <c r="N835" s="232"/>
      <c r="O835" s="232"/>
      <c r="P835" s="312"/>
      <c r="Q835" s="312"/>
      <c r="R835" s="312"/>
      <c r="S835" s="312"/>
      <c r="T835" s="312"/>
      <c r="U835" s="312"/>
    </row>
    <row r="836">
      <c r="A836" s="520">
        <v>45109.0</v>
      </c>
      <c r="B836" s="232" t="s">
        <v>25672</v>
      </c>
      <c r="C836" s="509" t="s">
        <v>25673</v>
      </c>
      <c r="D836" s="510" t="s">
        <v>6172</v>
      </c>
      <c r="E836" s="511"/>
      <c r="F836" s="232"/>
      <c r="G836" s="232" t="s">
        <v>22770</v>
      </c>
      <c r="H836" s="232">
        <v>7.985773235E9</v>
      </c>
      <c r="I836" s="509" t="s">
        <v>25674</v>
      </c>
      <c r="J836" s="232" t="b">
        <v>0</v>
      </c>
      <c r="K836" s="232" t="s">
        <v>22349</v>
      </c>
      <c r="L836" s="232" t="s">
        <v>25675</v>
      </c>
      <c r="M836" s="511"/>
      <c r="N836" s="232"/>
      <c r="O836" s="232"/>
      <c r="P836" s="312"/>
      <c r="Q836" s="312"/>
      <c r="R836" s="312"/>
      <c r="S836" s="312"/>
      <c r="T836" s="312"/>
      <c r="U836" s="312"/>
    </row>
    <row r="837">
      <c r="A837" s="520">
        <v>45109.0</v>
      </c>
      <c r="B837" s="232" t="s">
        <v>25676</v>
      </c>
      <c r="C837" s="509" t="s">
        <v>25677</v>
      </c>
      <c r="D837" s="510" t="s">
        <v>25678</v>
      </c>
      <c r="E837" s="511"/>
      <c r="F837" s="232" t="s">
        <v>25679</v>
      </c>
      <c r="G837" s="232" t="s">
        <v>22564</v>
      </c>
      <c r="H837" s="232">
        <v>-9.769818021E9</v>
      </c>
      <c r="I837" s="509" t="s">
        <v>25680</v>
      </c>
      <c r="J837" s="232" t="b">
        <v>0</v>
      </c>
      <c r="K837" s="232" t="s">
        <v>22365</v>
      </c>
      <c r="L837" s="232" t="s">
        <v>25681</v>
      </c>
      <c r="M837" s="511"/>
      <c r="N837" s="232"/>
      <c r="O837" s="232"/>
      <c r="P837" s="312"/>
      <c r="Q837" s="312"/>
      <c r="R837" s="312"/>
      <c r="S837" s="312"/>
      <c r="T837" s="312"/>
      <c r="U837" s="312"/>
    </row>
    <row r="838">
      <c r="A838" s="520">
        <v>45109.0</v>
      </c>
      <c r="B838" s="232" t="s">
        <v>25682</v>
      </c>
      <c r="C838" s="509" t="s">
        <v>25683</v>
      </c>
      <c r="D838" s="510" t="s">
        <v>25684</v>
      </c>
      <c r="E838" s="511"/>
      <c r="F838" s="232" t="s">
        <v>25685</v>
      </c>
      <c r="G838" s="232" t="s">
        <v>22770</v>
      </c>
      <c r="H838" s="232">
        <v>9.810003667E9</v>
      </c>
      <c r="I838" s="509" t="s">
        <v>22373</v>
      </c>
      <c r="J838" s="232" t="b">
        <v>0</v>
      </c>
      <c r="K838" s="232"/>
      <c r="L838" s="232"/>
      <c r="M838" s="511"/>
      <c r="N838" s="232"/>
      <c r="O838" s="232"/>
      <c r="P838" s="312"/>
      <c r="Q838" s="312"/>
      <c r="R838" s="312"/>
      <c r="S838" s="312"/>
      <c r="T838" s="312"/>
      <c r="U838" s="312"/>
    </row>
    <row r="839">
      <c r="A839" s="520">
        <v>45109.0</v>
      </c>
      <c r="B839" s="232" t="s">
        <v>25686</v>
      </c>
      <c r="C839" s="509" t="s">
        <v>25687</v>
      </c>
      <c r="D839" s="510" t="s">
        <v>25688</v>
      </c>
      <c r="E839" s="511"/>
      <c r="F839" s="232" t="s">
        <v>25689</v>
      </c>
      <c r="G839" s="232" t="s">
        <v>23494</v>
      </c>
      <c r="H839" s="232">
        <v>-9.938934251E9</v>
      </c>
      <c r="I839" s="509" t="s">
        <v>22289</v>
      </c>
      <c r="J839" s="232" t="b">
        <v>0</v>
      </c>
      <c r="K839" s="232" t="s">
        <v>22365</v>
      </c>
      <c r="L839" s="232" t="s">
        <v>22554</v>
      </c>
      <c r="M839" s="511"/>
      <c r="N839" s="232"/>
      <c r="O839" s="232"/>
      <c r="P839" s="312"/>
      <c r="Q839" s="312"/>
      <c r="R839" s="312"/>
      <c r="S839" s="312"/>
      <c r="T839" s="312"/>
      <c r="U839" s="312"/>
    </row>
    <row r="840">
      <c r="A840" s="520">
        <v>45109.0</v>
      </c>
      <c r="B840" s="232" t="s">
        <v>25690</v>
      </c>
      <c r="C840" s="509" t="s">
        <v>25691</v>
      </c>
      <c r="D840" s="510"/>
      <c r="E840" s="511"/>
      <c r="F840" s="232" t="s">
        <v>25692</v>
      </c>
      <c r="G840" s="232" t="s">
        <v>2682</v>
      </c>
      <c r="H840" s="232">
        <v>9.731122997E9</v>
      </c>
      <c r="I840" s="509" t="s">
        <v>24402</v>
      </c>
      <c r="J840" s="232" t="b">
        <v>0</v>
      </c>
      <c r="K840" s="232" t="s">
        <v>22365</v>
      </c>
      <c r="L840" s="232"/>
      <c r="M840" s="511"/>
      <c r="N840" s="232"/>
      <c r="O840" s="232"/>
      <c r="P840" s="312"/>
      <c r="Q840" s="312"/>
      <c r="R840" s="312"/>
      <c r="S840" s="312"/>
      <c r="T840" s="312"/>
      <c r="U840" s="312"/>
    </row>
    <row r="841">
      <c r="A841" s="520">
        <v>45109.0</v>
      </c>
      <c r="B841" s="232" t="s">
        <v>25693</v>
      </c>
      <c r="C841" s="509" t="s">
        <v>25694</v>
      </c>
      <c r="D841" s="510" t="s">
        <v>25695</v>
      </c>
      <c r="E841" s="511"/>
      <c r="F841" s="232"/>
      <c r="G841" s="232" t="s">
        <v>25696</v>
      </c>
      <c r="H841" s="232">
        <v>8.27186891E9</v>
      </c>
      <c r="I841" s="509" t="s">
        <v>25697</v>
      </c>
      <c r="J841" s="232" t="b">
        <v>0</v>
      </c>
      <c r="K841" s="232"/>
      <c r="L841" s="232"/>
      <c r="M841" s="511"/>
      <c r="N841" s="232"/>
      <c r="O841" s="232"/>
      <c r="P841" s="312"/>
      <c r="Q841" s="312"/>
      <c r="R841" s="312"/>
      <c r="S841" s="312"/>
      <c r="T841" s="312"/>
      <c r="U841" s="312"/>
    </row>
    <row r="842">
      <c r="A842" s="520">
        <v>45079.0</v>
      </c>
      <c r="B842" s="232" t="s">
        <v>25693</v>
      </c>
      <c r="C842" s="509" t="s">
        <v>25698</v>
      </c>
      <c r="D842" s="510"/>
      <c r="E842" s="511"/>
      <c r="F842" s="232"/>
      <c r="G842" s="232" t="s">
        <v>25699</v>
      </c>
      <c r="H842" s="232">
        <v>7.42824912E9</v>
      </c>
      <c r="I842" s="509" t="s">
        <v>22364</v>
      </c>
      <c r="J842" s="232" t="b">
        <v>0</v>
      </c>
      <c r="K842" s="232" t="s">
        <v>22365</v>
      </c>
      <c r="L842" s="232"/>
      <c r="M842" s="511"/>
      <c r="N842" s="232"/>
      <c r="O842" s="232"/>
      <c r="P842" s="312"/>
      <c r="Q842" s="312"/>
      <c r="R842" s="312"/>
      <c r="S842" s="312"/>
      <c r="T842" s="312"/>
      <c r="U842" s="312"/>
    </row>
    <row r="843">
      <c r="A843" s="520">
        <v>45079.0</v>
      </c>
      <c r="B843" s="232" t="s">
        <v>25700</v>
      </c>
      <c r="C843" s="509" t="s">
        <v>25701</v>
      </c>
      <c r="D843" s="510" t="s">
        <v>25702</v>
      </c>
      <c r="E843" s="511"/>
      <c r="F843" s="232"/>
      <c r="G843" s="232" t="s">
        <v>22564</v>
      </c>
      <c r="H843" s="232">
        <v>9.970043734E9</v>
      </c>
      <c r="I843" s="509" t="s">
        <v>24407</v>
      </c>
      <c r="J843" s="232" t="b">
        <v>0</v>
      </c>
      <c r="K843" s="232" t="s">
        <v>22365</v>
      </c>
      <c r="L843" s="232" t="s">
        <v>22366</v>
      </c>
      <c r="M843" s="511"/>
      <c r="N843" s="232"/>
      <c r="O843" s="232"/>
      <c r="P843" s="312"/>
      <c r="Q843" s="312"/>
      <c r="R843" s="312"/>
      <c r="S843" s="312"/>
      <c r="T843" s="312"/>
      <c r="U843" s="312"/>
    </row>
    <row r="844">
      <c r="A844" s="520">
        <v>45079.0</v>
      </c>
      <c r="B844" s="232" t="s">
        <v>25703</v>
      </c>
      <c r="C844" s="509" t="s">
        <v>25704</v>
      </c>
      <c r="D844" s="510"/>
      <c r="E844" s="511"/>
      <c r="F844" s="232" t="s">
        <v>25705</v>
      </c>
      <c r="G844" s="232" t="s">
        <v>398</v>
      </c>
      <c r="H844" s="232">
        <v>-8.962735801E9</v>
      </c>
      <c r="I844" s="509" t="s">
        <v>25706</v>
      </c>
      <c r="J844" s="232" t="b">
        <v>0</v>
      </c>
      <c r="K844" s="232" t="s">
        <v>22365</v>
      </c>
      <c r="L844" s="425" t="s">
        <v>25707</v>
      </c>
      <c r="M844" s="511"/>
      <c r="N844" s="232"/>
      <c r="O844" s="232"/>
      <c r="P844" s="312"/>
      <c r="Q844" s="312"/>
      <c r="R844" s="312"/>
      <c r="S844" s="312"/>
      <c r="T844" s="312"/>
      <c r="U844" s="312"/>
    </row>
    <row r="845">
      <c r="A845" s="520">
        <v>45079.0</v>
      </c>
      <c r="B845" s="232" t="s">
        <v>25708</v>
      </c>
      <c r="C845" s="509" t="s">
        <v>25709</v>
      </c>
      <c r="D845" s="510" t="s">
        <v>25710</v>
      </c>
      <c r="E845" s="511"/>
      <c r="F845" s="232" t="s">
        <v>25711</v>
      </c>
      <c r="G845" s="232" t="s">
        <v>22292</v>
      </c>
      <c r="H845" s="232">
        <v>8.451011726E9</v>
      </c>
      <c r="I845" s="509" t="s">
        <v>22373</v>
      </c>
      <c r="J845" s="232" t="b">
        <v>0</v>
      </c>
      <c r="K845" s="232" t="s">
        <v>22355</v>
      </c>
      <c r="L845" s="232"/>
      <c r="M845" s="511"/>
      <c r="N845" s="232"/>
      <c r="O845" s="232"/>
      <c r="P845" s="312"/>
      <c r="Q845" s="312"/>
      <c r="R845" s="312"/>
      <c r="S845" s="312"/>
      <c r="T845" s="312"/>
      <c r="U845" s="312"/>
    </row>
    <row r="846">
      <c r="A846" s="520">
        <v>45079.0</v>
      </c>
      <c r="B846" s="232" t="s">
        <v>25712</v>
      </c>
      <c r="C846" s="509" t="s">
        <v>24865</v>
      </c>
      <c r="D846" s="510"/>
      <c r="E846" s="511"/>
      <c r="F846" s="232" t="s">
        <v>25713</v>
      </c>
      <c r="G846" s="232" t="s">
        <v>99</v>
      </c>
      <c r="H846" s="232">
        <v>9.776060556E9</v>
      </c>
      <c r="I846" s="509" t="s">
        <v>25714</v>
      </c>
      <c r="J846" s="232" t="b">
        <v>0</v>
      </c>
      <c r="K846" s="232" t="s">
        <v>22365</v>
      </c>
      <c r="L846" s="425" t="s">
        <v>25715</v>
      </c>
      <c r="M846" s="511"/>
      <c r="N846" s="232"/>
      <c r="O846" s="232"/>
      <c r="P846" s="312"/>
      <c r="Q846" s="312"/>
      <c r="R846" s="312"/>
      <c r="S846" s="312"/>
      <c r="T846" s="312"/>
      <c r="U846" s="312"/>
    </row>
    <row r="847">
      <c r="A847" s="520">
        <v>45079.0</v>
      </c>
      <c r="B847" s="232" t="s">
        <v>25716</v>
      </c>
      <c r="C847" s="509" t="s">
        <v>19882</v>
      </c>
      <c r="D847" s="510"/>
      <c r="E847" s="511"/>
      <c r="F847" s="232" t="s">
        <v>25717</v>
      </c>
      <c r="G847" s="232" t="s">
        <v>22564</v>
      </c>
      <c r="H847" s="232">
        <v>9.102462121E9</v>
      </c>
      <c r="I847" s="509" t="s">
        <v>22373</v>
      </c>
      <c r="J847" s="232" t="b">
        <v>0</v>
      </c>
      <c r="K847" s="232" t="s">
        <v>334</v>
      </c>
      <c r="L847" s="232"/>
      <c r="M847" s="511"/>
      <c r="N847" s="232"/>
      <c r="O847" s="232"/>
      <c r="P847" s="312"/>
      <c r="Q847" s="312"/>
      <c r="R847" s="312"/>
      <c r="S847" s="312"/>
      <c r="T847" s="312"/>
      <c r="U847" s="312"/>
    </row>
    <row r="848">
      <c r="A848" s="520">
        <v>45079.0</v>
      </c>
      <c r="B848" s="232" t="s">
        <v>25718</v>
      </c>
      <c r="C848" s="509" t="s">
        <v>1474</v>
      </c>
      <c r="D848" s="510"/>
      <c r="E848" s="511"/>
      <c r="F848" s="232"/>
      <c r="G848" s="232" t="s">
        <v>1461</v>
      </c>
      <c r="H848" s="232">
        <v>8.56190603E9</v>
      </c>
      <c r="I848" s="509" t="s">
        <v>23761</v>
      </c>
      <c r="J848" s="232" t="b">
        <v>0</v>
      </c>
      <c r="K848" s="232" t="s">
        <v>22365</v>
      </c>
      <c r="L848" s="232" t="s">
        <v>22904</v>
      </c>
      <c r="M848" s="511"/>
      <c r="N848" s="232"/>
      <c r="O848" s="232"/>
      <c r="P848" s="312"/>
      <c r="Q848" s="312"/>
      <c r="R848" s="312"/>
      <c r="S848" s="312"/>
      <c r="T848" s="312"/>
      <c r="U848" s="312"/>
    </row>
    <row r="849">
      <c r="A849" s="520">
        <v>45079.0</v>
      </c>
      <c r="B849" s="232" t="s">
        <v>25719</v>
      </c>
      <c r="C849" s="509" t="s">
        <v>25720</v>
      </c>
      <c r="D849" s="510"/>
      <c r="E849" s="511"/>
      <c r="F849" s="232" t="s">
        <v>25721</v>
      </c>
      <c r="G849" s="232" t="s">
        <v>23303</v>
      </c>
      <c r="H849" s="232">
        <v>8.7359872E9</v>
      </c>
      <c r="I849" s="509" t="s">
        <v>25722</v>
      </c>
      <c r="J849" s="232" t="b">
        <v>0</v>
      </c>
      <c r="K849" s="232" t="s">
        <v>334</v>
      </c>
      <c r="L849" s="232"/>
      <c r="M849" s="511"/>
      <c r="N849" s="232"/>
      <c r="O849" s="232"/>
      <c r="P849" s="312"/>
      <c r="Q849" s="312"/>
      <c r="R849" s="312"/>
      <c r="S849" s="312"/>
      <c r="T849" s="312"/>
      <c r="U849" s="312"/>
    </row>
    <row r="850">
      <c r="A850" s="520">
        <v>45079.0</v>
      </c>
      <c r="B850" s="232" t="s">
        <v>25723</v>
      </c>
      <c r="C850" s="509" t="s">
        <v>25724</v>
      </c>
      <c r="D850" s="510"/>
      <c r="E850" s="511"/>
      <c r="F850" s="232" t="s">
        <v>25725</v>
      </c>
      <c r="G850" s="232" t="s">
        <v>22564</v>
      </c>
      <c r="H850" s="232">
        <v>9.767894619E9</v>
      </c>
      <c r="I850" s="509" t="s">
        <v>23761</v>
      </c>
      <c r="J850" s="232" t="b">
        <v>0</v>
      </c>
      <c r="K850" s="232" t="s">
        <v>22365</v>
      </c>
      <c r="L850" s="232"/>
      <c r="M850" s="511"/>
      <c r="N850" s="232"/>
      <c r="O850" s="232"/>
      <c r="P850" s="312"/>
      <c r="Q850" s="312"/>
      <c r="R850" s="312"/>
      <c r="S850" s="312"/>
      <c r="T850" s="312"/>
      <c r="U850" s="312"/>
    </row>
    <row r="851">
      <c r="A851" s="520">
        <v>45079.0</v>
      </c>
      <c r="B851" s="232" t="s">
        <v>25726</v>
      </c>
      <c r="C851" s="509" t="s">
        <v>25727</v>
      </c>
      <c r="D851" s="510" t="s">
        <v>25728</v>
      </c>
      <c r="E851" s="511"/>
      <c r="F851" s="232" t="s">
        <v>25729</v>
      </c>
      <c r="G851" s="232" t="s">
        <v>25730</v>
      </c>
      <c r="H851" s="232">
        <v>7.895664848E9</v>
      </c>
      <c r="I851" s="509" t="s">
        <v>24842</v>
      </c>
      <c r="J851" s="232" t="b">
        <v>0</v>
      </c>
      <c r="K851" s="232" t="s">
        <v>22365</v>
      </c>
      <c r="L851" s="232" t="s">
        <v>22451</v>
      </c>
      <c r="M851" s="511"/>
      <c r="N851" s="232"/>
      <c r="O851" s="232"/>
      <c r="P851" s="312"/>
      <c r="Q851" s="312"/>
      <c r="R851" s="312"/>
      <c r="S851" s="312"/>
      <c r="T851" s="312"/>
      <c r="U851" s="312"/>
    </row>
    <row r="852">
      <c r="A852" s="520">
        <v>45079.0</v>
      </c>
      <c r="B852" s="232" t="s">
        <v>25731</v>
      </c>
      <c r="C852" s="509" t="s">
        <v>25732</v>
      </c>
      <c r="D852" s="510" t="s">
        <v>25733</v>
      </c>
      <c r="E852" s="511"/>
      <c r="F852" s="232" t="s">
        <v>25734</v>
      </c>
      <c r="G852" s="232" t="s">
        <v>44</v>
      </c>
      <c r="H852" s="232">
        <v>7.478988024E9</v>
      </c>
      <c r="I852" s="509" t="s">
        <v>25735</v>
      </c>
      <c r="J852" s="232" t="b">
        <v>0</v>
      </c>
      <c r="K852" s="232" t="s">
        <v>22365</v>
      </c>
      <c r="L852" s="425" t="s">
        <v>25736</v>
      </c>
      <c r="M852" s="511"/>
      <c r="N852" s="232"/>
      <c r="O852" s="232"/>
      <c r="P852" s="312"/>
      <c r="Q852" s="312"/>
      <c r="R852" s="312"/>
      <c r="S852" s="312"/>
      <c r="T852" s="312"/>
      <c r="U852" s="312"/>
    </row>
    <row r="853">
      <c r="A853" s="521">
        <v>45079.0</v>
      </c>
      <c r="B853" s="514" t="s">
        <v>25737</v>
      </c>
      <c r="C853" s="515" t="s">
        <v>25738</v>
      </c>
      <c r="D853" s="516"/>
      <c r="E853" s="517"/>
      <c r="F853" s="514"/>
      <c r="G853" s="514" t="s">
        <v>22821</v>
      </c>
      <c r="H853" s="514">
        <v>9.618763889E9</v>
      </c>
      <c r="I853" s="515" t="s">
        <v>25739</v>
      </c>
      <c r="J853" s="514" t="b">
        <v>0</v>
      </c>
      <c r="K853" s="514" t="s">
        <v>22312</v>
      </c>
      <c r="L853" s="518" t="s">
        <v>25740</v>
      </c>
      <c r="M853" s="511"/>
      <c r="N853" s="232"/>
      <c r="O853" s="232"/>
      <c r="P853" s="312"/>
      <c r="Q853" s="312"/>
      <c r="R853" s="312"/>
      <c r="S853" s="312"/>
      <c r="T853" s="312"/>
      <c r="U853" s="312"/>
    </row>
    <row r="854">
      <c r="A854" s="520">
        <v>45079.0</v>
      </c>
      <c r="B854" s="232" t="s">
        <v>25741</v>
      </c>
      <c r="C854" s="509" t="s">
        <v>25742</v>
      </c>
      <c r="D854" s="510"/>
      <c r="E854" s="511"/>
      <c r="F854" s="232" t="s">
        <v>25743</v>
      </c>
      <c r="G854" s="232" t="s">
        <v>2682</v>
      </c>
      <c r="H854" s="232">
        <v>9.972947667E9</v>
      </c>
      <c r="I854" s="509" t="s">
        <v>25744</v>
      </c>
      <c r="J854" s="232" t="b">
        <v>0</v>
      </c>
      <c r="K854" s="232" t="s">
        <v>22349</v>
      </c>
      <c r="L854" s="232" t="s">
        <v>25745</v>
      </c>
      <c r="M854" s="511"/>
      <c r="N854" s="232"/>
      <c r="O854" s="232"/>
      <c r="P854" s="312"/>
      <c r="Q854" s="312"/>
      <c r="R854" s="312"/>
      <c r="S854" s="312"/>
      <c r="T854" s="312"/>
      <c r="U854" s="312"/>
    </row>
    <row r="855">
      <c r="A855" s="520">
        <v>45079.0</v>
      </c>
      <c r="B855" s="232" t="s">
        <v>25746</v>
      </c>
      <c r="C855" s="509" t="s">
        <v>25747</v>
      </c>
      <c r="D855" s="510" t="s">
        <v>25748</v>
      </c>
      <c r="E855" s="511"/>
      <c r="F855" s="232" t="s">
        <v>25749</v>
      </c>
      <c r="G855" s="232" t="s">
        <v>25750</v>
      </c>
      <c r="H855" s="232">
        <v>9.874357782E9</v>
      </c>
      <c r="I855" s="509" t="s">
        <v>25751</v>
      </c>
      <c r="J855" s="232" t="b">
        <v>0</v>
      </c>
      <c r="K855" s="232" t="s">
        <v>22365</v>
      </c>
      <c r="L855" s="232" t="s">
        <v>24488</v>
      </c>
      <c r="M855" s="511"/>
      <c r="N855" s="232"/>
      <c r="O855" s="232"/>
      <c r="P855" s="312"/>
      <c r="Q855" s="312"/>
      <c r="R855" s="312"/>
      <c r="S855" s="312"/>
      <c r="T855" s="312"/>
      <c r="U855" s="312"/>
    </row>
    <row r="856">
      <c r="A856" s="520">
        <v>45079.0</v>
      </c>
      <c r="B856" s="232" t="s">
        <v>25752</v>
      </c>
      <c r="C856" s="509" t="s">
        <v>25753</v>
      </c>
      <c r="D856" s="510"/>
      <c r="E856" s="511"/>
      <c r="F856" s="232"/>
      <c r="G856" s="232" t="s">
        <v>22348</v>
      </c>
      <c r="H856" s="232">
        <v>7.06132327E9</v>
      </c>
      <c r="I856" s="509" t="s">
        <v>25754</v>
      </c>
      <c r="J856" s="232" t="b">
        <v>0</v>
      </c>
      <c r="K856" s="232" t="s">
        <v>22365</v>
      </c>
      <c r="L856" s="232" t="s">
        <v>24488</v>
      </c>
      <c r="M856" s="511"/>
      <c r="N856" s="232"/>
      <c r="O856" s="232"/>
      <c r="P856" s="312"/>
      <c r="Q856" s="312"/>
      <c r="R856" s="312"/>
      <c r="S856" s="312"/>
      <c r="T856" s="312"/>
      <c r="U856" s="312"/>
    </row>
    <row r="857">
      <c r="A857" s="520">
        <v>45079.0</v>
      </c>
      <c r="B857" s="232" t="s">
        <v>25755</v>
      </c>
      <c r="C857" s="509" t="s">
        <v>25756</v>
      </c>
      <c r="D857" s="510"/>
      <c r="E857" s="511"/>
      <c r="F857" s="232"/>
      <c r="G857" s="232" t="s">
        <v>44</v>
      </c>
      <c r="H857" s="232">
        <v>8.372942226E9</v>
      </c>
      <c r="I857" s="509" t="s">
        <v>23202</v>
      </c>
      <c r="J857" s="232" t="b">
        <v>0</v>
      </c>
      <c r="K857" s="232"/>
      <c r="L857" s="232"/>
      <c r="M857" s="511"/>
      <c r="N857" s="232"/>
      <c r="O857" s="232"/>
      <c r="P857" s="312"/>
      <c r="Q857" s="312"/>
      <c r="R857" s="312"/>
      <c r="S857" s="312"/>
      <c r="T857" s="312"/>
      <c r="U857" s="312"/>
    </row>
    <row r="858">
      <c r="A858" s="520">
        <v>45018.0</v>
      </c>
      <c r="B858" s="232" t="s">
        <v>25757</v>
      </c>
      <c r="C858" s="509" t="s">
        <v>25758</v>
      </c>
      <c r="D858" s="510"/>
      <c r="E858" s="511"/>
      <c r="F858" s="232"/>
      <c r="G858" s="232" t="s">
        <v>507</v>
      </c>
      <c r="H858" s="232">
        <v>7.420925569E9</v>
      </c>
      <c r="I858" s="509" t="s">
        <v>23503</v>
      </c>
      <c r="J858" s="232" t="b">
        <v>0</v>
      </c>
      <c r="K858" s="232" t="s">
        <v>22365</v>
      </c>
      <c r="M858" s="232"/>
      <c r="N858" s="232"/>
      <c r="O858" s="232"/>
      <c r="P858" s="312"/>
      <c r="Q858" s="312"/>
      <c r="R858" s="312"/>
      <c r="S858" s="312"/>
      <c r="T858" s="312"/>
      <c r="U858" s="312"/>
    </row>
    <row r="859">
      <c r="A859" s="521">
        <v>45018.0</v>
      </c>
      <c r="B859" s="514" t="s">
        <v>25759</v>
      </c>
      <c r="C859" s="515" t="s">
        <v>25760</v>
      </c>
      <c r="D859" s="516" t="s">
        <v>25761</v>
      </c>
      <c r="E859" s="517"/>
      <c r="F859" s="514" t="s">
        <v>25762</v>
      </c>
      <c r="G859" s="514" t="s">
        <v>2662</v>
      </c>
      <c r="H859" s="514">
        <v>9.361424986E9</v>
      </c>
      <c r="I859" s="515" t="s">
        <v>25763</v>
      </c>
      <c r="J859" s="514" t="b">
        <v>0</v>
      </c>
      <c r="K859" s="514" t="s">
        <v>22312</v>
      </c>
      <c r="L859" s="514" t="s">
        <v>25764</v>
      </c>
      <c r="M859" s="511"/>
      <c r="N859" s="232"/>
      <c r="O859" s="232"/>
      <c r="P859" s="312"/>
      <c r="Q859" s="312"/>
      <c r="R859" s="312"/>
      <c r="S859" s="312"/>
      <c r="T859" s="312"/>
      <c r="U859" s="312"/>
    </row>
    <row r="860">
      <c r="A860" s="520">
        <v>45018.0</v>
      </c>
      <c r="B860" s="232" t="s">
        <v>25765</v>
      </c>
      <c r="C860" s="509" t="s">
        <v>25766</v>
      </c>
      <c r="D860" s="510" t="s">
        <v>25767</v>
      </c>
      <c r="E860" s="511"/>
      <c r="F860" s="232" t="s">
        <v>25768</v>
      </c>
      <c r="G860" s="232" t="s">
        <v>1337</v>
      </c>
      <c r="H860" s="232">
        <v>6.000694922E9</v>
      </c>
      <c r="I860" s="509" t="s">
        <v>25649</v>
      </c>
      <c r="J860" s="232" t="b">
        <v>0</v>
      </c>
      <c r="K860" s="232" t="s">
        <v>22365</v>
      </c>
      <c r="L860" s="232" t="s">
        <v>24569</v>
      </c>
      <c r="M860" s="511"/>
      <c r="N860" s="232"/>
      <c r="O860" s="232"/>
      <c r="P860" s="312"/>
      <c r="Q860" s="312"/>
      <c r="R860" s="312"/>
      <c r="S860" s="312"/>
      <c r="T860" s="312"/>
      <c r="U860" s="312"/>
    </row>
    <row r="861">
      <c r="A861" s="520">
        <v>45018.0</v>
      </c>
      <c r="B861" s="232" t="s">
        <v>25769</v>
      </c>
      <c r="C861" s="509" t="s">
        <v>25770</v>
      </c>
      <c r="D861" s="510"/>
      <c r="E861" s="511"/>
      <c r="F861" s="232"/>
      <c r="G861" s="232" t="s">
        <v>44</v>
      </c>
      <c r="H861" s="232">
        <v>9.330446623E9</v>
      </c>
      <c r="I861" s="509" t="s">
        <v>22373</v>
      </c>
      <c r="J861" s="232" t="b">
        <v>0</v>
      </c>
      <c r="K861" s="232" t="s">
        <v>22349</v>
      </c>
      <c r="L861" s="232" t="s">
        <v>23793</v>
      </c>
      <c r="M861" s="511"/>
      <c r="N861" s="232"/>
      <c r="O861" s="232"/>
      <c r="P861" s="312"/>
      <c r="Q861" s="312"/>
      <c r="R861" s="312"/>
      <c r="S861" s="312"/>
      <c r="T861" s="312"/>
      <c r="U861" s="312"/>
    </row>
    <row r="862">
      <c r="A862" s="520">
        <v>44987.0</v>
      </c>
      <c r="B862" s="232" t="s">
        <v>25771</v>
      </c>
      <c r="C862" s="509" t="s">
        <v>25772</v>
      </c>
      <c r="D862" s="510" t="s">
        <v>25773</v>
      </c>
      <c r="E862" s="511"/>
      <c r="F862" s="232"/>
      <c r="G862" s="232" t="s">
        <v>22856</v>
      </c>
      <c r="H862" s="232">
        <v>9.066666342E9</v>
      </c>
      <c r="I862" s="512" t="s">
        <v>25774</v>
      </c>
      <c r="J862" s="232" t="b">
        <v>0</v>
      </c>
      <c r="K862" s="232" t="s">
        <v>334</v>
      </c>
      <c r="L862" s="232"/>
      <c r="M862" s="511"/>
      <c r="N862" s="232"/>
      <c r="O862" s="232"/>
      <c r="P862" s="312"/>
      <c r="Q862" s="312"/>
      <c r="R862" s="312"/>
      <c r="S862" s="312"/>
      <c r="T862" s="312"/>
      <c r="U862" s="312"/>
    </row>
    <row r="863">
      <c r="A863" s="520">
        <v>44987.0</v>
      </c>
      <c r="B863" s="232" t="s">
        <v>25775</v>
      </c>
      <c r="C863" s="509" t="s">
        <v>25776</v>
      </c>
      <c r="D863" s="510" t="s">
        <v>25777</v>
      </c>
      <c r="E863" s="511"/>
      <c r="F863" s="232" t="s">
        <v>25778</v>
      </c>
      <c r="G863" s="232" t="s">
        <v>25779</v>
      </c>
      <c r="H863" s="232">
        <v>-8.24012778E9</v>
      </c>
      <c r="I863" s="509" t="s">
        <v>22577</v>
      </c>
      <c r="J863" s="232" t="b">
        <v>0</v>
      </c>
      <c r="K863" s="232" t="s">
        <v>22365</v>
      </c>
      <c r="L863" s="232" t="s">
        <v>23537</v>
      </c>
      <c r="M863" s="511"/>
      <c r="N863" s="232"/>
      <c r="O863" s="232"/>
      <c r="P863" s="312"/>
      <c r="Q863" s="312"/>
      <c r="R863" s="312"/>
      <c r="S863" s="312"/>
      <c r="T863" s="312"/>
      <c r="U863" s="312"/>
    </row>
    <row r="864">
      <c r="A864" s="520">
        <v>44987.0</v>
      </c>
      <c r="B864" s="232" t="s">
        <v>25780</v>
      </c>
      <c r="C864" s="509" t="s">
        <v>17111</v>
      </c>
      <c r="D864" s="510" t="s">
        <v>25291</v>
      </c>
      <c r="E864" s="511"/>
      <c r="F864" s="232" t="s">
        <v>25292</v>
      </c>
      <c r="G864" s="232" t="s">
        <v>25781</v>
      </c>
      <c r="H864" s="232">
        <v>-9.832223512E9</v>
      </c>
      <c r="I864" s="509" t="s">
        <v>25293</v>
      </c>
      <c r="J864" s="232" t="b">
        <v>0</v>
      </c>
      <c r="K864" s="232" t="s">
        <v>22365</v>
      </c>
      <c r="L864" s="232" t="s">
        <v>23901</v>
      </c>
      <c r="M864" s="511"/>
      <c r="N864" s="232"/>
      <c r="O864" s="232"/>
      <c r="P864" s="312"/>
      <c r="Q864" s="312"/>
      <c r="R864" s="312"/>
      <c r="S864" s="312"/>
      <c r="T864" s="312"/>
      <c r="U864" s="312"/>
    </row>
    <row r="865">
      <c r="A865" s="520">
        <v>44987.0</v>
      </c>
      <c r="B865" s="232" t="s">
        <v>25782</v>
      </c>
      <c r="C865" s="509" t="s">
        <v>25783</v>
      </c>
      <c r="D865" s="510" t="s">
        <v>25784</v>
      </c>
      <c r="E865" s="511"/>
      <c r="F865" s="232" t="s">
        <v>25785</v>
      </c>
      <c r="G865" s="232" t="s">
        <v>25498</v>
      </c>
      <c r="H865" s="232">
        <v>9.830138219E9</v>
      </c>
      <c r="I865" s="509" t="s">
        <v>25786</v>
      </c>
      <c r="J865" s="232" t="b">
        <v>0</v>
      </c>
      <c r="K865" s="232" t="s">
        <v>12092</v>
      </c>
      <c r="L865" s="232"/>
      <c r="M865" s="511"/>
      <c r="N865" s="232"/>
      <c r="O865" s="232"/>
      <c r="P865" s="312"/>
      <c r="Q865" s="312"/>
      <c r="R865" s="312"/>
      <c r="S865" s="312"/>
      <c r="T865" s="312"/>
      <c r="U865" s="312"/>
    </row>
    <row r="866">
      <c r="A866" s="520">
        <v>44987.0</v>
      </c>
      <c r="B866" s="232" t="s">
        <v>25787</v>
      </c>
      <c r="C866" s="509" t="s">
        <v>25788</v>
      </c>
      <c r="D866" s="510" t="s">
        <v>25789</v>
      </c>
      <c r="E866" s="511"/>
      <c r="F866" s="232" t="s">
        <v>25790</v>
      </c>
      <c r="G866" s="232" t="s">
        <v>9359</v>
      </c>
      <c r="H866" s="232">
        <v>8.500570005E9</v>
      </c>
      <c r="I866" s="509" t="s">
        <v>23503</v>
      </c>
      <c r="J866" s="232" t="b">
        <v>0</v>
      </c>
      <c r="K866" s="232" t="s">
        <v>22365</v>
      </c>
      <c r="L866" s="232" t="s">
        <v>23537</v>
      </c>
      <c r="M866" s="511"/>
      <c r="N866" s="232"/>
      <c r="O866" s="232"/>
      <c r="P866" s="312"/>
      <c r="Q866" s="312"/>
      <c r="R866" s="312"/>
      <c r="S866" s="312"/>
      <c r="T866" s="312"/>
      <c r="U866" s="312"/>
    </row>
    <row r="867">
      <c r="A867" s="520">
        <v>44987.0</v>
      </c>
      <c r="B867" s="232" t="s">
        <v>25791</v>
      </c>
      <c r="C867" s="509" t="s">
        <v>25792</v>
      </c>
      <c r="D867" s="510" t="s">
        <v>25793</v>
      </c>
      <c r="E867" s="511"/>
      <c r="F867" s="232"/>
      <c r="G867" s="232" t="s">
        <v>24270</v>
      </c>
      <c r="H867" s="232">
        <v>8.971428375E9</v>
      </c>
      <c r="I867" s="509" t="s">
        <v>24892</v>
      </c>
      <c r="J867" s="232" t="b">
        <v>0</v>
      </c>
      <c r="K867" s="232" t="s">
        <v>22365</v>
      </c>
      <c r="L867" s="232" t="s">
        <v>23537</v>
      </c>
      <c r="M867" s="511"/>
      <c r="N867" s="232"/>
      <c r="O867" s="232"/>
      <c r="P867" s="312"/>
      <c r="Q867" s="312"/>
      <c r="R867" s="312"/>
      <c r="S867" s="312"/>
      <c r="T867" s="312"/>
      <c r="U867" s="312"/>
    </row>
    <row r="868">
      <c r="A868" s="520">
        <v>44987.0</v>
      </c>
      <c r="B868" s="232" t="s">
        <v>25794</v>
      </c>
      <c r="C868" s="509" t="s">
        <v>25795</v>
      </c>
      <c r="D868" s="510" t="s">
        <v>25796</v>
      </c>
      <c r="E868" s="511"/>
      <c r="F868" s="232" t="s">
        <v>25797</v>
      </c>
      <c r="G868" s="232" t="s">
        <v>507</v>
      </c>
      <c r="H868" s="232">
        <v>9.356647235E9</v>
      </c>
      <c r="I868" s="509" t="s">
        <v>25798</v>
      </c>
      <c r="J868" s="232" t="b">
        <v>0</v>
      </c>
      <c r="K868" s="232" t="s">
        <v>22365</v>
      </c>
      <c r="L868" s="232" t="s">
        <v>23537</v>
      </c>
      <c r="M868" s="511"/>
      <c r="N868" s="232"/>
      <c r="O868" s="232"/>
      <c r="P868" s="312"/>
      <c r="Q868" s="312"/>
      <c r="R868" s="312"/>
      <c r="S868" s="312"/>
      <c r="T868" s="312"/>
      <c r="U868" s="312"/>
    </row>
    <row r="869">
      <c r="A869" s="520">
        <v>44987.0</v>
      </c>
      <c r="B869" s="232" t="s">
        <v>25799</v>
      </c>
      <c r="C869" s="509" t="s">
        <v>25800</v>
      </c>
      <c r="D869" s="510" t="s">
        <v>25801</v>
      </c>
      <c r="E869" s="511"/>
      <c r="F869" s="232" t="s">
        <v>25802</v>
      </c>
      <c r="G869" s="232" t="s">
        <v>507</v>
      </c>
      <c r="H869" s="232">
        <v>9.73061671E9</v>
      </c>
      <c r="I869" s="509" t="s">
        <v>25803</v>
      </c>
      <c r="J869" s="232" t="b">
        <v>0</v>
      </c>
      <c r="K869" s="232" t="s">
        <v>22365</v>
      </c>
      <c r="L869" s="232"/>
      <c r="M869" s="511"/>
      <c r="N869" s="232"/>
      <c r="O869" s="232"/>
      <c r="P869" s="312"/>
      <c r="Q869" s="312"/>
      <c r="R869" s="312"/>
      <c r="S869" s="312"/>
      <c r="T869" s="312"/>
      <c r="U869" s="312"/>
    </row>
    <row r="870">
      <c r="A870" s="520">
        <v>44987.0</v>
      </c>
      <c r="B870" s="232" t="s">
        <v>25804</v>
      </c>
      <c r="C870" s="509" t="s">
        <v>25805</v>
      </c>
      <c r="D870" s="510" t="s">
        <v>25806</v>
      </c>
      <c r="E870" s="511"/>
      <c r="F870" s="232" t="s">
        <v>25807</v>
      </c>
      <c r="G870" s="232" t="s">
        <v>44</v>
      </c>
      <c r="H870" s="232">
        <v>7.980312173E9</v>
      </c>
      <c r="I870" s="509" t="s">
        <v>22289</v>
      </c>
      <c r="J870" s="232" t="b">
        <v>0</v>
      </c>
      <c r="K870" s="232" t="s">
        <v>22365</v>
      </c>
      <c r="L870" s="232" t="s">
        <v>25808</v>
      </c>
      <c r="M870" s="511"/>
      <c r="N870" s="232"/>
      <c r="O870" s="232"/>
      <c r="P870" s="312"/>
      <c r="Q870" s="312"/>
      <c r="R870" s="312"/>
      <c r="S870" s="312"/>
      <c r="T870" s="312"/>
      <c r="U870" s="312"/>
    </row>
    <row r="871">
      <c r="A871" s="520">
        <v>44987.0</v>
      </c>
      <c r="B871" s="232" t="s">
        <v>25809</v>
      </c>
      <c r="C871" s="509" t="s">
        <v>25810</v>
      </c>
      <c r="D871" s="510"/>
      <c r="E871" s="511"/>
      <c r="F871" s="232"/>
      <c r="G871" s="232" t="s">
        <v>44</v>
      </c>
      <c r="H871" s="232">
        <v>9.830724388E9</v>
      </c>
      <c r="I871" s="509" t="s">
        <v>25811</v>
      </c>
      <c r="J871" s="232" t="b">
        <v>0</v>
      </c>
      <c r="K871" s="232" t="s">
        <v>22365</v>
      </c>
      <c r="L871" s="232" t="s">
        <v>22422</v>
      </c>
      <c r="M871" s="511"/>
      <c r="N871" s="232"/>
      <c r="O871" s="232"/>
      <c r="P871" s="312"/>
      <c r="Q871" s="312"/>
      <c r="R871" s="312"/>
      <c r="S871" s="312"/>
      <c r="T871" s="312"/>
      <c r="U871" s="312"/>
    </row>
    <row r="872">
      <c r="A872" s="520">
        <v>44987.0</v>
      </c>
      <c r="B872" s="232" t="s">
        <v>25812</v>
      </c>
      <c r="C872" s="509" t="s">
        <v>25813</v>
      </c>
      <c r="D872" s="510"/>
      <c r="E872" s="511"/>
      <c r="F872" s="232" t="s">
        <v>25814</v>
      </c>
      <c r="G872" s="232" t="s">
        <v>44</v>
      </c>
      <c r="H872" s="232">
        <v>9.903370996E9</v>
      </c>
      <c r="I872" s="509" t="s">
        <v>25815</v>
      </c>
      <c r="J872" s="232" t="b">
        <v>0</v>
      </c>
      <c r="K872" s="232" t="s">
        <v>22365</v>
      </c>
      <c r="L872" s="232" t="s">
        <v>25816</v>
      </c>
      <c r="M872" s="511"/>
      <c r="N872" s="232"/>
      <c r="O872" s="232"/>
      <c r="P872" s="312"/>
      <c r="Q872" s="312"/>
      <c r="R872" s="312"/>
      <c r="S872" s="312"/>
      <c r="T872" s="312"/>
      <c r="U872" s="312"/>
    </row>
    <row r="873">
      <c r="A873" s="520">
        <v>44959.0</v>
      </c>
      <c r="B873" s="232" t="s">
        <v>25817</v>
      </c>
      <c r="C873" s="509" t="s">
        <v>25818</v>
      </c>
      <c r="D873" s="510"/>
      <c r="E873" s="511"/>
      <c r="F873" s="232" t="s">
        <v>25819</v>
      </c>
      <c r="G873" s="232" t="s">
        <v>398</v>
      </c>
      <c r="H873" s="232">
        <v>7.987834353E9</v>
      </c>
      <c r="I873" s="509" t="s">
        <v>25820</v>
      </c>
      <c r="J873" s="232" t="b">
        <v>0</v>
      </c>
      <c r="K873" s="232" t="s">
        <v>22365</v>
      </c>
      <c r="L873" s="232" t="s">
        <v>25821</v>
      </c>
      <c r="M873" s="511"/>
      <c r="N873" s="232"/>
      <c r="O873" s="232"/>
      <c r="P873" s="312"/>
      <c r="Q873" s="312"/>
      <c r="R873" s="312"/>
      <c r="S873" s="312"/>
      <c r="T873" s="312"/>
      <c r="U873" s="312"/>
    </row>
    <row r="874">
      <c r="A874" s="520">
        <v>44959.0</v>
      </c>
      <c r="B874" s="232" t="s">
        <v>25822</v>
      </c>
      <c r="C874" s="509" t="s">
        <v>25823</v>
      </c>
      <c r="D874" s="510" t="s">
        <v>25824</v>
      </c>
      <c r="E874" s="511"/>
      <c r="F874" s="232" t="s">
        <v>25825</v>
      </c>
      <c r="G874" s="232" t="s">
        <v>24270</v>
      </c>
      <c r="H874" s="232">
        <v>9.00899794E9</v>
      </c>
      <c r="I874" s="509" t="s">
        <v>25826</v>
      </c>
      <c r="J874" s="232" t="b">
        <v>0</v>
      </c>
      <c r="K874" s="232" t="s">
        <v>334</v>
      </c>
      <c r="L874" s="232"/>
      <c r="M874" s="511"/>
      <c r="N874" s="232"/>
      <c r="O874" s="232"/>
      <c r="P874" s="312"/>
      <c r="Q874" s="312"/>
      <c r="R874" s="312"/>
      <c r="S874" s="312"/>
      <c r="T874" s="312"/>
      <c r="U874" s="312"/>
    </row>
    <row r="875">
      <c r="A875" s="520">
        <v>44959.0</v>
      </c>
      <c r="B875" s="232" t="s">
        <v>25827</v>
      </c>
      <c r="C875" s="509" t="s">
        <v>25828</v>
      </c>
      <c r="D875" s="510"/>
      <c r="E875" s="511"/>
      <c r="F875" s="232"/>
      <c r="G875" s="232" t="s">
        <v>23782</v>
      </c>
      <c r="H875" s="232">
        <v>9.1825517E9</v>
      </c>
      <c r="I875" s="509" t="s">
        <v>22289</v>
      </c>
      <c r="J875" s="232" t="b">
        <v>0</v>
      </c>
      <c r="K875" s="232" t="s">
        <v>22365</v>
      </c>
      <c r="L875" s="232"/>
      <c r="M875" s="511"/>
      <c r="N875" s="232"/>
      <c r="O875" s="232"/>
      <c r="P875" s="312"/>
      <c r="Q875" s="312"/>
      <c r="R875" s="312"/>
      <c r="S875" s="312"/>
      <c r="T875" s="312"/>
      <c r="U875" s="312"/>
    </row>
    <row r="876">
      <c r="A876" s="520">
        <v>44959.0</v>
      </c>
      <c r="B876" s="232" t="s">
        <v>25829</v>
      </c>
      <c r="C876" s="509" t="s">
        <v>25830</v>
      </c>
      <c r="D876" s="510"/>
      <c r="E876" s="511"/>
      <c r="F876" s="232"/>
      <c r="G876" s="232" t="s">
        <v>638</v>
      </c>
      <c r="H876" s="232">
        <v>9.647140989E9</v>
      </c>
      <c r="I876" s="509" t="s">
        <v>22289</v>
      </c>
      <c r="J876" s="232" t="b">
        <v>0</v>
      </c>
      <c r="K876" s="232" t="s">
        <v>22365</v>
      </c>
      <c r="L876" s="232"/>
      <c r="M876" s="511"/>
      <c r="N876" s="232"/>
      <c r="O876" s="232"/>
      <c r="P876" s="312"/>
      <c r="Q876" s="312"/>
      <c r="R876" s="312"/>
      <c r="S876" s="312"/>
      <c r="T876" s="312"/>
      <c r="U876" s="312"/>
    </row>
    <row r="877">
      <c r="A877" s="520">
        <v>44959.0</v>
      </c>
      <c r="B877" s="232" t="s">
        <v>25831</v>
      </c>
      <c r="C877" s="509" t="s">
        <v>25832</v>
      </c>
      <c r="D877" s="510" t="s">
        <v>25833</v>
      </c>
      <c r="E877" s="511"/>
      <c r="F877" s="232" t="s">
        <v>25834</v>
      </c>
      <c r="G877" s="232" t="s">
        <v>22564</v>
      </c>
      <c r="H877" s="232">
        <v>9.765347732E9</v>
      </c>
      <c r="I877" s="509" t="s">
        <v>25835</v>
      </c>
      <c r="J877" s="232" t="b">
        <v>0</v>
      </c>
      <c r="K877" s="232" t="s">
        <v>334</v>
      </c>
      <c r="L877" s="232"/>
      <c r="M877" s="511"/>
      <c r="N877" s="232"/>
      <c r="O877" s="232"/>
      <c r="P877" s="312"/>
      <c r="Q877" s="312"/>
      <c r="R877" s="312"/>
      <c r="S877" s="312"/>
      <c r="T877" s="312"/>
      <c r="U877" s="312"/>
    </row>
    <row r="878">
      <c r="A878" s="520">
        <v>44959.0</v>
      </c>
      <c r="B878" s="232" t="s">
        <v>25836</v>
      </c>
      <c r="C878" s="509" t="s">
        <v>15771</v>
      </c>
      <c r="D878" s="510"/>
      <c r="E878" s="511"/>
      <c r="F878" s="232"/>
      <c r="G878" s="232" t="s">
        <v>507</v>
      </c>
      <c r="H878" s="232">
        <v>9.604539083E9</v>
      </c>
      <c r="I878" s="509" t="s">
        <v>22354</v>
      </c>
      <c r="J878" s="232" t="b">
        <v>0</v>
      </c>
      <c r="K878" s="232" t="s">
        <v>22365</v>
      </c>
      <c r="L878" s="232"/>
      <c r="M878" s="511"/>
      <c r="N878" s="232"/>
      <c r="O878" s="232"/>
      <c r="P878" s="312"/>
      <c r="Q878" s="312"/>
      <c r="R878" s="312"/>
      <c r="S878" s="312"/>
      <c r="T878" s="312"/>
      <c r="U878" s="312"/>
    </row>
    <row r="879">
      <c r="A879" s="520">
        <v>44959.0</v>
      </c>
      <c r="B879" s="232" t="s">
        <v>25837</v>
      </c>
      <c r="C879" s="509" t="s">
        <v>25838</v>
      </c>
      <c r="D879" s="510"/>
      <c r="E879" s="511"/>
      <c r="F879" s="232"/>
      <c r="G879" s="232" t="s">
        <v>99</v>
      </c>
      <c r="H879" s="232">
        <v>9.861057386E9</v>
      </c>
      <c r="I879" s="509" t="s">
        <v>25839</v>
      </c>
      <c r="J879" s="232" t="b">
        <v>0</v>
      </c>
      <c r="K879" s="232" t="s">
        <v>22365</v>
      </c>
      <c r="L879" s="232" t="s">
        <v>25840</v>
      </c>
      <c r="M879" s="511"/>
      <c r="N879" s="232"/>
      <c r="O879" s="232"/>
      <c r="P879" s="312"/>
      <c r="Q879" s="312"/>
      <c r="R879" s="312"/>
      <c r="S879" s="312"/>
      <c r="T879" s="312"/>
      <c r="U879" s="312"/>
    </row>
    <row r="880">
      <c r="A880" s="520">
        <v>44959.0</v>
      </c>
      <c r="B880" s="232" t="s">
        <v>25841</v>
      </c>
      <c r="C880" s="509" t="s">
        <v>25842</v>
      </c>
      <c r="D880" s="510"/>
      <c r="E880" s="511"/>
      <c r="F880" s="232"/>
      <c r="G880" s="232" t="s">
        <v>22844</v>
      </c>
      <c r="H880" s="232">
        <v>8.830267123E9</v>
      </c>
      <c r="I880" s="509" t="s">
        <v>23947</v>
      </c>
      <c r="J880" s="232" t="b">
        <v>0</v>
      </c>
      <c r="K880" s="232" t="s">
        <v>22365</v>
      </c>
      <c r="L880" s="232" t="s">
        <v>25843</v>
      </c>
      <c r="M880" s="511"/>
      <c r="N880" s="232"/>
      <c r="O880" s="232"/>
      <c r="P880" s="312"/>
      <c r="Q880" s="312"/>
      <c r="R880" s="312"/>
      <c r="S880" s="312"/>
      <c r="T880" s="312"/>
      <c r="U880" s="312"/>
    </row>
    <row r="881">
      <c r="A881" s="520">
        <v>44959.0</v>
      </c>
      <c r="B881" s="232" t="s">
        <v>25844</v>
      </c>
      <c r="C881" s="509" t="s">
        <v>9534</v>
      </c>
      <c r="D881" s="510"/>
      <c r="E881" s="511"/>
      <c r="F881" s="232"/>
      <c r="G881" s="232" t="s">
        <v>507</v>
      </c>
      <c r="H881" s="232">
        <v>7.083930843E9</v>
      </c>
      <c r="I881" s="509" t="s">
        <v>22577</v>
      </c>
      <c r="J881" s="232" t="b">
        <v>0</v>
      </c>
      <c r="K881" s="232" t="s">
        <v>22365</v>
      </c>
      <c r="L881" s="232" t="s">
        <v>25843</v>
      </c>
      <c r="M881" s="511"/>
      <c r="N881" s="232"/>
      <c r="O881" s="232"/>
      <c r="P881" s="312"/>
      <c r="Q881" s="312"/>
      <c r="R881" s="312"/>
      <c r="S881" s="312"/>
      <c r="T881" s="312"/>
      <c r="U881" s="312"/>
    </row>
    <row r="882">
      <c r="A882" s="520">
        <v>44959.0</v>
      </c>
      <c r="B882" s="232" t="s">
        <v>25845</v>
      </c>
      <c r="C882" s="509" t="s">
        <v>25846</v>
      </c>
      <c r="D882" s="519" t="s">
        <v>25847</v>
      </c>
      <c r="E882" s="511"/>
      <c r="F882" s="232" t="s">
        <v>25848</v>
      </c>
      <c r="G882" s="232"/>
      <c r="H882" s="232">
        <v>8.777658567E9</v>
      </c>
      <c r="I882" s="509" t="s">
        <v>23522</v>
      </c>
      <c r="J882" s="232" t="b">
        <v>0</v>
      </c>
      <c r="K882" s="232" t="s">
        <v>22365</v>
      </c>
      <c r="L882" s="425" t="s">
        <v>25849</v>
      </c>
      <c r="M882" s="511"/>
      <c r="N882" s="232"/>
      <c r="O882" s="232"/>
      <c r="P882" s="312"/>
      <c r="Q882" s="312"/>
      <c r="R882" s="312"/>
      <c r="S882" s="312"/>
      <c r="T882" s="312"/>
      <c r="U882" s="312"/>
    </row>
    <row r="883">
      <c r="A883" s="520">
        <v>44959.0</v>
      </c>
      <c r="B883" s="232" t="s">
        <v>25850</v>
      </c>
      <c r="C883" s="509" t="s">
        <v>25851</v>
      </c>
      <c r="D883" s="510"/>
      <c r="E883" s="511"/>
      <c r="F883" s="232" t="s">
        <v>25852</v>
      </c>
      <c r="G883" s="232" t="s">
        <v>25853</v>
      </c>
      <c r="H883" s="232">
        <v>9.545340517E9</v>
      </c>
      <c r="I883" s="509" t="s">
        <v>24783</v>
      </c>
      <c r="J883" s="232" t="b">
        <v>0</v>
      </c>
      <c r="K883" s="232"/>
      <c r="L883" s="232"/>
      <c r="M883" s="511"/>
      <c r="N883" s="232"/>
      <c r="O883" s="232"/>
      <c r="P883" s="312"/>
      <c r="Q883" s="312"/>
      <c r="R883" s="312"/>
      <c r="S883" s="312"/>
      <c r="T883" s="312"/>
      <c r="U883" s="312"/>
    </row>
    <row r="884">
      <c r="A884" s="520">
        <v>44959.0</v>
      </c>
      <c r="B884" s="232" t="s">
        <v>25854</v>
      </c>
      <c r="C884" s="509" t="s">
        <v>25855</v>
      </c>
      <c r="D884" s="510"/>
      <c r="E884" s="511"/>
      <c r="F884" s="425" t="s">
        <v>25856</v>
      </c>
      <c r="G884" s="232" t="s">
        <v>22479</v>
      </c>
      <c r="H884" s="232">
        <v>7.525914024E9</v>
      </c>
      <c r="I884" s="509" t="s">
        <v>25857</v>
      </c>
      <c r="J884" s="232" t="b">
        <v>0</v>
      </c>
      <c r="K884" s="232"/>
      <c r="L884" s="232"/>
      <c r="M884" s="511"/>
      <c r="N884" s="232"/>
      <c r="O884" s="232"/>
      <c r="P884" s="312"/>
      <c r="Q884" s="312"/>
      <c r="R884" s="312"/>
      <c r="S884" s="312"/>
      <c r="T884" s="312"/>
      <c r="U884" s="312"/>
    </row>
    <row r="885">
      <c r="A885" s="520">
        <v>44928.0</v>
      </c>
      <c r="B885" s="232" t="s">
        <v>25858</v>
      </c>
      <c r="C885" s="509" t="s">
        <v>25859</v>
      </c>
      <c r="D885" s="510" t="s">
        <v>25860</v>
      </c>
      <c r="E885" s="511"/>
      <c r="F885" s="232"/>
      <c r="G885" s="232" t="s">
        <v>22479</v>
      </c>
      <c r="H885" s="232">
        <v>9.559168536E9</v>
      </c>
      <c r="I885" s="509" t="s">
        <v>22373</v>
      </c>
      <c r="J885" s="232" t="b">
        <v>0</v>
      </c>
      <c r="K885" s="232"/>
      <c r="L885" s="232"/>
      <c r="M885" s="511"/>
      <c r="N885" s="232"/>
      <c r="O885" s="232"/>
      <c r="P885" s="312"/>
      <c r="Q885" s="312"/>
      <c r="R885" s="312"/>
      <c r="S885" s="312"/>
      <c r="T885" s="312"/>
      <c r="U885" s="312"/>
    </row>
    <row r="886">
      <c r="A886" s="520">
        <v>44928.0</v>
      </c>
      <c r="B886" s="232" t="s">
        <v>25861</v>
      </c>
      <c r="C886" s="509" t="s">
        <v>14799</v>
      </c>
      <c r="D886" s="510" t="s">
        <v>25862</v>
      </c>
      <c r="E886" s="511"/>
      <c r="F886" s="232"/>
      <c r="G886" s="232" t="s">
        <v>22348</v>
      </c>
      <c r="H886" s="232">
        <v>9.955137872E9</v>
      </c>
      <c r="I886" s="509" t="s">
        <v>22570</v>
      </c>
      <c r="J886" s="232" t="b">
        <v>0</v>
      </c>
      <c r="K886" s="232" t="s">
        <v>22365</v>
      </c>
      <c r="L886" s="232" t="s">
        <v>23537</v>
      </c>
      <c r="M886" s="511"/>
      <c r="N886" s="232"/>
      <c r="O886" s="232"/>
      <c r="P886" s="312"/>
      <c r="Q886" s="312"/>
      <c r="R886" s="312"/>
      <c r="S886" s="312"/>
      <c r="T886" s="312"/>
      <c r="U886" s="312"/>
    </row>
    <row r="887">
      <c r="A887" s="520">
        <v>44928.0</v>
      </c>
      <c r="B887" s="232" t="s">
        <v>25863</v>
      </c>
      <c r="C887" s="509" t="s">
        <v>25864</v>
      </c>
      <c r="D887" s="510" t="s">
        <v>25865</v>
      </c>
      <c r="E887" s="511"/>
      <c r="F887" s="232" t="s">
        <v>25866</v>
      </c>
      <c r="G887" s="232" t="s">
        <v>1090</v>
      </c>
      <c r="H887" s="232">
        <v>7.905524128E9</v>
      </c>
      <c r="I887" s="509" t="s">
        <v>23920</v>
      </c>
      <c r="J887" s="232" t="b">
        <v>0</v>
      </c>
      <c r="K887" s="232" t="s">
        <v>22365</v>
      </c>
      <c r="L887" s="232" t="s">
        <v>24640</v>
      </c>
      <c r="M887" s="511"/>
      <c r="N887" s="232"/>
      <c r="O887" s="232"/>
      <c r="P887" s="312"/>
      <c r="Q887" s="312"/>
      <c r="R887" s="312"/>
      <c r="S887" s="312"/>
      <c r="T887" s="312"/>
      <c r="U887" s="312"/>
    </row>
    <row r="888">
      <c r="A888" s="520">
        <v>44928.0</v>
      </c>
      <c r="B888" s="232" t="s">
        <v>25867</v>
      </c>
      <c r="C888" s="509" t="s">
        <v>4015</v>
      </c>
      <c r="D888" s="510" t="s">
        <v>25868</v>
      </c>
      <c r="E888" s="511"/>
      <c r="F888" s="232" t="s">
        <v>25869</v>
      </c>
      <c r="G888" s="232" t="s">
        <v>507</v>
      </c>
      <c r="H888" s="232">
        <v>9.922108825E9</v>
      </c>
      <c r="I888" s="509" t="s">
        <v>22373</v>
      </c>
      <c r="J888" s="232" t="b">
        <v>0</v>
      </c>
      <c r="K888" s="232"/>
      <c r="L888" s="232"/>
      <c r="M888" s="511"/>
      <c r="N888" s="232"/>
      <c r="O888" s="232"/>
      <c r="P888" s="312"/>
      <c r="Q888" s="312"/>
      <c r="R888" s="312"/>
      <c r="S888" s="312"/>
      <c r="T888" s="312"/>
      <c r="U888" s="312"/>
    </row>
    <row r="889">
      <c r="A889" s="520">
        <v>44928.0</v>
      </c>
      <c r="B889" s="232" t="s">
        <v>25870</v>
      </c>
      <c r="C889" s="509" t="s">
        <v>25871</v>
      </c>
      <c r="D889" s="510" t="s">
        <v>25872</v>
      </c>
      <c r="E889" s="511"/>
      <c r="F889" s="232" t="s">
        <v>25873</v>
      </c>
      <c r="G889" s="232" t="s">
        <v>467</v>
      </c>
      <c r="H889" s="232">
        <v>9.30514329E9</v>
      </c>
      <c r="I889" s="509" t="s">
        <v>22822</v>
      </c>
      <c r="J889" s="232" t="b">
        <v>0</v>
      </c>
      <c r="K889" s="232" t="s">
        <v>22365</v>
      </c>
      <c r="L889" s="232" t="s">
        <v>22904</v>
      </c>
      <c r="M889" s="511"/>
      <c r="N889" s="232"/>
      <c r="O889" s="232"/>
      <c r="P889" s="312"/>
      <c r="Q889" s="312"/>
      <c r="R889" s="312"/>
      <c r="S889" s="312"/>
      <c r="T889" s="312"/>
      <c r="U889" s="312"/>
    </row>
    <row r="890">
      <c r="A890" s="520">
        <v>44928.0</v>
      </c>
      <c r="B890" s="232" t="s">
        <v>25874</v>
      </c>
      <c r="C890" s="509" t="s">
        <v>25875</v>
      </c>
      <c r="D890" s="510"/>
      <c r="E890" s="511"/>
      <c r="F890" s="232" t="s">
        <v>25876</v>
      </c>
      <c r="G890" s="232" t="s">
        <v>22564</v>
      </c>
      <c r="H890" s="232">
        <v>8.652357011E9</v>
      </c>
      <c r="I890" s="509" t="s">
        <v>25877</v>
      </c>
      <c r="J890" s="232" t="b">
        <v>0</v>
      </c>
      <c r="K890" s="232"/>
      <c r="L890" s="232"/>
      <c r="M890" s="511"/>
      <c r="N890" s="232"/>
      <c r="O890" s="232"/>
      <c r="P890" s="312"/>
      <c r="Q890" s="312"/>
      <c r="R890" s="312"/>
      <c r="S890" s="312"/>
      <c r="T890" s="312"/>
      <c r="U890" s="312"/>
    </row>
    <row r="891">
      <c r="A891" s="520">
        <v>44928.0</v>
      </c>
      <c r="B891" s="232" t="s">
        <v>25878</v>
      </c>
      <c r="C891" s="509" t="s">
        <v>25879</v>
      </c>
      <c r="D891" s="510"/>
      <c r="E891" s="511"/>
      <c r="F891" s="232"/>
      <c r="G891" s="232" t="s">
        <v>22501</v>
      </c>
      <c r="H891" s="232">
        <v>8.720057766E9</v>
      </c>
      <c r="I891" s="509" t="s">
        <v>25880</v>
      </c>
      <c r="J891" s="232" t="b">
        <v>0</v>
      </c>
      <c r="K891" s="232" t="s">
        <v>22355</v>
      </c>
      <c r="L891" s="232"/>
      <c r="M891" s="511"/>
      <c r="N891" s="232"/>
      <c r="O891" s="232"/>
      <c r="P891" s="312"/>
      <c r="Q891" s="312"/>
      <c r="R891" s="312"/>
      <c r="S891" s="312"/>
      <c r="T891" s="312"/>
      <c r="U891" s="312"/>
    </row>
    <row r="892">
      <c r="A892" s="520">
        <v>44928.0</v>
      </c>
      <c r="B892" s="232" t="s">
        <v>25881</v>
      </c>
      <c r="C892" s="509" t="s">
        <v>25882</v>
      </c>
      <c r="D892" s="510" t="s">
        <v>25883</v>
      </c>
      <c r="E892" s="511"/>
      <c r="F892" s="232" t="s">
        <v>25884</v>
      </c>
      <c r="G892" s="232" t="s">
        <v>467</v>
      </c>
      <c r="H892" s="232">
        <v>9.198460156E9</v>
      </c>
      <c r="I892" s="509" t="s">
        <v>23522</v>
      </c>
      <c r="J892" s="232" t="b">
        <v>0</v>
      </c>
      <c r="K892" s="232" t="s">
        <v>334</v>
      </c>
      <c r="L892" s="232" t="s">
        <v>25885</v>
      </c>
      <c r="M892" s="511"/>
      <c r="N892" s="232"/>
      <c r="O892" s="232"/>
      <c r="P892" s="312"/>
      <c r="Q892" s="312"/>
      <c r="R892" s="312"/>
      <c r="S892" s="312"/>
      <c r="T892" s="312"/>
      <c r="U892" s="312"/>
    </row>
    <row r="893">
      <c r="A893" s="520">
        <v>44928.0</v>
      </c>
      <c r="B893" s="232" t="s">
        <v>25886</v>
      </c>
      <c r="C893" s="509" t="s">
        <v>17946</v>
      </c>
      <c r="D893" s="510"/>
      <c r="E893" s="511"/>
      <c r="F893" s="232" t="s">
        <v>25887</v>
      </c>
      <c r="G893" s="232" t="s">
        <v>25888</v>
      </c>
      <c r="H893" s="232">
        <v>9.835944093E9</v>
      </c>
      <c r="I893" s="509" t="s">
        <v>25889</v>
      </c>
      <c r="J893" s="232" t="b">
        <v>0</v>
      </c>
      <c r="K893" s="232" t="s">
        <v>22349</v>
      </c>
      <c r="L893" s="232" t="s">
        <v>25246</v>
      </c>
      <c r="M893" s="511"/>
      <c r="N893" s="232"/>
      <c r="O893" s="232"/>
      <c r="P893" s="312"/>
      <c r="Q893" s="312"/>
      <c r="R893" s="312"/>
      <c r="S893" s="312"/>
      <c r="T893" s="312"/>
      <c r="U893" s="312"/>
    </row>
    <row r="894">
      <c r="A894" s="520">
        <v>44928.0</v>
      </c>
      <c r="B894" s="232" t="s">
        <v>25890</v>
      </c>
      <c r="C894" s="509" t="s">
        <v>20891</v>
      </c>
      <c r="D894" s="510"/>
      <c r="E894" s="511"/>
      <c r="F894" s="232" t="s">
        <v>25891</v>
      </c>
      <c r="G894" s="232" t="s">
        <v>7995</v>
      </c>
      <c r="H894" s="232">
        <v>8.160251334E9</v>
      </c>
      <c r="I894" s="509" t="s">
        <v>22727</v>
      </c>
      <c r="J894" s="232" t="b">
        <v>0</v>
      </c>
      <c r="K894" s="232" t="s">
        <v>22355</v>
      </c>
      <c r="L894" s="232"/>
      <c r="M894" s="511"/>
      <c r="N894" s="232"/>
      <c r="O894" s="232"/>
      <c r="P894" s="312"/>
      <c r="Q894" s="312"/>
      <c r="R894" s="312"/>
      <c r="S894" s="312"/>
      <c r="T894" s="312"/>
      <c r="U894" s="312"/>
    </row>
    <row r="895">
      <c r="A895" s="520">
        <v>44928.0</v>
      </c>
      <c r="B895" s="232" t="s">
        <v>25892</v>
      </c>
      <c r="C895" s="509" t="s">
        <v>25893</v>
      </c>
      <c r="D895" s="510" t="s">
        <v>25894</v>
      </c>
      <c r="E895" s="511"/>
      <c r="F895" s="232" t="s">
        <v>25895</v>
      </c>
      <c r="G895" s="232" t="s">
        <v>278</v>
      </c>
      <c r="H895" s="232">
        <v>9.339319966E9</v>
      </c>
      <c r="I895" s="509" t="s">
        <v>24052</v>
      </c>
      <c r="J895" s="232" t="b">
        <v>0</v>
      </c>
      <c r="K895" s="232" t="s">
        <v>22355</v>
      </c>
      <c r="L895" s="232"/>
      <c r="M895" s="511"/>
      <c r="N895" s="232"/>
      <c r="O895" s="232"/>
      <c r="P895" s="312"/>
      <c r="Q895" s="312"/>
      <c r="R895" s="312"/>
      <c r="S895" s="312"/>
      <c r="T895" s="312"/>
      <c r="U895" s="312"/>
    </row>
    <row r="896">
      <c r="A896" s="520">
        <v>44928.0</v>
      </c>
      <c r="B896" s="232" t="s">
        <v>25896</v>
      </c>
      <c r="C896" s="509" t="s">
        <v>25897</v>
      </c>
      <c r="D896" s="510" t="s">
        <v>25898</v>
      </c>
      <c r="E896" s="511"/>
      <c r="F896" s="232" t="s">
        <v>25899</v>
      </c>
      <c r="G896" s="232" t="s">
        <v>25074</v>
      </c>
      <c r="H896" s="232">
        <v>7.549216276E9</v>
      </c>
      <c r="I896" s="509" t="s">
        <v>4786</v>
      </c>
      <c r="J896" s="232" t="b">
        <v>0</v>
      </c>
      <c r="K896" s="232" t="s">
        <v>22355</v>
      </c>
      <c r="L896" s="232"/>
      <c r="M896" s="511"/>
      <c r="N896" s="232"/>
      <c r="O896" s="232"/>
      <c r="P896" s="312"/>
      <c r="Q896" s="312"/>
      <c r="R896" s="312"/>
      <c r="S896" s="312"/>
      <c r="T896" s="312"/>
      <c r="U896" s="312"/>
    </row>
    <row r="897">
      <c r="A897" s="521">
        <v>44928.0</v>
      </c>
      <c r="B897" s="514" t="s">
        <v>25900</v>
      </c>
      <c r="C897" s="515" t="s">
        <v>25901</v>
      </c>
      <c r="D897" s="516"/>
      <c r="E897" s="517"/>
      <c r="F897" s="514" t="s">
        <v>25902</v>
      </c>
      <c r="G897" s="514" t="s">
        <v>25903</v>
      </c>
      <c r="H897" s="514">
        <v>8.340472797E9</v>
      </c>
      <c r="I897" s="515" t="s">
        <v>25904</v>
      </c>
      <c r="J897" s="514" t="b">
        <v>0</v>
      </c>
      <c r="K897" s="514" t="s">
        <v>22312</v>
      </c>
      <c r="L897" s="514" t="s">
        <v>25905</v>
      </c>
      <c r="M897" s="511"/>
      <c r="N897" s="232"/>
      <c r="O897" s="232"/>
      <c r="P897" s="312"/>
      <c r="Q897" s="312"/>
      <c r="R897" s="312"/>
      <c r="S897" s="312"/>
      <c r="T897" s="312"/>
      <c r="U897" s="312"/>
    </row>
    <row r="898">
      <c r="A898" s="508" t="s">
        <v>25906</v>
      </c>
      <c r="B898" s="232" t="s">
        <v>25900</v>
      </c>
      <c r="C898" s="509" t="s">
        <v>25907</v>
      </c>
      <c r="D898" s="510"/>
      <c r="E898" s="511"/>
      <c r="F898" s="232"/>
      <c r="G898" s="232" t="s">
        <v>22479</v>
      </c>
      <c r="H898" s="232">
        <v>9.451176007E9</v>
      </c>
      <c r="I898" s="509" t="s">
        <v>22860</v>
      </c>
      <c r="J898" s="232" t="b">
        <v>0</v>
      </c>
      <c r="K898" s="232" t="s">
        <v>22365</v>
      </c>
      <c r="L898" s="232"/>
      <c r="M898" s="511"/>
      <c r="N898" s="232"/>
      <c r="O898" s="232"/>
      <c r="P898" s="312"/>
      <c r="Q898" s="312"/>
      <c r="R898" s="312"/>
      <c r="S898" s="312"/>
      <c r="T898" s="312"/>
      <c r="U898" s="312"/>
    </row>
    <row r="899">
      <c r="A899" s="508" t="s">
        <v>25906</v>
      </c>
      <c r="B899" s="232" t="s">
        <v>25908</v>
      </c>
      <c r="C899" s="509" t="s">
        <v>24604</v>
      </c>
      <c r="D899" s="510"/>
      <c r="E899" s="511"/>
      <c r="F899" s="232" t="s">
        <v>24606</v>
      </c>
      <c r="G899" s="232" t="s">
        <v>22564</v>
      </c>
      <c r="H899" s="232">
        <v>9.30914602E9</v>
      </c>
      <c r="I899" s="509" t="s">
        <v>22660</v>
      </c>
      <c r="J899" s="232" t="b">
        <v>0</v>
      </c>
      <c r="K899" s="232" t="s">
        <v>22365</v>
      </c>
      <c r="L899" s="232" t="s">
        <v>22509</v>
      </c>
      <c r="M899" s="511"/>
      <c r="N899" s="232"/>
      <c r="O899" s="232"/>
      <c r="P899" s="312"/>
      <c r="Q899" s="312"/>
      <c r="R899" s="312"/>
      <c r="S899" s="312"/>
      <c r="T899" s="312"/>
      <c r="U899" s="312"/>
    </row>
    <row r="900">
      <c r="A900" s="508" t="s">
        <v>25906</v>
      </c>
      <c r="B900" s="232" t="s">
        <v>25909</v>
      </c>
      <c r="C900" s="509" t="s">
        <v>25910</v>
      </c>
      <c r="D900" s="510" t="s">
        <v>25911</v>
      </c>
      <c r="E900" s="511"/>
      <c r="F900" s="232"/>
      <c r="G900" s="232" t="s">
        <v>1461</v>
      </c>
      <c r="H900" s="232">
        <v>9.352798864E9</v>
      </c>
      <c r="I900" s="509" t="s">
        <v>25190</v>
      </c>
      <c r="J900" s="232" t="b">
        <v>0</v>
      </c>
      <c r="K900" s="232" t="s">
        <v>334</v>
      </c>
      <c r="L900" s="232"/>
      <c r="M900" s="511"/>
      <c r="N900" s="232"/>
      <c r="O900" s="232"/>
      <c r="P900" s="312"/>
      <c r="Q900" s="312"/>
      <c r="R900" s="312"/>
      <c r="S900" s="312"/>
      <c r="T900" s="312"/>
      <c r="U900" s="312"/>
    </row>
    <row r="901">
      <c r="A901" s="508" t="s">
        <v>25906</v>
      </c>
      <c r="B901" s="232" t="s">
        <v>25912</v>
      </c>
      <c r="C901" s="509" t="s">
        <v>25913</v>
      </c>
      <c r="D901" s="510"/>
      <c r="E901" s="511"/>
      <c r="F901" s="232"/>
      <c r="G901" s="232" t="s">
        <v>25914</v>
      </c>
      <c r="H901" s="232">
        <v>-9.895491434E9</v>
      </c>
      <c r="I901" s="509" t="s">
        <v>25915</v>
      </c>
      <c r="J901" s="232" t="b">
        <v>0</v>
      </c>
      <c r="K901" s="232" t="s">
        <v>12092</v>
      </c>
      <c r="L901" s="232"/>
      <c r="M901" s="511"/>
      <c r="N901" s="232"/>
      <c r="O901" s="232"/>
      <c r="P901" s="312"/>
      <c r="Q901" s="312"/>
      <c r="R901" s="312"/>
      <c r="S901" s="312"/>
      <c r="T901" s="312"/>
      <c r="U901" s="312"/>
    </row>
    <row r="902">
      <c r="A902" s="508" t="s">
        <v>25906</v>
      </c>
      <c r="B902" s="232" t="s">
        <v>25916</v>
      </c>
      <c r="C902" s="509" t="s">
        <v>25917</v>
      </c>
      <c r="D902" s="510" t="s">
        <v>1644</v>
      </c>
      <c r="E902" s="511"/>
      <c r="F902" s="232" t="s">
        <v>25918</v>
      </c>
      <c r="G902" s="232" t="s">
        <v>24809</v>
      </c>
      <c r="H902" s="232">
        <v>7.980545339E9</v>
      </c>
      <c r="I902" s="509" t="s">
        <v>22698</v>
      </c>
      <c r="J902" s="232" t="b">
        <v>0</v>
      </c>
      <c r="K902" s="232" t="s">
        <v>334</v>
      </c>
      <c r="L902" s="232"/>
      <c r="M902" s="511"/>
      <c r="N902" s="232"/>
      <c r="O902" s="232"/>
      <c r="P902" s="312"/>
      <c r="Q902" s="312"/>
      <c r="R902" s="312"/>
      <c r="S902" s="312"/>
      <c r="T902" s="312"/>
      <c r="U902" s="312"/>
    </row>
    <row r="903">
      <c r="A903" s="508" t="s">
        <v>25906</v>
      </c>
      <c r="B903" s="232" t="s">
        <v>25919</v>
      </c>
      <c r="C903" s="509" t="s">
        <v>24773</v>
      </c>
      <c r="D903" s="510"/>
      <c r="E903" s="511"/>
      <c r="F903" s="232"/>
      <c r="G903" s="232" t="s">
        <v>184</v>
      </c>
      <c r="H903" s="232">
        <v>7.004606505E9</v>
      </c>
      <c r="I903" s="509" t="s">
        <v>25920</v>
      </c>
      <c r="J903" s="232" t="b">
        <v>0</v>
      </c>
      <c r="K903" s="232" t="s">
        <v>22355</v>
      </c>
      <c r="L903" s="232"/>
      <c r="M903" s="511"/>
      <c r="N903" s="232"/>
      <c r="O903" s="232"/>
      <c r="P903" s="312"/>
      <c r="Q903" s="312"/>
      <c r="R903" s="312"/>
      <c r="S903" s="312"/>
      <c r="T903" s="312"/>
      <c r="U903" s="312"/>
    </row>
    <row r="904">
      <c r="A904" s="508" t="s">
        <v>25906</v>
      </c>
      <c r="B904" s="232" t="s">
        <v>25921</v>
      </c>
      <c r="C904" s="509" t="s">
        <v>10942</v>
      </c>
      <c r="D904" s="510" t="s">
        <v>25922</v>
      </c>
      <c r="E904" s="511"/>
      <c r="F904" s="232" t="s">
        <v>10945</v>
      </c>
      <c r="G904" s="232" t="s">
        <v>22429</v>
      </c>
      <c r="H904" s="232">
        <v>9.831253049E9</v>
      </c>
      <c r="I904" s="509" t="s">
        <v>25923</v>
      </c>
      <c r="J904" s="232" t="b">
        <v>0</v>
      </c>
      <c r="K904" s="232" t="s">
        <v>12092</v>
      </c>
      <c r="L904" s="232"/>
      <c r="M904" s="511"/>
      <c r="N904" s="232"/>
      <c r="O904" s="232"/>
      <c r="P904" s="312"/>
      <c r="Q904" s="312"/>
      <c r="R904" s="312"/>
      <c r="S904" s="312"/>
      <c r="T904" s="312"/>
      <c r="U904" s="312"/>
    </row>
    <row r="905">
      <c r="A905" s="508" t="s">
        <v>25924</v>
      </c>
      <c r="B905" s="232" t="s">
        <v>25925</v>
      </c>
      <c r="C905" s="509" t="s">
        <v>25926</v>
      </c>
      <c r="D905" s="510" t="s">
        <v>25927</v>
      </c>
      <c r="E905" s="511"/>
      <c r="F905" s="232" t="s">
        <v>25928</v>
      </c>
      <c r="G905" s="232" t="s">
        <v>22348</v>
      </c>
      <c r="H905" s="232">
        <v>8.210656858E9</v>
      </c>
      <c r="I905" s="509" t="s">
        <v>25826</v>
      </c>
      <c r="J905" s="232" t="b">
        <v>0</v>
      </c>
      <c r="K905" s="232" t="s">
        <v>22365</v>
      </c>
      <c r="L905" s="232"/>
      <c r="M905" s="511"/>
      <c r="N905" s="232"/>
      <c r="O905" s="232"/>
      <c r="P905" s="312"/>
      <c r="Q905" s="312"/>
      <c r="R905" s="312"/>
      <c r="S905" s="312"/>
      <c r="T905" s="312"/>
      <c r="U905" s="312"/>
    </row>
    <row r="906">
      <c r="A906" s="508" t="s">
        <v>25924</v>
      </c>
      <c r="B906" s="232" t="s">
        <v>25929</v>
      </c>
      <c r="C906" s="509" t="s">
        <v>25930</v>
      </c>
      <c r="D906" s="510" t="s">
        <v>25931</v>
      </c>
      <c r="E906" s="511"/>
      <c r="F906" s="232"/>
      <c r="G906" s="232" t="s">
        <v>22564</v>
      </c>
      <c r="H906" s="232">
        <v>8.208178328E9</v>
      </c>
      <c r="I906" s="509" t="s">
        <v>25932</v>
      </c>
      <c r="J906" s="232" t="b">
        <v>0</v>
      </c>
      <c r="K906" s="232" t="s">
        <v>22365</v>
      </c>
      <c r="L906" s="232" t="s">
        <v>22422</v>
      </c>
      <c r="M906" s="511"/>
      <c r="N906" s="232"/>
      <c r="O906" s="232"/>
      <c r="P906" s="312"/>
      <c r="Q906" s="312"/>
      <c r="R906" s="312"/>
      <c r="S906" s="312"/>
      <c r="T906" s="312"/>
      <c r="U906" s="312"/>
    </row>
    <row r="907">
      <c r="A907" s="513" t="s">
        <v>25924</v>
      </c>
      <c r="B907" s="514" t="s">
        <v>25933</v>
      </c>
      <c r="C907" s="515" t="s">
        <v>25934</v>
      </c>
      <c r="D907" s="516"/>
      <c r="E907" s="517"/>
      <c r="F907" s="514"/>
      <c r="G907" s="514" t="s">
        <v>22564</v>
      </c>
      <c r="H907" s="514">
        <v>7.057805706E9</v>
      </c>
      <c r="I907" s="515" t="s">
        <v>22354</v>
      </c>
      <c r="J907" s="514" t="b">
        <v>0</v>
      </c>
      <c r="K907" s="514" t="s">
        <v>22312</v>
      </c>
      <c r="L907" s="518" t="s">
        <v>25935</v>
      </c>
      <c r="M907" s="511"/>
      <c r="N907" s="232"/>
      <c r="O907" s="232"/>
      <c r="P907" s="312"/>
      <c r="Q907" s="312"/>
      <c r="R907" s="312"/>
      <c r="S907" s="312"/>
      <c r="T907" s="312"/>
      <c r="U907" s="312"/>
    </row>
    <row r="908">
      <c r="A908" s="508" t="s">
        <v>25924</v>
      </c>
      <c r="B908" s="232" t="s">
        <v>25936</v>
      </c>
      <c r="C908" s="509" t="s">
        <v>25937</v>
      </c>
      <c r="D908" s="510"/>
      <c r="E908" s="511"/>
      <c r="F908" s="232" t="s">
        <v>25938</v>
      </c>
      <c r="G908" s="232" t="s">
        <v>467</v>
      </c>
      <c r="H908" s="232">
        <v>9.267932903E9</v>
      </c>
      <c r="I908" s="509" t="s">
        <v>22903</v>
      </c>
      <c r="J908" s="232" t="b">
        <v>0</v>
      </c>
      <c r="K908" s="232" t="s">
        <v>22365</v>
      </c>
      <c r="L908" s="232"/>
      <c r="M908" s="511"/>
      <c r="N908" s="232"/>
      <c r="O908" s="232"/>
      <c r="P908" s="312"/>
      <c r="Q908" s="312"/>
      <c r="R908" s="312"/>
      <c r="S908" s="312"/>
      <c r="T908" s="312"/>
      <c r="U908" s="312"/>
    </row>
    <row r="909">
      <c r="A909" s="508" t="s">
        <v>25924</v>
      </c>
      <c r="B909" s="232" t="s">
        <v>25939</v>
      </c>
      <c r="C909" s="509" t="s">
        <v>3366</v>
      </c>
      <c r="D909" s="510"/>
      <c r="E909" s="511"/>
      <c r="F909" s="232"/>
      <c r="G909" s="232" t="s">
        <v>23660</v>
      </c>
      <c r="H909" s="232">
        <v>7.742442201E9</v>
      </c>
      <c r="I909" s="509" t="s">
        <v>22373</v>
      </c>
      <c r="J909" s="232" t="b">
        <v>0</v>
      </c>
      <c r="K909" s="232" t="s">
        <v>22365</v>
      </c>
      <c r="L909" s="232"/>
      <c r="M909" s="511"/>
      <c r="N909" s="232"/>
      <c r="O909" s="232"/>
      <c r="P909" s="312"/>
      <c r="Q909" s="312"/>
      <c r="R909" s="312"/>
      <c r="S909" s="312"/>
      <c r="T909" s="312"/>
      <c r="U909" s="312"/>
    </row>
    <row r="910">
      <c r="A910" s="508" t="s">
        <v>25924</v>
      </c>
      <c r="B910" s="232" t="s">
        <v>25940</v>
      </c>
      <c r="C910" s="509" t="s">
        <v>25941</v>
      </c>
      <c r="D910" s="510"/>
      <c r="E910" s="511"/>
      <c r="F910" s="232" t="s">
        <v>25942</v>
      </c>
      <c r="G910" s="232" t="s">
        <v>507</v>
      </c>
      <c r="H910" s="232">
        <v>8.329893761E9</v>
      </c>
      <c r="I910" s="509" t="s">
        <v>25943</v>
      </c>
      <c r="J910" s="232" t="b">
        <v>0</v>
      </c>
      <c r="K910" s="232" t="s">
        <v>22365</v>
      </c>
      <c r="L910" s="232" t="s">
        <v>22514</v>
      </c>
      <c r="M910" s="511"/>
      <c r="N910" s="232"/>
      <c r="O910" s="232"/>
      <c r="P910" s="312"/>
      <c r="Q910" s="312"/>
      <c r="R910" s="312"/>
      <c r="S910" s="312"/>
      <c r="T910" s="312"/>
      <c r="U910" s="312"/>
    </row>
    <row r="911">
      <c r="A911" s="508" t="s">
        <v>25924</v>
      </c>
      <c r="B911" s="232" t="s">
        <v>25944</v>
      </c>
      <c r="C911" s="509" t="s">
        <v>25945</v>
      </c>
      <c r="D911" s="510" t="s">
        <v>25946</v>
      </c>
      <c r="E911" s="511"/>
      <c r="F911" s="232" t="s">
        <v>25947</v>
      </c>
      <c r="G911" s="232" t="s">
        <v>23274</v>
      </c>
      <c r="H911" s="232">
        <v>6.20200882E9</v>
      </c>
      <c r="I911" s="509" t="s">
        <v>22289</v>
      </c>
      <c r="J911" s="232" t="b">
        <v>0</v>
      </c>
      <c r="K911" s="232" t="s">
        <v>22365</v>
      </c>
      <c r="L911" s="232" t="s">
        <v>22514</v>
      </c>
      <c r="M911" s="511"/>
      <c r="N911" s="232"/>
      <c r="O911" s="232"/>
      <c r="P911" s="312"/>
      <c r="Q911" s="312"/>
      <c r="R911" s="312"/>
      <c r="S911" s="312"/>
      <c r="T911" s="312"/>
      <c r="U911" s="312"/>
    </row>
    <row r="912">
      <c r="A912" s="508" t="s">
        <v>25924</v>
      </c>
      <c r="B912" s="232" t="s">
        <v>25948</v>
      </c>
      <c r="C912" s="509" t="s">
        <v>24594</v>
      </c>
      <c r="D912" s="510"/>
      <c r="E912" s="511"/>
      <c r="F912" s="232" t="s">
        <v>25949</v>
      </c>
      <c r="G912" s="232" t="s">
        <v>184</v>
      </c>
      <c r="H912" s="232">
        <v>9.973131969E9</v>
      </c>
      <c r="I912" s="509" t="s">
        <v>23920</v>
      </c>
      <c r="J912" s="232" t="b">
        <v>0</v>
      </c>
      <c r="K912" s="232" t="s">
        <v>22365</v>
      </c>
      <c r="L912" s="232" t="s">
        <v>25950</v>
      </c>
      <c r="M912" s="511"/>
      <c r="N912" s="232"/>
      <c r="O912" s="232"/>
      <c r="P912" s="312"/>
      <c r="Q912" s="312"/>
      <c r="R912" s="312"/>
      <c r="S912" s="312"/>
      <c r="T912" s="312"/>
      <c r="U912" s="312"/>
    </row>
    <row r="913">
      <c r="A913" s="508" t="s">
        <v>25924</v>
      </c>
      <c r="B913" s="232" t="s">
        <v>25951</v>
      </c>
      <c r="C913" s="509" t="s">
        <v>25952</v>
      </c>
      <c r="D913" s="510" t="s">
        <v>25953</v>
      </c>
      <c r="E913" s="511"/>
      <c r="F913" s="232"/>
      <c r="G913" s="232" t="s">
        <v>22292</v>
      </c>
      <c r="H913" s="232">
        <v>7.49937305E9</v>
      </c>
      <c r="I913" s="509" t="s">
        <v>25954</v>
      </c>
      <c r="J913" s="232" t="b">
        <v>0</v>
      </c>
      <c r="K913" s="232" t="s">
        <v>12092</v>
      </c>
      <c r="L913" s="232"/>
      <c r="M913" s="511"/>
      <c r="N913" s="232"/>
      <c r="O913" s="232"/>
      <c r="P913" s="312"/>
      <c r="Q913" s="312"/>
      <c r="R913" s="312"/>
      <c r="S913" s="312"/>
      <c r="T913" s="312"/>
      <c r="U913" s="312"/>
    </row>
    <row r="914">
      <c r="A914" s="508" t="s">
        <v>25924</v>
      </c>
      <c r="B914" s="232" t="s">
        <v>25955</v>
      </c>
      <c r="C914" s="509" t="s">
        <v>25956</v>
      </c>
      <c r="D914" s="510" t="s">
        <v>25957</v>
      </c>
      <c r="E914" s="511"/>
      <c r="F914" s="232" t="s">
        <v>25958</v>
      </c>
      <c r="G914" s="232" t="s">
        <v>1461</v>
      </c>
      <c r="H914" s="232">
        <v>8.708639966E9</v>
      </c>
      <c r="I914" s="509" t="s">
        <v>22373</v>
      </c>
      <c r="J914" s="232" t="b">
        <v>0</v>
      </c>
      <c r="K914" s="232" t="s">
        <v>334</v>
      </c>
      <c r="L914" s="232"/>
      <c r="M914" s="511"/>
      <c r="N914" s="232"/>
      <c r="O914" s="232"/>
      <c r="P914" s="312"/>
      <c r="Q914" s="312"/>
      <c r="R914" s="312"/>
      <c r="S914" s="312"/>
      <c r="T914" s="312"/>
      <c r="U914" s="312"/>
    </row>
    <row r="915">
      <c r="A915" s="508" t="s">
        <v>25924</v>
      </c>
      <c r="B915" s="232" t="s">
        <v>25959</v>
      </c>
      <c r="C915" s="509" t="s">
        <v>25960</v>
      </c>
      <c r="D915" s="510"/>
      <c r="E915" s="511"/>
      <c r="F915" s="232" t="s">
        <v>25961</v>
      </c>
      <c r="G915" s="232" t="s">
        <v>25962</v>
      </c>
      <c r="H915" s="232">
        <v>6.265936253E9</v>
      </c>
      <c r="I915" s="509" t="s">
        <v>25963</v>
      </c>
      <c r="J915" s="232" t="b">
        <v>0</v>
      </c>
      <c r="K915" s="232" t="s">
        <v>22365</v>
      </c>
      <c r="L915" s="232" t="s">
        <v>25964</v>
      </c>
      <c r="M915" s="511"/>
      <c r="N915" s="232"/>
      <c r="O915" s="232"/>
      <c r="P915" s="312"/>
      <c r="Q915" s="312"/>
      <c r="R915" s="312"/>
      <c r="S915" s="312"/>
      <c r="T915" s="312"/>
      <c r="U915" s="312"/>
    </row>
    <row r="916">
      <c r="A916" s="508" t="s">
        <v>25924</v>
      </c>
      <c r="B916" s="232" t="s">
        <v>25965</v>
      </c>
      <c r="C916" s="509" t="s">
        <v>4709</v>
      </c>
      <c r="D916" s="510" t="s">
        <v>25966</v>
      </c>
      <c r="E916" s="511"/>
      <c r="F916" s="232" t="s">
        <v>25967</v>
      </c>
      <c r="G916" s="232" t="s">
        <v>8145</v>
      </c>
      <c r="H916" s="232">
        <v>7.579146961E9</v>
      </c>
      <c r="I916" s="509" t="s">
        <v>23252</v>
      </c>
      <c r="J916" s="232" t="b">
        <v>0</v>
      </c>
      <c r="K916" s="232" t="s">
        <v>22365</v>
      </c>
      <c r="L916" s="232" t="s">
        <v>22451</v>
      </c>
      <c r="M916" s="511"/>
      <c r="N916" s="232"/>
      <c r="O916" s="232"/>
      <c r="P916" s="312"/>
      <c r="Q916" s="312"/>
      <c r="R916" s="312"/>
      <c r="S916" s="312"/>
      <c r="T916" s="312"/>
      <c r="U916" s="312"/>
    </row>
    <row r="917">
      <c r="A917" s="508" t="s">
        <v>25968</v>
      </c>
      <c r="B917" s="232" t="s">
        <v>25969</v>
      </c>
      <c r="C917" s="509" t="s">
        <v>25970</v>
      </c>
      <c r="D917" s="510"/>
      <c r="E917" s="511"/>
      <c r="F917" s="232" t="s">
        <v>25971</v>
      </c>
      <c r="G917" s="232" t="s">
        <v>507</v>
      </c>
      <c r="H917" s="232">
        <v>-9.967170607E9</v>
      </c>
      <c r="I917" s="509" t="s">
        <v>25972</v>
      </c>
      <c r="J917" s="232" t="b">
        <v>0</v>
      </c>
      <c r="K917" s="232" t="s">
        <v>334</v>
      </c>
      <c r="L917" s="232"/>
      <c r="M917" s="511"/>
      <c r="N917" s="232"/>
      <c r="O917" s="232"/>
      <c r="P917" s="312"/>
      <c r="Q917" s="312"/>
      <c r="R917" s="312"/>
      <c r="S917" s="312"/>
      <c r="T917" s="312"/>
      <c r="U917" s="312"/>
    </row>
    <row r="918">
      <c r="A918" s="508" t="s">
        <v>25968</v>
      </c>
      <c r="B918" s="232" t="s">
        <v>25973</v>
      </c>
      <c r="C918" s="509" t="s">
        <v>25974</v>
      </c>
      <c r="D918" s="510" t="s">
        <v>25975</v>
      </c>
      <c r="E918" s="511"/>
      <c r="F918" s="232" t="s">
        <v>25976</v>
      </c>
      <c r="G918" s="232" t="s">
        <v>25977</v>
      </c>
      <c r="H918" s="232">
        <v>9.668000774E9</v>
      </c>
      <c r="I918" s="509" t="s">
        <v>22373</v>
      </c>
      <c r="J918" s="232" t="b">
        <v>0</v>
      </c>
      <c r="K918" s="232" t="s">
        <v>22365</v>
      </c>
      <c r="L918" s="232" t="s">
        <v>24569</v>
      </c>
      <c r="M918" s="511"/>
      <c r="N918" s="232"/>
      <c r="O918" s="232"/>
      <c r="P918" s="312"/>
      <c r="Q918" s="312"/>
      <c r="R918" s="312"/>
      <c r="S918" s="312"/>
      <c r="T918" s="312"/>
      <c r="U918" s="312"/>
    </row>
    <row r="919">
      <c r="A919" s="508" t="s">
        <v>25968</v>
      </c>
      <c r="B919" s="232" t="s">
        <v>25978</v>
      </c>
      <c r="C919" s="509" t="s">
        <v>25979</v>
      </c>
      <c r="D919" s="510"/>
      <c r="E919" s="511"/>
      <c r="F919" s="232"/>
      <c r="G919" s="232" t="s">
        <v>22564</v>
      </c>
      <c r="H919" s="232">
        <v>9.765809285E9</v>
      </c>
      <c r="I919" s="509" t="s">
        <v>22698</v>
      </c>
      <c r="J919" s="232" t="b">
        <v>0</v>
      </c>
      <c r="K919" s="232" t="s">
        <v>22365</v>
      </c>
      <c r="L919" s="232" t="s">
        <v>25980</v>
      </c>
      <c r="M919" s="511"/>
      <c r="N919" s="232"/>
      <c r="O919" s="232"/>
      <c r="P919" s="312"/>
      <c r="Q919" s="312"/>
      <c r="R919" s="312"/>
      <c r="S919" s="312"/>
      <c r="T919" s="312"/>
      <c r="U919" s="312"/>
    </row>
    <row r="920">
      <c r="A920" s="513" t="s">
        <v>25968</v>
      </c>
      <c r="B920" s="514" t="s">
        <v>25981</v>
      </c>
      <c r="C920" s="515" t="s">
        <v>25982</v>
      </c>
      <c r="D920" s="516" t="s">
        <v>25983</v>
      </c>
      <c r="E920" s="517"/>
      <c r="F920" s="514" t="s">
        <v>25984</v>
      </c>
      <c r="G920" s="514" t="s">
        <v>25985</v>
      </c>
      <c r="H920" s="514">
        <v>9.830348015E9</v>
      </c>
      <c r="I920" s="515" t="s">
        <v>25986</v>
      </c>
      <c r="J920" s="514" t="b">
        <v>0</v>
      </c>
      <c r="K920" s="514" t="s">
        <v>22312</v>
      </c>
      <c r="L920" s="518" t="s">
        <v>25987</v>
      </c>
      <c r="M920" s="511"/>
      <c r="N920" s="232"/>
      <c r="O920" s="232"/>
      <c r="P920" s="312"/>
      <c r="Q920" s="312"/>
      <c r="R920" s="312"/>
      <c r="S920" s="312"/>
      <c r="T920" s="312"/>
      <c r="U920" s="312"/>
    </row>
    <row r="921">
      <c r="A921" s="508" t="s">
        <v>25968</v>
      </c>
      <c r="B921" s="232" t="s">
        <v>25988</v>
      </c>
      <c r="C921" s="509" t="s">
        <v>25989</v>
      </c>
      <c r="D921" s="510" t="s">
        <v>25990</v>
      </c>
      <c r="E921" s="511"/>
      <c r="F921" s="232" t="s">
        <v>25991</v>
      </c>
      <c r="G921" s="232" t="s">
        <v>25074</v>
      </c>
      <c r="H921" s="232">
        <v>9.934448748E9</v>
      </c>
      <c r="I921" s="509" t="s">
        <v>24122</v>
      </c>
      <c r="J921" s="232" t="b">
        <v>0</v>
      </c>
      <c r="K921" s="232" t="s">
        <v>22365</v>
      </c>
      <c r="L921" s="232" t="s">
        <v>24569</v>
      </c>
      <c r="M921" s="511"/>
      <c r="N921" s="232"/>
      <c r="O921" s="232"/>
      <c r="P921" s="312"/>
      <c r="Q921" s="312"/>
      <c r="R921" s="312"/>
      <c r="S921" s="312"/>
      <c r="T921" s="312"/>
      <c r="U921" s="312"/>
    </row>
    <row r="922">
      <c r="A922" s="508" t="s">
        <v>25968</v>
      </c>
      <c r="B922" s="232" t="s">
        <v>25992</v>
      </c>
      <c r="C922" s="509" t="s">
        <v>25993</v>
      </c>
      <c r="D922" s="510"/>
      <c r="E922" s="511"/>
      <c r="F922" s="232"/>
      <c r="G922" s="232" t="s">
        <v>25994</v>
      </c>
      <c r="H922" s="232">
        <v>9.944658822E9</v>
      </c>
      <c r="I922" s="528" t="s">
        <v>25995</v>
      </c>
      <c r="J922" s="232" t="b">
        <v>0</v>
      </c>
      <c r="K922" s="232" t="s">
        <v>22355</v>
      </c>
      <c r="L922" s="232"/>
      <c r="M922" s="511"/>
      <c r="N922" s="232"/>
      <c r="O922" s="232"/>
      <c r="P922" s="312"/>
      <c r="Q922" s="312"/>
      <c r="R922" s="312"/>
      <c r="S922" s="312"/>
      <c r="T922" s="312"/>
      <c r="U922" s="312"/>
    </row>
    <row r="923">
      <c r="A923" s="508" t="s">
        <v>25968</v>
      </c>
      <c r="B923" s="232" t="s">
        <v>25996</v>
      </c>
      <c r="C923" s="509" t="s">
        <v>25997</v>
      </c>
      <c r="D923" s="510"/>
      <c r="E923" s="511"/>
      <c r="F923" s="232" t="s">
        <v>25998</v>
      </c>
      <c r="G923" s="232" t="s">
        <v>25999</v>
      </c>
      <c r="H923" s="232">
        <v>9.153577015E9</v>
      </c>
      <c r="I923" s="509" t="s">
        <v>25649</v>
      </c>
      <c r="J923" s="232" t="b">
        <v>0</v>
      </c>
      <c r="K923" s="232" t="s">
        <v>22365</v>
      </c>
      <c r="L923" s="232" t="s">
        <v>26000</v>
      </c>
      <c r="M923" s="511"/>
      <c r="N923" s="232"/>
      <c r="O923" s="232"/>
      <c r="P923" s="312"/>
      <c r="Q923" s="312"/>
      <c r="R923" s="312"/>
      <c r="S923" s="312"/>
      <c r="T923" s="312"/>
      <c r="U923" s="312"/>
    </row>
    <row r="924">
      <c r="A924" s="508" t="s">
        <v>25968</v>
      </c>
      <c r="B924" s="232" t="s">
        <v>26001</v>
      </c>
      <c r="C924" s="509" t="s">
        <v>26002</v>
      </c>
      <c r="D924" s="510"/>
      <c r="E924" s="511"/>
      <c r="F924" s="232" t="s">
        <v>26003</v>
      </c>
      <c r="G924" s="232" t="s">
        <v>1663</v>
      </c>
      <c r="H924" s="232">
        <v>7.010464401E9</v>
      </c>
      <c r="I924" s="509" t="s">
        <v>26004</v>
      </c>
      <c r="J924" s="232" t="b">
        <v>0</v>
      </c>
      <c r="K924" s="232"/>
      <c r="L924" s="232"/>
      <c r="M924" s="511"/>
      <c r="N924" s="232"/>
      <c r="O924" s="232"/>
      <c r="P924" s="312"/>
      <c r="Q924" s="312"/>
      <c r="R924" s="312"/>
      <c r="S924" s="312"/>
      <c r="T924" s="312"/>
      <c r="U924" s="312"/>
    </row>
    <row r="925">
      <c r="A925" s="508" t="s">
        <v>25968</v>
      </c>
      <c r="B925" s="232" t="s">
        <v>26005</v>
      </c>
      <c r="C925" s="509" t="s">
        <v>26006</v>
      </c>
      <c r="D925" s="510" t="s">
        <v>26007</v>
      </c>
      <c r="E925" s="511"/>
      <c r="F925" s="232" t="s">
        <v>26008</v>
      </c>
      <c r="G925" s="232" t="s">
        <v>44</v>
      </c>
      <c r="H925" s="232">
        <v>9.830386717E9</v>
      </c>
      <c r="I925" s="509" t="s">
        <v>25483</v>
      </c>
      <c r="J925" s="232" t="b">
        <v>0</v>
      </c>
      <c r="K925" s="232"/>
      <c r="L925" s="232"/>
      <c r="M925" s="511"/>
      <c r="N925" s="232"/>
      <c r="O925" s="232"/>
      <c r="P925" s="312"/>
      <c r="Q925" s="312"/>
      <c r="R925" s="312"/>
      <c r="S925" s="312"/>
      <c r="T925" s="312"/>
      <c r="U925" s="312"/>
    </row>
    <row r="926">
      <c r="A926" s="508" t="s">
        <v>26009</v>
      </c>
      <c r="B926" s="232" t="s">
        <v>26010</v>
      </c>
      <c r="C926" s="509" t="s">
        <v>26011</v>
      </c>
      <c r="D926" s="510" t="s">
        <v>26012</v>
      </c>
      <c r="E926" s="511"/>
      <c r="F926" s="232" t="s">
        <v>26013</v>
      </c>
      <c r="G926" s="232" t="s">
        <v>23823</v>
      </c>
      <c r="H926" s="232">
        <v>-9.040388462E9</v>
      </c>
      <c r="I926" s="509" t="s">
        <v>22289</v>
      </c>
      <c r="J926" s="232" t="b">
        <v>0</v>
      </c>
      <c r="K926" s="232" t="s">
        <v>22365</v>
      </c>
      <c r="L926" s="232" t="s">
        <v>26014</v>
      </c>
      <c r="M926" s="511"/>
      <c r="N926" s="232"/>
      <c r="O926" s="232"/>
      <c r="P926" s="312"/>
      <c r="Q926" s="312"/>
      <c r="R926" s="312"/>
      <c r="S926" s="312"/>
      <c r="T926" s="312"/>
      <c r="U926" s="312"/>
    </row>
    <row r="927">
      <c r="A927" s="508" t="s">
        <v>26009</v>
      </c>
      <c r="B927" s="232" t="s">
        <v>26015</v>
      </c>
      <c r="C927" s="509" t="s">
        <v>26016</v>
      </c>
      <c r="D927" s="510" t="s">
        <v>26017</v>
      </c>
      <c r="E927" s="511"/>
      <c r="F927" s="232" t="s">
        <v>26018</v>
      </c>
      <c r="G927" s="232" t="s">
        <v>2662</v>
      </c>
      <c r="H927" s="232">
        <v>-9.840840154E9</v>
      </c>
      <c r="I927" s="509" t="s">
        <v>26019</v>
      </c>
      <c r="J927" s="232" t="b">
        <v>0</v>
      </c>
      <c r="K927" s="232" t="s">
        <v>12092</v>
      </c>
      <c r="L927" s="232"/>
      <c r="M927" s="511"/>
      <c r="N927" s="232"/>
      <c r="O927" s="232"/>
      <c r="P927" s="312"/>
      <c r="Q927" s="312"/>
      <c r="R927" s="312"/>
      <c r="S927" s="312"/>
      <c r="T927" s="312"/>
      <c r="U927" s="312"/>
    </row>
    <row r="928">
      <c r="A928" s="508" t="s">
        <v>26009</v>
      </c>
      <c r="B928" s="232" t="s">
        <v>26020</v>
      </c>
      <c r="C928" s="509" t="s">
        <v>26021</v>
      </c>
      <c r="D928" s="510"/>
      <c r="E928" s="511"/>
      <c r="F928" s="232"/>
      <c r="G928" s="232" t="s">
        <v>398</v>
      </c>
      <c r="H928" s="232">
        <v>7.970003131E9</v>
      </c>
      <c r="I928" s="509" t="s">
        <v>22373</v>
      </c>
      <c r="J928" s="232" t="b">
        <v>0</v>
      </c>
      <c r="K928" s="232" t="s">
        <v>22349</v>
      </c>
      <c r="L928" s="232" t="s">
        <v>26022</v>
      </c>
      <c r="M928" s="511"/>
      <c r="N928" s="232"/>
      <c r="O928" s="232"/>
      <c r="P928" s="312"/>
      <c r="Q928" s="312"/>
      <c r="R928" s="312"/>
      <c r="S928" s="312"/>
      <c r="T928" s="312"/>
      <c r="U928" s="312"/>
    </row>
    <row r="929">
      <c r="A929" s="508" t="s">
        <v>26009</v>
      </c>
      <c r="B929" s="232" t="s">
        <v>26023</v>
      </c>
      <c r="C929" s="509" t="s">
        <v>26024</v>
      </c>
      <c r="D929" s="510" t="s">
        <v>26024</v>
      </c>
      <c r="E929" s="511"/>
      <c r="F929" s="232" t="s">
        <v>26025</v>
      </c>
      <c r="G929" s="232" t="s">
        <v>22288</v>
      </c>
      <c r="H929" s="232">
        <v>7.891112535E9</v>
      </c>
      <c r="I929" s="509" t="s">
        <v>26026</v>
      </c>
      <c r="J929" s="232" t="b">
        <v>0</v>
      </c>
      <c r="K929" s="232" t="s">
        <v>12092</v>
      </c>
      <c r="L929" s="232"/>
      <c r="M929" s="511"/>
      <c r="N929" s="232"/>
      <c r="O929" s="232"/>
      <c r="P929" s="312"/>
      <c r="Q929" s="312"/>
      <c r="R929" s="312"/>
      <c r="S929" s="312"/>
      <c r="T929" s="312"/>
      <c r="U929" s="312"/>
    </row>
    <row r="930">
      <c r="A930" s="508" t="s">
        <v>26009</v>
      </c>
      <c r="B930" s="232" t="s">
        <v>26027</v>
      </c>
      <c r="C930" s="509" t="s">
        <v>26028</v>
      </c>
      <c r="D930" s="510" t="s">
        <v>26029</v>
      </c>
      <c r="E930" s="511"/>
      <c r="F930" s="232" t="s">
        <v>26030</v>
      </c>
      <c r="G930" s="232" t="s">
        <v>22697</v>
      </c>
      <c r="H930" s="232">
        <v>9.949555207E9</v>
      </c>
      <c r="I930" s="509" t="s">
        <v>26031</v>
      </c>
      <c r="J930" s="232" t="b">
        <v>0</v>
      </c>
      <c r="K930" s="232" t="s">
        <v>22365</v>
      </c>
      <c r="L930" s="232" t="s">
        <v>24569</v>
      </c>
      <c r="M930" s="511"/>
      <c r="N930" s="232"/>
      <c r="O930" s="232"/>
      <c r="P930" s="312"/>
      <c r="Q930" s="312"/>
      <c r="R930" s="312"/>
      <c r="S930" s="312"/>
      <c r="T930" s="312"/>
      <c r="U930" s="312"/>
    </row>
    <row r="931">
      <c r="A931" s="508" t="s">
        <v>26009</v>
      </c>
      <c r="B931" s="232" t="s">
        <v>26032</v>
      </c>
      <c r="C931" s="509" t="s">
        <v>26033</v>
      </c>
      <c r="D931" s="510" t="s">
        <v>26034</v>
      </c>
      <c r="E931" s="511"/>
      <c r="F931" s="232" t="s">
        <v>26035</v>
      </c>
      <c r="G931" s="232" t="s">
        <v>22326</v>
      </c>
      <c r="H931" s="232">
        <v>7.033628324E9</v>
      </c>
      <c r="I931" s="509" t="s">
        <v>25343</v>
      </c>
      <c r="J931" s="232" t="b">
        <v>0</v>
      </c>
      <c r="K931" s="232" t="s">
        <v>12092</v>
      </c>
      <c r="L931" s="232"/>
      <c r="M931" s="511"/>
      <c r="N931" s="232"/>
      <c r="O931" s="232"/>
      <c r="P931" s="312"/>
      <c r="Q931" s="312"/>
      <c r="R931" s="312"/>
      <c r="S931" s="312"/>
      <c r="T931" s="312"/>
      <c r="U931" s="312"/>
    </row>
    <row r="932">
      <c r="A932" s="508" t="s">
        <v>26009</v>
      </c>
      <c r="B932" s="232" t="s">
        <v>26036</v>
      </c>
      <c r="C932" s="509" t="s">
        <v>26037</v>
      </c>
      <c r="D932" s="510"/>
      <c r="E932" s="511"/>
      <c r="F932" s="232" t="s">
        <v>26038</v>
      </c>
      <c r="G932" s="232" t="s">
        <v>23394</v>
      </c>
      <c r="H932" s="232">
        <v>9.007331222E9</v>
      </c>
      <c r="I932" s="509" t="s">
        <v>22354</v>
      </c>
      <c r="J932" s="232" t="b">
        <v>0</v>
      </c>
      <c r="K932" s="232" t="s">
        <v>22365</v>
      </c>
      <c r="L932" s="232" t="s">
        <v>24505</v>
      </c>
      <c r="M932" s="511"/>
      <c r="N932" s="232"/>
      <c r="O932" s="232"/>
      <c r="P932" s="312"/>
      <c r="Q932" s="312"/>
      <c r="R932" s="312"/>
      <c r="S932" s="312"/>
      <c r="T932" s="312"/>
      <c r="U932" s="312"/>
    </row>
    <row r="933">
      <c r="A933" s="508" t="s">
        <v>26009</v>
      </c>
      <c r="B933" s="232" t="s">
        <v>26039</v>
      </c>
      <c r="C933" s="509" t="s">
        <v>26040</v>
      </c>
      <c r="D933" s="519" t="s">
        <v>26041</v>
      </c>
      <c r="E933" s="511"/>
      <c r="F933" s="232" t="s">
        <v>26042</v>
      </c>
      <c r="G933" s="232" t="s">
        <v>507</v>
      </c>
      <c r="H933" s="232">
        <v>9.0044881E9</v>
      </c>
      <c r="I933" s="509" t="s">
        <v>26043</v>
      </c>
      <c r="J933" s="232" t="b">
        <v>0</v>
      </c>
      <c r="K933" s="232" t="s">
        <v>334</v>
      </c>
      <c r="L933" s="232"/>
      <c r="M933" s="511"/>
      <c r="N933" s="232"/>
      <c r="O933" s="232"/>
      <c r="P933" s="312"/>
      <c r="Q933" s="312"/>
      <c r="R933" s="312"/>
      <c r="S933" s="312"/>
      <c r="T933" s="312"/>
      <c r="U933" s="312"/>
    </row>
    <row r="934">
      <c r="A934" s="508" t="s">
        <v>26009</v>
      </c>
      <c r="B934" s="232" t="s">
        <v>26044</v>
      </c>
      <c r="C934" s="509" t="s">
        <v>26045</v>
      </c>
      <c r="D934" s="510" t="s">
        <v>26046</v>
      </c>
      <c r="E934" s="511"/>
      <c r="F934" s="232" t="s">
        <v>26047</v>
      </c>
      <c r="G934" s="232" t="s">
        <v>2682</v>
      </c>
      <c r="H934" s="232">
        <v>9.481749946E9</v>
      </c>
      <c r="I934" s="509" t="s">
        <v>26048</v>
      </c>
      <c r="J934" s="232" t="b">
        <v>0</v>
      </c>
      <c r="K934" s="232" t="s">
        <v>334</v>
      </c>
      <c r="L934" s="232"/>
      <c r="M934" s="511"/>
      <c r="N934" s="232"/>
      <c r="O934" s="232"/>
      <c r="P934" s="312"/>
      <c r="Q934" s="312"/>
      <c r="R934" s="312"/>
      <c r="S934" s="312"/>
      <c r="T934" s="312"/>
      <c r="U934" s="312"/>
    </row>
    <row r="935">
      <c r="A935" s="508" t="s">
        <v>26009</v>
      </c>
      <c r="B935" s="232" t="s">
        <v>26049</v>
      </c>
      <c r="C935" s="509" t="s">
        <v>26050</v>
      </c>
      <c r="D935" s="510" t="s">
        <v>26051</v>
      </c>
      <c r="E935" s="511"/>
      <c r="F935" s="232" t="s">
        <v>26052</v>
      </c>
      <c r="G935" s="232" t="s">
        <v>2662</v>
      </c>
      <c r="H935" s="232">
        <v>9.36165485E9</v>
      </c>
      <c r="I935" s="509" t="s">
        <v>26053</v>
      </c>
      <c r="J935" s="232" t="b">
        <v>0</v>
      </c>
      <c r="K935" s="232" t="s">
        <v>334</v>
      </c>
      <c r="L935" s="232"/>
      <c r="M935" s="511"/>
      <c r="N935" s="232"/>
      <c r="O935" s="232"/>
      <c r="P935" s="312"/>
      <c r="Q935" s="312"/>
      <c r="R935" s="312"/>
      <c r="S935" s="312"/>
      <c r="T935" s="312"/>
      <c r="U935" s="312"/>
    </row>
    <row r="936">
      <c r="A936" s="508" t="s">
        <v>26009</v>
      </c>
      <c r="B936" s="232" t="s">
        <v>26054</v>
      </c>
      <c r="C936" s="509" t="s">
        <v>26055</v>
      </c>
      <c r="D936" s="510"/>
      <c r="E936" s="511"/>
      <c r="F936" s="232" t="s">
        <v>26056</v>
      </c>
      <c r="G936" s="232" t="s">
        <v>44</v>
      </c>
      <c r="H936" s="232">
        <v>9.547421941E9</v>
      </c>
      <c r="I936" s="509" t="s">
        <v>24892</v>
      </c>
      <c r="J936" s="232" t="b">
        <v>0</v>
      </c>
      <c r="K936" s="232" t="s">
        <v>22365</v>
      </c>
      <c r="L936" s="232" t="s">
        <v>24505</v>
      </c>
      <c r="M936" s="511"/>
      <c r="N936" s="232"/>
      <c r="O936" s="232"/>
      <c r="P936" s="312"/>
      <c r="Q936" s="312"/>
      <c r="R936" s="312"/>
      <c r="S936" s="312"/>
      <c r="T936" s="312"/>
      <c r="U936" s="312"/>
    </row>
    <row r="937">
      <c r="A937" s="508" t="s">
        <v>26009</v>
      </c>
      <c r="B937" s="232" t="s">
        <v>26057</v>
      </c>
      <c r="C937" s="509" t="s">
        <v>26058</v>
      </c>
      <c r="D937" s="510"/>
      <c r="E937" s="511"/>
      <c r="F937" s="232" t="s">
        <v>26059</v>
      </c>
      <c r="G937" s="232" t="s">
        <v>9266</v>
      </c>
      <c r="H937" s="232">
        <v>9.447828357E9</v>
      </c>
      <c r="I937" s="509" t="s">
        <v>26060</v>
      </c>
      <c r="J937" s="232" t="b">
        <v>0</v>
      </c>
      <c r="K937" s="232" t="s">
        <v>22365</v>
      </c>
      <c r="L937" s="232" t="s">
        <v>26061</v>
      </c>
      <c r="M937" s="511"/>
      <c r="N937" s="232"/>
      <c r="O937" s="232"/>
      <c r="P937" s="312"/>
      <c r="Q937" s="312"/>
      <c r="R937" s="312"/>
      <c r="S937" s="312"/>
      <c r="T937" s="312"/>
      <c r="U937" s="312"/>
    </row>
    <row r="938">
      <c r="A938" s="508" t="s">
        <v>26009</v>
      </c>
      <c r="B938" s="232" t="s">
        <v>26062</v>
      </c>
      <c r="C938" s="509" t="s">
        <v>17145</v>
      </c>
      <c r="D938" s="510" t="s">
        <v>26063</v>
      </c>
      <c r="E938" s="511"/>
      <c r="F938" s="232" t="s">
        <v>26064</v>
      </c>
      <c r="G938" s="232" t="s">
        <v>981</v>
      </c>
      <c r="H938" s="232">
        <v>8.293090151E9</v>
      </c>
      <c r="I938" s="509" t="s">
        <v>22851</v>
      </c>
      <c r="J938" s="232" t="b">
        <v>0</v>
      </c>
      <c r="K938" s="232" t="s">
        <v>22365</v>
      </c>
      <c r="L938" s="232"/>
      <c r="M938" s="511"/>
      <c r="N938" s="232"/>
      <c r="O938" s="232"/>
      <c r="P938" s="312"/>
      <c r="Q938" s="312"/>
      <c r="R938" s="312"/>
      <c r="S938" s="312"/>
      <c r="T938" s="312"/>
      <c r="U938" s="312"/>
    </row>
    <row r="939">
      <c r="A939" s="508" t="s">
        <v>26009</v>
      </c>
      <c r="B939" s="232" t="s">
        <v>26065</v>
      </c>
      <c r="C939" s="509" t="s">
        <v>26066</v>
      </c>
      <c r="D939" s="510" t="s">
        <v>26067</v>
      </c>
      <c r="E939" s="511"/>
      <c r="F939" s="232" t="s">
        <v>26068</v>
      </c>
      <c r="G939" s="232" t="s">
        <v>22292</v>
      </c>
      <c r="H939" s="232">
        <v>9.73091676E9</v>
      </c>
      <c r="I939" s="509" t="s">
        <v>25649</v>
      </c>
      <c r="J939" s="232" t="b">
        <v>0</v>
      </c>
      <c r="K939" s="232" t="s">
        <v>22365</v>
      </c>
      <c r="L939" s="232" t="s">
        <v>22621</v>
      </c>
      <c r="M939" s="511"/>
      <c r="N939" s="232"/>
      <c r="O939" s="232"/>
      <c r="P939" s="312"/>
      <c r="Q939" s="312"/>
      <c r="R939" s="312"/>
      <c r="S939" s="312"/>
      <c r="T939" s="312"/>
      <c r="U939" s="312"/>
    </row>
    <row r="940">
      <c r="A940" s="513" t="s">
        <v>26069</v>
      </c>
      <c r="B940" s="514" t="s">
        <v>26070</v>
      </c>
      <c r="C940" s="515" t="s">
        <v>26071</v>
      </c>
      <c r="D940" s="516" t="s">
        <v>26072</v>
      </c>
      <c r="E940" s="517"/>
      <c r="F940" s="514"/>
      <c r="G940" s="514" t="s">
        <v>23612</v>
      </c>
      <c r="H940" s="514">
        <v>9.810797209E9</v>
      </c>
      <c r="I940" s="515" t="s">
        <v>24742</v>
      </c>
      <c r="J940" s="514" t="b">
        <v>0</v>
      </c>
      <c r="K940" s="514" t="s">
        <v>22312</v>
      </c>
      <c r="L940" s="514" t="s">
        <v>26073</v>
      </c>
      <c r="M940" s="511"/>
      <c r="N940" s="232"/>
      <c r="O940" s="232"/>
      <c r="P940" s="312"/>
      <c r="Q940" s="312"/>
      <c r="R940" s="312"/>
      <c r="S940" s="312"/>
      <c r="T940" s="312"/>
      <c r="U940" s="312"/>
    </row>
    <row r="941">
      <c r="A941" s="508" t="s">
        <v>26069</v>
      </c>
      <c r="B941" s="232" t="s">
        <v>26074</v>
      </c>
      <c r="C941" s="509" t="s">
        <v>26075</v>
      </c>
      <c r="D941" s="510"/>
      <c r="E941" s="511"/>
      <c r="F941" s="232"/>
      <c r="G941" s="232" t="s">
        <v>26076</v>
      </c>
      <c r="H941" s="232">
        <v>9.046600262E9</v>
      </c>
      <c r="I941" s="509" t="s">
        <v>22364</v>
      </c>
      <c r="J941" s="232" t="b">
        <v>0</v>
      </c>
      <c r="K941" s="232" t="s">
        <v>22365</v>
      </c>
      <c r="L941" s="232" t="s">
        <v>22554</v>
      </c>
      <c r="M941" s="511"/>
      <c r="N941" s="232"/>
      <c r="O941" s="232"/>
      <c r="P941" s="312"/>
      <c r="Q941" s="312"/>
      <c r="R941" s="312"/>
      <c r="S941" s="312"/>
      <c r="T941" s="312"/>
      <c r="U941" s="312"/>
    </row>
    <row r="942">
      <c r="A942" s="508" t="s">
        <v>26069</v>
      </c>
      <c r="B942" s="232" t="s">
        <v>26077</v>
      </c>
      <c r="C942" s="509" t="s">
        <v>26045</v>
      </c>
      <c r="D942" s="510" t="s">
        <v>26046</v>
      </c>
      <c r="E942" s="511"/>
      <c r="F942" s="232" t="s">
        <v>26047</v>
      </c>
      <c r="G942" s="232" t="s">
        <v>2682</v>
      </c>
      <c r="H942" s="232">
        <v>-9.481749946E9</v>
      </c>
      <c r="I942" s="509" t="s">
        <v>26048</v>
      </c>
      <c r="J942" s="232" t="b">
        <v>0</v>
      </c>
      <c r="K942" s="232" t="s">
        <v>334</v>
      </c>
      <c r="L942" s="232"/>
      <c r="M942" s="511"/>
      <c r="N942" s="232"/>
      <c r="O942" s="232"/>
      <c r="P942" s="312"/>
      <c r="Q942" s="312"/>
      <c r="R942" s="312"/>
      <c r="S942" s="312"/>
      <c r="T942" s="312"/>
      <c r="U942" s="312"/>
    </row>
    <row r="943">
      <c r="A943" s="508" t="s">
        <v>26069</v>
      </c>
      <c r="B943" s="232" t="s">
        <v>26078</v>
      </c>
      <c r="C943" s="509" t="s">
        <v>26079</v>
      </c>
      <c r="D943" s="510" t="s">
        <v>26080</v>
      </c>
      <c r="E943" s="511"/>
      <c r="F943" s="232"/>
      <c r="G943" s="232" t="s">
        <v>1461</v>
      </c>
      <c r="H943" s="232">
        <v>-8.73980048E9</v>
      </c>
      <c r="I943" s="509" t="s">
        <v>26081</v>
      </c>
      <c r="J943" s="232" t="b">
        <v>0</v>
      </c>
      <c r="K943" s="232" t="s">
        <v>22349</v>
      </c>
      <c r="L943" s="232" t="s">
        <v>25246</v>
      </c>
      <c r="M943" s="511"/>
      <c r="N943" s="232"/>
      <c r="O943" s="232"/>
      <c r="P943" s="312"/>
      <c r="Q943" s="312"/>
      <c r="R943" s="312"/>
      <c r="S943" s="312"/>
      <c r="T943" s="312"/>
      <c r="U943" s="312"/>
    </row>
    <row r="944">
      <c r="A944" s="508" t="s">
        <v>26069</v>
      </c>
      <c r="B944" s="232" t="s">
        <v>26082</v>
      </c>
      <c r="C944" s="509" t="s">
        <v>3400</v>
      </c>
      <c r="D944" s="510"/>
      <c r="E944" s="511"/>
      <c r="F944" s="232"/>
      <c r="G944" s="232" t="s">
        <v>22304</v>
      </c>
      <c r="H944" s="232">
        <v>9.078323785E9</v>
      </c>
      <c r="I944" s="509" t="s">
        <v>26083</v>
      </c>
      <c r="J944" s="232" t="b">
        <v>0</v>
      </c>
      <c r="K944" s="232" t="s">
        <v>22365</v>
      </c>
      <c r="L944" s="232" t="s">
        <v>26084</v>
      </c>
      <c r="M944" s="511"/>
      <c r="N944" s="232"/>
      <c r="O944" s="232"/>
      <c r="P944" s="312"/>
      <c r="Q944" s="312"/>
      <c r="R944" s="312"/>
      <c r="S944" s="312"/>
      <c r="T944" s="312"/>
      <c r="U944" s="312"/>
    </row>
    <row r="945">
      <c r="A945" s="508" t="s">
        <v>26069</v>
      </c>
      <c r="B945" s="232" t="s">
        <v>26085</v>
      </c>
      <c r="C945" s="509" t="s">
        <v>26086</v>
      </c>
      <c r="D945" s="510"/>
      <c r="E945" s="511"/>
      <c r="F945" s="232"/>
      <c r="G945" s="232" t="s">
        <v>22292</v>
      </c>
      <c r="H945" s="232">
        <v>8.975006758E9</v>
      </c>
      <c r="I945" s="509" t="s">
        <v>22672</v>
      </c>
      <c r="J945" s="232" t="b">
        <v>0</v>
      </c>
      <c r="K945" s="232" t="s">
        <v>22365</v>
      </c>
      <c r="L945" s="232" t="s">
        <v>23537</v>
      </c>
      <c r="M945" s="511"/>
      <c r="N945" s="232"/>
      <c r="O945" s="232"/>
      <c r="P945" s="312"/>
      <c r="Q945" s="312"/>
      <c r="R945" s="312"/>
      <c r="S945" s="312"/>
      <c r="T945" s="312"/>
      <c r="U945" s="312"/>
    </row>
    <row r="946">
      <c r="A946" s="508" t="s">
        <v>26069</v>
      </c>
      <c r="B946" s="232" t="s">
        <v>26087</v>
      </c>
      <c r="C946" s="509" t="s">
        <v>26088</v>
      </c>
      <c r="D946" s="510" t="s">
        <v>26089</v>
      </c>
      <c r="E946" s="511"/>
      <c r="F946" s="232" t="s">
        <v>26090</v>
      </c>
      <c r="G946" s="232" t="s">
        <v>22564</v>
      </c>
      <c r="H946" s="232">
        <v>7.666290594E9</v>
      </c>
      <c r="I946" s="509" t="s">
        <v>26091</v>
      </c>
      <c r="J946" s="232" t="b">
        <v>0</v>
      </c>
      <c r="K946" s="232" t="s">
        <v>22365</v>
      </c>
      <c r="L946" s="232" t="s">
        <v>26092</v>
      </c>
      <c r="M946" s="511"/>
      <c r="N946" s="232"/>
      <c r="O946" s="232"/>
      <c r="P946" s="312"/>
      <c r="Q946" s="312"/>
      <c r="R946" s="312"/>
      <c r="S946" s="312"/>
      <c r="T946" s="312"/>
      <c r="U946" s="312"/>
    </row>
    <row r="947">
      <c r="A947" s="508" t="s">
        <v>26069</v>
      </c>
      <c r="B947" s="232" t="s">
        <v>26093</v>
      </c>
      <c r="C947" s="509" t="s">
        <v>26094</v>
      </c>
      <c r="D947" s="510"/>
      <c r="E947" s="511"/>
      <c r="F947" s="232"/>
      <c r="G947" s="232" t="s">
        <v>7995</v>
      </c>
      <c r="H947" s="232">
        <v>7.69980515E9</v>
      </c>
      <c r="I947" s="509" t="s">
        <v>22698</v>
      </c>
      <c r="J947" s="232" t="b">
        <v>0</v>
      </c>
      <c r="K947" s="232" t="s">
        <v>22365</v>
      </c>
      <c r="L947" s="232" t="s">
        <v>26095</v>
      </c>
      <c r="M947" s="511"/>
      <c r="N947" s="232"/>
      <c r="O947" s="232"/>
      <c r="P947" s="312"/>
      <c r="Q947" s="312"/>
      <c r="R947" s="312"/>
      <c r="S947" s="312"/>
      <c r="T947" s="312"/>
      <c r="U947" s="312"/>
    </row>
    <row r="948">
      <c r="A948" s="508" t="s">
        <v>26069</v>
      </c>
      <c r="B948" s="232" t="s">
        <v>26096</v>
      </c>
      <c r="C948" s="509" t="s">
        <v>26097</v>
      </c>
      <c r="D948" s="510"/>
      <c r="E948" s="511"/>
      <c r="F948" s="232" t="s">
        <v>26098</v>
      </c>
      <c r="G948" s="232" t="s">
        <v>507</v>
      </c>
      <c r="H948" s="232">
        <v>7.977445495E9</v>
      </c>
      <c r="I948" s="509" t="s">
        <v>22502</v>
      </c>
      <c r="J948" s="232" t="b">
        <v>0</v>
      </c>
      <c r="K948" s="232"/>
      <c r="L948" s="232"/>
      <c r="M948" s="511"/>
      <c r="N948" s="232"/>
      <c r="O948" s="232"/>
      <c r="P948" s="312"/>
      <c r="Q948" s="312"/>
      <c r="R948" s="312"/>
      <c r="S948" s="312"/>
      <c r="T948" s="312"/>
      <c r="U948" s="312"/>
    </row>
    <row r="949">
      <c r="A949" s="508" t="s">
        <v>26069</v>
      </c>
      <c r="B949" s="232" t="s">
        <v>26099</v>
      </c>
      <c r="C949" s="509" t="s">
        <v>26100</v>
      </c>
      <c r="D949" s="510"/>
      <c r="E949" s="511"/>
      <c r="F949" s="232" t="s">
        <v>26101</v>
      </c>
      <c r="G949" s="232" t="s">
        <v>4841</v>
      </c>
      <c r="H949" s="232">
        <v>9.932815672E9</v>
      </c>
      <c r="I949" s="509" t="s">
        <v>26102</v>
      </c>
      <c r="J949" s="232" t="b">
        <v>0</v>
      </c>
      <c r="K949" s="232" t="s">
        <v>22365</v>
      </c>
      <c r="L949" s="232" t="s">
        <v>26103</v>
      </c>
      <c r="M949" s="511"/>
      <c r="N949" s="232"/>
      <c r="O949" s="232"/>
      <c r="P949" s="312"/>
      <c r="Q949" s="312"/>
      <c r="R949" s="312"/>
      <c r="S949" s="312"/>
      <c r="T949" s="312"/>
      <c r="U949" s="312"/>
    </row>
    <row r="950">
      <c r="A950" s="508" t="s">
        <v>26104</v>
      </c>
      <c r="B950" s="232" t="s">
        <v>26105</v>
      </c>
      <c r="C950" s="509" t="s">
        <v>1140</v>
      </c>
      <c r="D950" s="510" t="s">
        <v>26106</v>
      </c>
      <c r="E950" s="511"/>
      <c r="F950" s="232"/>
      <c r="G950" s="232" t="s">
        <v>26107</v>
      </c>
      <c r="H950" s="232">
        <v>8.252677037E9</v>
      </c>
      <c r="I950" s="509" t="s">
        <v>22370</v>
      </c>
      <c r="J950" s="232" t="b">
        <v>0</v>
      </c>
      <c r="K950" s="232" t="s">
        <v>12092</v>
      </c>
      <c r="L950" s="232"/>
      <c r="M950" s="511"/>
      <c r="N950" s="232"/>
      <c r="O950" s="232"/>
      <c r="P950" s="312"/>
      <c r="Q950" s="312"/>
      <c r="R950" s="312"/>
      <c r="S950" s="312"/>
      <c r="T950" s="312"/>
      <c r="U950" s="312"/>
    </row>
    <row r="951">
      <c r="A951" s="508" t="s">
        <v>26104</v>
      </c>
      <c r="B951" s="232" t="s">
        <v>26108</v>
      </c>
      <c r="C951" s="509" t="s">
        <v>2812</v>
      </c>
      <c r="D951" s="510" t="s">
        <v>26109</v>
      </c>
      <c r="E951" s="511"/>
      <c r="F951" s="232"/>
      <c r="G951" s="232" t="s">
        <v>22564</v>
      </c>
      <c r="H951" s="232">
        <v>9.9759373E9</v>
      </c>
      <c r="I951" s="509" t="s">
        <v>26110</v>
      </c>
      <c r="J951" s="232" t="b">
        <v>0</v>
      </c>
      <c r="K951" s="232" t="s">
        <v>22365</v>
      </c>
      <c r="L951" s="232"/>
      <c r="M951" s="511"/>
      <c r="N951" s="232"/>
      <c r="O951" s="232"/>
      <c r="P951" s="312"/>
      <c r="Q951" s="312"/>
      <c r="R951" s="312"/>
      <c r="S951" s="312"/>
      <c r="T951" s="312"/>
      <c r="U951" s="312"/>
    </row>
    <row r="952">
      <c r="A952" s="508" t="s">
        <v>26104</v>
      </c>
      <c r="B952" s="232" t="s">
        <v>26111</v>
      </c>
      <c r="C952" s="509" t="s">
        <v>26112</v>
      </c>
      <c r="D952" s="510" t="s">
        <v>26113</v>
      </c>
      <c r="E952" s="511"/>
      <c r="F952" s="232" t="s">
        <v>26114</v>
      </c>
      <c r="G952" s="232" t="s">
        <v>99</v>
      </c>
      <c r="H952" s="232">
        <v>8.917454844E9</v>
      </c>
      <c r="I952" s="509" t="s">
        <v>22289</v>
      </c>
      <c r="J952" s="232" t="b">
        <v>0</v>
      </c>
      <c r="K952" s="232" t="s">
        <v>22365</v>
      </c>
      <c r="L952" s="232"/>
      <c r="M952" s="511"/>
      <c r="N952" s="232"/>
      <c r="O952" s="232"/>
      <c r="P952" s="312"/>
      <c r="Q952" s="312"/>
      <c r="R952" s="312"/>
      <c r="S952" s="312"/>
      <c r="T952" s="312"/>
      <c r="U952" s="312"/>
    </row>
    <row r="953">
      <c r="A953" s="508" t="s">
        <v>26104</v>
      </c>
      <c r="B953" s="232" t="s">
        <v>26115</v>
      </c>
      <c r="C953" s="509" t="s">
        <v>26116</v>
      </c>
      <c r="D953" s="510" t="s">
        <v>26117</v>
      </c>
      <c r="E953" s="511"/>
      <c r="F953" s="232"/>
      <c r="G953" s="232" t="s">
        <v>99</v>
      </c>
      <c r="H953" s="232">
        <v>7.008433772E9</v>
      </c>
      <c r="I953" s="509" t="s">
        <v>22903</v>
      </c>
      <c r="J953" s="232" t="b">
        <v>0</v>
      </c>
      <c r="K953" s="232" t="s">
        <v>334</v>
      </c>
      <c r="L953" s="232"/>
      <c r="M953" s="511"/>
      <c r="N953" s="232"/>
      <c r="O953" s="232"/>
      <c r="P953" s="312"/>
      <c r="Q953" s="312"/>
      <c r="R953" s="312"/>
      <c r="S953" s="312"/>
      <c r="T953" s="312"/>
      <c r="U953" s="312"/>
    </row>
    <row r="954">
      <c r="A954" s="508" t="s">
        <v>26104</v>
      </c>
      <c r="B954" s="232" t="s">
        <v>26118</v>
      </c>
      <c r="C954" s="509" t="s">
        <v>26119</v>
      </c>
      <c r="D954" s="510"/>
      <c r="E954" s="511"/>
      <c r="F954" s="232" t="s">
        <v>26120</v>
      </c>
      <c r="G954" s="232" t="s">
        <v>22292</v>
      </c>
      <c r="H954" s="232">
        <v>9.729463513E9</v>
      </c>
      <c r="I954" s="509" t="s">
        <v>22354</v>
      </c>
      <c r="J954" s="232" t="b">
        <v>0</v>
      </c>
      <c r="K954" s="232" t="s">
        <v>22365</v>
      </c>
      <c r="L954" s="232" t="s">
        <v>22509</v>
      </c>
      <c r="M954" s="511"/>
      <c r="N954" s="232"/>
      <c r="O954" s="232"/>
      <c r="P954" s="312"/>
      <c r="Q954" s="312"/>
      <c r="R954" s="312"/>
      <c r="S954" s="312"/>
      <c r="T954" s="312"/>
      <c r="U954" s="312"/>
    </row>
    <row r="955">
      <c r="A955" s="508" t="s">
        <v>26104</v>
      </c>
      <c r="B955" s="232" t="s">
        <v>26121</v>
      </c>
      <c r="C955" s="509" t="s">
        <v>26122</v>
      </c>
      <c r="D955" s="510"/>
      <c r="E955" s="511"/>
      <c r="F955" s="232"/>
      <c r="G955" s="232" t="s">
        <v>44</v>
      </c>
      <c r="H955" s="232">
        <v>9.804709514E9</v>
      </c>
      <c r="I955" s="509" t="s">
        <v>26123</v>
      </c>
      <c r="J955" s="232" t="b">
        <v>0</v>
      </c>
      <c r="K955" s="232" t="s">
        <v>22365</v>
      </c>
      <c r="L955" s="232" t="s">
        <v>22514</v>
      </c>
      <c r="M955" s="511"/>
      <c r="N955" s="232"/>
      <c r="O955" s="232"/>
      <c r="P955" s="312"/>
      <c r="Q955" s="312"/>
      <c r="R955" s="312"/>
      <c r="S955" s="312"/>
      <c r="T955" s="312"/>
      <c r="U955" s="312"/>
    </row>
    <row r="956">
      <c r="A956" s="508" t="s">
        <v>26104</v>
      </c>
      <c r="B956" s="232" t="s">
        <v>26124</v>
      </c>
      <c r="C956" s="509" t="s">
        <v>26125</v>
      </c>
      <c r="D956" s="510" t="s">
        <v>26126</v>
      </c>
      <c r="E956" s="511"/>
      <c r="F956" s="232" t="s">
        <v>26127</v>
      </c>
      <c r="G956" s="232" t="s">
        <v>22960</v>
      </c>
      <c r="H956" s="232">
        <v>9.96222502E9</v>
      </c>
      <c r="I956" s="509" t="s">
        <v>22961</v>
      </c>
      <c r="J956" s="232" t="b">
        <v>0</v>
      </c>
      <c r="K956" s="232" t="s">
        <v>334</v>
      </c>
      <c r="L956" s="232"/>
      <c r="M956" s="511"/>
      <c r="N956" s="232"/>
      <c r="O956" s="232"/>
      <c r="P956" s="312"/>
      <c r="Q956" s="312"/>
      <c r="R956" s="312"/>
      <c r="S956" s="312"/>
      <c r="T956" s="312"/>
      <c r="U956" s="312"/>
    </row>
    <row r="957">
      <c r="A957" s="508" t="s">
        <v>26104</v>
      </c>
      <c r="B957" s="232" t="s">
        <v>26128</v>
      </c>
      <c r="C957" s="509" t="s">
        <v>23172</v>
      </c>
      <c r="D957" s="510"/>
      <c r="E957" s="511"/>
      <c r="F957" s="232"/>
      <c r="G957" s="232" t="s">
        <v>22770</v>
      </c>
      <c r="H957" s="232">
        <v>9.818328828E9</v>
      </c>
      <c r="I957" s="509" t="s">
        <v>22354</v>
      </c>
      <c r="J957" s="232" t="b">
        <v>0</v>
      </c>
      <c r="K957" s="232" t="s">
        <v>22365</v>
      </c>
      <c r="L957" s="232" t="s">
        <v>26129</v>
      </c>
      <c r="M957" s="511"/>
      <c r="N957" s="232"/>
      <c r="O957" s="232"/>
      <c r="P957" s="312"/>
      <c r="Q957" s="312"/>
      <c r="R957" s="312"/>
      <c r="S957" s="312"/>
      <c r="T957" s="312"/>
      <c r="U957" s="312"/>
    </row>
    <row r="958">
      <c r="A958" s="508" t="s">
        <v>26104</v>
      </c>
      <c r="B958" s="232" t="s">
        <v>26130</v>
      </c>
      <c r="C958" s="509" t="s">
        <v>26131</v>
      </c>
      <c r="D958" s="510" t="s">
        <v>26132</v>
      </c>
      <c r="E958" s="511"/>
      <c r="F958" s="232" t="s">
        <v>26133</v>
      </c>
      <c r="G958" s="232" t="s">
        <v>22564</v>
      </c>
      <c r="H958" s="232">
        <v>7.448211212E9</v>
      </c>
      <c r="I958" s="509" t="s">
        <v>26134</v>
      </c>
      <c r="J958" s="232" t="b">
        <v>0</v>
      </c>
      <c r="K958" s="232" t="s">
        <v>22365</v>
      </c>
      <c r="L958" s="232" t="s">
        <v>26129</v>
      </c>
      <c r="M958" s="511"/>
      <c r="N958" s="232"/>
      <c r="O958" s="232"/>
      <c r="P958" s="312"/>
      <c r="Q958" s="312"/>
      <c r="R958" s="312"/>
      <c r="S958" s="312"/>
      <c r="T958" s="312"/>
      <c r="U958" s="312"/>
    </row>
    <row r="959">
      <c r="A959" s="508" t="s">
        <v>26104</v>
      </c>
      <c r="B959" s="232" t="s">
        <v>26135</v>
      </c>
      <c r="C959" s="509" t="s">
        <v>26136</v>
      </c>
      <c r="D959" s="510" t="s">
        <v>26137</v>
      </c>
      <c r="E959" s="511"/>
      <c r="F959" s="232" t="s">
        <v>26138</v>
      </c>
      <c r="G959" s="232" t="s">
        <v>23823</v>
      </c>
      <c r="H959" s="232">
        <v>9.583963143E9</v>
      </c>
      <c r="I959" s="509" t="s">
        <v>22903</v>
      </c>
      <c r="J959" s="232" t="b">
        <v>0</v>
      </c>
      <c r="K959" s="232" t="s">
        <v>22365</v>
      </c>
      <c r="L959" s="232" t="s">
        <v>22514</v>
      </c>
      <c r="M959" s="511"/>
      <c r="N959" s="232"/>
      <c r="O959" s="232"/>
      <c r="P959" s="312"/>
      <c r="Q959" s="312"/>
      <c r="R959" s="312"/>
      <c r="S959" s="312"/>
      <c r="T959" s="312"/>
      <c r="U959" s="312"/>
    </row>
    <row r="960">
      <c r="A960" s="508" t="s">
        <v>26104</v>
      </c>
      <c r="B960" s="232" t="s">
        <v>26139</v>
      </c>
      <c r="C960" s="509" t="s">
        <v>26140</v>
      </c>
      <c r="D960" s="510"/>
      <c r="E960" s="511"/>
      <c r="F960" s="232" t="s">
        <v>26141</v>
      </c>
      <c r="G960" s="232" t="s">
        <v>22844</v>
      </c>
      <c r="H960" s="232">
        <v>8.77953607E9</v>
      </c>
      <c r="I960" s="509" t="s">
        <v>22851</v>
      </c>
      <c r="J960" s="232" t="b">
        <v>0</v>
      </c>
      <c r="K960" s="232" t="s">
        <v>22365</v>
      </c>
      <c r="L960" s="232" t="s">
        <v>22514</v>
      </c>
      <c r="M960" s="511"/>
      <c r="N960" s="232"/>
      <c r="O960" s="232"/>
      <c r="P960" s="312"/>
      <c r="Q960" s="312"/>
      <c r="R960" s="312"/>
      <c r="S960" s="312"/>
      <c r="T960" s="312"/>
      <c r="U960" s="312"/>
    </row>
    <row r="961">
      <c r="A961" s="508" t="s">
        <v>26104</v>
      </c>
      <c r="B961" s="232" t="s">
        <v>26142</v>
      </c>
      <c r="C961" s="509" t="s">
        <v>9622</v>
      </c>
      <c r="D961" s="510"/>
      <c r="E961" s="511"/>
      <c r="F961" s="232"/>
      <c r="G961" s="232" t="s">
        <v>22844</v>
      </c>
      <c r="H961" s="232">
        <v>7.219082666E9</v>
      </c>
      <c r="I961" s="509" t="s">
        <v>22278</v>
      </c>
      <c r="J961" s="232" t="b">
        <v>0</v>
      </c>
      <c r="K961" s="232" t="s">
        <v>22365</v>
      </c>
      <c r="L961" s="232" t="s">
        <v>23537</v>
      </c>
      <c r="M961" s="511"/>
      <c r="N961" s="232"/>
      <c r="O961" s="232"/>
      <c r="P961" s="312"/>
      <c r="Q961" s="312"/>
      <c r="R961" s="312"/>
      <c r="S961" s="312"/>
      <c r="T961" s="312"/>
      <c r="U961" s="312"/>
    </row>
    <row r="962">
      <c r="A962" s="508" t="s">
        <v>26104</v>
      </c>
      <c r="B962" s="232" t="s">
        <v>26143</v>
      </c>
      <c r="C962" s="509" t="s">
        <v>25563</v>
      </c>
      <c r="D962" s="510" t="s">
        <v>25564</v>
      </c>
      <c r="E962" s="511"/>
      <c r="F962" s="232" t="s">
        <v>26144</v>
      </c>
      <c r="G962" s="232" t="s">
        <v>44</v>
      </c>
      <c r="H962" s="232">
        <v>8.017158668E9</v>
      </c>
      <c r="I962" s="509" t="s">
        <v>26145</v>
      </c>
      <c r="J962" s="232" t="b">
        <v>0</v>
      </c>
      <c r="K962" s="232" t="s">
        <v>22365</v>
      </c>
      <c r="L962" s="232" t="s">
        <v>23537</v>
      </c>
      <c r="M962" s="511"/>
      <c r="N962" s="232"/>
      <c r="O962" s="232"/>
      <c r="P962" s="312"/>
      <c r="Q962" s="312"/>
      <c r="R962" s="312"/>
      <c r="S962" s="312"/>
      <c r="T962" s="312"/>
      <c r="U962" s="312"/>
    </row>
    <row r="963">
      <c r="A963" s="513" t="s">
        <v>26146</v>
      </c>
      <c r="B963" s="514" t="s">
        <v>26147</v>
      </c>
      <c r="C963" s="515" t="s">
        <v>26148</v>
      </c>
      <c r="D963" s="516"/>
      <c r="E963" s="517"/>
      <c r="F963" s="514"/>
      <c r="G963" s="514" t="s">
        <v>26149</v>
      </c>
      <c r="H963" s="514">
        <v>9.4345020005E10</v>
      </c>
      <c r="I963" s="515" t="s">
        <v>23871</v>
      </c>
      <c r="J963" s="514" t="b">
        <v>0</v>
      </c>
      <c r="K963" s="514" t="s">
        <v>22312</v>
      </c>
      <c r="L963" s="514" t="s">
        <v>26150</v>
      </c>
      <c r="M963" s="511"/>
      <c r="N963" s="232"/>
      <c r="O963" s="232"/>
      <c r="P963" s="312"/>
      <c r="Q963" s="312"/>
      <c r="R963" s="312"/>
      <c r="S963" s="312"/>
      <c r="T963" s="312"/>
      <c r="U963" s="312"/>
    </row>
    <row r="964">
      <c r="A964" s="508" t="s">
        <v>26146</v>
      </c>
      <c r="B964" s="232" t="s">
        <v>26147</v>
      </c>
      <c r="C964" s="509" t="s">
        <v>9622</v>
      </c>
      <c r="D964" s="510"/>
      <c r="E964" s="511"/>
      <c r="F964" s="232"/>
      <c r="G964" s="232" t="s">
        <v>22844</v>
      </c>
      <c r="H964" s="232">
        <v>7.219082666E9</v>
      </c>
      <c r="I964" s="509" t="s">
        <v>22278</v>
      </c>
      <c r="J964" s="232" t="b">
        <v>0</v>
      </c>
      <c r="K964" s="232" t="s">
        <v>22365</v>
      </c>
      <c r="L964" s="232" t="s">
        <v>26129</v>
      </c>
      <c r="M964" s="511"/>
      <c r="N964" s="232"/>
      <c r="O964" s="232"/>
      <c r="P964" s="312"/>
      <c r="Q964" s="312"/>
      <c r="R964" s="312"/>
      <c r="S964" s="312"/>
      <c r="T964" s="312"/>
      <c r="U964" s="312"/>
    </row>
    <row r="965">
      <c r="A965" s="508" t="s">
        <v>26146</v>
      </c>
      <c r="B965" s="232" t="s">
        <v>26151</v>
      </c>
      <c r="C965" s="509" t="s">
        <v>26140</v>
      </c>
      <c r="D965" s="510" t="s">
        <v>26152</v>
      </c>
      <c r="E965" s="511"/>
      <c r="F965" s="232" t="s">
        <v>26141</v>
      </c>
      <c r="G965" s="232" t="s">
        <v>22844</v>
      </c>
      <c r="H965" s="232">
        <v>8.77953607E9</v>
      </c>
      <c r="I965" s="509" t="s">
        <v>22851</v>
      </c>
      <c r="J965" s="232" t="b">
        <v>0</v>
      </c>
      <c r="K965" s="232" t="s">
        <v>12092</v>
      </c>
      <c r="L965" s="232"/>
      <c r="M965" s="511"/>
      <c r="N965" s="232"/>
      <c r="O965" s="232"/>
      <c r="P965" s="312"/>
      <c r="Q965" s="312"/>
      <c r="R965" s="312"/>
      <c r="S965" s="312"/>
      <c r="T965" s="312"/>
      <c r="U965" s="312"/>
    </row>
    <row r="966">
      <c r="A966" s="508" t="s">
        <v>26146</v>
      </c>
      <c r="B966" s="232" t="s">
        <v>26153</v>
      </c>
      <c r="C966" s="509" t="s">
        <v>26154</v>
      </c>
      <c r="D966" s="510" t="s">
        <v>26155</v>
      </c>
      <c r="E966" s="511"/>
      <c r="F966" s="232"/>
      <c r="G966" s="232" t="s">
        <v>22803</v>
      </c>
      <c r="H966" s="232">
        <v>7.888507549E9</v>
      </c>
      <c r="I966" s="509" t="s">
        <v>23992</v>
      </c>
      <c r="J966" s="232" t="b">
        <v>0</v>
      </c>
      <c r="K966" s="232" t="s">
        <v>22365</v>
      </c>
      <c r="L966" s="232" t="s">
        <v>26156</v>
      </c>
      <c r="M966" s="511"/>
      <c r="N966" s="232"/>
      <c r="O966" s="232"/>
      <c r="P966" s="312"/>
      <c r="Q966" s="312"/>
      <c r="R966" s="312"/>
      <c r="S966" s="312"/>
      <c r="T966" s="312"/>
      <c r="U966" s="312"/>
    </row>
    <row r="967">
      <c r="A967" s="508" t="s">
        <v>26146</v>
      </c>
      <c r="B967" s="232" t="s">
        <v>26157</v>
      </c>
      <c r="C967" s="509" t="s">
        <v>26158</v>
      </c>
      <c r="D967" s="510" t="s">
        <v>26159</v>
      </c>
      <c r="E967" s="511"/>
      <c r="F967" s="232" t="s">
        <v>26160</v>
      </c>
      <c r="G967" s="232" t="s">
        <v>44</v>
      </c>
      <c r="H967" s="232">
        <v>8.910012745E9</v>
      </c>
      <c r="I967" s="509" t="s">
        <v>4786</v>
      </c>
      <c r="J967" s="232" t="b">
        <v>0</v>
      </c>
      <c r="K967" s="232" t="s">
        <v>22365</v>
      </c>
      <c r="L967" s="232" t="s">
        <v>23537</v>
      </c>
      <c r="M967" s="511"/>
      <c r="N967" s="232"/>
      <c r="O967" s="232"/>
      <c r="P967" s="312"/>
      <c r="Q967" s="312"/>
      <c r="R967" s="312"/>
      <c r="S967" s="312"/>
      <c r="T967" s="312"/>
      <c r="U967" s="312"/>
    </row>
    <row r="968">
      <c r="A968" s="508" t="s">
        <v>26146</v>
      </c>
      <c r="B968" s="232" t="s">
        <v>26161</v>
      </c>
      <c r="C968" s="509" t="s">
        <v>26162</v>
      </c>
      <c r="D968" s="510"/>
      <c r="E968" s="511"/>
      <c r="F968" s="232" t="s">
        <v>26163</v>
      </c>
      <c r="G968" s="510" t="s">
        <v>2662</v>
      </c>
      <c r="H968" s="232">
        <v>8.825879017E9</v>
      </c>
      <c r="I968" s="509" t="s">
        <v>25156</v>
      </c>
      <c r="J968" s="232" t="b">
        <v>0</v>
      </c>
      <c r="K968" s="232"/>
      <c r="L968" s="232"/>
      <c r="M968" s="511"/>
      <c r="N968" s="232"/>
      <c r="O968" s="232"/>
      <c r="P968" s="312"/>
      <c r="Q968" s="312"/>
      <c r="R968" s="312"/>
      <c r="S968" s="312"/>
      <c r="T968" s="312"/>
      <c r="U968" s="312"/>
    </row>
    <row r="969">
      <c r="A969" s="508" t="s">
        <v>26146</v>
      </c>
      <c r="B969" s="232" t="s">
        <v>26164</v>
      </c>
      <c r="C969" s="509" t="s">
        <v>26165</v>
      </c>
      <c r="D969" s="510" t="s">
        <v>26166</v>
      </c>
      <c r="E969" s="511"/>
      <c r="F969" s="232" t="s">
        <v>26167</v>
      </c>
      <c r="G969" s="232" t="s">
        <v>44</v>
      </c>
      <c r="H969" s="232">
        <v>7.074350403E9</v>
      </c>
      <c r="I969" s="509" t="s">
        <v>22289</v>
      </c>
      <c r="J969" s="232" t="b">
        <v>0</v>
      </c>
      <c r="K969" s="232" t="s">
        <v>22365</v>
      </c>
      <c r="L969" s="232"/>
      <c r="M969" s="511"/>
      <c r="N969" s="232"/>
      <c r="O969" s="232"/>
      <c r="P969" s="312"/>
      <c r="Q969" s="312"/>
      <c r="R969" s="312"/>
      <c r="S969" s="312"/>
      <c r="T969" s="312"/>
      <c r="U969" s="312"/>
    </row>
    <row r="970">
      <c r="A970" s="508" t="s">
        <v>26146</v>
      </c>
      <c r="B970" s="232" t="s">
        <v>26168</v>
      </c>
      <c r="C970" s="509" t="s">
        <v>4273</v>
      </c>
      <c r="D970" s="510" t="s">
        <v>26169</v>
      </c>
      <c r="E970" s="511"/>
      <c r="F970" s="232" t="s">
        <v>26170</v>
      </c>
      <c r="G970" s="232" t="s">
        <v>191</v>
      </c>
      <c r="H970" s="232">
        <v>9.728616969E9</v>
      </c>
      <c r="I970" s="509" t="s">
        <v>26171</v>
      </c>
      <c r="J970" s="232" t="b">
        <v>0</v>
      </c>
      <c r="K970" s="232" t="s">
        <v>334</v>
      </c>
      <c r="L970" s="232"/>
      <c r="M970" s="511"/>
      <c r="N970" s="232"/>
      <c r="O970" s="232"/>
      <c r="P970" s="312"/>
      <c r="Q970" s="312"/>
      <c r="R970" s="312"/>
      <c r="S970" s="312"/>
      <c r="T970" s="312"/>
      <c r="U970" s="312"/>
    </row>
    <row r="971">
      <c r="A971" s="508" t="s">
        <v>26146</v>
      </c>
      <c r="B971" s="232" t="s">
        <v>26172</v>
      </c>
      <c r="C971" s="509" t="s">
        <v>26173</v>
      </c>
      <c r="D971" s="510" t="s">
        <v>26174</v>
      </c>
      <c r="E971" s="511"/>
      <c r="F971" s="232" t="s">
        <v>26175</v>
      </c>
      <c r="G971" s="232" t="s">
        <v>23718</v>
      </c>
      <c r="H971" s="232">
        <v>7.989539258E9</v>
      </c>
      <c r="I971" s="509" t="s">
        <v>22727</v>
      </c>
      <c r="J971" s="232" t="b">
        <v>0</v>
      </c>
      <c r="K971" s="232" t="s">
        <v>22365</v>
      </c>
      <c r="L971" s="232"/>
      <c r="M971" s="511"/>
      <c r="N971" s="232"/>
      <c r="O971" s="232"/>
      <c r="P971" s="312"/>
      <c r="Q971" s="312"/>
      <c r="R971" s="312"/>
      <c r="S971" s="312"/>
      <c r="T971" s="312"/>
      <c r="U971" s="312"/>
    </row>
    <row r="972">
      <c r="A972" s="508" t="s">
        <v>26146</v>
      </c>
      <c r="B972" s="232" t="s">
        <v>26176</v>
      </c>
      <c r="C972" s="509" t="s">
        <v>26177</v>
      </c>
      <c r="D972" s="510"/>
      <c r="E972" s="511"/>
      <c r="F972" s="232" t="s">
        <v>26178</v>
      </c>
      <c r="G972" s="232" t="s">
        <v>23823</v>
      </c>
      <c r="H972" s="232">
        <v>6.371553705E9</v>
      </c>
      <c r="I972" s="509" t="s">
        <v>26179</v>
      </c>
      <c r="J972" s="232" t="b">
        <v>0</v>
      </c>
      <c r="K972" s="232" t="s">
        <v>12092</v>
      </c>
      <c r="L972" s="232"/>
      <c r="M972" s="511"/>
      <c r="N972" s="232"/>
      <c r="O972" s="232"/>
      <c r="P972" s="312"/>
      <c r="Q972" s="312"/>
      <c r="R972" s="312"/>
      <c r="S972" s="312"/>
      <c r="T972" s="312"/>
      <c r="U972" s="312"/>
    </row>
    <row r="973">
      <c r="A973" s="508" t="s">
        <v>26146</v>
      </c>
      <c r="B973" s="232" t="s">
        <v>26180</v>
      </c>
      <c r="C973" s="509" t="s">
        <v>22674</v>
      </c>
      <c r="D973" s="510"/>
      <c r="E973" s="511"/>
      <c r="F973" s="232" t="s">
        <v>26181</v>
      </c>
      <c r="G973" s="232" t="s">
        <v>5476</v>
      </c>
      <c r="H973" s="232">
        <v>9.395702767E9</v>
      </c>
      <c r="I973" s="509" t="s">
        <v>26182</v>
      </c>
      <c r="J973" s="232" t="b">
        <v>0</v>
      </c>
      <c r="K973" s="232" t="s">
        <v>22365</v>
      </c>
      <c r="L973" s="232" t="s">
        <v>26183</v>
      </c>
      <c r="M973" s="511"/>
      <c r="N973" s="232"/>
      <c r="O973" s="232"/>
      <c r="P973" s="312"/>
      <c r="Q973" s="312"/>
      <c r="R973" s="312"/>
      <c r="S973" s="312"/>
      <c r="T973" s="312"/>
      <c r="U973" s="312"/>
    </row>
    <row r="974">
      <c r="A974" s="508" t="s">
        <v>26146</v>
      </c>
      <c r="B974" s="232" t="s">
        <v>26184</v>
      </c>
      <c r="C974" s="509" t="s">
        <v>26185</v>
      </c>
      <c r="D974" s="510"/>
      <c r="E974" s="511"/>
      <c r="F974" s="232" t="s">
        <v>26186</v>
      </c>
      <c r="G974" s="232" t="s">
        <v>107</v>
      </c>
      <c r="H974" s="232">
        <v>8.221855351E9</v>
      </c>
      <c r="I974" s="509" t="s">
        <v>23751</v>
      </c>
      <c r="J974" s="232" t="b">
        <v>0</v>
      </c>
      <c r="K974" s="232" t="s">
        <v>22365</v>
      </c>
      <c r="L974" s="232" t="s">
        <v>26187</v>
      </c>
      <c r="M974" s="511"/>
      <c r="N974" s="232"/>
      <c r="O974" s="232"/>
      <c r="P974" s="312"/>
      <c r="Q974" s="312"/>
      <c r="R974" s="312"/>
      <c r="S974" s="312"/>
      <c r="T974" s="312"/>
      <c r="U974" s="312"/>
    </row>
    <row r="975">
      <c r="A975" s="508" t="s">
        <v>26146</v>
      </c>
      <c r="B975" s="232" t="s">
        <v>26188</v>
      </c>
      <c r="C975" s="509" t="s">
        <v>26189</v>
      </c>
      <c r="D975" s="510" t="s">
        <v>26190</v>
      </c>
      <c r="E975" s="511"/>
      <c r="F975" s="232" t="s">
        <v>26191</v>
      </c>
      <c r="G975" s="232" t="s">
        <v>6644</v>
      </c>
      <c r="H975" s="232">
        <v>8.210095632E9</v>
      </c>
      <c r="I975" s="509" t="s">
        <v>26192</v>
      </c>
      <c r="J975" s="232" t="b">
        <v>0</v>
      </c>
      <c r="K975" s="232" t="s">
        <v>334</v>
      </c>
      <c r="L975" s="232"/>
      <c r="M975" s="511"/>
      <c r="N975" s="232"/>
      <c r="O975" s="232"/>
      <c r="P975" s="312"/>
      <c r="Q975" s="312"/>
      <c r="R975" s="312"/>
      <c r="S975" s="312"/>
      <c r="T975" s="312"/>
      <c r="U975" s="312"/>
    </row>
    <row r="976">
      <c r="A976" s="508" t="s">
        <v>26193</v>
      </c>
      <c r="B976" s="232" t="s">
        <v>26194</v>
      </c>
      <c r="C976" s="509" t="s">
        <v>26185</v>
      </c>
      <c r="D976" s="510"/>
      <c r="E976" s="511"/>
      <c r="F976" s="232" t="s">
        <v>26186</v>
      </c>
      <c r="G976" s="232" t="s">
        <v>22770</v>
      </c>
      <c r="H976" s="232">
        <v>8.221855351E9</v>
      </c>
      <c r="I976" s="509" t="s">
        <v>23751</v>
      </c>
      <c r="J976" s="232" t="b">
        <v>0</v>
      </c>
      <c r="K976" s="232" t="s">
        <v>12092</v>
      </c>
      <c r="L976" s="232"/>
      <c r="M976" s="511"/>
      <c r="N976" s="232"/>
      <c r="O976" s="232"/>
      <c r="P976" s="312"/>
      <c r="Q976" s="312"/>
      <c r="R976" s="312"/>
      <c r="S976" s="312"/>
      <c r="T976" s="312"/>
      <c r="U976" s="312"/>
    </row>
    <row r="977">
      <c r="A977" s="508" t="s">
        <v>26193</v>
      </c>
      <c r="B977" s="232" t="s">
        <v>26195</v>
      </c>
      <c r="C977" s="509" t="s">
        <v>26033</v>
      </c>
      <c r="D977" s="510" t="s">
        <v>26034</v>
      </c>
      <c r="E977" s="511"/>
      <c r="F977" s="232" t="s">
        <v>26035</v>
      </c>
      <c r="G977" s="232" t="s">
        <v>22326</v>
      </c>
      <c r="H977" s="232">
        <v>7.033628324E9</v>
      </c>
      <c r="I977" s="509" t="s">
        <v>22289</v>
      </c>
      <c r="J977" s="232" t="b">
        <v>0</v>
      </c>
      <c r="K977" s="232" t="s">
        <v>22365</v>
      </c>
      <c r="L977" s="232"/>
      <c r="M977" s="511"/>
      <c r="N977" s="232"/>
      <c r="O977" s="232"/>
      <c r="P977" s="312"/>
      <c r="Q977" s="312"/>
      <c r="R977" s="312"/>
      <c r="S977" s="312"/>
      <c r="T977" s="312"/>
      <c r="U977" s="312"/>
    </row>
    <row r="978">
      <c r="A978" s="508" t="s">
        <v>26193</v>
      </c>
      <c r="B978" s="232" t="s">
        <v>26196</v>
      </c>
      <c r="C978" s="509" t="s">
        <v>26197</v>
      </c>
      <c r="D978" s="510" t="s">
        <v>26198</v>
      </c>
      <c r="E978" s="511"/>
      <c r="F978" s="232"/>
      <c r="G978" s="232" t="s">
        <v>25015</v>
      </c>
      <c r="H978" s="232">
        <v>9.315382891E9</v>
      </c>
      <c r="I978" s="509" t="s">
        <v>22373</v>
      </c>
      <c r="J978" s="232" t="b">
        <v>0</v>
      </c>
      <c r="K978" s="232" t="s">
        <v>22355</v>
      </c>
      <c r="L978" s="232"/>
      <c r="M978" s="511"/>
      <c r="N978" s="232"/>
      <c r="O978" s="232"/>
      <c r="P978" s="312"/>
      <c r="Q978" s="312"/>
      <c r="R978" s="312"/>
      <c r="S978" s="312"/>
      <c r="T978" s="312"/>
      <c r="U978" s="312"/>
    </row>
    <row r="979">
      <c r="A979" s="508" t="s">
        <v>26193</v>
      </c>
      <c r="B979" s="232" t="s">
        <v>26199</v>
      </c>
      <c r="C979" s="509" t="s">
        <v>26200</v>
      </c>
      <c r="D979" s="510"/>
      <c r="E979" s="511"/>
      <c r="F979" s="232"/>
      <c r="G979" s="232" t="s">
        <v>22348</v>
      </c>
      <c r="H979" s="232">
        <v>7.992257546E9</v>
      </c>
      <c r="I979" s="509" t="s">
        <v>22289</v>
      </c>
      <c r="J979" s="232" t="b">
        <v>0</v>
      </c>
      <c r="K979" s="232" t="s">
        <v>22365</v>
      </c>
      <c r="L979" s="232"/>
      <c r="M979" s="511"/>
      <c r="N979" s="232"/>
      <c r="O979" s="232"/>
      <c r="P979" s="312"/>
      <c r="Q979" s="312"/>
      <c r="R979" s="312"/>
      <c r="S979" s="312"/>
      <c r="T979" s="312"/>
      <c r="U979" s="312"/>
    </row>
    <row r="980">
      <c r="A980" s="508" t="s">
        <v>26193</v>
      </c>
      <c r="B980" s="232" t="s">
        <v>26201</v>
      </c>
      <c r="C980" s="509" t="s">
        <v>26202</v>
      </c>
      <c r="D980" s="510"/>
      <c r="E980" s="511"/>
      <c r="F980" s="232" t="s">
        <v>26203</v>
      </c>
      <c r="G980" s="232" t="s">
        <v>26204</v>
      </c>
      <c r="H980" s="232">
        <v>7.001163923E9</v>
      </c>
      <c r="I980" s="509" t="s">
        <v>22698</v>
      </c>
      <c r="J980" s="232" t="b">
        <v>0</v>
      </c>
      <c r="K980" s="232" t="s">
        <v>22365</v>
      </c>
      <c r="L980" s="232" t="s">
        <v>26205</v>
      </c>
      <c r="M980" s="511"/>
      <c r="N980" s="232"/>
      <c r="O980" s="232"/>
      <c r="P980" s="312"/>
      <c r="Q980" s="312"/>
      <c r="R980" s="312"/>
      <c r="S980" s="312"/>
      <c r="T980" s="312"/>
      <c r="U980" s="312"/>
    </row>
    <row r="981">
      <c r="A981" s="531" t="s">
        <v>26193</v>
      </c>
      <c r="B981" s="532" t="s">
        <v>26206</v>
      </c>
      <c r="C981" s="533" t="s">
        <v>25993</v>
      </c>
      <c r="D981" s="534"/>
      <c r="E981" s="535"/>
      <c r="F981" s="532"/>
      <c r="G981" s="532"/>
      <c r="H981" s="532">
        <v>7.045918184E9</v>
      </c>
      <c r="I981" s="533" t="s">
        <v>24829</v>
      </c>
      <c r="J981" s="532" t="b">
        <v>0</v>
      </c>
      <c r="K981" s="532" t="s">
        <v>22349</v>
      </c>
      <c r="L981" s="532" t="s">
        <v>26207</v>
      </c>
      <c r="M981" s="511"/>
      <c r="N981" s="232"/>
      <c r="O981" s="232"/>
      <c r="P981" s="312"/>
      <c r="Q981" s="312"/>
      <c r="R981" s="312"/>
      <c r="S981" s="312"/>
      <c r="T981" s="312"/>
      <c r="U981" s="312"/>
    </row>
    <row r="982">
      <c r="A982" s="513" t="s">
        <v>26193</v>
      </c>
      <c r="B982" s="514" t="s">
        <v>26208</v>
      </c>
      <c r="C982" s="515" t="s">
        <v>26209</v>
      </c>
      <c r="D982" s="516" t="s">
        <v>26210</v>
      </c>
      <c r="E982" s="517"/>
      <c r="F982" s="514"/>
      <c r="G982" s="514" t="s">
        <v>99</v>
      </c>
      <c r="H982" s="514">
        <v>7.328857519E9</v>
      </c>
      <c r="I982" s="515" t="s">
        <v>26211</v>
      </c>
      <c r="J982" s="514" t="b">
        <v>0</v>
      </c>
      <c r="K982" s="514" t="s">
        <v>22312</v>
      </c>
      <c r="L982" s="514" t="s">
        <v>26212</v>
      </c>
      <c r="M982" s="511"/>
      <c r="N982" s="232"/>
      <c r="O982" s="232"/>
      <c r="P982" s="312"/>
      <c r="Q982" s="312"/>
      <c r="R982" s="312"/>
      <c r="S982" s="312"/>
      <c r="T982" s="312"/>
      <c r="U982" s="312"/>
    </row>
    <row r="983">
      <c r="A983" s="513" t="s">
        <v>26193</v>
      </c>
      <c r="B983" s="514" t="s">
        <v>26213</v>
      </c>
      <c r="C983" s="515" t="s">
        <v>26214</v>
      </c>
      <c r="D983" s="516"/>
      <c r="E983" s="517"/>
      <c r="F983" s="514" t="s">
        <v>26215</v>
      </c>
      <c r="G983" s="514" t="s">
        <v>26216</v>
      </c>
      <c r="H983" s="514">
        <v>9.348196579E9</v>
      </c>
      <c r="I983" s="515" t="s">
        <v>26217</v>
      </c>
      <c r="J983" s="514" t="b">
        <v>0</v>
      </c>
      <c r="K983" s="514" t="s">
        <v>22312</v>
      </c>
      <c r="L983" s="518" t="s">
        <v>26218</v>
      </c>
      <c r="M983" s="511"/>
      <c r="N983" s="232"/>
      <c r="O983" s="232"/>
      <c r="P983" s="312"/>
      <c r="Q983" s="312"/>
      <c r="R983" s="312"/>
      <c r="S983" s="312"/>
      <c r="T983" s="312"/>
      <c r="U983" s="312"/>
    </row>
    <row r="984">
      <c r="A984" s="508" t="s">
        <v>26193</v>
      </c>
      <c r="B984" s="232" t="s">
        <v>26219</v>
      </c>
      <c r="C984" s="509" t="s">
        <v>15039</v>
      </c>
      <c r="D984" s="510" t="s">
        <v>26220</v>
      </c>
      <c r="E984" s="511"/>
      <c r="F984" s="232"/>
      <c r="G984" s="232" t="s">
        <v>44</v>
      </c>
      <c r="H984" s="232">
        <v>7.003136253E9</v>
      </c>
      <c r="I984" s="509" t="s">
        <v>25697</v>
      </c>
      <c r="J984" s="232" t="b">
        <v>0</v>
      </c>
      <c r="K984" s="232" t="s">
        <v>22365</v>
      </c>
      <c r="L984" s="232" t="s">
        <v>23537</v>
      </c>
      <c r="M984" s="511"/>
      <c r="N984" s="232"/>
      <c r="O984" s="232"/>
      <c r="P984" s="312"/>
      <c r="Q984" s="312"/>
      <c r="R984" s="312"/>
      <c r="S984" s="312"/>
      <c r="T984" s="312"/>
      <c r="U984" s="312"/>
    </row>
    <row r="985">
      <c r="A985" s="513" t="s">
        <v>26193</v>
      </c>
      <c r="B985" s="514" t="s">
        <v>26221</v>
      </c>
      <c r="C985" s="515" t="s">
        <v>26222</v>
      </c>
      <c r="D985" s="516" t="s">
        <v>26223</v>
      </c>
      <c r="E985" s="517"/>
      <c r="F985" s="514" t="s">
        <v>26224</v>
      </c>
      <c r="G985" s="514" t="s">
        <v>26225</v>
      </c>
      <c r="H985" s="514">
        <v>8.100448194E9</v>
      </c>
      <c r="I985" s="515" t="s">
        <v>24052</v>
      </c>
      <c r="J985" s="514" t="b">
        <v>0</v>
      </c>
      <c r="K985" s="514" t="s">
        <v>22312</v>
      </c>
      <c r="L985" s="514" t="s">
        <v>26226</v>
      </c>
      <c r="M985" s="511"/>
      <c r="N985" s="232"/>
      <c r="O985" s="232"/>
      <c r="P985" s="312"/>
      <c r="Q985" s="312"/>
      <c r="R985" s="312"/>
      <c r="S985" s="312"/>
      <c r="T985" s="312"/>
      <c r="U985" s="312"/>
    </row>
    <row r="986">
      <c r="A986" s="513" t="s">
        <v>26227</v>
      </c>
      <c r="B986" s="514" t="s">
        <v>26228</v>
      </c>
      <c r="C986" s="515" t="s">
        <v>26229</v>
      </c>
      <c r="D986" s="516" t="s">
        <v>26230</v>
      </c>
      <c r="E986" s="517"/>
      <c r="F986" s="514" t="s">
        <v>26231</v>
      </c>
      <c r="G986" s="514" t="s">
        <v>24653</v>
      </c>
      <c r="H986" s="514">
        <v>9.012364231E9</v>
      </c>
      <c r="I986" s="515" t="s">
        <v>23871</v>
      </c>
      <c r="J986" s="514" t="b">
        <v>0</v>
      </c>
      <c r="K986" s="514" t="s">
        <v>22312</v>
      </c>
      <c r="L986" s="514" t="s">
        <v>26232</v>
      </c>
      <c r="M986" s="511"/>
      <c r="N986" s="232"/>
      <c r="O986" s="232"/>
      <c r="P986" s="312"/>
      <c r="Q986" s="312"/>
      <c r="R986" s="312"/>
      <c r="S986" s="312"/>
      <c r="T986" s="312"/>
      <c r="U986" s="312"/>
    </row>
    <row r="987">
      <c r="A987" s="508" t="s">
        <v>26227</v>
      </c>
      <c r="B987" s="232" t="s">
        <v>26228</v>
      </c>
      <c r="C987" s="509" t="s">
        <v>26233</v>
      </c>
      <c r="D987" s="510" t="s">
        <v>26234</v>
      </c>
      <c r="E987" s="511"/>
      <c r="F987" s="232" t="s">
        <v>26235</v>
      </c>
      <c r="G987" s="232" t="s">
        <v>2682</v>
      </c>
      <c r="H987" s="232">
        <v>9.449855425E9</v>
      </c>
      <c r="I987" s="509" t="s">
        <v>23503</v>
      </c>
      <c r="J987" s="232" t="b">
        <v>0</v>
      </c>
      <c r="K987" s="232" t="s">
        <v>334</v>
      </c>
      <c r="L987" s="232"/>
      <c r="M987" s="511"/>
      <c r="N987" s="232"/>
      <c r="O987" s="232"/>
      <c r="P987" s="312"/>
      <c r="Q987" s="312"/>
      <c r="R987" s="312"/>
      <c r="S987" s="312"/>
      <c r="T987" s="312"/>
      <c r="U987" s="312"/>
    </row>
    <row r="988">
      <c r="A988" s="508" t="s">
        <v>26227</v>
      </c>
      <c r="B988" s="232" t="s">
        <v>26236</v>
      </c>
      <c r="C988" s="509" t="s">
        <v>10083</v>
      </c>
      <c r="D988" s="510"/>
      <c r="E988" s="511"/>
      <c r="F988" s="232"/>
      <c r="G988" s="232" t="s">
        <v>519</v>
      </c>
      <c r="H988" s="232">
        <v>7.043318629E9</v>
      </c>
      <c r="I988" s="509" t="s">
        <v>23503</v>
      </c>
      <c r="J988" s="232" t="b">
        <v>0</v>
      </c>
      <c r="K988" s="232" t="s">
        <v>22365</v>
      </c>
      <c r="L988" s="232"/>
      <c r="M988" s="511"/>
      <c r="N988" s="232"/>
      <c r="O988" s="232"/>
      <c r="P988" s="312"/>
      <c r="Q988" s="312"/>
      <c r="R988" s="312"/>
      <c r="S988" s="312"/>
      <c r="T988" s="312"/>
      <c r="U988" s="312"/>
    </row>
    <row r="989">
      <c r="A989" s="508" t="s">
        <v>26227</v>
      </c>
      <c r="B989" s="232" t="s">
        <v>26237</v>
      </c>
      <c r="C989" s="509" t="s">
        <v>26238</v>
      </c>
      <c r="D989" s="510" t="s">
        <v>26239</v>
      </c>
      <c r="E989" s="511"/>
      <c r="F989" s="232" t="s">
        <v>26240</v>
      </c>
      <c r="G989" s="232" t="s">
        <v>26241</v>
      </c>
      <c r="H989" s="232">
        <v>9.767073403E9</v>
      </c>
      <c r="I989" s="509" t="s">
        <v>23503</v>
      </c>
      <c r="J989" s="232" t="b">
        <v>0</v>
      </c>
      <c r="K989" s="232" t="s">
        <v>12092</v>
      </c>
      <c r="L989" s="232"/>
      <c r="M989" s="511"/>
      <c r="N989" s="232"/>
      <c r="O989" s="232"/>
      <c r="P989" s="312"/>
      <c r="Q989" s="312"/>
      <c r="R989" s="312"/>
      <c r="S989" s="312"/>
      <c r="T989" s="312"/>
      <c r="U989" s="312"/>
    </row>
    <row r="990">
      <c r="A990" s="508" t="s">
        <v>26227</v>
      </c>
      <c r="B990" s="232" t="s">
        <v>26242</v>
      </c>
      <c r="C990" s="509" t="s">
        <v>26243</v>
      </c>
      <c r="D990" s="519" t="s">
        <v>26244</v>
      </c>
      <c r="E990" s="511"/>
      <c r="F990" s="232" t="s">
        <v>26245</v>
      </c>
      <c r="G990" s="232" t="s">
        <v>22844</v>
      </c>
      <c r="H990" s="232">
        <v>9.371152467E9</v>
      </c>
      <c r="I990" s="509" t="s">
        <v>23503</v>
      </c>
      <c r="J990" s="232" t="b">
        <v>0</v>
      </c>
      <c r="K990" s="232" t="s">
        <v>22312</v>
      </c>
      <c r="L990" s="232" t="s">
        <v>26246</v>
      </c>
      <c r="M990" s="511"/>
      <c r="N990" s="232"/>
      <c r="O990" s="232"/>
      <c r="P990" s="312"/>
      <c r="Q990" s="312"/>
      <c r="R990" s="312"/>
      <c r="S990" s="312"/>
      <c r="T990" s="312"/>
      <c r="U990" s="312"/>
    </row>
    <row r="991">
      <c r="A991" s="508" t="s">
        <v>26227</v>
      </c>
      <c r="B991" s="232" t="s">
        <v>26247</v>
      </c>
      <c r="C991" s="509" t="s">
        <v>26248</v>
      </c>
      <c r="D991" s="510" t="s">
        <v>26249</v>
      </c>
      <c r="E991" s="511"/>
      <c r="F991" s="232" t="s">
        <v>26250</v>
      </c>
      <c r="G991" s="232" t="s">
        <v>22564</v>
      </c>
      <c r="H991" s="232">
        <v>9.975991591E9</v>
      </c>
      <c r="I991" s="509" t="s">
        <v>22289</v>
      </c>
      <c r="J991" s="232" t="b">
        <v>0</v>
      </c>
      <c r="K991" s="232" t="s">
        <v>22365</v>
      </c>
      <c r="L991" s="232"/>
      <c r="M991" s="511"/>
      <c r="N991" s="232"/>
      <c r="O991" s="232"/>
      <c r="P991" s="312"/>
      <c r="Q991" s="312"/>
      <c r="R991" s="312"/>
      <c r="S991" s="312"/>
      <c r="T991" s="312"/>
      <c r="U991" s="312"/>
    </row>
    <row r="992">
      <c r="A992" s="508" t="s">
        <v>26227</v>
      </c>
      <c r="B992" s="232" t="s">
        <v>26251</v>
      </c>
      <c r="C992" s="509" t="s">
        <v>26252</v>
      </c>
      <c r="D992" s="510"/>
      <c r="E992" s="511"/>
      <c r="F992" s="232" t="s">
        <v>26253</v>
      </c>
      <c r="G992" s="232" t="s">
        <v>26254</v>
      </c>
      <c r="H992" s="232">
        <v>7.602635686E9</v>
      </c>
      <c r="I992" s="509" t="s">
        <v>26255</v>
      </c>
      <c r="J992" s="232" t="b">
        <v>0</v>
      </c>
      <c r="K992" s="232" t="s">
        <v>22365</v>
      </c>
      <c r="L992" s="425" t="s">
        <v>26256</v>
      </c>
      <c r="M992" s="511"/>
      <c r="N992" s="232"/>
      <c r="O992" s="232"/>
      <c r="P992" s="312"/>
      <c r="Q992" s="312"/>
      <c r="R992" s="312"/>
      <c r="S992" s="312"/>
      <c r="T992" s="312"/>
      <c r="U992" s="312"/>
    </row>
    <row r="993">
      <c r="A993" s="508" t="s">
        <v>26227</v>
      </c>
      <c r="B993" s="232" t="s">
        <v>26257</v>
      </c>
      <c r="C993" s="509" t="s">
        <v>26258</v>
      </c>
      <c r="D993" s="510"/>
      <c r="E993" s="511"/>
      <c r="F993" s="232" t="s">
        <v>26259</v>
      </c>
      <c r="G993" s="232" t="s">
        <v>22359</v>
      </c>
      <c r="H993" s="232">
        <v>9.993381549E9</v>
      </c>
      <c r="I993" s="509" t="s">
        <v>26260</v>
      </c>
      <c r="J993" s="232" t="b">
        <v>0</v>
      </c>
      <c r="K993" s="232" t="s">
        <v>22349</v>
      </c>
      <c r="L993" s="232" t="s">
        <v>26261</v>
      </c>
      <c r="M993" s="511"/>
      <c r="N993" s="232"/>
      <c r="O993" s="232"/>
      <c r="P993" s="312"/>
      <c r="Q993" s="312"/>
      <c r="R993" s="312"/>
      <c r="S993" s="312"/>
      <c r="T993" s="312"/>
      <c r="U993" s="312"/>
    </row>
    <row r="994">
      <c r="A994" s="508" t="s">
        <v>26227</v>
      </c>
      <c r="B994" s="232" t="s">
        <v>26262</v>
      </c>
      <c r="C994" s="509" t="s">
        <v>26263</v>
      </c>
      <c r="D994" s="519" t="s">
        <v>26264</v>
      </c>
      <c r="E994" s="511"/>
      <c r="F994" s="232"/>
      <c r="G994" s="232" t="s">
        <v>26265</v>
      </c>
      <c r="H994" s="232">
        <v>9.038190622E9</v>
      </c>
      <c r="I994" s="509" t="s">
        <v>26266</v>
      </c>
      <c r="J994" s="232" t="b">
        <v>0</v>
      </c>
      <c r="K994" s="232" t="s">
        <v>22365</v>
      </c>
      <c r="L994" s="232"/>
      <c r="M994" s="511"/>
      <c r="N994" s="232"/>
      <c r="O994" s="232"/>
      <c r="P994" s="312"/>
      <c r="Q994" s="312"/>
      <c r="R994" s="312"/>
      <c r="S994" s="312"/>
      <c r="T994" s="312"/>
      <c r="U994" s="312"/>
    </row>
    <row r="995">
      <c r="A995" s="508" t="s">
        <v>26227</v>
      </c>
      <c r="B995" s="232" t="s">
        <v>26267</v>
      </c>
      <c r="C995" s="509" t="s">
        <v>26268</v>
      </c>
      <c r="D995" s="510" t="s">
        <v>26269</v>
      </c>
      <c r="E995" s="511"/>
      <c r="F995" s="232" t="s">
        <v>26270</v>
      </c>
      <c r="G995" s="232" t="s">
        <v>7995</v>
      </c>
      <c r="H995" s="232">
        <v>9.038190622E9</v>
      </c>
      <c r="I995" s="509" t="s">
        <v>26271</v>
      </c>
      <c r="J995" s="232" t="b">
        <v>0</v>
      </c>
      <c r="K995" s="232" t="s">
        <v>334</v>
      </c>
      <c r="L995" s="232" t="s">
        <v>26272</v>
      </c>
      <c r="M995" s="511"/>
      <c r="N995" s="232"/>
      <c r="O995" s="232"/>
      <c r="P995" s="312"/>
      <c r="Q995" s="312"/>
      <c r="R995" s="312"/>
      <c r="S995" s="312"/>
      <c r="T995" s="312"/>
      <c r="U995" s="312"/>
    </row>
    <row r="996">
      <c r="A996" s="508" t="s">
        <v>26273</v>
      </c>
      <c r="B996" s="232" t="s">
        <v>26274</v>
      </c>
      <c r="C996" s="509" t="s">
        <v>26275</v>
      </c>
      <c r="D996" s="510"/>
      <c r="E996" s="511"/>
      <c r="F996" s="232"/>
      <c r="G996" s="232" t="s">
        <v>742</v>
      </c>
      <c r="H996" s="232">
        <v>9.246596926E9</v>
      </c>
      <c r="I996" s="509" t="s">
        <v>23871</v>
      </c>
      <c r="J996" s="232" t="b">
        <v>0</v>
      </c>
      <c r="K996" s="232" t="s">
        <v>22365</v>
      </c>
      <c r="L996" s="232" t="s">
        <v>23537</v>
      </c>
      <c r="M996" s="511"/>
      <c r="N996" s="232"/>
      <c r="O996" s="232"/>
      <c r="P996" s="312"/>
      <c r="Q996" s="312"/>
      <c r="R996" s="312"/>
      <c r="S996" s="312"/>
      <c r="T996" s="312"/>
      <c r="U996" s="312"/>
    </row>
    <row r="997">
      <c r="A997" s="508" t="s">
        <v>26273</v>
      </c>
      <c r="B997" s="232" t="s">
        <v>26274</v>
      </c>
      <c r="C997" s="509" t="s">
        <v>26276</v>
      </c>
      <c r="D997" s="510"/>
      <c r="E997" s="511"/>
      <c r="F997" s="232" t="s">
        <v>26277</v>
      </c>
      <c r="G997" s="232" t="s">
        <v>507</v>
      </c>
      <c r="H997" s="232">
        <v>-7.88787828E9</v>
      </c>
      <c r="I997" s="509" t="s">
        <v>22698</v>
      </c>
      <c r="J997" s="232" t="b">
        <v>0</v>
      </c>
      <c r="K997" s="232" t="s">
        <v>12092</v>
      </c>
      <c r="L997" s="232"/>
      <c r="M997" s="511"/>
      <c r="N997" s="232"/>
      <c r="O997" s="232"/>
      <c r="P997" s="312"/>
      <c r="Q997" s="312"/>
      <c r="R997" s="312"/>
      <c r="S997" s="312"/>
      <c r="T997" s="312"/>
      <c r="U997" s="312"/>
    </row>
    <row r="998">
      <c r="A998" s="508" t="s">
        <v>26273</v>
      </c>
      <c r="B998" s="232" t="s">
        <v>26278</v>
      </c>
      <c r="C998" s="509" t="s">
        <v>26279</v>
      </c>
      <c r="D998" s="510" t="s">
        <v>26280</v>
      </c>
      <c r="E998" s="511"/>
      <c r="F998" s="232" t="s">
        <v>26281</v>
      </c>
      <c r="G998" s="232" t="s">
        <v>26282</v>
      </c>
      <c r="H998" s="232">
        <v>7.001206573E9</v>
      </c>
      <c r="I998" s="509" t="s">
        <v>26283</v>
      </c>
      <c r="J998" s="232" t="b">
        <v>0</v>
      </c>
      <c r="K998" s="232" t="s">
        <v>22365</v>
      </c>
      <c r="L998" s="232" t="s">
        <v>22422</v>
      </c>
      <c r="M998" s="511"/>
      <c r="N998" s="232"/>
      <c r="O998" s="232"/>
      <c r="P998" s="312"/>
      <c r="Q998" s="312"/>
      <c r="R998" s="312"/>
      <c r="S998" s="312"/>
      <c r="T998" s="312"/>
      <c r="U998" s="312"/>
    </row>
    <row r="999">
      <c r="A999" s="508" t="s">
        <v>26273</v>
      </c>
      <c r="B999" s="232" t="s">
        <v>26284</v>
      </c>
      <c r="C999" s="509" t="s">
        <v>22916</v>
      </c>
      <c r="D999" s="510"/>
      <c r="E999" s="511"/>
      <c r="F999" s="232" t="s">
        <v>26285</v>
      </c>
      <c r="G999" s="232" t="s">
        <v>22348</v>
      </c>
      <c r="H999" s="232">
        <v>9.709414412E9</v>
      </c>
      <c r="I999" s="509" t="s">
        <v>23761</v>
      </c>
      <c r="J999" s="232" t="b">
        <v>0</v>
      </c>
      <c r="K999" s="232" t="s">
        <v>334</v>
      </c>
      <c r="L999" s="232"/>
      <c r="M999" s="511"/>
      <c r="N999" s="232"/>
      <c r="O999" s="232"/>
      <c r="P999" s="312"/>
      <c r="Q999" s="312"/>
      <c r="R999" s="312"/>
      <c r="S999" s="312"/>
      <c r="T999" s="312"/>
      <c r="U999" s="312"/>
    </row>
    <row r="1000">
      <c r="A1000" s="508" t="s">
        <v>26273</v>
      </c>
      <c r="B1000" s="232" t="s">
        <v>26286</v>
      </c>
      <c r="C1000" s="509" t="s">
        <v>26287</v>
      </c>
      <c r="D1000" s="510" t="s">
        <v>26288</v>
      </c>
      <c r="E1000" s="511"/>
      <c r="F1000" s="232" t="s">
        <v>26289</v>
      </c>
      <c r="G1000" s="232" t="s">
        <v>26290</v>
      </c>
      <c r="H1000" s="232">
        <v>9.830057396E9</v>
      </c>
      <c r="I1000" s="509" t="s">
        <v>22577</v>
      </c>
      <c r="J1000" s="232" t="b">
        <v>0</v>
      </c>
      <c r="K1000" s="232" t="s">
        <v>22365</v>
      </c>
      <c r="L1000" s="232" t="s">
        <v>25172</v>
      </c>
      <c r="M1000" s="511"/>
      <c r="N1000" s="232"/>
      <c r="O1000" s="232"/>
      <c r="P1000" s="312"/>
      <c r="Q1000" s="312"/>
      <c r="R1000" s="312"/>
      <c r="S1000" s="312"/>
      <c r="T1000" s="312"/>
      <c r="U1000" s="312"/>
    </row>
    <row r="1001">
      <c r="A1001" s="508" t="s">
        <v>26273</v>
      </c>
      <c r="B1001" s="232" t="s">
        <v>26291</v>
      </c>
      <c r="C1001" s="509" t="s">
        <v>26292</v>
      </c>
      <c r="D1001" s="510" t="s">
        <v>26293</v>
      </c>
      <c r="E1001" s="511"/>
      <c r="F1001" s="232" t="s">
        <v>26294</v>
      </c>
      <c r="G1001" s="232" t="s">
        <v>507</v>
      </c>
      <c r="H1001" s="232">
        <v>9.890638538E9</v>
      </c>
      <c r="I1001" s="509" t="s">
        <v>24122</v>
      </c>
      <c r="J1001" s="232" t="b">
        <v>0</v>
      </c>
      <c r="K1001" s="232" t="s">
        <v>22365</v>
      </c>
      <c r="L1001" s="232" t="s">
        <v>26295</v>
      </c>
      <c r="M1001" s="511"/>
      <c r="N1001" s="232"/>
      <c r="O1001" s="232"/>
      <c r="P1001" s="312"/>
      <c r="Q1001" s="312"/>
      <c r="R1001" s="312"/>
      <c r="S1001" s="312"/>
      <c r="T1001" s="312"/>
      <c r="U1001" s="312"/>
    </row>
    <row r="1002">
      <c r="A1002" s="508" t="s">
        <v>26273</v>
      </c>
      <c r="B1002" s="232" t="s">
        <v>26296</v>
      </c>
      <c r="C1002" s="509" t="s">
        <v>26297</v>
      </c>
      <c r="D1002" s="510"/>
      <c r="E1002" s="511"/>
      <c r="F1002" s="232" t="s">
        <v>26298</v>
      </c>
      <c r="G1002" s="232" t="s">
        <v>22770</v>
      </c>
      <c r="H1002" s="232">
        <v>9.313361436E9</v>
      </c>
      <c r="I1002" s="509" t="s">
        <v>26299</v>
      </c>
      <c r="J1002" s="232" t="b">
        <v>0</v>
      </c>
      <c r="K1002" s="232" t="s">
        <v>22365</v>
      </c>
      <c r="L1002" s="232"/>
      <c r="M1002" s="511"/>
      <c r="N1002" s="232"/>
      <c r="O1002" s="232"/>
      <c r="P1002" s="312"/>
      <c r="Q1002" s="312"/>
      <c r="R1002" s="312"/>
      <c r="S1002" s="312"/>
      <c r="T1002" s="312"/>
      <c r="U1002" s="312"/>
    </row>
    <row r="1003">
      <c r="A1003" s="508" t="s">
        <v>26273</v>
      </c>
      <c r="B1003" s="232" t="s">
        <v>26300</v>
      </c>
      <c r="C1003" s="509" t="s">
        <v>26301</v>
      </c>
      <c r="D1003" s="510"/>
      <c r="E1003" s="511"/>
      <c r="F1003" s="232"/>
      <c r="G1003" s="232" t="s">
        <v>398</v>
      </c>
      <c r="H1003" s="232">
        <v>7.088913938E9</v>
      </c>
      <c r="I1003" s="509" t="s">
        <v>26302</v>
      </c>
      <c r="J1003" s="232" t="b">
        <v>0</v>
      </c>
      <c r="K1003" s="232"/>
      <c r="L1003" s="232"/>
      <c r="M1003" s="511"/>
      <c r="N1003" s="232"/>
      <c r="O1003" s="232"/>
      <c r="P1003" s="312"/>
      <c r="Q1003" s="312"/>
      <c r="R1003" s="312"/>
      <c r="S1003" s="312"/>
      <c r="T1003" s="312"/>
      <c r="U1003" s="312"/>
    </row>
    <row r="1004">
      <c r="A1004" s="508" t="s">
        <v>26273</v>
      </c>
      <c r="B1004" s="232" t="s">
        <v>26303</v>
      </c>
      <c r="C1004" s="509" t="s">
        <v>474</v>
      </c>
      <c r="D1004" s="510"/>
      <c r="E1004" s="511"/>
      <c r="F1004" s="232" t="s">
        <v>26304</v>
      </c>
      <c r="G1004" s="232" t="s">
        <v>467</v>
      </c>
      <c r="H1004" s="232">
        <v>8.542956225E9</v>
      </c>
      <c r="I1004" s="509" t="s">
        <v>22278</v>
      </c>
      <c r="J1004" s="232" t="b">
        <v>0</v>
      </c>
      <c r="K1004" s="232" t="s">
        <v>22365</v>
      </c>
      <c r="L1004" s="232" t="s">
        <v>22621</v>
      </c>
      <c r="M1004" s="511"/>
      <c r="N1004" s="232"/>
      <c r="O1004" s="232"/>
      <c r="P1004" s="312"/>
      <c r="Q1004" s="312"/>
      <c r="R1004" s="312"/>
      <c r="S1004" s="312"/>
      <c r="T1004" s="312"/>
      <c r="U1004" s="312"/>
    </row>
    <row r="1005">
      <c r="A1005" s="508" t="s">
        <v>26273</v>
      </c>
      <c r="B1005" s="232" t="s">
        <v>26305</v>
      </c>
      <c r="C1005" s="509" t="s">
        <v>26306</v>
      </c>
      <c r="D1005" s="510" t="s">
        <v>26307</v>
      </c>
      <c r="E1005" s="511"/>
      <c r="F1005" s="232" t="s">
        <v>26308</v>
      </c>
      <c r="G1005" s="232" t="s">
        <v>26216</v>
      </c>
      <c r="H1005" s="232">
        <v>9.853643554E9</v>
      </c>
      <c r="I1005" s="509" t="s">
        <v>26309</v>
      </c>
      <c r="J1005" s="232" t="b">
        <v>0</v>
      </c>
      <c r="K1005" s="232" t="s">
        <v>22365</v>
      </c>
      <c r="L1005" s="232" t="s">
        <v>23537</v>
      </c>
      <c r="M1005" s="511"/>
      <c r="N1005" s="232"/>
      <c r="O1005" s="232"/>
      <c r="P1005" s="312"/>
      <c r="Q1005" s="312"/>
      <c r="R1005" s="312"/>
      <c r="S1005" s="312"/>
      <c r="T1005" s="312"/>
      <c r="U1005" s="312"/>
    </row>
    <row r="1006">
      <c r="A1006" s="508" t="s">
        <v>26273</v>
      </c>
      <c r="B1006" s="232" t="s">
        <v>26310</v>
      </c>
      <c r="C1006" s="509" t="s">
        <v>26311</v>
      </c>
      <c r="D1006" s="510" t="s">
        <v>26312</v>
      </c>
      <c r="E1006" s="511"/>
      <c r="F1006" s="232"/>
      <c r="G1006" s="232" t="s">
        <v>22724</v>
      </c>
      <c r="H1006" s="232">
        <v>6.299273502E9</v>
      </c>
      <c r="I1006" s="509" t="s">
        <v>26260</v>
      </c>
      <c r="J1006" s="232" t="b">
        <v>0</v>
      </c>
      <c r="K1006" s="232" t="s">
        <v>22365</v>
      </c>
      <c r="L1006" s="232" t="s">
        <v>22509</v>
      </c>
      <c r="M1006" s="511"/>
      <c r="N1006" s="232"/>
      <c r="O1006" s="232"/>
      <c r="P1006" s="312"/>
      <c r="Q1006" s="312"/>
      <c r="R1006" s="312"/>
      <c r="S1006" s="312"/>
      <c r="T1006" s="312"/>
      <c r="U1006" s="312"/>
    </row>
    <row r="1007">
      <c r="A1007" s="513" t="s">
        <v>26313</v>
      </c>
      <c r="B1007" s="514" t="s">
        <v>26314</v>
      </c>
      <c r="C1007" s="515" t="s">
        <v>26315</v>
      </c>
      <c r="D1007" s="516"/>
      <c r="E1007" s="517"/>
      <c r="F1007" s="514"/>
      <c r="G1007" s="514" t="s">
        <v>23612</v>
      </c>
      <c r="H1007" s="514">
        <v>7.003773197E9</v>
      </c>
      <c r="I1007" s="515" t="s">
        <v>26316</v>
      </c>
      <c r="J1007" s="514" t="b">
        <v>0</v>
      </c>
      <c r="K1007" s="514" t="s">
        <v>22312</v>
      </c>
      <c r="L1007" s="518" t="s">
        <v>26317</v>
      </c>
      <c r="M1007" s="511"/>
      <c r="N1007" s="232"/>
      <c r="O1007" s="232"/>
      <c r="P1007" s="312"/>
      <c r="Q1007" s="312"/>
      <c r="R1007" s="312"/>
      <c r="S1007" s="312"/>
      <c r="T1007" s="312"/>
      <c r="U1007" s="312"/>
    </row>
    <row r="1008">
      <c r="A1008" s="508" t="s">
        <v>26313</v>
      </c>
      <c r="B1008" s="232" t="s">
        <v>26318</v>
      </c>
      <c r="C1008" s="509" t="s">
        <v>17412</v>
      </c>
      <c r="D1008" s="510"/>
      <c r="E1008" s="511"/>
      <c r="F1008" s="232" t="s">
        <v>26319</v>
      </c>
      <c r="G1008" s="232" t="s">
        <v>22564</v>
      </c>
      <c r="H1008" s="232">
        <v>9.370111212E9</v>
      </c>
      <c r="I1008" s="509" t="s">
        <v>26320</v>
      </c>
      <c r="J1008" s="232" t="b">
        <v>0</v>
      </c>
      <c r="K1008" s="232" t="s">
        <v>22365</v>
      </c>
      <c r="L1008" s="232" t="s">
        <v>24488</v>
      </c>
      <c r="M1008" s="511"/>
      <c r="N1008" s="232"/>
      <c r="O1008" s="232"/>
      <c r="P1008" s="312"/>
      <c r="Q1008" s="312"/>
      <c r="R1008" s="312"/>
      <c r="S1008" s="312"/>
      <c r="T1008" s="312"/>
      <c r="U1008" s="312"/>
    </row>
    <row r="1009">
      <c r="A1009" s="508" t="s">
        <v>26313</v>
      </c>
      <c r="B1009" s="232" t="s">
        <v>26321</v>
      </c>
      <c r="C1009" s="509" t="s">
        <v>26322</v>
      </c>
      <c r="D1009" s="510"/>
      <c r="E1009" s="511"/>
      <c r="F1009" s="232" t="s">
        <v>26323</v>
      </c>
      <c r="G1009" s="232" t="s">
        <v>467</v>
      </c>
      <c r="H1009" s="232">
        <v>8.18181326E9</v>
      </c>
      <c r="I1009" s="509" t="s">
        <v>26324</v>
      </c>
      <c r="J1009" s="232" t="b">
        <v>0</v>
      </c>
      <c r="K1009" s="232" t="s">
        <v>22365</v>
      </c>
      <c r="L1009" s="526" t="s">
        <v>24488</v>
      </c>
      <c r="M1009" s="511"/>
      <c r="N1009" s="232"/>
      <c r="O1009" s="232"/>
      <c r="P1009" s="312"/>
      <c r="Q1009" s="312"/>
      <c r="R1009" s="312"/>
      <c r="S1009" s="312"/>
      <c r="T1009" s="312"/>
      <c r="U1009" s="312"/>
    </row>
    <row r="1010">
      <c r="A1010" s="508" t="s">
        <v>26313</v>
      </c>
      <c r="B1010" s="232" t="s">
        <v>26325</v>
      </c>
      <c r="C1010" s="509" t="s">
        <v>26326</v>
      </c>
      <c r="D1010" s="510"/>
      <c r="E1010" s="511"/>
      <c r="F1010" s="232"/>
      <c r="G1010" s="232" t="s">
        <v>22421</v>
      </c>
      <c r="H1010" s="232">
        <v>7.498860344E9</v>
      </c>
      <c r="I1010" s="509" t="s">
        <v>26327</v>
      </c>
      <c r="J1010" s="232" t="b">
        <v>0</v>
      </c>
      <c r="K1010" s="232" t="s">
        <v>22365</v>
      </c>
      <c r="L1010" s="232" t="s">
        <v>24488</v>
      </c>
      <c r="M1010" s="511"/>
      <c r="N1010" s="232"/>
      <c r="O1010" s="232"/>
      <c r="P1010" s="312"/>
      <c r="Q1010" s="312"/>
      <c r="R1010" s="312"/>
      <c r="S1010" s="312"/>
      <c r="T1010" s="312"/>
      <c r="U1010" s="312"/>
    </row>
    <row r="1011">
      <c r="A1011" s="508" t="s">
        <v>26313</v>
      </c>
      <c r="B1011" s="232" t="s">
        <v>26328</v>
      </c>
      <c r="C1011" s="509" t="s">
        <v>26329</v>
      </c>
      <c r="D1011" s="510"/>
      <c r="E1011" s="511"/>
      <c r="F1011" s="232" t="s">
        <v>26330</v>
      </c>
      <c r="G1011" s="232" t="s">
        <v>2682</v>
      </c>
      <c r="H1011" s="232">
        <v>9.88009595E9</v>
      </c>
      <c r="I1011" s="509" t="s">
        <v>22289</v>
      </c>
      <c r="J1011" s="232" t="b">
        <v>0</v>
      </c>
      <c r="K1011" s="232" t="s">
        <v>22365</v>
      </c>
      <c r="L1011" s="232" t="s">
        <v>26331</v>
      </c>
      <c r="M1011" s="511"/>
      <c r="N1011" s="232"/>
      <c r="O1011" s="232"/>
      <c r="P1011" s="312"/>
      <c r="Q1011" s="312"/>
      <c r="R1011" s="312"/>
      <c r="S1011" s="312"/>
      <c r="T1011" s="312"/>
      <c r="U1011" s="312"/>
    </row>
    <row r="1012">
      <c r="A1012" s="508" t="s">
        <v>26313</v>
      </c>
      <c r="B1012" s="232" t="s">
        <v>26332</v>
      </c>
      <c r="C1012" s="509" t="s">
        <v>26333</v>
      </c>
      <c r="D1012" s="510" t="s">
        <v>26334</v>
      </c>
      <c r="E1012" s="511"/>
      <c r="F1012" s="232" t="s">
        <v>26335</v>
      </c>
      <c r="G1012" s="232" t="s">
        <v>22844</v>
      </c>
      <c r="H1012" s="232">
        <v>9.022072703E9</v>
      </c>
      <c r="I1012" s="509" t="s">
        <v>26336</v>
      </c>
      <c r="J1012" s="232" t="b">
        <v>0</v>
      </c>
      <c r="K1012" s="232" t="s">
        <v>22365</v>
      </c>
      <c r="L1012" s="232" t="s">
        <v>26337</v>
      </c>
      <c r="M1012" s="511"/>
      <c r="N1012" s="232"/>
      <c r="O1012" s="232"/>
      <c r="P1012" s="312"/>
      <c r="Q1012" s="312"/>
      <c r="R1012" s="312"/>
      <c r="S1012" s="312"/>
      <c r="T1012" s="312"/>
      <c r="U1012" s="312"/>
    </row>
    <row r="1013">
      <c r="A1013" s="508" t="s">
        <v>26313</v>
      </c>
      <c r="B1013" s="232" t="s">
        <v>26338</v>
      </c>
      <c r="C1013" s="509" t="s">
        <v>26339</v>
      </c>
      <c r="D1013" s="510" t="s">
        <v>26340</v>
      </c>
      <c r="E1013" s="511"/>
      <c r="F1013" s="232" t="s">
        <v>26341</v>
      </c>
      <c r="G1013" s="232" t="s">
        <v>22844</v>
      </c>
      <c r="H1013" s="232">
        <v>9.794000114E9</v>
      </c>
      <c r="I1013" s="509" t="s">
        <v>26342</v>
      </c>
      <c r="J1013" s="232" t="b">
        <v>0</v>
      </c>
      <c r="K1013" s="232" t="s">
        <v>22365</v>
      </c>
      <c r="L1013" s="232" t="s">
        <v>24488</v>
      </c>
      <c r="M1013" s="511"/>
      <c r="N1013" s="232"/>
      <c r="O1013" s="232"/>
      <c r="P1013" s="312"/>
      <c r="Q1013" s="312"/>
      <c r="R1013" s="312"/>
      <c r="S1013" s="312"/>
      <c r="T1013" s="312"/>
      <c r="U1013" s="312"/>
    </row>
    <row r="1014">
      <c r="A1014" s="508" t="s">
        <v>26313</v>
      </c>
      <c r="B1014" s="232" t="s">
        <v>26343</v>
      </c>
      <c r="C1014" s="509" t="s">
        <v>26344</v>
      </c>
      <c r="D1014" s="510" t="s">
        <v>26345</v>
      </c>
      <c r="E1014" s="511"/>
      <c r="F1014" s="232"/>
      <c r="G1014" s="232" t="s">
        <v>22564</v>
      </c>
      <c r="H1014" s="232">
        <v>9.870496546E9</v>
      </c>
      <c r="I1014" s="509" t="s">
        <v>26346</v>
      </c>
      <c r="J1014" s="232" t="b">
        <v>0</v>
      </c>
      <c r="K1014" s="232" t="s">
        <v>22365</v>
      </c>
      <c r="L1014" s="232" t="s">
        <v>23537</v>
      </c>
      <c r="M1014" s="511"/>
      <c r="N1014" s="232"/>
      <c r="O1014" s="232"/>
      <c r="P1014" s="312"/>
      <c r="Q1014" s="312"/>
      <c r="R1014" s="312"/>
      <c r="S1014" s="312"/>
      <c r="T1014" s="312"/>
      <c r="U1014" s="312"/>
    </row>
    <row r="1015">
      <c r="A1015" s="508" t="s">
        <v>26313</v>
      </c>
      <c r="B1015" s="232" t="s">
        <v>26347</v>
      </c>
      <c r="C1015" s="509" t="s">
        <v>26348</v>
      </c>
      <c r="D1015" s="510" t="s">
        <v>26349</v>
      </c>
      <c r="E1015" s="511"/>
      <c r="F1015" s="232"/>
      <c r="G1015" s="232" t="s">
        <v>99</v>
      </c>
      <c r="H1015" s="232">
        <v>-8.018185665E9</v>
      </c>
      <c r="I1015" s="509" t="s">
        <v>22289</v>
      </c>
      <c r="J1015" s="232" t="b">
        <v>0</v>
      </c>
      <c r="K1015" s="232"/>
      <c r="L1015" s="232"/>
      <c r="M1015" s="511"/>
      <c r="N1015" s="232"/>
      <c r="O1015" s="232"/>
      <c r="P1015" s="312"/>
      <c r="Q1015" s="312"/>
      <c r="R1015" s="312"/>
      <c r="S1015" s="312"/>
      <c r="T1015" s="312"/>
      <c r="U1015" s="312"/>
    </row>
    <row r="1016">
      <c r="A1016" s="508" t="s">
        <v>26313</v>
      </c>
      <c r="B1016" s="232" t="s">
        <v>26350</v>
      </c>
      <c r="C1016" s="509" t="s">
        <v>26351</v>
      </c>
      <c r="D1016" s="510" t="s">
        <v>26352</v>
      </c>
      <c r="E1016" s="511"/>
      <c r="F1016" s="232" t="s">
        <v>26353</v>
      </c>
      <c r="G1016" s="232" t="s">
        <v>24533</v>
      </c>
      <c r="H1016" s="232">
        <v>8.086781051E9</v>
      </c>
      <c r="I1016" s="509" t="s">
        <v>26354</v>
      </c>
      <c r="J1016" s="232" t="b">
        <v>0</v>
      </c>
      <c r="K1016" s="232" t="s">
        <v>22365</v>
      </c>
      <c r="L1016" s="232" t="s">
        <v>26355</v>
      </c>
      <c r="M1016" s="511"/>
      <c r="N1016" s="232"/>
      <c r="O1016" s="232"/>
      <c r="P1016" s="312"/>
      <c r="Q1016" s="312"/>
      <c r="R1016" s="312"/>
      <c r="S1016" s="312"/>
      <c r="T1016" s="312"/>
      <c r="U1016" s="312"/>
    </row>
    <row r="1017">
      <c r="A1017" s="508" t="s">
        <v>26313</v>
      </c>
      <c r="B1017" s="232" t="s">
        <v>26356</v>
      </c>
      <c r="C1017" s="509" t="s">
        <v>26357</v>
      </c>
      <c r="D1017" s="510" t="s">
        <v>26358</v>
      </c>
      <c r="E1017" s="511"/>
      <c r="F1017" s="232"/>
      <c r="G1017" s="232" t="s">
        <v>7995</v>
      </c>
      <c r="H1017" s="232">
        <v>7.98042271E9</v>
      </c>
      <c r="I1017" s="509" t="s">
        <v>22903</v>
      </c>
      <c r="J1017" s="232" t="b">
        <v>0</v>
      </c>
      <c r="K1017" s="232" t="s">
        <v>22365</v>
      </c>
      <c r="L1017" s="232" t="s">
        <v>26359</v>
      </c>
      <c r="M1017" s="511"/>
      <c r="N1017" s="232"/>
      <c r="O1017" s="232"/>
      <c r="P1017" s="312"/>
      <c r="Q1017" s="312"/>
      <c r="R1017" s="312"/>
      <c r="S1017" s="312"/>
      <c r="T1017" s="312"/>
      <c r="U1017" s="312"/>
    </row>
    <row r="1018">
      <c r="A1018" s="508" t="s">
        <v>26313</v>
      </c>
      <c r="B1018" s="232" t="s">
        <v>26360</v>
      </c>
      <c r="C1018" s="509" t="s">
        <v>26361</v>
      </c>
      <c r="D1018" s="510" t="s">
        <v>26362</v>
      </c>
      <c r="E1018" s="511"/>
      <c r="F1018" s="232" t="s">
        <v>26363</v>
      </c>
      <c r="G1018" s="232" t="s">
        <v>26364</v>
      </c>
      <c r="H1018" s="232">
        <v>7.002922061E9</v>
      </c>
      <c r="I1018" s="509" t="s">
        <v>26365</v>
      </c>
      <c r="J1018" s="232" t="b">
        <v>0</v>
      </c>
      <c r="K1018" s="232"/>
      <c r="L1018" s="232"/>
      <c r="M1018" s="511"/>
      <c r="N1018" s="232"/>
      <c r="O1018" s="232"/>
      <c r="P1018" s="312"/>
      <c r="Q1018" s="312"/>
      <c r="R1018" s="312"/>
      <c r="S1018" s="312"/>
      <c r="T1018" s="312"/>
      <c r="U1018" s="312"/>
    </row>
    <row r="1019">
      <c r="A1019" s="508" t="s">
        <v>26313</v>
      </c>
      <c r="B1019" s="232" t="s">
        <v>26366</v>
      </c>
      <c r="C1019" s="509" t="s">
        <v>24786</v>
      </c>
      <c r="D1019" s="510" t="s">
        <v>24787</v>
      </c>
      <c r="E1019" s="511"/>
      <c r="F1019" s="232" t="s">
        <v>24788</v>
      </c>
      <c r="G1019" s="232" t="s">
        <v>449</v>
      </c>
      <c r="H1019" s="232">
        <v>7.364881701E9</v>
      </c>
      <c r="I1019" s="509" t="s">
        <v>22289</v>
      </c>
      <c r="J1019" s="232" t="b">
        <v>0</v>
      </c>
      <c r="K1019" s="232" t="s">
        <v>22365</v>
      </c>
      <c r="L1019" s="232" t="s">
        <v>23537</v>
      </c>
      <c r="M1019" s="511"/>
      <c r="N1019" s="232"/>
      <c r="O1019" s="232"/>
      <c r="P1019" s="312"/>
      <c r="Q1019" s="312"/>
      <c r="R1019" s="312"/>
      <c r="S1019" s="312"/>
      <c r="T1019" s="312"/>
      <c r="U1019" s="312"/>
    </row>
    <row r="1020">
      <c r="A1020" s="508" t="s">
        <v>26313</v>
      </c>
      <c r="B1020" s="232" t="s">
        <v>26367</v>
      </c>
      <c r="C1020" s="509" t="s">
        <v>26368</v>
      </c>
      <c r="D1020" s="510"/>
      <c r="E1020" s="511"/>
      <c r="F1020" s="232"/>
      <c r="G1020" s="232" t="s">
        <v>26369</v>
      </c>
      <c r="H1020" s="232">
        <v>9.786575981E9</v>
      </c>
      <c r="I1020" s="509" t="s">
        <v>26370</v>
      </c>
      <c r="J1020" s="232" t="b">
        <v>0</v>
      </c>
      <c r="K1020" s="232"/>
      <c r="M1020" s="511"/>
      <c r="N1020" s="232"/>
      <c r="O1020" s="232"/>
      <c r="P1020" s="312"/>
      <c r="Q1020" s="312"/>
      <c r="R1020" s="312"/>
      <c r="S1020" s="312"/>
      <c r="T1020" s="312"/>
      <c r="U1020" s="312"/>
    </row>
    <row r="1021">
      <c r="A1021" s="508" t="s">
        <v>26371</v>
      </c>
      <c r="B1021" s="232" t="s">
        <v>26372</v>
      </c>
      <c r="C1021" s="509" t="s">
        <v>26373</v>
      </c>
      <c r="D1021" s="510" t="s">
        <v>26374</v>
      </c>
      <c r="E1021" s="511"/>
      <c r="F1021" s="232" t="s">
        <v>26375</v>
      </c>
      <c r="G1021" s="232" t="s">
        <v>977</v>
      </c>
      <c r="H1021" s="232">
        <v>9.798720085E9</v>
      </c>
      <c r="I1021" s="509" t="s">
        <v>23661</v>
      </c>
      <c r="J1021" s="232" t="b">
        <v>0</v>
      </c>
      <c r="K1021" s="232"/>
      <c r="L1021" s="232"/>
      <c r="M1021" s="511"/>
      <c r="N1021" s="232"/>
      <c r="O1021" s="232"/>
      <c r="P1021" s="312"/>
      <c r="Q1021" s="312"/>
      <c r="R1021" s="312"/>
      <c r="S1021" s="312"/>
      <c r="T1021" s="312"/>
      <c r="U1021" s="312"/>
    </row>
    <row r="1022">
      <c r="A1022" s="508" t="s">
        <v>26371</v>
      </c>
      <c r="B1022" s="232" t="s">
        <v>26376</v>
      </c>
      <c r="C1022" s="509" t="s">
        <v>26377</v>
      </c>
      <c r="D1022" s="510"/>
      <c r="E1022" s="511"/>
      <c r="F1022" s="232"/>
      <c r="G1022" s="232" t="s">
        <v>22292</v>
      </c>
      <c r="H1022" s="232">
        <v>7.387898775E9</v>
      </c>
      <c r="I1022" s="509" t="s">
        <v>22354</v>
      </c>
      <c r="J1022" s="232" t="b">
        <v>0</v>
      </c>
      <c r="K1022" s="232" t="s">
        <v>22365</v>
      </c>
      <c r="L1022" s="232" t="s">
        <v>26378</v>
      </c>
      <c r="M1022" s="511"/>
      <c r="N1022" s="232"/>
      <c r="O1022" s="232"/>
      <c r="P1022" s="312"/>
      <c r="Q1022" s="312"/>
      <c r="R1022" s="312"/>
      <c r="S1022" s="312"/>
      <c r="T1022" s="312"/>
      <c r="U1022" s="312"/>
    </row>
    <row r="1023">
      <c r="A1023" s="508" t="s">
        <v>26371</v>
      </c>
      <c r="B1023" s="232" t="s">
        <v>26379</v>
      </c>
      <c r="C1023" s="509" t="s">
        <v>14988</v>
      </c>
      <c r="D1023" s="510"/>
      <c r="E1023" s="511"/>
      <c r="F1023" s="232"/>
      <c r="G1023" s="232" t="s">
        <v>22359</v>
      </c>
      <c r="H1023" s="232">
        <v>6.260841244E9</v>
      </c>
      <c r="I1023" s="509" t="s">
        <v>22354</v>
      </c>
      <c r="J1023" s="232" t="b">
        <v>0</v>
      </c>
      <c r="K1023" s="232"/>
      <c r="L1023" s="232"/>
      <c r="M1023" s="511"/>
      <c r="N1023" s="232"/>
      <c r="O1023" s="232"/>
      <c r="P1023" s="312"/>
      <c r="Q1023" s="312"/>
      <c r="R1023" s="312"/>
      <c r="S1023" s="312"/>
      <c r="T1023" s="312"/>
      <c r="U1023" s="312"/>
    </row>
    <row r="1024">
      <c r="A1024" s="508" t="s">
        <v>26371</v>
      </c>
      <c r="B1024" s="232" t="s">
        <v>26380</v>
      </c>
      <c r="C1024" s="509" t="s">
        <v>26381</v>
      </c>
      <c r="D1024" s="510" t="s">
        <v>26382</v>
      </c>
      <c r="E1024" s="511"/>
      <c r="F1024" s="232" t="s">
        <v>26383</v>
      </c>
      <c r="G1024" s="232" t="s">
        <v>22292</v>
      </c>
      <c r="H1024" s="232">
        <v>8.082157066E9</v>
      </c>
      <c r="I1024" s="509" t="s">
        <v>22373</v>
      </c>
      <c r="J1024" s="232" t="b">
        <v>0</v>
      </c>
      <c r="K1024" s="232" t="s">
        <v>22365</v>
      </c>
      <c r="L1024" s="232" t="s">
        <v>26384</v>
      </c>
      <c r="M1024" s="511"/>
      <c r="N1024" s="232"/>
      <c r="O1024" s="232"/>
      <c r="P1024" s="312"/>
      <c r="Q1024" s="312"/>
      <c r="R1024" s="312"/>
      <c r="S1024" s="312"/>
      <c r="T1024" s="312"/>
      <c r="U1024" s="312"/>
    </row>
    <row r="1025">
      <c r="A1025" s="508" t="s">
        <v>26371</v>
      </c>
      <c r="B1025" s="232" t="s">
        <v>26385</v>
      </c>
      <c r="C1025" s="509" t="s">
        <v>26386</v>
      </c>
      <c r="D1025" s="510"/>
      <c r="E1025" s="511"/>
      <c r="F1025" s="232"/>
      <c r="G1025" s="232" t="s">
        <v>507</v>
      </c>
      <c r="H1025" s="232">
        <v>9.92390439E9</v>
      </c>
      <c r="I1025" s="509" t="s">
        <v>25889</v>
      </c>
      <c r="J1025" s="232" t="b">
        <v>0</v>
      </c>
      <c r="K1025" s="232" t="s">
        <v>22365</v>
      </c>
      <c r="L1025" s="232" t="s">
        <v>23537</v>
      </c>
      <c r="M1025" s="511"/>
      <c r="N1025" s="232"/>
      <c r="O1025" s="232"/>
      <c r="P1025" s="312"/>
      <c r="Q1025" s="312"/>
      <c r="R1025" s="312"/>
      <c r="S1025" s="312"/>
      <c r="T1025" s="312"/>
      <c r="U1025" s="312"/>
    </row>
    <row r="1026">
      <c r="A1026" s="508" t="s">
        <v>26371</v>
      </c>
      <c r="B1026" s="232" t="s">
        <v>26387</v>
      </c>
      <c r="C1026" s="509" t="s">
        <v>26388</v>
      </c>
      <c r="D1026" s="510"/>
      <c r="E1026" s="511"/>
      <c r="F1026" s="232" t="s">
        <v>26389</v>
      </c>
      <c r="G1026" s="232" t="s">
        <v>22742</v>
      </c>
      <c r="H1026" s="232">
        <v>7.848007697E9</v>
      </c>
      <c r="I1026" s="509" t="s">
        <v>22278</v>
      </c>
      <c r="J1026" s="232" t="b">
        <v>0</v>
      </c>
      <c r="K1026" s="232"/>
      <c r="L1026" s="232"/>
      <c r="M1026" s="511"/>
      <c r="N1026" s="232"/>
      <c r="O1026" s="232"/>
      <c r="P1026" s="312"/>
      <c r="Q1026" s="312"/>
      <c r="R1026" s="312"/>
      <c r="S1026" s="312"/>
      <c r="T1026" s="312"/>
      <c r="U1026" s="312"/>
    </row>
    <row r="1027">
      <c r="A1027" s="508" t="s">
        <v>26371</v>
      </c>
      <c r="B1027" s="232" t="s">
        <v>26390</v>
      </c>
      <c r="C1027" s="509" t="s">
        <v>26391</v>
      </c>
      <c r="D1027" s="510"/>
      <c r="E1027" s="511"/>
      <c r="F1027" s="232" t="s">
        <v>26392</v>
      </c>
      <c r="G1027" s="232" t="s">
        <v>1461</v>
      </c>
      <c r="H1027" s="232">
        <v>9.352765639E9</v>
      </c>
      <c r="I1027" s="509" t="s">
        <v>26393</v>
      </c>
      <c r="J1027" s="232" t="b">
        <v>0</v>
      </c>
      <c r="K1027" s="232" t="s">
        <v>334</v>
      </c>
      <c r="L1027" s="232"/>
      <c r="M1027" s="511"/>
      <c r="N1027" s="232"/>
      <c r="O1027" s="232"/>
      <c r="P1027" s="312"/>
      <c r="Q1027" s="312"/>
      <c r="R1027" s="312"/>
      <c r="S1027" s="312"/>
      <c r="T1027" s="312"/>
      <c r="U1027" s="312"/>
    </row>
    <row r="1028">
      <c r="A1028" s="508" t="s">
        <v>26371</v>
      </c>
      <c r="B1028" s="232" t="s">
        <v>26394</v>
      </c>
      <c r="C1028" s="509" t="s">
        <v>26395</v>
      </c>
      <c r="D1028" s="510" t="s">
        <v>26396</v>
      </c>
      <c r="E1028" s="511"/>
      <c r="F1028" s="232"/>
      <c r="G1028" s="232" t="s">
        <v>44</v>
      </c>
      <c r="H1028" s="232">
        <v>6.290014672E9</v>
      </c>
      <c r="I1028" s="509" t="s">
        <v>26397</v>
      </c>
      <c r="J1028" s="232" t="b">
        <v>0</v>
      </c>
      <c r="K1028" s="232" t="s">
        <v>22355</v>
      </c>
      <c r="L1028" s="232"/>
      <c r="M1028" s="511"/>
      <c r="N1028" s="232"/>
      <c r="O1028" s="232"/>
      <c r="P1028" s="312"/>
      <c r="Q1028" s="312"/>
      <c r="R1028" s="312"/>
      <c r="S1028" s="312"/>
      <c r="T1028" s="312"/>
      <c r="U1028" s="312"/>
    </row>
    <row r="1029">
      <c r="A1029" s="508" t="s">
        <v>26371</v>
      </c>
      <c r="B1029" s="232" t="s">
        <v>26398</v>
      </c>
      <c r="C1029" s="509" t="s">
        <v>26399</v>
      </c>
      <c r="D1029" s="510"/>
      <c r="E1029" s="511"/>
      <c r="F1029" s="232" t="s">
        <v>26400</v>
      </c>
      <c r="G1029" s="232" t="s">
        <v>5334</v>
      </c>
      <c r="H1029" s="232">
        <v>8.01340152E9</v>
      </c>
      <c r="I1029" s="509" t="s">
        <v>26401</v>
      </c>
      <c r="J1029" s="232" t="b">
        <v>0</v>
      </c>
      <c r="K1029" s="232" t="s">
        <v>22355</v>
      </c>
      <c r="L1029" s="232"/>
      <c r="M1029" s="232"/>
      <c r="N1029" s="232"/>
      <c r="O1029" s="232"/>
      <c r="P1029" s="312"/>
      <c r="Q1029" s="312"/>
      <c r="R1029" s="312"/>
      <c r="S1029" s="312"/>
      <c r="T1029" s="312"/>
      <c r="U1029" s="312"/>
    </row>
    <row r="1030">
      <c r="A1030" s="508" t="s">
        <v>26371</v>
      </c>
      <c r="B1030" s="232" t="s">
        <v>26402</v>
      </c>
      <c r="C1030" s="509" t="s">
        <v>26403</v>
      </c>
      <c r="D1030" s="510" t="s">
        <v>26404</v>
      </c>
      <c r="E1030" s="511"/>
      <c r="F1030" s="232" t="s">
        <v>26405</v>
      </c>
      <c r="G1030" s="232" t="s">
        <v>25962</v>
      </c>
      <c r="H1030" s="232">
        <v>9.330672442E9</v>
      </c>
      <c r="I1030" s="509" t="s">
        <v>26406</v>
      </c>
      <c r="J1030" s="232" t="b">
        <v>0</v>
      </c>
      <c r="K1030" s="232" t="s">
        <v>22365</v>
      </c>
      <c r="L1030" s="232" t="s">
        <v>22422</v>
      </c>
      <c r="M1030" s="511"/>
      <c r="N1030" s="232"/>
      <c r="O1030" s="232"/>
      <c r="P1030" s="312"/>
      <c r="Q1030" s="312"/>
      <c r="R1030" s="312"/>
      <c r="S1030" s="312"/>
      <c r="T1030" s="312"/>
      <c r="U1030" s="312"/>
    </row>
    <row r="1031">
      <c r="A1031" s="508" t="s">
        <v>26371</v>
      </c>
      <c r="B1031" s="232" t="s">
        <v>26407</v>
      </c>
      <c r="C1031" s="509" t="s">
        <v>26097</v>
      </c>
      <c r="D1031" s="510"/>
      <c r="E1031" s="511"/>
      <c r="F1031" s="232" t="s">
        <v>26098</v>
      </c>
      <c r="G1031" s="232" t="s">
        <v>22564</v>
      </c>
      <c r="H1031" s="232">
        <v>7.977445495E9</v>
      </c>
      <c r="I1031" s="509" t="s">
        <v>22502</v>
      </c>
      <c r="J1031" s="232" t="b">
        <v>0</v>
      </c>
      <c r="K1031" s="232" t="s">
        <v>22365</v>
      </c>
      <c r="L1031" s="232"/>
      <c r="M1031" s="511"/>
      <c r="O1031" s="232"/>
      <c r="P1031" s="312"/>
      <c r="Q1031" s="312"/>
      <c r="R1031" s="312"/>
      <c r="S1031" s="312"/>
      <c r="T1031" s="312"/>
      <c r="U1031" s="312"/>
    </row>
    <row r="1032">
      <c r="A1032" s="508" t="s">
        <v>26371</v>
      </c>
      <c r="B1032" s="232" t="s">
        <v>26408</v>
      </c>
      <c r="C1032" s="509" t="s">
        <v>26409</v>
      </c>
      <c r="D1032" s="510"/>
      <c r="E1032" s="511"/>
      <c r="F1032" s="232" t="s">
        <v>26410</v>
      </c>
      <c r="G1032" s="232" t="s">
        <v>44</v>
      </c>
      <c r="H1032" s="232">
        <v>9.810539648E9</v>
      </c>
      <c r="I1032" s="509" t="s">
        <v>22289</v>
      </c>
      <c r="J1032" s="232" t="b">
        <v>0</v>
      </c>
      <c r="K1032" s="232" t="s">
        <v>22365</v>
      </c>
      <c r="L1032" s="232" t="s">
        <v>23537</v>
      </c>
      <c r="M1032" s="511"/>
      <c r="N1032" s="232"/>
      <c r="O1032" s="232"/>
      <c r="P1032" s="312"/>
      <c r="Q1032" s="312"/>
      <c r="R1032" s="312"/>
      <c r="S1032" s="312"/>
      <c r="T1032" s="312"/>
      <c r="U1032" s="312"/>
    </row>
    <row r="1033">
      <c r="A1033" s="513" t="s">
        <v>26411</v>
      </c>
      <c r="B1033" s="514" t="s">
        <v>26412</v>
      </c>
      <c r="C1033" s="515" t="s">
        <v>26413</v>
      </c>
      <c r="D1033" s="516"/>
      <c r="E1033" s="517"/>
      <c r="F1033" s="514"/>
      <c r="G1033" s="514" t="s">
        <v>26414</v>
      </c>
      <c r="H1033" s="514">
        <v>9.749128874E9</v>
      </c>
      <c r="I1033" s="515" t="s">
        <v>26415</v>
      </c>
      <c r="J1033" s="514" t="b">
        <v>0</v>
      </c>
      <c r="K1033" s="514" t="s">
        <v>22312</v>
      </c>
      <c r="L1033" s="518" t="s">
        <v>26416</v>
      </c>
      <c r="M1033" s="511"/>
      <c r="N1033" s="232"/>
      <c r="O1033" s="232"/>
      <c r="P1033" s="312"/>
      <c r="Q1033" s="312"/>
      <c r="R1033" s="312"/>
      <c r="S1033" s="312"/>
      <c r="T1033" s="312"/>
      <c r="U1033" s="312"/>
    </row>
    <row r="1034">
      <c r="A1034" s="508" t="s">
        <v>26411</v>
      </c>
      <c r="B1034" s="232" t="s">
        <v>26417</v>
      </c>
      <c r="C1034" s="509" t="s">
        <v>26388</v>
      </c>
      <c r="D1034" s="510" t="s">
        <v>26418</v>
      </c>
      <c r="E1034" s="511"/>
      <c r="F1034" s="232" t="s">
        <v>26419</v>
      </c>
      <c r="G1034" s="232" t="s">
        <v>99</v>
      </c>
      <c r="H1034" s="232">
        <v>7.848007697E9</v>
      </c>
      <c r="I1034" s="509" t="s">
        <v>23429</v>
      </c>
      <c r="J1034" s="232" t="b">
        <v>0</v>
      </c>
      <c r="K1034" s="232" t="s">
        <v>22365</v>
      </c>
      <c r="L1034" s="232" t="s">
        <v>26420</v>
      </c>
      <c r="M1034" s="511"/>
      <c r="N1034" s="232"/>
      <c r="O1034" s="232"/>
      <c r="P1034" s="312"/>
      <c r="Q1034" s="312"/>
      <c r="R1034" s="312"/>
      <c r="S1034" s="312"/>
      <c r="T1034" s="312"/>
      <c r="U1034" s="312"/>
    </row>
    <row r="1035">
      <c r="A1035" s="508" t="s">
        <v>26411</v>
      </c>
      <c r="B1035" s="232" t="s">
        <v>26421</v>
      </c>
      <c r="C1035" s="509" t="s">
        <v>9827</v>
      </c>
      <c r="D1035" s="510"/>
      <c r="E1035" s="511"/>
      <c r="F1035" s="232" t="s">
        <v>26422</v>
      </c>
      <c r="G1035" s="232" t="s">
        <v>467</v>
      </c>
      <c r="H1035" s="232">
        <v>6.392597106E9</v>
      </c>
      <c r="I1035" s="509" t="s">
        <v>26423</v>
      </c>
      <c r="J1035" s="232" t="b">
        <v>0</v>
      </c>
      <c r="K1035" s="232" t="s">
        <v>22365</v>
      </c>
      <c r="L1035" s="232" t="s">
        <v>26424</v>
      </c>
      <c r="M1035" s="511"/>
      <c r="N1035" s="232"/>
      <c r="O1035" s="232"/>
      <c r="P1035" s="312"/>
      <c r="Q1035" s="312"/>
      <c r="R1035" s="312"/>
      <c r="S1035" s="312"/>
      <c r="T1035" s="312"/>
      <c r="U1035" s="312"/>
    </row>
    <row r="1036">
      <c r="A1036" s="508" t="s">
        <v>26411</v>
      </c>
      <c r="B1036" s="232" t="s">
        <v>26425</v>
      </c>
      <c r="C1036" s="509" t="s">
        <v>1474</v>
      </c>
      <c r="D1036" s="510"/>
      <c r="E1036" s="511"/>
      <c r="F1036" s="232"/>
      <c r="G1036" s="232" t="s">
        <v>467</v>
      </c>
      <c r="H1036" s="232">
        <v>7.985756723E9</v>
      </c>
      <c r="I1036" s="509" t="s">
        <v>26426</v>
      </c>
      <c r="J1036" s="232" t="b">
        <v>0</v>
      </c>
      <c r="K1036" s="232" t="s">
        <v>22365</v>
      </c>
      <c r="L1036" s="232" t="s">
        <v>23537</v>
      </c>
      <c r="M1036" s="511"/>
      <c r="N1036" s="232"/>
      <c r="O1036" s="232"/>
      <c r="P1036" s="312"/>
      <c r="Q1036" s="312"/>
      <c r="R1036" s="312"/>
      <c r="S1036" s="312"/>
      <c r="T1036" s="312"/>
      <c r="U1036" s="312"/>
    </row>
    <row r="1037">
      <c r="A1037" s="508" t="s">
        <v>26411</v>
      </c>
      <c r="B1037" s="232" t="s">
        <v>26427</v>
      </c>
      <c r="C1037" s="509" t="s">
        <v>26428</v>
      </c>
      <c r="D1037" s="510"/>
      <c r="E1037" s="511"/>
      <c r="F1037" s="232" t="s">
        <v>26429</v>
      </c>
      <c r="G1037" s="232" t="s">
        <v>26430</v>
      </c>
      <c r="H1037" s="232">
        <v>9.883369018E9</v>
      </c>
      <c r="I1037" s="509" t="s">
        <v>23522</v>
      </c>
      <c r="J1037" s="232" t="b">
        <v>0</v>
      </c>
      <c r="K1037" s="232" t="s">
        <v>22365</v>
      </c>
      <c r="L1037" s="232"/>
      <c r="M1037" s="511"/>
      <c r="N1037" s="232"/>
      <c r="O1037" s="232"/>
      <c r="P1037" s="312"/>
      <c r="Q1037" s="312"/>
      <c r="R1037" s="312"/>
      <c r="S1037" s="312"/>
      <c r="T1037" s="312"/>
      <c r="U1037" s="312"/>
    </row>
    <row r="1038" ht="29.25" customHeight="1">
      <c r="A1038" s="508" t="s">
        <v>26411</v>
      </c>
      <c r="B1038" s="232" t="s">
        <v>26431</v>
      </c>
      <c r="C1038" s="509" t="s">
        <v>15187</v>
      </c>
      <c r="D1038" s="510" t="s">
        <v>26432</v>
      </c>
      <c r="E1038" s="511"/>
      <c r="F1038" s="232" t="s">
        <v>26433</v>
      </c>
      <c r="G1038" s="232" t="s">
        <v>23961</v>
      </c>
      <c r="H1038" s="232">
        <v>8.880824256E9</v>
      </c>
      <c r="I1038" s="509" t="s">
        <v>25943</v>
      </c>
      <c r="J1038" s="232" t="b">
        <v>0</v>
      </c>
      <c r="K1038" s="232" t="s">
        <v>22365</v>
      </c>
      <c r="L1038" s="232"/>
      <c r="M1038" s="511"/>
      <c r="N1038" s="232"/>
      <c r="O1038" s="232"/>
      <c r="P1038" s="312"/>
      <c r="Q1038" s="312"/>
      <c r="R1038" s="312"/>
      <c r="S1038" s="312"/>
      <c r="T1038" s="312"/>
      <c r="U1038" s="312"/>
    </row>
    <row r="1039">
      <c r="A1039" s="508" t="s">
        <v>26411</v>
      </c>
      <c r="B1039" s="232" t="s">
        <v>26434</v>
      </c>
      <c r="C1039" s="509" t="s">
        <v>26435</v>
      </c>
      <c r="D1039" s="510"/>
      <c r="E1039" s="511"/>
      <c r="F1039" s="232" t="s">
        <v>26436</v>
      </c>
      <c r="G1039" s="232" t="s">
        <v>99</v>
      </c>
      <c r="H1039" s="232">
        <v>9.668495131E9</v>
      </c>
      <c r="I1039" s="509" t="s">
        <v>26437</v>
      </c>
      <c r="J1039" s="232" t="b">
        <v>0</v>
      </c>
      <c r="K1039" s="232" t="s">
        <v>22355</v>
      </c>
      <c r="L1039" s="232"/>
      <c r="M1039" s="511"/>
      <c r="N1039" s="232"/>
      <c r="O1039" s="232"/>
      <c r="P1039" s="312"/>
      <c r="Q1039" s="312"/>
      <c r="R1039" s="312"/>
      <c r="S1039" s="312"/>
      <c r="T1039" s="312"/>
      <c r="U1039" s="312"/>
    </row>
    <row r="1040">
      <c r="A1040" s="508" t="s">
        <v>26411</v>
      </c>
      <c r="B1040" s="232" t="s">
        <v>26438</v>
      </c>
      <c r="C1040" s="509" t="s">
        <v>26439</v>
      </c>
      <c r="D1040" s="510"/>
      <c r="E1040" s="511"/>
      <c r="F1040" s="232" t="s">
        <v>26440</v>
      </c>
      <c r="G1040" s="232" t="s">
        <v>22564</v>
      </c>
      <c r="H1040" s="232">
        <v>8.334895335E9</v>
      </c>
      <c r="I1040" s="509" t="s">
        <v>26441</v>
      </c>
      <c r="J1040" s="232" t="b">
        <v>0</v>
      </c>
      <c r="K1040" s="232" t="s">
        <v>22349</v>
      </c>
      <c r="L1040" s="232" t="s">
        <v>26442</v>
      </c>
      <c r="M1040" s="511"/>
      <c r="N1040" s="232"/>
      <c r="O1040" s="232"/>
      <c r="P1040" s="312"/>
      <c r="Q1040" s="312"/>
      <c r="R1040" s="312"/>
      <c r="S1040" s="312"/>
      <c r="T1040" s="312"/>
      <c r="U1040" s="312"/>
    </row>
    <row r="1041">
      <c r="A1041" s="508" t="s">
        <v>26411</v>
      </c>
      <c r="B1041" s="232" t="s">
        <v>26443</v>
      </c>
      <c r="C1041" s="509" t="s">
        <v>26444</v>
      </c>
      <c r="D1041" s="510"/>
      <c r="E1041" s="511"/>
      <c r="F1041" s="232" t="s">
        <v>26445</v>
      </c>
      <c r="G1041" s="232" t="s">
        <v>507</v>
      </c>
      <c r="H1041" s="232">
        <v>7.972514534E9</v>
      </c>
      <c r="I1041" s="509" t="s">
        <v>22289</v>
      </c>
      <c r="J1041" s="232" t="b">
        <v>0</v>
      </c>
      <c r="K1041" s="232" t="s">
        <v>22365</v>
      </c>
      <c r="L1041" s="232" t="s">
        <v>23537</v>
      </c>
      <c r="M1041" s="511"/>
      <c r="N1041" s="232"/>
      <c r="O1041" s="232"/>
      <c r="P1041" s="312"/>
      <c r="Q1041" s="312"/>
      <c r="R1041" s="312"/>
      <c r="S1041" s="312"/>
      <c r="T1041" s="312"/>
      <c r="U1041" s="312"/>
    </row>
    <row r="1042">
      <c r="A1042" s="508" t="s">
        <v>26411</v>
      </c>
      <c r="B1042" s="232" t="s">
        <v>26446</v>
      </c>
      <c r="C1042" s="509" t="s">
        <v>23368</v>
      </c>
      <c r="D1042" s="510" t="s">
        <v>26447</v>
      </c>
      <c r="E1042" s="511"/>
      <c r="F1042" s="232" t="s">
        <v>23370</v>
      </c>
      <c r="G1042" s="232" t="s">
        <v>22564</v>
      </c>
      <c r="H1042" s="232">
        <v>9.322778191E9</v>
      </c>
      <c r="I1042" s="509" t="s">
        <v>22289</v>
      </c>
      <c r="J1042" s="232" t="b">
        <v>0</v>
      </c>
      <c r="K1042" s="232" t="s">
        <v>22365</v>
      </c>
      <c r="L1042" s="232" t="s">
        <v>23537</v>
      </c>
      <c r="M1042" s="511"/>
      <c r="N1042" s="232"/>
      <c r="O1042" s="232"/>
      <c r="P1042" s="312"/>
      <c r="Q1042" s="312"/>
      <c r="R1042" s="312"/>
      <c r="S1042" s="312"/>
      <c r="T1042" s="312"/>
      <c r="U1042" s="312"/>
    </row>
    <row r="1043">
      <c r="A1043" s="508" t="s">
        <v>26411</v>
      </c>
      <c r="B1043" s="232" t="s">
        <v>26448</v>
      </c>
      <c r="C1043" s="509" t="s">
        <v>26449</v>
      </c>
      <c r="D1043" s="510" t="s">
        <v>26450</v>
      </c>
      <c r="E1043" s="511"/>
      <c r="F1043" s="232" t="s">
        <v>26451</v>
      </c>
      <c r="G1043" s="232" t="s">
        <v>507</v>
      </c>
      <c r="H1043" s="232">
        <v>8.767927184E9</v>
      </c>
      <c r="I1043" s="509" t="s">
        <v>26452</v>
      </c>
      <c r="J1043" s="232" t="b">
        <v>0</v>
      </c>
      <c r="K1043" s="232"/>
      <c r="L1043" s="232"/>
      <c r="M1043" s="511"/>
      <c r="N1043" s="232"/>
      <c r="O1043" s="232"/>
      <c r="P1043" s="312"/>
      <c r="Q1043" s="312"/>
      <c r="R1043" s="312"/>
      <c r="S1043" s="312"/>
      <c r="T1043" s="312"/>
      <c r="U1043" s="312"/>
    </row>
    <row r="1044">
      <c r="A1044" s="508" t="s">
        <v>26411</v>
      </c>
      <c r="B1044" s="232" t="s">
        <v>26453</v>
      </c>
      <c r="C1044" s="509" t="s">
        <v>9991</v>
      </c>
      <c r="D1044" s="510" t="s">
        <v>22607</v>
      </c>
      <c r="E1044" s="511"/>
      <c r="F1044" s="232" t="s">
        <v>9992</v>
      </c>
      <c r="G1044" s="232" t="s">
        <v>26204</v>
      </c>
      <c r="H1044" s="232">
        <v>7.980763914E9</v>
      </c>
      <c r="I1044" s="509" t="s">
        <v>22961</v>
      </c>
      <c r="J1044" s="232" t="b">
        <v>0</v>
      </c>
      <c r="K1044" s="232" t="s">
        <v>22365</v>
      </c>
      <c r="L1044" s="232" t="s">
        <v>26454</v>
      </c>
      <c r="M1044" s="511"/>
      <c r="N1044" s="232"/>
      <c r="O1044" s="232"/>
      <c r="P1044" s="312"/>
      <c r="Q1044" s="312"/>
      <c r="R1044" s="312"/>
      <c r="S1044" s="312"/>
      <c r="T1044" s="312"/>
      <c r="U1044" s="312"/>
    </row>
    <row r="1045">
      <c r="A1045" s="508" t="s">
        <v>26411</v>
      </c>
      <c r="B1045" s="232" t="s">
        <v>26455</v>
      </c>
      <c r="C1045" s="509" t="s">
        <v>3173</v>
      </c>
      <c r="D1045" s="510" t="s">
        <v>26456</v>
      </c>
      <c r="E1045" s="511"/>
      <c r="F1045" s="232" t="s">
        <v>26457</v>
      </c>
      <c r="G1045" s="232" t="s">
        <v>26458</v>
      </c>
      <c r="H1045" s="232">
        <v>8.05050488E9</v>
      </c>
      <c r="I1045" s="509" t="s">
        <v>22851</v>
      </c>
      <c r="J1045" s="232" t="b">
        <v>0</v>
      </c>
      <c r="K1045" s="232"/>
      <c r="L1045" s="232"/>
      <c r="M1045" s="511"/>
      <c r="N1045" s="232"/>
      <c r="O1045" s="232"/>
      <c r="P1045" s="312"/>
      <c r="Q1045" s="312"/>
      <c r="R1045" s="312"/>
      <c r="S1045" s="312"/>
      <c r="T1045" s="312"/>
      <c r="U1045" s="312"/>
    </row>
    <row r="1046">
      <c r="A1046" s="508" t="s">
        <v>26411</v>
      </c>
      <c r="B1046" s="232" t="s">
        <v>26459</v>
      </c>
      <c r="C1046" s="509" t="s">
        <v>26460</v>
      </c>
      <c r="D1046" s="510"/>
      <c r="E1046" s="511"/>
      <c r="F1046" s="232" t="s">
        <v>26461</v>
      </c>
      <c r="G1046" s="232" t="s">
        <v>15041</v>
      </c>
      <c r="H1046" s="232">
        <v>8.446747735E9</v>
      </c>
      <c r="I1046" s="509" t="s">
        <v>22860</v>
      </c>
      <c r="J1046" s="232" t="b">
        <v>0</v>
      </c>
      <c r="K1046" s="232" t="s">
        <v>22365</v>
      </c>
      <c r="L1046" s="232" t="s">
        <v>26462</v>
      </c>
      <c r="M1046" s="511"/>
      <c r="N1046" s="232"/>
      <c r="O1046" s="232"/>
      <c r="P1046" s="312"/>
      <c r="Q1046" s="312"/>
      <c r="R1046" s="312"/>
      <c r="S1046" s="312"/>
      <c r="T1046" s="312"/>
      <c r="U1046" s="312"/>
    </row>
    <row r="1047">
      <c r="A1047" s="508" t="s">
        <v>26463</v>
      </c>
      <c r="B1047" s="232" t="s">
        <v>26464</v>
      </c>
      <c r="C1047" s="509" t="s">
        <v>26465</v>
      </c>
      <c r="D1047" s="510"/>
      <c r="E1047" s="511"/>
      <c r="F1047" s="232" t="s">
        <v>26466</v>
      </c>
      <c r="G1047" s="232" t="s">
        <v>25699</v>
      </c>
      <c r="H1047" s="232">
        <v>9.867858812E9</v>
      </c>
      <c r="I1047" s="509" t="s">
        <v>23845</v>
      </c>
      <c r="J1047" s="232" t="b">
        <v>0</v>
      </c>
      <c r="K1047" s="232"/>
      <c r="L1047" s="232"/>
      <c r="M1047" s="511"/>
      <c r="N1047" s="232"/>
      <c r="O1047" s="232"/>
      <c r="P1047" s="312"/>
      <c r="Q1047" s="312"/>
      <c r="R1047" s="312"/>
      <c r="S1047" s="312"/>
      <c r="T1047" s="312"/>
      <c r="U1047" s="312"/>
    </row>
    <row r="1048">
      <c r="A1048" s="508" t="s">
        <v>26463</v>
      </c>
      <c r="B1048" s="232" t="s">
        <v>26467</v>
      </c>
      <c r="C1048" s="509" t="s">
        <v>26468</v>
      </c>
      <c r="D1048" s="510" t="s">
        <v>26469</v>
      </c>
      <c r="E1048" s="511"/>
      <c r="F1048" s="232" t="s">
        <v>26470</v>
      </c>
      <c r="G1048" s="232" t="s">
        <v>26471</v>
      </c>
      <c r="H1048" s="232">
        <v>8.250162501E9</v>
      </c>
      <c r="I1048" s="509" t="s">
        <v>19643</v>
      </c>
      <c r="J1048" s="232" t="b">
        <v>0</v>
      </c>
      <c r="K1048" s="232" t="s">
        <v>22365</v>
      </c>
      <c r="L1048" s="232" t="s">
        <v>23537</v>
      </c>
      <c r="M1048" s="511"/>
      <c r="N1048" s="232"/>
      <c r="O1048" s="232"/>
      <c r="P1048" s="312"/>
      <c r="Q1048" s="312"/>
      <c r="R1048" s="312"/>
      <c r="S1048" s="312"/>
      <c r="T1048" s="312"/>
      <c r="U1048" s="312"/>
    </row>
    <row r="1049">
      <c r="A1049" s="508" t="s">
        <v>26463</v>
      </c>
      <c r="B1049" s="232" t="s">
        <v>26472</v>
      </c>
      <c r="C1049" s="509" t="s">
        <v>26473</v>
      </c>
      <c r="D1049" s="510" t="s">
        <v>26474</v>
      </c>
      <c r="E1049" s="511"/>
      <c r="F1049" s="232" t="s">
        <v>26475</v>
      </c>
      <c r="G1049" s="232" t="s">
        <v>44</v>
      </c>
      <c r="H1049" s="232">
        <v>8.918659417E9</v>
      </c>
      <c r="I1049" s="509" t="s">
        <v>26476</v>
      </c>
      <c r="J1049" s="232" t="b">
        <v>0</v>
      </c>
      <c r="K1049" s="232" t="s">
        <v>22365</v>
      </c>
      <c r="L1049" s="232" t="s">
        <v>24488</v>
      </c>
      <c r="M1049" s="511"/>
      <c r="N1049" s="232"/>
      <c r="O1049" s="232"/>
      <c r="P1049" s="312"/>
      <c r="Q1049" s="312"/>
      <c r="R1049" s="312"/>
      <c r="S1049" s="312"/>
      <c r="T1049" s="312"/>
      <c r="U1049" s="312"/>
    </row>
    <row r="1050">
      <c r="A1050" s="508" t="s">
        <v>26463</v>
      </c>
      <c r="B1050" s="232" t="s">
        <v>26477</v>
      </c>
      <c r="C1050" s="509" t="s">
        <v>26478</v>
      </c>
      <c r="D1050" s="511"/>
      <c r="E1050" s="511"/>
      <c r="F1050" s="232"/>
      <c r="G1050" s="232" t="s">
        <v>7995</v>
      </c>
      <c r="H1050" s="232">
        <v>9.892972119E9</v>
      </c>
      <c r="I1050" s="509" t="s">
        <v>24052</v>
      </c>
      <c r="J1050" s="232" t="b">
        <v>0</v>
      </c>
      <c r="K1050" s="232" t="s">
        <v>22355</v>
      </c>
      <c r="L1050" s="232"/>
      <c r="M1050" s="511"/>
      <c r="N1050" s="232"/>
      <c r="O1050" s="232"/>
      <c r="P1050" s="312"/>
      <c r="Q1050" s="312"/>
      <c r="R1050" s="312"/>
      <c r="S1050" s="312"/>
      <c r="T1050" s="312"/>
      <c r="U1050" s="312"/>
    </row>
    <row r="1051">
      <c r="A1051" s="508" t="s">
        <v>26463</v>
      </c>
      <c r="B1051" s="232" t="s">
        <v>26479</v>
      </c>
      <c r="C1051" s="509" t="s">
        <v>11535</v>
      </c>
      <c r="D1051" s="511"/>
      <c r="E1051" s="511"/>
      <c r="F1051" s="232"/>
      <c r="G1051" s="232" t="s">
        <v>44</v>
      </c>
      <c r="H1051" s="232">
        <v>8.100352927E9</v>
      </c>
      <c r="I1051" s="509" t="s">
        <v>26480</v>
      </c>
      <c r="J1051" s="232" t="b">
        <v>0</v>
      </c>
      <c r="K1051" s="232" t="s">
        <v>22349</v>
      </c>
      <c r="L1051" s="232" t="s">
        <v>24733</v>
      </c>
      <c r="M1051" s="511"/>
      <c r="N1051" s="232"/>
      <c r="O1051" s="232"/>
      <c r="P1051" s="312"/>
      <c r="Q1051" s="312"/>
      <c r="R1051" s="312"/>
      <c r="S1051" s="312"/>
      <c r="T1051" s="312"/>
      <c r="U1051" s="312"/>
    </row>
    <row r="1052">
      <c r="A1052" s="508" t="s">
        <v>26463</v>
      </c>
      <c r="B1052" s="232" t="s">
        <v>26481</v>
      </c>
      <c r="C1052" s="509" t="s">
        <v>26482</v>
      </c>
      <c r="D1052" s="510" t="s">
        <v>26483</v>
      </c>
      <c r="E1052" s="511"/>
      <c r="F1052" s="232" t="s">
        <v>26484</v>
      </c>
      <c r="G1052" s="232" t="s">
        <v>22348</v>
      </c>
      <c r="H1052" s="232">
        <v>9.334492329E9</v>
      </c>
      <c r="I1052" s="509" t="s">
        <v>26485</v>
      </c>
      <c r="J1052" s="232" t="b">
        <v>0</v>
      </c>
      <c r="K1052" s="232"/>
      <c r="L1052" s="232"/>
      <c r="M1052" s="511"/>
      <c r="N1052" s="232"/>
      <c r="O1052" s="232"/>
      <c r="P1052" s="312"/>
      <c r="Q1052" s="312"/>
      <c r="R1052" s="312"/>
      <c r="S1052" s="312"/>
      <c r="T1052" s="312"/>
      <c r="U1052" s="312"/>
    </row>
    <row r="1053">
      <c r="A1053" s="508" t="s">
        <v>26463</v>
      </c>
      <c r="B1053" s="232" t="s">
        <v>26486</v>
      </c>
      <c r="C1053" s="509" t="s">
        <v>26487</v>
      </c>
      <c r="D1053" s="511"/>
      <c r="E1053" s="511"/>
      <c r="F1053" s="232" t="s">
        <v>26488</v>
      </c>
      <c r="G1053" s="232" t="s">
        <v>2682</v>
      </c>
      <c r="H1053" s="232">
        <v>7.760842893E9</v>
      </c>
      <c r="I1053" s="509" t="s">
        <v>23848</v>
      </c>
      <c r="J1053" s="232" t="b">
        <v>0</v>
      </c>
      <c r="K1053" s="232"/>
      <c r="L1053" s="232"/>
      <c r="M1053" s="511"/>
      <c r="N1053" s="232"/>
      <c r="O1053" s="232"/>
      <c r="P1053" s="312"/>
      <c r="Q1053" s="312"/>
      <c r="R1053" s="312"/>
      <c r="S1053" s="312"/>
      <c r="T1053" s="312"/>
      <c r="U1053" s="312"/>
    </row>
    <row r="1054">
      <c r="A1054" s="508" t="s">
        <v>26463</v>
      </c>
      <c r="B1054" s="232" t="s">
        <v>26489</v>
      </c>
      <c r="C1054" s="509" t="s">
        <v>26490</v>
      </c>
      <c r="D1054" s="511"/>
      <c r="E1054" s="511"/>
      <c r="F1054" s="232" t="s">
        <v>26491</v>
      </c>
      <c r="G1054" s="232" t="s">
        <v>22818</v>
      </c>
      <c r="H1054" s="232">
        <v>9.099729252E9</v>
      </c>
      <c r="I1054" s="509" t="s">
        <v>26492</v>
      </c>
      <c r="J1054" s="232" t="b">
        <v>0</v>
      </c>
      <c r="K1054" s="232"/>
      <c r="L1054" s="232"/>
      <c r="M1054" s="511"/>
      <c r="N1054" s="232"/>
      <c r="O1054" s="232"/>
      <c r="P1054" s="312"/>
      <c r="Q1054" s="312"/>
      <c r="R1054" s="312"/>
      <c r="S1054" s="312"/>
      <c r="T1054" s="312"/>
      <c r="U1054" s="312"/>
    </row>
    <row r="1055" ht="27.75" customHeight="1">
      <c r="A1055" s="508" t="s">
        <v>26493</v>
      </c>
      <c r="B1055" s="232" t="s">
        <v>26494</v>
      </c>
      <c r="C1055" s="509" t="s">
        <v>26495</v>
      </c>
      <c r="D1055" s="510" t="s">
        <v>26496</v>
      </c>
      <c r="E1055" s="511"/>
      <c r="F1055" s="232" t="s">
        <v>26497</v>
      </c>
      <c r="G1055" s="232" t="s">
        <v>22844</v>
      </c>
      <c r="H1055" s="232">
        <v>8.16950095E9</v>
      </c>
      <c r="I1055" s="509" t="s">
        <v>22373</v>
      </c>
      <c r="J1055" s="232" t="b">
        <v>0</v>
      </c>
      <c r="K1055" s="232"/>
      <c r="L1055" s="232"/>
      <c r="M1055" s="511"/>
      <c r="N1055" s="232"/>
      <c r="O1055" s="232"/>
      <c r="P1055" s="312"/>
      <c r="Q1055" s="312"/>
      <c r="R1055" s="312"/>
      <c r="S1055" s="312"/>
      <c r="T1055" s="312"/>
      <c r="U1055" s="312"/>
    </row>
    <row r="1056" ht="18.75" customHeight="1">
      <c r="A1056" s="508" t="s">
        <v>26493</v>
      </c>
      <c r="B1056" s="232" t="s">
        <v>26498</v>
      </c>
      <c r="C1056" s="509" t="s">
        <v>26499</v>
      </c>
      <c r="D1056" s="510" t="s">
        <v>26500</v>
      </c>
      <c r="E1056" s="511"/>
      <c r="F1056" s="232" t="s">
        <v>26501</v>
      </c>
      <c r="G1056" s="232" t="s">
        <v>507</v>
      </c>
      <c r="H1056" s="232">
        <v>9.529137637E9</v>
      </c>
      <c r="I1056" s="509" t="s">
        <v>26502</v>
      </c>
      <c r="J1056" s="232" t="b">
        <v>0</v>
      </c>
      <c r="K1056" s="232" t="s">
        <v>22365</v>
      </c>
      <c r="L1056" s="232" t="s">
        <v>26503</v>
      </c>
      <c r="M1056" s="511"/>
      <c r="N1056" s="232"/>
      <c r="O1056" s="232"/>
      <c r="P1056" s="312"/>
      <c r="Q1056" s="312"/>
      <c r="R1056" s="312"/>
      <c r="S1056" s="312"/>
      <c r="T1056" s="312"/>
      <c r="U1056" s="312"/>
    </row>
    <row r="1057">
      <c r="A1057" s="508" t="s">
        <v>26493</v>
      </c>
      <c r="B1057" s="232" t="s">
        <v>26504</v>
      </c>
      <c r="C1057" s="509" t="s">
        <v>26505</v>
      </c>
      <c r="D1057" s="511"/>
      <c r="E1057" s="511"/>
      <c r="F1057" s="232" t="s">
        <v>26506</v>
      </c>
      <c r="G1057" s="232" t="s">
        <v>8364</v>
      </c>
      <c r="H1057" s="232">
        <v>7.908130668E9</v>
      </c>
      <c r="I1057" s="509" t="s">
        <v>24829</v>
      </c>
      <c r="J1057" s="232" t="b">
        <v>0</v>
      </c>
      <c r="K1057" s="232" t="s">
        <v>22355</v>
      </c>
      <c r="L1057" s="232"/>
      <c r="M1057" s="511"/>
      <c r="N1057" s="232"/>
      <c r="O1057" s="232"/>
      <c r="P1057" s="312"/>
      <c r="Q1057" s="312"/>
      <c r="R1057" s="312"/>
      <c r="S1057" s="312"/>
      <c r="T1057" s="312"/>
      <c r="U1057" s="312"/>
    </row>
    <row r="1058">
      <c r="A1058" s="508" t="s">
        <v>26493</v>
      </c>
      <c r="B1058" s="232" t="s">
        <v>26507</v>
      </c>
      <c r="C1058" s="509" t="s">
        <v>26508</v>
      </c>
      <c r="D1058" s="511"/>
      <c r="E1058" s="511"/>
      <c r="F1058" s="232" t="s">
        <v>26509</v>
      </c>
      <c r="G1058" s="232" t="s">
        <v>12469</v>
      </c>
      <c r="H1058" s="232">
        <v>9.746739163E9</v>
      </c>
      <c r="I1058" s="509" t="s">
        <v>26510</v>
      </c>
      <c r="J1058" s="232" t="b">
        <v>0</v>
      </c>
      <c r="K1058" s="232" t="s">
        <v>22365</v>
      </c>
      <c r="M1058" s="511"/>
      <c r="N1058" s="232"/>
      <c r="O1058" s="232"/>
      <c r="P1058" s="312"/>
      <c r="Q1058" s="312"/>
      <c r="R1058" s="312"/>
      <c r="S1058" s="312"/>
      <c r="T1058" s="312"/>
      <c r="U1058" s="312"/>
    </row>
    <row r="1059">
      <c r="A1059" s="508" t="s">
        <v>26493</v>
      </c>
      <c r="B1059" s="232" t="s">
        <v>26511</v>
      </c>
      <c r="C1059" s="509" t="s">
        <v>26512</v>
      </c>
      <c r="D1059" s="511"/>
      <c r="E1059" s="511"/>
      <c r="F1059" s="232" t="s">
        <v>26513</v>
      </c>
      <c r="G1059" s="232" t="s">
        <v>26514</v>
      </c>
      <c r="H1059" s="232">
        <v>7.586986058E9</v>
      </c>
      <c r="I1059" s="509" t="s">
        <v>26515</v>
      </c>
      <c r="J1059" s="232" t="b">
        <v>0</v>
      </c>
      <c r="K1059" s="232" t="s">
        <v>22349</v>
      </c>
      <c r="L1059" s="232" t="s">
        <v>23537</v>
      </c>
      <c r="M1059" s="511"/>
      <c r="N1059" s="232"/>
      <c r="O1059" s="232"/>
      <c r="P1059" s="312"/>
      <c r="Q1059" s="312"/>
      <c r="R1059" s="312"/>
      <c r="S1059" s="312"/>
      <c r="T1059" s="312"/>
      <c r="U1059" s="312"/>
    </row>
    <row r="1060">
      <c r="A1060" s="520">
        <v>45261.0</v>
      </c>
      <c r="B1060" s="232" t="s">
        <v>26516</v>
      </c>
      <c r="C1060" s="509" t="s">
        <v>26517</v>
      </c>
      <c r="D1060" s="511"/>
      <c r="E1060" s="511"/>
      <c r="F1060" s="232" t="s">
        <v>26518</v>
      </c>
      <c r="G1060" s="232" t="s">
        <v>2882</v>
      </c>
      <c r="H1060" s="232">
        <v>9.050084884E9</v>
      </c>
      <c r="I1060" s="509" t="s">
        <v>22364</v>
      </c>
      <c r="J1060" s="232" t="b">
        <v>0</v>
      </c>
      <c r="K1060" s="232" t="s">
        <v>22349</v>
      </c>
      <c r="L1060" s="232" t="s">
        <v>24733</v>
      </c>
      <c r="M1060" s="511"/>
      <c r="N1060" s="232"/>
      <c r="O1060" s="232"/>
      <c r="P1060" s="312"/>
      <c r="Q1060" s="312"/>
      <c r="R1060" s="312"/>
      <c r="S1060" s="312"/>
      <c r="T1060" s="312"/>
      <c r="U1060" s="312"/>
    </row>
    <row r="1061">
      <c r="A1061" s="520">
        <v>45261.0</v>
      </c>
      <c r="B1061" s="232" t="s">
        <v>26519</v>
      </c>
      <c r="C1061" s="509" t="s">
        <v>26520</v>
      </c>
      <c r="D1061" s="511"/>
      <c r="E1061" s="511"/>
      <c r="F1061" s="232" t="s">
        <v>26521</v>
      </c>
      <c r="G1061" s="232" t="s">
        <v>22292</v>
      </c>
      <c r="H1061" s="232">
        <v>9.518342379E9</v>
      </c>
      <c r="I1061" s="509" t="s">
        <v>22354</v>
      </c>
      <c r="J1061" s="232" t="b">
        <v>0</v>
      </c>
      <c r="K1061" s="232" t="s">
        <v>22349</v>
      </c>
      <c r="L1061" s="526" t="s">
        <v>24733</v>
      </c>
      <c r="M1061" s="511"/>
      <c r="N1061" s="232"/>
      <c r="O1061" s="232"/>
      <c r="P1061" s="312"/>
      <c r="Q1061" s="312"/>
      <c r="R1061" s="312"/>
      <c r="S1061" s="312"/>
      <c r="T1061" s="312"/>
      <c r="U1061" s="312"/>
    </row>
    <row r="1062">
      <c r="A1062" s="520">
        <v>45261.0</v>
      </c>
      <c r="B1062" s="232" t="s">
        <v>26522</v>
      </c>
      <c r="C1062" s="509" t="s">
        <v>26523</v>
      </c>
      <c r="D1062" s="511"/>
      <c r="E1062" s="511"/>
      <c r="F1062" s="232"/>
      <c r="G1062" s="232" t="s">
        <v>26364</v>
      </c>
      <c r="H1062" s="232">
        <v>9.435043808E9</v>
      </c>
      <c r="I1062" s="509" t="s">
        <v>22698</v>
      </c>
      <c r="J1062" s="232" t="b">
        <v>0</v>
      </c>
      <c r="K1062" s="232" t="s">
        <v>22349</v>
      </c>
      <c r="L1062" s="232" t="s">
        <v>23977</v>
      </c>
      <c r="M1062" s="511"/>
      <c r="N1062" s="232"/>
      <c r="O1062" s="232"/>
      <c r="P1062" s="312"/>
      <c r="Q1062" s="312"/>
      <c r="R1062" s="312"/>
      <c r="S1062" s="312"/>
      <c r="T1062" s="312"/>
      <c r="U1062" s="312"/>
    </row>
    <row r="1063">
      <c r="A1063" s="520">
        <v>45261.0</v>
      </c>
      <c r="B1063" s="232" t="s">
        <v>26524</v>
      </c>
      <c r="C1063" s="509" t="s">
        <v>26525</v>
      </c>
      <c r="D1063" s="510" t="s">
        <v>26526</v>
      </c>
      <c r="E1063" s="511"/>
      <c r="F1063" s="232" t="s">
        <v>26527</v>
      </c>
      <c r="G1063" s="232" t="s">
        <v>22592</v>
      </c>
      <c r="H1063" s="232">
        <v>9.168147122E9</v>
      </c>
      <c r="I1063" s="509" t="s">
        <v>26528</v>
      </c>
      <c r="J1063" s="232" t="b">
        <v>0</v>
      </c>
      <c r="K1063" s="232" t="s">
        <v>22365</v>
      </c>
      <c r="L1063" s="232" t="s">
        <v>25172</v>
      </c>
      <c r="M1063" s="511"/>
      <c r="N1063" s="232"/>
      <c r="O1063" s="232"/>
      <c r="P1063" s="312"/>
      <c r="Q1063" s="312"/>
      <c r="R1063" s="312"/>
      <c r="S1063" s="312"/>
      <c r="T1063" s="312"/>
      <c r="U1063" s="312"/>
    </row>
    <row r="1064">
      <c r="A1064" s="520">
        <v>45261.0</v>
      </c>
      <c r="B1064" s="232" t="s">
        <v>26529</v>
      </c>
      <c r="C1064" s="509" t="s">
        <v>26530</v>
      </c>
      <c r="D1064" s="511"/>
      <c r="E1064" s="511"/>
      <c r="F1064" s="232" t="s">
        <v>26531</v>
      </c>
      <c r="G1064" s="232" t="s">
        <v>22507</v>
      </c>
      <c r="H1064" s="232">
        <v>-7.299019899E9</v>
      </c>
      <c r="I1064" s="509" t="s">
        <v>26532</v>
      </c>
      <c r="J1064" s="232" t="b">
        <v>0</v>
      </c>
      <c r="K1064" s="232" t="s">
        <v>22365</v>
      </c>
      <c r="L1064" s="232" t="s">
        <v>23537</v>
      </c>
      <c r="M1064" s="511"/>
      <c r="N1064" s="232"/>
      <c r="O1064" s="232"/>
      <c r="P1064" s="312"/>
      <c r="Q1064" s="312"/>
      <c r="R1064" s="312"/>
      <c r="S1064" s="312"/>
      <c r="T1064" s="312"/>
      <c r="U1064" s="312"/>
    </row>
    <row r="1065">
      <c r="A1065" s="520">
        <v>45261.0</v>
      </c>
      <c r="B1065" s="232" t="s">
        <v>26533</v>
      </c>
      <c r="C1065" s="509" t="s">
        <v>26534</v>
      </c>
      <c r="D1065" s="511"/>
      <c r="E1065" s="511"/>
      <c r="F1065" s="232" t="s">
        <v>26535</v>
      </c>
      <c r="G1065" s="232" t="s">
        <v>2662</v>
      </c>
      <c r="H1065" s="232">
        <v>8.012150493E9</v>
      </c>
      <c r="I1065" s="509" t="s">
        <v>26536</v>
      </c>
      <c r="J1065" s="232" t="b">
        <v>0</v>
      </c>
      <c r="K1065" s="232" t="s">
        <v>22365</v>
      </c>
      <c r="L1065" s="232" t="s">
        <v>23537</v>
      </c>
      <c r="M1065" s="511"/>
      <c r="N1065" s="232"/>
      <c r="O1065" s="232"/>
      <c r="P1065" s="312"/>
      <c r="Q1065" s="312"/>
      <c r="R1065" s="312"/>
      <c r="S1065" s="312"/>
      <c r="T1065" s="312"/>
      <c r="U1065" s="312"/>
    </row>
    <row r="1066">
      <c r="A1066" s="520">
        <v>45261.0</v>
      </c>
      <c r="B1066" s="232" t="s">
        <v>26537</v>
      </c>
      <c r="C1066" s="509" t="s">
        <v>26538</v>
      </c>
      <c r="D1066" s="511"/>
      <c r="E1066" s="511"/>
      <c r="F1066" s="232" t="s">
        <v>26539</v>
      </c>
      <c r="G1066" s="232" t="s">
        <v>22479</v>
      </c>
      <c r="H1066" s="232">
        <v>9.793409409E9</v>
      </c>
      <c r="I1066" s="509" t="s">
        <v>22289</v>
      </c>
      <c r="J1066" s="232" t="b">
        <v>0</v>
      </c>
      <c r="K1066" s="232" t="s">
        <v>22355</v>
      </c>
      <c r="L1066" s="232"/>
      <c r="M1066" s="511"/>
      <c r="N1066" s="232"/>
      <c r="O1066" s="232"/>
      <c r="P1066" s="312"/>
      <c r="Q1066" s="312"/>
      <c r="R1066" s="312"/>
      <c r="S1066" s="312"/>
      <c r="T1066" s="312"/>
      <c r="U1066" s="312"/>
    </row>
    <row r="1067">
      <c r="A1067" s="520">
        <v>45261.0</v>
      </c>
      <c r="B1067" s="232" t="s">
        <v>26540</v>
      </c>
      <c r="C1067" s="509" t="s">
        <v>26541</v>
      </c>
      <c r="D1067" s="511"/>
      <c r="E1067" s="511"/>
      <c r="F1067" s="232"/>
      <c r="G1067" s="232" t="s">
        <v>7995</v>
      </c>
      <c r="H1067" s="232">
        <v>8.330932185E9</v>
      </c>
      <c r="I1067" s="509" t="s">
        <v>24052</v>
      </c>
      <c r="J1067" s="232" t="b">
        <v>0</v>
      </c>
      <c r="K1067" s="232"/>
      <c r="L1067" s="232"/>
      <c r="M1067" s="511"/>
      <c r="N1067" s="232"/>
      <c r="O1067" s="232"/>
      <c r="P1067" s="312"/>
      <c r="Q1067" s="312"/>
      <c r="R1067" s="312"/>
      <c r="S1067" s="312"/>
      <c r="T1067" s="312"/>
      <c r="U1067" s="312"/>
    </row>
    <row r="1068">
      <c r="A1068" s="520">
        <v>45261.0</v>
      </c>
      <c r="B1068" s="232" t="s">
        <v>26542</v>
      </c>
      <c r="C1068" s="509" t="s">
        <v>26543</v>
      </c>
      <c r="D1068" s="510" t="s">
        <v>26544</v>
      </c>
      <c r="E1068" s="511"/>
      <c r="F1068" s="232"/>
      <c r="G1068" s="232" t="s">
        <v>25556</v>
      </c>
      <c r="H1068" s="232">
        <v>9.775504719E9</v>
      </c>
      <c r="I1068" s="509" t="s">
        <v>26545</v>
      </c>
      <c r="J1068" s="232" t="b">
        <v>0</v>
      </c>
      <c r="K1068" s="232" t="s">
        <v>22365</v>
      </c>
      <c r="L1068" s="232" t="s">
        <v>23537</v>
      </c>
      <c r="M1068" s="511"/>
      <c r="N1068" s="232"/>
      <c r="O1068" s="232"/>
      <c r="P1068" s="312"/>
      <c r="Q1068" s="312"/>
      <c r="R1068" s="312"/>
      <c r="S1068" s="312"/>
      <c r="T1068" s="312"/>
      <c r="U1068" s="312"/>
    </row>
    <row r="1069">
      <c r="A1069" s="520">
        <v>45231.0</v>
      </c>
      <c r="B1069" s="232" t="s">
        <v>26546</v>
      </c>
      <c r="C1069" s="509" t="s">
        <v>12834</v>
      </c>
      <c r="D1069" s="510" t="s">
        <v>26547</v>
      </c>
      <c r="E1069" s="511"/>
      <c r="F1069" s="232" t="s">
        <v>26548</v>
      </c>
      <c r="G1069" s="232" t="s">
        <v>467</v>
      </c>
      <c r="H1069" s="232">
        <v>8.09019377E9</v>
      </c>
      <c r="I1069" s="509" t="s">
        <v>22961</v>
      </c>
      <c r="J1069" s="232" t="b">
        <v>0</v>
      </c>
      <c r="K1069" s="232" t="s">
        <v>22365</v>
      </c>
      <c r="L1069" s="232" t="s">
        <v>23537</v>
      </c>
      <c r="M1069" s="511"/>
      <c r="N1069" s="232"/>
      <c r="O1069" s="232"/>
      <c r="P1069" s="312"/>
      <c r="Q1069" s="312"/>
      <c r="R1069" s="312"/>
      <c r="S1069" s="312"/>
      <c r="T1069" s="312"/>
      <c r="U1069" s="312"/>
    </row>
    <row r="1070">
      <c r="A1070" s="520">
        <v>45231.0</v>
      </c>
      <c r="B1070" s="232" t="s">
        <v>26549</v>
      </c>
      <c r="C1070" s="509" t="s">
        <v>26550</v>
      </c>
      <c r="D1070" s="510" t="s">
        <v>26551</v>
      </c>
      <c r="E1070" s="511"/>
      <c r="F1070" s="232" t="s">
        <v>26552</v>
      </c>
      <c r="G1070" s="232" t="s">
        <v>26553</v>
      </c>
      <c r="H1070" s="232">
        <v>-9.766006143E9</v>
      </c>
      <c r="I1070" s="509" t="s">
        <v>26179</v>
      </c>
      <c r="J1070" s="232" t="b">
        <v>0</v>
      </c>
      <c r="K1070" s="232" t="s">
        <v>22365</v>
      </c>
      <c r="L1070" s="232"/>
      <c r="M1070" s="511"/>
      <c r="N1070" s="232"/>
      <c r="O1070" s="232"/>
      <c r="P1070" s="312"/>
      <c r="Q1070" s="312"/>
      <c r="R1070" s="312"/>
      <c r="S1070" s="312"/>
      <c r="T1070" s="312"/>
      <c r="U1070" s="312"/>
    </row>
    <row r="1071">
      <c r="A1071" s="520">
        <v>45231.0</v>
      </c>
      <c r="B1071" s="232" t="s">
        <v>26554</v>
      </c>
      <c r="C1071" s="509" t="s">
        <v>26555</v>
      </c>
      <c r="D1071" s="510" t="s">
        <v>26556</v>
      </c>
      <c r="E1071" s="511"/>
      <c r="F1071" s="232" t="s">
        <v>26557</v>
      </c>
      <c r="G1071" s="232" t="s">
        <v>26558</v>
      </c>
      <c r="H1071" s="232">
        <v>8.348434041E9</v>
      </c>
      <c r="I1071" s="509" t="s">
        <v>25714</v>
      </c>
      <c r="J1071" s="232" t="b">
        <v>0</v>
      </c>
      <c r="K1071" s="232" t="s">
        <v>22365</v>
      </c>
      <c r="L1071" s="232" t="s">
        <v>26084</v>
      </c>
      <c r="M1071" s="511"/>
      <c r="N1071" s="232"/>
      <c r="O1071" s="232"/>
      <c r="P1071" s="312"/>
      <c r="Q1071" s="312"/>
      <c r="R1071" s="312"/>
      <c r="S1071" s="312"/>
      <c r="T1071" s="312"/>
      <c r="U1071" s="312"/>
    </row>
    <row r="1072">
      <c r="A1072" s="520">
        <v>45231.0</v>
      </c>
      <c r="B1072" s="232" t="s">
        <v>26559</v>
      </c>
      <c r="C1072" s="509" t="s">
        <v>15746</v>
      </c>
      <c r="D1072" s="510" t="s">
        <v>26560</v>
      </c>
      <c r="E1072" s="511"/>
      <c r="F1072" s="232" t="s">
        <v>26561</v>
      </c>
      <c r="G1072" s="232" t="s">
        <v>467</v>
      </c>
      <c r="H1072" s="232">
        <v>9.1700096E9</v>
      </c>
      <c r="I1072" s="509" t="s">
        <v>26562</v>
      </c>
      <c r="J1072" s="232" t="b">
        <v>0</v>
      </c>
      <c r="K1072" s="232" t="s">
        <v>22349</v>
      </c>
      <c r="L1072" s="232" t="s">
        <v>26563</v>
      </c>
      <c r="M1072" s="511"/>
      <c r="N1072" s="232"/>
      <c r="O1072" s="232"/>
      <c r="P1072" s="312"/>
      <c r="Q1072" s="312"/>
      <c r="R1072" s="312"/>
      <c r="S1072" s="312"/>
      <c r="T1072" s="312"/>
      <c r="U1072" s="312"/>
    </row>
    <row r="1073">
      <c r="A1073" s="520">
        <v>45231.0</v>
      </c>
      <c r="B1073" s="232" t="s">
        <v>26564</v>
      </c>
      <c r="C1073" s="509" t="s">
        <v>26565</v>
      </c>
      <c r="D1073" s="510" t="s">
        <v>26566</v>
      </c>
      <c r="E1073" s="511"/>
      <c r="F1073" s="232" t="s">
        <v>26567</v>
      </c>
      <c r="G1073" s="232" t="s">
        <v>519</v>
      </c>
      <c r="H1073" s="232">
        <v>9.66459197E9</v>
      </c>
      <c r="I1073" s="509" t="s">
        <v>26568</v>
      </c>
      <c r="J1073" s="232" t="b">
        <v>0</v>
      </c>
      <c r="K1073" s="232" t="s">
        <v>22365</v>
      </c>
      <c r="L1073" s="232" t="s">
        <v>26569</v>
      </c>
      <c r="M1073" s="511"/>
      <c r="N1073" s="232"/>
      <c r="O1073" s="232"/>
      <c r="P1073" s="312"/>
      <c r="Q1073" s="312"/>
      <c r="R1073" s="312"/>
      <c r="S1073" s="312"/>
      <c r="T1073" s="312"/>
      <c r="U1073" s="312"/>
    </row>
    <row r="1074">
      <c r="A1074" s="520">
        <v>45231.0</v>
      </c>
      <c r="B1074" s="232" t="s">
        <v>26570</v>
      </c>
      <c r="C1074" s="509" t="s">
        <v>26571</v>
      </c>
      <c r="D1074" s="510" t="s">
        <v>26572</v>
      </c>
      <c r="E1074" s="511"/>
      <c r="F1074" s="232" t="s">
        <v>26573</v>
      </c>
      <c r="G1074" s="232" t="s">
        <v>981</v>
      </c>
      <c r="H1074" s="232">
        <v>8.250476442E9</v>
      </c>
      <c r="I1074" s="509" t="s">
        <v>26574</v>
      </c>
      <c r="J1074" s="232" t="b">
        <v>0</v>
      </c>
      <c r="K1074" s="232" t="s">
        <v>22365</v>
      </c>
      <c r="L1074" s="232" t="s">
        <v>24110</v>
      </c>
      <c r="M1074" s="511"/>
      <c r="N1074" s="232"/>
      <c r="O1074" s="232"/>
      <c r="P1074" s="312"/>
      <c r="Q1074" s="312"/>
      <c r="R1074" s="312"/>
      <c r="S1074" s="312"/>
      <c r="T1074" s="312"/>
      <c r="U1074" s="312"/>
    </row>
    <row r="1075">
      <c r="A1075" s="520">
        <v>45231.0</v>
      </c>
      <c r="B1075" s="232" t="s">
        <v>26575</v>
      </c>
      <c r="C1075" s="509" t="s">
        <v>26576</v>
      </c>
      <c r="D1075" s="511"/>
      <c r="E1075" s="511"/>
      <c r="F1075" s="232" t="s">
        <v>26577</v>
      </c>
      <c r="G1075" s="232" t="s">
        <v>467</v>
      </c>
      <c r="H1075" s="232">
        <v>6.393175673E9</v>
      </c>
      <c r="I1075" s="509" t="s">
        <v>26578</v>
      </c>
      <c r="J1075" s="232" t="b">
        <v>0</v>
      </c>
      <c r="K1075" s="232" t="s">
        <v>22365</v>
      </c>
      <c r="L1075" s="232" t="s">
        <v>26420</v>
      </c>
      <c r="M1075" s="511"/>
      <c r="N1075" s="232"/>
      <c r="O1075" s="232"/>
      <c r="P1075" s="312"/>
      <c r="Q1075" s="312"/>
      <c r="R1075" s="312"/>
      <c r="S1075" s="312"/>
      <c r="T1075" s="312"/>
      <c r="U1075" s="312"/>
    </row>
    <row r="1076">
      <c r="A1076" s="520">
        <v>45231.0</v>
      </c>
      <c r="B1076" s="232" t="s">
        <v>26579</v>
      </c>
      <c r="C1076" s="509" t="s">
        <v>26580</v>
      </c>
      <c r="D1076" s="511"/>
      <c r="E1076" s="511"/>
      <c r="F1076" s="232" t="s">
        <v>26581</v>
      </c>
      <c r="G1076" s="232" t="s">
        <v>22742</v>
      </c>
      <c r="H1076" s="232">
        <v>7.735470061E9</v>
      </c>
      <c r="I1076" s="509" t="s">
        <v>26582</v>
      </c>
      <c r="J1076" s="232" t="b">
        <v>0</v>
      </c>
      <c r="K1076" s="232"/>
      <c r="L1076" s="232"/>
      <c r="M1076" s="511"/>
      <c r="N1076" s="232"/>
      <c r="O1076" s="232"/>
      <c r="P1076" s="312"/>
      <c r="Q1076" s="312"/>
      <c r="R1076" s="312"/>
      <c r="S1076" s="312"/>
      <c r="T1076" s="312"/>
      <c r="U1076" s="312"/>
    </row>
    <row r="1077">
      <c r="A1077" s="520">
        <v>45231.0</v>
      </c>
      <c r="B1077" s="232" t="s">
        <v>26583</v>
      </c>
      <c r="C1077" s="509" t="s">
        <v>26584</v>
      </c>
      <c r="D1077" s="510" t="s">
        <v>26585</v>
      </c>
      <c r="E1077" s="511"/>
      <c r="F1077" s="232" t="s">
        <v>26586</v>
      </c>
      <c r="G1077" s="232" t="s">
        <v>22592</v>
      </c>
      <c r="H1077" s="232">
        <v>9.579316684E9</v>
      </c>
      <c r="I1077" s="509" t="s">
        <v>26587</v>
      </c>
      <c r="J1077" s="232" t="b">
        <v>0</v>
      </c>
      <c r="K1077" s="232" t="s">
        <v>22365</v>
      </c>
      <c r="L1077" s="232" t="s">
        <v>23537</v>
      </c>
      <c r="M1077" s="511"/>
      <c r="N1077" s="232"/>
      <c r="O1077" s="232"/>
      <c r="P1077" s="312"/>
      <c r="Q1077" s="312"/>
      <c r="R1077" s="312"/>
      <c r="S1077" s="312"/>
      <c r="T1077" s="312"/>
      <c r="U1077" s="312"/>
    </row>
    <row r="1078">
      <c r="A1078" s="520">
        <v>45231.0</v>
      </c>
      <c r="B1078" s="232" t="s">
        <v>26588</v>
      </c>
      <c r="C1078" s="509" t="s">
        <v>26589</v>
      </c>
      <c r="D1078" s="511"/>
      <c r="E1078" s="511"/>
      <c r="F1078" s="232" t="s">
        <v>26590</v>
      </c>
      <c r="G1078" s="232" t="s">
        <v>22742</v>
      </c>
      <c r="H1078" s="232">
        <v>9.178689304E9</v>
      </c>
      <c r="I1078" s="509" t="s">
        <v>26591</v>
      </c>
      <c r="J1078" s="232" t="b">
        <v>0</v>
      </c>
      <c r="K1078" s="232" t="s">
        <v>22365</v>
      </c>
      <c r="L1078" s="232" t="s">
        <v>26420</v>
      </c>
      <c r="M1078" s="511"/>
      <c r="N1078" s="232"/>
      <c r="O1078" s="232"/>
      <c r="P1078" s="312"/>
      <c r="Q1078" s="312"/>
      <c r="R1078" s="312"/>
      <c r="S1078" s="312"/>
      <c r="T1078" s="312"/>
      <c r="U1078" s="312"/>
    </row>
    <row r="1079">
      <c r="A1079" s="520">
        <v>45231.0</v>
      </c>
      <c r="B1079" s="232" t="s">
        <v>26592</v>
      </c>
      <c r="C1079" s="509" t="s">
        <v>26593</v>
      </c>
      <c r="D1079" s="511"/>
      <c r="E1079" s="511"/>
      <c r="F1079" s="232"/>
      <c r="G1079" s="232" t="s">
        <v>22592</v>
      </c>
      <c r="H1079" s="232">
        <v>7.620868194E9</v>
      </c>
      <c r="I1079" s="509" t="s">
        <v>22577</v>
      </c>
      <c r="J1079" s="232" t="b">
        <v>0</v>
      </c>
      <c r="K1079" s="232" t="s">
        <v>22365</v>
      </c>
      <c r="L1079" s="232" t="s">
        <v>24488</v>
      </c>
      <c r="M1079" s="511"/>
      <c r="N1079" s="232"/>
      <c r="O1079" s="232"/>
      <c r="P1079" s="312"/>
      <c r="Q1079" s="312"/>
      <c r="R1079" s="312"/>
      <c r="S1079" s="312"/>
      <c r="T1079" s="312"/>
      <c r="U1079" s="312"/>
    </row>
    <row r="1080">
      <c r="A1080" s="520">
        <v>45231.0</v>
      </c>
      <c r="B1080" s="232" t="s">
        <v>26594</v>
      </c>
      <c r="C1080" s="509" t="s">
        <v>11535</v>
      </c>
      <c r="D1080" s="511"/>
      <c r="E1080" s="511"/>
      <c r="F1080" s="232"/>
      <c r="G1080" s="232" t="s">
        <v>23823</v>
      </c>
      <c r="H1080" s="232">
        <v>9.69285478E9</v>
      </c>
      <c r="I1080" s="509" t="s">
        <v>26595</v>
      </c>
      <c r="J1080" s="232" t="b">
        <v>0</v>
      </c>
      <c r="K1080" s="232" t="s">
        <v>22349</v>
      </c>
      <c r="L1080" s="232" t="s">
        <v>23793</v>
      </c>
      <c r="M1080" s="511"/>
      <c r="N1080" s="232"/>
      <c r="O1080" s="232"/>
      <c r="P1080" s="312"/>
      <c r="Q1080" s="312"/>
      <c r="R1080" s="312"/>
      <c r="S1080" s="312"/>
      <c r="T1080" s="312"/>
      <c r="U1080" s="312"/>
    </row>
    <row r="1081">
      <c r="A1081" s="520">
        <v>45231.0</v>
      </c>
      <c r="B1081" s="232" t="s">
        <v>26596</v>
      </c>
      <c r="C1081" s="509" t="s">
        <v>26597</v>
      </c>
      <c r="D1081" s="511"/>
      <c r="E1081" s="511"/>
      <c r="F1081" s="232" t="s">
        <v>26598</v>
      </c>
      <c r="G1081" s="232" t="s">
        <v>44</v>
      </c>
      <c r="H1081" s="232">
        <v>7.000537288E9</v>
      </c>
      <c r="I1081" s="509" t="s">
        <v>22289</v>
      </c>
      <c r="J1081" s="232" t="b">
        <v>0</v>
      </c>
      <c r="K1081" s="232" t="s">
        <v>22355</v>
      </c>
      <c r="L1081" s="232"/>
      <c r="M1081" s="511"/>
      <c r="N1081" s="232"/>
      <c r="O1081" s="232"/>
      <c r="P1081" s="312"/>
      <c r="Q1081" s="312"/>
      <c r="R1081" s="312"/>
      <c r="S1081" s="312"/>
      <c r="T1081" s="312"/>
      <c r="U1081" s="312"/>
    </row>
    <row r="1082">
      <c r="A1082" s="520">
        <v>45231.0</v>
      </c>
      <c r="B1082" s="232" t="s">
        <v>26599</v>
      </c>
      <c r="C1082" s="509" t="s">
        <v>26600</v>
      </c>
      <c r="D1082" s="511"/>
      <c r="E1082" s="511"/>
      <c r="F1082" s="232" t="s">
        <v>26601</v>
      </c>
      <c r="G1082" s="232" t="s">
        <v>7995</v>
      </c>
      <c r="H1082" s="232">
        <v>8.879477841E9</v>
      </c>
      <c r="I1082" s="509" t="s">
        <v>26602</v>
      </c>
      <c r="J1082" s="232" t="b">
        <v>0</v>
      </c>
      <c r="K1082" s="232"/>
      <c r="L1082" s="232"/>
      <c r="M1082" s="511"/>
      <c r="N1082" s="232"/>
      <c r="O1082" s="232"/>
      <c r="P1082" s="312"/>
      <c r="Q1082" s="312"/>
      <c r="R1082" s="312"/>
      <c r="S1082" s="312"/>
      <c r="T1082" s="312"/>
      <c r="U1082" s="312"/>
    </row>
    <row r="1083">
      <c r="A1083" s="520">
        <v>45200.0</v>
      </c>
      <c r="B1083" s="232" t="s">
        <v>26603</v>
      </c>
      <c r="C1083" s="509" t="s">
        <v>26604</v>
      </c>
      <c r="D1083" s="511"/>
      <c r="E1083" s="511"/>
      <c r="F1083" s="232" t="s">
        <v>26605</v>
      </c>
      <c r="G1083" s="232" t="s">
        <v>742</v>
      </c>
      <c r="H1083" s="232">
        <v>9.701763129E9</v>
      </c>
      <c r="I1083" s="509" t="s">
        <v>22841</v>
      </c>
      <c r="J1083" s="232" t="b">
        <v>0</v>
      </c>
      <c r="K1083" s="232" t="s">
        <v>22365</v>
      </c>
      <c r="L1083" s="232" t="s">
        <v>26606</v>
      </c>
      <c r="M1083" s="511"/>
      <c r="N1083" s="232"/>
      <c r="O1083" s="232"/>
      <c r="P1083" s="312"/>
      <c r="Q1083" s="312"/>
      <c r="R1083" s="312"/>
      <c r="S1083" s="312"/>
      <c r="T1083" s="312"/>
      <c r="U1083" s="312"/>
    </row>
    <row r="1084">
      <c r="A1084" s="520">
        <v>45200.0</v>
      </c>
      <c r="B1084" s="232" t="s">
        <v>26607</v>
      </c>
      <c r="C1084" s="509" t="s">
        <v>26608</v>
      </c>
      <c r="D1084" s="510" t="s">
        <v>26609</v>
      </c>
      <c r="E1084" s="511"/>
      <c r="F1084" s="232" t="s">
        <v>26610</v>
      </c>
      <c r="G1084" s="232" t="s">
        <v>467</v>
      </c>
      <c r="H1084" s="232">
        <v>8.924966853E9</v>
      </c>
      <c r="I1084" s="509" t="s">
        <v>26611</v>
      </c>
      <c r="J1084" s="232" t="b">
        <v>0</v>
      </c>
      <c r="K1084" s="232" t="s">
        <v>334</v>
      </c>
      <c r="L1084" s="232"/>
      <c r="M1084" s="511"/>
      <c r="N1084" s="232"/>
      <c r="O1084" s="232"/>
      <c r="P1084" s="312"/>
      <c r="Q1084" s="312"/>
      <c r="R1084" s="312"/>
      <c r="S1084" s="312"/>
      <c r="T1084" s="312"/>
      <c r="U1084" s="312"/>
    </row>
    <row r="1085">
      <c r="A1085" s="520">
        <v>45200.0</v>
      </c>
      <c r="B1085" s="232" t="s">
        <v>26612</v>
      </c>
      <c r="C1085" s="509" t="s">
        <v>26613</v>
      </c>
      <c r="D1085" s="511"/>
      <c r="E1085" s="511"/>
      <c r="F1085" s="232" t="s">
        <v>26614</v>
      </c>
      <c r="G1085" s="232" t="s">
        <v>26615</v>
      </c>
      <c r="H1085" s="232">
        <v>-8.617337093E9</v>
      </c>
      <c r="I1085" s="509" t="s">
        <v>22678</v>
      </c>
      <c r="J1085" s="232" t="b">
        <v>0</v>
      </c>
      <c r="K1085" s="232" t="s">
        <v>12092</v>
      </c>
      <c r="L1085" s="232"/>
      <c r="M1085" s="511"/>
      <c r="N1085" s="232"/>
      <c r="O1085" s="232"/>
      <c r="P1085" s="312"/>
      <c r="Q1085" s="312"/>
      <c r="R1085" s="312"/>
      <c r="S1085" s="312"/>
      <c r="T1085" s="312"/>
      <c r="U1085" s="312"/>
    </row>
    <row r="1086">
      <c r="A1086" s="520">
        <v>45200.0</v>
      </c>
      <c r="B1086" s="232" t="s">
        <v>26616</v>
      </c>
      <c r="C1086" s="509" t="s">
        <v>26617</v>
      </c>
      <c r="D1086" s="510" t="s">
        <v>26618</v>
      </c>
      <c r="E1086" s="511"/>
      <c r="F1086" s="232" t="s">
        <v>26619</v>
      </c>
      <c r="G1086" s="232" t="s">
        <v>22844</v>
      </c>
      <c r="H1086" s="232">
        <v>7.058690605E9</v>
      </c>
      <c r="I1086" s="509" t="s">
        <v>22903</v>
      </c>
      <c r="J1086" s="232" t="b">
        <v>0</v>
      </c>
      <c r="K1086" s="232" t="s">
        <v>22355</v>
      </c>
      <c r="L1086" s="232"/>
      <c r="M1086" s="511"/>
      <c r="N1086" s="232"/>
      <c r="O1086" s="232"/>
      <c r="P1086" s="312"/>
      <c r="Q1086" s="312"/>
      <c r="R1086" s="312"/>
      <c r="S1086" s="312"/>
      <c r="T1086" s="312"/>
      <c r="U1086" s="312"/>
    </row>
    <row r="1087">
      <c r="A1087" s="520">
        <v>45200.0</v>
      </c>
      <c r="B1087" s="232" t="s">
        <v>26620</v>
      </c>
      <c r="C1087" s="509" t="s">
        <v>26621</v>
      </c>
      <c r="D1087" s="510" t="s">
        <v>26622</v>
      </c>
      <c r="E1087" s="511"/>
      <c r="F1087" s="232" t="s">
        <v>26623</v>
      </c>
      <c r="G1087" s="232" t="s">
        <v>467</v>
      </c>
      <c r="H1087" s="232">
        <v>8.279572852E9</v>
      </c>
      <c r="I1087" s="509" t="s">
        <v>23252</v>
      </c>
      <c r="J1087" s="232" t="b">
        <v>0</v>
      </c>
      <c r="K1087" s="232" t="s">
        <v>22365</v>
      </c>
      <c r="L1087" s="232" t="s">
        <v>24365</v>
      </c>
      <c r="M1087" s="511"/>
      <c r="N1087" s="232"/>
      <c r="O1087" s="232"/>
      <c r="P1087" s="312"/>
      <c r="Q1087" s="312"/>
      <c r="R1087" s="312"/>
      <c r="S1087" s="312"/>
      <c r="T1087" s="312"/>
      <c r="U1087" s="312"/>
    </row>
    <row r="1088">
      <c r="A1088" s="520">
        <v>45200.0</v>
      </c>
      <c r="B1088" s="232" t="s">
        <v>26624</v>
      </c>
      <c r="C1088" s="509" t="s">
        <v>26625</v>
      </c>
      <c r="D1088" s="510" t="s">
        <v>26626</v>
      </c>
      <c r="E1088" s="511"/>
      <c r="F1088" s="232" t="s">
        <v>26627</v>
      </c>
      <c r="G1088" s="232" t="s">
        <v>467</v>
      </c>
      <c r="H1088" s="232">
        <v>8.534995555E9</v>
      </c>
      <c r="I1088" s="509" t="s">
        <v>23713</v>
      </c>
      <c r="J1088" s="232" t="b">
        <v>0</v>
      </c>
      <c r="K1088" s="232" t="s">
        <v>12092</v>
      </c>
      <c r="L1088" s="232"/>
      <c r="M1088" s="511"/>
      <c r="N1088" s="232"/>
      <c r="O1088" s="232"/>
      <c r="P1088" s="312"/>
      <c r="Q1088" s="312"/>
      <c r="R1088" s="312"/>
      <c r="S1088" s="312"/>
      <c r="T1088" s="312"/>
      <c r="U1088" s="312"/>
    </row>
    <row r="1089">
      <c r="A1089" s="520">
        <v>45200.0</v>
      </c>
      <c r="B1089" s="232" t="s">
        <v>26628</v>
      </c>
      <c r="C1089" s="509" t="s">
        <v>26629</v>
      </c>
      <c r="D1089" s="510" t="s">
        <v>26630</v>
      </c>
      <c r="E1089" s="511"/>
      <c r="F1089" s="232" t="s">
        <v>26631</v>
      </c>
      <c r="G1089" s="232" t="s">
        <v>26632</v>
      </c>
      <c r="H1089" s="232">
        <v>9.778060051E9</v>
      </c>
      <c r="I1089" s="512" t="s">
        <v>26633</v>
      </c>
      <c r="J1089" s="232" t="b">
        <v>0</v>
      </c>
      <c r="K1089" s="232" t="s">
        <v>22365</v>
      </c>
      <c r="L1089" s="232"/>
      <c r="M1089" s="511"/>
      <c r="N1089" s="232"/>
      <c r="O1089" s="232"/>
      <c r="P1089" s="312"/>
      <c r="Q1089" s="312"/>
      <c r="R1089" s="312"/>
      <c r="S1089" s="312"/>
      <c r="T1089" s="312"/>
      <c r="U1089" s="312"/>
    </row>
    <row r="1090">
      <c r="A1090" s="520">
        <v>45200.0</v>
      </c>
      <c r="B1090" s="232" t="s">
        <v>26634</v>
      </c>
      <c r="C1090" s="509" t="s">
        <v>26635</v>
      </c>
      <c r="D1090" s="510" t="s">
        <v>26636</v>
      </c>
      <c r="E1090" s="511"/>
      <c r="F1090" s="232" t="s">
        <v>26637</v>
      </c>
      <c r="G1090" s="232" t="s">
        <v>22292</v>
      </c>
      <c r="H1090" s="232">
        <v>9.768153975E9</v>
      </c>
      <c r="I1090" s="509" t="s">
        <v>26638</v>
      </c>
      <c r="J1090" s="232" t="b">
        <v>0</v>
      </c>
      <c r="K1090" s="232" t="s">
        <v>22365</v>
      </c>
      <c r="L1090" s="232" t="s">
        <v>22422</v>
      </c>
      <c r="M1090" s="511"/>
      <c r="N1090" s="232"/>
      <c r="O1090" s="232"/>
      <c r="P1090" s="312"/>
      <c r="Q1090" s="312"/>
      <c r="R1090" s="312"/>
      <c r="S1090" s="312"/>
      <c r="T1090" s="312"/>
      <c r="U1090" s="312"/>
    </row>
    <row r="1091">
      <c r="A1091" s="520">
        <v>45200.0</v>
      </c>
      <c r="B1091" s="232" t="s">
        <v>26639</v>
      </c>
      <c r="C1091" s="509" t="s">
        <v>26640</v>
      </c>
      <c r="D1091" s="510" t="s">
        <v>26641</v>
      </c>
      <c r="E1091" s="511"/>
      <c r="F1091" s="232"/>
      <c r="G1091" s="232" t="s">
        <v>107</v>
      </c>
      <c r="H1091" s="232">
        <v>9.560979991E9</v>
      </c>
      <c r="I1091" s="509" t="s">
        <v>22373</v>
      </c>
      <c r="J1091" s="232" t="b">
        <v>0</v>
      </c>
      <c r="K1091" s="232" t="s">
        <v>22355</v>
      </c>
      <c r="L1091" s="232"/>
      <c r="M1091" s="511"/>
      <c r="N1091" s="232"/>
      <c r="O1091" s="232"/>
      <c r="P1091" s="312"/>
      <c r="Q1091" s="312"/>
      <c r="R1091" s="312"/>
      <c r="S1091" s="312"/>
      <c r="T1091" s="312"/>
      <c r="U1091" s="312"/>
    </row>
    <row r="1092">
      <c r="A1092" s="520">
        <v>45200.0</v>
      </c>
      <c r="B1092" s="232" t="s">
        <v>26642</v>
      </c>
      <c r="C1092" s="509" t="s">
        <v>19613</v>
      </c>
      <c r="D1092" s="510" t="s">
        <v>26643</v>
      </c>
      <c r="E1092" s="511"/>
      <c r="F1092" s="232" t="s">
        <v>26644</v>
      </c>
      <c r="G1092" s="232" t="s">
        <v>2682</v>
      </c>
      <c r="H1092" s="232">
        <v>9.945955083E9</v>
      </c>
      <c r="I1092" s="509" t="s">
        <v>22577</v>
      </c>
      <c r="J1092" s="232" t="b">
        <v>0</v>
      </c>
      <c r="K1092" s="232" t="s">
        <v>22365</v>
      </c>
      <c r="L1092" s="232"/>
      <c r="M1092" s="511"/>
      <c r="N1092" s="232"/>
      <c r="O1092" s="232"/>
      <c r="P1092" s="312"/>
      <c r="Q1092" s="312"/>
      <c r="R1092" s="312"/>
      <c r="S1092" s="312"/>
      <c r="T1092" s="312"/>
      <c r="U1092" s="312"/>
    </row>
    <row r="1093">
      <c r="A1093" s="520">
        <v>45200.0</v>
      </c>
      <c r="B1093" s="232" t="s">
        <v>26645</v>
      </c>
      <c r="C1093" s="509" t="s">
        <v>3173</v>
      </c>
      <c r="D1093" s="519" t="s">
        <v>26646</v>
      </c>
      <c r="E1093" s="511"/>
      <c r="F1093" s="232" t="s">
        <v>26457</v>
      </c>
      <c r="G1093" s="232" t="s">
        <v>2682</v>
      </c>
      <c r="H1093" s="232">
        <v>8.05050488E9</v>
      </c>
      <c r="I1093" s="509" t="s">
        <v>22672</v>
      </c>
      <c r="J1093" s="232" t="b">
        <v>0</v>
      </c>
      <c r="K1093" s="232" t="s">
        <v>22365</v>
      </c>
      <c r="L1093" s="232" t="s">
        <v>26647</v>
      </c>
      <c r="M1093" s="511"/>
      <c r="N1093" s="232"/>
      <c r="O1093" s="232"/>
      <c r="P1093" s="312"/>
      <c r="Q1093" s="312"/>
      <c r="R1093" s="312"/>
      <c r="S1093" s="312"/>
      <c r="T1093" s="312"/>
      <c r="U1093" s="312"/>
    </row>
    <row r="1094">
      <c r="A1094" s="520">
        <v>45200.0</v>
      </c>
      <c r="B1094" s="232" t="s">
        <v>26648</v>
      </c>
      <c r="C1094" s="509" t="s">
        <v>26649</v>
      </c>
      <c r="D1094" s="511"/>
      <c r="E1094" s="511"/>
      <c r="F1094" s="232" t="s">
        <v>26650</v>
      </c>
      <c r="G1094" s="232" t="s">
        <v>26651</v>
      </c>
      <c r="H1094" s="232">
        <v>9.679836063E9</v>
      </c>
      <c r="I1094" s="509" t="s">
        <v>22373</v>
      </c>
      <c r="J1094" s="232" t="b">
        <v>0</v>
      </c>
      <c r="K1094" s="232" t="s">
        <v>22365</v>
      </c>
      <c r="L1094" s="232" t="s">
        <v>26652</v>
      </c>
      <c r="M1094" s="511"/>
      <c r="N1094" s="232"/>
      <c r="O1094" s="232"/>
      <c r="P1094" s="312"/>
      <c r="Q1094" s="312"/>
      <c r="R1094" s="312"/>
      <c r="S1094" s="312"/>
      <c r="T1094" s="312"/>
      <c r="U1094" s="312"/>
    </row>
    <row r="1095">
      <c r="A1095" s="520">
        <v>45200.0</v>
      </c>
      <c r="B1095" s="232" t="s">
        <v>26653</v>
      </c>
      <c r="C1095" s="509" t="s">
        <v>26654</v>
      </c>
      <c r="D1095" s="511"/>
      <c r="E1095" s="511"/>
      <c r="F1095" s="232" t="s">
        <v>26655</v>
      </c>
      <c r="G1095" s="232" t="s">
        <v>981</v>
      </c>
      <c r="H1095" s="232">
        <v>8.927574163E9</v>
      </c>
      <c r="I1095" s="509" t="s">
        <v>26656</v>
      </c>
      <c r="J1095" s="232" t="b">
        <v>0</v>
      </c>
      <c r="K1095" s="232" t="s">
        <v>22365</v>
      </c>
      <c r="L1095" s="232"/>
      <c r="M1095" s="511"/>
      <c r="N1095" s="232"/>
      <c r="O1095" s="232"/>
      <c r="P1095" s="312"/>
      <c r="Q1095" s="312"/>
      <c r="R1095" s="312"/>
      <c r="S1095" s="312"/>
      <c r="T1095" s="312"/>
      <c r="U1095" s="312"/>
    </row>
    <row r="1096">
      <c r="A1096" s="521">
        <v>45170.0</v>
      </c>
      <c r="B1096" s="514" t="s">
        <v>26657</v>
      </c>
      <c r="C1096" s="515" t="s">
        <v>26658</v>
      </c>
      <c r="D1096" s="517"/>
      <c r="E1096" s="517"/>
      <c r="F1096" s="514"/>
      <c r="G1096" s="514" t="s">
        <v>26659</v>
      </c>
      <c r="H1096" s="514">
        <v>7.080203494E9</v>
      </c>
      <c r="I1096" s="515" t="s">
        <v>26660</v>
      </c>
      <c r="J1096" s="514" t="b">
        <v>0</v>
      </c>
      <c r="K1096" s="514" t="s">
        <v>22312</v>
      </c>
      <c r="L1096" s="518" t="s">
        <v>26661</v>
      </c>
      <c r="M1096" s="511"/>
      <c r="N1096" s="232"/>
      <c r="O1096" s="232"/>
      <c r="P1096" s="312"/>
      <c r="Q1096" s="312"/>
      <c r="R1096" s="312"/>
      <c r="S1096" s="312"/>
      <c r="T1096" s="312"/>
      <c r="U1096" s="312"/>
    </row>
    <row r="1097">
      <c r="A1097" s="520">
        <v>45170.0</v>
      </c>
      <c r="B1097" s="232" t="s">
        <v>26662</v>
      </c>
      <c r="C1097" s="509" t="s">
        <v>26663</v>
      </c>
      <c r="D1097" s="511"/>
      <c r="E1097" s="511"/>
      <c r="F1097" s="232" t="s">
        <v>26664</v>
      </c>
      <c r="G1097" s="232" t="s">
        <v>467</v>
      </c>
      <c r="H1097" s="232">
        <v>7.007677276E9</v>
      </c>
      <c r="I1097" s="509" t="s">
        <v>26665</v>
      </c>
      <c r="J1097" s="232" t="b">
        <v>0</v>
      </c>
      <c r="K1097" s="232" t="s">
        <v>22355</v>
      </c>
      <c r="L1097" s="232"/>
      <c r="M1097" s="511"/>
      <c r="N1097" s="232"/>
      <c r="O1097" s="232"/>
      <c r="P1097" s="312"/>
      <c r="Q1097" s="312"/>
      <c r="R1097" s="312"/>
      <c r="S1097" s="312"/>
      <c r="T1097" s="312"/>
      <c r="U1097" s="312"/>
    </row>
    <row r="1098">
      <c r="A1098" s="520">
        <v>45170.0</v>
      </c>
      <c r="B1098" s="232" t="s">
        <v>26666</v>
      </c>
      <c r="C1098" s="509" t="s">
        <v>3366</v>
      </c>
      <c r="D1098" s="511"/>
      <c r="E1098" s="511"/>
      <c r="F1098" s="232" t="s">
        <v>26667</v>
      </c>
      <c r="G1098" s="232" t="s">
        <v>507</v>
      </c>
      <c r="H1098" s="232">
        <v>8.37905802E9</v>
      </c>
      <c r="I1098" s="509" t="s">
        <v>22373</v>
      </c>
      <c r="J1098" s="232" t="b">
        <v>0</v>
      </c>
      <c r="K1098" s="232" t="s">
        <v>22365</v>
      </c>
      <c r="L1098" s="232" t="s">
        <v>26668</v>
      </c>
      <c r="M1098" s="511"/>
      <c r="N1098" s="232"/>
      <c r="O1098" s="232"/>
      <c r="P1098" s="312"/>
      <c r="Q1098" s="312"/>
      <c r="R1098" s="312"/>
      <c r="S1098" s="312"/>
      <c r="T1098" s="312"/>
      <c r="U1098" s="312"/>
    </row>
    <row r="1099">
      <c r="A1099" s="520">
        <v>45170.0</v>
      </c>
      <c r="B1099" s="232" t="s">
        <v>26669</v>
      </c>
      <c r="C1099" s="509" t="s">
        <v>26670</v>
      </c>
      <c r="D1099" s="511"/>
      <c r="E1099" s="511"/>
      <c r="F1099" s="232"/>
      <c r="G1099" s="232" t="s">
        <v>507</v>
      </c>
      <c r="H1099" s="232">
        <v>-9.167260456E9</v>
      </c>
      <c r="I1099" s="509" t="s">
        <v>26671</v>
      </c>
      <c r="J1099" s="232" t="b">
        <v>0</v>
      </c>
      <c r="K1099" s="232" t="s">
        <v>334</v>
      </c>
      <c r="L1099" s="232"/>
      <c r="M1099" s="511"/>
      <c r="N1099" s="232"/>
      <c r="O1099" s="232"/>
      <c r="P1099" s="312"/>
      <c r="Q1099" s="312"/>
      <c r="R1099" s="312"/>
      <c r="S1099" s="312"/>
      <c r="T1099" s="312"/>
      <c r="U1099" s="312"/>
    </row>
    <row r="1100">
      <c r="A1100" s="520">
        <v>45170.0</v>
      </c>
      <c r="B1100" s="232" t="s">
        <v>26672</v>
      </c>
      <c r="C1100" s="509" t="s">
        <v>26673</v>
      </c>
      <c r="D1100" s="511"/>
      <c r="E1100" s="511"/>
      <c r="F1100" s="232" t="s">
        <v>26674</v>
      </c>
      <c r="G1100" s="232" t="s">
        <v>742</v>
      </c>
      <c r="H1100" s="232">
        <v>8.073803488E9</v>
      </c>
      <c r="I1100" s="509" t="s">
        <v>22373</v>
      </c>
      <c r="J1100" s="232" t="b">
        <v>0</v>
      </c>
      <c r="K1100" s="232" t="s">
        <v>22355</v>
      </c>
      <c r="L1100" s="232" t="s">
        <v>24733</v>
      </c>
      <c r="M1100" s="511"/>
      <c r="N1100" s="232"/>
      <c r="O1100" s="232"/>
      <c r="P1100" s="312"/>
      <c r="Q1100" s="312"/>
      <c r="R1100" s="312"/>
      <c r="S1100" s="312"/>
      <c r="T1100" s="312"/>
      <c r="U1100" s="312"/>
    </row>
    <row r="1101">
      <c r="A1101" s="520">
        <v>45170.0</v>
      </c>
      <c r="B1101" s="232" t="s">
        <v>26675</v>
      </c>
      <c r="C1101" s="509" t="s">
        <v>26676</v>
      </c>
      <c r="D1101" s="511"/>
      <c r="E1101" s="511"/>
      <c r="F1101" s="232"/>
      <c r="G1101" s="232" t="s">
        <v>22288</v>
      </c>
      <c r="H1101" s="232">
        <v>9.214445912E9</v>
      </c>
      <c r="I1101" s="509" t="s">
        <v>4786</v>
      </c>
      <c r="J1101" s="232" t="b">
        <v>0</v>
      </c>
      <c r="K1101" s="232"/>
      <c r="L1101" s="232"/>
      <c r="M1101" s="511"/>
      <c r="N1101" s="232"/>
      <c r="O1101" s="232"/>
      <c r="P1101" s="312"/>
      <c r="Q1101" s="312"/>
      <c r="R1101" s="312"/>
      <c r="S1101" s="312"/>
      <c r="T1101" s="312"/>
      <c r="U1101" s="312"/>
    </row>
    <row r="1102">
      <c r="A1102" s="520">
        <v>45170.0</v>
      </c>
      <c r="B1102" s="232" t="s">
        <v>26677</v>
      </c>
      <c r="C1102" s="509" t="s">
        <v>2028</v>
      </c>
      <c r="D1102" s="510" t="s">
        <v>26678</v>
      </c>
      <c r="E1102" s="511"/>
      <c r="F1102" s="232" t="s">
        <v>26679</v>
      </c>
      <c r="G1102" s="232" t="s">
        <v>507</v>
      </c>
      <c r="H1102" s="232">
        <v>-9.820451014E9</v>
      </c>
      <c r="I1102" s="509" t="s">
        <v>22373</v>
      </c>
      <c r="J1102" s="232" t="b">
        <v>0</v>
      </c>
      <c r="K1102" s="232" t="s">
        <v>22355</v>
      </c>
      <c r="L1102" s="232"/>
      <c r="M1102" s="511"/>
      <c r="N1102" s="232"/>
      <c r="O1102" s="232"/>
      <c r="P1102" s="312"/>
      <c r="Q1102" s="312"/>
      <c r="R1102" s="312"/>
      <c r="S1102" s="312"/>
      <c r="T1102" s="312"/>
      <c r="U1102" s="312"/>
    </row>
    <row r="1103">
      <c r="A1103" s="520">
        <v>45170.0</v>
      </c>
      <c r="B1103" s="232" t="s">
        <v>26680</v>
      </c>
      <c r="C1103" s="509" t="s">
        <v>26681</v>
      </c>
      <c r="D1103" s="511"/>
      <c r="E1103" s="511"/>
      <c r="F1103" s="232"/>
      <c r="G1103" s="232" t="s">
        <v>22592</v>
      </c>
      <c r="H1103" s="232">
        <v>8.308871424E9</v>
      </c>
      <c r="I1103" s="509" t="s">
        <v>26682</v>
      </c>
      <c r="J1103" s="232" t="b">
        <v>0</v>
      </c>
      <c r="K1103" s="232" t="s">
        <v>22349</v>
      </c>
      <c r="L1103" s="232" t="s">
        <v>26683</v>
      </c>
      <c r="M1103" s="511"/>
      <c r="N1103" s="232"/>
      <c r="O1103" s="232"/>
      <c r="P1103" s="312"/>
      <c r="Q1103" s="312"/>
      <c r="R1103" s="312"/>
      <c r="S1103" s="312"/>
      <c r="T1103" s="312"/>
      <c r="U1103" s="312"/>
    </row>
    <row r="1104">
      <c r="A1104" s="520">
        <v>45170.0</v>
      </c>
      <c r="B1104" s="232" t="s">
        <v>26684</v>
      </c>
      <c r="C1104" s="509" t="s">
        <v>26685</v>
      </c>
      <c r="D1104" s="510" t="s">
        <v>26686</v>
      </c>
      <c r="E1104" s="511"/>
      <c r="F1104" s="232" t="s">
        <v>26687</v>
      </c>
      <c r="G1104" s="232" t="s">
        <v>26688</v>
      </c>
      <c r="H1104" s="232">
        <v>8.250246824E9</v>
      </c>
      <c r="I1104" s="509" t="s">
        <v>26689</v>
      </c>
      <c r="J1104" s="232" t="b">
        <v>0</v>
      </c>
      <c r="K1104" s="232" t="s">
        <v>22365</v>
      </c>
      <c r="L1104" s="232" t="s">
        <v>23537</v>
      </c>
      <c r="M1104" s="511"/>
      <c r="N1104" s="232"/>
      <c r="O1104" s="232"/>
      <c r="P1104" s="312"/>
      <c r="Q1104" s="312"/>
      <c r="R1104" s="312"/>
      <c r="S1104" s="312"/>
      <c r="T1104" s="312"/>
      <c r="U1104" s="312"/>
    </row>
    <row r="1105">
      <c r="A1105" s="520">
        <v>45170.0</v>
      </c>
      <c r="B1105" s="232" t="s">
        <v>26690</v>
      </c>
      <c r="C1105" s="509" t="s">
        <v>26691</v>
      </c>
      <c r="D1105" s="510" t="s">
        <v>26692</v>
      </c>
      <c r="E1105" s="511"/>
      <c r="F1105" s="232" t="s">
        <v>24975</v>
      </c>
      <c r="G1105" s="232" t="s">
        <v>9072</v>
      </c>
      <c r="H1105" s="232">
        <v>9.748852364E9</v>
      </c>
      <c r="I1105" s="509" t="s">
        <v>23546</v>
      </c>
      <c r="J1105" s="232" t="b">
        <v>0</v>
      </c>
      <c r="K1105" s="232" t="s">
        <v>22365</v>
      </c>
      <c r="L1105" s="425" t="s">
        <v>26693</v>
      </c>
      <c r="M1105" s="511"/>
      <c r="N1105" s="232"/>
      <c r="O1105" s="232"/>
      <c r="P1105" s="312"/>
      <c r="Q1105" s="312"/>
      <c r="R1105" s="312"/>
      <c r="S1105" s="312"/>
      <c r="T1105" s="312"/>
      <c r="U1105" s="312"/>
    </row>
    <row r="1106">
      <c r="A1106" s="520">
        <v>45170.0</v>
      </c>
      <c r="B1106" s="232" t="s">
        <v>26694</v>
      </c>
      <c r="C1106" s="509" t="s">
        <v>26695</v>
      </c>
      <c r="D1106" s="510" t="s">
        <v>26696</v>
      </c>
      <c r="E1106" s="511"/>
      <c r="F1106" s="232"/>
      <c r="G1106" s="232" t="s">
        <v>44</v>
      </c>
      <c r="H1106" s="232">
        <v>7.059513052E9</v>
      </c>
      <c r="I1106" s="512" t="s">
        <v>25011</v>
      </c>
      <c r="J1106" s="232" t="b">
        <v>0</v>
      </c>
      <c r="K1106" s="232" t="s">
        <v>22365</v>
      </c>
      <c r="L1106" s="232" t="s">
        <v>23537</v>
      </c>
      <c r="M1106" s="511"/>
      <c r="N1106" s="232"/>
      <c r="O1106" s="232"/>
      <c r="P1106" s="312"/>
      <c r="Q1106" s="312"/>
      <c r="R1106" s="312"/>
      <c r="S1106" s="312"/>
      <c r="T1106" s="312"/>
      <c r="U1106" s="312"/>
    </row>
    <row r="1107">
      <c r="A1107" s="520">
        <v>45170.0</v>
      </c>
      <c r="B1107" s="232" t="s">
        <v>26697</v>
      </c>
      <c r="C1107" s="509" t="s">
        <v>26698</v>
      </c>
      <c r="D1107" s="511"/>
      <c r="E1107" s="511"/>
      <c r="F1107" s="232" t="s">
        <v>26699</v>
      </c>
      <c r="G1107" s="232" t="s">
        <v>2612</v>
      </c>
      <c r="H1107" s="232">
        <v>9.437281033E9</v>
      </c>
      <c r="I1107" s="509" t="s">
        <v>26700</v>
      </c>
      <c r="J1107" s="232" t="b">
        <v>0</v>
      </c>
      <c r="K1107" s="232" t="s">
        <v>22355</v>
      </c>
      <c r="L1107" s="232"/>
      <c r="M1107" s="511"/>
      <c r="N1107" s="232"/>
      <c r="O1107" s="232"/>
      <c r="P1107" s="312"/>
      <c r="Q1107" s="312"/>
      <c r="R1107" s="312"/>
      <c r="S1107" s="312"/>
      <c r="T1107" s="312"/>
      <c r="U1107" s="312"/>
    </row>
    <row r="1108">
      <c r="A1108" s="520">
        <v>45170.0</v>
      </c>
      <c r="B1108" s="232" t="s">
        <v>26701</v>
      </c>
      <c r="C1108" s="509" t="s">
        <v>25492</v>
      </c>
      <c r="D1108" s="510" t="s">
        <v>25493</v>
      </c>
      <c r="E1108" s="511"/>
      <c r="F1108" s="232" t="s">
        <v>25494</v>
      </c>
      <c r="G1108" s="232" t="s">
        <v>158</v>
      </c>
      <c r="H1108" s="232">
        <v>9.163574855E9</v>
      </c>
      <c r="I1108" s="509" t="s">
        <v>26702</v>
      </c>
      <c r="J1108" s="232" t="b">
        <v>0</v>
      </c>
      <c r="K1108" s="232" t="s">
        <v>22365</v>
      </c>
      <c r="L1108" s="232" t="s">
        <v>26703</v>
      </c>
      <c r="M1108" s="511"/>
      <c r="N1108" s="232"/>
      <c r="O1108" s="232"/>
      <c r="P1108" s="312"/>
      <c r="Q1108" s="312"/>
      <c r="R1108" s="312"/>
      <c r="S1108" s="312"/>
      <c r="T1108" s="312"/>
      <c r="U1108" s="312"/>
    </row>
    <row r="1109">
      <c r="A1109" s="520">
        <v>45170.0</v>
      </c>
      <c r="B1109" s="232" t="s">
        <v>26704</v>
      </c>
      <c r="C1109" s="509" t="s">
        <v>22334</v>
      </c>
      <c r="D1109" s="511"/>
      <c r="E1109" s="511"/>
      <c r="F1109" s="232"/>
      <c r="G1109" s="232" t="s">
        <v>22742</v>
      </c>
      <c r="H1109" s="232">
        <v>8.847805872E9</v>
      </c>
      <c r="I1109" s="509" t="s">
        <v>26705</v>
      </c>
      <c r="J1109" s="232" t="b">
        <v>0</v>
      </c>
      <c r="K1109" s="232" t="s">
        <v>22365</v>
      </c>
      <c r="L1109" s="232" t="s">
        <v>26703</v>
      </c>
      <c r="M1109" s="511"/>
      <c r="N1109" s="232"/>
      <c r="O1109" s="232"/>
      <c r="P1109" s="312"/>
      <c r="Q1109" s="312"/>
      <c r="R1109" s="312"/>
      <c r="S1109" s="312"/>
      <c r="T1109" s="312"/>
      <c r="U1109" s="312"/>
    </row>
    <row r="1110">
      <c r="A1110" s="520">
        <v>45170.0</v>
      </c>
      <c r="B1110" s="232" t="s">
        <v>26706</v>
      </c>
      <c r="C1110" s="509" t="s">
        <v>26707</v>
      </c>
      <c r="D1110" s="510" t="s">
        <v>24103</v>
      </c>
      <c r="E1110" s="511"/>
      <c r="F1110" s="232" t="s">
        <v>24105</v>
      </c>
      <c r="G1110" s="232" t="s">
        <v>26708</v>
      </c>
      <c r="H1110" s="232">
        <v>9.536274691E9</v>
      </c>
      <c r="I1110" s="509" t="s">
        <v>26709</v>
      </c>
      <c r="J1110" s="232" t="b">
        <v>0</v>
      </c>
      <c r="K1110" s="232"/>
      <c r="L1110" s="232"/>
      <c r="M1110" s="511"/>
      <c r="N1110" s="232"/>
      <c r="O1110" s="232"/>
      <c r="P1110" s="312"/>
      <c r="Q1110" s="312"/>
      <c r="R1110" s="312"/>
      <c r="S1110" s="312"/>
      <c r="T1110" s="312"/>
      <c r="U1110" s="312"/>
    </row>
    <row r="1111">
      <c r="A1111" s="520">
        <v>45108.0</v>
      </c>
      <c r="B1111" s="232" t="s">
        <v>26710</v>
      </c>
      <c r="C1111" s="50" t="s">
        <v>26711</v>
      </c>
      <c r="D1111" s="511"/>
      <c r="E1111" s="511"/>
      <c r="F1111" s="232" t="s">
        <v>26712</v>
      </c>
      <c r="G1111" s="232" t="s">
        <v>44</v>
      </c>
      <c r="H1111" s="232">
        <v>9.051589707E9</v>
      </c>
      <c r="I1111" s="509" t="s">
        <v>25387</v>
      </c>
      <c r="J1111" s="232" t="b">
        <v>0</v>
      </c>
      <c r="K1111" s="232" t="s">
        <v>22365</v>
      </c>
      <c r="L1111" s="232" t="s">
        <v>26713</v>
      </c>
      <c r="M1111" s="511"/>
      <c r="N1111" s="232"/>
      <c r="O1111" s="232"/>
      <c r="P1111" s="312"/>
      <c r="Q1111" s="312"/>
      <c r="R1111" s="312"/>
      <c r="S1111" s="312"/>
      <c r="T1111" s="312"/>
      <c r="U1111" s="312"/>
    </row>
    <row r="1112">
      <c r="A1112" s="520">
        <v>45108.0</v>
      </c>
      <c r="B1112" s="232" t="s">
        <v>26714</v>
      </c>
      <c r="C1112" s="509" t="s">
        <v>26715</v>
      </c>
      <c r="D1112" s="510" t="s">
        <v>26716</v>
      </c>
      <c r="E1112" s="511"/>
      <c r="F1112" s="232" t="s">
        <v>26717</v>
      </c>
      <c r="G1112" s="232" t="s">
        <v>507</v>
      </c>
      <c r="H1112" s="232">
        <v>9.767567906E9</v>
      </c>
      <c r="I1112" s="509" t="s">
        <v>26026</v>
      </c>
      <c r="J1112" s="232" t="b">
        <v>0</v>
      </c>
      <c r="K1112" s="232" t="s">
        <v>22349</v>
      </c>
      <c r="L1112" s="232" t="s">
        <v>26718</v>
      </c>
      <c r="M1112" s="511"/>
      <c r="N1112" s="232"/>
      <c r="O1112" s="232"/>
      <c r="P1112" s="312"/>
      <c r="Q1112" s="312"/>
      <c r="R1112" s="312"/>
      <c r="S1112" s="312"/>
      <c r="T1112" s="312"/>
      <c r="U1112" s="312"/>
    </row>
    <row r="1113">
      <c r="A1113" s="520">
        <v>45108.0</v>
      </c>
      <c r="B1113" s="232" t="s">
        <v>26719</v>
      </c>
      <c r="C1113" s="509" t="s">
        <v>26720</v>
      </c>
      <c r="D1113" s="511"/>
      <c r="E1113" s="511"/>
      <c r="F1113" s="232" t="s">
        <v>26721</v>
      </c>
      <c r="G1113" s="232" t="s">
        <v>22592</v>
      </c>
      <c r="H1113" s="232">
        <v>9.404500864E9</v>
      </c>
      <c r="I1113" s="509" t="s">
        <v>22851</v>
      </c>
      <c r="J1113" s="232" t="b">
        <v>0</v>
      </c>
      <c r="K1113" s="232" t="s">
        <v>22365</v>
      </c>
      <c r="L1113" s="232" t="s">
        <v>23537</v>
      </c>
      <c r="M1113" s="511"/>
      <c r="N1113" s="232"/>
      <c r="O1113" s="232"/>
      <c r="P1113" s="312"/>
      <c r="Q1113" s="312"/>
      <c r="R1113" s="312"/>
      <c r="S1113" s="312"/>
      <c r="T1113" s="312"/>
      <c r="U1113" s="312"/>
    </row>
    <row r="1114">
      <c r="A1114" s="520">
        <v>45108.0</v>
      </c>
      <c r="B1114" s="232" t="s">
        <v>26722</v>
      </c>
      <c r="C1114" s="50" t="s">
        <v>26723</v>
      </c>
      <c r="D1114" s="511"/>
      <c r="E1114" s="511"/>
      <c r="F1114" s="232" t="s">
        <v>26724</v>
      </c>
      <c r="G1114" s="232" t="s">
        <v>78</v>
      </c>
      <c r="H1114" s="232">
        <v>7.992402116E9</v>
      </c>
      <c r="I1114" s="509" t="s">
        <v>26725</v>
      </c>
      <c r="J1114" s="232" t="b">
        <v>0</v>
      </c>
      <c r="K1114" s="232" t="s">
        <v>22365</v>
      </c>
      <c r="L1114" s="232" t="s">
        <v>23537</v>
      </c>
      <c r="M1114" s="511"/>
      <c r="N1114" s="232"/>
      <c r="O1114" s="232"/>
      <c r="P1114" s="312"/>
      <c r="Q1114" s="312"/>
      <c r="R1114" s="312"/>
      <c r="S1114" s="312"/>
      <c r="T1114" s="312"/>
      <c r="U1114" s="312"/>
    </row>
    <row r="1115">
      <c r="A1115" s="521">
        <v>45108.0</v>
      </c>
      <c r="B1115" s="514" t="s">
        <v>26726</v>
      </c>
      <c r="C1115" s="536" t="s">
        <v>26727</v>
      </c>
      <c r="D1115" s="516" t="s">
        <v>26728</v>
      </c>
      <c r="E1115" s="517"/>
      <c r="F1115" s="514" t="s">
        <v>26729</v>
      </c>
      <c r="G1115" s="514" t="s">
        <v>26730</v>
      </c>
      <c r="H1115" s="514">
        <v>9.83553444E9</v>
      </c>
      <c r="I1115" s="515" t="s">
        <v>26731</v>
      </c>
      <c r="J1115" s="514" t="b">
        <v>0</v>
      </c>
      <c r="K1115" s="514" t="s">
        <v>22312</v>
      </c>
      <c r="L1115" s="514" t="s">
        <v>26732</v>
      </c>
      <c r="M1115" s="511"/>
      <c r="N1115" s="232"/>
      <c r="O1115" s="232"/>
      <c r="P1115" s="312"/>
      <c r="Q1115" s="312"/>
      <c r="R1115" s="312"/>
      <c r="S1115" s="312"/>
      <c r="T1115" s="312"/>
      <c r="U1115" s="312"/>
    </row>
    <row r="1116">
      <c r="A1116" s="520">
        <v>45108.0</v>
      </c>
      <c r="B1116" s="232" t="s">
        <v>26733</v>
      </c>
      <c r="C1116" s="509" t="s">
        <v>18167</v>
      </c>
      <c r="D1116" s="510" t="s">
        <v>26734</v>
      </c>
      <c r="E1116" s="511"/>
      <c r="F1116" s="232" t="s">
        <v>26735</v>
      </c>
      <c r="G1116" s="232" t="s">
        <v>26736</v>
      </c>
      <c r="H1116" s="232">
        <v>9.051746318E9</v>
      </c>
      <c r="I1116" s="509" t="s">
        <v>26737</v>
      </c>
      <c r="J1116" s="232" t="b">
        <v>0</v>
      </c>
      <c r="K1116" s="232" t="s">
        <v>22365</v>
      </c>
      <c r="L1116" s="232"/>
      <c r="M1116" s="511"/>
      <c r="N1116" s="232"/>
      <c r="O1116" s="232"/>
      <c r="P1116" s="312"/>
      <c r="Q1116" s="312"/>
      <c r="R1116" s="312"/>
      <c r="S1116" s="312"/>
      <c r="T1116" s="312"/>
      <c r="U1116" s="312"/>
    </row>
    <row r="1117">
      <c r="A1117" s="520">
        <v>45108.0</v>
      </c>
      <c r="B1117" s="232" t="s">
        <v>26738</v>
      </c>
      <c r="C1117" s="509" t="s">
        <v>26739</v>
      </c>
      <c r="D1117" s="511"/>
      <c r="E1117" s="511"/>
      <c r="F1117" s="232" t="s">
        <v>26740</v>
      </c>
      <c r="G1117" s="232" t="s">
        <v>11351</v>
      </c>
      <c r="H1117" s="232">
        <v>8.830390774E9</v>
      </c>
      <c r="I1117" s="509" t="s">
        <v>26741</v>
      </c>
      <c r="J1117" s="232" t="b">
        <v>0</v>
      </c>
      <c r="K1117" s="232" t="s">
        <v>12092</v>
      </c>
      <c r="L1117" s="232"/>
      <c r="M1117" s="511"/>
      <c r="N1117" s="232"/>
      <c r="O1117" s="232"/>
      <c r="P1117" s="312"/>
      <c r="Q1117" s="312"/>
      <c r="R1117" s="312"/>
      <c r="S1117" s="312"/>
      <c r="T1117" s="312"/>
      <c r="U1117" s="312"/>
    </row>
    <row r="1118">
      <c r="A1118" s="520">
        <v>45078.0</v>
      </c>
      <c r="B1118" s="232" t="s">
        <v>26742</v>
      </c>
      <c r="C1118" s="509" t="s">
        <v>24773</v>
      </c>
      <c r="D1118" s="511"/>
      <c r="E1118" s="511"/>
      <c r="F1118" s="232" t="s">
        <v>24774</v>
      </c>
      <c r="G1118" s="232" t="s">
        <v>26743</v>
      </c>
      <c r="H1118" s="232">
        <v>6.35193813E9</v>
      </c>
      <c r="I1118" s="509" t="s">
        <v>26744</v>
      </c>
      <c r="J1118" s="232" t="b">
        <v>0</v>
      </c>
      <c r="K1118" s="232" t="s">
        <v>22365</v>
      </c>
      <c r="L1118" s="232"/>
      <c r="M1118" s="511"/>
      <c r="N1118" s="232"/>
      <c r="O1118" s="232"/>
      <c r="P1118" s="312"/>
      <c r="Q1118" s="312"/>
      <c r="R1118" s="312"/>
      <c r="S1118" s="312"/>
      <c r="T1118" s="312"/>
      <c r="U1118" s="312"/>
    </row>
    <row r="1119">
      <c r="A1119" s="520">
        <v>45078.0</v>
      </c>
      <c r="B1119" s="232" t="s">
        <v>26745</v>
      </c>
      <c r="C1119" s="509" t="s">
        <v>26746</v>
      </c>
      <c r="D1119" s="511"/>
      <c r="E1119" s="511"/>
      <c r="F1119" s="232"/>
      <c r="G1119" s="232" t="s">
        <v>467</v>
      </c>
      <c r="H1119" s="232">
        <v>9.759513266E9</v>
      </c>
      <c r="I1119" s="509" t="s">
        <v>26747</v>
      </c>
      <c r="J1119" s="232" t="b">
        <v>0</v>
      </c>
      <c r="K1119" s="232" t="s">
        <v>22365</v>
      </c>
      <c r="L1119" s="232" t="s">
        <v>23537</v>
      </c>
      <c r="M1119" s="511"/>
      <c r="N1119" s="232"/>
      <c r="O1119" s="232"/>
      <c r="P1119" s="312"/>
      <c r="Q1119" s="312"/>
      <c r="R1119" s="312"/>
      <c r="S1119" s="312"/>
      <c r="T1119" s="312"/>
      <c r="U1119" s="312"/>
    </row>
    <row r="1120">
      <c r="A1120" s="520">
        <v>45078.0</v>
      </c>
      <c r="B1120" s="232" t="s">
        <v>26748</v>
      </c>
      <c r="C1120" s="509" t="s">
        <v>26749</v>
      </c>
      <c r="D1120" s="510" t="s">
        <v>26750</v>
      </c>
      <c r="E1120" s="511"/>
      <c r="F1120" s="232" t="s">
        <v>26751</v>
      </c>
      <c r="G1120" s="232" t="s">
        <v>4645</v>
      </c>
      <c r="H1120" s="232">
        <v>8.250831499E9</v>
      </c>
      <c r="I1120" s="509" t="s">
        <v>22289</v>
      </c>
      <c r="J1120" s="232" t="b">
        <v>0</v>
      </c>
      <c r="K1120" s="232" t="s">
        <v>22365</v>
      </c>
      <c r="L1120" s="232" t="s">
        <v>23537</v>
      </c>
      <c r="M1120" s="511"/>
      <c r="N1120" s="232"/>
      <c r="O1120" s="232"/>
      <c r="P1120" s="312"/>
      <c r="Q1120" s="312"/>
      <c r="R1120" s="312"/>
      <c r="S1120" s="312"/>
      <c r="T1120" s="312"/>
      <c r="U1120" s="312"/>
    </row>
    <row r="1121">
      <c r="A1121" s="520">
        <v>45078.0</v>
      </c>
      <c r="B1121" s="232" t="s">
        <v>26752</v>
      </c>
      <c r="C1121" s="509" t="s">
        <v>6486</v>
      </c>
      <c r="D1121" s="510" t="s">
        <v>26753</v>
      </c>
      <c r="E1121" s="511"/>
      <c r="F1121" s="232"/>
      <c r="G1121" s="232" t="s">
        <v>22630</v>
      </c>
      <c r="H1121" s="232">
        <v>9.979392238E9</v>
      </c>
      <c r="I1121" s="509" t="s">
        <v>26754</v>
      </c>
      <c r="J1121" s="232" t="b">
        <v>0</v>
      </c>
      <c r="K1121" s="232" t="s">
        <v>22355</v>
      </c>
      <c r="L1121" s="232"/>
      <c r="M1121" s="511"/>
      <c r="N1121" s="232"/>
      <c r="O1121" s="232"/>
      <c r="P1121" s="312"/>
      <c r="Q1121" s="312"/>
      <c r="R1121" s="312"/>
      <c r="S1121" s="312"/>
      <c r="T1121" s="312"/>
      <c r="U1121" s="312"/>
    </row>
    <row r="1122">
      <c r="A1122" s="520">
        <v>45078.0</v>
      </c>
      <c r="B1122" s="232" t="s">
        <v>26755</v>
      </c>
      <c r="C1122" s="509" t="s">
        <v>26756</v>
      </c>
      <c r="D1122" s="510" t="s">
        <v>26757</v>
      </c>
      <c r="E1122" s="511"/>
      <c r="F1122" s="232" t="s">
        <v>26758</v>
      </c>
      <c r="G1122" s="232" t="s">
        <v>25631</v>
      </c>
      <c r="H1122" s="232">
        <v>9.992441249E9</v>
      </c>
      <c r="I1122" s="509" t="s">
        <v>24892</v>
      </c>
      <c r="J1122" s="232" t="b">
        <v>0</v>
      </c>
      <c r="K1122" s="232" t="s">
        <v>22365</v>
      </c>
      <c r="L1122" s="232" t="s">
        <v>23537</v>
      </c>
      <c r="M1122" s="511"/>
      <c r="N1122" s="232"/>
      <c r="O1122" s="232"/>
      <c r="P1122" s="312"/>
      <c r="Q1122" s="312"/>
      <c r="R1122" s="312"/>
      <c r="S1122" s="312"/>
      <c r="T1122" s="312"/>
      <c r="U1122" s="312"/>
    </row>
    <row r="1123">
      <c r="A1123" s="520">
        <v>45078.0</v>
      </c>
      <c r="B1123" s="232" t="s">
        <v>26759</v>
      </c>
      <c r="C1123" s="509" t="s">
        <v>26760</v>
      </c>
      <c r="D1123" s="510" t="s">
        <v>26761</v>
      </c>
      <c r="E1123" s="511"/>
      <c r="F1123" s="232" t="s">
        <v>26762</v>
      </c>
      <c r="G1123" s="232" t="s">
        <v>507</v>
      </c>
      <c r="H1123" s="232">
        <v>8.879030767E9</v>
      </c>
      <c r="I1123" s="509" t="s">
        <v>22354</v>
      </c>
      <c r="J1123" s="232" t="b">
        <v>0</v>
      </c>
      <c r="K1123" s="232" t="s">
        <v>22365</v>
      </c>
      <c r="L1123" s="232" t="s">
        <v>22386</v>
      </c>
      <c r="M1123" s="511"/>
      <c r="N1123" s="232"/>
      <c r="O1123" s="232"/>
      <c r="P1123" s="312"/>
      <c r="Q1123" s="312"/>
      <c r="R1123" s="312"/>
      <c r="S1123" s="312"/>
      <c r="T1123" s="312"/>
      <c r="U1123" s="312"/>
    </row>
    <row r="1124">
      <c r="A1124" s="520">
        <v>45078.0</v>
      </c>
      <c r="B1124" s="232" t="s">
        <v>26763</v>
      </c>
      <c r="C1124" s="509" t="s">
        <v>26764</v>
      </c>
      <c r="D1124" s="519" t="s">
        <v>26765</v>
      </c>
      <c r="E1124" s="511"/>
      <c r="F1124" s="232" t="s">
        <v>26766</v>
      </c>
      <c r="G1124" s="232" t="s">
        <v>22844</v>
      </c>
      <c r="H1124" s="232">
        <v>9.323220537E9</v>
      </c>
      <c r="I1124" s="509" t="s">
        <v>25637</v>
      </c>
      <c r="J1124" s="232" t="b">
        <v>0</v>
      </c>
      <c r="K1124" s="232"/>
      <c r="L1124" s="232"/>
      <c r="M1124" s="511"/>
      <c r="N1124" s="232"/>
      <c r="O1124" s="232"/>
      <c r="P1124" s="312"/>
      <c r="Q1124" s="312"/>
      <c r="R1124" s="312"/>
      <c r="S1124" s="312"/>
      <c r="T1124" s="312"/>
      <c r="U1124" s="312"/>
    </row>
    <row r="1125">
      <c r="A1125" s="520">
        <v>45078.0</v>
      </c>
      <c r="B1125" s="232" t="s">
        <v>26767</v>
      </c>
      <c r="C1125" s="509" t="s">
        <v>26768</v>
      </c>
      <c r="D1125" s="511"/>
      <c r="E1125" s="511"/>
      <c r="F1125" s="232" t="s">
        <v>26769</v>
      </c>
      <c r="G1125" s="232" t="s">
        <v>44</v>
      </c>
      <c r="H1125" s="232">
        <v>7.980354954E9</v>
      </c>
      <c r="I1125" s="509" t="s">
        <v>26770</v>
      </c>
      <c r="J1125" s="232" t="b">
        <v>0</v>
      </c>
      <c r="K1125" s="232"/>
      <c r="L1125" s="232"/>
      <c r="M1125" s="511"/>
      <c r="N1125" s="232"/>
      <c r="O1125" s="232"/>
      <c r="P1125" s="312"/>
      <c r="Q1125" s="312"/>
      <c r="R1125" s="312"/>
      <c r="S1125" s="312"/>
      <c r="T1125" s="312"/>
      <c r="U1125" s="312"/>
    </row>
    <row r="1126">
      <c r="A1126" s="520">
        <v>45047.0</v>
      </c>
      <c r="B1126" s="232" t="s">
        <v>26771</v>
      </c>
      <c r="C1126" s="509" t="s">
        <v>26772</v>
      </c>
      <c r="D1126" s="511"/>
      <c r="E1126" s="511"/>
      <c r="F1126" s="232" t="s">
        <v>26773</v>
      </c>
      <c r="G1126" s="232" t="s">
        <v>22821</v>
      </c>
      <c r="H1126" s="232">
        <v>9.01036318E9</v>
      </c>
      <c r="I1126" s="509" t="s">
        <v>26774</v>
      </c>
      <c r="J1126" s="232" t="b">
        <v>0</v>
      </c>
      <c r="K1126" s="232" t="s">
        <v>22355</v>
      </c>
      <c r="L1126" s="232"/>
      <c r="M1126" s="511"/>
      <c r="N1126" s="232"/>
      <c r="O1126" s="232"/>
      <c r="P1126" s="312"/>
      <c r="Q1126" s="312"/>
      <c r="R1126" s="312"/>
      <c r="S1126" s="312"/>
      <c r="T1126" s="312"/>
      <c r="U1126" s="312"/>
    </row>
    <row r="1127">
      <c r="A1127" s="520">
        <v>45047.0</v>
      </c>
      <c r="B1127" s="232" t="s">
        <v>26775</v>
      </c>
      <c r="C1127" s="509" t="s">
        <v>26776</v>
      </c>
      <c r="D1127" s="511"/>
      <c r="E1127" s="511"/>
      <c r="F1127" s="232" t="s">
        <v>26777</v>
      </c>
      <c r="G1127" s="232" t="s">
        <v>2662</v>
      </c>
      <c r="H1127" s="232">
        <v>-8.825579855E9</v>
      </c>
      <c r="I1127" s="509" t="s">
        <v>23221</v>
      </c>
      <c r="J1127" s="232" t="b">
        <v>0</v>
      </c>
      <c r="K1127" s="232" t="s">
        <v>22365</v>
      </c>
      <c r="L1127" s="232" t="s">
        <v>24488</v>
      </c>
      <c r="M1127" s="511"/>
      <c r="N1127" s="232"/>
      <c r="O1127" s="232"/>
      <c r="P1127" s="312"/>
      <c r="Q1127" s="312"/>
      <c r="R1127" s="312"/>
      <c r="S1127" s="312"/>
      <c r="T1127" s="312"/>
      <c r="U1127" s="312"/>
    </row>
    <row r="1128">
      <c r="A1128" s="520">
        <v>45047.0</v>
      </c>
      <c r="B1128" s="232" t="s">
        <v>26778</v>
      </c>
      <c r="C1128" s="509" t="s">
        <v>26779</v>
      </c>
      <c r="D1128" s="510" t="s">
        <v>26780</v>
      </c>
      <c r="E1128" s="511"/>
      <c r="F1128" s="232" t="s">
        <v>26781</v>
      </c>
      <c r="G1128" s="232" t="s">
        <v>507</v>
      </c>
      <c r="H1128" s="232">
        <v>7.276501172E9</v>
      </c>
      <c r="I1128" s="509" t="s">
        <v>26782</v>
      </c>
      <c r="J1128" s="232" t="b">
        <v>0</v>
      </c>
      <c r="K1128" s="232" t="s">
        <v>334</v>
      </c>
      <c r="L1128" s="232" t="s">
        <v>26783</v>
      </c>
      <c r="M1128" s="511"/>
      <c r="N1128" s="232"/>
      <c r="O1128" s="232"/>
      <c r="P1128" s="312"/>
      <c r="Q1128" s="312"/>
      <c r="R1128" s="312"/>
      <c r="S1128" s="312"/>
      <c r="T1128" s="312"/>
      <c r="U1128" s="312"/>
    </row>
    <row r="1129">
      <c r="A1129" s="520">
        <v>45047.0</v>
      </c>
      <c r="B1129" s="232" t="s">
        <v>26784</v>
      </c>
      <c r="C1129" s="509" t="s">
        <v>26785</v>
      </c>
      <c r="D1129" s="510" t="s">
        <v>26786</v>
      </c>
      <c r="E1129" s="511"/>
      <c r="F1129" s="232"/>
      <c r="G1129" s="232" t="s">
        <v>23823</v>
      </c>
      <c r="H1129" s="232">
        <v>6.371272471E9</v>
      </c>
      <c r="I1129" s="509" t="s">
        <v>22577</v>
      </c>
      <c r="J1129" s="232" t="b">
        <v>0</v>
      </c>
      <c r="K1129" s="232" t="s">
        <v>22365</v>
      </c>
      <c r="L1129" s="232" t="s">
        <v>24488</v>
      </c>
      <c r="M1129" s="511"/>
      <c r="N1129" s="232"/>
      <c r="O1129" s="232"/>
      <c r="P1129" s="312"/>
      <c r="Q1129" s="312"/>
      <c r="R1129" s="312"/>
      <c r="S1129" s="312"/>
      <c r="T1129" s="312"/>
      <c r="U1129" s="312"/>
    </row>
    <row r="1130">
      <c r="A1130" s="520">
        <v>45047.0</v>
      </c>
      <c r="B1130" s="232" t="s">
        <v>26787</v>
      </c>
      <c r="C1130" s="509" t="s">
        <v>17410</v>
      </c>
      <c r="D1130" s="511"/>
      <c r="E1130" s="511"/>
      <c r="F1130" s="232" t="s">
        <v>26788</v>
      </c>
      <c r="G1130" s="232" t="s">
        <v>23593</v>
      </c>
      <c r="H1130" s="232">
        <v>8.13055725E9</v>
      </c>
      <c r="I1130" s="509" t="s">
        <v>22354</v>
      </c>
      <c r="J1130" s="232" t="b">
        <v>0</v>
      </c>
      <c r="K1130" s="232" t="s">
        <v>22365</v>
      </c>
      <c r="L1130" s="232" t="s">
        <v>26789</v>
      </c>
      <c r="M1130" s="511"/>
      <c r="N1130" s="232"/>
      <c r="O1130" s="232"/>
      <c r="P1130" s="312"/>
      <c r="Q1130" s="312"/>
      <c r="R1130" s="312"/>
      <c r="S1130" s="312"/>
      <c r="T1130" s="312"/>
      <c r="U1130" s="312"/>
    </row>
    <row r="1131">
      <c r="A1131" s="520">
        <v>45047.0</v>
      </c>
      <c r="B1131" s="232" t="s">
        <v>26790</v>
      </c>
      <c r="C1131" s="509" t="s">
        <v>17072</v>
      </c>
      <c r="D1131" s="510" t="s">
        <v>26791</v>
      </c>
      <c r="E1131" s="511"/>
      <c r="F1131" s="232"/>
      <c r="G1131" s="232" t="s">
        <v>22592</v>
      </c>
      <c r="H1131" s="232">
        <v>8.329287994E9</v>
      </c>
      <c r="I1131" s="509" t="s">
        <v>23761</v>
      </c>
      <c r="J1131" s="232" t="b">
        <v>0</v>
      </c>
      <c r="K1131" s="232" t="s">
        <v>334</v>
      </c>
      <c r="M1131" s="511"/>
      <c r="N1131" s="232"/>
      <c r="O1131" s="232"/>
      <c r="P1131" s="312"/>
      <c r="Q1131" s="312"/>
      <c r="R1131" s="312"/>
      <c r="S1131" s="312"/>
      <c r="T1131" s="312"/>
      <c r="U1131" s="312"/>
    </row>
    <row r="1132">
      <c r="A1132" s="520">
        <v>45047.0</v>
      </c>
      <c r="B1132" s="232" t="s">
        <v>26792</v>
      </c>
      <c r="C1132" s="509" t="s">
        <v>26793</v>
      </c>
      <c r="D1132" s="510" t="s">
        <v>26794</v>
      </c>
      <c r="E1132" s="511"/>
      <c r="F1132" s="232" t="s">
        <v>26795</v>
      </c>
      <c r="G1132" s="232" t="s">
        <v>23823</v>
      </c>
      <c r="H1132" s="232">
        <v>9.338028063E9</v>
      </c>
      <c r="I1132" s="509" t="s">
        <v>26796</v>
      </c>
      <c r="J1132" s="232" t="b">
        <v>0</v>
      </c>
      <c r="K1132" s="232" t="s">
        <v>22365</v>
      </c>
      <c r="L1132" s="232" t="s">
        <v>23537</v>
      </c>
      <c r="M1132" s="511"/>
      <c r="N1132" s="232"/>
      <c r="O1132" s="232"/>
      <c r="P1132" s="312"/>
      <c r="Q1132" s="312"/>
      <c r="R1132" s="312"/>
      <c r="S1132" s="312"/>
      <c r="T1132" s="312"/>
      <c r="U1132" s="312"/>
    </row>
    <row r="1133">
      <c r="A1133" s="520">
        <v>45047.0</v>
      </c>
      <c r="B1133" s="232" t="s">
        <v>26797</v>
      </c>
      <c r="C1133" s="512" t="s">
        <v>26798</v>
      </c>
      <c r="D1133" s="511"/>
      <c r="E1133" s="511"/>
      <c r="F1133" s="232" t="s">
        <v>26799</v>
      </c>
      <c r="G1133" s="232" t="s">
        <v>23019</v>
      </c>
      <c r="H1133" s="232">
        <v>7.902588289E9</v>
      </c>
      <c r="I1133" s="509" t="s">
        <v>26800</v>
      </c>
      <c r="J1133" s="232" t="b">
        <v>0</v>
      </c>
      <c r="K1133" s="232" t="s">
        <v>12092</v>
      </c>
      <c r="L1133" s="232"/>
      <c r="M1133" s="511"/>
      <c r="N1133" s="232"/>
      <c r="O1133" s="232"/>
      <c r="P1133" s="312"/>
      <c r="Q1133" s="312"/>
      <c r="R1133" s="312"/>
      <c r="S1133" s="312"/>
      <c r="T1133" s="312"/>
      <c r="U1133" s="312"/>
    </row>
    <row r="1134">
      <c r="A1134" s="520">
        <v>45047.0</v>
      </c>
      <c r="B1134" s="232" t="s">
        <v>26801</v>
      </c>
      <c r="C1134" s="509" t="s">
        <v>26802</v>
      </c>
      <c r="D1134" s="510" t="s">
        <v>26803</v>
      </c>
      <c r="E1134" s="511"/>
      <c r="F1134" s="232" t="s">
        <v>26804</v>
      </c>
      <c r="G1134" s="232" t="s">
        <v>131</v>
      </c>
      <c r="H1134" s="232">
        <v>9.707470769E9</v>
      </c>
      <c r="I1134" s="509" t="s">
        <v>26805</v>
      </c>
      <c r="J1134" s="232" t="b">
        <v>0</v>
      </c>
      <c r="K1134" s="232" t="s">
        <v>22365</v>
      </c>
      <c r="L1134" s="232"/>
      <c r="M1134" s="511"/>
      <c r="N1134" s="232"/>
      <c r="O1134" s="232"/>
      <c r="P1134" s="312"/>
      <c r="Q1134" s="312"/>
      <c r="R1134" s="312"/>
      <c r="S1134" s="312"/>
      <c r="T1134" s="312"/>
      <c r="U1134" s="312"/>
    </row>
    <row r="1135">
      <c r="A1135" s="520">
        <v>45017.0</v>
      </c>
      <c r="B1135" s="232" t="s">
        <v>26806</v>
      </c>
      <c r="C1135" s="509" t="s">
        <v>26807</v>
      </c>
      <c r="D1135" s="511"/>
      <c r="E1135" s="511"/>
      <c r="F1135" s="232" t="s">
        <v>26808</v>
      </c>
      <c r="G1135" s="232" t="s">
        <v>23612</v>
      </c>
      <c r="H1135" s="232">
        <v>7.003750677E9</v>
      </c>
      <c r="I1135" s="509" t="s">
        <v>26809</v>
      </c>
      <c r="J1135" s="232" t="b">
        <v>0</v>
      </c>
      <c r="K1135" s="232" t="s">
        <v>22365</v>
      </c>
      <c r="L1135" s="232" t="s">
        <v>26205</v>
      </c>
      <c r="M1135" s="511"/>
      <c r="N1135" s="232"/>
      <c r="O1135" s="232"/>
      <c r="P1135" s="312"/>
      <c r="Q1135" s="312"/>
      <c r="R1135" s="312"/>
      <c r="S1135" s="312"/>
      <c r="T1135" s="312"/>
      <c r="U1135" s="312"/>
    </row>
    <row r="1136">
      <c r="A1136" s="520">
        <v>45017.0</v>
      </c>
      <c r="B1136" s="232" t="s">
        <v>26810</v>
      </c>
      <c r="C1136" s="509" t="s">
        <v>13963</v>
      </c>
      <c r="D1136" s="511"/>
      <c r="E1136" s="511"/>
      <c r="F1136" s="232"/>
      <c r="G1136" s="232" t="s">
        <v>507</v>
      </c>
      <c r="H1136" s="232">
        <v>9.595089025E9</v>
      </c>
      <c r="I1136" s="509" t="s">
        <v>22502</v>
      </c>
      <c r="J1136" s="232" t="b">
        <v>0</v>
      </c>
      <c r="K1136" s="232" t="s">
        <v>334</v>
      </c>
      <c r="L1136" s="232"/>
      <c r="M1136" s="511"/>
      <c r="N1136" s="232"/>
      <c r="O1136" s="232"/>
      <c r="P1136" s="312"/>
      <c r="Q1136" s="312"/>
      <c r="R1136" s="312"/>
      <c r="S1136" s="312"/>
      <c r="T1136" s="312"/>
      <c r="U1136" s="312"/>
    </row>
    <row r="1137">
      <c r="A1137" s="520">
        <v>45017.0</v>
      </c>
      <c r="B1137" s="232" t="s">
        <v>26811</v>
      </c>
      <c r="C1137" s="509" t="s">
        <v>26812</v>
      </c>
      <c r="D1137" s="510" t="s">
        <v>26813</v>
      </c>
      <c r="E1137" s="511"/>
      <c r="F1137" s="232" t="s">
        <v>26814</v>
      </c>
      <c r="G1137" s="232" t="s">
        <v>22742</v>
      </c>
      <c r="H1137" s="232">
        <v>9.348536539E9</v>
      </c>
      <c r="I1137" s="509" t="s">
        <v>26815</v>
      </c>
      <c r="J1137" s="232" t="b">
        <v>0</v>
      </c>
      <c r="K1137" s="232" t="s">
        <v>12092</v>
      </c>
      <c r="L1137" s="232"/>
      <c r="M1137" s="511"/>
      <c r="N1137" s="232"/>
      <c r="O1137" s="232"/>
      <c r="P1137" s="312"/>
      <c r="Q1137" s="312"/>
      <c r="R1137" s="312"/>
      <c r="S1137" s="312"/>
      <c r="T1137" s="312"/>
      <c r="U1137" s="312"/>
    </row>
    <row r="1138">
      <c r="A1138" s="520">
        <v>45017.0</v>
      </c>
      <c r="B1138" s="232" t="s">
        <v>26816</v>
      </c>
      <c r="C1138" s="509" t="s">
        <v>882</v>
      </c>
      <c r="D1138" s="510" t="s">
        <v>26817</v>
      </c>
      <c r="E1138" s="511"/>
      <c r="F1138" s="232"/>
      <c r="G1138" s="232" t="s">
        <v>977</v>
      </c>
      <c r="H1138" s="232">
        <v>9.304709615E9</v>
      </c>
      <c r="I1138" s="509" t="s">
        <v>26818</v>
      </c>
      <c r="J1138" s="232" t="b">
        <v>0</v>
      </c>
      <c r="K1138" s="232" t="s">
        <v>22365</v>
      </c>
      <c r="L1138" s="232" t="s">
        <v>23537</v>
      </c>
      <c r="M1138" s="511"/>
      <c r="N1138" s="232"/>
      <c r="O1138" s="232"/>
      <c r="P1138" s="312"/>
      <c r="Q1138" s="312"/>
      <c r="R1138" s="312"/>
      <c r="S1138" s="312"/>
      <c r="T1138" s="312"/>
      <c r="U1138" s="312"/>
    </row>
    <row r="1139">
      <c r="A1139" s="520">
        <v>45017.0</v>
      </c>
      <c r="B1139" s="232" t="s">
        <v>26819</v>
      </c>
      <c r="C1139" s="509" t="s">
        <v>8873</v>
      </c>
      <c r="D1139" s="511"/>
      <c r="E1139" s="511"/>
      <c r="F1139" s="232"/>
      <c r="G1139" s="232" t="s">
        <v>23274</v>
      </c>
      <c r="H1139" s="232">
        <v>9.89288484E9</v>
      </c>
      <c r="I1139" s="509" t="s">
        <v>26820</v>
      </c>
      <c r="J1139" s="232" t="b">
        <v>0</v>
      </c>
      <c r="K1139" s="232" t="s">
        <v>22355</v>
      </c>
      <c r="L1139" s="232"/>
      <c r="M1139" s="511"/>
      <c r="N1139" s="232"/>
      <c r="O1139" s="232"/>
      <c r="P1139" s="312"/>
      <c r="Q1139" s="312"/>
      <c r="R1139" s="312"/>
      <c r="S1139" s="312"/>
      <c r="T1139" s="312"/>
      <c r="U1139" s="312"/>
    </row>
    <row r="1140">
      <c r="A1140" s="520">
        <v>45017.0</v>
      </c>
      <c r="B1140" s="232" t="s">
        <v>26821</v>
      </c>
      <c r="C1140" s="509" t="s">
        <v>26822</v>
      </c>
      <c r="D1140" s="510" t="s">
        <v>26823</v>
      </c>
      <c r="E1140" s="511"/>
      <c r="F1140" s="232" t="s">
        <v>26824</v>
      </c>
      <c r="G1140" s="232" t="s">
        <v>22687</v>
      </c>
      <c r="H1140" s="232">
        <v>9.650796869E9</v>
      </c>
      <c r="I1140" s="509" t="s">
        <v>25343</v>
      </c>
      <c r="J1140" s="232" t="b">
        <v>0</v>
      </c>
      <c r="K1140" s="232" t="s">
        <v>12092</v>
      </c>
      <c r="L1140" s="232"/>
      <c r="M1140" s="511"/>
      <c r="N1140" s="232"/>
      <c r="O1140" s="232"/>
      <c r="P1140" s="312"/>
      <c r="Q1140" s="312"/>
      <c r="R1140" s="312"/>
      <c r="S1140" s="312"/>
      <c r="T1140" s="312"/>
      <c r="U1140" s="312"/>
    </row>
    <row r="1141">
      <c r="A1141" s="520">
        <v>45017.0</v>
      </c>
      <c r="B1141" s="232" t="s">
        <v>26825</v>
      </c>
      <c r="C1141" s="509" t="s">
        <v>26826</v>
      </c>
      <c r="D1141" s="510" t="s">
        <v>26827</v>
      </c>
      <c r="E1141" s="511"/>
      <c r="F1141" s="232" t="s">
        <v>26828</v>
      </c>
      <c r="G1141" s="232" t="s">
        <v>22687</v>
      </c>
      <c r="H1141" s="232">
        <v>8.076779098E9</v>
      </c>
      <c r="I1141" s="509" t="s">
        <v>22577</v>
      </c>
      <c r="J1141" s="232" t="b">
        <v>0</v>
      </c>
      <c r="K1141" s="232" t="s">
        <v>12092</v>
      </c>
      <c r="L1141" s="232"/>
      <c r="M1141" s="511"/>
      <c r="N1141" s="232"/>
      <c r="O1141" s="232"/>
      <c r="P1141" s="312"/>
      <c r="Q1141" s="312"/>
      <c r="R1141" s="312"/>
      <c r="S1141" s="312"/>
      <c r="T1141" s="312"/>
      <c r="U1141" s="312"/>
    </row>
    <row r="1142">
      <c r="A1142" s="520">
        <v>45017.0</v>
      </c>
      <c r="B1142" s="232" t="s">
        <v>26829</v>
      </c>
      <c r="C1142" s="509" t="s">
        <v>9728</v>
      </c>
      <c r="D1142" s="510" t="s">
        <v>26830</v>
      </c>
      <c r="E1142" s="511"/>
      <c r="F1142" s="232" t="s">
        <v>26831</v>
      </c>
      <c r="G1142" s="232" t="s">
        <v>22348</v>
      </c>
      <c r="H1142" s="232">
        <v>9.576274362E9</v>
      </c>
      <c r="I1142" s="509" t="s">
        <v>26832</v>
      </c>
      <c r="J1142" s="232" t="b">
        <v>0</v>
      </c>
      <c r="K1142" s="232" t="s">
        <v>334</v>
      </c>
      <c r="L1142" s="232"/>
      <c r="M1142" s="511"/>
      <c r="N1142" s="232"/>
      <c r="O1142" s="232"/>
      <c r="P1142" s="312"/>
      <c r="Q1142" s="312"/>
      <c r="R1142" s="312"/>
      <c r="S1142" s="312"/>
      <c r="T1142" s="312"/>
      <c r="U1142" s="312"/>
    </row>
    <row r="1143">
      <c r="A1143" s="520">
        <v>45017.0</v>
      </c>
      <c r="B1143" s="232" t="s">
        <v>26833</v>
      </c>
      <c r="C1143" s="509" t="s">
        <v>26834</v>
      </c>
      <c r="D1143" s="510" t="s">
        <v>26835</v>
      </c>
      <c r="E1143" s="511"/>
      <c r="F1143" s="232" t="s">
        <v>26836</v>
      </c>
      <c r="G1143" s="232" t="s">
        <v>22742</v>
      </c>
      <c r="H1143" s="232">
        <v>7.077710405E9</v>
      </c>
      <c r="I1143" s="509" t="s">
        <v>4786</v>
      </c>
      <c r="J1143" s="232" t="b">
        <v>0</v>
      </c>
      <c r="K1143" s="232" t="s">
        <v>22349</v>
      </c>
      <c r="L1143" s="232" t="s">
        <v>26837</v>
      </c>
      <c r="M1143" s="511"/>
      <c r="N1143" s="232"/>
      <c r="O1143" s="232"/>
      <c r="P1143" s="312"/>
      <c r="Q1143" s="312"/>
      <c r="R1143" s="312"/>
      <c r="S1143" s="312"/>
      <c r="T1143" s="312"/>
      <c r="U1143" s="312"/>
    </row>
    <row r="1144">
      <c r="A1144" s="520">
        <v>45017.0</v>
      </c>
      <c r="B1144" s="232" t="s">
        <v>26838</v>
      </c>
      <c r="C1144" s="509" t="s">
        <v>26839</v>
      </c>
      <c r="D1144" s="511"/>
      <c r="E1144" s="511"/>
      <c r="F1144" s="232" t="s">
        <v>26840</v>
      </c>
      <c r="G1144" s="232" t="s">
        <v>1691</v>
      </c>
      <c r="H1144" s="232">
        <v>7.001071922E9</v>
      </c>
      <c r="I1144" s="509" t="s">
        <v>26841</v>
      </c>
      <c r="J1144" s="232" t="b">
        <v>0</v>
      </c>
      <c r="K1144" s="232" t="s">
        <v>22349</v>
      </c>
      <c r="L1144" s="526" t="s">
        <v>26842</v>
      </c>
      <c r="M1144" s="511"/>
      <c r="N1144" s="232"/>
      <c r="O1144" s="232"/>
      <c r="P1144" s="312"/>
      <c r="Q1144" s="312"/>
      <c r="R1144" s="312"/>
      <c r="S1144" s="312"/>
      <c r="T1144" s="312"/>
      <c r="U1144" s="312"/>
    </row>
    <row r="1145">
      <c r="A1145" s="520">
        <v>45017.0</v>
      </c>
      <c r="B1145" s="232" t="s">
        <v>26843</v>
      </c>
      <c r="C1145" s="509" t="s">
        <v>26844</v>
      </c>
      <c r="D1145" s="511"/>
      <c r="E1145" s="511"/>
      <c r="F1145" s="232" t="s">
        <v>26845</v>
      </c>
      <c r="G1145" s="232" t="s">
        <v>26846</v>
      </c>
      <c r="H1145" s="232">
        <v>9.330443076E9</v>
      </c>
      <c r="I1145" s="509" t="s">
        <v>26847</v>
      </c>
      <c r="J1145" s="232" t="b">
        <v>0</v>
      </c>
      <c r="K1145" s="232" t="s">
        <v>22365</v>
      </c>
      <c r="L1145" s="526" t="s">
        <v>26848</v>
      </c>
      <c r="M1145" s="511"/>
      <c r="N1145" s="232"/>
      <c r="O1145" s="232"/>
      <c r="P1145" s="312"/>
      <c r="Q1145" s="312"/>
      <c r="R1145" s="312"/>
      <c r="S1145" s="312"/>
      <c r="T1145" s="312"/>
      <c r="U1145" s="312"/>
    </row>
    <row r="1146">
      <c r="A1146" s="520">
        <v>45017.0</v>
      </c>
      <c r="B1146" s="232" t="s">
        <v>26849</v>
      </c>
      <c r="C1146" s="509" t="s">
        <v>26850</v>
      </c>
      <c r="D1146" s="511"/>
      <c r="E1146" s="511"/>
      <c r="F1146" s="232"/>
      <c r="G1146" s="232" t="s">
        <v>158</v>
      </c>
      <c r="H1146" s="232">
        <v>9.830835023E9</v>
      </c>
      <c r="I1146" s="509" t="s">
        <v>26744</v>
      </c>
      <c r="J1146" s="232" t="b">
        <v>0</v>
      </c>
      <c r="K1146" s="232" t="s">
        <v>22365</v>
      </c>
      <c r="L1146" s="526" t="s">
        <v>24488</v>
      </c>
      <c r="M1146" s="511"/>
      <c r="N1146" s="232"/>
      <c r="O1146" s="232"/>
      <c r="P1146" s="312"/>
      <c r="Q1146" s="312"/>
      <c r="R1146" s="312"/>
      <c r="S1146" s="312"/>
      <c r="T1146" s="312"/>
      <c r="U1146" s="312"/>
    </row>
    <row r="1147">
      <c r="A1147" s="520">
        <v>44986.0</v>
      </c>
      <c r="B1147" s="232" t="s">
        <v>26851</v>
      </c>
      <c r="C1147" s="509" t="s">
        <v>26852</v>
      </c>
      <c r="D1147" s="510" t="s">
        <v>26853</v>
      </c>
      <c r="E1147" s="511"/>
      <c r="F1147" s="232" t="s">
        <v>26854</v>
      </c>
      <c r="G1147" s="232" t="s">
        <v>398</v>
      </c>
      <c r="H1147" s="232">
        <v>9.302184882E9</v>
      </c>
      <c r="I1147" s="509" t="s">
        <v>23563</v>
      </c>
      <c r="J1147" s="232" t="b">
        <v>0</v>
      </c>
      <c r="K1147" s="232" t="s">
        <v>22349</v>
      </c>
      <c r="L1147" s="232"/>
      <c r="M1147" s="511"/>
      <c r="N1147" s="232"/>
      <c r="O1147" s="232"/>
      <c r="P1147" s="312"/>
      <c r="Q1147" s="312"/>
      <c r="R1147" s="312"/>
      <c r="S1147" s="312"/>
      <c r="T1147" s="312"/>
      <c r="U1147" s="312"/>
    </row>
    <row r="1148">
      <c r="A1148" s="520">
        <v>44986.0</v>
      </c>
      <c r="B1148" s="232" t="s">
        <v>26855</v>
      </c>
      <c r="C1148" s="509" t="s">
        <v>26856</v>
      </c>
      <c r="D1148" s="510" t="s">
        <v>26857</v>
      </c>
      <c r="E1148" s="511"/>
      <c r="F1148" s="232" t="s">
        <v>26858</v>
      </c>
      <c r="G1148" s="232" t="s">
        <v>742</v>
      </c>
      <c r="H1148" s="232">
        <v>8.121455358E9</v>
      </c>
      <c r="I1148" s="512" t="s">
        <v>26859</v>
      </c>
      <c r="J1148" s="232" t="b">
        <v>0</v>
      </c>
      <c r="K1148" s="232" t="s">
        <v>334</v>
      </c>
      <c r="L1148" s="232"/>
      <c r="M1148" s="511"/>
      <c r="N1148" s="232"/>
      <c r="O1148" s="232"/>
      <c r="P1148" s="312"/>
      <c r="Q1148" s="312"/>
      <c r="R1148" s="312"/>
      <c r="S1148" s="312"/>
      <c r="T1148" s="312"/>
      <c r="U1148" s="312"/>
    </row>
    <row r="1149">
      <c r="A1149" s="520">
        <v>44986.0</v>
      </c>
      <c r="B1149" s="232" t="s">
        <v>26860</v>
      </c>
      <c r="C1149" s="509" t="s">
        <v>26861</v>
      </c>
      <c r="D1149" s="510" t="s">
        <v>26862</v>
      </c>
      <c r="E1149" s="511"/>
      <c r="F1149" s="232" t="s">
        <v>26863</v>
      </c>
      <c r="G1149" s="232" t="s">
        <v>24462</v>
      </c>
      <c r="H1149" s="232">
        <v>7.906555742E9</v>
      </c>
      <c r="I1149" s="509" t="s">
        <v>26864</v>
      </c>
      <c r="J1149" s="232" t="b">
        <v>0</v>
      </c>
      <c r="K1149" s="232" t="s">
        <v>22365</v>
      </c>
      <c r="L1149" s="232"/>
      <c r="M1149" s="511"/>
      <c r="N1149" s="232"/>
      <c r="O1149" s="232"/>
      <c r="P1149" s="312"/>
      <c r="Q1149" s="312"/>
      <c r="R1149" s="312"/>
      <c r="S1149" s="312"/>
      <c r="T1149" s="312"/>
      <c r="U1149" s="312"/>
    </row>
    <row r="1150">
      <c r="A1150" s="520">
        <v>44986.0</v>
      </c>
      <c r="B1150" s="232" t="s">
        <v>26865</v>
      </c>
      <c r="C1150" s="509" t="s">
        <v>26866</v>
      </c>
      <c r="D1150" s="511"/>
      <c r="E1150" s="511"/>
      <c r="F1150" s="232" t="s">
        <v>26867</v>
      </c>
      <c r="G1150" s="232" t="s">
        <v>2662</v>
      </c>
      <c r="H1150" s="232">
        <v>8.52616036E9</v>
      </c>
      <c r="I1150" s="509" t="s">
        <v>26868</v>
      </c>
      <c r="J1150" s="232" t="b">
        <v>0</v>
      </c>
      <c r="K1150" s="232" t="s">
        <v>22365</v>
      </c>
      <c r="L1150" s="232"/>
      <c r="M1150" s="511"/>
      <c r="N1150" s="232"/>
      <c r="O1150" s="232"/>
      <c r="P1150" s="312"/>
      <c r="Q1150" s="312"/>
      <c r="R1150" s="312"/>
      <c r="S1150" s="312"/>
      <c r="T1150" s="312"/>
      <c r="U1150" s="312"/>
    </row>
    <row r="1151">
      <c r="A1151" s="520">
        <v>44986.0</v>
      </c>
      <c r="B1151" s="232" t="s">
        <v>26869</v>
      </c>
      <c r="C1151" s="509" t="s">
        <v>26870</v>
      </c>
      <c r="D1151" s="510" t="s">
        <v>26871</v>
      </c>
      <c r="E1151" s="511"/>
      <c r="F1151" s="232" t="s">
        <v>26872</v>
      </c>
      <c r="G1151" s="232" t="s">
        <v>742</v>
      </c>
      <c r="H1151" s="232">
        <v>-9.618415311E9</v>
      </c>
      <c r="I1151" s="509" t="s">
        <v>26873</v>
      </c>
      <c r="J1151" s="232" t="b">
        <v>0</v>
      </c>
      <c r="K1151" s="232" t="s">
        <v>22365</v>
      </c>
      <c r="L1151" s="232" t="s">
        <v>23537</v>
      </c>
      <c r="M1151" s="511"/>
      <c r="N1151" s="232"/>
      <c r="O1151" s="232"/>
      <c r="P1151" s="312"/>
      <c r="Q1151" s="312"/>
      <c r="R1151" s="312"/>
      <c r="S1151" s="312"/>
      <c r="T1151" s="312"/>
      <c r="U1151" s="312"/>
    </row>
    <row r="1152">
      <c r="A1152" s="520">
        <v>44986.0</v>
      </c>
      <c r="B1152" s="232" t="s">
        <v>26874</v>
      </c>
      <c r="C1152" s="509" t="s">
        <v>26875</v>
      </c>
      <c r="D1152" s="510" t="s">
        <v>26876</v>
      </c>
      <c r="E1152" s="511"/>
      <c r="F1152" s="232"/>
      <c r="G1152" s="232" t="s">
        <v>23823</v>
      </c>
      <c r="H1152" s="232">
        <v>-9.182582903E9</v>
      </c>
      <c r="I1152" s="509" t="s">
        <v>25714</v>
      </c>
      <c r="J1152" s="232" t="b">
        <v>0</v>
      </c>
      <c r="K1152" s="232" t="s">
        <v>22365</v>
      </c>
      <c r="L1152" s="232"/>
      <c r="M1152" s="511"/>
      <c r="N1152" s="232"/>
      <c r="O1152" s="232"/>
      <c r="P1152" s="312"/>
      <c r="Q1152" s="312"/>
      <c r="R1152" s="312"/>
      <c r="S1152" s="312"/>
      <c r="T1152" s="312"/>
      <c r="U1152" s="312"/>
    </row>
    <row r="1153">
      <c r="A1153" s="520">
        <v>44986.0</v>
      </c>
      <c r="B1153" s="232" t="s">
        <v>26877</v>
      </c>
      <c r="C1153" s="509" t="s">
        <v>26878</v>
      </c>
      <c r="D1153" s="510" t="s">
        <v>26879</v>
      </c>
      <c r="E1153" s="511"/>
      <c r="F1153" s="232" t="s">
        <v>26880</v>
      </c>
      <c r="G1153" s="232" t="s">
        <v>23906</v>
      </c>
      <c r="H1153" s="232">
        <v>8.754794307E9</v>
      </c>
      <c r="I1153" s="509" t="s">
        <v>22961</v>
      </c>
      <c r="J1153" s="232" t="b">
        <v>0</v>
      </c>
      <c r="K1153" s="232" t="s">
        <v>22365</v>
      </c>
      <c r="L1153" s="232" t="s">
        <v>23537</v>
      </c>
      <c r="M1153" s="511"/>
      <c r="N1153" s="232"/>
      <c r="O1153" s="232"/>
      <c r="P1153" s="312"/>
      <c r="Q1153" s="312"/>
      <c r="R1153" s="312"/>
      <c r="S1153" s="312"/>
      <c r="T1153" s="312"/>
      <c r="U1153" s="312"/>
    </row>
    <row r="1154">
      <c r="A1154" s="520">
        <v>44986.0</v>
      </c>
      <c r="B1154" s="232" t="s">
        <v>26881</v>
      </c>
      <c r="C1154" s="509" t="s">
        <v>26882</v>
      </c>
      <c r="D1154" s="510" t="s">
        <v>26883</v>
      </c>
      <c r="E1154" s="511"/>
      <c r="F1154" s="232" t="s">
        <v>26884</v>
      </c>
      <c r="G1154" s="232" t="s">
        <v>23823</v>
      </c>
      <c r="H1154" s="232">
        <v>7.504839554E9</v>
      </c>
      <c r="I1154" s="509" t="s">
        <v>26885</v>
      </c>
      <c r="J1154" s="232" t="b">
        <v>0</v>
      </c>
      <c r="K1154" s="232" t="s">
        <v>22365</v>
      </c>
      <c r="L1154" s="232" t="s">
        <v>23537</v>
      </c>
      <c r="M1154" s="511"/>
      <c r="N1154" s="232"/>
      <c r="O1154" s="232"/>
      <c r="P1154" s="312"/>
      <c r="Q1154" s="312"/>
      <c r="R1154" s="312"/>
      <c r="S1154" s="312"/>
      <c r="T1154" s="312"/>
      <c r="U1154" s="312"/>
    </row>
    <row r="1155">
      <c r="A1155" s="520">
        <v>44986.0</v>
      </c>
      <c r="B1155" s="232" t="s">
        <v>26886</v>
      </c>
      <c r="C1155" s="509" t="s">
        <v>26887</v>
      </c>
      <c r="D1155" s="511"/>
      <c r="E1155" s="511"/>
      <c r="F1155" s="232" t="s">
        <v>26888</v>
      </c>
      <c r="G1155" s="232" t="s">
        <v>44</v>
      </c>
      <c r="H1155" s="232">
        <v>6.289737886E9</v>
      </c>
      <c r="I1155" s="509" t="s">
        <v>22373</v>
      </c>
      <c r="J1155" s="232" t="b">
        <v>0</v>
      </c>
      <c r="K1155" s="232" t="s">
        <v>22355</v>
      </c>
      <c r="L1155" s="232"/>
      <c r="M1155" s="511"/>
      <c r="N1155" s="232"/>
      <c r="O1155" s="232"/>
      <c r="P1155" s="312"/>
      <c r="Q1155" s="312"/>
      <c r="R1155" s="312"/>
      <c r="S1155" s="312"/>
      <c r="T1155" s="312"/>
      <c r="U1155" s="312"/>
    </row>
    <row r="1156">
      <c r="A1156" s="520">
        <v>44986.0</v>
      </c>
      <c r="B1156" s="232" t="s">
        <v>26889</v>
      </c>
      <c r="C1156" s="509" t="s">
        <v>26890</v>
      </c>
      <c r="D1156" s="511"/>
      <c r="E1156" s="511"/>
      <c r="F1156" s="232" t="s">
        <v>26891</v>
      </c>
      <c r="G1156" s="232" t="s">
        <v>7995</v>
      </c>
      <c r="H1156" s="232">
        <v>8.017875059E9</v>
      </c>
      <c r="I1156" s="509" t="s">
        <v>26892</v>
      </c>
      <c r="J1156" s="232" t="b">
        <v>0</v>
      </c>
      <c r="K1156" s="232"/>
      <c r="L1156" s="232"/>
      <c r="M1156" s="511"/>
      <c r="N1156" s="232"/>
      <c r="O1156" s="232"/>
      <c r="P1156" s="312"/>
      <c r="Q1156" s="312"/>
      <c r="R1156" s="312"/>
      <c r="S1156" s="312"/>
      <c r="T1156" s="312"/>
      <c r="U1156" s="312"/>
    </row>
    <row r="1157">
      <c r="A1157" s="520">
        <v>44986.0</v>
      </c>
      <c r="B1157" s="232" t="s">
        <v>26893</v>
      </c>
      <c r="C1157" s="509" t="s">
        <v>26894</v>
      </c>
      <c r="D1157" s="511"/>
      <c r="E1157" s="511"/>
      <c r="F1157" s="232"/>
      <c r="G1157" s="232" t="s">
        <v>44</v>
      </c>
      <c r="H1157" s="232">
        <v>9.804618432E9</v>
      </c>
      <c r="I1157" s="509" t="s">
        <v>22289</v>
      </c>
      <c r="J1157" s="232" t="b">
        <v>0</v>
      </c>
      <c r="K1157" s="232"/>
      <c r="L1157" s="232"/>
      <c r="M1157" s="511"/>
      <c r="N1157" s="232"/>
      <c r="O1157" s="232"/>
      <c r="P1157" s="312"/>
      <c r="Q1157" s="312"/>
      <c r="R1157" s="312"/>
      <c r="S1157" s="312"/>
      <c r="T1157" s="312"/>
      <c r="U1157" s="312"/>
    </row>
    <row r="1158">
      <c r="A1158" s="520">
        <v>44958.0</v>
      </c>
      <c r="B1158" s="232" t="s">
        <v>26895</v>
      </c>
      <c r="C1158" s="509" t="s">
        <v>23487</v>
      </c>
      <c r="D1158" s="510" t="s">
        <v>26896</v>
      </c>
      <c r="E1158" s="511"/>
      <c r="F1158" s="232"/>
      <c r="G1158" s="232" t="s">
        <v>22592</v>
      </c>
      <c r="H1158" s="232">
        <v>-8.208816929E9</v>
      </c>
      <c r="I1158" s="509" t="s">
        <v>26897</v>
      </c>
      <c r="J1158" s="232" t="b">
        <v>0</v>
      </c>
      <c r="K1158" s="232" t="s">
        <v>22365</v>
      </c>
      <c r="L1158" s="232" t="s">
        <v>26898</v>
      </c>
      <c r="M1158" s="511"/>
      <c r="N1158" s="232"/>
      <c r="O1158" s="232"/>
      <c r="P1158" s="312"/>
      <c r="Q1158" s="312"/>
      <c r="R1158" s="312"/>
      <c r="S1158" s="312"/>
      <c r="T1158" s="312"/>
      <c r="U1158" s="312"/>
    </row>
    <row r="1159">
      <c r="A1159" s="520">
        <v>44958.0</v>
      </c>
      <c r="B1159" s="232" t="s">
        <v>26899</v>
      </c>
      <c r="C1159" s="509" t="s">
        <v>26900</v>
      </c>
      <c r="D1159" s="511"/>
      <c r="E1159" s="511"/>
      <c r="F1159" s="232" t="s">
        <v>26901</v>
      </c>
      <c r="G1159" s="232" t="s">
        <v>22742</v>
      </c>
      <c r="H1159" s="232">
        <v>9.740723164E9</v>
      </c>
      <c r="I1159" s="509" t="s">
        <v>26902</v>
      </c>
      <c r="J1159" s="232" t="b">
        <v>0</v>
      </c>
      <c r="K1159" s="232" t="s">
        <v>334</v>
      </c>
      <c r="L1159" s="232"/>
      <c r="M1159" s="511"/>
      <c r="N1159" s="232"/>
      <c r="O1159" s="232"/>
      <c r="P1159" s="312"/>
      <c r="Q1159" s="312"/>
      <c r="R1159" s="312"/>
      <c r="S1159" s="312"/>
      <c r="T1159" s="312"/>
      <c r="U1159" s="312"/>
    </row>
    <row r="1160">
      <c r="A1160" s="520">
        <v>44958.0</v>
      </c>
      <c r="B1160" s="232" t="s">
        <v>26903</v>
      </c>
      <c r="C1160" s="509" t="s">
        <v>26904</v>
      </c>
      <c r="D1160" s="510" t="s">
        <v>26905</v>
      </c>
      <c r="E1160" s="511"/>
      <c r="F1160" s="232" t="s">
        <v>26906</v>
      </c>
      <c r="G1160" s="232" t="s">
        <v>22960</v>
      </c>
      <c r="H1160" s="232">
        <v>9.789824353E9</v>
      </c>
      <c r="I1160" s="509" t="s">
        <v>26907</v>
      </c>
      <c r="J1160" s="232" t="b">
        <v>0</v>
      </c>
      <c r="K1160" s="232" t="s">
        <v>22365</v>
      </c>
      <c r="L1160" s="232"/>
      <c r="M1160" s="511"/>
      <c r="N1160" s="232"/>
      <c r="O1160" s="232"/>
      <c r="P1160" s="312"/>
      <c r="Q1160" s="312"/>
      <c r="R1160" s="312"/>
      <c r="S1160" s="312"/>
      <c r="T1160" s="312"/>
      <c r="U1160" s="312"/>
    </row>
    <row r="1161">
      <c r="A1161" s="520">
        <v>44958.0</v>
      </c>
      <c r="B1161" s="232" t="s">
        <v>26908</v>
      </c>
      <c r="C1161" s="509" t="s">
        <v>26909</v>
      </c>
      <c r="D1161" s="510" t="s">
        <v>26910</v>
      </c>
      <c r="E1161" s="511"/>
      <c r="F1161" s="232" t="s">
        <v>26911</v>
      </c>
      <c r="G1161" s="232" t="s">
        <v>507</v>
      </c>
      <c r="H1161" s="232">
        <v>9.004887265E9</v>
      </c>
      <c r="I1161" s="509" t="s">
        <v>22373</v>
      </c>
      <c r="J1161" s="232" t="b">
        <v>0</v>
      </c>
      <c r="K1161" s="232" t="s">
        <v>12092</v>
      </c>
      <c r="L1161" s="232"/>
      <c r="M1161" s="511"/>
      <c r="N1161" s="232"/>
      <c r="O1161" s="232"/>
      <c r="P1161" s="312"/>
      <c r="Q1161" s="312"/>
      <c r="R1161" s="312"/>
      <c r="S1161" s="312"/>
      <c r="T1161" s="312"/>
      <c r="U1161" s="312"/>
    </row>
    <row r="1162">
      <c r="A1162" s="520">
        <v>44958.0</v>
      </c>
      <c r="B1162" s="232" t="s">
        <v>26912</v>
      </c>
      <c r="C1162" s="509" t="s">
        <v>26913</v>
      </c>
      <c r="D1162" s="511"/>
      <c r="E1162" s="511"/>
      <c r="F1162" s="232" t="s">
        <v>26914</v>
      </c>
      <c r="G1162" s="232" t="s">
        <v>26915</v>
      </c>
      <c r="H1162" s="232">
        <v>9.880859553E9</v>
      </c>
      <c r="I1162" s="509" t="s">
        <v>22289</v>
      </c>
      <c r="J1162" s="232" t="b">
        <v>0</v>
      </c>
      <c r="K1162" s="232" t="s">
        <v>22365</v>
      </c>
      <c r="L1162" s="232"/>
      <c r="M1162" s="511"/>
      <c r="N1162" s="232"/>
      <c r="O1162" s="232"/>
      <c r="P1162" s="312"/>
      <c r="Q1162" s="312"/>
      <c r="R1162" s="312"/>
      <c r="S1162" s="312"/>
      <c r="T1162" s="312"/>
      <c r="U1162" s="312"/>
    </row>
    <row r="1163">
      <c r="A1163" s="520">
        <v>44958.0</v>
      </c>
      <c r="B1163" s="232" t="s">
        <v>26916</v>
      </c>
      <c r="C1163" s="509" t="s">
        <v>26917</v>
      </c>
      <c r="D1163" s="511"/>
      <c r="E1163" s="511"/>
      <c r="F1163" s="232" t="s">
        <v>26918</v>
      </c>
      <c r="G1163" s="232" t="s">
        <v>2403</v>
      </c>
      <c r="H1163" s="232">
        <v>8.945904881E9</v>
      </c>
      <c r="I1163" s="509" t="s">
        <v>22698</v>
      </c>
      <c r="J1163" s="232" t="b">
        <v>0</v>
      </c>
      <c r="K1163" s="232" t="s">
        <v>12092</v>
      </c>
      <c r="L1163" s="232"/>
      <c r="M1163" s="511"/>
      <c r="N1163" s="232"/>
      <c r="O1163" s="232"/>
      <c r="P1163" s="312"/>
      <c r="Q1163" s="312"/>
      <c r="R1163" s="312"/>
      <c r="S1163" s="312"/>
      <c r="T1163" s="312"/>
      <c r="U1163" s="312"/>
    </row>
    <row r="1164">
      <c r="A1164" s="520">
        <v>44958.0</v>
      </c>
      <c r="B1164" s="232" t="s">
        <v>26919</v>
      </c>
      <c r="C1164" s="509" t="s">
        <v>26920</v>
      </c>
      <c r="D1164" s="511"/>
      <c r="E1164" s="511"/>
      <c r="F1164" s="232" t="s">
        <v>26921</v>
      </c>
      <c r="G1164" s="232" t="s">
        <v>26922</v>
      </c>
      <c r="H1164" s="232">
        <v>9.895590615E9</v>
      </c>
      <c r="I1164" s="509" t="s">
        <v>26923</v>
      </c>
      <c r="J1164" s="232" t="b">
        <v>0</v>
      </c>
      <c r="K1164" s="232" t="s">
        <v>22365</v>
      </c>
      <c r="L1164" s="232"/>
      <c r="M1164" s="511"/>
      <c r="N1164" s="232"/>
      <c r="O1164" s="232"/>
      <c r="P1164" s="312"/>
      <c r="Q1164" s="312"/>
      <c r="R1164" s="312"/>
      <c r="S1164" s="312"/>
      <c r="T1164" s="312"/>
      <c r="U1164" s="312"/>
    </row>
    <row r="1165">
      <c r="A1165" s="520">
        <v>44958.0</v>
      </c>
      <c r="B1165" s="232" t="s">
        <v>26924</v>
      </c>
      <c r="C1165" s="510" t="s">
        <v>26925</v>
      </c>
      <c r="D1165" s="510"/>
      <c r="E1165" s="511"/>
      <c r="F1165" s="232" t="s">
        <v>26926</v>
      </c>
      <c r="G1165" s="232" t="s">
        <v>26927</v>
      </c>
      <c r="H1165" s="232">
        <v>9.861928403E9</v>
      </c>
      <c r="I1165" s="509" t="s">
        <v>26928</v>
      </c>
      <c r="J1165" s="232" t="b">
        <v>0</v>
      </c>
      <c r="K1165" s="232" t="s">
        <v>22365</v>
      </c>
      <c r="L1165" s="232" t="s">
        <v>26929</v>
      </c>
      <c r="M1165" s="511"/>
      <c r="N1165" s="232"/>
      <c r="O1165" s="232"/>
      <c r="P1165" s="312"/>
      <c r="Q1165" s="312"/>
      <c r="R1165" s="312"/>
      <c r="S1165" s="312"/>
      <c r="T1165" s="312"/>
      <c r="U1165" s="312"/>
    </row>
    <row r="1166">
      <c r="A1166" s="520">
        <v>44958.0</v>
      </c>
      <c r="B1166" s="232" t="s">
        <v>26930</v>
      </c>
      <c r="C1166" s="509" t="s">
        <v>26931</v>
      </c>
      <c r="D1166" s="511"/>
      <c r="E1166" s="511"/>
      <c r="F1166" s="232" t="s">
        <v>26932</v>
      </c>
      <c r="G1166" s="232" t="s">
        <v>278</v>
      </c>
      <c r="H1166" s="232">
        <v>8.001031753E9</v>
      </c>
      <c r="I1166" s="509" t="s">
        <v>26933</v>
      </c>
      <c r="J1166" s="232" t="b">
        <v>0</v>
      </c>
      <c r="K1166" s="232"/>
      <c r="L1166" s="232"/>
      <c r="M1166" s="511"/>
      <c r="N1166" s="232"/>
      <c r="O1166" s="232"/>
      <c r="P1166" s="312"/>
      <c r="Q1166" s="312"/>
      <c r="R1166" s="312"/>
      <c r="S1166" s="312"/>
      <c r="T1166" s="312"/>
      <c r="U1166" s="312"/>
    </row>
    <row r="1167">
      <c r="A1167" s="520">
        <v>44958.0</v>
      </c>
      <c r="B1167" s="232" t="s">
        <v>26934</v>
      </c>
      <c r="C1167" s="509" t="s">
        <v>26935</v>
      </c>
      <c r="D1167" s="511"/>
      <c r="E1167" s="511"/>
      <c r="F1167" s="232" t="s">
        <v>26936</v>
      </c>
      <c r="G1167" s="232" t="s">
        <v>26937</v>
      </c>
      <c r="H1167" s="232">
        <v>9.847706598E9</v>
      </c>
      <c r="I1167" s="509" t="s">
        <v>23252</v>
      </c>
      <c r="J1167" s="232" t="b">
        <v>0</v>
      </c>
      <c r="K1167" s="232" t="s">
        <v>22365</v>
      </c>
      <c r="L1167" s="232" t="s">
        <v>26938</v>
      </c>
      <c r="M1167" s="511"/>
      <c r="N1167" s="232"/>
      <c r="O1167" s="232"/>
      <c r="P1167" s="312"/>
      <c r="Q1167" s="312"/>
      <c r="R1167" s="312"/>
      <c r="S1167" s="312"/>
      <c r="T1167" s="312"/>
      <c r="U1167" s="312"/>
    </row>
    <row r="1168">
      <c r="A1168" s="520">
        <v>44958.0</v>
      </c>
      <c r="B1168" s="232" t="s">
        <v>26939</v>
      </c>
      <c r="C1168" s="509" t="s">
        <v>26940</v>
      </c>
      <c r="D1168" s="511"/>
      <c r="E1168" s="511"/>
      <c r="F1168" s="19" t="s">
        <v>26941</v>
      </c>
      <c r="G1168" s="232" t="s">
        <v>4944</v>
      </c>
      <c r="H1168" s="232">
        <v>8.87017886E9</v>
      </c>
      <c r="I1168" s="509" t="s">
        <v>24052</v>
      </c>
      <c r="J1168" s="232" t="b">
        <v>0</v>
      </c>
      <c r="K1168" s="232" t="s">
        <v>22355</v>
      </c>
      <c r="L1168" s="232"/>
      <c r="M1168" s="511"/>
      <c r="N1168" s="232"/>
      <c r="O1168" s="232"/>
      <c r="P1168" s="312"/>
      <c r="Q1168" s="312"/>
      <c r="R1168" s="312"/>
      <c r="S1168" s="312"/>
      <c r="T1168" s="312"/>
      <c r="U1168" s="312"/>
    </row>
    <row r="1169">
      <c r="A1169" s="508" t="s">
        <v>26942</v>
      </c>
      <c r="B1169" s="232" t="s">
        <v>26939</v>
      </c>
      <c r="C1169" s="509" t="s">
        <v>26943</v>
      </c>
      <c r="D1169" s="510" t="s">
        <v>26944</v>
      </c>
      <c r="E1169" s="511"/>
      <c r="F1169" s="232"/>
      <c r="G1169" s="232" t="s">
        <v>26945</v>
      </c>
      <c r="H1169" s="232">
        <v>-9.710583686E9</v>
      </c>
      <c r="I1169" s="509" t="s">
        <v>26946</v>
      </c>
      <c r="J1169" s="232" t="b">
        <v>0</v>
      </c>
      <c r="K1169" s="232" t="s">
        <v>22355</v>
      </c>
      <c r="L1169" s="232"/>
      <c r="M1169" s="511"/>
      <c r="N1169" s="232"/>
      <c r="O1169" s="232"/>
      <c r="P1169" s="312"/>
      <c r="Q1169" s="312"/>
      <c r="R1169" s="312"/>
      <c r="S1169" s="312"/>
      <c r="T1169" s="312"/>
      <c r="U1169" s="312"/>
    </row>
    <row r="1170">
      <c r="A1170" s="508" t="s">
        <v>26942</v>
      </c>
      <c r="B1170" s="232" t="s">
        <v>26947</v>
      </c>
      <c r="C1170" s="509" t="s">
        <v>26913</v>
      </c>
      <c r="D1170" s="510" t="s">
        <v>26948</v>
      </c>
      <c r="E1170" s="511"/>
      <c r="F1170" s="232" t="s">
        <v>26914</v>
      </c>
      <c r="G1170" s="232" t="s">
        <v>26949</v>
      </c>
      <c r="H1170" s="232">
        <v>9.880859553E9</v>
      </c>
      <c r="I1170" s="509" t="s">
        <v>22289</v>
      </c>
      <c r="J1170" s="232" t="b">
        <v>0</v>
      </c>
      <c r="K1170" s="232" t="s">
        <v>334</v>
      </c>
      <c r="L1170" s="232"/>
      <c r="M1170" s="511"/>
      <c r="N1170" s="232"/>
      <c r="O1170" s="232"/>
      <c r="P1170" s="312"/>
      <c r="Q1170" s="312"/>
      <c r="R1170" s="312"/>
      <c r="S1170" s="312"/>
      <c r="T1170" s="312"/>
      <c r="U1170" s="312"/>
    </row>
    <row r="1171">
      <c r="A1171" s="508" t="s">
        <v>26942</v>
      </c>
      <c r="B1171" s="232" t="s">
        <v>26950</v>
      </c>
      <c r="C1171" s="509" t="s">
        <v>26951</v>
      </c>
      <c r="D1171" s="511"/>
      <c r="E1171" s="511"/>
      <c r="F1171" s="232" t="s">
        <v>26952</v>
      </c>
      <c r="G1171" s="232" t="s">
        <v>519</v>
      </c>
      <c r="H1171" s="232">
        <v>-9.099173743E9</v>
      </c>
      <c r="I1171" s="509" t="s">
        <v>25202</v>
      </c>
      <c r="J1171" s="232" t="b">
        <v>0</v>
      </c>
      <c r="K1171" s="232" t="s">
        <v>334</v>
      </c>
      <c r="L1171" s="232"/>
      <c r="M1171" s="511"/>
      <c r="N1171" s="232"/>
      <c r="O1171" s="232"/>
      <c r="P1171" s="312"/>
      <c r="Q1171" s="312"/>
      <c r="R1171" s="312"/>
      <c r="S1171" s="312"/>
      <c r="T1171" s="312"/>
      <c r="U1171" s="312"/>
    </row>
    <row r="1172">
      <c r="A1172" s="508" t="s">
        <v>26942</v>
      </c>
      <c r="B1172" s="232" t="s">
        <v>26953</v>
      </c>
      <c r="C1172" s="509" t="s">
        <v>26954</v>
      </c>
      <c r="D1172" s="510" t="s">
        <v>26955</v>
      </c>
      <c r="E1172" s="511"/>
      <c r="F1172" s="232" t="s">
        <v>26956</v>
      </c>
      <c r="G1172" s="232" t="s">
        <v>26957</v>
      </c>
      <c r="H1172" s="232">
        <v>8.917245306E9</v>
      </c>
      <c r="I1172" s="509" t="s">
        <v>26958</v>
      </c>
      <c r="J1172" s="232" t="b">
        <v>0</v>
      </c>
      <c r="K1172" s="232" t="s">
        <v>22365</v>
      </c>
      <c r="L1172" s="232"/>
      <c r="M1172" s="511"/>
      <c r="N1172" s="232"/>
      <c r="O1172" s="232"/>
      <c r="P1172" s="312"/>
      <c r="Q1172" s="312"/>
      <c r="R1172" s="312"/>
      <c r="S1172" s="312"/>
      <c r="T1172" s="312"/>
      <c r="U1172" s="312"/>
    </row>
    <row r="1173">
      <c r="A1173" s="508" t="s">
        <v>26942</v>
      </c>
      <c r="B1173" s="232" t="s">
        <v>26959</v>
      </c>
      <c r="C1173" s="509" t="s">
        <v>26960</v>
      </c>
      <c r="D1173" s="510" t="s">
        <v>26961</v>
      </c>
      <c r="E1173" s="511"/>
      <c r="F1173" s="232" t="s">
        <v>26962</v>
      </c>
      <c r="G1173" s="232" t="s">
        <v>24809</v>
      </c>
      <c r="H1173" s="232">
        <v>8.420034727E9</v>
      </c>
      <c r="I1173" s="509" t="s">
        <v>26963</v>
      </c>
      <c r="J1173" s="232" t="b">
        <v>0</v>
      </c>
      <c r="K1173" s="232" t="s">
        <v>22365</v>
      </c>
      <c r="L1173" s="232"/>
      <c r="M1173" s="511"/>
      <c r="N1173" s="232"/>
      <c r="O1173" s="232"/>
      <c r="P1173" s="312"/>
      <c r="Q1173" s="312"/>
      <c r="R1173" s="312"/>
      <c r="S1173" s="312"/>
      <c r="T1173" s="312"/>
      <c r="U1173" s="312"/>
    </row>
    <row r="1174">
      <c r="A1174" s="508" t="s">
        <v>26942</v>
      </c>
      <c r="B1174" s="232" t="s">
        <v>26964</v>
      </c>
      <c r="C1174" s="509" t="s">
        <v>26965</v>
      </c>
      <c r="D1174" s="511"/>
      <c r="E1174" s="511"/>
      <c r="F1174" s="232"/>
      <c r="G1174" s="232" t="s">
        <v>26966</v>
      </c>
      <c r="H1174" s="232">
        <v>7.0088762E9</v>
      </c>
      <c r="I1174" s="509" t="s">
        <v>26967</v>
      </c>
      <c r="J1174" s="232" t="b">
        <v>0</v>
      </c>
      <c r="K1174" s="232" t="s">
        <v>22355</v>
      </c>
      <c r="L1174" s="232"/>
      <c r="M1174" s="511"/>
      <c r="N1174" s="232"/>
      <c r="O1174" s="232"/>
      <c r="P1174" s="312"/>
      <c r="Q1174" s="312"/>
      <c r="R1174" s="312"/>
      <c r="S1174" s="312"/>
      <c r="T1174" s="312"/>
      <c r="U1174" s="312"/>
    </row>
    <row r="1175">
      <c r="A1175" s="508" t="s">
        <v>26968</v>
      </c>
      <c r="B1175" s="232" t="s">
        <v>26969</v>
      </c>
      <c r="C1175" s="509" t="s">
        <v>17829</v>
      </c>
      <c r="D1175" s="511"/>
      <c r="E1175" s="511"/>
      <c r="F1175" s="232" t="s">
        <v>26970</v>
      </c>
      <c r="G1175" s="232" t="s">
        <v>22592</v>
      </c>
      <c r="H1175" s="232">
        <v>7.354171177E9</v>
      </c>
      <c r="I1175" s="509" t="s">
        <v>26971</v>
      </c>
      <c r="J1175" s="232" t="b">
        <v>0</v>
      </c>
      <c r="K1175" s="232" t="s">
        <v>22365</v>
      </c>
      <c r="L1175" s="232" t="s">
        <v>23537</v>
      </c>
      <c r="M1175" s="511"/>
      <c r="N1175" s="232"/>
      <c r="O1175" s="232"/>
      <c r="P1175" s="312"/>
      <c r="Q1175" s="312"/>
      <c r="R1175" s="312"/>
      <c r="S1175" s="312"/>
      <c r="T1175" s="312"/>
      <c r="U1175" s="312"/>
    </row>
    <row r="1176">
      <c r="A1176" s="508" t="s">
        <v>26968</v>
      </c>
      <c r="B1176" s="232" t="s">
        <v>26972</v>
      </c>
      <c r="C1176" s="509" t="s">
        <v>26973</v>
      </c>
      <c r="D1176" s="510" t="s">
        <v>26974</v>
      </c>
      <c r="E1176" s="511"/>
      <c r="F1176" s="232" t="s">
        <v>26975</v>
      </c>
      <c r="G1176" s="232" t="s">
        <v>467</v>
      </c>
      <c r="H1176" s="232">
        <v>9.33633072E9</v>
      </c>
      <c r="I1176" s="509" t="s">
        <v>26976</v>
      </c>
      <c r="J1176" s="232" t="b">
        <v>0</v>
      </c>
      <c r="K1176" s="232" t="s">
        <v>22365</v>
      </c>
      <c r="L1176" s="232" t="s">
        <v>26977</v>
      </c>
      <c r="M1176" s="511"/>
      <c r="N1176" s="232"/>
      <c r="O1176" s="232"/>
      <c r="P1176" s="312"/>
      <c r="Q1176" s="312"/>
      <c r="R1176" s="312"/>
      <c r="S1176" s="312"/>
      <c r="T1176" s="312"/>
      <c r="U1176" s="312"/>
    </row>
    <row r="1177">
      <c r="A1177" s="508" t="s">
        <v>26968</v>
      </c>
      <c r="B1177" s="232" t="s">
        <v>26978</v>
      </c>
      <c r="C1177" s="509" t="s">
        <v>26979</v>
      </c>
      <c r="D1177" s="511"/>
      <c r="E1177" s="511"/>
      <c r="F1177" s="232" t="s">
        <v>26980</v>
      </c>
      <c r="G1177" s="232" t="s">
        <v>22742</v>
      </c>
      <c r="H1177" s="232">
        <v>9.776050401E9</v>
      </c>
      <c r="I1177" s="512" t="s">
        <v>26981</v>
      </c>
      <c r="J1177" s="232" t="b">
        <v>0</v>
      </c>
      <c r="K1177" s="232" t="s">
        <v>22365</v>
      </c>
      <c r="L1177" s="232"/>
      <c r="M1177" s="511"/>
      <c r="N1177" s="232"/>
      <c r="O1177" s="232"/>
      <c r="P1177" s="312"/>
      <c r="Q1177" s="312"/>
      <c r="R1177" s="312"/>
      <c r="S1177" s="312"/>
      <c r="T1177" s="312"/>
      <c r="U1177" s="312"/>
    </row>
    <row r="1178">
      <c r="A1178" s="508" t="s">
        <v>26968</v>
      </c>
      <c r="B1178" s="232" t="s">
        <v>26982</v>
      </c>
      <c r="C1178" s="509" t="s">
        <v>26983</v>
      </c>
      <c r="D1178" s="511"/>
      <c r="E1178" s="511"/>
      <c r="F1178" s="232"/>
      <c r="G1178" s="232" t="s">
        <v>22348</v>
      </c>
      <c r="H1178" s="232">
        <v>8.083423137E9</v>
      </c>
      <c r="I1178" s="509" t="s">
        <v>22354</v>
      </c>
      <c r="J1178" s="232" t="b">
        <v>0</v>
      </c>
      <c r="K1178" s="232" t="s">
        <v>22355</v>
      </c>
      <c r="L1178" s="232"/>
      <c r="N1178" s="232"/>
      <c r="O1178" s="232"/>
      <c r="P1178" s="312"/>
      <c r="Q1178" s="312"/>
      <c r="R1178" s="312"/>
      <c r="S1178" s="312"/>
      <c r="T1178" s="312"/>
      <c r="U1178" s="312"/>
    </row>
    <row r="1179">
      <c r="A1179" s="513" t="s">
        <v>26968</v>
      </c>
      <c r="B1179" s="514" t="s">
        <v>26984</v>
      </c>
      <c r="C1179" s="515" t="s">
        <v>26214</v>
      </c>
      <c r="D1179" s="516" t="s">
        <v>26985</v>
      </c>
      <c r="E1179" s="517"/>
      <c r="F1179" s="514" t="s">
        <v>26215</v>
      </c>
      <c r="G1179" s="514" t="s">
        <v>22742</v>
      </c>
      <c r="H1179" s="514">
        <v>9.348196579E9</v>
      </c>
      <c r="I1179" s="515" t="s">
        <v>22289</v>
      </c>
      <c r="J1179" s="514" t="b">
        <v>0</v>
      </c>
      <c r="K1179" s="514" t="s">
        <v>22312</v>
      </c>
      <c r="L1179" s="518" t="s">
        <v>26986</v>
      </c>
      <c r="M1179" s="511"/>
      <c r="N1179" s="232"/>
      <c r="O1179" s="232"/>
      <c r="P1179" s="312"/>
      <c r="Q1179" s="312"/>
      <c r="R1179" s="312"/>
      <c r="S1179" s="312"/>
      <c r="T1179" s="312"/>
      <c r="U1179" s="312"/>
    </row>
    <row r="1180">
      <c r="A1180" s="513" t="s">
        <v>26968</v>
      </c>
      <c r="B1180" s="514" t="s">
        <v>26987</v>
      </c>
      <c r="C1180" s="515" t="s">
        <v>26988</v>
      </c>
      <c r="D1180" s="516" t="s">
        <v>26989</v>
      </c>
      <c r="E1180" s="517"/>
      <c r="F1180" s="514" t="s">
        <v>26990</v>
      </c>
      <c r="G1180" s="514" t="s">
        <v>26991</v>
      </c>
      <c r="H1180" s="514">
        <v>8.804426824E9</v>
      </c>
      <c r="I1180" s="515" t="s">
        <v>24214</v>
      </c>
      <c r="J1180" s="514" t="b">
        <v>0</v>
      </c>
      <c r="K1180" s="514" t="s">
        <v>22312</v>
      </c>
      <c r="L1180" s="514" t="s">
        <v>26992</v>
      </c>
      <c r="M1180" s="511"/>
      <c r="N1180" s="232"/>
      <c r="O1180" s="232"/>
      <c r="P1180" s="312"/>
      <c r="Q1180" s="312"/>
      <c r="R1180" s="312"/>
      <c r="S1180" s="312"/>
      <c r="T1180" s="312"/>
      <c r="U1180" s="312"/>
    </row>
    <row r="1181">
      <c r="A1181" s="508" t="s">
        <v>26968</v>
      </c>
      <c r="B1181" s="232" t="s">
        <v>26993</v>
      </c>
      <c r="C1181" s="509" t="s">
        <v>25563</v>
      </c>
      <c r="D1181" s="511"/>
      <c r="E1181" s="511"/>
      <c r="F1181" s="232" t="s">
        <v>26994</v>
      </c>
      <c r="G1181" s="232" t="s">
        <v>44</v>
      </c>
      <c r="H1181" s="232">
        <v>8.017158668E9</v>
      </c>
      <c r="I1181" s="509" t="s">
        <v>25075</v>
      </c>
      <c r="J1181" s="232" t="b">
        <v>0</v>
      </c>
      <c r="K1181" s="232" t="s">
        <v>22349</v>
      </c>
      <c r="L1181" s="232" t="s">
        <v>23466</v>
      </c>
      <c r="M1181" s="511"/>
      <c r="N1181" s="232"/>
      <c r="O1181" s="232"/>
      <c r="P1181" s="312"/>
      <c r="Q1181" s="312"/>
      <c r="R1181" s="312"/>
      <c r="S1181" s="312"/>
      <c r="T1181" s="312"/>
      <c r="U1181" s="312"/>
    </row>
    <row r="1182">
      <c r="A1182" s="508" t="s">
        <v>26968</v>
      </c>
      <c r="B1182" s="232" t="s">
        <v>26995</v>
      </c>
      <c r="C1182" s="509" t="s">
        <v>18876</v>
      </c>
      <c r="D1182" s="510" t="s">
        <v>26996</v>
      </c>
      <c r="E1182" s="511"/>
      <c r="F1182" s="232"/>
      <c r="G1182" s="232" t="s">
        <v>24162</v>
      </c>
      <c r="H1182" s="232">
        <v>8.91000387E9</v>
      </c>
      <c r="I1182" s="509" t="s">
        <v>26705</v>
      </c>
      <c r="J1182" s="232" t="b">
        <v>0</v>
      </c>
      <c r="K1182" s="232"/>
      <c r="L1182" s="232"/>
      <c r="M1182" s="511"/>
      <c r="N1182" s="232"/>
      <c r="O1182" s="232"/>
      <c r="P1182" s="312"/>
      <c r="Q1182" s="312"/>
      <c r="R1182" s="312"/>
      <c r="S1182" s="312"/>
      <c r="T1182" s="312"/>
      <c r="U1182" s="312"/>
    </row>
    <row r="1183">
      <c r="A1183" s="508" t="s">
        <v>26968</v>
      </c>
      <c r="B1183" s="232" t="s">
        <v>26997</v>
      </c>
      <c r="C1183" s="509" t="s">
        <v>26998</v>
      </c>
      <c r="D1183" s="511"/>
      <c r="E1183" s="511"/>
      <c r="F1183" s="232" t="s">
        <v>26999</v>
      </c>
      <c r="G1183" s="232" t="s">
        <v>44</v>
      </c>
      <c r="H1183" s="232">
        <v>8.145310934E9</v>
      </c>
      <c r="I1183" s="509" t="s">
        <v>22727</v>
      </c>
      <c r="J1183" s="232" t="b">
        <v>0</v>
      </c>
      <c r="K1183" s="232"/>
      <c r="L1183" s="232"/>
      <c r="M1183" s="511"/>
      <c r="N1183" s="232"/>
      <c r="O1183" s="232"/>
      <c r="P1183" s="312"/>
      <c r="Q1183" s="312"/>
      <c r="R1183" s="312"/>
      <c r="S1183" s="312"/>
      <c r="T1183" s="312"/>
      <c r="U1183" s="312"/>
    </row>
    <row r="1184">
      <c r="A1184" s="508" t="s">
        <v>27000</v>
      </c>
      <c r="B1184" s="232" t="s">
        <v>27001</v>
      </c>
      <c r="C1184" s="509" t="s">
        <v>27002</v>
      </c>
      <c r="D1184" s="511"/>
      <c r="E1184" s="511"/>
      <c r="F1184" s="232" t="s">
        <v>27003</v>
      </c>
      <c r="G1184" s="232" t="s">
        <v>25962</v>
      </c>
      <c r="H1184" s="232">
        <v>8.777578858E9</v>
      </c>
      <c r="I1184" s="509" t="s">
        <v>4786</v>
      </c>
      <c r="J1184" s="232" t="b">
        <v>0</v>
      </c>
      <c r="K1184" s="232" t="s">
        <v>22355</v>
      </c>
      <c r="L1184" s="232"/>
      <c r="M1184" s="511"/>
      <c r="N1184" s="232"/>
      <c r="O1184" s="232"/>
      <c r="P1184" s="312"/>
      <c r="Q1184" s="312"/>
      <c r="R1184" s="312"/>
      <c r="S1184" s="312"/>
      <c r="T1184" s="312"/>
      <c r="U1184" s="312"/>
    </row>
    <row r="1185">
      <c r="A1185" s="508" t="s">
        <v>27000</v>
      </c>
      <c r="B1185" s="232" t="s">
        <v>27004</v>
      </c>
      <c r="C1185" s="509" t="s">
        <v>27005</v>
      </c>
      <c r="D1185" s="510" t="s">
        <v>27006</v>
      </c>
      <c r="E1185" s="511"/>
      <c r="F1185" s="232" t="s">
        <v>27007</v>
      </c>
      <c r="G1185" s="232" t="s">
        <v>22479</v>
      </c>
      <c r="H1185" s="232">
        <v>8.96074744E9</v>
      </c>
      <c r="I1185" s="509" t="s">
        <v>26110</v>
      </c>
      <c r="J1185" s="232" t="b">
        <v>0</v>
      </c>
      <c r="K1185" s="232" t="s">
        <v>22365</v>
      </c>
      <c r="L1185" s="425" t="s">
        <v>25715</v>
      </c>
      <c r="M1185" s="511"/>
      <c r="N1185" s="232"/>
      <c r="O1185" s="232"/>
      <c r="P1185" s="312"/>
      <c r="Q1185" s="312"/>
      <c r="R1185" s="312"/>
      <c r="S1185" s="312"/>
      <c r="T1185" s="312"/>
      <c r="U1185" s="312"/>
    </row>
    <row r="1186">
      <c r="A1186" s="508" t="s">
        <v>27000</v>
      </c>
      <c r="B1186" s="232" t="s">
        <v>27008</v>
      </c>
      <c r="C1186" s="509" t="s">
        <v>27009</v>
      </c>
      <c r="D1186" s="511"/>
      <c r="E1186" s="511"/>
      <c r="F1186" s="232"/>
      <c r="G1186" s="232" t="s">
        <v>23823</v>
      </c>
      <c r="H1186" s="232">
        <v>7.906559349E9</v>
      </c>
      <c r="I1186" s="509" t="s">
        <v>25637</v>
      </c>
      <c r="J1186" s="232" t="b">
        <v>0</v>
      </c>
      <c r="K1186" s="232"/>
      <c r="L1186" s="232"/>
      <c r="M1186" s="511"/>
      <c r="N1186" s="232"/>
      <c r="O1186" s="232"/>
      <c r="P1186" s="312"/>
      <c r="Q1186" s="312"/>
      <c r="R1186" s="312"/>
      <c r="S1186" s="312"/>
      <c r="T1186" s="312"/>
      <c r="U1186" s="312"/>
    </row>
    <row r="1187">
      <c r="A1187" s="508" t="s">
        <v>27000</v>
      </c>
      <c r="B1187" s="232" t="s">
        <v>27010</v>
      </c>
      <c r="C1187" s="509" t="s">
        <v>27011</v>
      </c>
      <c r="D1187" s="511"/>
      <c r="E1187" s="511"/>
      <c r="F1187" s="232"/>
      <c r="G1187" s="232" t="s">
        <v>467</v>
      </c>
      <c r="H1187" s="232">
        <v>7.028111252E9</v>
      </c>
      <c r="I1187" s="509" t="s">
        <v>27012</v>
      </c>
      <c r="J1187" s="232" t="b">
        <v>0</v>
      </c>
      <c r="K1187" s="232" t="s">
        <v>334</v>
      </c>
      <c r="L1187" s="232"/>
      <c r="M1187" s="511"/>
      <c r="N1187" s="232"/>
      <c r="O1187" s="232"/>
      <c r="P1187" s="312"/>
      <c r="Q1187" s="312"/>
      <c r="R1187" s="312"/>
      <c r="S1187" s="312"/>
      <c r="T1187" s="312"/>
      <c r="U1187" s="312"/>
    </row>
    <row r="1188">
      <c r="A1188" s="508" t="s">
        <v>27000</v>
      </c>
      <c r="B1188" s="232" t="s">
        <v>27013</v>
      </c>
      <c r="C1188" s="509" t="s">
        <v>21363</v>
      </c>
      <c r="D1188" s="511"/>
      <c r="E1188" s="511"/>
      <c r="F1188" s="232" t="s">
        <v>27014</v>
      </c>
      <c r="G1188" s="232" t="s">
        <v>218</v>
      </c>
      <c r="H1188" s="232">
        <v>8.53704258E9</v>
      </c>
      <c r="I1188" s="509" t="s">
        <v>22825</v>
      </c>
      <c r="J1188" s="232" t="b">
        <v>0</v>
      </c>
      <c r="K1188" s="232" t="s">
        <v>22365</v>
      </c>
      <c r="L1188" s="232"/>
      <c r="M1188" s="511"/>
      <c r="N1188" s="232"/>
      <c r="O1188" s="232"/>
      <c r="P1188" s="312"/>
      <c r="Q1188" s="312"/>
      <c r="R1188" s="312"/>
      <c r="S1188" s="312"/>
      <c r="T1188" s="312"/>
      <c r="U1188" s="312"/>
    </row>
    <row r="1189">
      <c r="A1189" s="508" t="s">
        <v>27000</v>
      </c>
      <c r="B1189" s="232" t="s">
        <v>27015</v>
      </c>
      <c r="C1189" s="509" t="s">
        <v>27016</v>
      </c>
      <c r="D1189" s="511"/>
      <c r="E1189" s="511"/>
      <c r="F1189" s="232" t="s">
        <v>27017</v>
      </c>
      <c r="G1189" s="232" t="s">
        <v>5397</v>
      </c>
      <c r="H1189" s="232">
        <v>7.001937532E9</v>
      </c>
      <c r="I1189" s="509" t="s">
        <v>27018</v>
      </c>
      <c r="J1189" s="232" t="b">
        <v>0</v>
      </c>
      <c r="K1189" s="232" t="s">
        <v>22365</v>
      </c>
      <c r="L1189" s="232" t="s">
        <v>24488</v>
      </c>
      <c r="M1189" s="511"/>
      <c r="N1189" s="232"/>
      <c r="O1189" s="232"/>
      <c r="P1189" s="312"/>
      <c r="Q1189" s="312"/>
      <c r="R1189" s="312"/>
      <c r="S1189" s="312"/>
      <c r="T1189" s="312"/>
      <c r="U1189" s="312"/>
    </row>
    <row r="1190">
      <c r="A1190" s="508" t="s">
        <v>27000</v>
      </c>
      <c r="B1190" s="232" t="s">
        <v>27019</v>
      </c>
      <c r="C1190" s="509" t="s">
        <v>14433</v>
      </c>
      <c r="D1190" s="511"/>
      <c r="E1190" s="511"/>
      <c r="F1190" s="232"/>
      <c r="G1190" s="232" t="s">
        <v>44</v>
      </c>
      <c r="H1190" s="232">
        <v>7.020785981E9</v>
      </c>
      <c r="I1190" s="509" t="s">
        <v>26744</v>
      </c>
      <c r="J1190" s="232" t="b">
        <v>0</v>
      </c>
      <c r="K1190" s="232" t="s">
        <v>22349</v>
      </c>
      <c r="L1190" s="232" t="s">
        <v>27020</v>
      </c>
      <c r="M1190" s="511"/>
      <c r="N1190" s="232"/>
      <c r="O1190" s="232"/>
      <c r="P1190" s="312"/>
      <c r="Q1190" s="312"/>
      <c r="R1190" s="312"/>
      <c r="S1190" s="312"/>
      <c r="T1190" s="312"/>
      <c r="U1190" s="312"/>
    </row>
    <row r="1191">
      <c r="A1191" s="508" t="s">
        <v>27000</v>
      </c>
      <c r="B1191" s="232" t="s">
        <v>27021</v>
      </c>
      <c r="C1191" s="509" t="s">
        <v>27022</v>
      </c>
      <c r="D1191" s="510" t="s">
        <v>27023</v>
      </c>
      <c r="E1191" s="511"/>
      <c r="F1191" s="232" t="s">
        <v>27024</v>
      </c>
      <c r="G1191" s="232" t="s">
        <v>2682</v>
      </c>
      <c r="H1191" s="232">
        <v>8.08819253E9</v>
      </c>
      <c r="I1191" s="509" t="s">
        <v>22727</v>
      </c>
      <c r="J1191" s="232" t="b">
        <v>0</v>
      </c>
      <c r="K1191" s="232" t="s">
        <v>22365</v>
      </c>
      <c r="L1191" s="232" t="s">
        <v>24488</v>
      </c>
      <c r="M1191" s="511"/>
      <c r="N1191" s="232"/>
      <c r="O1191" s="232"/>
      <c r="P1191" s="312"/>
      <c r="Q1191" s="312"/>
      <c r="R1191" s="312"/>
      <c r="S1191" s="312"/>
      <c r="T1191" s="312"/>
      <c r="U1191" s="312"/>
    </row>
    <row r="1192">
      <c r="A1192" s="508" t="s">
        <v>27000</v>
      </c>
      <c r="B1192" s="232" t="s">
        <v>27025</v>
      </c>
      <c r="C1192" s="509" t="s">
        <v>27026</v>
      </c>
      <c r="D1192" s="510" t="s">
        <v>27027</v>
      </c>
      <c r="E1192" s="511"/>
      <c r="F1192" s="232" t="s">
        <v>27028</v>
      </c>
      <c r="G1192" s="232" t="s">
        <v>27029</v>
      </c>
      <c r="H1192" s="232">
        <v>9.9327285E9</v>
      </c>
      <c r="I1192" s="509" t="s">
        <v>22289</v>
      </c>
      <c r="J1192" s="232" t="b">
        <v>0</v>
      </c>
      <c r="K1192" s="232" t="s">
        <v>22365</v>
      </c>
      <c r="L1192" s="232" t="s">
        <v>23537</v>
      </c>
      <c r="M1192" s="511"/>
      <c r="N1192" s="232"/>
      <c r="O1192" s="232"/>
      <c r="P1192" s="312"/>
      <c r="Q1192" s="312"/>
      <c r="R1192" s="312"/>
      <c r="S1192" s="312"/>
      <c r="T1192" s="312"/>
      <c r="U1192" s="312"/>
    </row>
    <row r="1193">
      <c r="A1193" s="508" t="s">
        <v>27000</v>
      </c>
      <c r="B1193" s="232" t="s">
        <v>27030</v>
      </c>
      <c r="C1193" s="509" t="s">
        <v>27031</v>
      </c>
      <c r="D1193" s="511"/>
      <c r="E1193" s="511"/>
      <c r="F1193" s="232" t="s">
        <v>27032</v>
      </c>
      <c r="G1193" s="232" t="s">
        <v>23823</v>
      </c>
      <c r="H1193" s="232">
        <v>8.249038193E9</v>
      </c>
      <c r="I1193" s="509" t="s">
        <v>27033</v>
      </c>
      <c r="J1193" s="232" t="b">
        <v>0</v>
      </c>
      <c r="K1193" s="232" t="s">
        <v>22365</v>
      </c>
      <c r="L1193" s="232"/>
      <c r="M1193" s="511"/>
      <c r="N1193" s="232"/>
      <c r="O1193" s="232"/>
      <c r="P1193" s="312"/>
      <c r="Q1193" s="312"/>
      <c r="R1193" s="312"/>
      <c r="S1193" s="312"/>
      <c r="T1193" s="312"/>
      <c r="U1193" s="312"/>
    </row>
    <row r="1194">
      <c r="A1194" s="508" t="s">
        <v>27000</v>
      </c>
      <c r="B1194" s="232" t="s">
        <v>27034</v>
      </c>
      <c r="C1194" s="509" t="s">
        <v>27035</v>
      </c>
      <c r="D1194" s="511"/>
      <c r="E1194" s="511"/>
      <c r="F1194" s="232" t="s">
        <v>27036</v>
      </c>
      <c r="G1194" s="232" t="s">
        <v>27037</v>
      </c>
      <c r="H1194" s="232">
        <v>8.883780654E9</v>
      </c>
      <c r="I1194" s="509" t="s">
        <v>24783</v>
      </c>
      <c r="J1194" s="232" t="b">
        <v>0</v>
      </c>
      <c r="K1194" s="232" t="s">
        <v>22365</v>
      </c>
      <c r="L1194" s="232"/>
      <c r="M1194" s="511"/>
      <c r="N1194" s="232"/>
      <c r="O1194" s="232"/>
      <c r="P1194" s="312"/>
      <c r="Q1194" s="312"/>
      <c r="R1194" s="312"/>
      <c r="S1194" s="312"/>
      <c r="T1194" s="312"/>
      <c r="U1194" s="312"/>
    </row>
    <row r="1195">
      <c r="A1195" s="508" t="s">
        <v>27000</v>
      </c>
      <c r="B1195" s="232" t="s">
        <v>27038</v>
      </c>
      <c r="C1195" s="509" t="s">
        <v>10083</v>
      </c>
      <c r="D1195" s="511"/>
      <c r="E1195" s="511"/>
      <c r="F1195" s="232" t="s">
        <v>27039</v>
      </c>
      <c r="G1195" s="232" t="s">
        <v>1315</v>
      </c>
      <c r="H1195" s="232">
        <v>9.89898256E9</v>
      </c>
      <c r="I1195" s="509" t="s">
        <v>22984</v>
      </c>
      <c r="J1195" s="232" t="b">
        <v>0</v>
      </c>
      <c r="K1195" s="232" t="s">
        <v>22365</v>
      </c>
      <c r="L1195" s="232"/>
      <c r="M1195" s="511"/>
      <c r="N1195" s="232"/>
      <c r="O1195" s="232"/>
      <c r="P1195" s="312"/>
      <c r="Q1195" s="312"/>
      <c r="R1195" s="312"/>
      <c r="S1195" s="312"/>
      <c r="T1195" s="312"/>
      <c r="U1195" s="312"/>
    </row>
    <row r="1196">
      <c r="A1196" s="508" t="s">
        <v>27040</v>
      </c>
      <c r="B1196" s="232" t="s">
        <v>27041</v>
      </c>
      <c r="C1196" s="509" t="s">
        <v>27042</v>
      </c>
      <c r="D1196" s="511"/>
      <c r="E1196" s="511"/>
      <c r="F1196" s="232" t="s">
        <v>27043</v>
      </c>
      <c r="G1196" s="232" t="s">
        <v>2612</v>
      </c>
      <c r="H1196" s="232">
        <v>9.827339167E9</v>
      </c>
      <c r="I1196" s="509" t="s">
        <v>27044</v>
      </c>
      <c r="J1196" s="232" t="b">
        <v>0</v>
      </c>
      <c r="K1196" s="232"/>
      <c r="L1196" s="232"/>
      <c r="M1196" s="511"/>
      <c r="N1196" s="232"/>
      <c r="O1196" s="232"/>
      <c r="P1196" s="312"/>
      <c r="Q1196" s="312"/>
      <c r="R1196" s="312"/>
      <c r="S1196" s="312"/>
      <c r="T1196" s="312"/>
      <c r="U1196" s="312"/>
    </row>
    <row r="1197">
      <c r="A1197" s="508" t="s">
        <v>27040</v>
      </c>
      <c r="B1197" s="232" t="s">
        <v>27045</v>
      </c>
      <c r="C1197" s="509" t="s">
        <v>27046</v>
      </c>
      <c r="D1197" s="510" t="s">
        <v>27047</v>
      </c>
      <c r="E1197" s="511"/>
      <c r="F1197" s="232" t="s">
        <v>27048</v>
      </c>
      <c r="G1197" s="232" t="s">
        <v>184</v>
      </c>
      <c r="H1197" s="232">
        <v>7.992266521E9</v>
      </c>
      <c r="I1197" s="509" t="s">
        <v>27049</v>
      </c>
      <c r="J1197" s="232" t="b">
        <v>0</v>
      </c>
      <c r="K1197" s="232"/>
      <c r="L1197" s="232"/>
      <c r="M1197" s="511"/>
      <c r="N1197" s="232"/>
      <c r="O1197" s="232"/>
      <c r="P1197" s="312"/>
      <c r="Q1197" s="312"/>
      <c r="R1197" s="312"/>
      <c r="S1197" s="312"/>
      <c r="T1197" s="312"/>
      <c r="U1197" s="312"/>
    </row>
    <row r="1198">
      <c r="A1198" s="508" t="s">
        <v>27040</v>
      </c>
      <c r="B1198" s="232" t="s">
        <v>27045</v>
      </c>
      <c r="C1198" s="509" t="s">
        <v>20070</v>
      </c>
      <c r="D1198" s="511"/>
      <c r="E1198" s="511"/>
      <c r="F1198" s="232" t="s">
        <v>27050</v>
      </c>
      <c r="G1198" s="232" t="s">
        <v>7995</v>
      </c>
      <c r="H1198" s="232">
        <v>9.00207081E9</v>
      </c>
      <c r="I1198" s="509" t="s">
        <v>27051</v>
      </c>
      <c r="J1198" s="232" t="b">
        <v>0</v>
      </c>
      <c r="K1198" s="232" t="s">
        <v>22355</v>
      </c>
      <c r="L1198" s="232"/>
      <c r="M1198" s="511"/>
      <c r="N1198" s="232"/>
      <c r="O1198" s="232"/>
      <c r="P1198" s="312"/>
      <c r="Q1198" s="312"/>
      <c r="R1198" s="312"/>
      <c r="S1198" s="312"/>
      <c r="T1198" s="312"/>
      <c r="U1198" s="312"/>
    </row>
    <row r="1199">
      <c r="A1199" s="508" t="s">
        <v>27040</v>
      </c>
      <c r="B1199" s="232" t="s">
        <v>27052</v>
      </c>
      <c r="C1199" s="509" t="s">
        <v>27053</v>
      </c>
      <c r="D1199" s="510"/>
      <c r="E1199" s="511"/>
      <c r="F1199" s="232" t="s">
        <v>27054</v>
      </c>
      <c r="G1199" s="232" t="s">
        <v>22494</v>
      </c>
      <c r="H1199" s="232">
        <v>9.871610046E9</v>
      </c>
      <c r="I1199" s="509" t="s">
        <v>23848</v>
      </c>
      <c r="J1199" s="232" t="b">
        <v>0</v>
      </c>
      <c r="K1199" s="232" t="s">
        <v>22365</v>
      </c>
      <c r="L1199" s="232"/>
      <c r="M1199" s="511"/>
      <c r="N1199" s="232"/>
      <c r="O1199" s="232"/>
      <c r="P1199" s="312"/>
      <c r="Q1199" s="312"/>
      <c r="R1199" s="312"/>
      <c r="S1199" s="312"/>
      <c r="T1199" s="312"/>
      <c r="U1199" s="312"/>
    </row>
    <row r="1200">
      <c r="A1200" s="508" t="s">
        <v>27040</v>
      </c>
      <c r="B1200" s="232" t="s">
        <v>27055</v>
      </c>
      <c r="C1200" s="509" t="s">
        <v>27056</v>
      </c>
      <c r="D1200" s="510" t="s">
        <v>27057</v>
      </c>
      <c r="E1200" s="511"/>
      <c r="F1200" s="232" t="s">
        <v>27058</v>
      </c>
      <c r="G1200" s="232" t="s">
        <v>3167</v>
      </c>
      <c r="H1200" s="232">
        <v>9.647472721E9</v>
      </c>
      <c r="I1200" s="509" t="s">
        <v>27059</v>
      </c>
      <c r="J1200" s="232" t="b">
        <v>0</v>
      </c>
      <c r="K1200" s="232" t="s">
        <v>22365</v>
      </c>
      <c r="L1200" s="232"/>
      <c r="M1200" s="511"/>
      <c r="N1200" s="232"/>
      <c r="O1200" s="232"/>
      <c r="P1200" s="312"/>
      <c r="Q1200" s="312"/>
      <c r="R1200" s="312"/>
      <c r="S1200" s="312"/>
      <c r="T1200" s="312"/>
      <c r="U1200" s="312"/>
    </row>
    <row r="1201">
      <c r="A1201" s="508" t="s">
        <v>27040</v>
      </c>
      <c r="B1201" s="232" t="s">
        <v>27060</v>
      </c>
      <c r="C1201" s="509" t="s">
        <v>27061</v>
      </c>
      <c r="D1201" s="511"/>
      <c r="E1201" s="511"/>
      <c r="F1201" s="232" t="s">
        <v>27062</v>
      </c>
      <c r="G1201" s="232" t="s">
        <v>27063</v>
      </c>
      <c r="H1201" s="232">
        <v>7.382560381E9</v>
      </c>
      <c r="I1201" s="509" t="s">
        <v>27064</v>
      </c>
      <c r="J1201" s="232" t="b">
        <v>0</v>
      </c>
      <c r="K1201" s="232"/>
      <c r="L1201" s="232"/>
      <c r="M1201" s="511"/>
      <c r="N1201" s="232"/>
      <c r="O1201" s="232"/>
      <c r="P1201" s="312"/>
      <c r="Q1201" s="312"/>
      <c r="R1201" s="312"/>
      <c r="S1201" s="312"/>
      <c r="T1201" s="312"/>
      <c r="U1201" s="312"/>
    </row>
    <row r="1202">
      <c r="A1202" s="508" t="s">
        <v>27040</v>
      </c>
      <c r="B1202" s="232" t="s">
        <v>27065</v>
      </c>
      <c r="C1202" s="509" t="s">
        <v>27066</v>
      </c>
      <c r="D1202" s="511"/>
      <c r="E1202" s="511"/>
      <c r="F1202" s="232" t="s">
        <v>27067</v>
      </c>
      <c r="G1202" s="232" t="s">
        <v>26514</v>
      </c>
      <c r="H1202" s="232">
        <v>7.278020594E9</v>
      </c>
      <c r="I1202" s="512" t="s">
        <v>27068</v>
      </c>
      <c r="J1202" s="232" t="b">
        <v>0</v>
      </c>
      <c r="K1202" s="232" t="s">
        <v>22365</v>
      </c>
      <c r="L1202" s="232" t="s">
        <v>27069</v>
      </c>
      <c r="M1202" s="511"/>
      <c r="N1202" s="232"/>
      <c r="O1202" s="232"/>
      <c r="P1202" s="312"/>
      <c r="Q1202" s="312"/>
      <c r="R1202" s="312"/>
      <c r="S1202" s="312"/>
      <c r="T1202" s="312"/>
      <c r="U1202" s="312"/>
    </row>
    <row r="1203">
      <c r="A1203" s="508" t="s">
        <v>27040</v>
      </c>
      <c r="B1203" s="232" t="s">
        <v>27065</v>
      </c>
      <c r="C1203" s="509" t="s">
        <v>27070</v>
      </c>
      <c r="D1203" s="511"/>
      <c r="E1203" s="511"/>
      <c r="F1203" s="232" t="s">
        <v>27071</v>
      </c>
      <c r="G1203" s="232" t="s">
        <v>44</v>
      </c>
      <c r="H1203" s="232">
        <v>9.231646622E9</v>
      </c>
      <c r="I1203" s="509" t="s">
        <v>22354</v>
      </c>
      <c r="J1203" s="232" t="b">
        <v>0</v>
      </c>
      <c r="K1203" s="232" t="s">
        <v>334</v>
      </c>
      <c r="L1203" s="232" t="s">
        <v>23709</v>
      </c>
      <c r="M1203" s="511"/>
      <c r="N1203" s="232"/>
      <c r="O1203" s="232"/>
      <c r="P1203" s="312"/>
      <c r="Q1203" s="312"/>
      <c r="R1203" s="312"/>
      <c r="S1203" s="312"/>
      <c r="T1203" s="312"/>
      <c r="U1203" s="312"/>
    </row>
    <row r="1204">
      <c r="A1204" s="508" t="s">
        <v>27072</v>
      </c>
      <c r="B1204" s="232" t="s">
        <v>27073</v>
      </c>
      <c r="C1204" s="509" t="s">
        <v>27074</v>
      </c>
      <c r="D1204" s="510" t="s">
        <v>27075</v>
      </c>
      <c r="E1204" s="511"/>
      <c r="F1204" s="232" t="s">
        <v>27076</v>
      </c>
      <c r="G1204" s="232" t="s">
        <v>2662</v>
      </c>
      <c r="H1204" s="232">
        <v>7.358397979E9</v>
      </c>
      <c r="I1204" s="509" t="s">
        <v>22577</v>
      </c>
      <c r="J1204" s="232" t="b">
        <v>0</v>
      </c>
      <c r="K1204" s="232" t="s">
        <v>334</v>
      </c>
      <c r="L1204" s="232"/>
      <c r="M1204" s="511"/>
      <c r="N1204" s="232"/>
      <c r="O1204" s="232"/>
      <c r="P1204" s="312"/>
      <c r="Q1204" s="312"/>
      <c r="R1204" s="312"/>
      <c r="S1204" s="312"/>
      <c r="T1204" s="312"/>
      <c r="U1204" s="312"/>
    </row>
    <row r="1205">
      <c r="A1205" s="513" t="s">
        <v>27072</v>
      </c>
      <c r="B1205" s="514" t="s">
        <v>27077</v>
      </c>
      <c r="C1205" s="515" t="s">
        <v>27078</v>
      </c>
      <c r="D1205" s="516" t="s">
        <v>27079</v>
      </c>
      <c r="E1205" s="517"/>
      <c r="F1205" s="514" t="s">
        <v>27080</v>
      </c>
      <c r="G1205" s="514" t="s">
        <v>44</v>
      </c>
      <c r="H1205" s="514">
        <v>7.003588424E9</v>
      </c>
      <c r="I1205" s="515" t="s">
        <v>23761</v>
      </c>
      <c r="J1205" s="514" t="b">
        <v>0</v>
      </c>
      <c r="K1205" s="514" t="s">
        <v>22312</v>
      </c>
      <c r="L1205" s="518" t="s">
        <v>27081</v>
      </c>
      <c r="M1205" s="511"/>
      <c r="N1205" s="232"/>
      <c r="O1205" s="232"/>
      <c r="P1205" s="312"/>
      <c r="Q1205" s="312"/>
      <c r="R1205" s="312"/>
      <c r="S1205" s="312"/>
      <c r="T1205" s="312"/>
      <c r="U1205" s="312"/>
    </row>
    <row r="1206">
      <c r="A1206" s="508" t="s">
        <v>27072</v>
      </c>
      <c r="B1206" s="232" t="s">
        <v>27082</v>
      </c>
      <c r="C1206" s="509" t="s">
        <v>27083</v>
      </c>
      <c r="D1206" s="510" t="s">
        <v>27084</v>
      </c>
      <c r="E1206" s="511"/>
      <c r="F1206" s="232" t="s">
        <v>27085</v>
      </c>
      <c r="G1206" s="232" t="s">
        <v>23593</v>
      </c>
      <c r="H1206" s="232">
        <v>8.419076123E9</v>
      </c>
      <c r="I1206" s="509" t="s">
        <v>27086</v>
      </c>
      <c r="J1206" s="232" t="b">
        <v>0</v>
      </c>
      <c r="K1206" s="232" t="s">
        <v>22365</v>
      </c>
      <c r="L1206" s="232"/>
      <c r="M1206" s="511"/>
      <c r="N1206" s="232"/>
      <c r="O1206" s="232"/>
      <c r="P1206" s="312"/>
      <c r="Q1206" s="312"/>
      <c r="R1206" s="312"/>
      <c r="S1206" s="312"/>
      <c r="T1206" s="312"/>
      <c r="U1206" s="312"/>
    </row>
    <row r="1207">
      <c r="A1207" s="508" t="s">
        <v>27072</v>
      </c>
      <c r="B1207" s="232" t="s">
        <v>27087</v>
      </c>
      <c r="C1207" s="509" t="s">
        <v>27088</v>
      </c>
      <c r="D1207" s="510" t="s">
        <v>27089</v>
      </c>
      <c r="E1207" s="511"/>
      <c r="F1207" s="232" t="s">
        <v>27090</v>
      </c>
      <c r="G1207" s="232" t="s">
        <v>22507</v>
      </c>
      <c r="H1207" s="232">
        <v>9.443868974E9</v>
      </c>
      <c r="I1207" s="509" t="s">
        <v>27091</v>
      </c>
      <c r="J1207" s="232" t="b">
        <v>0</v>
      </c>
      <c r="K1207" s="232" t="s">
        <v>22355</v>
      </c>
      <c r="L1207" s="232"/>
      <c r="M1207" s="511"/>
      <c r="N1207" s="232"/>
      <c r="O1207" s="232"/>
      <c r="P1207" s="312"/>
      <c r="Q1207" s="312"/>
      <c r="R1207" s="312"/>
      <c r="S1207" s="312"/>
      <c r="T1207" s="312"/>
      <c r="U1207" s="312"/>
    </row>
    <row r="1208">
      <c r="A1208" s="508" t="s">
        <v>27072</v>
      </c>
      <c r="B1208" s="232" t="s">
        <v>27092</v>
      </c>
      <c r="C1208" s="509" t="s">
        <v>27093</v>
      </c>
      <c r="D1208" s="510" t="s">
        <v>27094</v>
      </c>
      <c r="E1208" s="511"/>
      <c r="F1208" s="232"/>
      <c r="G1208" s="232" t="s">
        <v>107</v>
      </c>
      <c r="H1208" s="232">
        <v>9.990275403E9</v>
      </c>
      <c r="I1208" s="509" t="s">
        <v>22373</v>
      </c>
      <c r="J1208" s="232" t="b">
        <v>0</v>
      </c>
      <c r="K1208" s="232" t="s">
        <v>22365</v>
      </c>
      <c r="L1208" s="232" t="s">
        <v>27095</v>
      </c>
      <c r="M1208" s="511"/>
      <c r="N1208" s="232"/>
      <c r="O1208" s="232"/>
      <c r="P1208" s="312"/>
      <c r="Q1208" s="312"/>
      <c r="R1208" s="312"/>
      <c r="S1208" s="312"/>
      <c r="T1208" s="312"/>
      <c r="U1208" s="312"/>
    </row>
    <row r="1209">
      <c r="A1209" s="508" t="s">
        <v>27072</v>
      </c>
      <c r="B1209" s="232" t="s">
        <v>27096</v>
      </c>
      <c r="C1209" s="509" t="s">
        <v>27097</v>
      </c>
      <c r="D1209" s="511"/>
      <c r="E1209" s="511"/>
      <c r="F1209" s="232" t="s">
        <v>27098</v>
      </c>
      <c r="G1209" s="232" t="s">
        <v>107</v>
      </c>
      <c r="H1209" s="232">
        <v>7.005636966E9</v>
      </c>
      <c r="I1209" s="509" t="s">
        <v>27099</v>
      </c>
      <c r="J1209" s="232" t="b">
        <v>0</v>
      </c>
      <c r="K1209" s="232" t="s">
        <v>27100</v>
      </c>
      <c r="L1209" s="232"/>
      <c r="M1209" s="511"/>
      <c r="N1209" s="232"/>
      <c r="O1209" s="232"/>
      <c r="P1209" s="312"/>
      <c r="Q1209" s="312"/>
      <c r="R1209" s="312"/>
      <c r="S1209" s="312"/>
      <c r="T1209" s="312"/>
      <c r="U1209" s="312"/>
    </row>
    <row r="1210">
      <c r="A1210" s="508" t="s">
        <v>27072</v>
      </c>
      <c r="B1210" s="232" t="s">
        <v>27101</v>
      </c>
      <c r="C1210" s="509" t="s">
        <v>27102</v>
      </c>
      <c r="D1210" s="511"/>
      <c r="E1210" s="511"/>
      <c r="F1210" s="232" t="s">
        <v>27103</v>
      </c>
      <c r="G1210" s="232" t="s">
        <v>22292</v>
      </c>
      <c r="H1210" s="232">
        <v>9.036501962E9</v>
      </c>
      <c r="I1210" s="509" t="s">
        <v>22354</v>
      </c>
      <c r="J1210" s="232" t="b">
        <v>0</v>
      </c>
      <c r="K1210" s="232" t="s">
        <v>22365</v>
      </c>
      <c r="L1210" s="232" t="s">
        <v>27104</v>
      </c>
      <c r="M1210" s="511"/>
      <c r="N1210" s="232"/>
      <c r="O1210" s="232"/>
      <c r="P1210" s="312"/>
      <c r="Q1210" s="312"/>
      <c r="R1210" s="312"/>
      <c r="S1210" s="312"/>
      <c r="T1210" s="312"/>
      <c r="U1210" s="312"/>
    </row>
    <row r="1211">
      <c r="A1211" s="508" t="s">
        <v>27072</v>
      </c>
      <c r="B1211" s="232" t="s">
        <v>27105</v>
      </c>
      <c r="C1211" s="509" t="s">
        <v>27106</v>
      </c>
      <c r="D1211" s="511"/>
      <c r="E1211" s="511"/>
      <c r="F1211" s="232" t="s">
        <v>27107</v>
      </c>
      <c r="G1211" s="232" t="s">
        <v>2682</v>
      </c>
      <c r="H1211" s="232">
        <v>9.711774137E9</v>
      </c>
      <c r="I1211" s="509" t="s">
        <v>25820</v>
      </c>
      <c r="J1211" s="232" t="b">
        <v>0</v>
      </c>
      <c r="K1211" s="232" t="s">
        <v>12092</v>
      </c>
      <c r="L1211" s="232"/>
      <c r="M1211" s="511"/>
      <c r="N1211" s="232"/>
      <c r="O1211" s="232"/>
      <c r="P1211" s="312"/>
      <c r="Q1211" s="312"/>
      <c r="R1211" s="312"/>
      <c r="S1211" s="312"/>
      <c r="T1211" s="312"/>
      <c r="U1211" s="312"/>
    </row>
    <row r="1212">
      <c r="A1212" s="508" t="s">
        <v>27072</v>
      </c>
      <c r="B1212" s="232" t="s">
        <v>27108</v>
      </c>
      <c r="C1212" s="509" t="s">
        <v>1985</v>
      </c>
      <c r="D1212" s="511"/>
      <c r="E1212" s="511"/>
      <c r="F1212" s="232" t="s">
        <v>27109</v>
      </c>
      <c r="G1212" s="232" t="s">
        <v>22742</v>
      </c>
      <c r="H1212" s="232">
        <v>6.371677155E9</v>
      </c>
      <c r="I1212" s="509" t="s">
        <v>22903</v>
      </c>
      <c r="J1212" s="232" t="b">
        <v>0</v>
      </c>
      <c r="K1212" s="232" t="s">
        <v>334</v>
      </c>
      <c r="L1212" s="232"/>
      <c r="M1212" s="511"/>
      <c r="N1212" s="232"/>
      <c r="O1212" s="232"/>
      <c r="P1212" s="312"/>
      <c r="Q1212" s="312"/>
      <c r="R1212" s="312"/>
      <c r="S1212" s="312"/>
      <c r="T1212" s="312"/>
      <c r="U1212" s="312"/>
    </row>
    <row r="1213">
      <c r="A1213" s="508" t="s">
        <v>27072</v>
      </c>
      <c r="B1213" s="232" t="s">
        <v>27110</v>
      </c>
      <c r="C1213" s="509" t="s">
        <v>27111</v>
      </c>
      <c r="D1213" s="510" t="s">
        <v>27112</v>
      </c>
      <c r="E1213" s="511"/>
      <c r="F1213" s="232"/>
      <c r="G1213" s="232" t="s">
        <v>1315</v>
      </c>
      <c r="H1213" s="232">
        <v>9.157396882E9</v>
      </c>
      <c r="I1213" s="509" t="s">
        <v>25963</v>
      </c>
      <c r="J1213" s="232" t="b">
        <v>0</v>
      </c>
      <c r="K1213" s="232" t="s">
        <v>12092</v>
      </c>
      <c r="L1213" s="232"/>
      <c r="M1213" s="511"/>
      <c r="N1213" s="232"/>
      <c r="O1213" s="232"/>
      <c r="P1213" s="312"/>
      <c r="Q1213" s="312"/>
      <c r="R1213" s="312"/>
      <c r="S1213" s="312"/>
      <c r="T1213" s="312"/>
      <c r="U1213" s="312"/>
    </row>
    <row r="1214">
      <c r="A1214" s="508" t="s">
        <v>27072</v>
      </c>
      <c r="B1214" s="232" t="s">
        <v>27113</v>
      </c>
      <c r="C1214" s="509" t="s">
        <v>27114</v>
      </c>
      <c r="D1214" s="510" t="s">
        <v>27115</v>
      </c>
      <c r="E1214" s="511"/>
      <c r="F1214" s="232" t="s">
        <v>27116</v>
      </c>
      <c r="G1214" s="232" t="s">
        <v>1663</v>
      </c>
      <c r="H1214" s="232">
        <v>7.3489994E9</v>
      </c>
      <c r="I1214" s="509" t="s">
        <v>22961</v>
      </c>
      <c r="J1214" s="232" t="b">
        <v>0</v>
      </c>
      <c r="K1214" s="232" t="s">
        <v>22365</v>
      </c>
      <c r="L1214" s="232"/>
      <c r="M1214" s="511"/>
      <c r="N1214" s="232"/>
      <c r="O1214" s="232"/>
      <c r="P1214" s="312"/>
      <c r="Q1214" s="312"/>
      <c r="R1214" s="312"/>
      <c r="S1214" s="312"/>
      <c r="T1214" s="312"/>
      <c r="U1214" s="312"/>
    </row>
    <row r="1215">
      <c r="A1215" s="508" t="s">
        <v>27072</v>
      </c>
      <c r="B1215" s="232" t="s">
        <v>27117</v>
      </c>
      <c r="C1215" s="509" t="s">
        <v>27118</v>
      </c>
      <c r="D1215" s="511"/>
      <c r="E1215" s="511"/>
      <c r="F1215" s="232" t="s">
        <v>27119</v>
      </c>
      <c r="G1215" s="232" t="s">
        <v>44</v>
      </c>
      <c r="H1215" s="232">
        <v>7.003345226E9</v>
      </c>
      <c r="I1215" s="509" t="s">
        <v>27120</v>
      </c>
      <c r="J1215" s="232" t="b">
        <v>0</v>
      </c>
      <c r="K1215" s="232" t="s">
        <v>334</v>
      </c>
      <c r="L1215" s="232"/>
      <c r="M1215" s="511"/>
      <c r="N1215" s="232"/>
      <c r="O1215" s="232"/>
      <c r="P1215" s="312"/>
      <c r="Q1215" s="312"/>
      <c r="R1215" s="312"/>
      <c r="S1215" s="312"/>
      <c r="T1215" s="312"/>
      <c r="U1215" s="312"/>
    </row>
    <row r="1216">
      <c r="A1216" s="508" t="s">
        <v>27072</v>
      </c>
      <c r="B1216" s="232" t="s">
        <v>27121</v>
      </c>
      <c r="C1216" s="515" t="s">
        <v>27122</v>
      </c>
      <c r="D1216" s="517"/>
      <c r="E1216" s="517"/>
      <c r="F1216" s="514" t="s">
        <v>27123</v>
      </c>
      <c r="G1216" s="514" t="s">
        <v>27124</v>
      </c>
      <c r="H1216" s="514">
        <v>7.003589598E9</v>
      </c>
      <c r="I1216" s="515" t="s">
        <v>22825</v>
      </c>
      <c r="J1216" s="514" t="b">
        <v>0</v>
      </c>
      <c r="K1216" s="514" t="s">
        <v>22312</v>
      </c>
      <c r="L1216" s="518" t="s">
        <v>27125</v>
      </c>
      <c r="M1216" s="511"/>
      <c r="N1216" s="232"/>
      <c r="O1216" s="232"/>
      <c r="P1216" s="312"/>
      <c r="Q1216" s="312"/>
      <c r="R1216" s="312"/>
      <c r="S1216" s="312"/>
      <c r="T1216" s="312"/>
      <c r="U1216" s="312"/>
    </row>
    <row r="1217">
      <c r="A1217" s="508" t="s">
        <v>27126</v>
      </c>
      <c r="B1217" s="232" t="s">
        <v>27121</v>
      </c>
      <c r="C1217" s="509" t="s">
        <v>26523</v>
      </c>
      <c r="D1217" s="511"/>
      <c r="E1217" s="511"/>
      <c r="F1217" s="232"/>
      <c r="G1217" s="232" t="s">
        <v>22666</v>
      </c>
      <c r="H1217" s="232">
        <v>9.435043808E9</v>
      </c>
      <c r="I1217" s="509" t="s">
        <v>22737</v>
      </c>
      <c r="J1217" s="232" t="b">
        <v>0</v>
      </c>
      <c r="K1217" s="232" t="s">
        <v>334</v>
      </c>
      <c r="L1217" s="232"/>
      <c r="M1217" s="511"/>
      <c r="N1217" s="232"/>
      <c r="O1217" s="232"/>
      <c r="P1217" s="312"/>
      <c r="Q1217" s="312"/>
      <c r="R1217" s="312"/>
      <c r="S1217" s="312"/>
      <c r="T1217" s="312"/>
      <c r="U1217" s="312"/>
    </row>
    <row r="1218">
      <c r="A1218" s="508" t="s">
        <v>27126</v>
      </c>
      <c r="B1218" s="232" t="s">
        <v>27127</v>
      </c>
      <c r="C1218" s="509" t="s">
        <v>27128</v>
      </c>
      <c r="D1218" s="510" t="s">
        <v>27129</v>
      </c>
      <c r="E1218" s="511"/>
      <c r="F1218" s="232" t="s">
        <v>27130</v>
      </c>
      <c r="G1218" s="232" t="s">
        <v>507</v>
      </c>
      <c r="H1218" s="232">
        <v>-9.699726007E9</v>
      </c>
      <c r="I1218" s="509" t="s">
        <v>27131</v>
      </c>
      <c r="J1218" s="232" t="b">
        <v>0</v>
      </c>
      <c r="K1218" s="232" t="s">
        <v>334</v>
      </c>
      <c r="L1218" s="232"/>
      <c r="M1218" s="511"/>
      <c r="N1218" s="232"/>
      <c r="O1218" s="232"/>
      <c r="P1218" s="312"/>
      <c r="Q1218" s="312"/>
      <c r="R1218" s="312"/>
      <c r="S1218" s="312"/>
      <c r="T1218" s="312"/>
      <c r="U1218" s="312"/>
    </row>
    <row r="1219">
      <c r="A1219" s="508" t="s">
        <v>27126</v>
      </c>
      <c r="B1219" s="232" t="s">
        <v>27132</v>
      </c>
      <c r="C1219" s="509" t="s">
        <v>27133</v>
      </c>
      <c r="D1219" s="511"/>
      <c r="E1219" s="511"/>
      <c r="F1219" s="232" t="s">
        <v>27134</v>
      </c>
      <c r="G1219" s="232" t="s">
        <v>27135</v>
      </c>
      <c r="H1219" s="232">
        <v>8.250471969E9</v>
      </c>
      <c r="I1219" s="509" t="s">
        <v>22672</v>
      </c>
      <c r="J1219" s="232" t="b">
        <v>0</v>
      </c>
      <c r="K1219" s="232" t="s">
        <v>22365</v>
      </c>
      <c r="L1219" s="232"/>
      <c r="M1219" s="511"/>
      <c r="N1219" s="232"/>
      <c r="O1219" s="232"/>
      <c r="P1219" s="312"/>
      <c r="Q1219" s="312"/>
      <c r="R1219" s="312"/>
      <c r="S1219" s="312"/>
      <c r="T1219" s="312"/>
      <c r="U1219" s="312"/>
    </row>
    <row r="1220">
      <c r="A1220" s="508" t="s">
        <v>27126</v>
      </c>
      <c r="B1220" s="232" t="s">
        <v>27136</v>
      </c>
      <c r="C1220" s="509" t="s">
        <v>27137</v>
      </c>
      <c r="D1220" s="511"/>
      <c r="E1220" s="511"/>
      <c r="F1220" s="232" t="s">
        <v>27138</v>
      </c>
      <c r="G1220" s="232" t="s">
        <v>22507</v>
      </c>
      <c r="H1220" s="232">
        <v>-8.438381148E9</v>
      </c>
      <c r="I1220" s="509" t="s">
        <v>25156</v>
      </c>
      <c r="J1220" s="232" t="b">
        <v>0</v>
      </c>
      <c r="K1220" s="232" t="s">
        <v>22365</v>
      </c>
      <c r="L1220" s="232"/>
      <c r="M1220" s="511"/>
      <c r="N1220" s="232"/>
      <c r="O1220" s="232"/>
      <c r="P1220" s="312"/>
      <c r="Q1220" s="312"/>
      <c r="R1220" s="312"/>
      <c r="S1220" s="312"/>
      <c r="T1220" s="312"/>
      <c r="U1220" s="312"/>
    </row>
    <row r="1221">
      <c r="A1221" s="508" t="s">
        <v>27126</v>
      </c>
      <c r="B1221" s="232" t="s">
        <v>27139</v>
      </c>
      <c r="C1221" s="509" t="s">
        <v>27140</v>
      </c>
      <c r="D1221" s="510" t="s">
        <v>27141</v>
      </c>
      <c r="E1221" s="511"/>
      <c r="F1221" s="232" t="s">
        <v>27142</v>
      </c>
      <c r="G1221" s="232" t="s">
        <v>22507</v>
      </c>
      <c r="H1221" s="232">
        <v>9.84223627E9</v>
      </c>
      <c r="I1221" s="509" t="s">
        <v>22698</v>
      </c>
      <c r="J1221" s="232" t="b">
        <v>0</v>
      </c>
      <c r="K1221" s="232" t="s">
        <v>22365</v>
      </c>
      <c r="L1221" s="232"/>
      <c r="M1221" s="511"/>
      <c r="N1221" s="232"/>
      <c r="O1221" s="232"/>
      <c r="P1221" s="312"/>
      <c r="Q1221" s="312"/>
      <c r="R1221" s="312"/>
      <c r="S1221" s="312"/>
      <c r="T1221" s="312"/>
      <c r="U1221" s="312"/>
    </row>
    <row r="1222">
      <c r="A1222" s="508" t="s">
        <v>27126</v>
      </c>
      <c r="B1222" s="232" t="s">
        <v>27143</v>
      </c>
      <c r="C1222" s="509" t="s">
        <v>27144</v>
      </c>
      <c r="D1222" s="511"/>
      <c r="E1222" s="511"/>
      <c r="F1222" s="232" t="s">
        <v>27145</v>
      </c>
      <c r="G1222" s="232" t="s">
        <v>1282</v>
      </c>
      <c r="H1222" s="232">
        <v>7.602884774E9</v>
      </c>
      <c r="I1222" s="509" t="s">
        <v>23761</v>
      </c>
      <c r="J1222" s="232" t="b">
        <v>0</v>
      </c>
      <c r="K1222" s="232" t="s">
        <v>22355</v>
      </c>
      <c r="L1222" s="232"/>
      <c r="M1222" s="511"/>
      <c r="N1222" s="232"/>
      <c r="O1222" s="232"/>
      <c r="P1222" s="312"/>
      <c r="Q1222" s="312"/>
      <c r="R1222" s="312"/>
      <c r="S1222" s="312"/>
      <c r="T1222" s="312"/>
      <c r="U1222" s="312"/>
    </row>
    <row r="1223">
      <c r="A1223" s="508" t="s">
        <v>27126</v>
      </c>
      <c r="B1223" s="232" t="s">
        <v>27146</v>
      </c>
      <c r="C1223" s="509" t="s">
        <v>27147</v>
      </c>
      <c r="D1223" s="511"/>
      <c r="E1223" s="511"/>
      <c r="F1223" s="232" t="s">
        <v>27148</v>
      </c>
      <c r="G1223" s="232" t="s">
        <v>27149</v>
      </c>
      <c r="H1223" s="232">
        <v>9.122561889E9</v>
      </c>
      <c r="I1223" s="509" t="s">
        <v>24380</v>
      </c>
      <c r="J1223" s="232" t="b">
        <v>0</v>
      </c>
      <c r="K1223" s="232" t="s">
        <v>22365</v>
      </c>
      <c r="L1223" s="232" t="s">
        <v>27150</v>
      </c>
      <c r="M1223" s="511"/>
      <c r="N1223" s="232"/>
      <c r="O1223" s="232"/>
      <c r="P1223" s="312"/>
      <c r="Q1223" s="312"/>
      <c r="R1223" s="312"/>
      <c r="S1223" s="312"/>
      <c r="T1223" s="312"/>
      <c r="U1223" s="312"/>
    </row>
    <row r="1224">
      <c r="A1224" s="508" t="s">
        <v>27126</v>
      </c>
      <c r="B1224" s="232" t="s">
        <v>27151</v>
      </c>
      <c r="C1224" s="509" t="s">
        <v>27152</v>
      </c>
      <c r="D1224" s="511"/>
      <c r="E1224" s="511"/>
      <c r="F1224" s="232" t="s">
        <v>27153</v>
      </c>
      <c r="G1224" s="232" t="s">
        <v>44</v>
      </c>
      <c r="H1224" s="232">
        <v>9.16370707E9</v>
      </c>
      <c r="I1224" s="509" t="s">
        <v>26145</v>
      </c>
      <c r="J1224" s="232" t="b">
        <v>0</v>
      </c>
      <c r="K1224" s="232" t="s">
        <v>22365</v>
      </c>
      <c r="L1224" s="232"/>
      <c r="M1224" s="511"/>
      <c r="N1224" s="232"/>
      <c r="O1224" s="232"/>
      <c r="P1224" s="312"/>
      <c r="Q1224" s="312"/>
      <c r="R1224" s="312"/>
      <c r="S1224" s="312"/>
      <c r="T1224" s="312"/>
      <c r="U1224" s="312"/>
    </row>
    <row r="1225">
      <c r="A1225" s="508" t="s">
        <v>27126</v>
      </c>
      <c r="B1225" s="232" t="s">
        <v>27154</v>
      </c>
      <c r="C1225" s="509" t="s">
        <v>27155</v>
      </c>
      <c r="D1225" s="511"/>
      <c r="E1225" s="511"/>
      <c r="F1225" s="232" t="s">
        <v>27156</v>
      </c>
      <c r="G1225" s="232" t="s">
        <v>27157</v>
      </c>
      <c r="H1225" s="232">
        <v>9.895267814E9</v>
      </c>
      <c r="I1225" s="509" t="s">
        <v>26933</v>
      </c>
      <c r="J1225" s="232" t="b">
        <v>0</v>
      </c>
      <c r="K1225" s="232"/>
      <c r="L1225" s="232"/>
      <c r="M1225" s="511"/>
      <c r="N1225" s="232"/>
      <c r="O1225" s="232"/>
      <c r="P1225" s="312"/>
      <c r="Q1225" s="312"/>
      <c r="R1225" s="312"/>
      <c r="S1225" s="312"/>
      <c r="T1225" s="312"/>
      <c r="U1225" s="312"/>
    </row>
    <row r="1226">
      <c r="A1226" s="508" t="s">
        <v>27126</v>
      </c>
      <c r="B1226" s="232" t="s">
        <v>27158</v>
      </c>
      <c r="C1226" s="509" t="s">
        <v>27159</v>
      </c>
      <c r="D1226" s="511"/>
      <c r="E1226" s="511"/>
      <c r="F1226" s="232" t="s">
        <v>27160</v>
      </c>
      <c r="G1226" s="232" t="s">
        <v>27161</v>
      </c>
      <c r="H1226" s="232">
        <v>9.415225533E9</v>
      </c>
      <c r="I1226" s="509" t="s">
        <v>25343</v>
      </c>
      <c r="J1226" s="232" t="b">
        <v>0</v>
      </c>
      <c r="K1226" s="232"/>
      <c r="L1226" s="232"/>
      <c r="M1226" s="511"/>
      <c r="N1226" s="232"/>
      <c r="O1226" s="232"/>
      <c r="P1226" s="312"/>
      <c r="Q1226" s="312"/>
      <c r="R1226" s="312"/>
      <c r="S1226" s="312"/>
      <c r="T1226" s="312"/>
      <c r="U1226" s="312"/>
    </row>
    <row r="1227">
      <c r="A1227" s="508" t="s">
        <v>27162</v>
      </c>
      <c r="B1227" s="232" t="s">
        <v>27163</v>
      </c>
      <c r="C1227" s="509" t="s">
        <v>27164</v>
      </c>
      <c r="D1227" s="511"/>
      <c r="E1227" s="511"/>
      <c r="F1227" s="232" t="s">
        <v>27165</v>
      </c>
      <c r="G1227" s="232" t="s">
        <v>27166</v>
      </c>
      <c r="H1227" s="232">
        <v>8.411887008E9</v>
      </c>
      <c r="I1227" s="509" t="s">
        <v>26532</v>
      </c>
      <c r="J1227" s="232" t="b">
        <v>0</v>
      </c>
      <c r="K1227" s="232" t="s">
        <v>22365</v>
      </c>
      <c r="L1227" s="232"/>
      <c r="M1227" s="511"/>
      <c r="N1227" s="232"/>
      <c r="O1227" s="232"/>
      <c r="P1227" s="312"/>
      <c r="Q1227" s="312"/>
      <c r="R1227" s="312"/>
      <c r="S1227" s="312"/>
      <c r="T1227" s="312"/>
      <c r="U1227" s="312"/>
    </row>
    <row r="1228">
      <c r="A1228" s="508" t="s">
        <v>27162</v>
      </c>
      <c r="B1228" s="232" t="s">
        <v>27167</v>
      </c>
      <c r="C1228" s="509" t="s">
        <v>27168</v>
      </c>
      <c r="D1228" s="511"/>
      <c r="E1228" s="511"/>
      <c r="F1228" s="232" t="s">
        <v>27169</v>
      </c>
      <c r="G1228" s="232" t="s">
        <v>27170</v>
      </c>
      <c r="H1228" s="232">
        <v>7.003889798E9</v>
      </c>
      <c r="I1228" s="509" t="s">
        <v>27171</v>
      </c>
      <c r="J1228" s="232" t="b">
        <v>0</v>
      </c>
      <c r="K1228" s="232" t="s">
        <v>22349</v>
      </c>
      <c r="L1228" s="232" t="s">
        <v>27172</v>
      </c>
      <c r="M1228" s="511"/>
      <c r="N1228" s="232"/>
      <c r="O1228" s="232"/>
      <c r="P1228" s="312"/>
      <c r="Q1228" s="312"/>
      <c r="R1228" s="312"/>
      <c r="S1228" s="312"/>
      <c r="T1228" s="312"/>
      <c r="U1228" s="312"/>
    </row>
    <row r="1229">
      <c r="A1229" s="508" t="s">
        <v>27162</v>
      </c>
      <c r="B1229" s="232" t="s">
        <v>27173</v>
      </c>
      <c r="C1229" s="509" t="s">
        <v>27174</v>
      </c>
      <c r="D1229" s="511"/>
      <c r="E1229" s="511"/>
      <c r="F1229" s="232" t="s">
        <v>27175</v>
      </c>
      <c r="G1229" s="232" t="s">
        <v>27170</v>
      </c>
      <c r="H1229" s="232">
        <v>6.29523749E9</v>
      </c>
      <c r="I1229" s="509" t="s">
        <v>23252</v>
      </c>
      <c r="J1229" s="232" t="b">
        <v>0</v>
      </c>
      <c r="K1229" s="232" t="s">
        <v>22365</v>
      </c>
      <c r="L1229" s="232"/>
      <c r="M1229" s="511"/>
      <c r="N1229" s="232"/>
      <c r="O1229" s="232"/>
      <c r="P1229" s="312"/>
      <c r="Q1229" s="312"/>
      <c r="R1229" s="312"/>
      <c r="S1229" s="312"/>
      <c r="T1229" s="312"/>
      <c r="U1229" s="312"/>
    </row>
    <row r="1230">
      <c r="A1230" s="508" t="s">
        <v>27162</v>
      </c>
      <c r="B1230" s="232" t="s">
        <v>27176</v>
      </c>
      <c r="C1230" s="509" t="s">
        <v>27177</v>
      </c>
      <c r="D1230" s="510" t="s">
        <v>27178</v>
      </c>
      <c r="E1230" s="511"/>
      <c r="F1230" s="232" t="s">
        <v>27179</v>
      </c>
      <c r="G1230" s="232" t="s">
        <v>27180</v>
      </c>
      <c r="H1230" s="232">
        <v>9.605664488E9</v>
      </c>
      <c r="I1230" s="509" t="s">
        <v>27181</v>
      </c>
      <c r="J1230" s="232" t="b">
        <v>0</v>
      </c>
      <c r="K1230" s="232" t="s">
        <v>27182</v>
      </c>
      <c r="L1230" s="232" t="s">
        <v>27183</v>
      </c>
      <c r="M1230" s="511"/>
      <c r="N1230" s="232"/>
      <c r="O1230" s="232"/>
      <c r="P1230" s="312"/>
      <c r="Q1230" s="312"/>
      <c r="R1230" s="312"/>
      <c r="S1230" s="312"/>
      <c r="T1230" s="312"/>
      <c r="U1230" s="312"/>
    </row>
    <row r="1231">
      <c r="A1231" s="508" t="s">
        <v>27162</v>
      </c>
      <c r="B1231" s="232" t="s">
        <v>27184</v>
      </c>
      <c r="C1231" s="509" t="s">
        <v>22419</v>
      </c>
      <c r="D1231" s="510" t="s">
        <v>27185</v>
      </c>
      <c r="E1231" s="511"/>
      <c r="F1231" s="232" t="s">
        <v>27186</v>
      </c>
      <c r="G1231" s="232"/>
      <c r="H1231" s="232">
        <v>8.053320018E9</v>
      </c>
      <c r="I1231" s="509" t="s">
        <v>27187</v>
      </c>
      <c r="J1231" s="232" t="b">
        <v>0</v>
      </c>
      <c r="K1231" s="232" t="s">
        <v>22365</v>
      </c>
      <c r="L1231" s="232" t="s">
        <v>27188</v>
      </c>
      <c r="M1231" s="511"/>
      <c r="N1231" s="232"/>
      <c r="O1231" s="232"/>
      <c r="P1231" s="312"/>
      <c r="Q1231" s="312"/>
      <c r="R1231" s="312"/>
      <c r="S1231" s="312"/>
      <c r="T1231" s="312"/>
      <c r="U1231" s="312"/>
    </row>
    <row r="1232">
      <c r="A1232" s="508" t="s">
        <v>27162</v>
      </c>
      <c r="B1232" s="232" t="s">
        <v>27189</v>
      </c>
      <c r="C1232" s="526" t="s">
        <v>18955</v>
      </c>
      <c r="D1232" s="510" t="s">
        <v>27190</v>
      </c>
      <c r="E1232" s="511"/>
      <c r="F1232" s="232" t="s">
        <v>27191</v>
      </c>
      <c r="G1232" s="232" t="s">
        <v>27192</v>
      </c>
      <c r="H1232" s="232">
        <v>-8.851053347E9</v>
      </c>
      <c r="I1232" s="509" t="s">
        <v>22502</v>
      </c>
      <c r="J1232" s="232" t="b">
        <v>0</v>
      </c>
      <c r="K1232" s="232" t="s">
        <v>22365</v>
      </c>
      <c r="L1232" s="232" t="s">
        <v>24488</v>
      </c>
      <c r="M1232" s="511"/>
      <c r="N1232" s="232"/>
      <c r="O1232" s="232"/>
      <c r="P1232" s="312"/>
      <c r="Q1232" s="312"/>
      <c r="R1232" s="312"/>
      <c r="S1232" s="312"/>
      <c r="T1232" s="312"/>
      <c r="U1232" s="312"/>
    </row>
    <row r="1233">
      <c r="A1233" s="508" t="s">
        <v>27162</v>
      </c>
      <c r="B1233" s="232" t="s">
        <v>27193</v>
      </c>
      <c r="C1233" s="509" t="s">
        <v>27194</v>
      </c>
      <c r="D1233" s="511"/>
      <c r="E1233" s="511"/>
      <c r="F1233" s="232" t="s">
        <v>27195</v>
      </c>
      <c r="G1233" s="232" t="s">
        <v>27196</v>
      </c>
      <c r="H1233" s="232">
        <v>8.238000346E9</v>
      </c>
      <c r="I1233" s="509" t="s">
        <v>22961</v>
      </c>
      <c r="J1233" s="232" t="b">
        <v>0</v>
      </c>
      <c r="K1233" s="232" t="s">
        <v>12092</v>
      </c>
      <c r="L1233" s="232"/>
      <c r="M1233" s="511"/>
      <c r="N1233" s="232"/>
      <c r="O1233" s="232"/>
      <c r="P1233" s="312"/>
      <c r="Q1233" s="312"/>
      <c r="R1233" s="312"/>
      <c r="S1233" s="312"/>
      <c r="T1233" s="312"/>
      <c r="U1233" s="312"/>
    </row>
    <row r="1234">
      <c r="A1234" s="508" t="s">
        <v>27162</v>
      </c>
      <c r="B1234" s="232" t="s">
        <v>27197</v>
      </c>
      <c r="C1234" s="509" t="s">
        <v>27198</v>
      </c>
      <c r="D1234" s="511"/>
      <c r="E1234" s="511"/>
      <c r="F1234" s="232" t="s">
        <v>27199</v>
      </c>
      <c r="G1234" s="232" t="s">
        <v>22292</v>
      </c>
      <c r="H1234" s="232">
        <v>9.82083565E9</v>
      </c>
      <c r="I1234" s="509" t="s">
        <v>27200</v>
      </c>
      <c r="J1234" s="232" t="b">
        <v>0</v>
      </c>
      <c r="K1234" s="232" t="s">
        <v>22355</v>
      </c>
      <c r="M1234" s="511"/>
      <c r="N1234" s="232"/>
      <c r="O1234" s="232"/>
      <c r="P1234" s="312"/>
      <c r="Q1234" s="312"/>
      <c r="R1234" s="312"/>
      <c r="S1234" s="312"/>
      <c r="T1234" s="312"/>
      <c r="U1234" s="312"/>
    </row>
    <row r="1235">
      <c r="A1235" s="508" t="s">
        <v>27162</v>
      </c>
      <c r="B1235" s="232" t="s">
        <v>27201</v>
      </c>
      <c r="C1235" s="509" t="s">
        <v>27202</v>
      </c>
      <c r="D1235" s="511"/>
      <c r="E1235" s="511"/>
      <c r="F1235" s="232"/>
      <c r="G1235" s="232" t="s">
        <v>22697</v>
      </c>
      <c r="H1235" s="232">
        <v>-8.500967473E9</v>
      </c>
      <c r="I1235" s="509" t="s">
        <v>27200</v>
      </c>
      <c r="J1235" s="232" t="b">
        <v>0</v>
      </c>
      <c r="K1235" s="232" t="s">
        <v>12092</v>
      </c>
      <c r="L1235" s="232"/>
      <c r="M1235" s="511"/>
      <c r="N1235" s="232"/>
      <c r="O1235" s="232"/>
      <c r="P1235" s="312"/>
      <c r="Q1235" s="312"/>
      <c r="R1235" s="312"/>
      <c r="S1235" s="312"/>
      <c r="T1235" s="312"/>
      <c r="U1235" s="312"/>
    </row>
    <row r="1236">
      <c r="A1236" s="508" t="s">
        <v>27162</v>
      </c>
      <c r="B1236" s="232" t="s">
        <v>27203</v>
      </c>
      <c r="C1236" s="509" t="s">
        <v>27204</v>
      </c>
      <c r="D1236" s="511"/>
      <c r="E1236" s="511"/>
      <c r="F1236" s="232" t="s">
        <v>27205</v>
      </c>
      <c r="G1236" s="232" t="s">
        <v>27206</v>
      </c>
      <c r="H1236" s="232">
        <v>7.008891189E9</v>
      </c>
      <c r="I1236" s="509" t="s">
        <v>27207</v>
      </c>
      <c r="J1236" s="232" t="b">
        <v>0</v>
      </c>
      <c r="K1236" s="232" t="s">
        <v>22349</v>
      </c>
      <c r="L1236" s="232" t="s">
        <v>27208</v>
      </c>
      <c r="M1236" s="511"/>
      <c r="N1236" s="232"/>
      <c r="O1236" s="232"/>
      <c r="P1236" s="312"/>
      <c r="Q1236" s="312"/>
      <c r="R1236" s="312"/>
      <c r="S1236" s="312"/>
      <c r="T1236" s="312"/>
      <c r="U1236" s="312"/>
    </row>
    <row r="1237">
      <c r="A1237" s="508" t="s">
        <v>27162</v>
      </c>
      <c r="B1237" s="232" t="s">
        <v>27209</v>
      </c>
      <c r="C1237" s="509" t="s">
        <v>27210</v>
      </c>
      <c r="D1237" s="511"/>
      <c r="E1237" s="511"/>
      <c r="F1237" s="232"/>
      <c r="G1237" s="232" t="s">
        <v>27211</v>
      </c>
      <c r="H1237" s="232">
        <v>7.979722187E9</v>
      </c>
      <c r="I1237" s="509" t="s">
        <v>25637</v>
      </c>
      <c r="J1237" s="232" t="b">
        <v>0</v>
      </c>
      <c r="K1237" s="232" t="s">
        <v>22349</v>
      </c>
      <c r="L1237" s="232" t="s">
        <v>27208</v>
      </c>
      <c r="M1237" s="511"/>
      <c r="N1237" s="232"/>
      <c r="O1237" s="232"/>
      <c r="P1237" s="312"/>
      <c r="Q1237" s="312"/>
      <c r="R1237" s="312"/>
      <c r="S1237" s="312"/>
      <c r="T1237" s="312"/>
      <c r="U1237" s="312"/>
    </row>
    <row r="1238">
      <c r="A1238" s="508" t="s">
        <v>27162</v>
      </c>
      <c r="B1238" s="232" t="s">
        <v>27212</v>
      </c>
      <c r="C1238" s="509" t="s">
        <v>27213</v>
      </c>
      <c r="D1238" s="511"/>
      <c r="E1238" s="511"/>
      <c r="F1238" s="232" t="s">
        <v>27214</v>
      </c>
      <c r="G1238" s="232" t="s">
        <v>27215</v>
      </c>
      <c r="H1238" s="232">
        <v>7.373228529E9</v>
      </c>
      <c r="I1238" s="509" t="s">
        <v>27216</v>
      </c>
      <c r="J1238" s="232" t="b">
        <v>0</v>
      </c>
      <c r="K1238" s="232"/>
      <c r="L1238" s="232"/>
      <c r="M1238" s="511"/>
      <c r="N1238" s="232"/>
      <c r="O1238" s="232"/>
      <c r="P1238" s="312"/>
      <c r="Q1238" s="312"/>
      <c r="R1238" s="312"/>
      <c r="S1238" s="312"/>
      <c r="T1238" s="312"/>
      <c r="U1238" s="312"/>
    </row>
    <row r="1239">
      <c r="A1239" s="508" t="s">
        <v>27217</v>
      </c>
      <c r="B1239" s="232" t="s">
        <v>27212</v>
      </c>
      <c r="C1239" s="509" t="s">
        <v>27218</v>
      </c>
      <c r="D1239" s="511"/>
      <c r="E1239" s="511"/>
      <c r="F1239" s="232"/>
      <c r="G1239" s="232" t="s">
        <v>22479</v>
      </c>
      <c r="H1239" s="232">
        <v>7.007838951E9</v>
      </c>
      <c r="I1239" s="509" t="s">
        <v>22672</v>
      </c>
      <c r="J1239" s="232" t="b">
        <v>0</v>
      </c>
      <c r="K1239" s="232" t="s">
        <v>334</v>
      </c>
      <c r="L1239" s="232"/>
      <c r="M1239" s="511"/>
      <c r="N1239" s="232"/>
      <c r="O1239" s="232"/>
      <c r="P1239" s="312"/>
      <c r="Q1239" s="312"/>
      <c r="R1239" s="312"/>
      <c r="S1239" s="312"/>
      <c r="T1239" s="312"/>
      <c r="U1239" s="312"/>
    </row>
    <row r="1240">
      <c r="A1240" s="508" t="s">
        <v>27217</v>
      </c>
      <c r="B1240" s="232" t="s">
        <v>27212</v>
      </c>
      <c r="C1240" s="509" t="s">
        <v>27219</v>
      </c>
      <c r="D1240" s="511"/>
      <c r="E1240" s="511"/>
      <c r="F1240" s="232" t="s">
        <v>27220</v>
      </c>
      <c r="G1240" s="232" t="s">
        <v>24462</v>
      </c>
      <c r="H1240" s="232">
        <v>9.999882033E9</v>
      </c>
      <c r="I1240" s="509" t="s">
        <v>22289</v>
      </c>
      <c r="J1240" s="232" t="b">
        <v>0</v>
      </c>
      <c r="K1240" s="232" t="s">
        <v>22355</v>
      </c>
      <c r="L1240" s="232"/>
      <c r="M1240" s="511"/>
      <c r="N1240" s="232"/>
      <c r="O1240" s="232"/>
      <c r="P1240" s="312"/>
      <c r="Q1240" s="312"/>
      <c r="R1240" s="312"/>
      <c r="S1240" s="312"/>
      <c r="T1240" s="312"/>
      <c r="U1240" s="312"/>
    </row>
    <row r="1241">
      <c r="A1241" s="508" t="s">
        <v>27217</v>
      </c>
      <c r="B1241" s="232" t="s">
        <v>27221</v>
      </c>
      <c r="C1241" s="509" t="s">
        <v>27222</v>
      </c>
      <c r="D1241" s="511"/>
      <c r="E1241" s="511"/>
      <c r="F1241" s="232"/>
      <c r="G1241" s="232" t="s">
        <v>22479</v>
      </c>
      <c r="H1241" s="232">
        <v>8.303777596E9</v>
      </c>
      <c r="I1241" s="509" t="s">
        <v>22289</v>
      </c>
      <c r="J1241" s="232" t="b">
        <v>0</v>
      </c>
      <c r="K1241" s="232" t="s">
        <v>22365</v>
      </c>
      <c r="M1241" s="511"/>
      <c r="N1241" s="232"/>
      <c r="O1241" s="232"/>
      <c r="P1241" s="312"/>
      <c r="Q1241" s="312"/>
      <c r="R1241" s="312"/>
      <c r="S1241" s="312"/>
      <c r="T1241" s="312"/>
      <c r="U1241" s="312"/>
    </row>
    <row r="1242">
      <c r="A1242" s="508" t="s">
        <v>27217</v>
      </c>
      <c r="B1242" s="232" t="s">
        <v>27223</v>
      </c>
      <c r="C1242" s="509" t="s">
        <v>27224</v>
      </c>
      <c r="D1242" s="511"/>
      <c r="E1242" s="511"/>
      <c r="F1242" s="232" t="s">
        <v>27225</v>
      </c>
      <c r="G1242" s="232" t="s">
        <v>22583</v>
      </c>
      <c r="H1242" s="232">
        <v>9.415225533E9</v>
      </c>
      <c r="I1242" s="509" t="s">
        <v>25343</v>
      </c>
      <c r="J1242" s="232" t="b">
        <v>0</v>
      </c>
      <c r="K1242" s="232" t="s">
        <v>22355</v>
      </c>
      <c r="L1242" s="232"/>
      <c r="M1242" s="511"/>
      <c r="N1242" s="232"/>
      <c r="O1242" s="232"/>
      <c r="P1242" s="312"/>
      <c r="Q1242" s="312"/>
      <c r="R1242" s="312"/>
      <c r="S1242" s="312"/>
      <c r="T1242" s="312"/>
      <c r="U1242" s="312"/>
    </row>
    <row r="1243">
      <c r="A1243" s="508" t="s">
        <v>27217</v>
      </c>
      <c r="B1243" s="232" t="s">
        <v>27226</v>
      </c>
      <c r="C1243" s="509" t="s">
        <v>27227</v>
      </c>
      <c r="D1243" s="511"/>
      <c r="E1243" s="511"/>
      <c r="F1243" s="232" t="s">
        <v>27228</v>
      </c>
      <c r="G1243" s="232" t="s">
        <v>22429</v>
      </c>
      <c r="H1243" s="232">
        <v>9.836311231E9</v>
      </c>
      <c r="I1243" s="509" t="s">
        <v>27229</v>
      </c>
      <c r="K1243" s="232" t="s">
        <v>22365</v>
      </c>
      <c r="L1243" s="232" t="s">
        <v>27230</v>
      </c>
      <c r="M1243" s="511"/>
      <c r="N1243" s="232"/>
      <c r="O1243" s="232"/>
      <c r="P1243" s="312"/>
      <c r="Q1243" s="312"/>
      <c r="R1243" s="312"/>
      <c r="S1243" s="312"/>
      <c r="T1243" s="312"/>
      <c r="U1243" s="312"/>
    </row>
    <row r="1244">
      <c r="A1244" s="508" t="s">
        <v>27217</v>
      </c>
      <c r="B1244" s="232" t="s">
        <v>27231</v>
      </c>
      <c r="C1244" s="509" t="s">
        <v>27232</v>
      </c>
      <c r="D1244" s="511"/>
      <c r="E1244" s="511"/>
      <c r="F1244" s="232" t="s">
        <v>27233</v>
      </c>
      <c r="G1244" s="232" t="s">
        <v>24270</v>
      </c>
      <c r="H1244" s="232">
        <v>9.945204794E9</v>
      </c>
      <c r="I1244" s="509" t="s">
        <v>23669</v>
      </c>
      <c r="J1244" s="232" t="b">
        <v>0</v>
      </c>
      <c r="K1244" s="232"/>
      <c r="L1244" s="232"/>
      <c r="M1244" s="511"/>
      <c r="N1244" s="232"/>
      <c r="O1244" s="232"/>
      <c r="P1244" s="312"/>
      <c r="Q1244" s="312"/>
      <c r="R1244" s="312"/>
      <c r="S1244" s="312"/>
      <c r="T1244" s="312"/>
      <c r="U1244" s="312"/>
    </row>
    <row r="1245">
      <c r="A1245" s="508" t="s">
        <v>27217</v>
      </c>
      <c r="B1245" s="232" t="s">
        <v>27234</v>
      </c>
      <c r="C1245" s="509" t="s">
        <v>27235</v>
      </c>
      <c r="D1245" s="511"/>
      <c r="E1245" s="511"/>
      <c r="F1245" s="232"/>
      <c r="G1245" s="232" t="s">
        <v>27236</v>
      </c>
      <c r="H1245" s="232">
        <v>8.780473712E9</v>
      </c>
      <c r="I1245" s="509" t="s">
        <v>25954</v>
      </c>
      <c r="J1245" s="232" t="b">
        <v>0</v>
      </c>
      <c r="K1245" s="232"/>
      <c r="L1245" s="232"/>
      <c r="M1245" s="511"/>
      <c r="N1245" s="232"/>
      <c r="O1245" s="232"/>
      <c r="P1245" s="312"/>
      <c r="Q1245" s="312"/>
      <c r="R1245" s="312"/>
      <c r="S1245" s="312"/>
      <c r="T1245" s="312"/>
      <c r="U1245" s="312"/>
    </row>
    <row r="1246">
      <c r="A1246" s="508" t="s">
        <v>27217</v>
      </c>
      <c r="B1246" s="232" t="s">
        <v>27237</v>
      </c>
      <c r="C1246" s="509" t="s">
        <v>27238</v>
      </c>
      <c r="D1246" s="511"/>
      <c r="E1246" s="511"/>
      <c r="F1246" s="232"/>
      <c r="G1246" s="232" t="s">
        <v>23660</v>
      </c>
      <c r="H1246" s="232">
        <v>8.757446575E9</v>
      </c>
      <c r="I1246" s="509" t="s">
        <v>22289</v>
      </c>
      <c r="J1246" s="232" t="b">
        <v>0</v>
      </c>
      <c r="K1246" s="232" t="s">
        <v>22365</v>
      </c>
      <c r="L1246" s="232"/>
      <c r="M1246" s="511"/>
      <c r="N1246" s="232"/>
      <c r="O1246" s="232"/>
      <c r="P1246" s="312"/>
      <c r="Q1246" s="312"/>
      <c r="R1246" s="312"/>
      <c r="S1246" s="312"/>
      <c r="T1246" s="312"/>
      <c r="U1246" s="312"/>
    </row>
    <row r="1247">
      <c r="A1247" s="508" t="s">
        <v>27217</v>
      </c>
      <c r="B1247" s="232" t="s">
        <v>27239</v>
      </c>
      <c r="C1247" s="509" t="s">
        <v>27240</v>
      </c>
      <c r="D1247" s="511"/>
      <c r="E1247" s="511"/>
      <c r="F1247" s="232" t="s">
        <v>27241</v>
      </c>
      <c r="G1247" s="232" t="s">
        <v>981</v>
      </c>
      <c r="H1247" s="232">
        <v>9.800797378E9</v>
      </c>
      <c r="I1247" s="509" t="s">
        <v>27242</v>
      </c>
      <c r="J1247" s="232" t="b">
        <v>0</v>
      </c>
      <c r="K1247" s="232" t="s">
        <v>22365</v>
      </c>
      <c r="L1247" s="232" t="s">
        <v>23537</v>
      </c>
      <c r="M1247" s="511"/>
      <c r="N1247" s="232"/>
      <c r="O1247" s="232"/>
      <c r="P1247" s="312"/>
      <c r="Q1247" s="312"/>
      <c r="R1247" s="312"/>
      <c r="S1247" s="312"/>
      <c r="T1247" s="312"/>
      <c r="U1247" s="312"/>
    </row>
    <row r="1248">
      <c r="A1248" s="508" t="s">
        <v>27217</v>
      </c>
      <c r="B1248" s="232" t="s">
        <v>27243</v>
      </c>
      <c r="C1248" s="509" t="s">
        <v>27244</v>
      </c>
      <c r="D1248" s="511"/>
      <c r="E1248" s="511"/>
      <c r="F1248" s="232"/>
      <c r="G1248" s="232" t="s">
        <v>44</v>
      </c>
      <c r="H1248" s="232">
        <v>8.91875505E9</v>
      </c>
      <c r="I1248" s="509" t="s">
        <v>27245</v>
      </c>
      <c r="J1248" s="232" t="b">
        <v>0</v>
      </c>
      <c r="K1248" s="232" t="s">
        <v>22365</v>
      </c>
      <c r="L1248" s="232" t="s">
        <v>23537</v>
      </c>
      <c r="M1248" s="511"/>
      <c r="N1248" s="232"/>
      <c r="O1248" s="232"/>
      <c r="P1248" s="312"/>
      <c r="Q1248" s="312"/>
      <c r="R1248" s="312"/>
      <c r="S1248" s="312"/>
      <c r="T1248" s="312"/>
      <c r="U1248" s="312"/>
    </row>
    <row r="1249">
      <c r="A1249" s="508" t="s">
        <v>27246</v>
      </c>
      <c r="B1249" s="232" t="s">
        <v>27247</v>
      </c>
      <c r="C1249" s="509" t="s">
        <v>27248</v>
      </c>
      <c r="D1249" s="510" t="s">
        <v>27249</v>
      </c>
      <c r="E1249" s="511"/>
      <c r="F1249" s="232" t="s">
        <v>27250</v>
      </c>
      <c r="G1249" s="232" t="s">
        <v>22501</v>
      </c>
      <c r="H1249" s="232">
        <v>-9.131684797E9</v>
      </c>
      <c r="I1249" s="509" t="s">
        <v>22860</v>
      </c>
      <c r="J1249" s="232" t="b">
        <v>0</v>
      </c>
      <c r="K1249" s="232" t="s">
        <v>22365</v>
      </c>
      <c r="L1249" s="232" t="s">
        <v>27251</v>
      </c>
      <c r="M1249" s="511"/>
      <c r="N1249" s="232"/>
      <c r="O1249" s="232"/>
      <c r="P1249" s="312"/>
      <c r="Q1249" s="312"/>
      <c r="R1249" s="312"/>
      <c r="S1249" s="312"/>
      <c r="T1249" s="312"/>
      <c r="U1249" s="312"/>
    </row>
    <row r="1250">
      <c r="A1250" s="508" t="s">
        <v>27246</v>
      </c>
      <c r="B1250" s="232" t="s">
        <v>27252</v>
      </c>
      <c r="C1250" s="509" t="s">
        <v>27253</v>
      </c>
      <c r="D1250" s="511"/>
      <c r="E1250" s="511"/>
      <c r="F1250" s="232" t="s">
        <v>27254</v>
      </c>
      <c r="G1250" s="232" t="s">
        <v>22856</v>
      </c>
      <c r="H1250" s="232">
        <v>7.978430038E9</v>
      </c>
      <c r="I1250" s="509" t="s">
        <v>24892</v>
      </c>
      <c r="J1250" s="232" t="b">
        <v>0</v>
      </c>
      <c r="K1250" s="232" t="s">
        <v>22365</v>
      </c>
      <c r="L1250" s="232" t="s">
        <v>23537</v>
      </c>
      <c r="M1250" s="511"/>
      <c r="N1250" s="232"/>
      <c r="O1250" s="232"/>
      <c r="P1250" s="312"/>
      <c r="Q1250" s="312"/>
      <c r="R1250" s="312"/>
      <c r="S1250" s="312"/>
      <c r="T1250" s="312"/>
      <c r="U1250" s="312"/>
    </row>
    <row r="1251">
      <c r="A1251" s="508" t="s">
        <v>27246</v>
      </c>
      <c r="B1251" s="232" t="s">
        <v>27255</v>
      </c>
      <c r="C1251" s="509" t="s">
        <v>27256</v>
      </c>
      <c r="D1251" s="519" t="s">
        <v>27257</v>
      </c>
      <c r="E1251" s="511"/>
      <c r="F1251" s="232" t="s">
        <v>27258</v>
      </c>
      <c r="G1251" s="232" t="s">
        <v>22844</v>
      </c>
      <c r="H1251" s="232">
        <v>8.830299769E9</v>
      </c>
      <c r="I1251" s="509" t="s">
        <v>26179</v>
      </c>
      <c r="J1251" s="232" t="b">
        <v>0</v>
      </c>
      <c r="K1251" s="232"/>
      <c r="L1251" s="232"/>
      <c r="M1251" s="511"/>
      <c r="N1251" s="232"/>
      <c r="O1251" s="232"/>
      <c r="P1251" s="312"/>
      <c r="Q1251" s="312"/>
      <c r="R1251" s="312"/>
      <c r="S1251" s="312"/>
      <c r="T1251" s="312"/>
      <c r="U1251" s="312"/>
    </row>
    <row r="1252">
      <c r="A1252" s="508" t="s">
        <v>27246</v>
      </c>
      <c r="B1252" s="232" t="s">
        <v>27259</v>
      </c>
      <c r="C1252" s="509" t="s">
        <v>27260</v>
      </c>
      <c r="D1252" s="519" t="s">
        <v>27261</v>
      </c>
      <c r="E1252" s="511"/>
      <c r="F1252" s="232" t="s">
        <v>27262</v>
      </c>
      <c r="G1252" s="232" t="s">
        <v>22844</v>
      </c>
      <c r="H1252" s="232">
        <v>9.513859513E9</v>
      </c>
      <c r="I1252" s="509" t="s">
        <v>27263</v>
      </c>
      <c r="J1252" s="232" t="b">
        <v>0</v>
      </c>
      <c r="K1252" s="232" t="s">
        <v>22365</v>
      </c>
      <c r="L1252" s="232" t="s">
        <v>27264</v>
      </c>
      <c r="M1252" s="511"/>
      <c r="N1252" s="232"/>
      <c r="O1252" s="232"/>
      <c r="P1252" s="312"/>
      <c r="Q1252" s="312"/>
      <c r="R1252" s="312"/>
      <c r="S1252" s="312"/>
      <c r="T1252" s="312"/>
      <c r="U1252" s="312"/>
    </row>
    <row r="1253">
      <c r="A1253" s="513" t="s">
        <v>27246</v>
      </c>
      <c r="B1253" s="514" t="s">
        <v>27265</v>
      </c>
      <c r="C1253" s="515" t="s">
        <v>27266</v>
      </c>
      <c r="D1253" s="517"/>
      <c r="E1253" s="517"/>
      <c r="F1253" s="514" t="s">
        <v>27267</v>
      </c>
      <c r="G1253" s="514" t="s">
        <v>44</v>
      </c>
      <c r="H1253" s="514">
        <v>9.4334351E9</v>
      </c>
      <c r="I1253" s="515" t="s">
        <v>27268</v>
      </c>
      <c r="J1253" s="514" t="b">
        <v>0</v>
      </c>
      <c r="K1253" s="514" t="s">
        <v>22312</v>
      </c>
      <c r="L1253" s="518" t="s">
        <v>27269</v>
      </c>
      <c r="M1253" s="511"/>
      <c r="N1253" s="232"/>
      <c r="O1253" s="232"/>
      <c r="P1253" s="312"/>
      <c r="Q1253" s="312"/>
      <c r="R1253" s="312"/>
      <c r="S1253" s="312"/>
      <c r="T1253" s="312"/>
      <c r="U1253" s="312"/>
    </row>
    <row r="1254">
      <c r="A1254" s="508" t="s">
        <v>27246</v>
      </c>
      <c r="B1254" s="232" t="s">
        <v>27270</v>
      </c>
      <c r="C1254" s="509" t="s">
        <v>27271</v>
      </c>
      <c r="D1254" s="511"/>
      <c r="E1254" s="511"/>
      <c r="F1254" s="232" t="s">
        <v>27272</v>
      </c>
      <c r="G1254" s="232" t="s">
        <v>27273</v>
      </c>
      <c r="H1254" s="232">
        <v>8.096365081E9</v>
      </c>
      <c r="I1254" s="509" t="s">
        <v>27274</v>
      </c>
      <c r="J1254" s="232" t="b">
        <v>0</v>
      </c>
      <c r="K1254" s="232"/>
      <c r="L1254" s="232"/>
      <c r="M1254" s="511"/>
      <c r="N1254" s="232"/>
      <c r="O1254" s="232"/>
      <c r="P1254" s="312"/>
      <c r="Q1254" s="312"/>
      <c r="R1254" s="312"/>
      <c r="S1254" s="312"/>
      <c r="T1254" s="312"/>
      <c r="U1254" s="312"/>
    </row>
    <row r="1255">
      <c r="A1255" s="508" t="s">
        <v>27246</v>
      </c>
      <c r="B1255" s="232" t="s">
        <v>27275</v>
      </c>
      <c r="C1255" s="509" t="s">
        <v>27276</v>
      </c>
      <c r="D1255" s="511"/>
      <c r="E1255" s="511"/>
      <c r="F1255" s="232" t="s">
        <v>27277</v>
      </c>
      <c r="G1255" s="232" t="s">
        <v>27278</v>
      </c>
      <c r="H1255" s="232">
        <v>8.638196682E9</v>
      </c>
      <c r="I1255" s="509" t="s">
        <v>27279</v>
      </c>
      <c r="J1255" s="232" t="b">
        <v>0</v>
      </c>
      <c r="K1255" s="232" t="s">
        <v>22365</v>
      </c>
      <c r="L1255" s="232" t="s">
        <v>23537</v>
      </c>
      <c r="M1255" s="511"/>
      <c r="N1255" s="232"/>
      <c r="O1255" s="232"/>
      <c r="P1255" s="312"/>
      <c r="Q1255" s="312"/>
      <c r="R1255" s="312"/>
      <c r="S1255" s="312"/>
      <c r="T1255" s="312"/>
      <c r="U1255" s="312"/>
    </row>
    <row r="1256">
      <c r="A1256" s="508" t="s">
        <v>27280</v>
      </c>
      <c r="B1256" s="232" t="s">
        <v>27275</v>
      </c>
      <c r="C1256" s="509" t="s">
        <v>27281</v>
      </c>
      <c r="D1256" s="519" t="s">
        <v>27282</v>
      </c>
      <c r="E1256" s="511"/>
      <c r="F1256" s="232" t="s">
        <v>27283</v>
      </c>
      <c r="G1256" s="232" t="s">
        <v>22421</v>
      </c>
      <c r="H1256" s="232">
        <v>9.637616844E9</v>
      </c>
      <c r="I1256" s="509" t="s">
        <v>26809</v>
      </c>
      <c r="J1256" s="232" t="b">
        <v>0</v>
      </c>
      <c r="K1256" s="232" t="s">
        <v>22365</v>
      </c>
      <c r="M1256" s="511"/>
      <c r="N1256" s="232"/>
      <c r="O1256" s="232"/>
      <c r="P1256" s="312"/>
      <c r="Q1256" s="312"/>
      <c r="R1256" s="312"/>
      <c r="S1256" s="312"/>
      <c r="T1256" s="312"/>
      <c r="U1256" s="312"/>
    </row>
    <row r="1257">
      <c r="A1257" s="508" t="s">
        <v>27280</v>
      </c>
      <c r="B1257" s="232" t="s">
        <v>27284</v>
      </c>
      <c r="C1257" s="509" t="s">
        <v>26746</v>
      </c>
      <c r="D1257" s="511"/>
      <c r="E1257" s="511"/>
      <c r="F1257" s="232"/>
      <c r="G1257" s="232" t="s">
        <v>22479</v>
      </c>
      <c r="H1257" s="232">
        <v>9.759513266E9</v>
      </c>
      <c r="I1257" s="509" t="s">
        <v>27285</v>
      </c>
      <c r="J1257" s="232" t="b">
        <v>0</v>
      </c>
      <c r="K1257" s="232"/>
      <c r="M1257" s="511"/>
      <c r="N1257" s="232"/>
      <c r="O1257" s="232"/>
      <c r="P1257" s="312"/>
      <c r="Q1257" s="312"/>
      <c r="R1257" s="312"/>
      <c r="S1257" s="312"/>
      <c r="T1257" s="312"/>
      <c r="U1257" s="312"/>
    </row>
    <row r="1258">
      <c r="A1258" s="508" t="s">
        <v>27280</v>
      </c>
      <c r="B1258" s="232" t="s">
        <v>27286</v>
      </c>
      <c r="C1258" s="509" t="s">
        <v>27287</v>
      </c>
      <c r="D1258" s="510" t="s">
        <v>27288</v>
      </c>
      <c r="E1258" s="511"/>
      <c r="F1258" s="232" t="s">
        <v>27289</v>
      </c>
      <c r="G1258" s="232" t="s">
        <v>22479</v>
      </c>
      <c r="H1258" s="232">
        <v>8.700747318E9</v>
      </c>
      <c r="I1258" s="509" t="s">
        <v>24649</v>
      </c>
      <c r="J1258" s="232" t="b">
        <v>0</v>
      </c>
      <c r="K1258" s="232" t="s">
        <v>22365</v>
      </c>
      <c r="L1258" s="232"/>
      <c r="M1258" s="511"/>
      <c r="N1258" s="232"/>
      <c r="O1258" s="232"/>
      <c r="P1258" s="312"/>
      <c r="Q1258" s="312"/>
      <c r="R1258" s="312"/>
      <c r="S1258" s="312"/>
      <c r="T1258" s="312"/>
      <c r="U1258" s="312"/>
    </row>
    <row r="1259">
      <c r="A1259" s="508" t="s">
        <v>27280</v>
      </c>
      <c r="B1259" s="232" t="s">
        <v>27290</v>
      </c>
      <c r="C1259" s="509" t="s">
        <v>27291</v>
      </c>
      <c r="D1259" s="511"/>
      <c r="E1259" s="511"/>
      <c r="F1259" s="232"/>
      <c r="G1259" s="232" t="s">
        <v>22421</v>
      </c>
      <c r="H1259" s="232">
        <v>9.657143777E9</v>
      </c>
      <c r="I1259" s="509" t="s">
        <v>25387</v>
      </c>
      <c r="J1259" s="232" t="b">
        <v>0</v>
      </c>
      <c r="K1259" s="232"/>
      <c r="L1259" s="232"/>
      <c r="M1259" s="511"/>
      <c r="N1259" s="232"/>
      <c r="O1259" s="232"/>
      <c r="P1259" s="312"/>
      <c r="Q1259" s="312"/>
      <c r="R1259" s="312"/>
      <c r="S1259" s="312"/>
      <c r="T1259" s="312"/>
      <c r="U1259" s="312"/>
    </row>
    <row r="1260">
      <c r="A1260" s="508" t="s">
        <v>27280</v>
      </c>
      <c r="B1260" s="232" t="s">
        <v>27292</v>
      </c>
      <c r="C1260" s="509" t="s">
        <v>27293</v>
      </c>
      <c r="D1260" s="511"/>
      <c r="E1260" s="511"/>
      <c r="F1260" s="232" t="s">
        <v>27294</v>
      </c>
      <c r="G1260" s="232" t="s">
        <v>467</v>
      </c>
      <c r="H1260" s="232">
        <v>9.022842297E9</v>
      </c>
      <c r="I1260" s="509" t="s">
        <v>24649</v>
      </c>
      <c r="J1260" s="232" t="b">
        <v>0</v>
      </c>
      <c r="K1260" s="232" t="s">
        <v>22365</v>
      </c>
      <c r="L1260" s="232" t="s">
        <v>23537</v>
      </c>
      <c r="M1260" s="511"/>
      <c r="N1260" s="232"/>
      <c r="O1260" s="232"/>
      <c r="P1260" s="312"/>
      <c r="Q1260" s="312"/>
      <c r="R1260" s="312"/>
      <c r="S1260" s="312"/>
      <c r="T1260" s="312"/>
      <c r="U1260" s="312"/>
    </row>
    <row r="1261">
      <c r="A1261" s="508" t="s">
        <v>27280</v>
      </c>
      <c r="B1261" s="232" t="s">
        <v>27295</v>
      </c>
      <c r="C1261" s="509" t="s">
        <v>4186</v>
      </c>
      <c r="D1261" s="510" t="s">
        <v>27296</v>
      </c>
      <c r="E1261" s="511"/>
      <c r="F1261" s="232"/>
      <c r="G1261" s="232" t="s">
        <v>27297</v>
      </c>
      <c r="H1261" s="232">
        <v>8.777748847E9</v>
      </c>
      <c r="I1261" s="509" t="s">
        <v>22289</v>
      </c>
      <c r="J1261" s="232" t="b">
        <v>0</v>
      </c>
      <c r="K1261" s="232" t="s">
        <v>22365</v>
      </c>
      <c r="L1261" s="232" t="s">
        <v>23537</v>
      </c>
      <c r="M1261" s="511"/>
      <c r="N1261" s="232"/>
      <c r="O1261" s="232"/>
      <c r="P1261" s="312"/>
      <c r="Q1261" s="312"/>
      <c r="R1261" s="312"/>
      <c r="S1261" s="312"/>
      <c r="T1261" s="312"/>
      <c r="U1261" s="312"/>
    </row>
    <row r="1262">
      <c r="A1262" s="508" t="s">
        <v>27280</v>
      </c>
      <c r="B1262" s="232" t="s">
        <v>27298</v>
      </c>
      <c r="C1262" s="509" t="s">
        <v>6521</v>
      </c>
      <c r="D1262" s="511"/>
      <c r="E1262" s="511"/>
      <c r="F1262" s="232" t="s">
        <v>27299</v>
      </c>
      <c r="G1262" s="232" t="s">
        <v>2682</v>
      </c>
      <c r="H1262" s="232">
        <v>-9.005547306E9</v>
      </c>
      <c r="I1262" s="509" t="s">
        <v>22373</v>
      </c>
      <c r="J1262" s="232" t="b">
        <v>0</v>
      </c>
      <c r="K1262" s="232"/>
      <c r="L1262" s="232"/>
      <c r="M1262" s="511"/>
      <c r="N1262" s="232"/>
      <c r="O1262" s="232"/>
      <c r="P1262" s="312"/>
      <c r="Q1262" s="312"/>
      <c r="R1262" s="312"/>
      <c r="S1262" s="312"/>
      <c r="T1262" s="312"/>
      <c r="U1262" s="312"/>
    </row>
    <row r="1263">
      <c r="A1263" s="508" t="s">
        <v>27280</v>
      </c>
      <c r="B1263" s="232" t="s">
        <v>27300</v>
      </c>
      <c r="C1263" s="509" t="s">
        <v>27301</v>
      </c>
      <c r="D1263" s="511"/>
      <c r="E1263" s="511"/>
      <c r="F1263" s="232" t="s">
        <v>27302</v>
      </c>
      <c r="G1263" s="232" t="s">
        <v>23593</v>
      </c>
      <c r="H1263" s="232">
        <v>9.873758508E9</v>
      </c>
      <c r="I1263" s="509" t="s">
        <v>22354</v>
      </c>
      <c r="J1263" s="232" t="b">
        <v>0</v>
      </c>
      <c r="K1263" s="232" t="s">
        <v>334</v>
      </c>
      <c r="L1263" s="232" t="s">
        <v>24733</v>
      </c>
      <c r="M1263" s="511"/>
      <c r="N1263" s="232"/>
      <c r="O1263" s="232"/>
      <c r="P1263" s="312"/>
      <c r="Q1263" s="312"/>
      <c r="R1263" s="312"/>
      <c r="S1263" s="312"/>
      <c r="T1263" s="312"/>
      <c r="U1263" s="312"/>
    </row>
    <row r="1264">
      <c r="A1264" s="508" t="s">
        <v>27280</v>
      </c>
      <c r="B1264" s="232" t="s">
        <v>27303</v>
      </c>
      <c r="C1264" s="509" t="s">
        <v>27304</v>
      </c>
      <c r="D1264" s="511"/>
      <c r="E1264" s="511"/>
      <c r="F1264" s="232"/>
      <c r="G1264" s="232" t="s">
        <v>23557</v>
      </c>
      <c r="H1264" s="232">
        <v>8.949498364E9</v>
      </c>
      <c r="I1264" s="509" t="s">
        <v>22289</v>
      </c>
      <c r="J1264" s="232" t="b">
        <v>0</v>
      </c>
      <c r="K1264" s="232"/>
      <c r="L1264" s="232"/>
      <c r="M1264" s="511"/>
      <c r="N1264" s="232"/>
      <c r="O1264" s="232"/>
      <c r="P1264" s="312"/>
      <c r="Q1264" s="312"/>
      <c r="R1264" s="312"/>
      <c r="S1264" s="312"/>
      <c r="T1264" s="312"/>
      <c r="U1264" s="312"/>
    </row>
    <row r="1265">
      <c r="A1265" s="508" t="s">
        <v>27280</v>
      </c>
      <c r="B1265" s="232" t="s">
        <v>27305</v>
      </c>
      <c r="C1265" s="509" t="s">
        <v>25286</v>
      </c>
      <c r="D1265" s="510" t="s">
        <v>25287</v>
      </c>
      <c r="E1265" s="511"/>
      <c r="F1265" s="232" t="s">
        <v>25288</v>
      </c>
      <c r="G1265" s="232" t="s">
        <v>519</v>
      </c>
      <c r="H1265" s="232">
        <v>8.238050526E9</v>
      </c>
      <c r="I1265" s="509" t="s">
        <v>25239</v>
      </c>
      <c r="J1265" s="232" t="b">
        <v>0</v>
      </c>
      <c r="K1265" s="232" t="s">
        <v>22365</v>
      </c>
      <c r="L1265" s="232"/>
      <c r="M1265" s="511"/>
      <c r="N1265" s="232"/>
      <c r="O1265" s="232"/>
      <c r="P1265" s="312"/>
      <c r="Q1265" s="312"/>
      <c r="R1265" s="312"/>
      <c r="S1265" s="312"/>
      <c r="T1265" s="312"/>
      <c r="U1265" s="312"/>
    </row>
    <row r="1266">
      <c r="A1266" s="508" t="s">
        <v>27280</v>
      </c>
      <c r="B1266" s="232" t="s">
        <v>27306</v>
      </c>
      <c r="C1266" s="509" t="s">
        <v>27307</v>
      </c>
      <c r="D1266" s="511"/>
      <c r="E1266" s="511"/>
      <c r="F1266" s="232" t="s">
        <v>27308</v>
      </c>
      <c r="G1266" s="232" t="s">
        <v>507</v>
      </c>
      <c r="H1266" s="232">
        <v>8.655773049E9</v>
      </c>
      <c r="I1266" s="509" t="s">
        <v>22373</v>
      </c>
      <c r="J1266" s="232" t="b">
        <v>0</v>
      </c>
      <c r="K1266" s="232" t="s">
        <v>22365</v>
      </c>
      <c r="L1266" s="232" t="s">
        <v>23537</v>
      </c>
      <c r="M1266" s="511"/>
      <c r="N1266" s="232"/>
      <c r="O1266" s="232"/>
      <c r="P1266" s="312"/>
      <c r="Q1266" s="312"/>
      <c r="R1266" s="312"/>
      <c r="S1266" s="312"/>
      <c r="T1266" s="312"/>
      <c r="U1266" s="312"/>
    </row>
    <row r="1267">
      <c r="A1267" s="508" t="s">
        <v>27280</v>
      </c>
      <c r="B1267" s="232" t="s">
        <v>27309</v>
      </c>
      <c r="C1267" s="509" t="s">
        <v>27310</v>
      </c>
      <c r="D1267" s="511"/>
      <c r="E1267" s="511"/>
      <c r="F1267" s="232" t="s">
        <v>27311</v>
      </c>
      <c r="G1267" s="232" t="s">
        <v>22770</v>
      </c>
      <c r="H1267" s="232">
        <v>8.448577576E9</v>
      </c>
      <c r="I1267" s="509" t="s">
        <v>22354</v>
      </c>
      <c r="J1267" s="232" t="b">
        <v>0</v>
      </c>
      <c r="K1267" s="232" t="s">
        <v>22365</v>
      </c>
      <c r="L1267" s="232" t="s">
        <v>23537</v>
      </c>
      <c r="M1267" s="511"/>
      <c r="N1267" s="232"/>
      <c r="O1267" s="232"/>
      <c r="P1267" s="312"/>
      <c r="Q1267" s="312"/>
      <c r="R1267" s="312"/>
      <c r="S1267" s="312"/>
      <c r="T1267" s="312"/>
      <c r="U1267" s="312"/>
    </row>
    <row r="1268">
      <c r="A1268" s="508" t="s">
        <v>27280</v>
      </c>
      <c r="B1268" s="232" t="s">
        <v>27312</v>
      </c>
      <c r="C1268" s="509" t="s">
        <v>27313</v>
      </c>
      <c r="D1268" s="510" t="s">
        <v>27314</v>
      </c>
      <c r="E1268" s="511"/>
      <c r="F1268" s="232" t="s">
        <v>27315</v>
      </c>
      <c r="G1268" s="232" t="s">
        <v>24213</v>
      </c>
      <c r="H1268" s="232">
        <v>9.436477968E9</v>
      </c>
      <c r="I1268" s="509" t="s">
        <v>27316</v>
      </c>
      <c r="J1268" s="232" t="b">
        <v>0</v>
      </c>
      <c r="K1268" s="232" t="s">
        <v>22349</v>
      </c>
      <c r="L1268" s="232" t="s">
        <v>27317</v>
      </c>
      <c r="M1268" s="511"/>
      <c r="N1268" s="232"/>
      <c r="O1268" s="232"/>
      <c r="P1268" s="312"/>
      <c r="Q1268" s="312"/>
      <c r="R1268" s="312"/>
      <c r="S1268" s="312"/>
      <c r="T1268" s="312"/>
      <c r="U1268" s="312"/>
    </row>
    <row r="1269">
      <c r="A1269" s="508" t="s">
        <v>27280</v>
      </c>
      <c r="B1269" s="232" t="s">
        <v>27318</v>
      </c>
      <c r="C1269" s="509" t="s">
        <v>27319</v>
      </c>
      <c r="D1269" s="510" t="s">
        <v>27320</v>
      </c>
      <c r="E1269" s="511"/>
      <c r="F1269" s="232" t="s">
        <v>27321</v>
      </c>
      <c r="G1269" s="232" t="s">
        <v>26241</v>
      </c>
      <c r="H1269" s="232">
        <v>8.989896004E9</v>
      </c>
      <c r="I1269" s="509" t="s">
        <v>22860</v>
      </c>
      <c r="J1269" s="232" t="b">
        <v>0</v>
      </c>
      <c r="K1269" s="232" t="s">
        <v>22349</v>
      </c>
      <c r="L1269" s="232" t="s">
        <v>24733</v>
      </c>
      <c r="M1269" s="511"/>
      <c r="N1269" s="232"/>
      <c r="O1269" s="232"/>
      <c r="P1269" s="312"/>
      <c r="Q1269" s="312"/>
      <c r="R1269" s="312"/>
      <c r="S1269" s="312"/>
      <c r="T1269" s="312"/>
      <c r="U1269" s="312"/>
    </row>
    <row r="1270">
      <c r="A1270" s="508" t="s">
        <v>27280</v>
      </c>
      <c r="B1270" s="232" t="s">
        <v>27322</v>
      </c>
      <c r="C1270" s="509" t="s">
        <v>27323</v>
      </c>
      <c r="D1270" s="511"/>
      <c r="E1270" s="511"/>
      <c r="F1270" s="232" t="s">
        <v>27324</v>
      </c>
      <c r="G1270" s="232" t="s">
        <v>601</v>
      </c>
      <c r="H1270" s="232">
        <v>8.087556315E9</v>
      </c>
      <c r="I1270" s="509" t="s">
        <v>22480</v>
      </c>
      <c r="J1270" s="232" t="b">
        <v>0</v>
      </c>
      <c r="K1270" s="232" t="s">
        <v>22355</v>
      </c>
      <c r="L1270" s="232"/>
      <c r="M1270" s="511"/>
      <c r="N1270" s="232"/>
      <c r="O1270" s="232"/>
      <c r="P1270" s="312"/>
      <c r="Q1270" s="312"/>
      <c r="R1270" s="312"/>
      <c r="S1270" s="312"/>
      <c r="T1270" s="312"/>
      <c r="U1270" s="312"/>
    </row>
    <row r="1271">
      <c r="A1271" s="508" t="s">
        <v>27280</v>
      </c>
      <c r="B1271" s="232" t="s">
        <v>27325</v>
      </c>
      <c r="C1271" s="509" t="s">
        <v>27326</v>
      </c>
      <c r="D1271" s="511"/>
      <c r="E1271" s="511"/>
      <c r="F1271" s="232" t="s">
        <v>27327</v>
      </c>
      <c r="G1271" s="232" t="s">
        <v>4944</v>
      </c>
      <c r="H1271" s="232">
        <v>9.398921721E9</v>
      </c>
      <c r="I1271" s="509" t="s">
        <v>27328</v>
      </c>
      <c r="J1271" s="232" t="b">
        <v>0</v>
      </c>
      <c r="K1271" s="232"/>
      <c r="L1271" s="232"/>
      <c r="M1271" s="511"/>
      <c r="N1271" s="232"/>
      <c r="O1271" s="232"/>
      <c r="P1271" s="312"/>
      <c r="Q1271" s="312"/>
      <c r="R1271" s="312"/>
      <c r="S1271" s="312"/>
      <c r="T1271" s="312"/>
      <c r="U1271" s="312"/>
    </row>
    <row r="1272">
      <c r="A1272" s="508" t="s">
        <v>27329</v>
      </c>
      <c r="B1272" s="232" t="s">
        <v>27330</v>
      </c>
      <c r="C1272" s="509" t="s">
        <v>27331</v>
      </c>
      <c r="D1272" s="510" t="s">
        <v>27332</v>
      </c>
      <c r="E1272" s="511"/>
      <c r="F1272" s="232" t="s">
        <v>27333</v>
      </c>
      <c r="G1272" s="232" t="s">
        <v>27334</v>
      </c>
      <c r="H1272" s="232">
        <v>7.718575679E9</v>
      </c>
      <c r="I1272" s="512" t="s">
        <v>27335</v>
      </c>
      <c r="J1272" s="232" t="b">
        <v>0</v>
      </c>
      <c r="K1272" s="232" t="s">
        <v>334</v>
      </c>
      <c r="L1272" s="232"/>
      <c r="M1272" s="511"/>
      <c r="N1272" s="232"/>
      <c r="O1272" s="232"/>
      <c r="P1272" s="312"/>
      <c r="Q1272" s="312"/>
      <c r="R1272" s="312"/>
      <c r="S1272" s="312"/>
      <c r="T1272" s="312"/>
      <c r="U1272" s="312"/>
    </row>
    <row r="1273">
      <c r="A1273" s="508" t="s">
        <v>27329</v>
      </c>
      <c r="B1273" s="232" t="s">
        <v>27336</v>
      </c>
      <c r="C1273" s="509" t="s">
        <v>27337</v>
      </c>
      <c r="D1273" s="510"/>
      <c r="E1273" s="511"/>
      <c r="F1273" s="232"/>
      <c r="G1273" s="232" t="s">
        <v>44</v>
      </c>
      <c r="H1273" s="232">
        <v>9.64781802E9</v>
      </c>
      <c r="I1273" s="509" t="s">
        <v>26182</v>
      </c>
      <c r="J1273" s="232" t="b">
        <v>0</v>
      </c>
      <c r="K1273" s="232" t="s">
        <v>22349</v>
      </c>
      <c r="L1273" s="232" t="s">
        <v>27338</v>
      </c>
      <c r="M1273" s="511"/>
      <c r="N1273" s="232"/>
      <c r="O1273" s="232"/>
      <c r="P1273" s="312"/>
      <c r="Q1273" s="312"/>
      <c r="R1273" s="312"/>
      <c r="S1273" s="312"/>
      <c r="T1273" s="312"/>
      <c r="U1273" s="312"/>
    </row>
    <row r="1274">
      <c r="A1274" s="508" t="s">
        <v>27329</v>
      </c>
      <c r="B1274" s="232" t="s">
        <v>27339</v>
      </c>
      <c r="C1274" s="509" t="s">
        <v>27340</v>
      </c>
      <c r="D1274" s="510"/>
      <c r="E1274" s="511"/>
      <c r="F1274" s="232" t="s">
        <v>27341</v>
      </c>
      <c r="G1274" s="232" t="s">
        <v>27170</v>
      </c>
      <c r="H1274" s="232">
        <v>9.324641342E9</v>
      </c>
      <c r="I1274" s="509" t="s">
        <v>27342</v>
      </c>
      <c r="J1274" s="232" t="b">
        <v>0</v>
      </c>
      <c r="K1274" s="232" t="s">
        <v>334</v>
      </c>
      <c r="L1274" s="232"/>
      <c r="M1274" s="511"/>
      <c r="N1274" s="232"/>
      <c r="O1274" s="232"/>
      <c r="P1274" s="312"/>
      <c r="Q1274" s="312"/>
      <c r="R1274" s="312"/>
      <c r="S1274" s="312"/>
      <c r="T1274" s="312"/>
      <c r="U1274" s="312"/>
    </row>
    <row r="1275">
      <c r="A1275" s="508" t="s">
        <v>27329</v>
      </c>
      <c r="B1275" s="232" t="s">
        <v>27343</v>
      </c>
      <c r="C1275" s="509" t="s">
        <v>27344</v>
      </c>
      <c r="D1275" s="510" t="s">
        <v>27345</v>
      </c>
      <c r="E1275" s="511"/>
      <c r="F1275" s="232" t="s">
        <v>27346</v>
      </c>
      <c r="G1275" s="232" t="s">
        <v>14534</v>
      </c>
      <c r="H1275" s="232">
        <v>6.230880365E9</v>
      </c>
      <c r="I1275" s="509" t="s">
        <v>27347</v>
      </c>
      <c r="J1275" s="232" t="b">
        <v>0</v>
      </c>
      <c r="K1275" s="232" t="s">
        <v>22349</v>
      </c>
      <c r="L1275" s="232" t="s">
        <v>27348</v>
      </c>
      <c r="M1275" s="511"/>
      <c r="N1275" s="232"/>
      <c r="O1275" s="232"/>
      <c r="P1275" s="312"/>
      <c r="Q1275" s="312"/>
      <c r="R1275" s="312"/>
      <c r="S1275" s="312"/>
      <c r="T1275" s="312"/>
      <c r="U1275" s="312"/>
    </row>
    <row r="1276">
      <c r="A1276" s="508" t="s">
        <v>27329</v>
      </c>
      <c r="B1276" s="232" t="s">
        <v>27349</v>
      </c>
      <c r="C1276" s="509" t="s">
        <v>27350</v>
      </c>
      <c r="D1276" s="511"/>
      <c r="E1276" s="511"/>
      <c r="F1276" s="232" t="s">
        <v>27351</v>
      </c>
      <c r="G1276" s="232" t="s">
        <v>507</v>
      </c>
      <c r="H1276" s="232">
        <v>6.261899362E9</v>
      </c>
      <c r="I1276" s="509" t="s">
        <v>27352</v>
      </c>
      <c r="J1276" s="232" t="b">
        <v>0</v>
      </c>
      <c r="K1276" s="232"/>
      <c r="L1276" s="232"/>
      <c r="M1276" s="511"/>
      <c r="N1276" s="232"/>
      <c r="O1276" s="232"/>
      <c r="P1276" s="312"/>
      <c r="Q1276" s="312"/>
      <c r="R1276" s="312"/>
      <c r="S1276" s="312"/>
      <c r="T1276" s="312"/>
      <c r="U1276" s="312"/>
    </row>
    <row r="1277">
      <c r="A1277" s="508" t="s">
        <v>27329</v>
      </c>
      <c r="B1277" s="232" t="s">
        <v>27353</v>
      </c>
      <c r="C1277" s="509" t="s">
        <v>27354</v>
      </c>
      <c r="D1277" s="511"/>
      <c r="E1277" s="511"/>
      <c r="F1277" s="232" t="s">
        <v>27355</v>
      </c>
      <c r="G1277" s="232" t="s">
        <v>22992</v>
      </c>
      <c r="H1277" s="232">
        <v>9.803465175E9</v>
      </c>
      <c r="I1277" s="509" t="s">
        <v>23563</v>
      </c>
      <c r="J1277" s="232" t="b">
        <v>0</v>
      </c>
      <c r="K1277" s="232" t="s">
        <v>22365</v>
      </c>
      <c r="L1277" s="232" t="s">
        <v>23537</v>
      </c>
      <c r="M1277" s="511"/>
      <c r="N1277" s="232"/>
      <c r="O1277" s="232"/>
      <c r="P1277" s="312"/>
      <c r="Q1277" s="312"/>
      <c r="R1277" s="312"/>
      <c r="S1277" s="312"/>
      <c r="T1277" s="312"/>
      <c r="U1277" s="312"/>
    </row>
    <row r="1278">
      <c r="A1278" s="508" t="s">
        <v>27329</v>
      </c>
      <c r="B1278" s="232" t="s">
        <v>27356</v>
      </c>
      <c r="C1278" s="509" t="s">
        <v>2223</v>
      </c>
      <c r="D1278" s="510" t="s">
        <v>27357</v>
      </c>
      <c r="E1278" s="511"/>
      <c r="F1278" s="232" t="s">
        <v>27358</v>
      </c>
      <c r="G1278" s="232" t="s">
        <v>22479</v>
      </c>
      <c r="H1278" s="232">
        <v>9.044662724E9</v>
      </c>
      <c r="I1278" s="509" t="s">
        <v>26923</v>
      </c>
      <c r="J1278" s="232" t="b">
        <v>0</v>
      </c>
      <c r="K1278" s="232" t="s">
        <v>22365</v>
      </c>
      <c r="L1278" s="232" t="s">
        <v>27359</v>
      </c>
      <c r="M1278" s="511"/>
      <c r="N1278" s="232"/>
      <c r="O1278" s="232"/>
      <c r="P1278" s="312"/>
      <c r="Q1278" s="312"/>
      <c r="R1278" s="312"/>
      <c r="S1278" s="312"/>
      <c r="T1278" s="312"/>
      <c r="U1278" s="312"/>
    </row>
    <row r="1279">
      <c r="A1279" s="508" t="s">
        <v>27329</v>
      </c>
      <c r="B1279" s="232" t="s">
        <v>27360</v>
      </c>
      <c r="C1279" s="509" t="s">
        <v>10376</v>
      </c>
      <c r="D1279" s="511"/>
      <c r="E1279" s="511"/>
      <c r="F1279" s="232" t="s">
        <v>27361</v>
      </c>
      <c r="G1279" s="232" t="s">
        <v>461</v>
      </c>
      <c r="H1279" s="232">
        <v>9.953233027E9</v>
      </c>
      <c r="I1279" s="509" t="s">
        <v>22961</v>
      </c>
      <c r="J1279" s="232" t="b">
        <v>0</v>
      </c>
      <c r="K1279" s="232" t="s">
        <v>22365</v>
      </c>
      <c r="L1279" s="232" t="s">
        <v>27362</v>
      </c>
      <c r="M1279" s="511"/>
      <c r="N1279" s="232"/>
      <c r="O1279" s="232"/>
      <c r="P1279" s="312"/>
      <c r="Q1279" s="312"/>
      <c r="R1279" s="312"/>
      <c r="S1279" s="312"/>
      <c r="T1279" s="312"/>
      <c r="U1279" s="312"/>
    </row>
    <row r="1280">
      <c r="A1280" s="508" t="s">
        <v>27363</v>
      </c>
      <c r="B1280" s="232" t="s">
        <v>27364</v>
      </c>
      <c r="C1280" s="512" t="s">
        <v>27365</v>
      </c>
      <c r="D1280" s="510" t="s">
        <v>27366</v>
      </c>
      <c r="E1280" s="511"/>
      <c r="F1280" s="232" t="s">
        <v>27367</v>
      </c>
      <c r="G1280" s="232" t="s">
        <v>519</v>
      </c>
      <c r="H1280" s="232">
        <v>9.275151514E9</v>
      </c>
      <c r="I1280" s="509" t="s">
        <v>23235</v>
      </c>
      <c r="J1280" s="232" t="b">
        <v>0</v>
      </c>
      <c r="K1280" s="232" t="s">
        <v>22365</v>
      </c>
      <c r="L1280" s="232" t="s">
        <v>23537</v>
      </c>
      <c r="M1280" s="511"/>
      <c r="N1280" s="232"/>
      <c r="O1280" s="232"/>
      <c r="P1280" s="312"/>
      <c r="Q1280" s="312"/>
      <c r="R1280" s="312"/>
      <c r="S1280" s="312"/>
      <c r="T1280" s="312"/>
      <c r="U1280" s="312"/>
    </row>
    <row r="1281">
      <c r="A1281" s="508" t="s">
        <v>27363</v>
      </c>
      <c r="B1281" s="232" t="s">
        <v>27368</v>
      </c>
      <c r="C1281" s="509" t="s">
        <v>27369</v>
      </c>
      <c r="D1281" s="510" t="s">
        <v>27370</v>
      </c>
      <c r="E1281" s="511"/>
      <c r="F1281" s="232" t="s">
        <v>27371</v>
      </c>
      <c r="G1281" s="232" t="s">
        <v>22960</v>
      </c>
      <c r="H1281" s="232">
        <v>8.072078454E9</v>
      </c>
      <c r="I1281" s="509" t="s">
        <v>26774</v>
      </c>
      <c r="J1281" s="232" t="b">
        <v>0</v>
      </c>
      <c r="K1281" s="232" t="s">
        <v>12092</v>
      </c>
      <c r="L1281" s="232"/>
      <c r="M1281" s="511"/>
      <c r="N1281" s="232"/>
      <c r="O1281" s="232"/>
      <c r="P1281" s="312"/>
      <c r="Q1281" s="312"/>
      <c r="R1281" s="312"/>
      <c r="S1281" s="312"/>
      <c r="T1281" s="312"/>
      <c r="U1281" s="312"/>
    </row>
    <row r="1282">
      <c r="A1282" s="508" t="s">
        <v>27363</v>
      </c>
      <c r="B1282" s="232" t="s">
        <v>27372</v>
      </c>
      <c r="C1282" s="509" t="s">
        <v>27373</v>
      </c>
      <c r="D1282" s="511"/>
      <c r="E1282" s="511"/>
      <c r="F1282" s="232" t="s">
        <v>27374</v>
      </c>
      <c r="G1282" s="232" t="s">
        <v>23782</v>
      </c>
      <c r="H1282" s="232">
        <v>9.885346479E9</v>
      </c>
      <c r="I1282" s="509" t="s">
        <v>22822</v>
      </c>
      <c r="J1282" s="232" t="b">
        <v>0</v>
      </c>
      <c r="K1282" s="232" t="s">
        <v>22365</v>
      </c>
      <c r="L1282" s="232" t="s">
        <v>23244</v>
      </c>
      <c r="M1282" s="511"/>
      <c r="N1282" s="232"/>
      <c r="O1282" s="232"/>
      <c r="P1282" s="312"/>
      <c r="Q1282" s="312"/>
      <c r="R1282" s="312"/>
      <c r="S1282" s="312"/>
      <c r="T1282" s="312"/>
      <c r="U1282" s="312"/>
    </row>
    <row r="1283">
      <c r="A1283" s="508" t="s">
        <v>27363</v>
      </c>
      <c r="B1283" s="232" t="s">
        <v>27375</v>
      </c>
      <c r="C1283" s="509" t="s">
        <v>27376</v>
      </c>
      <c r="D1283" s="511"/>
      <c r="E1283" s="511"/>
      <c r="F1283" s="232" t="s">
        <v>27377</v>
      </c>
      <c r="G1283" s="232" t="s">
        <v>23019</v>
      </c>
      <c r="H1283" s="232">
        <v>7.034510988E9</v>
      </c>
      <c r="I1283" s="509" t="s">
        <v>23563</v>
      </c>
      <c r="J1283" s="232" t="b">
        <v>0</v>
      </c>
      <c r="K1283" s="232" t="s">
        <v>12092</v>
      </c>
      <c r="L1283" s="232"/>
      <c r="M1283" s="511"/>
      <c r="N1283" s="232"/>
      <c r="O1283" s="232"/>
      <c r="P1283" s="312"/>
      <c r="Q1283" s="312"/>
      <c r="R1283" s="312"/>
      <c r="S1283" s="312"/>
      <c r="T1283" s="312"/>
      <c r="U1283" s="312"/>
    </row>
    <row r="1284">
      <c r="A1284" s="508" t="s">
        <v>27363</v>
      </c>
      <c r="B1284" s="232" t="s">
        <v>27378</v>
      </c>
      <c r="C1284" s="509" t="s">
        <v>3400</v>
      </c>
      <c r="D1284" s="511"/>
      <c r="E1284" s="511"/>
      <c r="F1284" s="232"/>
      <c r="G1284" s="232" t="s">
        <v>22597</v>
      </c>
      <c r="H1284" s="232">
        <v>6.396511958E9</v>
      </c>
      <c r="I1284" s="509" t="s">
        <v>23563</v>
      </c>
      <c r="J1284" s="232" t="b">
        <v>0</v>
      </c>
      <c r="K1284" s="232" t="s">
        <v>12092</v>
      </c>
      <c r="L1284" s="232"/>
      <c r="M1284" s="511"/>
      <c r="N1284" s="232"/>
      <c r="O1284" s="232"/>
      <c r="P1284" s="312"/>
      <c r="Q1284" s="312"/>
      <c r="R1284" s="312"/>
      <c r="S1284" s="312"/>
      <c r="T1284" s="312"/>
      <c r="U1284" s="312"/>
    </row>
    <row r="1285">
      <c r="A1285" s="508" t="s">
        <v>27363</v>
      </c>
      <c r="B1285" s="232" t="s">
        <v>27379</v>
      </c>
      <c r="C1285" s="509" t="s">
        <v>27380</v>
      </c>
      <c r="D1285" s="510" t="s">
        <v>27381</v>
      </c>
      <c r="E1285" s="511"/>
      <c r="F1285" s="232"/>
      <c r="G1285" s="232" t="s">
        <v>23593</v>
      </c>
      <c r="H1285" s="232">
        <v>7.783838535E9</v>
      </c>
      <c r="I1285" s="509" t="s">
        <v>27382</v>
      </c>
      <c r="J1285" s="232" t="b">
        <v>0</v>
      </c>
      <c r="K1285" s="232" t="s">
        <v>22349</v>
      </c>
      <c r="L1285" s="232" t="s">
        <v>27383</v>
      </c>
      <c r="M1285" s="511"/>
      <c r="N1285" s="232"/>
      <c r="O1285" s="232"/>
      <c r="P1285" s="312"/>
      <c r="Q1285" s="312"/>
      <c r="R1285" s="312"/>
      <c r="S1285" s="312"/>
      <c r="T1285" s="312"/>
      <c r="U1285" s="312"/>
    </row>
    <row r="1286">
      <c r="A1286" s="508" t="s">
        <v>27363</v>
      </c>
      <c r="B1286" s="232" t="s">
        <v>27384</v>
      </c>
      <c r="C1286" s="509" t="s">
        <v>27385</v>
      </c>
      <c r="D1286" s="511"/>
      <c r="E1286" s="511"/>
      <c r="F1286" s="232" t="s">
        <v>27386</v>
      </c>
      <c r="G1286" s="232" t="s">
        <v>27387</v>
      </c>
      <c r="H1286" s="232">
        <v>7.896951584E9</v>
      </c>
      <c r="I1286" s="509" t="s">
        <v>24796</v>
      </c>
      <c r="J1286" s="232" t="b">
        <v>0</v>
      </c>
      <c r="K1286" s="232" t="s">
        <v>22365</v>
      </c>
      <c r="L1286" s="232"/>
      <c r="M1286" s="511"/>
      <c r="N1286" s="232"/>
      <c r="O1286" s="232"/>
      <c r="P1286" s="312"/>
      <c r="Q1286" s="312"/>
      <c r="R1286" s="312"/>
      <c r="S1286" s="312"/>
      <c r="T1286" s="312"/>
      <c r="U1286" s="312"/>
    </row>
    <row r="1287">
      <c r="A1287" s="508" t="s">
        <v>27363</v>
      </c>
      <c r="B1287" s="232" t="s">
        <v>27388</v>
      </c>
      <c r="C1287" s="509" t="s">
        <v>27389</v>
      </c>
      <c r="D1287" s="511"/>
      <c r="E1287" s="511"/>
      <c r="F1287" s="232" t="s">
        <v>27390</v>
      </c>
      <c r="G1287" s="232" t="s">
        <v>15263</v>
      </c>
      <c r="H1287" s="232">
        <v>8.882733305E9</v>
      </c>
      <c r="I1287" s="509" t="s">
        <v>27391</v>
      </c>
      <c r="J1287" s="232" t="b">
        <v>0</v>
      </c>
      <c r="K1287" s="232" t="s">
        <v>22365</v>
      </c>
      <c r="L1287" s="232" t="s">
        <v>27392</v>
      </c>
      <c r="M1287" s="511"/>
      <c r="N1287" s="232"/>
      <c r="O1287" s="232"/>
      <c r="P1287" s="312"/>
      <c r="Q1287" s="312"/>
      <c r="R1287" s="312"/>
      <c r="S1287" s="312"/>
      <c r="T1287" s="312"/>
      <c r="U1287" s="312"/>
    </row>
    <row r="1288">
      <c r="A1288" s="508" t="s">
        <v>27363</v>
      </c>
      <c r="B1288" s="232" t="s">
        <v>27393</v>
      </c>
      <c r="C1288" s="509" t="s">
        <v>27394</v>
      </c>
      <c r="D1288" s="511"/>
      <c r="E1288" s="511"/>
      <c r="F1288" s="232" t="s">
        <v>27395</v>
      </c>
      <c r="G1288" s="232" t="s">
        <v>26514</v>
      </c>
      <c r="H1288" s="232">
        <v>7.003773197E9</v>
      </c>
      <c r="I1288" s="509" t="s">
        <v>23260</v>
      </c>
      <c r="J1288" s="232" t="b">
        <v>0</v>
      </c>
      <c r="K1288" s="232" t="s">
        <v>22365</v>
      </c>
      <c r="L1288" s="232" t="s">
        <v>25270</v>
      </c>
      <c r="M1288" s="511"/>
      <c r="N1288" s="232"/>
      <c r="O1288" s="232"/>
      <c r="P1288" s="312"/>
      <c r="Q1288" s="312"/>
      <c r="R1288" s="312"/>
      <c r="S1288" s="312"/>
      <c r="T1288" s="312"/>
      <c r="U1288" s="312"/>
    </row>
    <row r="1289">
      <c r="A1289" s="508" t="s">
        <v>27396</v>
      </c>
      <c r="B1289" s="232" t="s">
        <v>27397</v>
      </c>
      <c r="C1289" s="509" t="s">
        <v>10180</v>
      </c>
      <c r="D1289" s="510" t="s">
        <v>23801</v>
      </c>
      <c r="E1289" s="511"/>
      <c r="F1289" s="232" t="s">
        <v>10181</v>
      </c>
      <c r="G1289" s="232" t="s">
        <v>27398</v>
      </c>
      <c r="H1289" s="232">
        <v>8.348396235E9</v>
      </c>
      <c r="I1289" s="509" t="s">
        <v>26110</v>
      </c>
      <c r="J1289" s="232" t="b">
        <v>0</v>
      </c>
      <c r="K1289" s="232" t="s">
        <v>22365</v>
      </c>
      <c r="L1289" s="232"/>
      <c r="M1289" s="511"/>
      <c r="N1289" s="232"/>
      <c r="O1289" s="232"/>
      <c r="P1289" s="312"/>
      <c r="Q1289" s="312"/>
      <c r="R1289" s="312"/>
      <c r="S1289" s="312"/>
      <c r="T1289" s="312"/>
      <c r="U1289" s="312"/>
    </row>
    <row r="1290">
      <c r="A1290" s="508" t="s">
        <v>27396</v>
      </c>
      <c r="B1290" s="232" t="s">
        <v>27399</v>
      </c>
      <c r="C1290" s="509" t="s">
        <v>27400</v>
      </c>
      <c r="D1290" s="519" t="s">
        <v>27401</v>
      </c>
      <c r="E1290" s="511"/>
      <c r="F1290" s="232" t="s">
        <v>27402</v>
      </c>
      <c r="G1290" s="232" t="s">
        <v>467</v>
      </c>
      <c r="H1290" s="232">
        <v>7.45501121E9</v>
      </c>
      <c r="I1290" s="509" t="s">
        <v>25637</v>
      </c>
      <c r="J1290" s="232" t="b">
        <v>0</v>
      </c>
      <c r="K1290" s="232"/>
      <c r="M1290" s="511"/>
      <c r="N1290" s="232"/>
      <c r="O1290" s="232"/>
      <c r="P1290" s="312"/>
      <c r="Q1290" s="312"/>
      <c r="R1290" s="312"/>
      <c r="S1290" s="312"/>
      <c r="T1290" s="312"/>
      <c r="U1290" s="312"/>
    </row>
    <row r="1291">
      <c r="A1291" s="508" t="s">
        <v>27396</v>
      </c>
      <c r="B1291" s="232" t="s">
        <v>27403</v>
      </c>
      <c r="C1291" s="509" t="s">
        <v>25174</v>
      </c>
      <c r="D1291" s="510" t="s">
        <v>25175</v>
      </c>
      <c r="E1291" s="511"/>
      <c r="F1291" s="232" t="s">
        <v>27404</v>
      </c>
      <c r="G1291" s="232" t="s">
        <v>26553</v>
      </c>
      <c r="H1291" s="232">
        <v>7.020856822E9</v>
      </c>
      <c r="I1291" s="509" t="s">
        <v>27405</v>
      </c>
      <c r="J1291" s="232" t="b">
        <v>0</v>
      </c>
      <c r="K1291" s="232" t="s">
        <v>334</v>
      </c>
      <c r="L1291" s="232"/>
      <c r="M1291" s="511"/>
      <c r="N1291" s="232"/>
      <c r="O1291" s="232"/>
      <c r="P1291" s="312"/>
      <c r="Q1291" s="312"/>
      <c r="R1291" s="312"/>
      <c r="S1291" s="312"/>
      <c r="T1291" s="312"/>
      <c r="U1291" s="312"/>
    </row>
    <row r="1292">
      <c r="A1292" s="508" t="s">
        <v>27396</v>
      </c>
      <c r="B1292" s="232" t="s">
        <v>27406</v>
      </c>
      <c r="C1292" s="509" t="s">
        <v>27407</v>
      </c>
      <c r="D1292" s="511"/>
      <c r="E1292" s="511"/>
      <c r="F1292" s="232" t="s">
        <v>27408</v>
      </c>
      <c r="G1292" s="232" t="s">
        <v>507</v>
      </c>
      <c r="H1292" s="232">
        <v>8.888956091E9</v>
      </c>
      <c r="I1292" s="509" t="s">
        <v>25156</v>
      </c>
      <c r="J1292" s="232" t="b">
        <v>0</v>
      </c>
      <c r="K1292" s="232" t="s">
        <v>22365</v>
      </c>
      <c r="L1292" s="232" t="s">
        <v>23537</v>
      </c>
      <c r="M1292" s="511"/>
      <c r="N1292" s="232"/>
      <c r="O1292" s="232"/>
      <c r="P1292" s="312"/>
      <c r="Q1292" s="312"/>
      <c r="R1292" s="312"/>
      <c r="S1292" s="312"/>
      <c r="T1292" s="312"/>
      <c r="U1292" s="312"/>
    </row>
    <row r="1293">
      <c r="A1293" s="508" t="s">
        <v>27396</v>
      </c>
      <c r="B1293" s="232" t="s">
        <v>27409</v>
      </c>
      <c r="C1293" s="509" t="s">
        <v>27410</v>
      </c>
      <c r="D1293" s="510" t="s">
        <v>27411</v>
      </c>
      <c r="E1293" s="511"/>
      <c r="F1293" s="232" t="s">
        <v>27412</v>
      </c>
      <c r="G1293" s="232" t="s">
        <v>507</v>
      </c>
      <c r="H1293" s="232">
        <v>9.371430382E9</v>
      </c>
      <c r="I1293" s="509"/>
      <c r="J1293" s="232" t="b">
        <v>0</v>
      </c>
      <c r="K1293" s="232"/>
      <c r="L1293" s="232"/>
      <c r="M1293" s="511"/>
      <c r="N1293" s="232"/>
      <c r="O1293" s="232"/>
      <c r="P1293" s="312"/>
      <c r="Q1293" s="312"/>
      <c r="R1293" s="312"/>
      <c r="S1293" s="312"/>
      <c r="T1293" s="312"/>
      <c r="U1293" s="312"/>
    </row>
    <row r="1294">
      <c r="A1294" s="508" t="s">
        <v>27396</v>
      </c>
      <c r="B1294" s="232" t="s">
        <v>27413</v>
      </c>
      <c r="C1294" s="509" t="s">
        <v>27414</v>
      </c>
      <c r="D1294" s="511"/>
      <c r="E1294" s="511"/>
      <c r="F1294" s="232"/>
      <c r="G1294" s="232" t="s">
        <v>24601</v>
      </c>
      <c r="H1294" s="232">
        <v>9.613485062E9</v>
      </c>
      <c r="I1294" s="509" t="s">
        <v>27415</v>
      </c>
      <c r="J1294" s="232" t="b">
        <v>0</v>
      </c>
      <c r="K1294" s="232"/>
      <c r="L1294" s="232"/>
      <c r="M1294" s="511"/>
      <c r="N1294" s="232"/>
      <c r="O1294" s="232"/>
      <c r="P1294" s="312"/>
      <c r="Q1294" s="312"/>
      <c r="R1294" s="312"/>
      <c r="S1294" s="312"/>
      <c r="T1294" s="312"/>
      <c r="U1294" s="312"/>
    </row>
    <row r="1295">
      <c r="A1295" s="508" t="s">
        <v>27396</v>
      </c>
      <c r="B1295" s="232" t="s">
        <v>27416</v>
      </c>
      <c r="C1295" s="509" t="s">
        <v>27417</v>
      </c>
      <c r="D1295" s="510" t="s">
        <v>27418</v>
      </c>
      <c r="E1295" s="511"/>
      <c r="F1295" s="232"/>
      <c r="G1295" s="232" t="s">
        <v>18402</v>
      </c>
      <c r="H1295" s="232">
        <v>9.437124467E9</v>
      </c>
      <c r="I1295" s="509" t="s">
        <v>25954</v>
      </c>
      <c r="J1295" s="232" t="b">
        <v>0</v>
      </c>
      <c r="K1295" s="232" t="s">
        <v>22365</v>
      </c>
      <c r="L1295" s="232" t="s">
        <v>23537</v>
      </c>
      <c r="M1295" s="511"/>
      <c r="N1295" s="232"/>
      <c r="O1295" s="232"/>
      <c r="P1295" s="312"/>
      <c r="Q1295" s="312"/>
      <c r="R1295" s="312"/>
      <c r="S1295" s="312"/>
      <c r="T1295" s="312"/>
      <c r="U1295" s="312"/>
    </row>
    <row r="1296">
      <c r="A1296" s="508" t="s">
        <v>27419</v>
      </c>
      <c r="B1296" s="232" t="s">
        <v>27420</v>
      </c>
      <c r="C1296" s="509" t="s">
        <v>27421</v>
      </c>
      <c r="D1296" s="510" t="s">
        <v>27422</v>
      </c>
      <c r="E1296" s="511"/>
      <c r="F1296" s="232"/>
      <c r="G1296" s="232" t="s">
        <v>23612</v>
      </c>
      <c r="H1296" s="232">
        <v>9.903389334E9</v>
      </c>
      <c r="I1296" s="509" t="s">
        <v>26415</v>
      </c>
      <c r="J1296" s="232" t="b">
        <v>0</v>
      </c>
      <c r="K1296" s="232" t="s">
        <v>12092</v>
      </c>
      <c r="M1296" s="511"/>
      <c r="N1296" s="232"/>
      <c r="O1296" s="232"/>
      <c r="P1296" s="312"/>
      <c r="Q1296" s="312"/>
      <c r="R1296" s="312"/>
      <c r="S1296" s="312"/>
      <c r="T1296" s="312"/>
      <c r="U1296" s="312"/>
    </row>
    <row r="1297">
      <c r="A1297" s="513" t="s">
        <v>27419</v>
      </c>
      <c r="B1297" s="514" t="s">
        <v>27423</v>
      </c>
      <c r="C1297" s="525"/>
      <c r="D1297" s="517"/>
      <c r="E1297" s="517"/>
      <c r="F1297" s="514"/>
      <c r="G1297" s="514"/>
      <c r="H1297" s="514">
        <v>9.68129162E9</v>
      </c>
      <c r="I1297" s="515" t="s">
        <v>27424</v>
      </c>
      <c r="J1297" s="514" t="b">
        <v>0</v>
      </c>
      <c r="K1297" s="514" t="s">
        <v>22312</v>
      </c>
      <c r="L1297" s="518" t="s">
        <v>27425</v>
      </c>
      <c r="M1297" s="511"/>
      <c r="N1297" s="232"/>
      <c r="O1297" s="232"/>
      <c r="P1297" s="312"/>
      <c r="Q1297" s="312"/>
      <c r="R1297" s="312"/>
      <c r="S1297" s="312"/>
      <c r="T1297" s="312"/>
      <c r="U1297" s="312"/>
    </row>
    <row r="1298">
      <c r="A1298" s="508" t="s">
        <v>27419</v>
      </c>
      <c r="B1298" s="232" t="s">
        <v>27426</v>
      </c>
      <c r="C1298" s="509" t="s">
        <v>7421</v>
      </c>
      <c r="D1298" s="510" t="s">
        <v>27427</v>
      </c>
      <c r="E1298" s="511"/>
      <c r="F1298" s="232" t="s">
        <v>27428</v>
      </c>
      <c r="G1298" s="232" t="s">
        <v>27429</v>
      </c>
      <c r="H1298" s="232">
        <v>9.83076495E9</v>
      </c>
      <c r="I1298" s="509" t="s">
        <v>22851</v>
      </c>
      <c r="J1298" s="232" t="b">
        <v>0</v>
      </c>
      <c r="K1298" s="232" t="s">
        <v>22365</v>
      </c>
      <c r="L1298" s="232" t="s">
        <v>27430</v>
      </c>
      <c r="M1298" s="511"/>
      <c r="N1298" s="232"/>
      <c r="O1298" s="232"/>
      <c r="P1298" s="312"/>
      <c r="Q1298" s="312"/>
      <c r="R1298" s="312"/>
      <c r="S1298" s="312"/>
      <c r="T1298" s="312"/>
      <c r="U1298" s="312"/>
    </row>
    <row r="1299">
      <c r="A1299" s="508" t="s">
        <v>27419</v>
      </c>
      <c r="B1299" s="232" t="s">
        <v>27431</v>
      </c>
      <c r="C1299" s="509" t="s">
        <v>27432</v>
      </c>
      <c r="D1299" s="511"/>
      <c r="E1299" s="511"/>
      <c r="F1299" s="232"/>
      <c r="G1299" s="232" t="s">
        <v>18294</v>
      </c>
      <c r="H1299" s="232">
        <v>7.97605596E9</v>
      </c>
      <c r="I1299" s="509" t="s">
        <v>22373</v>
      </c>
      <c r="J1299" s="232" t="b">
        <v>0</v>
      </c>
      <c r="K1299" s="232" t="s">
        <v>22365</v>
      </c>
      <c r="L1299" s="232" t="s">
        <v>24488</v>
      </c>
      <c r="M1299" s="511"/>
      <c r="N1299" s="232"/>
      <c r="O1299" s="232"/>
      <c r="P1299" s="312"/>
      <c r="Q1299" s="312"/>
      <c r="R1299" s="312"/>
      <c r="S1299" s="312"/>
      <c r="T1299" s="312"/>
      <c r="U1299" s="312"/>
    </row>
    <row r="1300">
      <c r="A1300" s="508" t="s">
        <v>27419</v>
      </c>
      <c r="B1300" s="232" t="s">
        <v>27433</v>
      </c>
      <c r="C1300" s="509" t="s">
        <v>27434</v>
      </c>
      <c r="D1300" s="510" t="s">
        <v>27435</v>
      </c>
      <c r="E1300" s="511"/>
      <c r="F1300" s="232" t="s">
        <v>27436</v>
      </c>
      <c r="G1300" s="232" t="s">
        <v>22348</v>
      </c>
      <c r="H1300" s="232">
        <v>7.050050705E9</v>
      </c>
      <c r="I1300" s="509" t="s">
        <v>22289</v>
      </c>
      <c r="J1300" s="232" t="b">
        <v>0</v>
      </c>
      <c r="K1300" s="232" t="s">
        <v>334</v>
      </c>
      <c r="M1300" s="511"/>
      <c r="N1300" s="232"/>
      <c r="O1300" s="232"/>
      <c r="P1300" s="312"/>
      <c r="Q1300" s="312"/>
      <c r="R1300" s="312"/>
      <c r="S1300" s="312"/>
      <c r="T1300" s="312"/>
      <c r="U1300" s="312"/>
    </row>
    <row r="1301">
      <c r="A1301" s="508" t="s">
        <v>27419</v>
      </c>
      <c r="B1301" s="232" t="s">
        <v>27437</v>
      </c>
      <c r="C1301" s="509" t="s">
        <v>9356</v>
      </c>
      <c r="D1301" s="511"/>
      <c r="E1301" s="511"/>
      <c r="F1301" s="232" t="s">
        <v>27438</v>
      </c>
      <c r="G1301" s="232" t="s">
        <v>472</v>
      </c>
      <c r="H1301" s="232">
        <v>7.001806898E9</v>
      </c>
      <c r="I1301" s="509" t="s">
        <v>27439</v>
      </c>
      <c r="J1301" s="232" t="b">
        <v>0</v>
      </c>
      <c r="K1301" s="232"/>
      <c r="L1301" s="232" t="s">
        <v>27440</v>
      </c>
      <c r="M1301" s="511"/>
      <c r="N1301" s="232"/>
      <c r="O1301" s="232"/>
      <c r="P1301" s="312"/>
      <c r="Q1301" s="312"/>
      <c r="R1301" s="312"/>
      <c r="S1301" s="312"/>
      <c r="T1301" s="312"/>
      <c r="U1301" s="312"/>
    </row>
    <row r="1302">
      <c r="A1302" s="508" t="s">
        <v>27419</v>
      </c>
      <c r="B1302" s="232" t="s">
        <v>27441</v>
      </c>
      <c r="C1302" s="509" t="s">
        <v>27442</v>
      </c>
      <c r="D1302" s="511"/>
      <c r="E1302" s="511"/>
      <c r="F1302" s="232" t="s">
        <v>27443</v>
      </c>
      <c r="G1302" s="232" t="s">
        <v>22479</v>
      </c>
      <c r="H1302" s="232">
        <v>9.717906937E9</v>
      </c>
      <c r="I1302" s="509" t="s">
        <v>27439</v>
      </c>
      <c r="J1302" s="232" t="b">
        <v>0</v>
      </c>
      <c r="K1302" s="232" t="s">
        <v>22355</v>
      </c>
      <c r="L1302" s="232" t="s">
        <v>27444</v>
      </c>
      <c r="M1302" s="511"/>
      <c r="N1302" s="232"/>
      <c r="O1302" s="232"/>
      <c r="P1302" s="312"/>
      <c r="Q1302" s="312"/>
      <c r="R1302" s="312"/>
      <c r="S1302" s="312"/>
      <c r="T1302" s="312"/>
      <c r="U1302" s="312"/>
    </row>
    <row r="1303">
      <c r="A1303" s="508" t="s">
        <v>27445</v>
      </c>
      <c r="B1303" s="232" t="s">
        <v>27437</v>
      </c>
      <c r="C1303" s="509" t="s">
        <v>1242</v>
      </c>
      <c r="D1303" s="510" t="s">
        <v>27446</v>
      </c>
      <c r="E1303" s="511"/>
      <c r="F1303" s="232"/>
      <c r="G1303" s="232" t="s">
        <v>22479</v>
      </c>
      <c r="H1303" s="232">
        <v>6.360416505E9</v>
      </c>
      <c r="I1303" s="509" t="s">
        <v>27447</v>
      </c>
      <c r="J1303" s="232" t="b">
        <v>0</v>
      </c>
      <c r="K1303" s="232" t="s">
        <v>22355</v>
      </c>
      <c r="L1303" s="232"/>
      <c r="M1303" s="511"/>
      <c r="N1303" s="232"/>
      <c r="O1303" s="232"/>
      <c r="P1303" s="312"/>
      <c r="Q1303" s="312"/>
      <c r="R1303" s="312"/>
      <c r="S1303" s="312"/>
      <c r="T1303" s="312"/>
      <c r="U1303" s="312"/>
    </row>
    <row r="1304">
      <c r="A1304" s="508" t="s">
        <v>27445</v>
      </c>
      <c r="B1304" s="232" t="s">
        <v>27441</v>
      </c>
      <c r="C1304" s="509" t="s">
        <v>27448</v>
      </c>
      <c r="D1304" s="510" t="s">
        <v>27449</v>
      </c>
      <c r="E1304" s="511"/>
      <c r="F1304" s="232"/>
      <c r="G1304" s="232" t="s">
        <v>519</v>
      </c>
      <c r="H1304" s="232">
        <v>9.265364123E9</v>
      </c>
      <c r="I1304" s="509" t="s">
        <v>27450</v>
      </c>
      <c r="J1304" s="232" t="b">
        <v>0</v>
      </c>
      <c r="K1304" s="232" t="s">
        <v>12092</v>
      </c>
      <c r="L1304" s="232"/>
      <c r="M1304" s="511"/>
      <c r="N1304" s="232"/>
      <c r="O1304" s="232"/>
      <c r="P1304" s="312"/>
      <c r="Q1304" s="312"/>
      <c r="R1304" s="312"/>
      <c r="S1304" s="312"/>
      <c r="T1304" s="312"/>
      <c r="U1304" s="312"/>
    </row>
    <row r="1305">
      <c r="A1305" s="508" t="s">
        <v>27445</v>
      </c>
      <c r="B1305" s="232" t="s">
        <v>27451</v>
      </c>
      <c r="C1305" s="509" t="s">
        <v>2812</v>
      </c>
      <c r="D1305" s="511"/>
      <c r="E1305" s="511"/>
      <c r="F1305" s="232" t="s">
        <v>27452</v>
      </c>
      <c r="G1305" s="232"/>
      <c r="H1305" s="232">
        <v>7.63234021E8</v>
      </c>
      <c r="I1305" s="509" t="s">
        <v>27453</v>
      </c>
      <c r="J1305" s="232" t="b">
        <v>0</v>
      </c>
      <c r="K1305" s="232" t="s">
        <v>12092</v>
      </c>
      <c r="L1305" s="232"/>
      <c r="M1305" s="511"/>
      <c r="N1305" s="232"/>
      <c r="O1305" s="232"/>
      <c r="P1305" s="312"/>
      <c r="Q1305" s="312"/>
      <c r="R1305" s="312"/>
      <c r="S1305" s="312"/>
      <c r="T1305" s="312"/>
      <c r="U1305" s="312"/>
    </row>
    <row r="1306">
      <c r="A1306" s="508" t="s">
        <v>27445</v>
      </c>
      <c r="B1306" s="232" t="s">
        <v>27454</v>
      </c>
      <c r="C1306" s="509" t="s">
        <v>27455</v>
      </c>
      <c r="D1306" s="511"/>
      <c r="E1306" s="511"/>
      <c r="F1306" s="232" t="s">
        <v>27456</v>
      </c>
      <c r="G1306" s="232" t="s">
        <v>27457</v>
      </c>
      <c r="H1306" s="232">
        <v>8.447226377E9</v>
      </c>
      <c r="I1306" s="509" t="s">
        <v>22860</v>
      </c>
      <c r="J1306" s="232" t="b">
        <v>0</v>
      </c>
      <c r="K1306" s="232" t="s">
        <v>22365</v>
      </c>
      <c r="L1306" s="232"/>
      <c r="M1306" s="511"/>
      <c r="N1306" s="232"/>
      <c r="O1306" s="232"/>
      <c r="P1306" s="312"/>
      <c r="Q1306" s="312"/>
      <c r="R1306" s="312"/>
      <c r="S1306" s="312"/>
      <c r="T1306" s="312"/>
      <c r="U1306" s="312"/>
    </row>
    <row r="1307">
      <c r="A1307" s="508" t="s">
        <v>27445</v>
      </c>
      <c r="B1307" s="232" t="s">
        <v>27458</v>
      </c>
      <c r="C1307" s="509" t="s">
        <v>24604</v>
      </c>
      <c r="D1307" s="511"/>
      <c r="E1307" s="511"/>
      <c r="F1307" s="232" t="s">
        <v>24606</v>
      </c>
      <c r="G1307" s="232" t="s">
        <v>3078</v>
      </c>
      <c r="H1307" s="232">
        <v>9.30914602E9</v>
      </c>
      <c r="I1307" s="509" t="s">
        <v>27459</v>
      </c>
      <c r="J1307" s="232" t="b">
        <v>0</v>
      </c>
      <c r="K1307" s="232" t="s">
        <v>334</v>
      </c>
      <c r="L1307" s="232"/>
      <c r="M1307" s="511"/>
      <c r="N1307" s="232"/>
      <c r="O1307" s="232"/>
      <c r="P1307" s="312"/>
      <c r="Q1307" s="312"/>
      <c r="R1307" s="312"/>
      <c r="S1307" s="312"/>
      <c r="T1307" s="312"/>
      <c r="U1307" s="312"/>
    </row>
    <row r="1308">
      <c r="A1308" s="508" t="s">
        <v>27445</v>
      </c>
      <c r="B1308" s="232" t="s">
        <v>27460</v>
      </c>
      <c r="C1308" s="509" t="s">
        <v>27461</v>
      </c>
      <c r="D1308" s="511"/>
      <c r="E1308" s="511"/>
      <c r="F1308" s="232" t="s">
        <v>27462</v>
      </c>
      <c r="G1308" s="232" t="s">
        <v>27463</v>
      </c>
      <c r="H1308" s="232">
        <v>7.530855526E9</v>
      </c>
      <c r="I1308" s="509" t="s">
        <v>27464</v>
      </c>
      <c r="J1308" s="232" t="b">
        <v>0</v>
      </c>
      <c r="K1308" s="232" t="s">
        <v>22365</v>
      </c>
      <c r="L1308" s="232" t="s">
        <v>27465</v>
      </c>
      <c r="M1308" s="511"/>
      <c r="N1308" s="232"/>
      <c r="O1308" s="232"/>
      <c r="P1308" s="312"/>
      <c r="Q1308" s="312"/>
      <c r="R1308" s="312"/>
      <c r="S1308" s="312"/>
      <c r="T1308" s="312"/>
      <c r="U1308" s="312"/>
    </row>
    <row r="1309" ht="23.25" customHeight="1">
      <c r="A1309" s="508" t="s">
        <v>27445</v>
      </c>
      <c r="B1309" s="232" t="s">
        <v>27466</v>
      </c>
      <c r="C1309" s="509" t="s">
        <v>27467</v>
      </c>
      <c r="D1309" s="511"/>
      <c r="E1309" s="511"/>
      <c r="F1309" s="232" t="s">
        <v>27468</v>
      </c>
      <c r="G1309" s="232" t="s">
        <v>1691</v>
      </c>
      <c r="H1309" s="232">
        <v>8.371096275E9</v>
      </c>
      <c r="I1309" s="509" t="s">
        <v>27469</v>
      </c>
      <c r="J1309" s="232" t="b">
        <v>0</v>
      </c>
      <c r="K1309" s="232" t="s">
        <v>22355</v>
      </c>
      <c r="L1309" s="232" t="s">
        <v>27470</v>
      </c>
      <c r="M1309" s="511"/>
      <c r="N1309" s="232"/>
      <c r="O1309" s="232"/>
      <c r="P1309" s="312"/>
      <c r="Q1309" s="312"/>
      <c r="R1309" s="312"/>
      <c r="S1309" s="312"/>
      <c r="T1309" s="312"/>
      <c r="U1309" s="312"/>
    </row>
    <row r="1310">
      <c r="A1310" s="508" t="s">
        <v>27471</v>
      </c>
      <c r="B1310" s="232" t="s">
        <v>27472</v>
      </c>
      <c r="C1310" s="509" t="s">
        <v>27473</v>
      </c>
      <c r="D1310" s="510" t="s">
        <v>27474</v>
      </c>
      <c r="E1310" s="511"/>
      <c r="F1310" s="232" t="s">
        <v>27475</v>
      </c>
      <c r="G1310" s="232" t="s">
        <v>24462</v>
      </c>
      <c r="H1310" s="232">
        <v>-9.92727682E9</v>
      </c>
      <c r="I1310" s="509" t="s">
        <v>27476</v>
      </c>
      <c r="J1310" s="232" t="b">
        <v>0</v>
      </c>
      <c r="K1310" s="232" t="s">
        <v>22355</v>
      </c>
      <c r="L1310" s="232"/>
      <c r="M1310" s="511"/>
      <c r="N1310" s="232"/>
      <c r="O1310" s="232"/>
      <c r="P1310" s="312"/>
      <c r="Q1310" s="312"/>
      <c r="R1310" s="312"/>
      <c r="S1310" s="312"/>
      <c r="T1310" s="312"/>
      <c r="U1310" s="312"/>
    </row>
    <row r="1311">
      <c r="A1311" s="508" t="s">
        <v>27471</v>
      </c>
      <c r="B1311" s="232" t="s">
        <v>27477</v>
      </c>
      <c r="C1311" s="509" t="s">
        <v>27478</v>
      </c>
      <c r="D1311" s="519" t="s">
        <v>27479</v>
      </c>
      <c r="E1311" s="511"/>
      <c r="F1311" s="232"/>
      <c r="G1311" s="232"/>
      <c r="H1311" s="232">
        <v>9.859180841E9</v>
      </c>
      <c r="I1311" s="509" t="s">
        <v>27480</v>
      </c>
      <c r="J1311" s="232" t="b">
        <v>0</v>
      </c>
      <c r="K1311" s="232" t="s">
        <v>22365</v>
      </c>
      <c r="L1311" s="232"/>
      <c r="M1311" s="511"/>
      <c r="N1311" s="232"/>
      <c r="O1311" s="232"/>
      <c r="P1311" s="312"/>
      <c r="Q1311" s="312"/>
      <c r="R1311" s="312"/>
      <c r="S1311" s="312"/>
      <c r="T1311" s="312"/>
      <c r="U1311" s="312"/>
    </row>
    <row r="1312">
      <c r="A1312" s="508" t="s">
        <v>27471</v>
      </c>
      <c r="B1312" s="232" t="s">
        <v>27481</v>
      </c>
      <c r="C1312" s="50" t="s">
        <v>27482</v>
      </c>
      <c r="D1312" s="511"/>
      <c r="E1312" s="511"/>
      <c r="F1312" s="232" t="s">
        <v>27483</v>
      </c>
      <c r="G1312" s="232" t="s">
        <v>930</v>
      </c>
      <c r="H1312" s="232">
        <v>9.05248498E9</v>
      </c>
      <c r="I1312" s="509" t="s">
        <v>22354</v>
      </c>
      <c r="J1312" s="232" t="b">
        <v>0</v>
      </c>
      <c r="K1312" s="232" t="s">
        <v>22365</v>
      </c>
      <c r="L1312" s="232" t="s">
        <v>27484</v>
      </c>
      <c r="M1312" s="511"/>
      <c r="N1312" s="232"/>
      <c r="O1312" s="232"/>
      <c r="P1312" s="312"/>
      <c r="Q1312" s="312"/>
      <c r="R1312" s="312"/>
      <c r="S1312" s="312"/>
      <c r="T1312" s="312"/>
      <c r="U1312" s="312"/>
    </row>
    <row r="1313">
      <c r="A1313" s="508" t="s">
        <v>27471</v>
      </c>
      <c r="B1313" s="232" t="s">
        <v>27485</v>
      </c>
      <c r="C1313" s="509" t="s">
        <v>27486</v>
      </c>
      <c r="D1313" s="511"/>
      <c r="E1313" s="511"/>
      <c r="F1313" s="232"/>
      <c r="G1313" s="232" t="s">
        <v>158</v>
      </c>
      <c r="H1313" s="232">
        <v>9.230180852E9</v>
      </c>
      <c r="I1313" s="509" t="s">
        <v>27487</v>
      </c>
      <c r="J1313" s="232" t="b">
        <v>0</v>
      </c>
      <c r="K1313" s="232" t="s">
        <v>22365</v>
      </c>
      <c r="L1313" s="232"/>
      <c r="M1313" s="511"/>
      <c r="N1313" s="232"/>
      <c r="O1313" s="232"/>
      <c r="P1313" s="312"/>
      <c r="Q1313" s="312"/>
      <c r="R1313" s="312"/>
      <c r="S1313" s="312"/>
      <c r="T1313" s="312"/>
      <c r="U1313" s="312"/>
    </row>
    <row r="1314">
      <c r="A1314" s="508" t="s">
        <v>27471</v>
      </c>
      <c r="B1314" s="232" t="s">
        <v>27488</v>
      </c>
      <c r="C1314" s="509" t="s">
        <v>27489</v>
      </c>
      <c r="D1314" s="511"/>
      <c r="E1314" s="511"/>
      <c r="F1314" s="232" t="s">
        <v>27490</v>
      </c>
      <c r="G1314" s="232" t="s">
        <v>27491</v>
      </c>
      <c r="H1314" s="232">
        <v>9.337847733E9</v>
      </c>
      <c r="I1314" s="509" t="s">
        <v>27492</v>
      </c>
      <c r="J1314" s="232" t="b">
        <v>0</v>
      </c>
      <c r="K1314" s="232" t="s">
        <v>22365</v>
      </c>
      <c r="L1314" s="232" t="s">
        <v>27493</v>
      </c>
      <c r="M1314" s="511"/>
      <c r="N1314" s="232"/>
      <c r="O1314" s="232"/>
      <c r="P1314" s="312"/>
      <c r="Q1314" s="312"/>
      <c r="R1314" s="312"/>
      <c r="S1314" s="312"/>
      <c r="T1314" s="312"/>
      <c r="U1314" s="312"/>
    </row>
    <row r="1315">
      <c r="A1315" s="513" t="s">
        <v>27471</v>
      </c>
      <c r="B1315" s="514" t="s">
        <v>27494</v>
      </c>
      <c r="C1315" s="515" t="s">
        <v>27495</v>
      </c>
      <c r="D1315" s="517"/>
      <c r="E1315" s="517"/>
      <c r="F1315" s="514" t="s">
        <v>27496</v>
      </c>
      <c r="G1315" s="514" t="s">
        <v>27497</v>
      </c>
      <c r="H1315" s="514">
        <v>9.859180841E9</v>
      </c>
      <c r="I1315" s="515" t="s">
        <v>27498</v>
      </c>
      <c r="J1315" s="514" t="b">
        <v>0</v>
      </c>
      <c r="K1315" s="514" t="s">
        <v>22312</v>
      </c>
      <c r="L1315" s="518" t="s">
        <v>27499</v>
      </c>
      <c r="M1315" s="511"/>
      <c r="N1315" s="232"/>
      <c r="O1315" s="232"/>
      <c r="P1315" s="312"/>
      <c r="Q1315" s="312"/>
      <c r="R1315" s="312"/>
      <c r="S1315" s="312"/>
      <c r="T1315" s="312"/>
      <c r="U1315" s="312"/>
    </row>
    <row r="1316">
      <c r="A1316" s="508" t="s">
        <v>27471</v>
      </c>
      <c r="B1316" s="232" t="s">
        <v>27500</v>
      </c>
      <c r="C1316" s="509" t="s">
        <v>27501</v>
      </c>
      <c r="D1316" s="511"/>
      <c r="E1316" s="511"/>
      <c r="F1316" s="232" t="s">
        <v>27502</v>
      </c>
      <c r="G1316" s="232" t="s">
        <v>27170</v>
      </c>
      <c r="H1316" s="232">
        <v>9.05195954E9</v>
      </c>
      <c r="I1316" s="509" t="s">
        <v>27503</v>
      </c>
      <c r="J1316" s="232" t="b">
        <v>0</v>
      </c>
      <c r="K1316" s="232" t="s">
        <v>22365</v>
      </c>
      <c r="L1316" s="232"/>
      <c r="M1316" s="511"/>
      <c r="N1316" s="232"/>
      <c r="O1316" s="232"/>
      <c r="P1316" s="312"/>
      <c r="Q1316" s="312"/>
      <c r="R1316" s="312"/>
      <c r="S1316" s="312"/>
      <c r="T1316" s="312"/>
      <c r="U1316" s="312"/>
    </row>
    <row r="1317">
      <c r="A1317" s="508" t="s">
        <v>27504</v>
      </c>
      <c r="B1317" s="232" t="s">
        <v>27505</v>
      </c>
      <c r="C1317" s="509" t="s">
        <v>26403</v>
      </c>
      <c r="D1317" s="510" t="s">
        <v>27506</v>
      </c>
      <c r="E1317" s="511"/>
      <c r="F1317" s="232" t="s">
        <v>26405</v>
      </c>
      <c r="G1317" s="232" t="s">
        <v>44</v>
      </c>
      <c r="H1317" s="232">
        <v>9.330672442E9</v>
      </c>
      <c r="I1317" s="509" t="s">
        <v>22278</v>
      </c>
      <c r="J1317" s="232" t="b">
        <v>0</v>
      </c>
      <c r="K1317" s="232"/>
      <c r="L1317" s="232"/>
      <c r="M1317" s="511"/>
      <c r="N1317" s="232"/>
      <c r="O1317" s="232"/>
      <c r="P1317" s="312"/>
      <c r="Q1317" s="312"/>
      <c r="R1317" s="312"/>
      <c r="S1317" s="312"/>
      <c r="T1317" s="312"/>
      <c r="U1317" s="312"/>
    </row>
    <row r="1318">
      <c r="A1318" s="508" t="s">
        <v>27504</v>
      </c>
      <c r="B1318" s="232" t="s">
        <v>27507</v>
      </c>
      <c r="C1318" s="509" t="s">
        <v>25945</v>
      </c>
      <c r="D1318" s="510" t="s">
        <v>25946</v>
      </c>
      <c r="E1318" s="511"/>
      <c r="F1318" s="232" t="s">
        <v>25947</v>
      </c>
      <c r="G1318" s="232" t="s">
        <v>27508</v>
      </c>
      <c r="H1318" s="232">
        <v>-6.20200882E9</v>
      </c>
      <c r="I1318" s="509" t="s">
        <v>27509</v>
      </c>
      <c r="J1318" s="232" t="b">
        <v>0</v>
      </c>
      <c r="K1318" s="232" t="s">
        <v>22365</v>
      </c>
      <c r="L1318" s="232"/>
      <c r="M1318" s="511"/>
      <c r="N1318" s="232"/>
      <c r="O1318" s="232"/>
      <c r="P1318" s="312"/>
      <c r="Q1318" s="312"/>
      <c r="R1318" s="312"/>
      <c r="S1318" s="312"/>
      <c r="T1318" s="312"/>
      <c r="U1318" s="312"/>
    </row>
    <row r="1319">
      <c r="A1319" s="508" t="s">
        <v>27504</v>
      </c>
      <c r="B1319" s="232" t="s">
        <v>27510</v>
      </c>
      <c r="C1319" s="509" t="s">
        <v>24956</v>
      </c>
      <c r="D1319" s="510" t="s">
        <v>27511</v>
      </c>
      <c r="E1319" s="511"/>
      <c r="F1319" s="232" t="s">
        <v>27512</v>
      </c>
      <c r="G1319" s="232" t="s">
        <v>23073</v>
      </c>
      <c r="H1319" s="232">
        <v>9.911122107E9</v>
      </c>
      <c r="I1319" s="509" t="s">
        <v>23761</v>
      </c>
      <c r="J1319" s="232" t="b">
        <v>0</v>
      </c>
      <c r="K1319" s="232" t="s">
        <v>22365</v>
      </c>
      <c r="L1319" s="425" t="s">
        <v>27513</v>
      </c>
      <c r="M1319" s="511"/>
      <c r="N1319" s="232"/>
      <c r="O1319" s="232"/>
      <c r="P1319" s="312"/>
      <c r="Q1319" s="312"/>
      <c r="R1319" s="312"/>
      <c r="S1319" s="312"/>
      <c r="T1319" s="312"/>
      <c r="U1319" s="312"/>
    </row>
    <row r="1320">
      <c r="A1320" s="508" t="s">
        <v>27504</v>
      </c>
      <c r="B1320" s="232" t="s">
        <v>27514</v>
      </c>
      <c r="C1320" s="509" t="s">
        <v>27515</v>
      </c>
      <c r="D1320" s="511"/>
      <c r="E1320" s="511"/>
      <c r="F1320" s="232" t="s">
        <v>27516</v>
      </c>
      <c r="G1320" s="232" t="s">
        <v>23593</v>
      </c>
      <c r="H1320" s="232">
        <v>9.717271809E9</v>
      </c>
      <c r="I1320" s="509" t="s">
        <v>27517</v>
      </c>
      <c r="J1320" s="232" t="b">
        <v>0</v>
      </c>
      <c r="K1320" s="232" t="s">
        <v>22355</v>
      </c>
      <c r="L1320" s="232"/>
      <c r="M1320" s="511"/>
      <c r="N1320" s="232"/>
      <c r="O1320" s="232"/>
      <c r="P1320" s="312"/>
      <c r="Q1320" s="312"/>
      <c r="R1320" s="312"/>
      <c r="S1320" s="312"/>
      <c r="T1320" s="312"/>
      <c r="U1320" s="312"/>
    </row>
    <row r="1321">
      <c r="A1321" s="508" t="s">
        <v>27504</v>
      </c>
      <c r="B1321" s="232" t="s">
        <v>27518</v>
      </c>
      <c r="C1321" s="509" t="s">
        <v>27519</v>
      </c>
      <c r="D1321" s="510" t="s">
        <v>27520</v>
      </c>
      <c r="E1321" s="511"/>
      <c r="F1321" s="232" t="s">
        <v>27521</v>
      </c>
      <c r="G1321" s="232" t="s">
        <v>519</v>
      </c>
      <c r="H1321" s="232">
        <v>9.638962353E9</v>
      </c>
      <c r="I1321" s="509" t="s">
        <v>26864</v>
      </c>
      <c r="J1321" s="232" t="b">
        <v>0</v>
      </c>
      <c r="K1321" s="232" t="s">
        <v>22365</v>
      </c>
      <c r="L1321" s="232" t="s">
        <v>23537</v>
      </c>
      <c r="M1321" s="511"/>
      <c r="N1321" s="232"/>
      <c r="O1321" s="232"/>
      <c r="P1321" s="312"/>
      <c r="Q1321" s="312"/>
      <c r="R1321" s="312"/>
      <c r="S1321" s="312"/>
      <c r="T1321" s="312"/>
      <c r="U1321" s="312"/>
    </row>
    <row r="1322">
      <c r="A1322" s="508" t="s">
        <v>27504</v>
      </c>
      <c r="B1322" s="232" t="s">
        <v>27522</v>
      </c>
      <c r="C1322" s="509" t="s">
        <v>27523</v>
      </c>
      <c r="D1322" s="511"/>
      <c r="E1322" s="511"/>
      <c r="F1322" s="232" t="s">
        <v>27524</v>
      </c>
      <c r="G1322" s="232" t="s">
        <v>44</v>
      </c>
      <c r="H1322" s="232">
        <v>8.820515953E9</v>
      </c>
      <c r="I1322" s="509" t="s">
        <v>22727</v>
      </c>
      <c r="J1322" s="232" t="b">
        <v>0</v>
      </c>
      <c r="K1322" s="232" t="s">
        <v>22355</v>
      </c>
      <c r="L1322" s="232"/>
      <c r="M1322" s="511"/>
      <c r="N1322" s="232"/>
      <c r="O1322" s="232"/>
      <c r="P1322" s="312"/>
      <c r="Q1322" s="312"/>
      <c r="R1322" s="312"/>
      <c r="S1322" s="312"/>
      <c r="T1322" s="312"/>
      <c r="U1322" s="312"/>
    </row>
    <row r="1323">
      <c r="A1323" s="508" t="s">
        <v>27504</v>
      </c>
      <c r="B1323" s="232" t="s">
        <v>27525</v>
      </c>
      <c r="C1323" s="509" t="s">
        <v>27526</v>
      </c>
      <c r="D1323" s="511"/>
      <c r="E1323" s="511"/>
      <c r="F1323" s="232" t="s">
        <v>27527</v>
      </c>
      <c r="G1323" s="232" t="s">
        <v>44</v>
      </c>
      <c r="H1323" s="232">
        <v>9.748810019E9</v>
      </c>
      <c r="I1323" s="509" t="s">
        <v>27528</v>
      </c>
      <c r="J1323" s="232" t="b">
        <v>0</v>
      </c>
      <c r="K1323" s="232" t="s">
        <v>12092</v>
      </c>
      <c r="L1323" s="232"/>
      <c r="M1323" s="511"/>
      <c r="N1323" s="232"/>
      <c r="O1323" s="232"/>
      <c r="P1323" s="312"/>
      <c r="Q1323" s="312"/>
      <c r="R1323" s="312"/>
      <c r="S1323" s="312"/>
      <c r="T1323" s="312"/>
      <c r="U1323" s="312"/>
    </row>
    <row r="1324">
      <c r="A1324" s="508" t="s">
        <v>27504</v>
      </c>
      <c r="B1324" s="232" t="s">
        <v>27529</v>
      </c>
      <c r="C1324" s="509" t="s">
        <v>27530</v>
      </c>
      <c r="D1324" s="511"/>
      <c r="E1324" s="511"/>
      <c r="F1324" s="232" t="s">
        <v>27531</v>
      </c>
      <c r="G1324" s="232" t="s">
        <v>2612</v>
      </c>
      <c r="H1324" s="232">
        <v>9.58331048E9</v>
      </c>
      <c r="I1324" s="509" t="s">
        <v>4786</v>
      </c>
      <c r="J1324" s="232" t="b">
        <v>0</v>
      </c>
      <c r="K1324" s="232" t="s">
        <v>12092</v>
      </c>
      <c r="L1324" s="232"/>
      <c r="M1324" s="511"/>
      <c r="N1324" s="232"/>
      <c r="O1324" s="232"/>
      <c r="P1324" s="312"/>
      <c r="Q1324" s="312"/>
      <c r="R1324" s="312"/>
      <c r="S1324" s="312"/>
      <c r="T1324" s="312"/>
      <c r="U1324" s="312"/>
    </row>
    <row r="1325">
      <c r="A1325" s="537">
        <v>44907.0</v>
      </c>
      <c r="B1325" s="232" t="s">
        <v>27532</v>
      </c>
      <c r="C1325" s="509" t="s">
        <v>27533</v>
      </c>
      <c r="D1325" s="511"/>
      <c r="E1325" s="511"/>
      <c r="F1325" s="232" t="s">
        <v>27534</v>
      </c>
      <c r="G1325" s="232" t="s">
        <v>27535</v>
      </c>
      <c r="H1325" s="19">
        <v>9.997177741E9</v>
      </c>
      <c r="I1325" s="509" t="s">
        <v>27536</v>
      </c>
      <c r="J1325" s="232" t="b">
        <v>0</v>
      </c>
      <c r="K1325" s="232" t="s">
        <v>22365</v>
      </c>
      <c r="L1325" s="232" t="s">
        <v>23537</v>
      </c>
      <c r="M1325" s="511"/>
      <c r="N1325" s="232"/>
      <c r="O1325" s="232"/>
      <c r="P1325" s="312"/>
      <c r="Q1325" s="312"/>
      <c r="R1325" s="312"/>
      <c r="S1325" s="312"/>
      <c r="T1325" s="312"/>
      <c r="U1325" s="312"/>
    </row>
    <row r="1326">
      <c r="A1326" s="537">
        <v>44907.0</v>
      </c>
      <c r="B1326" s="232" t="s">
        <v>27537</v>
      </c>
      <c r="C1326" s="509" t="s">
        <v>27538</v>
      </c>
      <c r="D1326" s="511"/>
      <c r="E1326" s="511"/>
      <c r="F1326" s="232"/>
      <c r="G1326" s="232" t="s">
        <v>23612</v>
      </c>
      <c r="H1326" s="232">
        <v>7.044270557E9</v>
      </c>
      <c r="I1326" s="509" t="s">
        <v>22364</v>
      </c>
      <c r="J1326" s="232" t="b">
        <v>0</v>
      </c>
      <c r="K1326" s="232" t="s">
        <v>12092</v>
      </c>
      <c r="L1326" s="232"/>
      <c r="M1326" s="511"/>
      <c r="N1326" s="232"/>
      <c r="O1326" s="232"/>
      <c r="P1326" s="312"/>
      <c r="Q1326" s="312"/>
      <c r="R1326" s="312"/>
      <c r="S1326" s="312"/>
      <c r="T1326" s="312"/>
      <c r="U1326" s="312"/>
    </row>
    <row r="1327">
      <c r="A1327" s="537">
        <v>44907.0</v>
      </c>
      <c r="B1327" s="232" t="s">
        <v>27539</v>
      </c>
      <c r="C1327" s="509" t="s">
        <v>27540</v>
      </c>
      <c r="D1327" s="519" t="s">
        <v>27541</v>
      </c>
      <c r="E1327" s="511"/>
      <c r="F1327" s="232" t="s">
        <v>27542</v>
      </c>
      <c r="G1327" s="232" t="s">
        <v>131</v>
      </c>
      <c r="H1327" s="232">
        <v>8.638942229E9</v>
      </c>
      <c r="I1327" s="509" t="s">
        <v>22278</v>
      </c>
      <c r="J1327" s="232" t="b">
        <v>0</v>
      </c>
      <c r="K1327" s="232" t="s">
        <v>12092</v>
      </c>
      <c r="L1327" s="232"/>
      <c r="M1327" s="511"/>
      <c r="N1327" s="232"/>
      <c r="O1327" s="232"/>
      <c r="P1327" s="312"/>
      <c r="Q1327" s="312"/>
      <c r="R1327" s="312"/>
      <c r="S1327" s="312"/>
      <c r="T1327" s="312"/>
      <c r="U1327" s="312"/>
    </row>
    <row r="1328">
      <c r="A1328" s="537">
        <v>44907.0</v>
      </c>
      <c r="B1328" s="232" t="s">
        <v>27543</v>
      </c>
      <c r="C1328" s="509" t="s">
        <v>18350</v>
      </c>
      <c r="D1328" s="510" t="s">
        <v>27544</v>
      </c>
      <c r="E1328" s="511"/>
      <c r="F1328" s="232" t="s">
        <v>27545</v>
      </c>
      <c r="G1328" s="232" t="s">
        <v>22844</v>
      </c>
      <c r="H1328" s="232">
        <v>9.322505563E9</v>
      </c>
      <c r="I1328" s="509" t="s">
        <v>22698</v>
      </c>
      <c r="J1328" s="232" t="b">
        <v>0</v>
      </c>
      <c r="K1328" s="232" t="s">
        <v>12092</v>
      </c>
      <c r="L1328" s="232"/>
      <c r="M1328" s="511"/>
      <c r="N1328" s="232"/>
      <c r="O1328" s="232"/>
      <c r="P1328" s="312"/>
      <c r="Q1328" s="312"/>
      <c r="R1328" s="312"/>
      <c r="S1328" s="312"/>
      <c r="T1328" s="312"/>
      <c r="U1328" s="312"/>
    </row>
    <row r="1329">
      <c r="A1329" s="537">
        <v>44907.0</v>
      </c>
      <c r="B1329" s="232" t="s">
        <v>27546</v>
      </c>
      <c r="C1329" s="509" t="s">
        <v>27547</v>
      </c>
      <c r="D1329" s="510" t="s">
        <v>27548</v>
      </c>
      <c r="E1329" s="511"/>
      <c r="F1329" s="232" t="s">
        <v>27549</v>
      </c>
      <c r="G1329" s="232" t="s">
        <v>22742</v>
      </c>
      <c r="H1329" s="232">
        <v>8.89591006E9</v>
      </c>
      <c r="I1329" s="512" t="s">
        <v>27550</v>
      </c>
      <c r="J1329" s="232" t="b">
        <v>0</v>
      </c>
      <c r="K1329" s="232" t="s">
        <v>12092</v>
      </c>
      <c r="L1329" s="232"/>
      <c r="M1329" s="511"/>
      <c r="N1329" s="232"/>
      <c r="O1329" s="232"/>
      <c r="P1329" s="312"/>
      <c r="Q1329" s="312"/>
      <c r="R1329" s="312"/>
      <c r="S1329" s="312"/>
      <c r="T1329" s="312"/>
      <c r="U1329" s="312"/>
    </row>
    <row r="1330">
      <c r="A1330" s="537">
        <v>44907.0</v>
      </c>
      <c r="B1330" s="232" t="s">
        <v>27551</v>
      </c>
      <c r="C1330" s="509" t="s">
        <v>27552</v>
      </c>
      <c r="D1330" s="511"/>
      <c r="E1330" s="511"/>
      <c r="F1330" s="232"/>
      <c r="G1330" s="232" t="s">
        <v>184</v>
      </c>
      <c r="H1330" s="232">
        <v>7.643939343E9</v>
      </c>
      <c r="I1330" s="509" t="s">
        <v>27553</v>
      </c>
      <c r="J1330" s="232" t="b">
        <v>0</v>
      </c>
      <c r="K1330" s="232" t="s">
        <v>22365</v>
      </c>
      <c r="L1330" s="232" t="s">
        <v>23537</v>
      </c>
      <c r="M1330" s="511"/>
      <c r="N1330" s="232"/>
      <c r="O1330" s="232"/>
      <c r="P1330" s="312"/>
      <c r="Q1330" s="312"/>
      <c r="R1330" s="312"/>
      <c r="S1330" s="312"/>
      <c r="T1330" s="312"/>
      <c r="U1330" s="312"/>
    </row>
    <row r="1331">
      <c r="A1331" s="537">
        <v>44907.0</v>
      </c>
      <c r="B1331" s="232" t="s">
        <v>27554</v>
      </c>
      <c r="C1331" s="509" t="s">
        <v>27555</v>
      </c>
      <c r="D1331" s="511"/>
      <c r="E1331" s="511"/>
      <c r="F1331" s="232"/>
      <c r="G1331" s="232" t="s">
        <v>23593</v>
      </c>
      <c r="H1331" s="232">
        <v>7.717792677E9</v>
      </c>
      <c r="I1331" s="509" t="s">
        <v>22373</v>
      </c>
      <c r="J1331" s="232" t="b">
        <v>0</v>
      </c>
      <c r="K1331" s="232" t="s">
        <v>12092</v>
      </c>
      <c r="L1331" s="232"/>
      <c r="M1331" s="511"/>
      <c r="N1331" s="232"/>
      <c r="O1331" s="232"/>
      <c r="P1331" s="312"/>
      <c r="Q1331" s="312"/>
      <c r="R1331" s="312"/>
      <c r="S1331" s="312"/>
      <c r="T1331" s="312"/>
      <c r="U1331" s="312"/>
    </row>
    <row r="1332">
      <c r="A1332" s="537">
        <v>44907.0</v>
      </c>
      <c r="B1332" s="232" t="s">
        <v>27556</v>
      </c>
      <c r="C1332" s="509" t="s">
        <v>27557</v>
      </c>
      <c r="D1332" s="511"/>
      <c r="E1332" s="511"/>
      <c r="F1332" s="232"/>
      <c r="G1332" s="232" t="s">
        <v>9266</v>
      </c>
      <c r="H1332" s="232">
        <v>8.943081878E9</v>
      </c>
      <c r="I1332" s="509" t="s">
        <v>27558</v>
      </c>
      <c r="J1332" s="232" t="b">
        <v>0</v>
      </c>
      <c r="K1332" s="232" t="s">
        <v>22365</v>
      </c>
      <c r="L1332" s="232" t="s">
        <v>23537</v>
      </c>
      <c r="M1332" s="511"/>
      <c r="N1332" s="232"/>
      <c r="O1332" s="232"/>
      <c r="P1332" s="312"/>
      <c r="Q1332" s="312"/>
      <c r="R1332" s="312"/>
      <c r="S1332" s="312"/>
      <c r="T1332" s="312"/>
      <c r="U1332" s="312"/>
    </row>
    <row r="1333">
      <c r="A1333" s="537">
        <v>44907.0</v>
      </c>
      <c r="B1333" s="232" t="s">
        <v>27559</v>
      </c>
      <c r="C1333" s="509" t="s">
        <v>27560</v>
      </c>
      <c r="D1333" s="511"/>
      <c r="E1333" s="511"/>
      <c r="F1333" s="232"/>
      <c r="G1333" s="232" t="s">
        <v>158</v>
      </c>
      <c r="H1333" s="232">
        <v>9.875546617E9</v>
      </c>
      <c r="I1333" s="512" t="s">
        <v>25011</v>
      </c>
      <c r="J1333" s="232" t="b">
        <v>0</v>
      </c>
      <c r="K1333" s="232" t="s">
        <v>22365</v>
      </c>
      <c r="L1333" s="232" t="s">
        <v>23537</v>
      </c>
      <c r="M1333" s="511"/>
      <c r="N1333" s="232"/>
      <c r="O1333" s="232"/>
      <c r="P1333" s="312"/>
      <c r="Q1333" s="312"/>
      <c r="R1333" s="312"/>
      <c r="S1333" s="312"/>
      <c r="T1333" s="312"/>
      <c r="U1333" s="312"/>
    </row>
    <row r="1334">
      <c r="A1334" s="537">
        <v>44907.0</v>
      </c>
      <c r="B1334" s="232" t="s">
        <v>27561</v>
      </c>
      <c r="C1334" s="509" t="s">
        <v>27562</v>
      </c>
      <c r="D1334" s="511"/>
      <c r="E1334" s="511"/>
      <c r="F1334" s="232" t="s">
        <v>27563</v>
      </c>
      <c r="G1334" s="232" t="s">
        <v>3161</v>
      </c>
      <c r="H1334" s="232">
        <v>8.457993013E9</v>
      </c>
      <c r="I1334" s="509" t="s">
        <v>25986</v>
      </c>
      <c r="J1334" s="232" t="b">
        <v>0</v>
      </c>
      <c r="K1334" s="232"/>
      <c r="L1334" s="232"/>
      <c r="M1334" s="511"/>
      <c r="N1334" s="232"/>
      <c r="O1334" s="232"/>
      <c r="P1334" s="312"/>
      <c r="Q1334" s="312"/>
      <c r="R1334" s="312"/>
      <c r="S1334" s="312"/>
      <c r="T1334" s="312"/>
      <c r="U1334" s="312"/>
    </row>
    <row r="1335">
      <c r="A1335" s="537">
        <v>44907.0</v>
      </c>
      <c r="B1335" s="232" t="s">
        <v>27564</v>
      </c>
      <c r="C1335" s="509" t="s">
        <v>27565</v>
      </c>
      <c r="D1335" s="511"/>
      <c r="E1335" s="511"/>
      <c r="F1335" s="232"/>
      <c r="G1335" s="232" t="s">
        <v>44</v>
      </c>
      <c r="H1335" s="232">
        <v>9.593107645E9</v>
      </c>
      <c r="I1335" s="509" t="s">
        <v>22354</v>
      </c>
      <c r="J1335" s="232" t="b">
        <v>0</v>
      </c>
      <c r="K1335" s="232" t="s">
        <v>22355</v>
      </c>
      <c r="L1335" s="232"/>
      <c r="M1335" s="511"/>
      <c r="N1335" s="232"/>
      <c r="O1335" s="232"/>
      <c r="P1335" s="312"/>
      <c r="Q1335" s="312"/>
      <c r="R1335" s="312"/>
      <c r="S1335" s="312"/>
      <c r="T1335" s="312"/>
      <c r="U1335" s="312"/>
    </row>
    <row r="1336">
      <c r="A1336" s="537">
        <v>44907.0</v>
      </c>
      <c r="B1336" s="232" t="s">
        <v>27566</v>
      </c>
      <c r="C1336" s="509" t="s">
        <v>27567</v>
      </c>
      <c r="D1336" s="511"/>
      <c r="E1336" s="511"/>
      <c r="F1336" s="232" t="s">
        <v>27568</v>
      </c>
      <c r="G1336" s="232" t="s">
        <v>6402</v>
      </c>
      <c r="H1336" s="232">
        <v>7.011706529E9</v>
      </c>
      <c r="I1336" s="509" t="s">
        <v>22727</v>
      </c>
      <c r="J1336" s="232" t="b">
        <v>0</v>
      </c>
      <c r="K1336" s="232" t="s">
        <v>334</v>
      </c>
      <c r="L1336" s="232"/>
      <c r="M1336" s="511"/>
      <c r="N1336" s="232"/>
      <c r="O1336" s="232"/>
      <c r="P1336" s="312"/>
      <c r="Q1336" s="312"/>
      <c r="R1336" s="312"/>
      <c r="S1336" s="312"/>
      <c r="T1336" s="312"/>
      <c r="U1336" s="312"/>
    </row>
    <row r="1337">
      <c r="A1337" s="538">
        <v>44846.0</v>
      </c>
      <c r="B1337" s="514" t="s">
        <v>27569</v>
      </c>
      <c r="C1337" s="515" t="s">
        <v>27570</v>
      </c>
      <c r="D1337" s="517"/>
      <c r="E1337" s="517"/>
      <c r="F1337" s="514"/>
      <c r="G1337" s="514" t="s">
        <v>27571</v>
      </c>
      <c r="H1337" s="514">
        <v>7.003728022E9</v>
      </c>
      <c r="I1337" s="515" t="s">
        <v>22364</v>
      </c>
      <c r="J1337" s="514" t="b">
        <v>0</v>
      </c>
      <c r="K1337" s="514" t="s">
        <v>22312</v>
      </c>
      <c r="L1337" s="518" t="s">
        <v>27572</v>
      </c>
      <c r="M1337" s="511"/>
      <c r="N1337" s="232"/>
      <c r="O1337" s="232"/>
      <c r="P1337" s="312"/>
      <c r="Q1337" s="312"/>
      <c r="R1337" s="312"/>
      <c r="S1337" s="312"/>
      <c r="T1337" s="312"/>
      <c r="U1337" s="312"/>
    </row>
    <row r="1338">
      <c r="A1338" s="537">
        <v>44846.0</v>
      </c>
      <c r="B1338" s="232" t="s">
        <v>27573</v>
      </c>
      <c r="C1338" s="509" t="s">
        <v>27574</v>
      </c>
      <c r="D1338" s="511"/>
      <c r="E1338" s="511"/>
      <c r="F1338" s="232"/>
      <c r="G1338" s="232" t="s">
        <v>27575</v>
      </c>
      <c r="H1338" s="232">
        <v>9.852442811E9</v>
      </c>
      <c r="I1338" s="509" t="s">
        <v>22364</v>
      </c>
      <c r="J1338" s="232" t="b">
        <v>0</v>
      </c>
      <c r="K1338" s="232" t="s">
        <v>22365</v>
      </c>
      <c r="L1338" s="232" t="s">
        <v>23537</v>
      </c>
      <c r="M1338" s="511"/>
      <c r="N1338" s="232"/>
      <c r="O1338" s="232"/>
      <c r="P1338" s="312"/>
      <c r="Q1338" s="312"/>
      <c r="R1338" s="312"/>
      <c r="S1338" s="312"/>
      <c r="T1338" s="312"/>
      <c r="U1338" s="312"/>
    </row>
    <row r="1339">
      <c r="A1339" s="537">
        <v>44846.0</v>
      </c>
      <c r="B1339" s="232" t="s">
        <v>27576</v>
      </c>
      <c r="C1339" s="509" t="s">
        <v>27577</v>
      </c>
      <c r="D1339" s="511"/>
      <c r="E1339" s="511"/>
      <c r="F1339" s="232"/>
      <c r="G1339" s="232"/>
      <c r="H1339" s="232">
        <v>9.437232747E9</v>
      </c>
      <c r="I1339" s="509" t="s">
        <v>27578</v>
      </c>
      <c r="J1339" s="232" t="b">
        <v>0</v>
      </c>
      <c r="K1339" s="232" t="s">
        <v>22365</v>
      </c>
      <c r="L1339" s="425" t="s">
        <v>27579</v>
      </c>
      <c r="M1339" s="511"/>
      <c r="N1339" s="232"/>
      <c r="O1339" s="232"/>
      <c r="P1339" s="312"/>
      <c r="Q1339" s="312"/>
      <c r="R1339" s="312"/>
      <c r="S1339" s="312"/>
      <c r="T1339" s="312"/>
      <c r="U1339" s="312"/>
    </row>
    <row r="1340">
      <c r="A1340" s="537">
        <v>44846.0</v>
      </c>
      <c r="B1340" s="232" t="s">
        <v>27580</v>
      </c>
      <c r="C1340" s="509" t="s">
        <v>27581</v>
      </c>
      <c r="D1340" s="511"/>
      <c r="E1340" s="511"/>
      <c r="F1340" s="232" t="s">
        <v>27582</v>
      </c>
      <c r="G1340" s="232" t="s">
        <v>27583</v>
      </c>
      <c r="H1340" s="232">
        <v>-8.436377717E9</v>
      </c>
      <c r="I1340" s="509" t="s">
        <v>22570</v>
      </c>
      <c r="J1340" s="232" t="b">
        <v>0</v>
      </c>
      <c r="K1340" s="232" t="s">
        <v>22365</v>
      </c>
      <c r="L1340" s="232" t="s">
        <v>23537</v>
      </c>
      <c r="M1340" s="511"/>
      <c r="N1340" s="232"/>
      <c r="O1340" s="232"/>
      <c r="P1340" s="312"/>
      <c r="Q1340" s="312"/>
      <c r="R1340" s="312"/>
      <c r="S1340" s="312"/>
      <c r="T1340" s="312"/>
      <c r="U1340" s="312"/>
    </row>
    <row r="1341">
      <c r="A1341" s="537">
        <v>44846.0</v>
      </c>
      <c r="B1341" s="232" t="s">
        <v>27584</v>
      </c>
      <c r="C1341" s="509" t="s">
        <v>27585</v>
      </c>
      <c r="D1341" s="511"/>
      <c r="E1341" s="511"/>
      <c r="F1341" s="232" t="s">
        <v>27586</v>
      </c>
      <c r="G1341" s="232" t="s">
        <v>22304</v>
      </c>
      <c r="H1341" s="232">
        <v>7.326072316E9</v>
      </c>
      <c r="I1341" s="509" t="s">
        <v>22903</v>
      </c>
      <c r="J1341" s="232" t="b">
        <v>0</v>
      </c>
      <c r="K1341" s="232" t="s">
        <v>22365</v>
      </c>
      <c r="L1341" s="232" t="s">
        <v>23537</v>
      </c>
      <c r="M1341" s="511"/>
      <c r="N1341" s="232"/>
      <c r="O1341" s="232"/>
      <c r="P1341" s="312"/>
      <c r="Q1341" s="312"/>
      <c r="R1341" s="312"/>
      <c r="S1341" s="312"/>
      <c r="T1341" s="312"/>
      <c r="U1341" s="312"/>
    </row>
    <row r="1342">
      <c r="A1342" s="537">
        <v>44846.0</v>
      </c>
      <c r="B1342" s="232" t="s">
        <v>27587</v>
      </c>
      <c r="C1342" s="509" t="s">
        <v>27588</v>
      </c>
      <c r="D1342" s="510" t="s">
        <v>27589</v>
      </c>
      <c r="E1342" s="511"/>
      <c r="F1342" s="232" t="s">
        <v>27590</v>
      </c>
      <c r="G1342" s="232" t="s">
        <v>22856</v>
      </c>
      <c r="H1342" s="232">
        <v>8.073829976E9</v>
      </c>
      <c r="I1342" s="509" t="s">
        <v>27591</v>
      </c>
      <c r="J1342" s="232" t="b">
        <v>0</v>
      </c>
      <c r="K1342" s="232" t="s">
        <v>22365</v>
      </c>
      <c r="L1342" s="232"/>
      <c r="M1342" s="511"/>
      <c r="N1342" s="232"/>
      <c r="O1342" s="232"/>
      <c r="P1342" s="312"/>
      <c r="Q1342" s="312"/>
      <c r="R1342" s="312"/>
      <c r="S1342" s="312"/>
      <c r="T1342" s="312"/>
      <c r="U1342" s="312"/>
    </row>
    <row r="1343">
      <c r="A1343" s="537">
        <v>44846.0</v>
      </c>
      <c r="B1343" s="232" t="s">
        <v>27592</v>
      </c>
      <c r="C1343" s="509" t="s">
        <v>27593</v>
      </c>
      <c r="D1343" s="511"/>
      <c r="E1343" s="511"/>
      <c r="F1343" s="232"/>
      <c r="G1343" s="232" t="s">
        <v>22844</v>
      </c>
      <c r="H1343" s="232">
        <v>-9.673109899E9</v>
      </c>
      <c r="I1343" s="509" t="s">
        <v>22373</v>
      </c>
      <c r="J1343" s="232" t="b">
        <v>0</v>
      </c>
      <c r="K1343" s="232" t="s">
        <v>22365</v>
      </c>
      <c r="L1343" s="232" t="s">
        <v>27594</v>
      </c>
      <c r="M1343" s="511"/>
      <c r="N1343" s="232"/>
      <c r="O1343" s="232"/>
      <c r="P1343" s="312"/>
      <c r="Q1343" s="312"/>
      <c r="R1343" s="312"/>
      <c r="S1343" s="312"/>
      <c r="T1343" s="312"/>
      <c r="U1343" s="312"/>
    </row>
    <row r="1344">
      <c r="A1344" s="537">
        <v>44846.0</v>
      </c>
      <c r="B1344" s="232" t="s">
        <v>27595</v>
      </c>
      <c r="C1344" s="509" t="s">
        <v>27596</v>
      </c>
      <c r="D1344" s="511"/>
      <c r="E1344" s="511"/>
      <c r="F1344" s="232" t="s">
        <v>27597</v>
      </c>
      <c r="G1344" s="232" t="s">
        <v>23593</v>
      </c>
      <c r="H1344" s="232">
        <v>9.873189757E9</v>
      </c>
      <c r="I1344" s="509" t="s">
        <v>27598</v>
      </c>
      <c r="J1344" s="232" t="b">
        <v>0</v>
      </c>
      <c r="K1344" s="232"/>
      <c r="L1344" s="232"/>
      <c r="M1344" s="511"/>
      <c r="N1344" s="232"/>
      <c r="O1344" s="232"/>
      <c r="P1344" s="312"/>
      <c r="Q1344" s="312"/>
      <c r="R1344" s="312"/>
      <c r="S1344" s="312"/>
      <c r="T1344" s="312"/>
      <c r="U1344" s="312"/>
    </row>
    <row r="1345">
      <c r="A1345" s="537">
        <v>44846.0</v>
      </c>
      <c r="B1345" s="232" t="s">
        <v>27599</v>
      </c>
      <c r="C1345" s="509" t="s">
        <v>27600</v>
      </c>
      <c r="D1345" s="511"/>
      <c r="E1345" s="511"/>
      <c r="F1345" s="232" t="s">
        <v>27601</v>
      </c>
      <c r="G1345" s="232" t="s">
        <v>27602</v>
      </c>
      <c r="H1345" s="232">
        <v>9.599773755E9</v>
      </c>
      <c r="I1345" s="509" t="s">
        <v>24052</v>
      </c>
      <c r="J1345" s="232" t="b">
        <v>0</v>
      </c>
      <c r="K1345" s="232"/>
      <c r="L1345" s="232"/>
      <c r="M1345" s="511"/>
      <c r="N1345" s="232"/>
      <c r="O1345" s="232"/>
      <c r="P1345" s="312"/>
      <c r="Q1345" s="312"/>
      <c r="R1345" s="312"/>
      <c r="S1345" s="312"/>
      <c r="T1345" s="312"/>
      <c r="U1345" s="312"/>
    </row>
    <row r="1346">
      <c r="A1346" s="537">
        <v>44846.0</v>
      </c>
      <c r="B1346" s="232" t="s">
        <v>27603</v>
      </c>
      <c r="C1346" s="509" t="s">
        <v>27604</v>
      </c>
      <c r="D1346" s="511"/>
      <c r="E1346" s="511"/>
      <c r="F1346" s="232" t="s">
        <v>27605</v>
      </c>
      <c r="G1346" s="232" t="s">
        <v>27606</v>
      </c>
      <c r="H1346" s="232">
        <v>7.907050895E9</v>
      </c>
      <c r="I1346" s="509" t="s">
        <v>23761</v>
      </c>
      <c r="J1346" s="232" t="b">
        <v>0</v>
      </c>
      <c r="K1346" s="232" t="s">
        <v>334</v>
      </c>
      <c r="L1346" s="232" t="s">
        <v>23793</v>
      </c>
      <c r="M1346" s="511"/>
      <c r="N1346" s="232"/>
      <c r="O1346" s="232"/>
      <c r="P1346" s="312"/>
      <c r="Q1346" s="312"/>
      <c r="R1346" s="312"/>
      <c r="S1346" s="312"/>
      <c r="T1346" s="312"/>
      <c r="U1346" s="312"/>
    </row>
    <row r="1347">
      <c r="A1347" s="537">
        <v>44846.0</v>
      </c>
      <c r="B1347" s="232" t="s">
        <v>27607</v>
      </c>
      <c r="C1347" s="519" t="s">
        <v>27608</v>
      </c>
      <c r="D1347" s="510"/>
      <c r="E1347" s="511"/>
      <c r="F1347" s="232" t="s">
        <v>27609</v>
      </c>
      <c r="G1347" s="232" t="s">
        <v>27610</v>
      </c>
      <c r="H1347" s="232">
        <v>7.481826881E9</v>
      </c>
      <c r="I1347" s="509" t="s">
        <v>27611</v>
      </c>
      <c r="J1347" s="232" t="b">
        <v>0</v>
      </c>
      <c r="K1347" s="232" t="s">
        <v>22365</v>
      </c>
      <c r="L1347" s="232" t="s">
        <v>23537</v>
      </c>
      <c r="M1347" s="511"/>
      <c r="N1347" s="232"/>
      <c r="O1347" s="232"/>
      <c r="P1347" s="312"/>
      <c r="Q1347" s="312"/>
      <c r="R1347" s="312"/>
      <c r="S1347" s="312"/>
      <c r="T1347" s="312"/>
      <c r="U1347" s="312"/>
    </row>
    <row r="1348">
      <c r="A1348" s="537">
        <v>44846.0</v>
      </c>
      <c r="B1348" s="232" t="s">
        <v>27612</v>
      </c>
      <c r="C1348" s="509" t="s">
        <v>27613</v>
      </c>
      <c r="D1348" s="510"/>
      <c r="E1348" s="511"/>
      <c r="F1348" s="232" t="s">
        <v>27614</v>
      </c>
      <c r="G1348" s="232" t="s">
        <v>158</v>
      </c>
      <c r="H1348" s="232">
        <v>7.003284009E9</v>
      </c>
      <c r="I1348" s="509" t="s">
        <v>22289</v>
      </c>
      <c r="J1348" s="232" t="b">
        <v>0</v>
      </c>
      <c r="K1348" s="232" t="s">
        <v>22365</v>
      </c>
      <c r="L1348" s="526" t="s">
        <v>23537</v>
      </c>
      <c r="M1348" s="511"/>
      <c r="N1348" s="232"/>
      <c r="O1348" s="232"/>
      <c r="P1348" s="312"/>
      <c r="Q1348" s="312"/>
      <c r="R1348" s="312"/>
      <c r="S1348" s="312"/>
      <c r="T1348" s="312"/>
      <c r="U1348" s="312"/>
    </row>
    <row r="1349">
      <c r="A1349" s="520">
        <v>44816.0</v>
      </c>
      <c r="B1349" s="232" t="s">
        <v>27615</v>
      </c>
      <c r="C1349" s="509" t="s">
        <v>27616</v>
      </c>
      <c r="D1349" s="519" t="s">
        <v>27617</v>
      </c>
      <c r="E1349" s="511"/>
      <c r="F1349" s="232" t="s">
        <v>27618</v>
      </c>
      <c r="G1349" s="232" t="s">
        <v>24462</v>
      </c>
      <c r="H1349" s="232">
        <v>-8.954286992E9</v>
      </c>
      <c r="I1349" s="509" t="s">
        <v>27619</v>
      </c>
      <c r="J1349" s="232" t="b">
        <v>0</v>
      </c>
      <c r="K1349" s="232" t="s">
        <v>22365</v>
      </c>
      <c r="L1349" s="232" t="s">
        <v>23537</v>
      </c>
      <c r="M1349" s="511"/>
      <c r="N1349" s="232"/>
      <c r="O1349" s="232"/>
      <c r="P1349" s="312"/>
      <c r="Q1349" s="312"/>
      <c r="R1349" s="312"/>
      <c r="S1349" s="312"/>
      <c r="T1349" s="312"/>
      <c r="U1349" s="312"/>
    </row>
    <row r="1350">
      <c r="A1350" s="520">
        <v>44816.0</v>
      </c>
      <c r="B1350" s="232" t="s">
        <v>27620</v>
      </c>
      <c r="C1350" s="509" t="s">
        <v>27621</v>
      </c>
      <c r="D1350" s="511"/>
      <c r="E1350" s="511"/>
      <c r="F1350" s="232" t="s">
        <v>27622</v>
      </c>
      <c r="G1350" s="232" t="s">
        <v>22856</v>
      </c>
      <c r="H1350" s="232">
        <v>8.867568277E9</v>
      </c>
      <c r="I1350" s="509" t="s">
        <v>27623</v>
      </c>
      <c r="J1350" s="232" t="b">
        <v>0</v>
      </c>
      <c r="K1350" s="232" t="s">
        <v>22349</v>
      </c>
      <c r="L1350" s="232" t="s">
        <v>27624</v>
      </c>
      <c r="M1350" s="511"/>
      <c r="N1350" s="232"/>
      <c r="O1350" s="232"/>
      <c r="P1350" s="312"/>
      <c r="Q1350" s="312"/>
      <c r="R1350" s="312"/>
      <c r="S1350" s="312"/>
      <c r="T1350" s="312"/>
      <c r="U1350" s="312"/>
    </row>
    <row r="1351">
      <c r="A1351" s="520">
        <v>44816.0</v>
      </c>
      <c r="B1351" s="232" t="s">
        <v>27625</v>
      </c>
      <c r="C1351" s="509" t="s">
        <v>27626</v>
      </c>
      <c r="D1351" s="510" t="s">
        <v>27627</v>
      </c>
      <c r="E1351" s="511"/>
      <c r="F1351" s="232" t="s">
        <v>27628</v>
      </c>
      <c r="G1351" s="232" t="s">
        <v>27629</v>
      </c>
      <c r="H1351" s="232">
        <v>8.075377603E9</v>
      </c>
      <c r="I1351" s="509" t="s">
        <v>27630</v>
      </c>
      <c r="J1351" s="232" t="b">
        <v>0</v>
      </c>
      <c r="K1351" s="232" t="s">
        <v>334</v>
      </c>
      <c r="L1351" s="232"/>
      <c r="M1351" s="511"/>
      <c r="N1351" s="232"/>
      <c r="O1351" s="232"/>
      <c r="P1351" s="312"/>
      <c r="Q1351" s="312"/>
      <c r="R1351" s="312"/>
      <c r="S1351" s="312"/>
      <c r="T1351" s="312"/>
      <c r="U1351" s="312"/>
    </row>
    <row r="1352">
      <c r="A1352" s="520">
        <v>44816.0</v>
      </c>
      <c r="B1352" s="232" t="s">
        <v>27631</v>
      </c>
      <c r="C1352" s="509" t="s">
        <v>27632</v>
      </c>
      <c r="D1352" s="510" t="s">
        <v>27633</v>
      </c>
      <c r="E1352" s="511"/>
      <c r="F1352" s="232" t="s">
        <v>27634</v>
      </c>
      <c r="G1352" s="232" t="s">
        <v>507</v>
      </c>
      <c r="H1352" s="232">
        <v>9.158789868E9</v>
      </c>
      <c r="I1352" s="509" t="s">
        <v>22373</v>
      </c>
      <c r="J1352" s="232" t="b">
        <v>0</v>
      </c>
      <c r="K1352" s="232"/>
      <c r="L1352" s="232"/>
      <c r="M1352" s="511"/>
      <c r="N1352" s="232"/>
      <c r="O1352" s="232"/>
      <c r="P1352" s="312"/>
      <c r="Q1352" s="312"/>
      <c r="R1352" s="312"/>
      <c r="S1352" s="312"/>
      <c r="T1352" s="312"/>
      <c r="U1352" s="312"/>
    </row>
    <row r="1353">
      <c r="A1353" s="520">
        <v>44816.0</v>
      </c>
      <c r="B1353" s="232" t="s">
        <v>27635</v>
      </c>
      <c r="C1353" s="509" t="s">
        <v>27636</v>
      </c>
      <c r="D1353" s="511"/>
      <c r="E1353" s="511"/>
      <c r="F1353" s="232"/>
      <c r="G1353" s="232"/>
      <c r="H1353" s="232">
        <v>7.905897253E9</v>
      </c>
      <c r="I1353" s="509" t="s">
        <v>24747</v>
      </c>
      <c r="J1353" s="232" t="b">
        <v>0</v>
      </c>
      <c r="K1353" s="232" t="s">
        <v>22365</v>
      </c>
      <c r="L1353" s="232" t="s">
        <v>27637</v>
      </c>
      <c r="M1353" s="511"/>
      <c r="N1353" s="232"/>
      <c r="O1353" s="232"/>
      <c r="P1353" s="312"/>
      <c r="Q1353" s="312"/>
      <c r="R1353" s="312"/>
      <c r="S1353" s="312"/>
      <c r="T1353" s="312"/>
      <c r="U1353" s="312"/>
    </row>
    <row r="1354">
      <c r="A1354" s="520">
        <v>44816.0</v>
      </c>
      <c r="B1354" s="232" t="s">
        <v>27638</v>
      </c>
      <c r="C1354" s="509" t="s">
        <v>27639</v>
      </c>
      <c r="D1354" s="509" t="s">
        <v>27639</v>
      </c>
      <c r="E1354" s="511"/>
      <c r="F1354" s="232"/>
      <c r="G1354" s="232"/>
      <c r="H1354" s="232">
        <v>9.439232981E9</v>
      </c>
      <c r="I1354" s="509" t="s">
        <v>27230</v>
      </c>
      <c r="J1354" s="232" t="b">
        <v>0</v>
      </c>
      <c r="K1354" s="232" t="s">
        <v>22365</v>
      </c>
      <c r="L1354" s="232"/>
      <c r="M1354" s="511"/>
      <c r="N1354" s="232"/>
      <c r="O1354" s="232"/>
      <c r="P1354" s="312"/>
      <c r="Q1354" s="312"/>
      <c r="R1354" s="312"/>
      <c r="S1354" s="312"/>
      <c r="T1354" s="312"/>
      <c r="U1354" s="312"/>
    </row>
    <row r="1355">
      <c r="A1355" s="520">
        <v>44816.0</v>
      </c>
      <c r="B1355" s="232" t="s">
        <v>27640</v>
      </c>
      <c r="C1355" s="509" t="s">
        <v>27641</v>
      </c>
      <c r="D1355" s="511"/>
      <c r="E1355" s="511"/>
      <c r="F1355" s="232"/>
      <c r="G1355" s="232" t="s">
        <v>26514</v>
      </c>
      <c r="H1355" s="232">
        <v>8.4206289E9</v>
      </c>
      <c r="I1355" s="509" t="s">
        <v>27642</v>
      </c>
      <c r="J1355" s="232" t="b">
        <v>0</v>
      </c>
      <c r="K1355" s="232"/>
      <c r="L1355" s="232"/>
      <c r="M1355" s="511"/>
      <c r="N1355" s="232"/>
      <c r="O1355" s="232"/>
      <c r="P1355" s="312"/>
      <c r="Q1355" s="312"/>
      <c r="R1355" s="312"/>
      <c r="S1355" s="312"/>
      <c r="T1355" s="312"/>
      <c r="U1355" s="312"/>
    </row>
    <row r="1356">
      <c r="A1356" s="520">
        <v>44785.0</v>
      </c>
      <c r="B1356" s="232" t="s">
        <v>27643</v>
      </c>
      <c r="C1356" s="509" t="s">
        <v>27644</v>
      </c>
      <c r="D1356" s="510" t="s">
        <v>27645</v>
      </c>
      <c r="E1356" s="511"/>
      <c r="F1356" s="232" t="s">
        <v>27646</v>
      </c>
      <c r="G1356" s="232" t="s">
        <v>184</v>
      </c>
      <c r="H1356" s="232">
        <v>9.43139631E9</v>
      </c>
      <c r="I1356" s="509" t="s">
        <v>23563</v>
      </c>
      <c r="J1356" s="232" t="b">
        <v>0</v>
      </c>
      <c r="K1356" s="232" t="s">
        <v>22365</v>
      </c>
      <c r="L1356" s="232" t="s">
        <v>23537</v>
      </c>
      <c r="M1356" s="511"/>
      <c r="N1356" s="232"/>
      <c r="O1356" s="232"/>
      <c r="P1356" s="312"/>
      <c r="Q1356" s="312"/>
      <c r="R1356" s="312"/>
      <c r="S1356" s="312"/>
      <c r="T1356" s="312"/>
      <c r="U1356" s="312"/>
    </row>
    <row r="1357">
      <c r="A1357" s="520">
        <v>44785.0</v>
      </c>
      <c r="B1357" s="232" t="s">
        <v>27647</v>
      </c>
      <c r="C1357" s="509" t="s">
        <v>27648</v>
      </c>
      <c r="D1357" s="510" t="s">
        <v>27649</v>
      </c>
      <c r="E1357" s="511"/>
      <c r="F1357" s="232"/>
      <c r="G1357" s="232" t="s">
        <v>22564</v>
      </c>
      <c r="H1357" s="232">
        <v>9.373741275E9</v>
      </c>
      <c r="I1357" s="509" t="s">
        <v>23563</v>
      </c>
      <c r="J1357" s="232" t="b">
        <v>0</v>
      </c>
      <c r="K1357" s="232" t="s">
        <v>334</v>
      </c>
      <c r="L1357" s="232"/>
      <c r="M1357" s="511"/>
      <c r="N1357" s="232"/>
      <c r="O1357" s="232"/>
      <c r="P1357" s="312"/>
      <c r="Q1357" s="312"/>
      <c r="R1357" s="312"/>
      <c r="S1357" s="312"/>
      <c r="T1357" s="312"/>
      <c r="U1357" s="312"/>
    </row>
    <row r="1358">
      <c r="A1358" s="520">
        <v>44785.0</v>
      </c>
      <c r="B1358" s="232" t="s">
        <v>27650</v>
      </c>
      <c r="C1358" s="509" t="s">
        <v>27651</v>
      </c>
      <c r="D1358" s="511"/>
      <c r="E1358" s="511"/>
      <c r="F1358" s="232" t="s">
        <v>27652</v>
      </c>
      <c r="G1358" s="232" t="s">
        <v>27653</v>
      </c>
      <c r="H1358" s="232">
        <v>9.599277545E9</v>
      </c>
      <c r="I1358" s="509" t="s">
        <v>25637</v>
      </c>
      <c r="J1358" s="232" t="b">
        <v>0</v>
      </c>
      <c r="K1358" s="232" t="s">
        <v>22365</v>
      </c>
      <c r="L1358" s="232" t="s">
        <v>22904</v>
      </c>
      <c r="M1358" s="511"/>
      <c r="N1358" s="232"/>
      <c r="O1358" s="232"/>
      <c r="P1358" s="312"/>
      <c r="Q1358" s="312"/>
      <c r="R1358" s="312"/>
      <c r="S1358" s="312"/>
      <c r="T1358" s="312"/>
      <c r="U1358" s="312"/>
    </row>
    <row r="1359">
      <c r="A1359" s="520">
        <v>44785.0</v>
      </c>
      <c r="B1359" s="232" t="s">
        <v>27654</v>
      </c>
      <c r="C1359" s="509" t="s">
        <v>27655</v>
      </c>
      <c r="D1359" s="511"/>
      <c r="E1359" s="511"/>
      <c r="F1359" s="232"/>
      <c r="G1359" s="232" t="s">
        <v>22479</v>
      </c>
      <c r="H1359" s="232">
        <v>9.016600193E9</v>
      </c>
      <c r="I1359" s="509" t="s">
        <v>25637</v>
      </c>
      <c r="J1359" s="232" t="b">
        <v>0</v>
      </c>
      <c r="K1359" s="232" t="s">
        <v>22365</v>
      </c>
      <c r="L1359" s="232" t="s">
        <v>27656</v>
      </c>
      <c r="M1359" s="511"/>
      <c r="N1359" s="232"/>
      <c r="O1359" s="232"/>
      <c r="P1359" s="312"/>
      <c r="Q1359" s="312"/>
      <c r="R1359" s="312"/>
      <c r="S1359" s="312"/>
      <c r="T1359" s="312"/>
      <c r="U1359" s="312"/>
    </row>
    <row r="1360">
      <c r="A1360" s="520">
        <v>44785.0</v>
      </c>
      <c r="B1360" s="232" t="s">
        <v>27657</v>
      </c>
      <c r="C1360" s="509" t="s">
        <v>27658</v>
      </c>
      <c r="D1360" s="510" t="s">
        <v>27659</v>
      </c>
      <c r="E1360" s="511"/>
      <c r="F1360" s="232"/>
      <c r="G1360" s="232" t="s">
        <v>22564</v>
      </c>
      <c r="H1360" s="232">
        <v>8.976231541E9</v>
      </c>
      <c r="I1360" s="509" t="s">
        <v>23503</v>
      </c>
      <c r="J1360" s="232" t="b">
        <v>0</v>
      </c>
      <c r="K1360" s="232" t="s">
        <v>334</v>
      </c>
      <c r="L1360" s="232"/>
      <c r="M1360" s="511"/>
      <c r="N1360" s="232"/>
      <c r="O1360" s="232"/>
      <c r="P1360" s="312"/>
      <c r="Q1360" s="312"/>
      <c r="R1360" s="312"/>
      <c r="S1360" s="312"/>
      <c r="T1360" s="312"/>
      <c r="U1360" s="312"/>
    </row>
    <row r="1361">
      <c r="A1361" s="520">
        <v>44785.0</v>
      </c>
      <c r="B1361" s="232" t="s">
        <v>27660</v>
      </c>
      <c r="C1361" s="509" t="s">
        <v>27661</v>
      </c>
      <c r="D1361" s="511"/>
      <c r="E1361" s="511"/>
      <c r="F1361" s="232" t="s">
        <v>27662</v>
      </c>
      <c r="G1361" s="232" t="s">
        <v>507</v>
      </c>
      <c r="H1361" s="232">
        <v>7.50727676E9</v>
      </c>
      <c r="I1361" s="509" t="s">
        <v>22360</v>
      </c>
      <c r="J1361" s="232" t="b">
        <v>0</v>
      </c>
      <c r="K1361" s="232" t="s">
        <v>12092</v>
      </c>
      <c r="L1361" s="232"/>
      <c r="M1361" s="511"/>
      <c r="N1361" s="232"/>
      <c r="O1361" s="232"/>
      <c r="P1361" s="312"/>
      <c r="Q1361" s="312"/>
      <c r="R1361" s="312"/>
      <c r="S1361" s="312"/>
      <c r="T1361" s="312"/>
      <c r="U1361" s="312"/>
    </row>
    <row r="1362">
      <c r="A1362" s="520">
        <v>44785.0</v>
      </c>
      <c r="B1362" s="232" t="s">
        <v>27663</v>
      </c>
      <c r="C1362" s="509" t="s">
        <v>27664</v>
      </c>
      <c r="D1362" s="511"/>
      <c r="E1362" s="511"/>
      <c r="F1362" s="232"/>
      <c r="G1362" s="232" t="s">
        <v>25015</v>
      </c>
      <c r="H1362" s="232">
        <v>-8.527660369E9</v>
      </c>
      <c r="I1362" s="509" t="s">
        <v>23461</v>
      </c>
      <c r="J1362" s="232" t="b">
        <v>0</v>
      </c>
      <c r="K1362" s="232" t="s">
        <v>334</v>
      </c>
      <c r="L1362" s="232"/>
      <c r="M1362" s="511"/>
      <c r="N1362" s="232"/>
      <c r="O1362" s="232"/>
      <c r="P1362" s="312"/>
      <c r="Q1362" s="312"/>
      <c r="R1362" s="312"/>
      <c r="S1362" s="312"/>
      <c r="T1362" s="312"/>
      <c r="U1362" s="312"/>
    </row>
    <row r="1363">
      <c r="A1363" s="520">
        <v>44785.0</v>
      </c>
      <c r="B1363" s="232" t="s">
        <v>27665</v>
      </c>
      <c r="C1363" s="509" t="s">
        <v>10640</v>
      </c>
      <c r="D1363" s="511"/>
      <c r="E1363" s="511"/>
      <c r="F1363" s="232"/>
      <c r="G1363" s="232" t="s">
        <v>22337</v>
      </c>
      <c r="H1363" s="232">
        <v>9.182582903E9</v>
      </c>
      <c r="I1363" s="509" t="s">
        <v>25239</v>
      </c>
      <c r="J1363" s="232" t="b">
        <v>0</v>
      </c>
      <c r="K1363" s="232"/>
      <c r="M1363" s="511"/>
      <c r="N1363" s="232"/>
      <c r="O1363" s="232"/>
      <c r="P1363" s="312"/>
      <c r="Q1363" s="312"/>
      <c r="R1363" s="312"/>
      <c r="S1363" s="312"/>
      <c r="T1363" s="312"/>
      <c r="U1363" s="312"/>
    </row>
    <row r="1364">
      <c r="A1364" s="520">
        <v>44785.0</v>
      </c>
      <c r="B1364" s="232" t="s">
        <v>27666</v>
      </c>
      <c r="C1364" s="509" t="s">
        <v>27667</v>
      </c>
      <c r="D1364" s="511"/>
      <c r="E1364" s="511"/>
      <c r="F1364" s="232" t="s">
        <v>27668</v>
      </c>
      <c r="G1364" s="232" t="s">
        <v>1663</v>
      </c>
      <c r="H1364" s="232">
        <v>9.113582759E9</v>
      </c>
      <c r="I1364" s="509" t="s">
        <v>27669</v>
      </c>
      <c r="J1364" s="232" t="b">
        <v>0</v>
      </c>
      <c r="K1364" s="232" t="s">
        <v>22365</v>
      </c>
      <c r="L1364" s="232"/>
      <c r="M1364" s="511"/>
      <c r="N1364" s="232"/>
      <c r="O1364" s="232"/>
      <c r="P1364" s="312"/>
      <c r="Q1364" s="312"/>
      <c r="R1364" s="312"/>
      <c r="S1364" s="312"/>
      <c r="T1364" s="312"/>
      <c r="U1364" s="312"/>
    </row>
    <row r="1365">
      <c r="A1365" s="520">
        <v>44785.0</v>
      </c>
      <c r="B1365" s="232" t="s">
        <v>27670</v>
      </c>
      <c r="C1365" s="509" t="s">
        <v>27671</v>
      </c>
      <c r="D1365" s="511"/>
      <c r="E1365" s="511"/>
      <c r="F1365" s="232" t="s">
        <v>27672</v>
      </c>
      <c r="G1365" s="232" t="s">
        <v>27673</v>
      </c>
      <c r="H1365" s="232">
        <v>9.535165655E9</v>
      </c>
      <c r="I1365" s="509" t="s">
        <v>27674</v>
      </c>
      <c r="J1365" s="232" t="b">
        <v>0</v>
      </c>
      <c r="K1365" s="232" t="s">
        <v>22365</v>
      </c>
      <c r="L1365" s="232"/>
      <c r="M1365" s="511"/>
      <c r="N1365" s="232"/>
      <c r="O1365" s="232"/>
      <c r="P1365" s="312"/>
      <c r="Q1365" s="312"/>
      <c r="R1365" s="312"/>
      <c r="S1365" s="312"/>
      <c r="T1365" s="312"/>
      <c r="U1365" s="312"/>
    </row>
    <row r="1366">
      <c r="A1366" s="520">
        <v>44785.0</v>
      </c>
      <c r="B1366" s="232" t="s">
        <v>27675</v>
      </c>
      <c r="C1366" s="509" t="s">
        <v>16368</v>
      </c>
      <c r="D1366" s="511"/>
      <c r="E1366" s="511"/>
      <c r="F1366" s="232" t="s">
        <v>7971</v>
      </c>
      <c r="G1366" s="232" t="s">
        <v>44</v>
      </c>
      <c r="H1366" s="232">
        <v>9.874735838E9</v>
      </c>
      <c r="I1366" s="509" t="s">
        <v>27676</v>
      </c>
      <c r="J1366" s="232" t="b">
        <v>0</v>
      </c>
      <c r="K1366" s="232" t="s">
        <v>22365</v>
      </c>
      <c r="L1366" s="232" t="s">
        <v>27677</v>
      </c>
      <c r="M1366" s="511"/>
      <c r="N1366" s="232"/>
      <c r="O1366" s="232"/>
      <c r="P1366" s="312"/>
      <c r="Q1366" s="312"/>
      <c r="R1366" s="312"/>
      <c r="S1366" s="312"/>
      <c r="T1366" s="312"/>
      <c r="U1366" s="312"/>
    </row>
    <row r="1367">
      <c r="A1367" s="521">
        <v>44754.0</v>
      </c>
      <c r="B1367" s="514" t="s">
        <v>27678</v>
      </c>
      <c r="C1367" s="515" t="s">
        <v>27679</v>
      </c>
      <c r="D1367" s="517"/>
      <c r="E1367" s="517"/>
      <c r="F1367" s="514"/>
      <c r="G1367" s="514" t="s">
        <v>27680</v>
      </c>
      <c r="H1367" s="514">
        <v>7.48327492E8</v>
      </c>
      <c r="I1367" s="515" t="s">
        <v>22364</v>
      </c>
      <c r="J1367" s="514" t="b">
        <v>0</v>
      </c>
      <c r="K1367" s="514" t="s">
        <v>22312</v>
      </c>
      <c r="L1367" s="514" t="s">
        <v>27681</v>
      </c>
      <c r="M1367" s="511"/>
      <c r="N1367" s="232"/>
      <c r="O1367" s="232"/>
      <c r="P1367" s="312"/>
      <c r="Q1367" s="312"/>
      <c r="R1367" s="312"/>
      <c r="S1367" s="312"/>
      <c r="T1367" s="312"/>
      <c r="U1367" s="312"/>
    </row>
    <row r="1368">
      <c r="A1368" s="520">
        <v>44754.0</v>
      </c>
      <c r="B1368" s="232" t="s">
        <v>27682</v>
      </c>
      <c r="C1368" s="509" t="s">
        <v>10180</v>
      </c>
      <c r="D1368" s="511"/>
      <c r="E1368" s="511"/>
      <c r="F1368" s="232" t="s">
        <v>10181</v>
      </c>
      <c r="G1368" s="232" t="s">
        <v>10182</v>
      </c>
      <c r="H1368" s="232">
        <v>8.348396235E9</v>
      </c>
      <c r="I1368" s="509" t="s">
        <v>27683</v>
      </c>
      <c r="J1368" s="232" t="b">
        <v>0</v>
      </c>
      <c r="K1368" s="232" t="s">
        <v>22349</v>
      </c>
      <c r="L1368" s="232" t="s">
        <v>27684</v>
      </c>
      <c r="M1368" s="511"/>
      <c r="N1368" s="232"/>
      <c r="O1368" s="232"/>
      <c r="P1368" s="312"/>
      <c r="Q1368" s="312"/>
      <c r="R1368" s="312"/>
      <c r="S1368" s="312"/>
      <c r="T1368" s="312"/>
      <c r="U1368" s="312"/>
    </row>
    <row r="1369">
      <c r="A1369" s="520">
        <v>44754.0</v>
      </c>
      <c r="B1369" s="232" t="s">
        <v>27685</v>
      </c>
      <c r="C1369" s="509" t="s">
        <v>27686</v>
      </c>
      <c r="D1369" s="510" t="s">
        <v>27687</v>
      </c>
      <c r="E1369" s="511"/>
      <c r="F1369" s="232" t="s">
        <v>27688</v>
      </c>
      <c r="G1369" s="232" t="s">
        <v>99</v>
      </c>
      <c r="H1369" s="232">
        <v>8.260031815E9</v>
      </c>
      <c r="I1369" s="509" t="s">
        <v>22672</v>
      </c>
      <c r="J1369" s="232" t="b">
        <v>0</v>
      </c>
      <c r="K1369" s="232" t="s">
        <v>12092</v>
      </c>
      <c r="L1369" s="232"/>
      <c r="M1369" s="511"/>
      <c r="N1369" s="232"/>
      <c r="O1369" s="232"/>
      <c r="P1369" s="312"/>
      <c r="Q1369" s="312"/>
      <c r="R1369" s="312"/>
      <c r="S1369" s="312"/>
      <c r="T1369" s="312"/>
      <c r="U1369" s="312"/>
    </row>
    <row r="1370">
      <c r="A1370" s="520">
        <v>44754.0</v>
      </c>
      <c r="B1370" s="232" t="s">
        <v>27689</v>
      </c>
      <c r="C1370" s="509" t="s">
        <v>27690</v>
      </c>
      <c r="D1370" s="510" t="s">
        <v>27691</v>
      </c>
      <c r="E1370" s="511"/>
      <c r="F1370" s="232" t="s">
        <v>27692</v>
      </c>
      <c r="G1370" s="232" t="s">
        <v>27693</v>
      </c>
      <c r="H1370" s="232">
        <v>9.735601049E9</v>
      </c>
      <c r="I1370" s="509" t="s">
        <v>22577</v>
      </c>
      <c r="J1370" s="232" t="b">
        <v>0</v>
      </c>
      <c r="K1370" s="232" t="s">
        <v>22365</v>
      </c>
      <c r="L1370" s="232"/>
      <c r="M1370" s="511"/>
      <c r="N1370" s="232"/>
      <c r="O1370" s="232"/>
      <c r="P1370" s="312"/>
      <c r="Q1370" s="312"/>
      <c r="R1370" s="312"/>
      <c r="S1370" s="312"/>
      <c r="T1370" s="312"/>
      <c r="U1370" s="312"/>
    </row>
    <row r="1371">
      <c r="A1371" s="520">
        <v>44754.0</v>
      </c>
      <c r="B1371" s="232" t="s">
        <v>27694</v>
      </c>
      <c r="C1371" s="509" t="s">
        <v>27695</v>
      </c>
      <c r="D1371" s="511"/>
      <c r="E1371" s="511"/>
      <c r="F1371" s="232"/>
      <c r="G1371" s="232" t="s">
        <v>22348</v>
      </c>
      <c r="H1371" s="232">
        <v>8.591114947E9</v>
      </c>
      <c r="I1371" s="509" t="s">
        <v>27696</v>
      </c>
      <c r="J1371" s="232" t="b">
        <v>0</v>
      </c>
      <c r="K1371" s="232" t="s">
        <v>334</v>
      </c>
      <c r="L1371" s="232" t="s">
        <v>23363</v>
      </c>
      <c r="M1371" s="511"/>
      <c r="N1371" s="232"/>
      <c r="O1371" s="232"/>
      <c r="P1371" s="312"/>
      <c r="Q1371" s="312"/>
      <c r="R1371" s="312"/>
      <c r="S1371" s="312"/>
      <c r="T1371" s="312"/>
      <c r="U1371" s="312"/>
    </row>
    <row r="1372">
      <c r="A1372" s="520">
        <v>44754.0</v>
      </c>
      <c r="B1372" s="232" t="s">
        <v>27697</v>
      </c>
      <c r="C1372" s="509" t="s">
        <v>27698</v>
      </c>
      <c r="D1372" s="511"/>
      <c r="E1372" s="511"/>
      <c r="F1372" s="232" t="s">
        <v>27699</v>
      </c>
      <c r="G1372" s="232" t="s">
        <v>22479</v>
      </c>
      <c r="H1372" s="232">
        <v>8.219451984E9</v>
      </c>
      <c r="I1372" s="509" t="s">
        <v>27700</v>
      </c>
      <c r="J1372" s="232" t="b">
        <v>0</v>
      </c>
      <c r="K1372" s="232" t="s">
        <v>22355</v>
      </c>
      <c r="L1372" s="232"/>
      <c r="M1372" s="511"/>
      <c r="N1372" s="232"/>
      <c r="O1372" s="232"/>
      <c r="P1372" s="312"/>
      <c r="Q1372" s="312"/>
      <c r="R1372" s="312"/>
      <c r="S1372" s="312"/>
      <c r="T1372" s="312"/>
      <c r="U1372" s="312"/>
    </row>
    <row r="1373">
      <c r="A1373" s="520">
        <v>44754.0</v>
      </c>
      <c r="B1373" s="232" t="s">
        <v>27701</v>
      </c>
      <c r="C1373" s="509" t="s">
        <v>27702</v>
      </c>
      <c r="D1373" s="511"/>
      <c r="E1373" s="511"/>
      <c r="F1373" s="232" t="s">
        <v>27703</v>
      </c>
      <c r="G1373" s="232" t="s">
        <v>1640</v>
      </c>
      <c r="H1373" s="232">
        <v>6.296303294E9</v>
      </c>
      <c r="I1373" s="509" t="s">
        <v>27704</v>
      </c>
      <c r="J1373" s="232" t="b">
        <v>0</v>
      </c>
      <c r="K1373" s="232" t="s">
        <v>22365</v>
      </c>
      <c r="L1373" s="232" t="s">
        <v>24488</v>
      </c>
      <c r="M1373" s="511"/>
      <c r="N1373" s="232"/>
      <c r="O1373" s="232"/>
      <c r="P1373" s="312"/>
      <c r="Q1373" s="312"/>
      <c r="R1373" s="312"/>
      <c r="S1373" s="312"/>
      <c r="T1373" s="312"/>
      <c r="U1373" s="312"/>
    </row>
    <row r="1374">
      <c r="A1374" s="520">
        <v>44754.0</v>
      </c>
      <c r="B1374" s="232" t="s">
        <v>27705</v>
      </c>
      <c r="C1374" s="509" t="s">
        <v>27706</v>
      </c>
      <c r="D1374" s="511"/>
      <c r="E1374" s="511"/>
      <c r="F1374" s="232" t="s">
        <v>27707</v>
      </c>
      <c r="G1374" s="232" t="s">
        <v>44</v>
      </c>
      <c r="H1374" s="232">
        <v>6.291934113E9</v>
      </c>
      <c r="I1374" s="509" t="s">
        <v>22332</v>
      </c>
      <c r="J1374" s="232" t="b">
        <v>0</v>
      </c>
      <c r="K1374" s="232" t="s">
        <v>12092</v>
      </c>
      <c r="L1374" s="232"/>
      <c r="M1374" s="511"/>
      <c r="N1374" s="232"/>
      <c r="O1374" s="232"/>
      <c r="P1374" s="312"/>
      <c r="Q1374" s="312"/>
      <c r="R1374" s="312"/>
      <c r="S1374" s="312"/>
      <c r="T1374" s="312"/>
      <c r="U1374" s="312"/>
    </row>
    <row r="1375">
      <c r="A1375" s="520">
        <v>44754.0</v>
      </c>
      <c r="B1375" s="232" t="s">
        <v>27708</v>
      </c>
      <c r="C1375" s="509" t="s">
        <v>27709</v>
      </c>
      <c r="D1375" s="511"/>
      <c r="E1375" s="511"/>
      <c r="F1375" s="232" t="s">
        <v>27710</v>
      </c>
      <c r="G1375" s="232" t="s">
        <v>27711</v>
      </c>
      <c r="H1375" s="232">
        <v>8.700176522E9</v>
      </c>
      <c r="I1375" s="509" t="s">
        <v>27712</v>
      </c>
      <c r="J1375" s="232" t="b">
        <v>0</v>
      </c>
      <c r="K1375" s="232" t="s">
        <v>334</v>
      </c>
      <c r="L1375" s="232"/>
      <c r="M1375" s="511"/>
      <c r="N1375" s="232"/>
      <c r="O1375" s="232"/>
      <c r="P1375" s="312"/>
      <c r="Q1375" s="312"/>
      <c r="R1375" s="312"/>
      <c r="S1375" s="312"/>
      <c r="T1375" s="312"/>
      <c r="U1375" s="312"/>
    </row>
    <row r="1376">
      <c r="A1376" s="520">
        <v>44724.0</v>
      </c>
      <c r="B1376" s="232" t="s">
        <v>27713</v>
      </c>
      <c r="C1376" s="509" t="s">
        <v>27714</v>
      </c>
      <c r="D1376" s="511"/>
      <c r="E1376" s="511"/>
      <c r="F1376" s="232"/>
      <c r="G1376" s="232" t="s">
        <v>25308</v>
      </c>
      <c r="H1376" s="232">
        <v>9.4302929E9</v>
      </c>
      <c r="I1376" s="509" t="s">
        <v>23871</v>
      </c>
      <c r="J1376" s="232" t="b">
        <v>0</v>
      </c>
      <c r="K1376" s="232" t="s">
        <v>22365</v>
      </c>
      <c r="L1376" s="232" t="s">
        <v>23537</v>
      </c>
      <c r="M1376" s="511"/>
      <c r="N1376" s="232"/>
      <c r="O1376" s="232"/>
      <c r="P1376" s="312"/>
      <c r="Q1376" s="312"/>
      <c r="R1376" s="312"/>
      <c r="S1376" s="312"/>
      <c r="T1376" s="312"/>
      <c r="U1376" s="312"/>
    </row>
    <row r="1377">
      <c r="A1377" s="520">
        <v>44724.0</v>
      </c>
      <c r="B1377" s="232" t="s">
        <v>27715</v>
      </c>
      <c r="C1377" s="509" t="s">
        <v>27716</v>
      </c>
      <c r="D1377" s="511"/>
      <c r="E1377" s="511"/>
      <c r="F1377" s="232"/>
      <c r="G1377" s="232" t="s">
        <v>22564</v>
      </c>
      <c r="H1377" s="232">
        <v>7.261999272E9</v>
      </c>
      <c r="I1377" s="509" t="s">
        <v>22845</v>
      </c>
      <c r="J1377" s="232" t="b">
        <v>0</v>
      </c>
      <c r="K1377" s="232" t="s">
        <v>334</v>
      </c>
      <c r="L1377" s="232" t="s">
        <v>27717</v>
      </c>
      <c r="M1377" s="511"/>
      <c r="N1377" s="232"/>
      <c r="O1377" s="232"/>
      <c r="P1377" s="312"/>
      <c r="Q1377" s="312"/>
      <c r="R1377" s="312"/>
      <c r="S1377" s="312"/>
      <c r="T1377" s="312"/>
      <c r="U1377" s="312"/>
    </row>
    <row r="1378">
      <c r="A1378" s="520">
        <v>44724.0</v>
      </c>
      <c r="B1378" s="232" t="s">
        <v>27718</v>
      </c>
      <c r="C1378" s="509" t="s">
        <v>27719</v>
      </c>
      <c r="D1378" s="232" t="s">
        <v>27720</v>
      </c>
      <c r="E1378" s="511"/>
      <c r="F1378" s="232"/>
      <c r="G1378" s="232" t="s">
        <v>467</v>
      </c>
      <c r="H1378" s="232">
        <v>9.958502537E9</v>
      </c>
      <c r="I1378" s="509" t="s">
        <v>27721</v>
      </c>
      <c r="J1378" s="232" t="b">
        <v>0</v>
      </c>
      <c r="K1378" s="232" t="s">
        <v>22365</v>
      </c>
      <c r="L1378" s="232" t="s">
        <v>27722</v>
      </c>
      <c r="M1378" s="511"/>
      <c r="N1378" s="232"/>
      <c r="O1378" s="232"/>
      <c r="P1378" s="312"/>
      <c r="Q1378" s="312"/>
      <c r="R1378" s="312"/>
      <c r="S1378" s="312"/>
      <c r="T1378" s="312"/>
      <c r="U1378" s="312"/>
    </row>
    <row r="1379">
      <c r="A1379" s="520">
        <v>37419.0</v>
      </c>
      <c r="B1379" s="232" t="s">
        <v>27723</v>
      </c>
      <c r="C1379" s="509" t="s">
        <v>18524</v>
      </c>
      <c r="D1379" s="511"/>
      <c r="E1379" s="511"/>
      <c r="F1379" s="232" t="s">
        <v>27724</v>
      </c>
      <c r="G1379" s="232" t="s">
        <v>27711</v>
      </c>
      <c r="H1379" s="232">
        <v>9.559354588E9</v>
      </c>
      <c r="I1379" s="509" t="s">
        <v>27725</v>
      </c>
      <c r="J1379" s="232" t="b">
        <v>0</v>
      </c>
      <c r="K1379" s="232" t="s">
        <v>334</v>
      </c>
      <c r="L1379" s="232"/>
      <c r="M1379" s="511"/>
      <c r="N1379" s="232"/>
      <c r="O1379" s="232"/>
      <c r="P1379" s="312"/>
      <c r="Q1379" s="312"/>
      <c r="R1379" s="312"/>
      <c r="S1379" s="312"/>
      <c r="T1379" s="312"/>
      <c r="U1379" s="312"/>
    </row>
    <row r="1380">
      <c r="A1380" s="520">
        <v>44724.0</v>
      </c>
      <c r="B1380" s="232" t="s">
        <v>27726</v>
      </c>
      <c r="C1380" s="509" t="s">
        <v>27727</v>
      </c>
      <c r="D1380" s="511"/>
      <c r="E1380" s="511"/>
      <c r="F1380" s="232" t="s">
        <v>27728</v>
      </c>
      <c r="G1380" s="232" t="s">
        <v>99</v>
      </c>
      <c r="H1380" s="232">
        <v>7.978108151E9</v>
      </c>
      <c r="I1380" s="509" t="s">
        <v>27729</v>
      </c>
      <c r="J1380" s="232" t="b">
        <v>0</v>
      </c>
      <c r="K1380" s="232"/>
      <c r="L1380" s="232"/>
      <c r="M1380" s="511"/>
      <c r="N1380" s="232"/>
      <c r="O1380" s="232"/>
      <c r="P1380" s="312"/>
      <c r="Q1380" s="312"/>
      <c r="R1380" s="312"/>
      <c r="S1380" s="312"/>
      <c r="T1380" s="312"/>
      <c r="U1380" s="312"/>
    </row>
    <row r="1381">
      <c r="A1381" s="520">
        <v>44724.0</v>
      </c>
      <c r="B1381" s="232" t="s">
        <v>27730</v>
      </c>
      <c r="C1381" s="509" t="s">
        <v>27731</v>
      </c>
      <c r="D1381" s="511"/>
      <c r="E1381" s="511"/>
      <c r="F1381" s="232" t="s">
        <v>27732</v>
      </c>
      <c r="G1381" s="232" t="s">
        <v>27733</v>
      </c>
      <c r="H1381" s="232">
        <v>7.006352904E9</v>
      </c>
      <c r="I1381" s="509" t="s">
        <v>27734</v>
      </c>
      <c r="J1381" s="232" t="b">
        <v>0</v>
      </c>
      <c r="K1381" s="232" t="s">
        <v>22365</v>
      </c>
      <c r="L1381" s="232"/>
      <c r="M1381" s="511"/>
      <c r="N1381" s="232"/>
      <c r="O1381" s="232"/>
      <c r="P1381" s="312"/>
      <c r="Q1381" s="312"/>
      <c r="R1381" s="312"/>
      <c r="S1381" s="312"/>
      <c r="T1381" s="312"/>
      <c r="U1381" s="312"/>
    </row>
    <row r="1382">
      <c r="A1382" s="520">
        <v>44724.0</v>
      </c>
      <c r="B1382" s="232" t="s">
        <v>27735</v>
      </c>
      <c r="C1382" s="509" t="s">
        <v>27736</v>
      </c>
      <c r="D1382" s="511"/>
      <c r="E1382" s="511"/>
      <c r="F1382" s="232" t="s">
        <v>27737</v>
      </c>
      <c r="G1382" s="232" t="s">
        <v>27738</v>
      </c>
      <c r="H1382" s="232">
        <v>7.006869679E9</v>
      </c>
      <c r="I1382" s="509" t="s">
        <v>27739</v>
      </c>
      <c r="J1382" s="232" t="b">
        <v>0</v>
      </c>
      <c r="K1382" s="232"/>
      <c r="L1382" s="232"/>
      <c r="M1382" s="511"/>
      <c r="N1382" s="232"/>
      <c r="O1382" s="232"/>
      <c r="P1382" s="312"/>
      <c r="Q1382" s="312"/>
      <c r="R1382" s="312"/>
      <c r="S1382" s="312"/>
      <c r="T1382" s="312"/>
      <c r="U1382" s="312"/>
    </row>
    <row r="1383">
      <c r="A1383" s="520">
        <v>44724.0</v>
      </c>
      <c r="B1383" s="232" t="s">
        <v>27740</v>
      </c>
      <c r="C1383" s="509" t="s">
        <v>27741</v>
      </c>
      <c r="D1383" s="511"/>
      <c r="E1383" s="511"/>
      <c r="F1383" s="232" t="s">
        <v>27742</v>
      </c>
      <c r="G1383" s="232" t="s">
        <v>27743</v>
      </c>
      <c r="H1383" s="232">
        <v>9.182764101E9</v>
      </c>
      <c r="I1383" s="509" t="s">
        <v>27744</v>
      </c>
      <c r="J1383" s="232" t="b">
        <v>0</v>
      </c>
      <c r="K1383" s="232" t="s">
        <v>22365</v>
      </c>
      <c r="L1383" s="232" t="s">
        <v>23537</v>
      </c>
      <c r="M1383" s="511"/>
      <c r="N1383" s="232"/>
      <c r="O1383" s="232"/>
      <c r="P1383" s="312"/>
      <c r="Q1383" s="312"/>
      <c r="R1383" s="312"/>
      <c r="S1383" s="312"/>
      <c r="T1383" s="312"/>
      <c r="U1383" s="312"/>
    </row>
    <row r="1384">
      <c r="A1384" s="520">
        <v>44724.0</v>
      </c>
      <c r="B1384" s="232" t="s">
        <v>27745</v>
      </c>
      <c r="C1384" s="509" t="s">
        <v>25993</v>
      </c>
      <c r="D1384" s="511"/>
      <c r="E1384" s="511"/>
      <c r="F1384" s="232"/>
      <c r="G1384" s="232"/>
      <c r="H1384" s="232">
        <v>9.953973349E9</v>
      </c>
      <c r="I1384" s="509" t="s">
        <v>25207</v>
      </c>
      <c r="J1384" s="232" t="b">
        <v>0</v>
      </c>
      <c r="K1384" s="232" t="s">
        <v>22365</v>
      </c>
      <c r="L1384" s="232"/>
      <c r="M1384" s="511"/>
      <c r="N1384" s="232"/>
      <c r="O1384" s="232"/>
      <c r="P1384" s="312"/>
      <c r="Q1384" s="312"/>
      <c r="R1384" s="312"/>
      <c r="S1384" s="312"/>
      <c r="T1384" s="312"/>
      <c r="U1384" s="312"/>
    </row>
    <row r="1385">
      <c r="A1385" s="520">
        <v>44693.0</v>
      </c>
      <c r="B1385" s="232" t="s">
        <v>27746</v>
      </c>
      <c r="C1385" s="509" t="s">
        <v>27747</v>
      </c>
      <c r="D1385" s="511"/>
      <c r="E1385" s="511"/>
      <c r="F1385" s="232" t="s">
        <v>27748</v>
      </c>
      <c r="G1385" s="232" t="s">
        <v>1663</v>
      </c>
      <c r="H1385" s="232">
        <v>9.740326719E9</v>
      </c>
      <c r="I1385" s="509" t="s">
        <v>27749</v>
      </c>
      <c r="J1385" s="232" t="b">
        <v>0</v>
      </c>
      <c r="K1385" s="232" t="s">
        <v>22365</v>
      </c>
      <c r="L1385" s="232" t="s">
        <v>23537</v>
      </c>
      <c r="M1385" s="511"/>
      <c r="N1385" s="232"/>
      <c r="O1385" s="232"/>
      <c r="P1385" s="312"/>
      <c r="Q1385" s="312"/>
      <c r="R1385" s="312"/>
      <c r="S1385" s="312"/>
      <c r="T1385" s="312"/>
      <c r="U1385" s="312"/>
    </row>
    <row r="1386">
      <c r="A1386" s="520">
        <v>44693.0</v>
      </c>
      <c r="B1386" s="232" t="s">
        <v>27750</v>
      </c>
      <c r="C1386" s="509" t="s">
        <v>27751</v>
      </c>
      <c r="D1386" s="510" t="s">
        <v>27752</v>
      </c>
      <c r="E1386" s="511"/>
      <c r="F1386" s="232" t="s">
        <v>27753</v>
      </c>
      <c r="G1386" s="232" t="s">
        <v>22630</v>
      </c>
      <c r="H1386" s="232">
        <v>-9.409502936E9</v>
      </c>
      <c r="I1386" s="509" t="s">
        <v>27754</v>
      </c>
      <c r="J1386" s="232" t="b">
        <v>0</v>
      </c>
      <c r="K1386" s="232" t="s">
        <v>22365</v>
      </c>
      <c r="L1386" s="232"/>
      <c r="M1386" s="511"/>
      <c r="N1386" s="232"/>
      <c r="O1386" s="232"/>
      <c r="P1386" s="312"/>
      <c r="Q1386" s="312"/>
      <c r="R1386" s="312"/>
      <c r="S1386" s="312"/>
      <c r="T1386" s="312"/>
      <c r="U1386" s="312"/>
    </row>
    <row r="1387">
      <c r="A1387" s="520">
        <v>44693.0</v>
      </c>
      <c r="B1387" s="232" t="s">
        <v>27755</v>
      </c>
      <c r="C1387" s="509" t="s">
        <v>27698</v>
      </c>
      <c r="D1387" s="511"/>
      <c r="E1387" s="511"/>
      <c r="F1387" s="232" t="s">
        <v>27756</v>
      </c>
      <c r="G1387" s="232" t="s">
        <v>467</v>
      </c>
      <c r="H1387" s="232">
        <v>-9.756337227E9</v>
      </c>
      <c r="I1387" s="509" t="s">
        <v>22289</v>
      </c>
      <c r="J1387" s="232" t="b">
        <v>0</v>
      </c>
      <c r="K1387" s="232"/>
      <c r="L1387" s="232"/>
      <c r="M1387" s="511"/>
      <c r="N1387" s="232"/>
      <c r="O1387" s="232"/>
      <c r="P1387" s="312"/>
      <c r="Q1387" s="312"/>
      <c r="R1387" s="312"/>
      <c r="S1387" s="312"/>
      <c r="T1387" s="312"/>
      <c r="U1387" s="312"/>
    </row>
    <row r="1388">
      <c r="A1388" s="520">
        <v>44693.0</v>
      </c>
      <c r="B1388" s="232" t="s">
        <v>27757</v>
      </c>
      <c r="C1388" s="509" t="s">
        <v>27758</v>
      </c>
      <c r="D1388" s="511"/>
      <c r="E1388" s="511"/>
      <c r="F1388" s="232" t="s">
        <v>27759</v>
      </c>
      <c r="G1388" s="232" t="s">
        <v>107</v>
      </c>
      <c r="H1388" s="232">
        <v>9.625406316E9</v>
      </c>
      <c r="I1388" s="509" t="s">
        <v>22373</v>
      </c>
      <c r="J1388" s="232" t="b">
        <v>0</v>
      </c>
      <c r="K1388" s="232" t="s">
        <v>22355</v>
      </c>
      <c r="L1388" s="232"/>
      <c r="M1388" s="511"/>
      <c r="N1388" s="232"/>
      <c r="O1388" s="232"/>
      <c r="P1388" s="312"/>
      <c r="Q1388" s="312"/>
      <c r="R1388" s="312"/>
      <c r="S1388" s="312"/>
      <c r="T1388" s="312"/>
      <c r="U1388" s="312"/>
    </row>
    <row r="1389">
      <c r="A1389" s="520">
        <v>44693.0</v>
      </c>
      <c r="B1389" s="232" t="s">
        <v>27760</v>
      </c>
      <c r="C1389" s="509" t="s">
        <v>27761</v>
      </c>
      <c r="D1389" s="510" t="s">
        <v>27762</v>
      </c>
      <c r="E1389" s="511"/>
      <c r="F1389" s="232" t="s">
        <v>27763</v>
      </c>
      <c r="G1389" s="232" t="s">
        <v>507</v>
      </c>
      <c r="H1389" s="232">
        <v>-9.579401744E9</v>
      </c>
      <c r="I1389" s="509" t="s">
        <v>27764</v>
      </c>
      <c r="J1389" s="232" t="b">
        <v>0</v>
      </c>
      <c r="K1389" s="232"/>
      <c r="L1389" s="232"/>
      <c r="M1389" s="511"/>
      <c r="N1389" s="232"/>
      <c r="O1389" s="232"/>
      <c r="P1389" s="312"/>
      <c r="Q1389" s="312"/>
      <c r="R1389" s="312"/>
      <c r="S1389" s="312"/>
      <c r="T1389" s="312"/>
      <c r="U1389" s="312"/>
    </row>
    <row r="1390">
      <c r="A1390" s="520">
        <v>44693.0</v>
      </c>
      <c r="B1390" s="232" t="s">
        <v>27765</v>
      </c>
      <c r="C1390" s="509" t="s">
        <v>27766</v>
      </c>
      <c r="D1390" s="511"/>
      <c r="E1390" s="511"/>
      <c r="F1390" s="232"/>
      <c r="G1390" s="232" t="s">
        <v>27767</v>
      </c>
      <c r="H1390" s="232">
        <v>7.008277519E9</v>
      </c>
      <c r="I1390" s="509" t="s">
        <v>27768</v>
      </c>
      <c r="J1390" s="232" t="b">
        <v>0</v>
      </c>
      <c r="K1390" s="232" t="s">
        <v>22365</v>
      </c>
      <c r="L1390" s="425" t="s">
        <v>27769</v>
      </c>
      <c r="M1390" s="511"/>
      <c r="N1390" s="232"/>
      <c r="O1390" s="232"/>
      <c r="P1390" s="312"/>
      <c r="Q1390" s="312"/>
      <c r="R1390" s="312"/>
      <c r="S1390" s="312"/>
      <c r="T1390" s="312"/>
      <c r="U1390" s="312"/>
    </row>
    <row r="1391">
      <c r="A1391" s="520">
        <v>44693.0</v>
      </c>
      <c r="B1391" s="232" t="s">
        <v>27770</v>
      </c>
      <c r="C1391" s="509" t="s">
        <v>27771</v>
      </c>
      <c r="D1391" s="511"/>
      <c r="E1391" s="511"/>
      <c r="F1391" s="232" t="s">
        <v>27772</v>
      </c>
      <c r="G1391" s="232" t="s">
        <v>19514</v>
      </c>
      <c r="H1391" s="232">
        <v>9.465533394E9</v>
      </c>
      <c r="I1391" s="509" t="s">
        <v>25387</v>
      </c>
      <c r="J1391" s="232" t="b">
        <v>0</v>
      </c>
      <c r="K1391" s="232" t="s">
        <v>22355</v>
      </c>
      <c r="L1391" s="232"/>
      <c r="M1391" s="511"/>
      <c r="N1391" s="232"/>
      <c r="O1391" s="232"/>
      <c r="P1391" s="312"/>
      <c r="Q1391" s="312"/>
      <c r="R1391" s="312"/>
      <c r="S1391" s="312"/>
      <c r="T1391" s="312"/>
      <c r="U1391" s="312"/>
    </row>
    <row r="1392">
      <c r="A1392" s="520">
        <v>44693.0</v>
      </c>
      <c r="B1392" s="232" t="s">
        <v>27773</v>
      </c>
      <c r="C1392" s="509" t="s">
        <v>27774</v>
      </c>
      <c r="D1392" s="511"/>
      <c r="E1392" s="511"/>
      <c r="F1392" s="232" t="s">
        <v>27775</v>
      </c>
      <c r="G1392" s="232" t="s">
        <v>981</v>
      </c>
      <c r="H1392" s="232">
        <v>7.602982592E9</v>
      </c>
      <c r="I1392" s="509" t="s">
        <v>27776</v>
      </c>
      <c r="J1392" s="232" t="b">
        <v>0</v>
      </c>
      <c r="K1392" s="232"/>
      <c r="L1392" s="232"/>
      <c r="M1392" s="511"/>
      <c r="N1392" s="232"/>
      <c r="O1392" s="232"/>
      <c r="P1392" s="312"/>
      <c r="Q1392" s="312"/>
      <c r="R1392" s="312"/>
      <c r="S1392" s="312"/>
      <c r="T1392" s="312"/>
      <c r="U1392" s="312"/>
    </row>
    <row r="1393">
      <c r="A1393" s="520">
        <v>44693.0</v>
      </c>
      <c r="B1393" s="232" t="s">
        <v>27777</v>
      </c>
      <c r="C1393" s="509" t="s">
        <v>27778</v>
      </c>
      <c r="D1393" s="511"/>
      <c r="E1393" s="511"/>
      <c r="F1393" s="232" t="s">
        <v>27779</v>
      </c>
      <c r="G1393" s="232" t="s">
        <v>27780</v>
      </c>
      <c r="H1393" s="232">
        <v>8.274948759E9</v>
      </c>
      <c r="I1393" s="509" t="s">
        <v>26182</v>
      </c>
      <c r="J1393" s="232" t="b">
        <v>0</v>
      </c>
      <c r="K1393" s="232" t="s">
        <v>22365</v>
      </c>
      <c r="L1393" s="232" t="s">
        <v>23537</v>
      </c>
      <c r="M1393" s="511"/>
      <c r="N1393" s="232"/>
      <c r="O1393" s="232"/>
      <c r="P1393" s="312"/>
      <c r="Q1393" s="312"/>
      <c r="R1393" s="312"/>
      <c r="S1393" s="312"/>
      <c r="T1393" s="312"/>
      <c r="U1393" s="312"/>
    </row>
    <row r="1394">
      <c r="A1394" s="520">
        <v>44632.0</v>
      </c>
      <c r="B1394" s="232" t="s">
        <v>27781</v>
      </c>
      <c r="C1394" s="509" t="s">
        <v>27782</v>
      </c>
      <c r="D1394" s="511"/>
      <c r="E1394" s="511"/>
      <c r="F1394" s="232" t="s">
        <v>27783</v>
      </c>
      <c r="G1394" s="232" t="s">
        <v>507</v>
      </c>
      <c r="H1394" s="232">
        <v>8.830390774E9</v>
      </c>
      <c r="I1394" s="509" t="s">
        <v>22903</v>
      </c>
      <c r="J1394" s="232" t="b">
        <v>0</v>
      </c>
      <c r="K1394" s="232"/>
      <c r="L1394" s="232"/>
      <c r="M1394" s="511"/>
      <c r="N1394" s="232"/>
      <c r="O1394" s="232"/>
      <c r="P1394" s="312"/>
      <c r="Q1394" s="312"/>
      <c r="R1394" s="312"/>
      <c r="S1394" s="312"/>
      <c r="T1394" s="312"/>
      <c r="U1394" s="312"/>
    </row>
    <row r="1395">
      <c r="A1395" s="520">
        <v>44632.0</v>
      </c>
      <c r="B1395" s="232" t="s">
        <v>27784</v>
      </c>
      <c r="C1395" s="509" t="s">
        <v>27785</v>
      </c>
      <c r="D1395" s="510" t="s">
        <v>27786</v>
      </c>
      <c r="E1395" s="511"/>
      <c r="F1395" s="232" t="s">
        <v>27787</v>
      </c>
      <c r="G1395" s="232" t="s">
        <v>25015</v>
      </c>
      <c r="H1395" s="232">
        <v>7.011059946E9</v>
      </c>
      <c r="I1395" s="509" t="s">
        <v>27788</v>
      </c>
      <c r="J1395" s="232" t="b">
        <v>0</v>
      </c>
      <c r="K1395" s="232" t="s">
        <v>12092</v>
      </c>
      <c r="L1395" s="232"/>
      <c r="M1395" s="511"/>
      <c r="N1395" s="232"/>
      <c r="O1395" s="232"/>
      <c r="P1395" s="312"/>
      <c r="Q1395" s="312"/>
      <c r="R1395" s="312"/>
      <c r="S1395" s="312"/>
      <c r="T1395" s="312"/>
      <c r="U1395" s="312"/>
    </row>
    <row r="1396">
      <c r="A1396" s="520">
        <v>44632.0</v>
      </c>
      <c r="B1396" s="232" t="s">
        <v>27789</v>
      </c>
      <c r="C1396" s="509" t="s">
        <v>27790</v>
      </c>
      <c r="D1396" s="511"/>
      <c r="E1396" s="511"/>
      <c r="F1396" s="232" t="s">
        <v>27791</v>
      </c>
      <c r="G1396" s="232" t="s">
        <v>99</v>
      </c>
      <c r="H1396" s="232">
        <v>9.692496355E9</v>
      </c>
      <c r="I1396" s="509" t="s">
        <v>22289</v>
      </c>
      <c r="J1396" s="232" t="b">
        <v>0</v>
      </c>
      <c r="K1396" s="232" t="s">
        <v>22355</v>
      </c>
      <c r="L1396" s="232"/>
      <c r="M1396" s="511"/>
      <c r="N1396" s="232"/>
      <c r="O1396" s="232"/>
      <c r="P1396" s="312"/>
      <c r="Q1396" s="312"/>
      <c r="R1396" s="312"/>
      <c r="S1396" s="312"/>
      <c r="T1396" s="312"/>
      <c r="U1396" s="312"/>
    </row>
    <row r="1397">
      <c r="A1397" s="520">
        <v>44632.0</v>
      </c>
      <c r="B1397" s="232" t="s">
        <v>27792</v>
      </c>
      <c r="C1397" s="509" t="s">
        <v>27793</v>
      </c>
      <c r="D1397" s="511"/>
      <c r="E1397" s="511"/>
      <c r="F1397" s="232" t="s">
        <v>27794</v>
      </c>
      <c r="G1397" s="232" t="s">
        <v>99</v>
      </c>
      <c r="H1397" s="232">
        <v>8.763956946E9</v>
      </c>
      <c r="I1397" s="509" t="s">
        <v>27795</v>
      </c>
      <c r="J1397" s="232" t="b">
        <v>0</v>
      </c>
      <c r="K1397" s="232" t="s">
        <v>22349</v>
      </c>
      <c r="L1397" s="425" t="s">
        <v>27796</v>
      </c>
      <c r="M1397" s="511"/>
      <c r="N1397" s="232"/>
      <c r="O1397" s="232"/>
      <c r="P1397" s="312"/>
      <c r="Q1397" s="312"/>
      <c r="R1397" s="312"/>
      <c r="S1397" s="312"/>
      <c r="T1397" s="312"/>
      <c r="U1397" s="312"/>
    </row>
    <row r="1398">
      <c r="A1398" s="520">
        <v>44632.0</v>
      </c>
      <c r="B1398" s="232" t="s">
        <v>27797</v>
      </c>
      <c r="C1398" s="509" t="s">
        <v>27798</v>
      </c>
      <c r="D1398" s="511"/>
      <c r="E1398" s="511"/>
      <c r="F1398" s="232"/>
      <c r="G1398" s="232" t="s">
        <v>78</v>
      </c>
      <c r="H1398" s="232">
        <v>8.298157165E9</v>
      </c>
      <c r="I1398" s="509" t="s">
        <v>27799</v>
      </c>
      <c r="J1398" s="232" t="b">
        <v>0</v>
      </c>
      <c r="K1398" s="232" t="s">
        <v>22365</v>
      </c>
      <c r="L1398" s="232"/>
      <c r="M1398" s="511"/>
      <c r="N1398" s="232"/>
      <c r="O1398" s="232"/>
      <c r="P1398" s="312"/>
      <c r="Q1398" s="312"/>
      <c r="R1398" s="312"/>
      <c r="S1398" s="312"/>
      <c r="T1398" s="312"/>
      <c r="U1398" s="312"/>
    </row>
    <row r="1399">
      <c r="A1399" s="520">
        <v>44632.0</v>
      </c>
      <c r="B1399" s="232" t="s">
        <v>27800</v>
      </c>
      <c r="C1399" s="509" t="s">
        <v>27801</v>
      </c>
      <c r="D1399" s="511"/>
      <c r="E1399" s="511"/>
      <c r="F1399" s="232" t="s">
        <v>27802</v>
      </c>
      <c r="G1399" s="232" t="s">
        <v>27803</v>
      </c>
      <c r="H1399" s="232">
        <v>8.863093521E9</v>
      </c>
      <c r="I1399" s="509" t="s">
        <v>27804</v>
      </c>
      <c r="J1399" s="232" t="b">
        <v>0</v>
      </c>
      <c r="K1399" s="232" t="s">
        <v>22355</v>
      </c>
      <c r="L1399" s="232"/>
      <c r="M1399" s="511"/>
      <c r="N1399" s="232"/>
      <c r="O1399" s="232"/>
      <c r="P1399" s="312"/>
      <c r="Q1399" s="312"/>
      <c r="R1399" s="312"/>
      <c r="S1399" s="312"/>
      <c r="T1399" s="312"/>
      <c r="U1399" s="312"/>
    </row>
    <row r="1400">
      <c r="A1400" s="520">
        <v>44632.0</v>
      </c>
      <c r="B1400" s="232" t="s">
        <v>27805</v>
      </c>
      <c r="C1400" s="509" t="s">
        <v>27806</v>
      </c>
      <c r="D1400" s="511"/>
      <c r="E1400" s="511"/>
      <c r="F1400" s="232" t="s">
        <v>27807</v>
      </c>
      <c r="G1400" s="232" t="s">
        <v>1227</v>
      </c>
      <c r="H1400" s="232">
        <v>9.932415093E9</v>
      </c>
      <c r="I1400" s="509" t="s">
        <v>27808</v>
      </c>
      <c r="J1400" s="232" t="b">
        <v>0</v>
      </c>
      <c r="K1400" s="232" t="s">
        <v>22365</v>
      </c>
      <c r="L1400" s="232" t="s">
        <v>27809</v>
      </c>
      <c r="M1400" s="511"/>
      <c r="N1400" s="232"/>
      <c r="O1400" s="232"/>
      <c r="P1400" s="312"/>
      <c r="Q1400" s="312"/>
      <c r="R1400" s="312"/>
      <c r="S1400" s="312"/>
      <c r="T1400" s="312"/>
      <c r="U1400" s="312"/>
    </row>
    <row r="1401">
      <c r="A1401" s="520">
        <v>44604.0</v>
      </c>
      <c r="B1401" s="232" t="s">
        <v>27810</v>
      </c>
      <c r="C1401" s="509" t="s">
        <v>27811</v>
      </c>
      <c r="D1401" s="511"/>
      <c r="E1401" s="511"/>
      <c r="F1401" s="232" t="s">
        <v>27812</v>
      </c>
      <c r="G1401" s="232" t="s">
        <v>44</v>
      </c>
      <c r="H1401" s="232">
        <v>9.331028522E9</v>
      </c>
      <c r="I1401" s="509" t="s">
        <v>22727</v>
      </c>
      <c r="J1401" s="232" t="b">
        <v>0</v>
      </c>
      <c r="K1401" s="232" t="s">
        <v>22365</v>
      </c>
      <c r="L1401" s="232" t="s">
        <v>27813</v>
      </c>
      <c r="M1401" s="511"/>
      <c r="N1401" s="232"/>
      <c r="O1401" s="232"/>
      <c r="P1401" s="312"/>
      <c r="Q1401" s="312"/>
      <c r="R1401" s="312"/>
      <c r="S1401" s="312"/>
      <c r="T1401" s="312"/>
      <c r="U1401" s="312"/>
    </row>
    <row r="1402">
      <c r="A1402" s="520">
        <v>44604.0</v>
      </c>
      <c r="B1402" s="232" t="s">
        <v>27814</v>
      </c>
      <c r="C1402" s="509" t="s">
        <v>27815</v>
      </c>
      <c r="D1402" s="510" t="s">
        <v>27816</v>
      </c>
      <c r="E1402" s="511"/>
      <c r="F1402" s="232" t="s">
        <v>27817</v>
      </c>
      <c r="G1402" s="232" t="s">
        <v>27818</v>
      </c>
      <c r="H1402" s="232">
        <v>-8.945803954E9</v>
      </c>
      <c r="I1402" s="509" t="s">
        <v>22373</v>
      </c>
      <c r="J1402" s="232" t="b">
        <v>0</v>
      </c>
      <c r="K1402" s="232"/>
      <c r="L1402" s="232"/>
      <c r="M1402" s="511"/>
      <c r="N1402" s="232"/>
      <c r="O1402" s="232"/>
      <c r="P1402" s="312"/>
      <c r="Q1402" s="312"/>
      <c r="R1402" s="312"/>
      <c r="S1402" s="312"/>
      <c r="T1402" s="312"/>
      <c r="U1402" s="312"/>
    </row>
    <row r="1403">
      <c r="A1403" s="520">
        <v>44604.0</v>
      </c>
      <c r="B1403" s="232" t="s">
        <v>27819</v>
      </c>
      <c r="C1403" s="509" t="s">
        <v>27820</v>
      </c>
      <c r="D1403" s="511"/>
      <c r="E1403" s="511"/>
      <c r="F1403" s="232"/>
      <c r="G1403" s="232" t="s">
        <v>27821</v>
      </c>
      <c r="H1403" s="232">
        <v>9.725009457E9</v>
      </c>
      <c r="I1403" s="509" t="s">
        <v>22672</v>
      </c>
      <c r="J1403" s="232" t="b">
        <v>0</v>
      </c>
      <c r="K1403" s="232" t="s">
        <v>22365</v>
      </c>
      <c r="L1403" s="232"/>
      <c r="M1403" s="511"/>
      <c r="N1403" s="232"/>
      <c r="O1403" s="232"/>
      <c r="P1403" s="312"/>
      <c r="Q1403" s="312"/>
      <c r="R1403" s="312"/>
      <c r="S1403" s="312"/>
      <c r="T1403" s="312"/>
      <c r="U1403" s="312"/>
    </row>
    <row r="1404">
      <c r="A1404" s="520">
        <v>44604.0</v>
      </c>
      <c r="B1404" s="232" t="s">
        <v>27822</v>
      </c>
      <c r="C1404" s="509" t="s">
        <v>27823</v>
      </c>
      <c r="D1404" s="511"/>
      <c r="E1404" s="511"/>
      <c r="F1404" s="232"/>
      <c r="G1404" s="232" t="s">
        <v>44</v>
      </c>
      <c r="H1404" s="232">
        <v>7.85680622E9</v>
      </c>
      <c r="I1404" s="509" t="s">
        <v>27824</v>
      </c>
      <c r="J1404" s="232" t="b">
        <v>0</v>
      </c>
      <c r="K1404" s="232" t="s">
        <v>22365</v>
      </c>
      <c r="L1404" s="232" t="s">
        <v>23537</v>
      </c>
      <c r="M1404" s="511"/>
      <c r="N1404" s="232"/>
      <c r="O1404" s="232"/>
      <c r="P1404" s="312"/>
      <c r="Q1404" s="312"/>
      <c r="R1404" s="312"/>
      <c r="S1404" s="312"/>
      <c r="T1404" s="312"/>
      <c r="U1404" s="312"/>
    </row>
    <row r="1405">
      <c r="A1405" s="520">
        <v>44604.0</v>
      </c>
      <c r="B1405" s="232" t="s">
        <v>27825</v>
      </c>
      <c r="C1405" s="509" t="s">
        <v>27826</v>
      </c>
      <c r="D1405" s="511"/>
      <c r="E1405" s="511"/>
      <c r="F1405" s="232" t="s">
        <v>27827</v>
      </c>
      <c r="G1405" s="232" t="s">
        <v>23593</v>
      </c>
      <c r="H1405" s="232">
        <v>-9.873745021E9</v>
      </c>
      <c r="I1405" s="509" t="s">
        <v>22373</v>
      </c>
      <c r="J1405" s="232" t="b">
        <v>0</v>
      </c>
      <c r="K1405" s="232" t="s">
        <v>22365</v>
      </c>
      <c r="L1405" s="232" t="s">
        <v>23537</v>
      </c>
      <c r="M1405" s="511"/>
      <c r="N1405" s="232"/>
      <c r="O1405" s="232"/>
      <c r="P1405" s="312"/>
      <c r="Q1405" s="312"/>
      <c r="R1405" s="312"/>
      <c r="S1405" s="312"/>
      <c r="T1405" s="312"/>
      <c r="U1405" s="312"/>
    </row>
    <row r="1406">
      <c r="A1406" s="520">
        <v>44604.0</v>
      </c>
      <c r="B1406" s="232" t="s">
        <v>27828</v>
      </c>
      <c r="C1406" s="509" t="s">
        <v>27829</v>
      </c>
      <c r="D1406" s="510" t="s">
        <v>27830</v>
      </c>
      <c r="E1406" s="511"/>
      <c r="F1406" s="232" t="s">
        <v>27831</v>
      </c>
      <c r="G1406" s="232" t="s">
        <v>26216</v>
      </c>
      <c r="H1406" s="232">
        <v>7.683955103E9</v>
      </c>
      <c r="I1406" s="509" t="s">
        <v>27832</v>
      </c>
      <c r="J1406" s="232" t="b">
        <v>0</v>
      </c>
      <c r="K1406" s="232"/>
      <c r="L1406" s="232"/>
      <c r="M1406" s="511"/>
      <c r="N1406" s="232"/>
      <c r="O1406" s="232"/>
      <c r="P1406" s="312"/>
      <c r="Q1406" s="312"/>
      <c r="R1406" s="312"/>
      <c r="S1406" s="312"/>
      <c r="T1406" s="312"/>
      <c r="U1406" s="312"/>
    </row>
    <row r="1407">
      <c r="A1407" s="520">
        <v>44604.0</v>
      </c>
      <c r="B1407" s="232" t="s">
        <v>27833</v>
      </c>
      <c r="C1407" s="509" t="s">
        <v>27834</v>
      </c>
      <c r="D1407" s="511"/>
      <c r="E1407" s="511"/>
      <c r="F1407" s="232" t="s">
        <v>27835</v>
      </c>
      <c r="G1407" s="232" t="s">
        <v>27836</v>
      </c>
      <c r="H1407" s="232">
        <v>9.659925145E9</v>
      </c>
      <c r="I1407" s="509" t="s">
        <v>24796</v>
      </c>
      <c r="J1407" s="232" t="b">
        <v>0</v>
      </c>
      <c r="K1407" s="232"/>
      <c r="L1407" s="232"/>
      <c r="M1407" s="511"/>
      <c r="N1407" s="232"/>
      <c r="O1407" s="232"/>
      <c r="P1407" s="312"/>
      <c r="Q1407" s="312"/>
      <c r="R1407" s="312"/>
      <c r="S1407" s="312"/>
      <c r="T1407" s="312"/>
      <c r="U1407" s="312"/>
    </row>
    <row r="1408">
      <c r="A1408" s="521">
        <v>44604.0</v>
      </c>
      <c r="B1408" s="514" t="s">
        <v>27837</v>
      </c>
      <c r="C1408" s="515" t="s">
        <v>27838</v>
      </c>
      <c r="D1408" s="517"/>
      <c r="E1408" s="517"/>
      <c r="F1408" s="514" t="s">
        <v>8346</v>
      </c>
      <c r="G1408" s="514" t="s">
        <v>44</v>
      </c>
      <c r="H1408" s="514">
        <v>6.291675303E9</v>
      </c>
      <c r="I1408" s="515" t="s">
        <v>27839</v>
      </c>
      <c r="J1408" s="514" t="b">
        <v>0</v>
      </c>
      <c r="K1408" s="514" t="s">
        <v>22312</v>
      </c>
      <c r="L1408" s="514" t="s">
        <v>27840</v>
      </c>
      <c r="M1408" s="511"/>
      <c r="N1408" s="232"/>
      <c r="O1408" s="232"/>
      <c r="P1408" s="312"/>
      <c r="Q1408" s="312"/>
      <c r="R1408" s="312"/>
      <c r="S1408" s="312"/>
      <c r="T1408" s="312"/>
      <c r="U1408" s="312"/>
    </row>
    <row r="1409">
      <c r="A1409" s="520">
        <v>44604.0</v>
      </c>
      <c r="B1409" s="232" t="s">
        <v>27841</v>
      </c>
      <c r="C1409" s="515" t="s">
        <v>27842</v>
      </c>
      <c r="D1409" s="517"/>
      <c r="E1409" s="517"/>
      <c r="F1409" s="514" t="s">
        <v>27843</v>
      </c>
      <c r="G1409" s="514" t="s">
        <v>44</v>
      </c>
      <c r="H1409" s="514">
        <v>9.3661125E9</v>
      </c>
      <c r="I1409" s="515" t="s">
        <v>22332</v>
      </c>
      <c r="J1409" s="514" t="b">
        <v>0</v>
      </c>
      <c r="K1409" s="514" t="s">
        <v>22312</v>
      </c>
      <c r="L1409" s="514" t="s">
        <v>27844</v>
      </c>
      <c r="M1409" s="511"/>
      <c r="N1409" s="232"/>
      <c r="O1409" s="232"/>
      <c r="P1409" s="312"/>
      <c r="Q1409" s="312"/>
      <c r="R1409" s="312"/>
      <c r="S1409" s="312"/>
      <c r="T1409" s="312"/>
      <c r="U1409" s="312"/>
    </row>
    <row r="1410">
      <c r="A1410" s="520">
        <v>44573.0</v>
      </c>
      <c r="B1410" s="232" t="s">
        <v>27841</v>
      </c>
      <c r="C1410" s="509" t="s">
        <v>27845</v>
      </c>
      <c r="D1410" s="511"/>
      <c r="E1410" s="511"/>
      <c r="F1410" s="232"/>
      <c r="G1410" s="232" t="s">
        <v>27846</v>
      </c>
      <c r="H1410" s="232">
        <v>9.999840692E9</v>
      </c>
      <c r="I1410" s="509" t="s">
        <v>27424</v>
      </c>
      <c r="J1410" s="232" t="b">
        <v>0</v>
      </c>
      <c r="K1410" s="232"/>
      <c r="L1410" s="232"/>
      <c r="M1410" s="511"/>
      <c r="N1410" s="232"/>
      <c r="O1410" s="232"/>
      <c r="P1410" s="312"/>
      <c r="Q1410" s="312"/>
      <c r="R1410" s="312"/>
      <c r="S1410" s="312"/>
      <c r="T1410" s="312"/>
      <c r="U1410" s="312"/>
    </row>
    <row r="1411">
      <c r="A1411" s="520">
        <v>44573.0</v>
      </c>
      <c r="B1411" s="232" t="s">
        <v>27847</v>
      </c>
      <c r="C1411" s="509" t="s">
        <v>27848</v>
      </c>
      <c r="D1411" s="510" t="s">
        <v>27849</v>
      </c>
      <c r="E1411" s="511"/>
      <c r="F1411" s="232" t="s">
        <v>27850</v>
      </c>
      <c r="G1411" s="232" t="s">
        <v>467</v>
      </c>
      <c r="H1411" s="232">
        <v>8.859303502E9</v>
      </c>
      <c r="I1411" s="509" t="s">
        <v>23546</v>
      </c>
      <c r="J1411" s="232" t="b">
        <v>0</v>
      </c>
      <c r="K1411" s="232"/>
      <c r="L1411" s="232"/>
      <c r="M1411" s="511"/>
      <c r="N1411" s="232"/>
      <c r="O1411" s="232"/>
      <c r="P1411" s="312"/>
      <c r="Q1411" s="312"/>
      <c r="R1411" s="312"/>
      <c r="S1411" s="312"/>
      <c r="T1411" s="312"/>
      <c r="U1411" s="312"/>
    </row>
    <row r="1412">
      <c r="A1412" s="520">
        <v>44573.0</v>
      </c>
      <c r="B1412" s="232" t="s">
        <v>27851</v>
      </c>
      <c r="C1412" s="509" t="s">
        <v>27852</v>
      </c>
      <c r="D1412" s="511"/>
      <c r="E1412" s="511"/>
      <c r="F1412" s="232"/>
      <c r="G1412" s="232" t="s">
        <v>99</v>
      </c>
      <c r="H1412" s="232">
        <v>-8.328865423E9</v>
      </c>
      <c r="I1412" s="509" t="s">
        <v>26083</v>
      </c>
      <c r="J1412" s="232" t="b">
        <v>0</v>
      </c>
      <c r="K1412" s="232" t="s">
        <v>22349</v>
      </c>
      <c r="L1412" s="232" t="s">
        <v>27853</v>
      </c>
      <c r="M1412" s="511"/>
      <c r="N1412" s="232"/>
      <c r="O1412" s="232"/>
      <c r="P1412" s="312"/>
      <c r="Q1412" s="312"/>
      <c r="R1412" s="312"/>
      <c r="S1412" s="312"/>
      <c r="T1412" s="312"/>
      <c r="U1412" s="312"/>
    </row>
    <row r="1413">
      <c r="A1413" s="520">
        <v>44573.0</v>
      </c>
      <c r="B1413" s="232" t="s">
        <v>27854</v>
      </c>
      <c r="C1413" s="509" t="s">
        <v>27855</v>
      </c>
      <c r="D1413" s="511"/>
      <c r="E1413" s="511"/>
      <c r="F1413" s="232" t="s">
        <v>825</v>
      </c>
      <c r="G1413" s="232" t="s">
        <v>44</v>
      </c>
      <c r="H1413" s="232">
        <v>9.007096055E9</v>
      </c>
      <c r="I1413" s="509" t="s">
        <v>27856</v>
      </c>
      <c r="J1413" s="232" t="b">
        <v>0</v>
      </c>
      <c r="K1413" s="232"/>
      <c r="L1413" s="232"/>
      <c r="M1413" s="511"/>
      <c r="N1413" s="232"/>
      <c r="O1413" s="232"/>
      <c r="P1413" s="312"/>
      <c r="Q1413" s="312"/>
      <c r="R1413" s="312"/>
      <c r="S1413" s="312"/>
      <c r="T1413" s="312"/>
      <c r="U1413" s="312"/>
    </row>
    <row r="1414">
      <c r="A1414" s="520">
        <v>44573.0</v>
      </c>
      <c r="B1414" s="232" t="s">
        <v>27857</v>
      </c>
      <c r="C1414" s="509" t="s">
        <v>27858</v>
      </c>
      <c r="D1414" s="511"/>
      <c r="E1414" s="511"/>
      <c r="F1414" s="232" t="s">
        <v>27859</v>
      </c>
      <c r="G1414" s="232" t="s">
        <v>472</v>
      </c>
      <c r="H1414" s="232">
        <v>7.477471776E9</v>
      </c>
      <c r="I1414" s="509" t="s">
        <v>27860</v>
      </c>
      <c r="J1414" s="232" t="b">
        <v>0</v>
      </c>
      <c r="K1414" s="232" t="s">
        <v>22355</v>
      </c>
      <c r="L1414" s="232"/>
      <c r="M1414" s="511"/>
      <c r="N1414" s="232"/>
      <c r="O1414" s="232"/>
      <c r="P1414" s="312"/>
      <c r="Q1414" s="312"/>
      <c r="R1414" s="312"/>
      <c r="S1414" s="312"/>
      <c r="T1414" s="312"/>
      <c r="U1414" s="312"/>
    </row>
    <row r="1415">
      <c r="A1415" s="508" t="s">
        <v>27861</v>
      </c>
      <c r="B1415" s="232" t="s">
        <v>27862</v>
      </c>
      <c r="C1415" s="509" t="s">
        <v>27863</v>
      </c>
      <c r="D1415" s="511"/>
      <c r="E1415" s="511"/>
      <c r="F1415" s="232"/>
      <c r="G1415" s="232" t="s">
        <v>22479</v>
      </c>
      <c r="H1415" s="232">
        <v>-7.217419694E9</v>
      </c>
      <c r="I1415" s="509" t="s">
        <v>27864</v>
      </c>
      <c r="J1415" s="232" t="b">
        <v>0</v>
      </c>
      <c r="K1415" s="232" t="s">
        <v>22365</v>
      </c>
      <c r="L1415" s="232"/>
      <c r="M1415" s="511"/>
      <c r="N1415" s="232"/>
      <c r="O1415" s="232"/>
      <c r="P1415" s="312"/>
      <c r="Q1415" s="312"/>
      <c r="R1415" s="312"/>
      <c r="S1415" s="312"/>
      <c r="T1415" s="312"/>
      <c r="U1415" s="312"/>
    </row>
    <row r="1416">
      <c r="A1416" s="508" t="s">
        <v>27861</v>
      </c>
      <c r="B1416" s="232" t="s">
        <v>27865</v>
      </c>
      <c r="C1416" s="509" t="s">
        <v>4438</v>
      </c>
      <c r="D1416" s="510" t="s">
        <v>27866</v>
      </c>
      <c r="E1416" s="511"/>
      <c r="F1416" s="232"/>
      <c r="G1416" s="232" t="s">
        <v>158</v>
      </c>
      <c r="H1416" s="232">
        <v>7.699186045E9</v>
      </c>
      <c r="I1416" s="509" t="s">
        <v>9648</v>
      </c>
      <c r="J1416" s="232" t="b">
        <v>0</v>
      </c>
      <c r="K1416" s="232" t="s">
        <v>22365</v>
      </c>
      <c r="L1416" s="232" t="s">
        <v>26084</v>
      </c>
      <c r="M1416" s="511"/>
      <c r="N1416" s="232"/>
      <c r="O1416" s="232"/>
      <c r="P1416" s="312"/>
      <c r="Q1416" s="312"/>
      <c r="R1416" s="312"/>
      <c r="S1416" s="312"/>
      <c r="T1416" s="312"/>
      <c r="U1416" s="312"/>
    </row>
    <row r="1417">
      <c r="A1417" s="508" t="s">
        <v>27861</v>
      </c>
      <c r="B1417" s="232" t="s">
        <v>27867</v>
      </c>
      <c r="C1417" s="509" t="s">
        <v>27868</v>
      </c>
      <c r="D1417" s="511"/>
      <c r="E1417" s="511"/>
      <c r="F1417" s="232" t="s">
        <v>27869</v>
      </c>
      <c r="G1417" s="232" t="s">
        <v>27870</v>
      </c>
      <c r="H1417" s="232">
        <v>6.297976818E9</v>
      </c>
      <c r="I1417" s="509" t="s">
        <v>22727</v>
      </c>
      <c r="J1417" s="232" t="b">
        <v>0</v>
      </c>
      <c r="K1417" s="232" t="s">
        <v>22355</v>
      </c>
      <c r="L1417" s="232"/>
      <c r="M1417" s="511"/>
      <c r="N1417" s="232"/>
      <c r="O1417" s="232"/>
      <c r="P1417" s="312"/>
      <c r="Q1417" s="312"/>
      <c r="R1417" s="312"/>
      <c r="S1417" s="312"/>
      <c r="T1417" s="312"/>
      <c r="U1417" s="312"/>
    </row>
    <row r="1418">
      <c r="A1418" s="508" t="s">
        <v>27861</v>
      </c>
      <c r="B1418" s="232" t="s">
        <v>27871</v>
      </c>
      <c r="C1418" s="509" t="s">
        <v>27872</v>
      </c>
      <c r="D1418" s="511"/>
      <c r="E1418" s="511"/>
      <c r="F1418" s="232" t="s">
        <v>27873</v>
      </c>
      <c r="G1418" s="232" t="s">
        <v>1090</v>
      </c>
      <c r="H1418" s="232">
        <v>9.473646079E9</v>
      </c>
      <c r="I1418" s="509" t="s">
        <v>27874</v>
      </c>
      <c r="J1418" s="232" t="b">
        <v>0</v>
      </c>
      <c r="K1418" s="232" t="s">
        <v>12092</v>
      </c>
      <c r="M1418" s="511"/>
      <c r="N1418" s="232"/>
      <c r="O1418" s="232"/>
      <c r="P1418" s="312"/>
      <c r="Q1418" s="312"/>
      <c r="R1418" s="312"/>
      <c r="S1418" s="312"/>
      <c r="T1418" s="312"/>
      <c r="U1418" s="312"/>
    </row>
    <row r="1419">
      <c r="A1419" s="508" t="s">
        <v>27861</v>
      </c>
      <c r="B1419" s="232" t="s">
        <v>27875</v>
      </c>
      <c r="C1419" s="509" t="s">
        <v>27876</v>
      </c>
      <c r="D1419" s="511"/>
      <c r="E1419" s="511"/>
      <c r="F1419" s="232"/>
      <c r="G1419" s="232" t="s">
        <v>25903</v>
      </c>
      <c r="H1419" s="232">
        <v>8.298157165E9</v>
      </c>
      <c r="I1419" s="509" t="s">
        <v>27799</v>
      </c>
      <c r="J1419" s="232" t="b">
        <v>0</v>
      </c>
      <c r="K1419" s="232" t="s">
        <v>22365</v>
      </c>
      <c r="L1419" s="232"/>
      <c r="M1419" s="511"/>
      <c r="N1419" s="232"/>
      <c r="O1419" s="232"/>
      <c r="P1419" s="312"/>
      <c r="Q1419" s="312"/>
      <c r="R1419" s="312"/>
      <c r="S1419" s="312"/>
      <c r="T1419" s="312"/>
      <c r="U1419" s="312"/>
    </row>
    <row r="1420">
      <c r="A1420" s="508" t="s">
        <v>27861</v>
      </c>
      <c r="B1420" s="232" t="s">
        <v>27877</v>
      </c>
      <c r="C1420" s="509" t="s">
        <v>19075</v>
      </c>
      <c r="D1420" s="511"/>
      <c r="E1420" s="511"/>
      <c r="F1420" s="232" t="s">
        <v>27878</v>
      </c>
      <c r="G1420" s="232" t="s">
        <v>44</v>
      </c>
      <c r="H1420" s="232">
        <v>7.003306907E9</v>
      </c>
      <c r="I1420" s="509" t="s">
        <v>27879</v>
      </c>
      <c r="J1420" s="232" t="b">
        <v>0</v>
      </c>
      <c r="K1420" s="232" t="s">
        <v>22365</v>
      </c>
      <c r="L1420" s="232" t="s">
        <v>23537</v>
      </c>
      <c r="M1420" s="511"/>
      <c r="N1420" s="232"/>
      <c r="O1420" s="232"/>
      <c r="P1420" s="312"/>
      <c r="Q1420" s="312"/>
      <c r="R1420" s="312"/>
      <c r="S1420" s="312"/>
      <c r="T1420" s="312"/>
      <c r="U1420" s="312"/>
    </row>
    <row r="1421">
      <c r="A1421" s="508" t="s">
        <v>27861</v>
      </c>
      <c r="B1421" s="232" t="s">
        <v>27880</v>
      </c>
      <c r="C1421" s="509" t="s">
        <v>27881</v>
      </c>
      <c r="D1421" s="511"/>
      <c r="E1421" s="511"/>
      <c r="F1421" s="232" t="s">
        <v>27882</v>
      </c>
      <c r="G1421" s="232" t="s">
        <v>27883</v>
      </c>
      <c r="H1421" s="232">
        <v>9.820282294E9</v>
      </c>
      <c r="I1421" s="509" t="s">
        <v>27884</v>
      </c>
      <c r="J1421" s="232" t="b">
        <v>0</v>
      </c>
      <c r="K1421" s="232" t="s">
        <v>22365</v>
      </c>
      <c r="L1421" s="232" t="s">
        <v>27069</v>
      </c>
      <c r="M1421" s="511"/>
      <c r="N1421" s="232"/>
      <c r="O1421" s="232"/>
      <c r="P1421" s="312"/>
      <c r="Q1421" s="312"/>
      <c r="R1421" s="312"/>
      <c r="S1421" s="312"/>
      <c r="T1421" s="312"/>
      <c r="U1421" s="312"/>
    </row>
    <row r="1422">
      <c r="A1422" s="508" t="s">
        <v>27885</v>
      </c>
      <c r="B1422" s="232" t="s">
        <v>27886</v>
      </c>
      <c r="C1422" s="509" t="s">
        <v>27887</v>
      </c>
      <c r="D1422" s="511"/>
      <c r="E1422" s="511"/>
      <c r="F1422" s="232"/>
      <c r="G1422" s="232"/>
      <c r="H1422" s="232">
        <v>9.875675205E9</v>
      </c>
      <c r="I1422" s="509" t="s">
        <v>26415</v>
      </c>
      <c r="J1422" s="232" t="b">
        <v>0</v>
      </c>
      <c r="K1422" s="232" t="s">
        <v>22365</v>
      </c>
      <c r="L1422" s="232" t="s">
        <v>23537</v>
      </c>
      <c r="M1422" s="511"/>
      <c r="N1422" s="232"/>
      <c r="O1422" s="232"/>
      <c r="P1422" s="312"/>
      <c r="Q1422" s="312"/>
      <c r="R1422" s="312"/>
      <c r="S1422" s="312"/>
      <c r="T1422" s="312"/>
      <c r="U1422" s="312"/>
    </row>
    <row r="1423">
      <c r="A1423" s="508" t="s">
        <v>27885</v>
      </c>
      <c r="B1423" s="232" t="s">
        <v>27888</v>
      </c>
      <c r="C1423" s="509" t="s">
        <v>27889</v>
      </c>
      <c r="D1423" s="511"/>
      <c r="E1423" s="511"/>
      <c r="F1423" s="232" t="s">
        <v>27890</v>
      </c>
      <c r="G1423" s="232" t="s">
        <v>26514</v>
      </c>
      <c r="H1423" s="232">
        <v>7.980474325E9</v>
      </c>
      <c r="I1423" s="509" t="s">
        <v>27891</v>
      </c>
      <c r="J1423" s="232" t="b">
        <v>0</v>
      </c>
      <c r="K1423" s="232" t="s">
        <v>12092</v>
      </c>
      <c r="L1423" s="232"/>
      <c r="M1423" s="511"/>
      <c r="N1423" s="232"/>
      <c r="O1423" s="232"/>
      <c r="P1423" s="312"/>
      <c r="Q1423" s="312"/>
      <c r="R1423" s="312"/>
      <c r="S1423" s="312"/>
      <c r="T1423" s="312"/>
      <c r="U1423" s="312"/>
    </row>
    <row r="1424" ht="21.75" customHeight="1">
      <c r="A1424" s="508" t="s">
        <v>27885</v>
      </c>
      <c r="B1424" s="232" t="s">
        <v>27892</v>
      </c>
      <c r="C1424" s="509" t="s">
        <v>17681</v>
      </c>
      <c r="D1424" s="511"/>
      <c r="E1424" s="511"/>
      <c r="F1424" s="232" t="s">
        <v>27893</v>
      </c>
      <c r="G1424" s="232" t="s">
        <v>107</v>
      </c>
      <c r="H1424" s="232">
        <v>9.958549866E9</v>
      </c>
      <c r="I1424" s="509" t="s">
        <v>27894</v>
      </c>
      <c r="J1424" s="232" t="b">
        <v>0</v>
      </c>
      <c r="K1424" s="232" t="s">
        <v>22355</v>
      </c>
      <c r="L1424" s="232"/>
      <c r="M1424" s="511"/>
      <c r="N1424" s="232"/>
      <c r="O1424" s="232"/>
      <c r="P1424" s="312"/>
      <c r="Q1424" s="312"/>
      <c r="R1424" s="312"/>
      <c r="S1424" s="312"/>
      <c r="T1424" s="312"/>
      <c r="U1424" s="312"/>
    </row>
    <row r="1425">
      <c r="A1425" s="508" t="s">
        <v>27885</v>
      </c>
      <c r="B1425" s="232" t="s">
        <v>27895</v>
      </c>
      <c r="C1425" s="509" t="s">
        <v>27896</v>
      </c>
      <c r="D1425" s="511"/>
      <c r="E1425" s="511"/>
      <c r="F1425" s="232" t="s">
        <v>27897</v>
      </c>
      <c r="G1425" s="232" t="s">
        <v>44</v>
      </c>
      <c r="H1425" s="232">
        <v>9.08822469E9</v>
      </c>
      <c r="I1425" s="509" t="s">
        <v>27898</v>
      </c>
      <c r="J1425" s="232" t="b">
        <v>0</v>
      </c>
      <c r="K1425" s="232" t="s">
        <v>22365</v>
      </c>
      <c r="L1425" s="232" t="s">
        <v>27899</v>
      </c>
      <c r="M1425" s="511"/>
      <c r="N1425" s="232"/>
      <c r="O1425" s="232"/>
      <c r="P1425" s="312"/>
      <c r="Q1425" s="312"/>
      <c r="R1425" s="312"/>
      <c r="S1425" s="312"/>
      <c r="T1425" s="312"/>
      <c r="U1425" s="312"/>
    </row>
    <row r="1426">
      <c r="A1426" s="508" t="s">
        <v>27885</v>
      </c>
      <c r="B1426" s="232" t="s">
        <v>27900</v>
      </c>
      <c r="C1426" s="509" t="s">
        <v>27901</v>
      </c>
      <c r="D1426" s="511"/>
      <c r="E1426" s="511"/>
      <c r="F1426" s="232" t="s">
        <v>27902</v>
      </c>
      <c r="G1426" s="232" t="s">
        <v>638</v>
      </c>
      <c r="H1426" s="232">
        <v>9.614140804E9</v>
      </c>
      <c r="I1426" s="509" t="s">
        <v>22373</v>
      </c>
      <c r="J1426" s="232" t="b">
        <v>0</v>
      </c>
      <c r="K1426" s="232"/>
      <c r="L1426" s="232"/>
      <c r="M1426" s="511"/>
      <c r="N1426" s="232"/>
      <c r="O1426" s="232"/>
      <c r="P1426" s="312"/>
      <c r="Q1426" s="312"/>
      <c r="R1426" s="312"/>
      <c r="S1426" s="312"/>
      <c r="T1426" s="312"/>
      <c r="U1426" s="312"/>
    </row>
    <row r="1427">
      <c r="A1427" s="508" t="s">
        <v>27903</v>
      </c>
      <c r="B1427" s="232" t="s">
        <v>27904</v>
      </c>
      <c r="C1427" s="509" t="s">
        <v>27240</v>
      </c>
      <c r="D1427" s="511"/>
      <c r="E1427" s="511"/>
      <c r="F1427" s="232" t="s">
        <v>27241</v>
      </c>
      <c r="G1427" s="232" t="s">
        <v>981</v>
      </c>
      <c r="H1427" s="232">
        <v>9.800797378E9</v>
      </c>
      <c r="I1427" s="509" t="s">
        <v>27905</v>
      </c>
      <c r="J1427" s="232" t="b">
        <v>0</v>
      </c>
      <c r="K1427" s="232" t="s">
        <v>22365</v>
      </c>
      <c r="L1427" s="232" t="s">
        <v>24488</v>
      </c>
      <c r="M1427" s="511"/>
      <c r="N1427" s="232"/>
      <c r="O1427" s="232"/>
      <c r="P1427" s="312"/>
      <c r="Q1427" s="312"/>
      <c r="R1427" s="312"/>
      <c r="S1427" s="312"/>
      <c r="T1427" s="312"/>
      <c r="U1427" s="312"/>
    </row>
    <row r="1428">
      <c r="A1428" s="508" t="s">
        <v>27903</v>
      </c>
      <c r="B1428" s="232" t="s">
        <v>27906</v>
      </c>
      <c r="C1428" s="509" t="s">
        <v>27907</v>
      </c>
      <c r="D1428" s="511"/>
      <c r="E1428" s="511"/>
      <c r="F1428" s="232" t="s">
        <v>27908</v>
      </c>
      <c r="G1428" s="232" t="s">
        <v>107</v>
      </c>
      <c r="H1428" s="232">
        <v>9.525192279E9</v>
      </c>
      <c r="I1428" s="509" t="s">
        <v>22289</v>
      </c>
      <c r="J1428" s="232" t="b">
        <v>0</v>
      </c>
      <c r="K1428" s="232" t="s">
        <v>22355</v>
      </c>
      <c r="L1428" s="232"/>
      <c r="M1428" s="511"/>
      <c r="N1428" s="232"/>
      <c r="O1428" s="232"/>
      <c r="P1428" s="312"/>
      <c r="Q1428" s="312"/>
      <c r="R1428" s="312"/>
      <c r="S1428" s="312"/>
      <c r="T1428" s="312"/>
      <c r="U1428" s="312"/>
    </row>
    <row r="1429">
      <c r="A1429" s="508" t="s">
        <v>27903</v>
      </c>
      <c r="B1429" s="232" t="s">
        <v>27909</v>
      </c>
      <c r="C1429" s="509" t="s">
        <v>3961</v>
      </c>
      <c r="D1429" s="511"/>
      <c r="E1429" s="511"/>
      <c r="F1429" s="232" t="s">
        <v>27910</v>
      </c>
      <c r="G1429" s="232" t="s">
        <v>99</v>
      </c>
      <c r="H1429" s="232">
        <v>7.008114367E9</v>
      </c>
      <c r="I1429" s="509" t="s">
        <v>25417</v>
      </c>
      <c r="J1429" s="232" t="b">
        <v>0</v>
      </c>
      <c r="K1429" s="232" t="s">
        <v>22355</v>
      </c>
      <c r="L1429" s="232"/>
      <c r="M1429" s="511"/>
      <c r="N1429" s="232"/>
      <c r="O1429" s="232"/>
      <c r="P1429" s="312"/>
      <c r="Q1429" s="312"/>
      <c r="R1429" s="312"/>
      <c r="S1429" s="312"/>
      <c r="T1429" s="312"/>
      <c r="U1429" s="312"/>
    </row>
    <row r="1430">
      <c r="A1430" s="508" t="s">
        <v>27903</v>
      </c>
      <c r="B1430" s="232" t="s">
        <v>27911</v>
      </c>
      <c r="C1430" s="509" t="s">
        <v>27912</v>
      </c>
      <c r="D1430" s="511"/>
      <c r="E1430" s="511"/>
      <c r="F1430" s="232"/>
      <c r="G1430" s="232" t="s">
        <v>24046</v>
      </c>
      <c r="H1430" s="232">
        <v>9.908899143E9</v>
      </c>
      <c r="I1430" s="509" t="s">
        <v>25637</v>
      </c>
      <c r="J1430" s="232" t="b">
        <v>0</v>
      </c>
      <c r="K1430" s="232"/>
      <c r="L1430" s="232"/>
      <c r="M1430" s="511"/>
      <c r="N1430" s="232"/>
      <c r="O1430" s="232"/>
      <c r="P1430" s="312"/>
      <c r="Q1430" s="312"/>
      <c r="R1430" s="312"/>
      <c r="S1430" s="312"/>
      <c r="T1430" s="312"/>
      <c r="U1430" s="312"/>
    </row>
    <row r="1431">
      <c r="A1431" s="508" t="s">
        <v>27903</v>
      </c>
      <c r="B1431" s="232" t="s">
        <v>27913</v>
      </c>
      <c r="C1431" s="509" t="s">
        <v>27914</v>
      </c>
      <c r="D1431" s="511"/>
      <c r="E1431" s="511"/>
      <c r="F1431" s="232"/>
      <c r="G1431" s="232" t="s">
        <v>1640</v>
      </c>
      <c r="H1431" s="232">
        <v>9.93250677E9</v>
      </c>
      <c r="I1431" s="509" t="s">
        <v>22278</v>
      </c>
      <c r="J1431" s="232" t="b">
        <v>0</v>
      </c>
      <c r="K1431" s="232"/>
      <c r="L1431" s="232"/>
      <c r="M1431" s="511"/>
      <c r="N1431" s="232"/>
      <c r="O1431" s="232"/>
      <c r="P1431" s="312"/>
      <c r="Q1431" s="312"/>
      <c r="R1431" s="312"/>
      <c r="S1431" s="312"/>
      <c r="T1431" s="312"/>
      <c r="U1431" s="312"/>
    </row>
    <row r="1432">
      <c r="A1432" s="508" t="s">
        <v>27903</v>
      </c>
      <c r="B1432" s="232" t="s">
        <v>27915</v>
      </c>
      <c r="C1432" s="509" t="s">
        <v>27916</v>
      </c>
      <c r="D1432" s="511"/>
      <c r="E1432" s="511"/>
      <c r="F1432" s="232" t="s">
        <v>27917</v>
      </c>
      <c r="G1432" s="232" t="s">
        <v>27918</v>
      </c>
      <c r="H1432" s="232">
        <v>7.894619357E9</v>
      </c>
      <c r="I1432" s="509" t="s">
        <v>24393</v>
      </c>
      <c r="J1432" s="232" t="b">
        <v>0</v>
      </c>
      <c r="K1432" s="232" t="s">
        <v>22365</v>
      </c>
      <c r="L1432" s="232" t="s">
        <v>24488</v>
      </c>
      <c r="M1432" s="511"/>
      <c r="N1432" s="232"/>
      <c r="O1432" s="232"/>
      <c r="P1432" s="312"/>
      <c r="Q1432" s="312"/>
      <c r="R1432" s="312"/>
      <c r="S1432" s="312"/>
      <c r="T1432" s="312"/>
      <c r="U1432" s="312"/>
    </row>
    <row r="1433">
      <c r="A1433" s="508" t="s">
        <v>27903</v>
      </c>
      <c r="B1433" s="232" t="s">
        <v>27919</v>
      </c>
      <c r="C1433" s="509" t="s">
        <v>27920</v>
      </c>
      <c r="D1433" s="511"/>
      <c r="E1433" s="511"/>
      <c r="F1433" s="232" t="s">
        <v>27921</v>
      </c>
      <c r="G1433" s="232" t="s">
        <v>26514</v>
      </c>
      <c r="H1433" s="232">
        <v>9.903389334E9</v>
      </c>
      <c r="I1433" s="509" t="s">
        <v>22278</v>
      </c>
      <c r="J1433" s="232" t="b">
        <v>0</v>
      </c>
      <c r="K1433" s="232"/>
      <c r="L1433" s="232"/>
      <c r="M1433" s="511"/>
      <c r="N1433" s="232"/>
      <c r="O1433" s="232"/>
      <c r="P1433" s="312"/>
      <c r="Q1433" s="312"/>
      <c r="R1433" s="312"/>
      <c r="S1433" s="312"/>
      <c r="T1433" s="312"/>
      <c r="U1433" s="312"/>
    </row>
    <row r="1434">
      <c r="A1434" s="508" t="s">
        <v>27903</v>
      </c>
      <c r="B1434" s="232" t="s">
        <v>27922</v>
      </c>
      <c r="C1434" s="509" t="s">
        <v>27923</v>
      </c>
      <c r="D1434" s="511"/>
      <c r="E1434" s="511"/>
      <c r="F1434" s="232"/>
      <c r="G1434" s="232" t="s">
        <v>158</v>
      </c>
      <c r="H1434" s="232">
        <v>6.291820057E9</v>
      </c>
      <c r="I1434" s="509" t="s">
        <v>22791</v>
      </c>
      <c r="J1434" s="232" t="b">
        <v>0</v>
      </c>
      <c r="K1434" s="232" t="s">
        <v>334</v>
      </c>
      <c r="L1434" s="232"/>
      <c r="M1434" s="511"/>
      <c r="N1434" s="232"/>
      <c r="O1434" s="232"/>
      <c r="P1434" s="312"/>
      <c r="Q1434" s="312"/>
      <c r="R1434" s="312"/>
      <c r="S1434" s="312"/>
      <c r="T1434" s="312"/>
      <c r="U1434" s="312"/>
    </row>
    <row r="1435">
      <c r="A1435" s="508" t="s">
        <v>27903</v>
      </c>
      <c r="B1435" s="232" t="s">
        <v>27924</v>
      </c>
      <c r="C1435" s="509" t="s">
        <v>27925</v>
      </c>
      <c r="D1435" s="511"/>
      <c r="E1435" s="511"/>
      <c r="F1435" s="232" t="s">
        <v>27926</v>
      </c>
      <c r="G1435" s="232" t="s">
        <v>27170</v>
      </c>
      <c r="H1435" s="232">
        <v>7.047383103E9</v>
      </c>
      <c r="I1435" s="509" t="s">
        <v>23594</v>
      </c>
      <c r="J1435" s="232" t="b">
        <v>0</v>
      </c>
      <c r="K1435" s="232"/>
      <c r="L1435" s="232"/>
      <c r="M1435" s="511"/>
      <c r="N1435" s="232"/>
      <c r="O1435" s="232"/>
      <c r="P1435" s="312"/>
      <c r="Q1435" s="312"/>
      <c r="R1435" s="312"/>
      <c r="S1435" s="312"/>
      <c r="T1435" s="312"/>
      <c r="U1435" s="312"/>
    </row>
    <row r="1436">
      <c r="A1436" s="508" t="s">
        <v>27903</v>
      </c>
      <c r="B1436" s="232" t="s">
        <v>27927</v>
      </c>
      <c r="C1436" s="509" t="s">
        <v>27928</v>
      </c>
      <c r="D1436" s="511"/>
      <c r="E1436" s="511"/>
      <c r="F1436" s="232"/>
      <c r="G1436" s="232" t="s">
        <v>27929</v>
      </c>
      <c r="H1436" s="232">
        <v>8.497810361E9</v>
      </c>
      <c r="I1436" s="509" t="s">
        <v>27930</v>
      </c>
      <c r="J1436" s="232" t="b">
        <v>0</v>
      </c>
      <c r="K1436" s="232" t="s">
        <v>22365</v>
      </c>
      <c r="L1436" s="232" t="s">
        <v>23613</v>
      </c>
      <c r="M1436" s="511"/>
      <c r="N1436" s="232"/>
      <c r="O1436" s="232"/>
      <c r="P1436" s="312"/>
      <c r="Q1436" s="312"/>
      <c r="R1436" s="312"/>
      <c r="S1436" s="312"/>
      <c r="T1436" s="312"/>
      <c r="U1436" s="312"/>
    </row>
    <row r="1437">
      <c r="A1437" s="508" t="s">
        <v>27903</v>
      </c>
      <c r="B1437" s="232" t="s">
        <v>27931</v>
      </c>
      <c r="C1437" s="509" t="s">
        <v>27932</v>
      </c>
      <c r="D1437" s="511"/>
      <c r="E1437" s="511"/>
      <c r="F1437" s="232" t="s">
        <v>27933</v>
      </c>
      <c r="G1437" s="232" t="s">
        <v>27934</v>
      </c>
      <c r="H1437" s="232">
        <v>9.351813254E9</v>
      </c>
      <c r="I1437" s="509" t="s">
        <v>25075</v>
      </c>
      <c r="J1437" s="232" t="b">
        <v>0</v>
      </c>
      <c r="K1437" s="232" t="s">
        <v>22365</v>
      </c>
      <c r="L1437" s="232" t="s">
        <v>23537</v>
      </c>
      <c r="M1437" s="511"/>
      <c r="N1437" s="232"/>
      <c r="O1437" s="232"/>
      <c r="P1437" s="312"/>
      <c r="Q1437" s="312"/>
      <c r="R1437" s="312"/>
      <c r="S1437" s="312"/>
      <c r="T1437" s="312"/>
      <c r="U1437" s="312"/>
    </row>
    <row r="1438">
      <c r="A1438" s="508" t="s">
        <v>27935</v>
      </c>
      <c r="B1438" s="232" t="s">
        <v>27936</v>
      </c>
      <c r="C1438" s="509" t="s">
        <v>25217</v>
      </c>
      <c r="D1438" s="511"/>
      <c r="E1438" s="511"/>
      <c r="F1438" s="232" t="s">
        <v>27937</v>
      </c>
      <c r="G1438" s="232" t="s">
        <v>44</v>
      </c>
      <c r="H1438" s="232">
        <v>9.732547807E9</v>
      </c>
      <c r="I1438" s="509" t="s">
        <v>27938</v>
      </c>
      <c r="J1438" s="232" t="b">
        <v>0</v>
      </c>
      <c r="K1438" s="232" t="s">
        <v>334</v>
      </c>
      <c r="L1438" s="232" t="s">
        <v>27939</v>
      </c>
      <c r="M1438" s="511"/>
      <c r="N1438" s="232"/>
      <c r="O1438" s="232"/>
      <c r="P1438" s="312"/>
      <c r="Q1438" s="312"/>
      <c r="R1438" s="312"/>
      <c r="S1438" s="312"/>
      <c r="T1438" s="312"/>
      <c r="U1438" s="312"/>
    </row>
    <row r="1439">
      <c r="A1439" s="508" t="s">
        <v>27935</v>
      </c>
      <c r="B1439" s="232" t="s">
        <v>27940</v>
      </c>
      <c r="C1439" s="509" t="s">
        <v>27941</v>
      </c>
      <c r="D1439" s="511"/>
      <c r="E1439" s="511"/>
      <c r="F1439" s="232" t="s">
        <v>27942</v>
      </c>
      <c r="G1439" s="232" t="s">
        <v>27943</v>
      </c>
      <c r="H1439" s="232">
        <v>9.231541297E9</v>
      </c>
      <c r="I1439" s="509" t="s">
        <v>27944</v>
      </c>
      <c r="J1439" s="232" t="b">
        <v>0</v>
      </c>
      <c r="K1439" s="232" t="s">
        <v>334</v>
      </c>
      <c r="L1439" s="232" t="s">
        <v>27338</v>
      </c>
      <c r="M1439" s="511"/>
      <c r="N1439" s="232"/>
      <c r="O1439" s="232"/>
      <c r="P1439" s="312"/>
      <c r="Q1439" s="312"/>
      <c r="R1439" s="312"/>
      <c r="S1439" s="312"/>
      <c r="T1439" s="312"/>
      <c r="U1439" s="312"/>
    </row>
    <row r="1440">
      <c r="A1440" s="508" t="s">
        <v>27935</v>
      </c>
      <c r="B1440" s="232" t="s">
        <v>27945</v>
      </c>
      <c r="C1440" s="509" t="s">
        <v>27946</v>
      </c>
      <c r="D1440" s="511"/>
      <c r="E1440" s="511"/>
      <c r="F1440" s="232" t="s">
        <v>27947</v>
      </c>
      <c r="G1440" s="232" t="s">
        <v>27948</v>
      </c>
      <c r="H1440" s="232">
        <v>8.013215064E9</v>
      </c>
      <c r="I1440" s="509" t="s">
        <v>27949</v>
      </c>
      <c r="J1440" s="232" t="b">
        <v>0</v>
      </c>
      <c r="K1440" s="232" t="s">
        <v>22365</v>
      </c>
      <c r="L1440" s="232" t="s">
        <v>27251</v>
      </c>
      <c r="M1440" s="511"/>
      <c r="N1440" s="232"/>
      <c r="O1440" s="232"/>
      <c r="P1440" s="312"/>
      <c r="Q1440" s="312"/>
      <c r="R1440" s="312"/>
      <c r="S1440" s="312"/>
      <c r="T1440" s="312"/>
      <c r="U1440" s="312"/>
    </row>
    <row r="1441">
      <c r="A1441" s="508" t="s">
        <v>27935</v>
      </c>
      <c r="B1441" s="232" t="s">
        <v>27950</v>
      </c>
      <c r="C1441" s="509" t="s">
        <v>27951</v>
      </c>
      <c r="D1441" s="511"/>
      <c r="E1441" s="511"/>
      <c r="F1441" s="232" t="s">
        <v>27952</v>
      </c>
      <c r="G1441" s="232" t="s">
        <v>22856</v>
      </c>
      <c r="H1441" s="232">
        <v>9.110487396E9</v>
      </c>
      <c r="I1441" s="509" t="s">
        <v>27953</v>
      </c>
      <c r="J1441" s="232" t="b">
        <v>0</v>
      </c>
      <c r="K1441" s="232" t="s">
        <v>22365</v>
      </c>
      <c r="L1441" s="232" t="s">
        <v>23537</v>
      </c>
      <c r="M1441" s="511"/>
      <c r="N1441" s="232"/>
      <c r="O1441" s="232"/>
      <c r="P1441" s="312"/>
      <c r="Q1441" s="312"/>
      <c r="R1441" s="312"/>
      <c r="S1441" s="312"/>
      <c r="T1441" s="312"/>
      <c r="U1441" s="312"/>
    </row>
    <row r="1442">
      <c r="A1442" s="508" t="s">
        <v>27935</v>
      </c>
      <c r="B1442" s="232" t="s">
        <v>27954</v>
      </c>
      <c r="C1442" s="509" t="s">
        <v>3817</v>
      </c>
      <c r="D1442" s="511"/>
      <c r="E1442" s="511"/>
      <c r="F1442" s="232"/>
      <c r="G1442" s="232" t="s">
        <v>26241</v>
      </c>
      <c r="H1442" s="232">
        <v>9.522498564E9</v>
      </c>
      <c r="I1442" s="509" t="s">
        <v>27955</v>
      </c>
      <c r="J1442" s="232" t="b">
        <v>0</v>
      </c>
      <c r="K1442" s="232" t="s">
        <v>22355</v>
      </c>
      <c r="L1442" s="232"/>
      <c r="M1442" s="511"/>
      <c r="N1442" s="232"/>
      <c r="O1442" s="232"/>
      <c r="P1442" s="312"/>
      <c r="Q1442" s="312"/>
      <c r="R1442" s="312"/>
      <c r="S1442" s="312"/>
      <c r="T1442" s="312"/>
      <c r="U1442" s="312"/>
    </row>
    <row r="1443">
      <c r="A1443" s="508" t="s">
        <v>27935</v>
      </c>
      <c r="B1443" s="232" t="s">
        <v>27956</v>
      </c>
      <c r="C1443" s="509" t="s">
        <v>27957</v>
      </c>
      <c r="D1443" s="510" t="s">
        <v>27958</v>
      </c>
      <c r="E1443" s="511"/>
      <c r="F1443" s="232" t="s">
        <v>27959</v>
      </c>
      <c r="G1443" s="232" t="s">
        <v>22630</v>
      </c>
      <c r="H1443" s="232">
        <v>8.200910032E9</v>
      </c>
      <c r="I1443" s="509" t="s">
        <v>22577</v>
      </c>
      <c r="J1443" s="232" t="b">
        <v>0</v>
      </c>
      <c r="K1443" s="232"/>
      <c r="L1443" s="232"/>
      <c r="M1443" s="511"/>
      <c r="N1443" s="232"/>
      <c r="O1443" s="232"/>
      <c r="P1443" s="312"/>
      <c r="Q1443" s="312"/>
      <c r="R1443" s="312"/>
      <c r="S1443" s="312"/>
      <c r="T1443" s="312"/>
      <c r="U1443" s="312"/>
    </row>
    <row r="1444">
      <c r="A1444" s="508" t="s">
        <v>27935</v>
      </c>
      <c r="B1444" s="232" t="s">
        <v>27960</v>
      </c>
      <c r="C1444" s="509" t="s">
        <v>25286</v>
      </c>
      <c r="D1444" s="510" t="s">
        <v>25287</v>
      </c>
      <c r="E1444" s="511"/>
      <c r="F1444" s="232" t="s">
        <v>27961</v>
      </c>
      <c r="G1444" s="232" t="s">
        <v>107</v>
      </c>
      <c r="H1444" s="232">
        <v>8.238050526E9</v>
      </c>
      <c r="I1444" s="509" t="s">
        <v>27962</v>
      </c>
      <c r="J1444" s="232" t="b">
        <v>0</v>
      </c>
      <c r="K1444" s="232" t="s">
        <v>22365</v>
      </c>
      <c r="L1444" s="232"/>
      <c r="M1444" s="511"/>
      <c r="N1444" s="232"/>
      <c r="O1444" s="232"/>
      <c r="P1444" s="312"/>
      <c r="Q1444" s="312"/>
      <c r="R1444" s="312"/>
      <c r="S1444" s="312"/>
      <c r="T1444" s="312"/>
      <c r="U1444" s="312"/>
    </row>
    <row r="1445">
      <c r="A1445" s="508" t="s">
        <v>27935</v>
      </c>
      <c r="B1445" s="232" t="s">
        <v>27963</v>
      </c>
      <c r="C1445" s="509" t="s">
        <v>27964</v>
      </c>
      <c r="D1445" s="510" t="s">
        <v>27965</v>
      </c>
      <c r="E1445" s="511"/>
      <c r="F1445" s="232" t="s">
        <v>27966</v>
      </c>
      <c r="G1445" s="232" t="s">
        <v>131</v>
      </c>
      <c r="H1445" s="232">
        <v>9.954047835E9</v>
      </c>
      <c r="I1445" s="509" t="s">
        <v>27967</v>
      </c>
      <c r="J1445" s="232" t="b">
        <v>0</v>
      </c>
      <c r="K1445" s="232" t="s">
        <v>22365</v>
      </c>
      <c r="L1445" s="232" t="s">
        <v>23537</v>
      </c>
      <c r="M1445" s="511"/>
      <c r="N1445" s="232"/>
      <c r="O1445" s="232"/>
      <c r="P1445" s="312"/>
      <c r="Q1445" s="312"/>
      <c r="R1445" s="312"/>
      <c r="S1445" s="312"/>
      <c r="T1445" s="312"/>
      <c r="U1445" s="312"/>
    </row>
    <row r="1446">
      <c r="A1446" s="508" t="s">
        <v>27935</v>
      </c>
      <c r="B1446" s="232" t="s">
        <v>27968</v>
      </c>
      <c r="C1446" s="509" t="s">
        <v>27969</v>
      </c>
      <c r="D1446" s="511"/>
      <c r="E1446" s="511"/>
      <c r="F1446" s="232" t="s">
        <v>27970</v>
      </c>
      <c r="G1446" s="232" t="s">
        <v>1691</v>
      </c>
      <c r="H1446" s="232">
        <v>8.512908705E9</v>
      </c>
      <c r="I1446" s="509" t="s">
        <v>22373</v>
      </c>
      <c r="J1446" s="232" t="b">
        <v>0</v>
      </c>
      <c r="K1446" s="232" t="s">
        <v>22365</v>
      </c>
      <c r="L1446" s="232"/>
      <c r="M1446" s="511"/>
      <c r="N1446" s="232"/>
      <c r="O1446" s="232"/>
      <c r="P1446" s="312"/>
      <c r="Q1446" s="312"/>
      <c r="R1446" s="312"/>
      <c r="S1446" s="312"/>
      <c r="T1446" s="312"/>
      <c r="U1446" s="312"/>
    </row>
    <row r="1447">
      <c r="A1447" s="508" t="s">
        <v>27935</v>
      </c>
      <c r="B1447" s="232" t="s">
        <v>27971</v>
      </c>
      <c r="C1447" s="509" t="s">
        <v>27972</v>
      </c>
      <c r="D1447" s="511"/>
      <c r="E1447" s="511"/>
      <c r="F1447" s="232" t="s">
        <v>27973</v>
      </c>
      <c r="G1447" s="232" t="s">
        <v>44</v>
      </c>
      <c r="H1447" s="232">
        <v>8.910037684E9</v>
      </c>
      <c r="I1447" s="509" t="s">
        <v>23971</v>
      </c>
      <c r="J1447" s="232" t="b">
        <v>0</v>
      </c>
      <c r="K1447" s="232"/>
      <c r="L1447" s="232"/>
      <c r="M1447" s="511"/>
      <c r="N1447" s="232"/>
      <c r="O1447" s="232"/>
      <c r="P1447" s="312"/>
      <c r="Q1447" s="312"/>
      <c r="R1447" s="312"/>
      <c r="S1447" s="312"/>
      <c r="T1447" s="312"/>
      <c r="U1447" s="312"/>
    </row>
    <row r="1448">
      <c r="A1448" s="508" t="s">
        <v>27974</v>
      </c>
      <c r="B1448" s="232" t="s">
        <v>27975</v>
      </c>
      <c r="C1448" s="509" t="s">
        <v>27976</v>
      </c>
      <c r="D1448" s="519" t="s">
        <v>27977</v>
      </c>
      <c r="E1448" s="511"/>
      <c r="F1448" s="232" t="s">
        <v>27978</v>
      </c>
      <c r="G1448" s="232" t="s">
        <v>44</v>
      </c>
      <c r="H1448" s="232">
        <v>8.100195143E9</v>
      </c>
      <c r="I1448" s="509" t="s">
        <v>27979</v>
      </c>
      <c r="J1448" s="232" t="b">
        <v>0</v>
      </c>
      <c r="K1448" s="232" t="s">
        <v>334</v>
      </c>
      <c r="L1448" s="526" t="s">
        <v>23793</v>
      </c>
      <c r="M1448" s="511"/>
      <c r="N1448" s="232"/>
      <c r="O1448" s="232"/>
      <c r="P1448" s="312"/>
      <c r="Q1448" s="312"/>
      <c r="R1448" s="312"/>
      <c r="S1448" s="312"/>
      <c r="T1448" s="312"/>
      <c r="U1448" s="312"/>
    </row>
    <row r="1449">
      <c r="A1449" s="508" t="s">
        <v>27974</v>
      </c>
      <c r="B1449" s="232" t="s">
        <v>27980</v>
      </c>
      <c r="C1449" s="509" t="s">
        <v>27981</v>
      </c>
      <c r="D1449" s="511"/>
      <c r="E1449" s="511"/>
      <c r="F1449" s="232" t="s">
        <v>27982</v>
      </c>
      <c r="G1449" s="232" t="s">
        <v>27983</v>
      </c>
      <c r="H1449" s="232">
        <v>9.437301306E9</v>
      </c>
      <c r="I1449" s="509" t="s">
        <v>27984</v>
      </c>
      <c r="J1449" s="232" t="b">
        <v>0</v>
      </c>
      <c r="K1449" s="232" t="s">
        <v>334</v>
      </c>
      <c r="L1449" s="232"/>
      <c r="M1449" s="511"/>
      <c r="N1449" s="232"/>
      <c r="O1449" s="232"/>
      <c r="P1449" s="312"/>
      <c r="Q1449" s="312"/>
      <c r="R1449" s="312"/>
      <c r="S1449" s="312"/>
      <c r="T1449" s="312"/>
      <c r="U1449" s="312"/>
    </row>
    <row r="1450">
      <c r="A1450" s="508" t="s">
        <v>27974</v>
      </c>
      <c r="B1450" s="232" t="s">
        <v>27985</v>
      </c>
      <c r="C1450" s="509" t="s">
        <v>27986</v>
      </c>
      <c r="D1450" s="511"/>
      <c r="E1450" s="511"/>
      <c r="F1450" s="232" t="s">
        <v>27987</v>
      </c>
      <c r="G1450" s="232" t="s">
        <v>23718</v>
      </c>
      <c r="H1450" s="232">
        <v>7.382222559E9</v>
      </c>
      <c r="I1450" s="509" t="s">
        <v>27988</v>
      </c>
      <c r="J1450" s="232" t="b">
        <v>0</v>
      </c>
      <c r="K1450" s="232" t="s">
        <v>22365</v>
      </c>
      <c r="L1450" s="232" t="s">
        <v>23537</v>
      </c>
      <c r="M1450" s="511"/>
      <c r="N1450" s="232"/>
      <c r="O1450" s="232"/>
      <c r="P1450" s="312"/>
      <c r="Q1450" s="312"/>
      <c r="R1450" s="312"/>
      <c r="S1450" s="312"/>
      <c r="T1450" s="312"/>
      <c r="U1450" s="312"/>
    </row>
    <row r="1451">
      <c r="A1451" s="508" t="s">
        <v>27974</v>
      </c>
      <c r="B1451" s="232" t="s">
        <v>27989</v>
      </c>
      <c r="C1451" s="509" t="s">
        <v>27990</v>
      </c>
      <c r="D1451" s="511"/>
      <c r="E1451" s="511"/>
      <c r="F1451" s="232" t="s">
        <v>27991</v>
      </c>
      <c r="G1451" s="232" t="s">
        <v>22856</v>
      </c>
      <c r="H1451" s="232">
        <v>-8.073371473E9</v>
      </c>
      <c r="I1451" s="509" t="s">
        <v>27992</v>
      </c>
      <c r="J1451" s="232" t="b">
        <v>0</v>
      </c>
      <c r="K1451" s="232"/>
      <c r="L1451" s="232"/>
      <c r="M1451" s="511"/>
      <c r="N1451" s="232"/>
      <c r="O1451" s="232"/>
      <c r="P1451" s="312"/>
      <c r="Q1451" s="312"/>
      <c r="R1451" s="312"/>
      <c r="S1451" s="312"/>
      <c r="T1451" s="312"/>
      <c r="U1451" s="312"/>
    </row>
    <row r="1452">
      <c r="A1452" s="508" t="s">
        <v>27974</v>
      </c>
      <c r="B1452" s="232" t="s">
        <v>27993</v>
      </c>
      <c r="C1452" s="509" t="s">
        <v>27994</v>
      </c>
      <c r="D1452" s="511"/>
      <c r="E1452" s="511"/>
      <c r="F1452" s="232"/>
      <c r="G1452" s="232" t="s">
        <v>22292</v>
      </c>
      <c r="H1452" s="232">
        <v>9.221720999E9</v>
      </c>
      <c r="I1452" s="509" t="s">
        <v>22354</v>
      </c>
      <c r="J1452" s="232" t="b">
        <v>0</v>
      </c>
      <c r="K1452" s="232"/>
      <c r="L1452" s="232"/>
      <c r="M1452" s="511"/>
      <c r="N1452" s="232"/>
      <c r="O1452" s="232"/>
      <c r="P1452" s="312"/>
      <c r="Q1452" s="312"/>
      <c r="R1452" s="312"/>
      <c r="S1452" s="312"/>
      <c r="T1452" s="312"/>
      <c r="U1452" s="312"/>
    </row>
    <row r="1453">
      <c r="A1453" s="508" t="s">
        <v>27974</v>
      </c>
      <c r="B1453" s="232" t="s">
        <v>27995</v>
      </c>
      <c r="C1453" s="509" t="s">
        <v>17444</v>
      </c>
      <c r="D1453" s="510" t="s">
        <v>27996</v>
      </c>
      <c r="E1453" s="511"/>
      <c r="F1453" s="232" t="s">
        <v>27997</v>
      </c>
      <c r="G1453" s="232" t="s">
        <v>23593</v>
      </c>
      <c r="H1453" s="232">
        <v>-9.136258236E9</v>
      </c>
      <c r="I1453" s="509" t="s">
        <v>22354</v>
      </c>
      <c r="J1453" s="232" t="b">
        <v>0</v>
      </c>
      <c r="K1453" s="232" t="s">
        <v>334</v>
      </c>
      <c r="L1453" s="232"/>
      <c r="M1453" s="511"/>
      <c r="N1453" s="232"/>
      <c r="O1453" s="232"/>
      <c r="P1453" s="312"/>
      <c r="Q1453" s="312"/>
      <c r="R1453" s="312"/>
      <c r="S1453" s="312"/>
      <c r="T1453" s="312"/>
      <c r="U1453" s="312"/>
    </row>
    <row r="1454">
      <c r="A1454" s="508" t="s">
        <v>27974</v>
      </c>
      <c r="B1454" s="232" t="s">
        <v>27998</v>
      </c>
      <c r="C1454" s="509" t="s">
        <v>27999</v>
      </c>
      <c r="D1454" s="511"/>
      <c r="E1454" s="511"/>
      <c r="F1454" s="232" t="s">
        <v>28000</v>
      </c>
      <c r="G1454" s="232" t="s">
        <v>18692</v>
      </c>
      <c r="H1454" s="232">
        <v>8.100569589E9</v>
      </c>
      <c r="I1454" s="509" t="s">
        <v>23696</v>
      </c>
      <c r="J1454" s="232" t="b">
        <v>0</v>
      </c>
      <c r="K1454" s="232"/>
      <c r="L1454" s="232"/>
      <c r="M1454" s="511"/>
      <c r="N1454" s="232"/>
      <c r="O1454" s="232"/>
      <c r="P1454" s="312"/>
      <c r="Q1454" s="312"/>
      <c r="R1454" s="312"/>
      <c r="S1454" s="312"/>
      <c r="T1454" s="312"/>
      <c r="U1454" s="312"/>
    </row>
    <row r="1455">
      <c r="A1455" s="508" t="s">
        <v>28001</v>
      </c>
      <c r="B1455" s="232" t="s">
        <v>28002</v>
      </c>
      <c r="C1455" s="509" t="s">
        <v>28003</v>
      </c>
      <c r="D1455" s="511"/>
      <c r="E1455" s="511"/>
      <c r="F1455" s="232"/>
      <c r="G1455" s="232" t="s">
        <v>28004</v>
      </c>
      <c r="H1455" s="232">
        <v>9.830060205E9</v>
      </c>
      <c r="I1455" s="509" t="s">
        <v>23871</v>
      </c>
      <c r="J1455" s="232" t="b">
        <v>0</v>
      </c>
      <c r="K1455" s="232" t="s">
        <v>22365</v>
      </c>
      <c r="L1455" s="232"/>
      <c r="M1455" s="511"/>
      <c r="N1455" s="232"/>
      <c r="O1455" s="232"/>
      <c r="P1455" s="312"/>
      <c r="Q1455" s="312"/>
      <c r="R1455" s="312"/>
      <c r="S1455" s="312"/>
      <c r="T1455" s="312"/>
      <c r="U1455" s="312"/>
    </row>
    <row r="1456">
      <c r="A1456" s="508" t="s">
        <v>28001</v>
      </c>
      <c r="B1456" s="232" t="s">
        <v>28005</v>
      </c>
      <c r="C1456" s="509" t="s">
        <v>20891</v>
      </c>
      <c r="D1456" s="511"/>
      <c r="E1456" s="511"/>
      <c r="F1456" s="232" t="s">
        <v>28006</v>
      </c>
      <c r="G1456" s="232" t="s">
        <v>22288</v>
      </c>
      <c r="H1456" s="232">
        <v>9.084970795E9</v>
      </c>
      <c r="I1456" s="509" t="s">
        <v>22354</v>
      </c>
      <c r="J1456" s="232" t="b">
        <v>0</v>
      </c>
      <c r="K1456" s="232" t="s">
        <v>22365</v>
      </c>
      <c r="L1456" s="232" t="s">
        <v>28007</v>
      </c>
      <c r="M1456" s="511"/>
      <c r="N1456" s="232"/>
      <c r="O1456" s="232"/>
      <c r="P1456" s="312"/>
      <c r="Q1456" s="312"/>
      <c r="R1456" s="312"/>
      <c r="S1456" s="312"/>
      <c r="T1456" s="312"/>
      <c r="U1456" s="312"/>
    </row>
    <row r="1457">
      <c r="A1457" s="513" t="s">
        <v>28001</v>
      </c>
      <c r="B1457" s="514" t="s">
        <v>28008</v>
      </c>
      <c r="C1457" s="515" t="s">
        <v>28009</v>
      </c>
      <c r="D1457" s="516" t="s">
        <v>28010</v>
      </c>
      <c r="E1457" s="517"/>
      <c r="F1457" s="514" t="s">
        <v>28011</v>
      </c>
      <c r="G1457" s="514" t="s">
        <v>9094</v>
      </c>
      <c r="H1457" s="514">
        <v>8.575000057E9</v>
      </c>
      <c r="I1457" s="515" t="s">
        <v>28012</v>
      </c>
      <c r="J1457" s="514" t="b">
        <v>0</v>
      </c>
      <c r="K1457" s="514" t="s">
        <v>22312</v>
      </c>
      <c r="L1457" s="518" t="s">
        <v>28013</v>
      </c>
      <c r="M1457" s="511"/>
      <c r="N1457" s="232"/>
      <c r="O1457" s="232"/>
      <c r="P1457" s="312"/>
      <c r="Q1457" s="312"/>
      <c r="R1457" s="312"/>
      <c r="S1457" s="312"/>
      <c r="T1457" s="312"/>
      <c r="U1457" s="312"/>
    </row>
    <row r="1458">
      <c r="A1458" s="508" t="s">
        <v>28001</v>
      </c>
      <c r="B1458" s="232" t="s">
        <v>28014</v>
      </c>
      <c r="C1458" s="509" t="s">
        <v>28015</v>
      </c>
      <c r="D1458" s="510" t="s">
        <v>28016</v>
      </c>
      <c r="E1458" s="511"/>
      <c r="F1458" s="232" t="s">
        <v>28017</v>
      </c>
      <c r="G1458" s="232" t="s">
        <v>28018</v>
      </c>
      <c r="H1458" s="232">
        <v>9.353422635E9</v>
      </c>
      <c r="I1458" s="509" t="s">
        <v>28019</v>
      </c>
      <c r="J1458" s="232" t="b">
        <v>0</v>
      </c>
      <c r="K1458" s="232" t="s">
        <v>334</v>
      </c>
      <c r="L1458" s="232" t="s">
        <v>22578</v>
      </c>
      <c r="M1458" s="511"/>
      <c r="N1458" s="232"/>
      <c r="O1458" s="232"/>
      <c r="P1458" s="312"/>
      <c r="Q1458" s="312"/>
      <c r="R1458" s="312"/>
      <c r="S1458" s="312"/>
      <c r="T1458" s="312"/>
      <c r="U1458" s="312"/>
    </row>
    <row r="1459">
      <c r="A1459" s="508" t="s">
        <v>28001</v>
      </c>
      <c r="B1459" s="232" t="s">
        <v>28020</v>
      </c>
      <c r="C1459" s="509" t="s">
        <v>28021</v>
      </c>
      <c r="D1459" s="511"/>
      <c r="E1459" s="511"/>
      <c r="F1459" s="232" t="s">
        <v>28022</v>
      </c>
      <c r="G1459" s="232" t="s">
        <v>22337</v>
      </c>
      <c r="H1459" s="232">
        <v>8.917262511E9</v>
      </c>
      <c r="I1459" s="509" t="s">
        <v>28023</v>
      </c>
      <c r="J1459" s="232" t="b">
        <v>0</v>
      </c>
      <c r="K1459" s="232"/>
      <c r="L1459" s="232"/>
      <c r="M1459" s="511"/>
      <c r="N1459" s="232"/>
      <c r="O1459" s="232"/>
      <c r="P1459" s="312"/>
      <c r="Q1459" s="312"/>
      <c r="R1459" s="312"/>
      <c r="S1459" s="312"/>
      <c r="T1459" s="312"/>
      <c r="U1459" s="312"/>
    </row>
    <row r="1460">
      <c r="A1460" s="508" t="s">
        <v>28001</v>
      </c>
      <c r="B1460" s="232" t="s">
        <v>28024</v>
      </c>
      <c r="C1460" s="509" t="s">
        <v>28025</v>
      </c>
      <c r="D1460" s="511"/>
      <c r="E1460" s="511"/>
      <c r="F1460" s="232" t="s">
        <v>28026</v>
      </c>
      <c r="G1460" s="232" t="s">
        <v>22564</v>
      </c>
      <c r="H1460" s="232">
        <v>9.028311914E9</v>
      </c>
      <c r="I1460" s="509" t="s">
        <v>28027</v>
      </c>
      <c r="J1460" s="232" t="b">
        <v>0</v>
      </c>
      <c r="K1460" s="232" t="s">
        <v>22365</v>
      </c>
      <c r="L1460" s="232" t="s">
        <v>22904</v>
      </c>
      <c r="M1460" s="511"/>
      <c r="N1460" s="232"/>
      <c r="O1460" s="232"/>
      <c r="P1460" s="312"/>
      <c r="Q1460" s="312"/>
      <c r="R1460" s="312"/>
      <c r="S1460" s="312"/>
      <c r="T1460" s="312"/>
      <c r="U1460" s="312"/>
    </row>
    <row r="1461">
      <c r="A1461" s="508" t="s">
        <v>28001</v>
      </c>
      <c r="B1461" s="232" t="s">
        <v>28028</v>
      </c>
      <c r="C1461" s="509" t="s">
        <v>28029</v>
      </c>
      <c r="D1461" s="510" t="s">
        <v>28030</v>
      </c>
      <c r="E1461" s="511"/>
      <c r="F1461" s="232"/>
      <c r="G1461" s="232" t="s">
        <v>22564</v>
      </c>
      <c r="H1461" s="232">
        <v>9.137299302E9</v>
      </c>
      <c r="I1461" s="509" t="s">
        <v>22373</v>
      </c>
      <c r="J1461" s="232" t="b">
        <v>0</v>
      </c>
      <c r="K1461" s="232" t="s">
        <v>22355</v>
      </c>
      <c r="L1461" s="232"/>
      <c r="M1461" s="511"/>
      <c r="N1461" s="232"/>
      <c r="O1461" s="232"/>
      <c r="P1461" s="312"/>
      <c r="Q1461" s="312"/>
      <c r="R1461" s="312"/>
      <c r="S1461" s="312"/>
      <c r="T1461" s="312"/>
      <c r="U1461" s="312"/>
    </row>
    <row r="1462">
      <c r="A1462" s="508" t="s">
        <v>28001</v>
      </c>
      <c r="B1462" s="232" t="s">
        <v>28031</v>
      </c>
      <c r="C1462" s="509" t="s">
        <v>28032</v>
      </c>
      <c r="D1462" s="511"/>
      <c r="E1462" s="511"/>
      <c r="F1462" s="232" t="s">
        <v>28033</v>
      </c>
      <c r="G1462" s="232" t="s">
        <v>28034</v>
      </c>
      <c r="H1462" s="232">
        <v>7.665577123E9</v>
      </c>
      <c r="I1462" s="509" t="s">
        <v>28035</v>
      </c>
      <c r="J1462" s="232" t="b">
        <v>0</v>
      </c>
      <c r="K1462" s="232" t="s">
        <v>22365</v>
      </c>
      <c r="L1462" s="232" t="s">
        <v>23537</v>
      </c>
      <c r="M1462" s="511"/>
      <c r="N1462" s="232"/>
      <c r="O1462" s="232"/>
      <c r="P1462" s="312"/>
      <c r="Q1462" s="312"/>
      <c r="R1462" s="312"/>
      <c r="S1462" s="312"/>
      <c r="T1462" s="312"/>
      <c r="U1462" s="312"/>
    </row>
    <row r="1463">
      <c r="A1463" s="508" t="s">
        <v>28001</v>
      </c>
      <c r="B1463" s="232" t="s">
        <v>28036</v>
      </c>
      <c r="C1463" s="509" t="s">
        <v>28037</v>
      </c>
      <c r="D1463" s="510" t="s">
        <v>28038</v>
      </c>
      <c r="E1463" s="511"/>
      <c r="F1463" s="232" t="s">
        <v>28039</v>
      </c>
      <c r="G1463" s="232" t="s">
        <v>22292</v>
      </c>
      <c r="H1463" s="232">
        <v>8.411061817E9</v>
      </c>
      <c r="I1463" s="509" t="s">
        <v>23761</v>
      </c>
      <c r="J1463" s="232" t="b">
        <v>0</v>
      </c>
      <c r="K1463" s="232" t="s">
        <v>22365</v>
      </c>
      <c r="L1463" s="232" t="s">
        <v>28040</v>
      </c>
      <c r="M1463" s="511"/>
      <c r="N1463" s="232"/>
      <c r="O1463" s="232"/>
      <c r="P1463" s="312"/>
      <c r="Q1463" s="312"/>
      <c r="R1463" s="312"/>
      <c r="S1463" s="312"/>
      <c r="T1463" s="312"/>
      <c r="U1463" s="312"/>
    </row>
    <row r="1464">
      <c r="A1464" s="508" t="s">
        <v>28001</v>
      </c>
      <c r="B1464" s="232" t="s">
        <v>28041</v>
      </c>
      <c r="C1464" s="509" t="s">
        <v>28042</v>
      </c>
      <c r="D1464" s="511"/>
      <c r="E1464" s="511"/>
      <c r="F1464" s="232" t="s">
        <v>28043</v>
      </c>
      <c r="G1464" s="232" t="s">
        <v>25631</v>
      </c>
      <c r="H1464" s="232">
        <v>9.8117062E9</v>
      </c>
      <c r="I1464" s="509" t="s">
        <v>28044</v>
      </c>
      <c r="J1464" s="232" t="b">
        <v>0</v>
      </c>
      <c r="K1464" s="232" t="s">
        <v>22355</v>
      </c>
      <c r="L1464" s="232" t="s">
        <v>28045</v>
      </c>
      <c r="M1464" s="511"/>
      <c r="N1464" s="232"/>
      <c r="O1464" s="232"/>
      <c r="P1464" s="312"/>
      <c r="Q1464" s="312"/>
      <c r="R1464" s="312"/>
      <c r="S1464" s="312"/>
      <c r="T1464" s="312"/>
      <c r="U1464" s="312"/>
    </row>
    <row r="1465">
      <c r="A1465" s="508" t="s">
        <v>28001</v>
      </c>
      <c r="B1465" s="232" t="s">
        <v>28046</v>
      </c>
      <c r="C1465" s="509" t="s">
        <v>28047</v>
      </c>
      <c r="D1465" s="511"/>
      <c r="E1465" s="511"/>
      <c r="F1465" s="232"/>
      <c r="G1465" s="232" t="s">
        <v>28048</v>
      </c>
      <c r="H1465" s="232">
        <v>7.86400904E9</v>
      </c>
      <c r="I1465" s="509" t="s">
        <v>22373</v>
      </c>
      <c r="J1465" s="232" t="b">
        <v>0</v>
      </c>
      <c r="K1465" s="232" t="s">
        <v>22365</v>
      </c>
      <c r="L1465" s="232" t="s">
        <v>23537</v>
      </c>
      <c r="M1465" s="511"/>
      <c r="N1465" s="232"/>
      <c r="O1465" s="232"/>
      <c r="P1465" s="312"/>
      <c r="Q1465" s="312"/>
      <c r="R1465" s="312"/>
      <c r="S1465" s="312"/>
      <c r="T1465" s="312"/>
      <c r="U1465" s="312"/>
    </row>
    <row r="1466">
      <c r="A1466" s="508" t="s">
        <v>28049</v>
      </c>
      <c r="B1466" s="232" t="s">
        <v>28050</v>
      </c>
      <c r="C1466" s="509" t="s">
        <v>28051</v>
      </c>
      <c r="D1466" s="510" t="s">
        <v>28052</v>
      </c>
      <c r="E1466" s="511"/>
      <c r="F1466" s="232" t="s">
        <v>28053</v>
      </c>
      <c r="G1466" s="232" t="s">
        <v>2612</v>
      </c>
      <c r="H1466" s="232">
        <v>6.370078424E9</v>
      </c>
      <c r="I1466" s="509" t="s">
        <v>23268</v>
      </c>
      <c r="J1466" s="232" t="b">
        <v>0</v>
      </c>
      <c r="K1466" s="232" t="s">
        <v>22365</v>
      </c>
      <c r="L1466" s="232"/>
      <c r="M1466" s="511"/>
      <c r="N1466" s="232"/>
      <c r="O1466" s="232"/>
      <c r="P1466" s="312"/>
      <c r="Q1466" s="312"/>
      <c r="R1466" s="312"/>
      <c r="S1466" s="312"/>
      <c r="T1466" s="312"/>
      <c r="U1466" s="312"/>
    </row>
    <row r="1467">
      <c r="A1467" s="508" t="s">
        <v>28049</v>
      </c>
      <c r="B1467" s="232" t="s">
        <v>28054</v>
      </c>
      <c r="C1467" s="512" t="s">
        <v>28055</v>
      </c>
      <c r="D1467" s="511"/>
      <c r="E1467" s="511"/>
      <c r="F1467" s="232"/>
      <c r="G1467" s="232" t="s">
        <v>23612</v>
      </c>
      <c r="H1467" s="232">
        <v>9.830192406E9</v>
      </c>
      <c r="I1467" s="509" t="s">
        <v>28056</v>
      </c>
      <c r="J1467" s="232" t="b">
        <v>0</v>
      </c>
      <c r="K1467" s="232"/>
      <c r="L1467" s="232"/>
      <c r="M1467" s="511"/>
      <c r="N1467" s="232"/>
      <c r="O1467" s="232"/>
      <c r="P1467" s="312"/>
      <c r="Q1467" s="312"/>
      <c r="R1467" s="312"/>
      <c r="S1467" s="312"/>
      <c r="T1467" s="312"/>
      <c r="U1467" s="312"/>
    </row>
    <row r="1468">
      <c r="A1468" s="508" t="s">
        <v>28049</v>
      </c>
      <c r="B1468" s="232" t="s">
        <v>28057</v>
      </c>
      <c r="C1468" s="509" t="s">
        <v>28058</v>
      </c>
      <c r="D1468" s="511"/>
      <c r="E1468" s="511"/>
      <c r="F1468" s="232"/>
      <c r="G1468" s="232" t="s">
        <v>28059</v>
      </c>
      <c r="H1468" s="232">
        <v>6.002963033E9</v>
      </c>
      <c r="I1468" s="509" t="s">
        <v>23871</v>
      </c>
      <c r="J1468" s="232" t="b">
        <v>0</v>
      </c>
      <c r="K1468" s="232" t="s">
        <v>22365</v>
      </c>
      <c r="L1468" s="232"/>
      <c r="M1468" s="511"/>
      <c r="N1468" s="232"/>
      <c r="O1468" s="232"/>
      <c r="P1468" s="312"/>
      <c r="Q1468" s="312"/>
      <c r="R1468" s="312"/>
      <c r="S1468" s="312"/>
      <c r="T1468" s="312"/>
      <c r="U1468" s="312"/>
    </row>
    <row r="1469">
      <c r="A1469" s="508" t="s">
        <v>28049</v>
      </c>
      <c r="B1469" s="232" t="s">
        <v>28060</v>
      </c>
      <c r="C1469" s="509" t="s">
        <v>28061</v>
      </c>
      <c r="D1469" s="519" t="s">
        <v>28062</v>
      </c>
      <c r="E1469" s="511"/>
      <c r="F1469" s="232" t="s">
        <v>28063</v>
      </c>
      <c r="G1469" s="232" t="s">
        <v>507</v>
      </c>
      <c r="H1469" s="232">
        <v>-9.833118117E9</v>
      </c>
      <c r="I1469" s="509" t="s">
        <v>27476</v>
      </c>
      <c r="J1469" s="232" t="b">
        <v>0</v>
      </c>
      <c r="K1469" s="232" t="s">
        <v>22365</v>
      </c>
      <c r="L1469" s="232" t="s">
        <v>28064</v>
      </c>
      <c r="M1469" s="511"/>
      <c r="N1469" s="232"/>
      <c r="O1469" s="232"/>
      <c r="P1469" s="312"/>
      <c r="Q1469" s="312"/>
      <c r="R1469" s="312"/>
      <c r="S1469" s="312"/>
      <c r="T1469" s="312"/>
      <c r="U1469" s="312"/>
    </row>
    <row r="1470">
      <c r="A1470" s="508" t="s">
        <v>28049</v>
      </c>
      <c r="B1470" s="232" t="s">
        <v>28065</v>
      </c>
      <c r="C1470" s="509" t="s">
        <v>28066</v>
      </c>
      <c r="D1470" s="519" t="s">
        <v>28067</v>
      </c>
      <c r="E1470" s="511"/>
      <c r="F1470" s="232" t="s">
        <v>28068</v>
      </c>
      <c r="G1470" s="232" t="s">
        <v>23512</v>
      </c>
      <c r="H1470" s="232">
        <v>7.490825577E9</v>
      </c>
      <c r="I1470" s="509" t="s">
        <v>28069</v>
      </c>
      <c r="J1470" s="232" t="b">
        <v>0</v>
      </c>
      <c r="K1470" s="232" t="s">
        <v>22355</v>
      </c>
      <c r="L1470" s="232"/>
      <c r="M1470" s="511"/>
      <c r="N1470" s="232"/>
      <c r="O1470" s="232"/>
      <c r="P1470" s="312"/>
      <c r="Q1470" s="312"/>
      <c r="R1470" s="312"/>
      <c r="S1470" s="312"/>
      <c r="T1470" s="312"/>
      <c r="U1470" s="312"/>
    </row>
    <row r="1471">
      <c r="A1471" s="508" t="s">
        <v>28049</v>
      </c>
      <c r="B1471" s="232" t="s">
        <v>28070</v>
      </c>
      <c r="C1471" s="509" t="s">
        <v>28071</v>
      </c>
      <c r="D1471" s="511"/>
      <c r="E1471" s="511"/>
      <c r="F1471" s="232" t="s">
        <v>28072</v>
      </c>
      <c r="G1471" s="232" t="s">
        <v>2682</v>
      </c>
      <c r="H1471" s="232">
        <v>9.620662733E9</v>
      </c>
      <c r="I1471" s="509" t="s">
        <v>24649</v>
      </c>
      <c r="J1471" s="232" t="b">
        <v>0</v>
      </c>
      <c r="K1471" s="232" t="s">
        <v>334</v>
      </c>
      <c r="L1471" s="232"/>
      <c r="M1471" s="511"/>
      <c r="N1471" s="232"/>
      <c r="O1471" s="232"/>
      <c r="P1471" s="312"/>
      <c r="Q1471" s="312"/>
      <c r="R1471" s="312"/>
      <c r="S1471" s="312"/>
      <c r="T1471" s="312"/>
      <c r="U1471" s="312"/>
    </row>
    <row r="1472">
      <c r="A1472" s="508" t="s">
        <v>28049</v>
      </c>
      <c r="B1472" s="232" t="s">
        <v>28073</v>
      </c>
      <c r="C1472" s="509" t="s">
        <v>28074</v>
      </c>
      <c r="D1472" s="510" t="s">
        <v>28075</v>
      </c>
      <c r="E1472" s="511"/>
      <c r="F1472" s="232" t="s">
        <v>28076</v>
      </c>
      <c r="G1472" s="232" t="s">
        <v>981</v>
      </c>
      <c r="H1472" s="232">
        <v>7.551042759E9</v>
      </c>
      <c r="I1472" s="509" t="s">
        <v>22289</v>
      </c>
      <c r="J1472" s="232" t="b">
        <v>0</v>
      </c>
      <c r="K1472" s="232"/>
      <c r="L1472" s="232"/>
      <c r="M1472" s="511"/>
      <c r="N1472" s="232"/>
      <c r="O1472" s="232"/>
      <c r="P1472" s="312"/>
      <c r="Q1472" s="312"/>
      <c r="R1472" s="312"/>
      <c r="S1472" s="312"/>
      <c r="T1472" s="312"/>
      <c r="U1472" s="312"/>
    </row>
    <row r="1473">
      <c r="A1473" s="508" t="s">
        <v>28049</v>
      </c>
      <c r="B1473" s="232" t="s">
        <v>28077</v>
      </c>
      <c r="C1473" s="509" t="s">
        <v>28078</v>
      </c>
      <c r="D1473" s="510" t="s">
        <v>28079</v>
      </c>
      <c r="E1473" s="510" t="s">
        <v>28080</v>
      </c>
      <c r="F1473" s="232"/>
      <c r="G1473" s="232" t="s">
        <v>23512</v>
      </c>
      <c r="H1473" s="232">
        <v>9.925783019E9</v>
      </c>
      <c r="I1473" s="509" t="s">
        <v>23661</v>
      </c>
      <c r="J1473" s="232" t="b">
        <v>0</v>
      </c>
      <c r="K1473" s="232" t="s">
        <v>22365</v>
      </c>
      <c r="L1473" s="232" t="s">
        <v>28081</v>
      </c>
      <c r="M1473" s="511"/>
      <c r="N1473" s="232"/>
      <c r="O1473" s="232"/>
      <c r="P1473" s="312"/>
      <c r="Q1473" s="312"/>
      <c r="R1473" s="312"/>
      <c r="S1473" s="312"/>
      <c r="T1473" s="312"/>
      <c r="U1473" s="312"/>
    </row>
    <row r="1474">
      <c r="A1474" s="508" t="s">
        <v>28049</v>
      </c>
      <c r="B1474" s="232" t="s">
        <v>28082</v>
      </c>
      <c r="C1474" s="509" t="s">
        <v>28083</v>
      </c>
      <c r="D1474" s="511"/>
      <c r="E1474" s="511"/>
      <c r="F1474" s="232" t="s">
        <v>28084</v>
      </c>
      <c r="G1474" s="232" t="s">
        <v>1663</v>
      </c>
      <c r="H1474" s="232">
        <v>7.35312144E9</v>
      </c>
      <c r="I1474" s="509" t="s">
        <v>27808</v>
      </c>
      <c r="J1474" s="232" t="b">
        <v>0</v>
      </c>
      <c r="K1474" s="232" t="s">
        <v>22365</v>
      </c>
      <c r="L1474" s="232" t="s">
        <v>28085</v>
      </c>
      <c r="M1474" s="511"/>
      <c r="N1474" s="232"/>
      <c r="O1474" s="232"/>
      <c r="P1474" s="312"/>
      <c r="Q1474" s="312"/>
      <c r="R1474" s="312"/>
      <c r="S1474" s="312"/>
      <c r="T1474" s="312"/>
      <c r="U1474" s="312"/>
    </row>
    <row r="1475">
      <c r="A1475" s="508" t="s">
        <v>28049</v>
      </c>
      <c r="B1475" s="232" t="s">
        <v>28086</v>
      </c>
      <c r="C1475" s="509" t="s">
        <v>28087</v>
      </c>
      <c r="D1475" s="511"/>
      <c r="E1475" s="511"/>
      <c r="F1475" s="232" t="s">
        <v>28088</v>
      </c>
      <c r="G1475" s="232" t="s">
        <v>26514</v>
      </c>
      <c r="H1475" s="232">
        <v>7.003750677E9</v>
      </c>
      <c r="I1475" s="509" t="s">
        <v>22289</v>
      </c>
      <c r="J1475" s="232" t="b">
        <v>0</v>
      </c>
      <c r="K1475" s="232" t="s">
        <v>22365</v>
      </c>
      <c r="L1475" s="232" t="s">
        <v>26095</v>
      </c>
      <c r="M1475" s="511"/>
      <c r="N1475" s="232"/>
      <c r="O1475" s="232"/>
      <c r="P1475" s="312"/>
      <c r="Q1475" s="312"/>
      <c r="R1475" s="312"/>
      <c r="S1475" s="312"/>
      <c r="T1475" s="312"/>
      <c r="U1475" s="312"/>
    </row>
    <row r="1476">
      <c r="A1476" s="508" t="s">
        <v>28049</v>
      </c>
      <c r="B1476" s="232" t="s">
        <v>28089</v>
      </c>
      <c r="C1476" s="509" t="s">
        <v>28090</v>
      </c>
      <c r="D1476" s="511"/>
      <c r="E1476" s="511"/>
      <c r="F1476" s="232" t="s">
        <v>28091</v>
      </c>
      <c r="G1476" s="232" t="s">
        <v>25903</v>
      </c>
      <c r="H1476" s="232">
        <v>8.789122503E9</v>
      </c>
      <c r="I1476" s="509" t="s">
        <v>24878</v>
      </c>
      <c r="J1476" s="232" t="b">
        <v>0</v>
      </c>
      <c r="K1476" s="232" t="s">
        <v>334</v>
      </c>
      <c r="L1476" s="232"/>
      <c r="M1476" s="511"/>
      <c r="N1476" s="232"/>
      <c r="O1476" s="232"/>
      <c r="P1476" s="312"/>
      <c r="Q1476" s="312"/>
      <c r="R1476" s="312"/>
      <c r="S1476" s="312"/>
      <c r="T1476" s="312"/>
      <c r="U1476" s="312"/>
    </row>
    <row r="1477">
      <c r="A1477" s="508" t="s">
        <v>28049</v>
      </c>
      <c r="B1477" s="232" t="s">
        <v>28092</v>
      </c>
      <c r="C1477" s="509" t="s">
        <v>19783</v>
      </c>
      <c r="D1477" s="511"/>
      <c r="E1477" s="511"/>
      <c r="F1477" s="232"/>
      <c r="G1477" s="232" t="s">
        <v>18840</v>
      </c>
      <c r="H1477" s="232">
        <v>7.846905926E9</v>
      </c>
      <c r="I1477" s="509" t="s">
        <v>26744</v>
      </c>
      <c r="J1477" s="232" t="b">
        <v>0</v>
      </c>
      <c r="K1477" s="232" t="s">
        <v>334</v>
      </c>
      <c r="L1477" s="232"/>
      <c r="M1477" s="511"/>
      <c r="N1477" s="232"/>
      <c r="O1477" s="232"/>
      <c r="P1477" s="312"/>
      <c r="Q1477" s="312"/>
      <c r="R1477" s="312"/>
      <c r="S1477" s="312"/>
      <c r="T1477" s="312"/>
      <c r="U1477" s="312"/>
    </row>
    <row r="1478">
      <c r="A1478" s="508" t="s">
        <v>28049</v>
      </c>
      <c r="B1478" s="232" t="s">
        <v>28093</v>
      </c>
      <c r="C1478" s="509" t="s">
        <v>28094</v>
      </c>
      <c r="D1478" s="511"/>
      <c r="E1478" s="511"/>
      <c r="F1478" s="232" t="s">
        <v>28095</v>
      </c>
      <c r="G1478" s="232" t="s">
        <v>268</v>
      </c>
      <c r="H1478" s="232">
        <v>9.547720235E9</v>
      </c>
      <c r="I1478" s="509" t="s">
        <v>28096</v>
      </c>
      <c r="J1478" s="232" t="b">
        <v>0</v>
      </c>
      <c r="K1478" s="232" t="s">
        <v>22355</v>
      </c>
      <c r="L1478" s="232"/>
      <c r="M1478" s="511"/>
      <c r="N1478" s="232"/>
      <c r="O1478" s="232"/>
      <c r="P1478" s="312"/>
      <c r="Q1478" s="312"/>
      <c r="R1478" s="312"/>
      <c r="S1478" s="312"/>
      <c r="T1478" s="312"/>
      <c r="U1478" s="312"/>
    </row>
    <row r="1479">
      <c r="A1479" s="508" t="s">
        <v>28049</v>
      </c>
      <c r="B1479" s="232" t="s">
        <v>28097</v>
      </c>
      <c r="C1479" s="509" t="s">
        <v>28098</v>
      </c>
      <c r="D1479" s="511"/>
      <c r="E1479" s="511"/>
      <c r="F1479" s="232" t="s">
        <v>28099</v>
      </c>
      <c r="G1479" s="232" t="s">
        <v>27948</v>
      </c>
      <c r="H1479" s="232">
        <v>9.633958085E9</v>
      </c>
      <c r="I1479" s="509" t="s">
        <v>28100</v>
      </c>
      <c r="J1479" s="232" t="b">
        <v>0</v>
      </c>
      <c r="K1479" s="232"/>
      <c r="M1479" s="511"/>
      <c r="N1479" s="232"/>
      <c r="O1479" s="232"/>
      <c r="P1479" s="312"/>
      <c r="Q1479" s="312"/>
      <c r="R1479" s="312"/>
      <c r="S1479" s="312"/>
      <c r="T1479" s="312"/>
      <c r="U1479" s="312"/>
    </row>
    <row r="1480">
      <c r="A1480" s="508" t="s">
        <v>28101</v>
      </c>
      <c r="B1480" s="232" t="s">
        <v>28102</v>
      </c>
      <c r="C1480" s="509" t="s">
        <v>28103</v>
      </c>
      <c r="D1480" s="511"/>
      <c r="E1480" s="511"/>
      <c r="F1480" s="232"/>
      <c r="G1480" s="232" t="s">
        <v>28104</v>
      </c>
      <c r="H1480" s="232">
        <v>7.584863105E9</v>
      </c>
      <c r="I1480" s="509" t="s">
        <v>23871</v>
      </c>
      <c r="J1480" s="232" t="b">
        <v>0</v>
      </c>
      <c r="K1480" s="232" t="s">
        <v>22365</v>
      </c>
      <c r="L1480" s="232"/>
      <c r="M1480" s="511"/>
      <c r="N1480" s="232"/>
      <c r="O1480" s="232"/>
      <c r="P1480" s="312"/>
      <c r="Q1480" s="312"/>
      <c r="R1480" s="312"/>
      <c r="S1480" s="312"/>
      <c r="T1480" s="312"/>
      <c r="U1480" s="312"/>
    </row>
    <row r="1481">
      <c r="A1481" s="508" t="s">
        <v>28101</v>
      </c>
      <c r="B1481" s="232" t="s">
        <v>28105</v>
      </c>
      <c r="C1481" s="509" t="s">
        <v>28106</v>
      </c>
      <c r="D1481" s="511"/>
      <c r="E1481" s="511"/>
      <c r="F1481" s="232"/>
      <c r="G1481" s="232" t="s">
        <v>1461</v>
      </c>
      <c r="H1481" s="232">
        <v>9.001494628E9</v>
      </c>
      <c r="I1481" s="509" t="s">
        <v>28107</v>
      </c>
      <c r="J1481" s="232" t="b">
        <v>0</v>
      </c>
      <c r="K1481" s="232" t="s">
        <v>22365</v>
      </c>
      <c r="L1481" s="232" t="s">
        <v>23537</v>
      </c>
      <c r="M1481" s="511"/>
      <c r="N1481" s="232"/>
      <c r="O1481" s="232"/>
      <c r="P1481" s="312"/>
      <c r="Q1481" s="312"/>
      <c r="R1481" s="312"/>
      <c r="S1481" s="312"/>
      <c r="T1481" s="312"/>
      <c r="U1481" s="312"/>
    </row>
    <row r="1482">
      <c r="A1482" s="508" t="s">
        <v>28101</v>
      </c>
      <c r="B1482" s="232" t="s">
        <v>28108</v>
      </c>
      <c r="C1482" s="509" t="s">
        <v>28109</v>
      </c>
      <c r="D1482" s="511"/>
      <c r="E1482" s="511"/>
      <c r="F1482" s="232"/>
      <c r="G1482" s="232" t="s">
        <v>23718</v>
      </c>
      <c r="H1482" s="232">
        <v>-6.371539397E9</v>
      </c>
      <c r="I1482" s="509" t="s">
        <v>25637</v>
      </c>
      <c r="J1482" s="232" t="b">
        <v>0</v>
      </c>
      <c r="K1482" s="232" t="s">
        <v>22349</v>
      </c>
      <c r="L1482" s="232" t="s">
        <v>28110</v>
      </c>
      <c r="M1482" s="511"/>
      <c r="N1482" s="232"/>
      <c r="O1482" s="232"/>
      <c r="P1482" s="312"/>
      <c r="Q1482" s="312"/>
      <c r="R1482" s="312"/>
      <c r="S1482" s="312"/>
      <c r="T1482" s="312"/>
      <c r="U1482" s="312"/>
    </row>
    <row r="1483">
      <c r="A1483" s="508" t="s">
        <v>28101</v>
      </c>
      <c r="B1483" s="232" t="s">
        <v>28111</v>
      </c>
      <c r="C1483" s="509" t="s">
        <v>28112</v>
      </c>
      <c r="D1483" s="511"/>
      <c r="E1483" s="511"/>
      <c r="F1483" s="232" t="s">
        <v>28113</v>
      </c>
      <c r="G1483" s="232" t="s">
        <v>22564</v>
      </c>
      <c r="H1483" s="232">
        <v>8.208585947E9</v>
      </c>
      <c r="I1483" s="509" t="s">
        <v>24236</v>
      </c>
      <c r="J1483" s="232" t="b">
        <v>0</v>
      </c>
      <c r="K1483" s="232" t="s">
        <v>22365</v>
      </c>
      <c r="L1483" s="232" t="s">
        <v>23537</v>
      </c>
      <c r="M1483" s="511"/>
      <c r="N1483" s="232"/>
      <c r="O1483" s="232"/>
      <c r="P1483" s="312"/>
      <c r="Q1483" s="312"/>
      <c r="R1483" s="312"/>
      <c r="S1483" s="312"/>
      <c r="T1483" s="312"/>
      <c r="U1483" s="312"/>
    </row>
    <row r="1484">
      <c r="A1484" s="508" t="s">
        <v>28101</v>
      </c>
      <c r="B1484" s="232" t="s">
        <v>28114</v>
      </c>
      <c r="C1484" s="509" t="s">
        <v>28115</v>
      </c>
      <c r="D1484" s="510" t="s">
        <v>28116</v>
      </c>
      <c r="E1484" s="511"/>
      <c r="F1484" s="526" t="s">
        <v>28117</v>
      </c>
      <c r="G1484" s="232" t="s">
        <v>28118</v>
      </c>
      <c r="H1484" s="232">
        <v>6.296201308E9</v>
      </c>
      <c r="I1484" s="509" t="s">
        <v>24274</v>
      </c>
      <c r="J1484" s="232" t="b">
        <v>0</v>
      </c>
      <c r="K1484" s="232" t="s">
        <v>22365</v>
      </c>
      <c r="L1484" s="232" t="s">
        <v>23537</v>
      </c>
      <c r="M1484" s="511"/>
      <c r="N1484" s="232"/>
      <c r="O1484" s="232"/>
      <c r="P1484" s="312"/>
      <c r="Q1484" s="312"/>
      <c r="R1484" s="312"/>
      <c r="S1484" s="312"/>
      <c r="T1484" s="312"/>
      <c r="U1484" s="312"/>
    </row>
    <row r="1485">
      <c r="A1485" s="508" t="s">
        <v>28101</v>
      </c>
      <c r="B1485" s="232" t="s">
        <v>28119</v>
      </c>
      <c r="C1485" s="509" t="s">
        <v>28120</v>
      </c>
      <c r="D1485" s="511"/>
      <c r="E1485" s="511"/>
      <c r="F1485" s="232" t="s">
        <v>28121</v>
      </c>
      <c r="G1485" s="232" t="s">
        <v>25977</v>
      </c>
      <c r="H1485" s="232">
        <v>9.337154596E9</v>
      </c>
      <c r="I1485" s="509" t="s">
        <v>22373</v>
      </c>
      <c r="J1485" s="232" t="b">
        <v>0</v>
      </c>
      <c r="K1485" s="232"/>
      <c r="L1485" s="232"/>
      <c r="M1485" s="511"/>
      <c r="N1485" s="232"/>
      <c r="O1485" s="232"/>
      <c r="P1485" s="312"/>
      <c r="Q1485" s="312"/>
      <c r="R1485" s="312"/>
      <c r="S1485" s="312"/>
      <c r="T1485" s="312"/>
      <c r="U1485" s="312"/>
    </row>
    <row r="1486">
      <c r="A1486" s="508" t="s">
        <v>28101</v>
      </c>
      <c r="B1486" s="232" t="s">
        <v>28122</v>
      </c>
      <c r="C1486" s="509" t="s">
        <v>28123</v>
      </c>
      <c r="D1486" s="511"/>
      <c r="E1486" s="511"/>
      <c r="F1486" s="232"/>
      <c r="G1486" s="232" t="s">
        <v>22337</v>
      </c>
      <c r="H1486" s="232">
        <v>7.205527815E9</v>
      </c>
      <c r="I1486" s="509" t="s">
        <v>22822</v>
      </c>
      <c r="J1486" s="232" t="b">
        <v>0</v>
      </c>
      <c r="K1486" s="232" t="s">
        <v>22365</v>
      </c>
      <c r="L1486" s="526" t="s">
        <v>23537</v>
      </c>
      <c r="M1486" s="511"/>
      <c r="N1486" s="232"/>
      <c r="O1486" s="232"/>
      <c r="P1486" s="312"/>
      <c r="Q1486" s="312"/>
      <c r="R1486" s="312"/>
      <c r="S1486" s="312"/>
      <c r="T1486" s="312"/>
      <c r="U1486" s="312"/>
    </row>
    <row r="1487">
      <c r="A1487" s="508" t="s">
        <v>28101</v>
      </c>
      <c r="B1487" s="232" t="s">
        <v>28124</v>
      </c>
      <c r="C1487" s="509" t="s">
        <v>28125</v>
      </c>
      <c r="D1487" s="511"/>
      <c r="E1487" s="511"/>
      <c r="F1487" s="232"/>
      <c r="G1487" s="232" t="s">
        <v>28126</v>
      </c>
      <c r="H1487" s="232">
        <v>9.940929748E9</v>
      </c>
      <c r="I1487" s="509" t="s">
        <v>25986</v>
      </c>
      <c r="J1487" s="232" t="b">
        <v>0</v>
      </c>
      <c r="K1487" s="232" t="s">
        <v>22365</v>
      </c>
      <c r="L1487" s="232"/>
      <c r="M1487" s="511"/>
      <c r="N1487" s="232"/>
      <c r="O1487" s="232"/>
      <c r="P1487" s="312"/>
      <c r="Q1487" s="312"/>
      <c r="R1487" s="312"/>
      <c r="S1487" s="312"/>
      <c r="T1487" s="312"/>
      <c r="U1487" s="312"/>
    </row>
    <row r="1488">
      <c r="A1488" s="508" t="s">
        <v>28101</v>
      </c>
      <c r="B1488" s="232" t="s">
        <v>28127</v>
      </c>
      <c r="C1488" s="509" t="s">
        <v>28128</v>
      </c>
      <c r="D1488" s="511"/>
      <c r="E1488" s="511"/>
      <c r="F1488" s="232" t="s">
        <v>28129</v>
      </c>
      <c r="G1488" s="232" t="s">
        <v>27170</v>
      </c>
      <c r="H1488" s="232">
        <v>7.032946405E9</v>
      </c>
      <c r="I1488" s="509" t="s">
        <v>22373</v>
      </c>
      <c r="J1488" s="232" t="b">
        <v>0</v>
      </c>
      <c r="K1488" s="232" t="s">
        <v>22365</v>
      </c>
      <c r="L1488" s="232" t="s">
        <v>23537</v>
      </c>
      <c r="M1488" s="511"/>
      <c r="N1488" s="232"/>
      <c r="O1488" s="232"/>
      <c r="P1488" s="312"/>
      <c r="Q1488" s="312"/>
      <c r="R1488" s="312"/>
      <c r="S1488" s="312"/>
      <c r="T1488" s="312"/>
      <c r="U1488" s="312"/>
    </row>
    <row r="1489">
      <c r="A1489" s="508" t="s">
        <v>28101</v>
      </c>
      <c r="B1489" s="232" t="s">
        <v>28130</v>
      </c>
      <c r="C1489" s="509" t="s">
        <v>28131</v>
      </c>
      <c r="D1489" s="511"/>
      <c r="E1489" s="511"/>
      <c r="F1489" s="232" t="s">
        <v>28132</v>
      </c>
      <c r="G1489" s="232"/>
      <c r="H1489" s="232">
        <v>9.430232081E9</v>
      </c>
      <c r="I1489" s="509" t="s">
        <v>27808</v>
      </c>
      <c r="J1489" s="232" t="b">
        <v>0</v>
      </c>
      <c r="K1489" s="232" t="s">
        <v>334</v>
      </c>
      <c r="L1489" s="232"/>
      <c r="M1489" s="511"/>
      <c r="N1489" s="232"/>
      <c r="O1489" s="232"/>
      <c r="P1489" s="312"/>
      <c r="Q1489" s="312"/>
      <c r="R1489" s="312"/>
      <c r="S1489" s="312"/>
      <c r="T1489" s="312"/>
      <c r="U1489" s="312"/>
    </row>
    <row r="1490">
      <c r="A1490" s="508" t="s">
        <v>28101</v>
      </c>
      <c r="B1490" s="232" t="s">
        <v>28133</v>
      </c>
      <c r="C1490" s="509" t="s">
        <v>28134</v>
      </c>
      <c r="D1490" s="511"/>
      <c r="E1490" s="511"/>
      <c r="F1490" s="232"/>
      <c r="G1490" s="232" t="s">
        <v>1691</v>
      </c>
      <c r="H1490" s="232">
        <v>6.297620829E9</v>
      </c>
      <c r="I1490" s="509" t="s">
        <v>28135</v>
      </c>
      <c r="J1490" s="232" t="b">
        <v>0</v>
      </c>
      <c r="K1490" s="232" t="s">
        <v>334</v>
      </c>
      <c r="L1490" s="232"/>
      <c r="M1490" s="511"/>
      <c r="N1490" s="232"/>
      <c r="O1490" s="232"/>
      <c r="P1490" s="312"/>
      <c r="Q1490" s="312"/>
      <c r="R1490" s="312"/>
      <c r="S1490" s="312"/>
      <c r="T1490" s="312"/>
      <c r="U1490" s="312"/>
    </row>
    <row r="1491">
      <c r="A1491" s="508" t="s">
        <v>28101</v>
      </c>
      <c r="B1491" s="232" t="s">
        <v>28136</v>
      </c>
      <c r="C1491" s="509" t="s">
        <v>28137</v>
      </c>
      <c r="D1491" s="511"/>
      <c r="E1491" s="511"/>
      <c r="F1491" s="232" t="s">
        <v>28138</v>
      </c>
      <c r="G1491" s="232" t="s">
        <v>44</v>
      </c>
      <c r="H1491" s="232">
        <v>8.926099963E9</v>
      </c>
      <c r="I1491" s="509" t="s">
        <v>28139</v>
      </c>
      <c r="J1491" s="232" t="b">
        <v>0</v>
      </c>
      <c r="K1491" s="232" t="s">
        <v>22365</v>
      </c>
      <c r="L1491" s="232" t="s">
        <v>23537</v>
      </c>
      <c r="M1491" s="511"/>
      <c r="N1491" s="232"/>
      <c r="O1491" s="232"/>
      <c r="P1491" s="312"/>
      <c r="Q1491" s="312"/>
      <c r="R1491" s="312"/>
      <c r="S1491" s="312"/>
      <c r="T1491" s="312"/>
      <c r="U1491" s="312"/>
    </row>
    <row r="1492">
      <c r="A1492" s="508" t="s">
        <v>28140</v>
      </c>
      <c r="B1492" s="232" t="s">
        <v>28141</v>
      </c>
      <c r="C1492" s="509" t="s">
        <v>28142</v>
      </c>
      <c r="D1492" s="510" t="s">
        <v>28143</v>
      </c>
      <c r="E1492" s="511"/>
      <c r="F1492" s="232" t="s">
        <v>28144</v>
      </c>
      <c r="G1492" s="232" t="s">
        <v>519</v>
      </c>
      <c r="H1492" s="232">
        <v>9.924696999E9</v>
      </c>
      <c r="I1492" s="509" t="s">
        <v>25637</v>
      </c>
      <c r="J1492" s="232" t="b">
        <v>0</v>
      </c>
      <c r="K1492" s="232" t="s">
        <v>22355</v>
      </c>
      <c r="L1492" s="232"/>
      <c r="M1492" s="511"/>
      <c r="N1492" s="232"/>
      <c r="O1492" s="232"/>
      <c r="P1492" s="312"/>
      <c r="Q1492" s="312"/>
      <c r="R1492" s="312"/>
      <c r="S1492" s="312"/>
      <c r="T1492" s="312"/>
      <c r="U1492" s="312"/>
    </row>
    <row r="1493">
      <c r="A1493" s="508" t="s">
        <v>28140</v>
      </c>
      <c r="B1493" s="232" t="s">
        <v>28145</v>
      </c>
      <c r="C1493" s="509" t="s">
        <v>28146</v>
      </c>
      <c r="D1493" s="511"/>
      <c r="E1493" s="511"/>
      <c r="F1493" s="232" t="s">
        <v>28147</v>
      </c>
      <c r="G1493" s="232" t="s">
        <v>22292</v>
      </c>
      <c r="H1493" s="232">
        <v>9.822419695E9</v>
      </c>
      <c r="I1493" s="509" t="s">
        <v>22354</v>
      </c>
      <c r="J1493" s="232" t="b">
        <v>0</v>
      </c>
      <c r="K1493" s="232" t="s">
        <v>22365</v>
      </c>
      <c r="L1493" s="232"/>
      <c r="M1493" s="511"/>
      <c r="N1493" s="232"/>
      <c r="O1493" s="232"/>
      <c r="P1493" s="312"/>
      <c r="Q1493" s="312"/>
      <c r="R1493" s="312"/>
      <c r="S1493" s="312"/>
      <c r="T1493" s="312"/>
      <c r="U1493" s="312"/>
    </row>
    <row r="1494">
      <c r="A1494" s="508" t="s">
        <v>28140</v>
      </c>
      <c r="B1494" s="232" t="s">
        <v>28148</v>
      </c>
      <c r="C1494" s="509" t="s">
        <v>28149</v>
      </c>
      <c r="D1494" s="510" t="s">
        <v>28150</v>
      </c>
      <c r="E1494" s="511"/>
      <c r="F1494" s="232"/>
      <c r="G1494" s="232" t="s">
        <v>99</v>
      </c>
      <c r="H1494" s="232">
        <v>8.895837542E9</v>
      </c>
      <c r="I1494" s="509" t="s">
        <v>22289</v>
      </c>
      <c r="J1494" s="232" t="b">
        <v>0</v>
      </c>
      <c r="K1494" s="232"/>
      <c r="L1494" s="232"/>
      <c r="M1494" s="511"/>
      <c r="N1494" s="232"/>
      <c r="O1494" s="232"/>
      <c r="P1494" s="312"/>
      <c r="Q1494" s="312"/>
      <c r="R1494" s="312"/>
      <c r="S1494" s="312"/>
      <c r="T1494" s="312"/>
      <c r="U1494" s="312"/>
    </row>
    <row r="1495">
      <c r="A1495" s="508" t="s">
        <v>28140</v>
      </c>
      <c r="B1495" s="232" t="s">
        <v>28151</v>
      </c>
      <c r="C1495" s="509" t="s">
        <v>28152</v>
      </c>
      <c r="D1495" s="511"/>
      <c r="E1495" s="511"/>
      <c r="F1495" s="232"/>
      <c r="G1495" s="232" t="s">
        <v>977</v>
      </c>
      <c r="H1495" s="232">
        <v>6.200230446E9</v>
      </c>
      <c r="I1495" s="509" t="s">
        <v>22278</v>
      </c>
      <c r="J1495" s="232" t="b">
        <v>0</v>
      </c>
      <c r="K1495" s="232" t="s">
        <v>334</v>
      </c>
      <c r="L1495" s="232"/>
      <c r="M1495" s="511"/>
      <c r="N1495" s="232"/>
      <c r="O1495" s="232"/>
      <c r="P1495" s="312"/>
      <c r="Q1495" s="312"/>
      <c r="R1495" s="312"/>
      <c r="S1495" s="312"/>
      <c r="T1495" s="312"/>
      <c r="U1495" s="312"/>
    </row>
    <row r="1496">
      <c r="A1496" s="508" t="s">
        <v>28140</v>
      </c>
      <c r="B1496" s="232" t="s">
        <v>28153</v>
      </c>
      <c r="C1496" s="509" t="s">
        <v>28154</v>
      </c>
      <c r="D1496" s="511"/>
      <c r="E1496" s="511"/>
      <c r="F1496" s="232" t="s">
        <v>28155</v>
      </c>
      <c r="G1496" s="232" t="s">
        <v>28156</v>
      </c>
      <c r="H1496" s="232">
        <v>9.933531507E9</v>
      </c>
      <c r="I1496" s="509" t="s">
        <v>22373</v>
      </c>
      <c r="J1496" s="232" t="b">
        <v>0</v>
      </c>
      <c r="K1496" s="232" t="s">
        <v>334</v>
      </c>
      <c r="L1496" s="232"/>
      <c r="M1496" s="511"/>
      <c r="N1496" s="232"/>
      <c r="O1496" s="232"/>
      <c r="P1496" s="312"/>
      <c r="Q1496" s="312"/>
      <c r="R1496" s="312"/>
      <c r="S1496" s="312"/>
      <c r="T1496" s="312"/>
      <c r="U1496" s="312"/>
    </row>
    <row r="1497">
      <c r="A1497" s="508" t="s">
        <v>28140</v>
      </c>
      <c r="B1497" s="232" t="s">
        <v>28157</v>
      </c>
      <c r="C1497" s="509" t="s">
        <v>23120</v>
      </c>
      <c r="D1497" s="511"/>
      <c r="E1497" s="511"/>
      <c r="F1497" s="232" t="s">
        <v>23122</v>
      </c>
      <c r="G1497" s="232" t="s">
        <v>158</v>
      </c>
      <c r="H1497" s="232">
        <v>9.831046924E9</v>
      </c>
      <c r="I1497" s="509" t="s">
        <v>23123</v>
      </c>
      <c r="J1497" s="232" t="b">
        <v>0</v>
      </c>
      <c r="K1497" s="232" t="s">
        <v>22349</v>
      </c>
      <c r="L1497" s="232" t="s">
        <v>22904</v>
      </c>
      <c r="M1497" s="511"/>
      <c r="N1497" s="232"/>
      <c r="O1497" s="232"/>
      <c r="P1497" s="312"/>
      <c r="Q1497" s="312"/>
      <c r="R1497" s="312"/>
      <c r="S1497" s="312"/>
      <c r="T1497" s="312"/>
      <c r="U1497" s="312"/>
    </row>
    <row r="1498">
      <c r="A1498" s="508" t="s">
        <v>28140</v>
      </c>
      <c r="B1498" s="232" t="s">
        <v>28158</v>
      </c>
      <c r="C1498" s="509" t="s">
        <v>28159</v>
      </c>
      <c r="D1498" s="511"/>
      <c r="E1498" s="511"/>
      <c r="F1498" s="232"/>
      <c r="G1498" s="232" t="s">
        <v>44</v>
      </c>
      <c r="H1498" s="232">
        <v>9.330331634E9</v>
      </c>
      <c r="I1498" s="509" t="s">
        <v>28160</v>
      </c>
      <c r="J1498" s="232" t="b">
        <v>0</v>
      </c>
      <c r="K1498" s="232" t="s">
        <v>22355</v>
      </c>
      <c r="L1498" s="232"/>
      <c r="M1498" s="511"/>
      <c r="N1498" s="232"/>
      <c r="O1498" s="232"/>
      <c r="P1498" s="312"/>
      <c r="Q1498" s="312"/>
      <c r="R1498" s="312"/>
      <c r="S1498" s="312"/>
      <c r="T1498" s="312"/>
      <c r="U1498" s="312"/>
    </row>
    <row r="1499">
      <c r="A1499" s="508" t="s">
        <v>28140</v>
      </c>
      <c r="B1499" s="232" t="s">
        <v>28161</v>
      </c>
      <c r="C1499" s="509" t="s">
        <v>28162</v>
      </c>
      <c r="D1499" s="511"/>
      <c r="E1499" s="511"/>
      <c r="F1499" s="232" t="s">
        <v>28163</v>
      </c>
      <c r="G1499" s="232" t="s">
        <v>28164</v>
      </c>
      <c r="H1499" s="232">
        <v>7.318404344E9</v>
      </c>
      <c r="I1499" s="509" t="s">
        <v>22373</v>
      </c>
      <c r="J1499" s="232" t="b">
        <v>0</v>
      </c>
      <c r="K1499" s="232" t="s">
        <v>334</v>
      </c>
      <c r="L1499" s="232"/>
      <c r="M1499" s="511"/>
      <c r="N1499" s="232"/>
      <c r="O1499" s="232"/>
      <c r="P1499" s="312"/>
      <c r="Q1499" s="312"/>
      <c r="R1499" s="312"/>
      <c r="S1499" s="312"/>
      <c r="T1499" s="312"/>
      <c r="U1499" s="312"/>
    </row>
    <row r="1500">
      <c r="A1500" s="508" t="s">
        <v>28140</v>
      </c>
      <c r="B1500" s="232" t="s">
        <v>28165</v>
      </c>
      <c r="C1500" s="509" t="s">
        <v>28166</v>
      </c>
      <c r="D1500" s="511"/>
      <c r="E1500" s="511"/>
      <c r="F1500" s="232" t="s">
        <v>28167</v>
      </c>
      <c r="G1500" s="232" t="s">
        <v>268</v>
      </c>
      <c r="H1500" s="232">
        <v>6.296551575E9</v>
      </c>
      <c r="I1500" s="509" t="s">
        <v>22961</v>
      </c>
      <c r="J1500" s="232" t="b">
        <v>0</v>
      </c>
      <c r="K1500" s="232" t="s">
        <v>22365</v>
      </c>
      <c r="L1500" s="232" t="s">
        <v>23537</v>
      </c>
      <c r="M1500" s="511"/>
      <c r="N1500" s="232"/>
      <c r="O1500" s="232"/>
      <c r="P1500" s="312"/>
      <c r="Q1500" s="312"/>
      <c r="R1500" s="312"/>
      <c r="S1500" s="312"/>
      <c r="T1500" s="312"/>
      <c r="U1500" s="312"/>
    </row>
    <row r="1501">
      <c r="A1501" s="508" t="s">
        <v>28140</v>
      </c>
      <c r="B1501" s="232" t="s">
        <v>28168</v>
      </c>
      <c r="C1501" s="509" t="s">
        <v>28169</v>
      </c>
      <c r="D1501" s="511"/>
      <c r="E1501" s="511"/>
      <c r="F1501" s="232"/>
      <c r="G1501" s="232" t="s">
        <v>44</v>
      </c>
      <c r="H1501" s="232">
        <v>7.063703487E9</v>
      </c>
      <c r="I1501" s="509" t="s">
        <v>22289</v>
      </c>
      <c r="J1501" s="232" t="b">
        <v>0</v>
      </c>
      <c r="K1501" s="232"/>
      <c r="L1501" s="232"/>
      <c r="M1501" s="511"/>
      <c r="N1501" s="232"/>
      <c r="O1501" s="232"/>
      <c r="P1501" s="312"/>
      <c r="Q1501" s="312"/>
      <c r="R1501" s="312"/>
      <c r="S1501" s="312"/>
      <c r="T1501" s="312"/>
      <c r="U1501" s="312"/>
    </row>
    <row r="1502">
      <c r="A1502" s="508" t="s">
        <v>28170</v>
      </c>
      <c r="B1502" s="232" t="s">
        <v>28171</v>
      </c>
      <c r="C1502" s="509" t="s">
        <v>28172</v>
      </c>
      <c r="D1502" s="510" t="s">
        <v>28173</v>
      </c>
      <c r="E1502" s="511"/>
      <c r="F1502" s="232" t="s">
        <v>28174</v>
      </c>
      <c r="G1502" s="232" t="s">
        <v>22292</v>
      </c>
      <c r="H1502" s="232">
        <v>8.421110215E9</v>
      </c>
      <c r="I1502" s="509" t="s">
        <v>28175</v>
      </c>
      <c r="J1502" s="232" t="b">
        <v>0</v>
      </c>
      <c r="K1502" s="232" t="s">
        <v>22365</v>
      </c>
      <c r="L1502" s="232" t="s">
        <v>23537</v>
      </c>
      <c r="M1502" s="511"/>
      <c r="N1502" s="232"/>
      <c r="O1502" s="232"/>
      <c r="P1502" s="312"/>
      <c r="Q1502" s="312"/>
      <c r="R1502" s="312"/>
      <c r="S1502" s="312"/>
      <c r="T1502" s="312"/>
      <c r="U1502" s="312"/>
    </row>
    <row r="1503">
      <c r="A1503" s="508" t="s">
        <v>28170</v>
      </c>
      <c r="B1503" s="232" t="s">
        <v>28176</v>
      </c>
      <c r="C1503" s="509" t="s">
        <v>28177</v>
      </c>
      <c r="D1503" s="510" t="s">
        <v>28178</v>
      </c>
      <c r="E1503" s="511"/>
      <c r="F1503" s="232" t="s">
        <v>28179</v>
      </c>
      <c r="G1503" s="232" t="s">
        <v>26216</v>
      </c>
      <c r="H1503" s="232">
        <v>8.114886361E9</v>
      </c>
      <c r="I1503" s="509" t="s">
        <v>28180</v>
      </c>
      <c r="J1503" s="232" t="b">
        <v>0</v>
      </c>
      <c r="K1503" s="232" t="s">
        <v>22365</v>
      </c>
      <c r="L1503" s="232" t="s">
        <v>23537</v>
      </c>
      <c r="M1503" s="511"/>
      <c r="N1503" s="232"/>
      <c r="O1503" s="232"/>
      <c r="P1503" s="312"/>
      <c r="Q1503" s="312"/>
      <c r="R1503" s="312"/>
      <c r="S1503" s="312"/>
      <c r="T1503" s="312"/>
      <c r="U1503" s="312"/>
    </row>
    <row r="1504">
      <c r="A1504" s="508" t="s">
        <v>28170</v>
      </c>
      <c r="B1504" s="232" t="s">
        <v>28181</v>
      </c>
      <c r="C1504" s="509" t="s">
        <v>28182</v>
      </c>
      <c r="D1504" s="511"/>
      <c r="E1504" s="511"/>
      <c r="F1504" s="232" t="s">
        <v>28183</v>
      </c>
      <c r="G1504" s="232" t="s">
        <v>44</v>
      </c>
      <c r="H1504" s="232">
        <v>8.240984607E9</v>
      </c>
      <c r="I1504" s="509" t="s">
        <v>22289</v>
      </c>
      <c r="J1504" s="232" t="b">
        <v>0</v>
      </c>
      <c r="K1504" s="232" t="s">
        <v>22365</v>
      </c>
      <c r="L1504" s="232"/>
      <c r="M1504" s="511"/>
      <c r="N1504" s="232"/>
      <c r="O1504" s="232"/>
      <c r="P1504" s="312"/>
      <c r="Q1504" s="312"/>
      <c r="R1504" s="312"/>
      <c r="S1504" s="312"/>
      <c r="T1504" s="312"/>
      <c r="U1504" s="312"/>
    </row>
    <row r="1505">
      <c r="A1505" s="508" t="s">
        <v>28170</v>
      </c>
      <c r="B1505" s="232" t="s">
        <v>28184</v>
      </c>
      <c r="C1505" s="509" t="s">
        <v>28185</v>
      </c>
      <c r="D1505" s="511"/>
      <c r="E1505" s="511"/>
      <c r="F1505" s="232" t="s">
        <v>6173</v>
      </c>
      <c r="G1505" s="232" t="s">
        <v>44</v>
      </c>
      <c r="H1505" s="232">
        <v>8.420883002E9</v>
      </c>
      <c r="I1505" s="509" t="s">
        <v>28186</v>
      </c>
      <c r="J1505" s="232" t="b">
        <v>0</v>
      </c>
      <c r="K1505" s="232" t="s">
        <v>334</v>
      </c>
      <c r="L1505" s="232"/>
      <c r="M1505" s="511"/>
      <c r="N1505" s="232"/>
      <c r="O1505" s="232"/>
      <c r="P1505" s="312"/>
      <c r="Q1505" s="312"/>
      <c r="R1505" s="312"/>
      <c r="S1505" s="312"/>
      <c r="T1505" s="312"/>
      <c r="U1505" s="312"/>
    </row>
    <row r="1506">
      <c r="A1506" s="508" t="s">
        <v>28170</v>
      </c>
      <c r="B1506" s="232" t="s">
        <v>28187</v>
      </c>
      <c r="C1506" s="509" t="s">
        <v>28188</v>
      </c>
      <c r="D1506" s="511"/>
      <c r="E1506" s="511"/>
      <c r="F1506" s="232" t="s">
        <v>28189</v>
      </c>
      <c r="G1506" s="232" t="s">
        <v>28190</v>
      </c>
      <c r="H1506" s="232">
        <v>7.257997891E9</v>
      </c>
      <c r="I1506" s="509" t="s">
        <v>28191</v>
      </c>
      <c r="J1506" s="232" t="b">
        <v>0</v>
      </c>
      <c r="K1506" s="232" t="s">
        <v>22365</v>
      </c>
      <c r="L1506" s="232" t="s">
        <v>23537</v>
      </c>
      <c r="M1506" s="511"/>
      <c r="N1506" s="232"/>
      <c r="O1506" s="232"/>
      <c r="P1506" s="312"/>
      <c r="Q1506" s="312"/>
      <c r="R1506" s="312"/>
      <c r="S1506" s="312"/>
      <c r="T1506" s="312"/>
      <c r="U1506" s="312"/>
    </row>
    <row r="1507">
      <c r="A1507" s="508" t="s">
        <v>28170</v>
      </c>
      <c r="B1507" s="232" t="s">
        <v>28192</v>
      </c>
      <c r="C1507" s="509" t="s">
        <v>2610</v>
      </c>
      <c r="D1507" s="511"/>
      <c r="E1507" s="511"/>
      <c r="F1507" s="232" t="s">
        <v>28193</v>
      </c>
      <c r="G1507" s="232" t="s">
        <v>27983</v>
      </c>
      <c r="H1507" s="232">
        <v>7.978044429E9</v>
      </c>
      <c r="I1507" s="509" t="s">
        <v>22727</v>
      </c>
      <c r="J1507" s="232" t="b">
        <v>0</v>
      </c>
      <c r="K1507" s="232" t="s">
        <v>22349</v>
      </c>
      <c r="L1507" s="232" t="s">
        <v>28194</v>
      </c>
      <c r="M1507" s="511"/>
      <c r="N1507" s="232"/>
      <c r="O1507" s="232"/>
      <c r="P1507" s="312"/>
      <c r="Q1507" s="312"/>
      <c r="R1507" s="312"/>
      <c r="S1507" s="312"/>
      <c r="T1507" s="312"/>
      <c r="U1507" s="312"/>
    </row>
    <row r="1508">
      <c r="A1508" s="508" t="s">
        <v>28170</v>
      </c>
      <c r="B1508" s="232" t="s">
        <v>28195</v>
      </c>
      <c r="C1508" s="509" t="s">
        <v>28196</v>
      </c>
      <c r="D1508" s="511"/>
      <c r="E1508" s="511"/>
      <c r="F1508" s="232" t="s">
        <v>28197</v>
      </c>
      <c r="G1508" s="232" t="s">
        <v>4944</v>
      </c>
      <c r="H1508" s="232">
        <v>9.110745303E9</v>
      </c>
      <c r="I1508" s="509" t="s">
        <v>28198</v>
      </c>
      <c r="J1508" s="232" t="b">
        <v>0</v>
      </c>
      <c r="K1508" s="232"/>
      <c r="L1508" s="232"/>
      <c r="M1508" s="511"/>
      <c r="N1508" s="232"/>
      <c r="O1508" s="232"/>
      <c r="P1508" s="312"/>
      <c r="Q1508" s="312"/>
      <c r="R1508" s="312"/>
      <c r="S1508" s="312"/>
      <c r="T1508" s="312"/>
      <c r="U1508" s="312"/>
    </row>
    <row r="1509">
      <c r="A1509" s="508" t="s">
        <v>28199</v>
      </c>
      <c r="B1509" s="232" t="s">
        <v>28200</v>
      </c>
      <c r="C1509" s="509" t="s">
        <v>28201</v>
      </c>
      <c r="D1509" s="511"/>
      <c r="E1509" s="511"/>
      <c r="F1509" s="232"/>
      <c r="G1509" s="232"/>
      <c r="H1509" s="232">
        <v>6.290516994E9</v>
      </c>
      <c r="I1509" s="509" t="s">
        <v>28202</v>
      </c>
      <c r="J1509" s="232" t="b">
        <v>0</v>
      </c>
      <c r="K1509" s="232"/>
      <c r="L1509" s="232"/>
      <c r="M1509" s="511"/>
      <c r="N1509" s="232"/>
      <c r="O1509" s="232"/>
      <c r="P1509" s="312"/>
      <c r="Q1509" s="312"/>
      <c r="R1509" s="312"/>
      <c r="S1509" s="312"/>
      <c r="T1509" s="312"/>
      <c r="U1509" s="312"/>
    </row>
    <row r="1510">
      <c r="A1510" s="508" t="s">
        <v>28199</v>
      </c>
      <c r="B1510" s="232" t="s">
        <v>28203</v>
      </c>
      <c r="C1510" s="509" t="s">
        <v>28204</v>
      </c>
      <c r="D1510" s="511"/>
      <c r="E1510" s="510" t="s">
        <v>28205</v>
      </c>
      <c r="F1510" s="232" t="s">
        <v>28206</v>
      </c>
      <c r="G1510" s="232" t="s">
        <v>28207</v>
      </c>
      <c r="H1510" s="232">
        <v>7.021017643E9</v>
      </c>
      <c r="I1510" s="509" t="s">
        <v>28208</v>
      </c>
      <c r="J1510" s="232" t="b">
        <v>0</v>
      </c>
      <c r="K1510" s="232" t="s">
        <v>22355</v>
      </c>
      <c r="L1510" s="232"/>
      <c r="M1510" s="511"/>
      <c r="N1510" s="232"/>
      <c r="O1510" s="232"/>
      <c r="P1510" s="312"/>
      <c r="Q1510" s="312"/>
      <c r="R1510" s="312"/>
      <c r="S1510" s="312"/>
      <c r="T1510" s="312"/>
      <c r="U1510" s="312"/>
    </row>
    <row r="1511">
      <c r="A1511" s="508" t="s">
        <v>28199</v>
      </c>
      <c r="B1511" s="232" t="s">
        <v>28209</v>
      </c>
      <c r="C1511" s="509" t="s">
        <v>28210</v>
      </c>
      <c r="D1511" s="511"/>
      <c r="E1511" s="511"/>
      <c r="F1511" s="232"/>
      <c r="G1511" s="232"/>
      <c r="H1511" s="232">
        <v>9.405791788E9</v>
      </c>
      <c r="I1511" s="509" t="s">
        <v>22364</v>
      </c>
      <c r="J1511" s="232" t="b">
        <v>0</v>
      </c>
      <c r="K1511" s="232" t="s">
        <v>22365</v>
      </c>
      <c r="L1511" s="232" t="s">
        <v>23537</v>
      </c>
      <c r="M1511" s="511"/>
      <c r="N1511" s="232"/>
      <c r="O1511" s="232"/>
      <c r="P1511" s="312"/>
      <c r="Q1511" s="312"/>
      <c r="R1511" s="312"/>
      <c r="S1511" s="312"/>
      <c r="T1511" s="312"/>
      <c r="U1511" s="312"/>
    </row>
    <row r="1512">
      <c r="A1512" s="508" t="s">
        <v>28199</v>
      </c>
      <c r="B1512" s="232" t="s">
        <v>28211</v>
      </c>
      <c r="C1512" s="509" t="s">
        <v>28212</v>
      </c>
      <c r="D1512" s="510" t="s">
        <v>28213</v>
      </c>
      <c r="E1512" s="511"/>
      <c r="F1512" s="232"/>
      <c r="G1512" s="232" t="s">
        <v>23981</v>
      </c>
      <c r="H1512" s="232">
        <v>9.007339636E9</v>
      </c>
      <c r="I1512" s="509" t="s">
        <v>28214</v>
      </c>
      <c r="J1512" s="232" t="b">
        <v>0</v>
      </c>
      <c r="K1512" s="232" t="s">
        <v>22365</v>
      </c>
      <c r="L1512" s="232" t="s">
        <v>27809</v>
      </c>
      <c r="M1512" s="511"/>
      <c r="N1512" s="232"/>
      <c r="O1512" s="232"/>
      <c r="P1512" s="312"/>
      <c r="Q1512" s="312"/>
      <c r="R1512" s="312"/>
      <c r="S1512" s="312"/>
      <c r="T1512" s="312"/>
      <c r="U1512" s="312"/>
    </row>
    <row r="1513">
      <c r="A1513" s="508" t="s">
        <v>28199</v>
      </c>
      <c r="B1513" s="232" t="s">
        <v>28215</v>
      </c>
      <c r="C1513" s="509" t="s">
        <v>28216</v>
      </c>
      <c r="D1513" s="510"/>
      <c r="E1513" s="511"/>
      <c r="F1513" s="232" t="s">
        <v>28217</v>
      </c>
      <c r="G1513" s="232" t="s">
        <v>1663</v>
      </c>
      <c r="H1513" s="232">
        <v>7.259003743E9</v>
      </c>
      <c r="I1513" s="509" t="s">
        <v>28218</v>
      </c>
      <c r="J1513" s="232" t="b">
        <v>0</v>
      </c>
      <c r="K1513" s="232" t="s">
        <v>22365</v>
      </c>
      <c r="L1513" s="232" t="s">
        <v>23537</v>
      </c>
      <c r="M1513" s="511"/>
      <c r="N1513" s="232"/>
      <c r="O1513" s="232"/>
      <c r="P1513" s="312"/>
      <c r="Q1513" s="312"/>
      <c r="R1513" s="312"/>
      <c r="S1513" s="312"/>
      <c r="T1513" s="312"/>
      <c r="U1513" s="312"/>
    </row>
    <row r="1514">
      <c r="A1514" s="508" t="s">
        <v>28199</v>
      </c>
      <c r="B1514" s="232" t="s">
        <v>28219</v>
      </c>
      <c r="C1514" s="509" t="s">
        <v>28220</v>
      </c>
      <c r="D1514" s="510" t="s">
        <v>28221</v>
      </c>
      <c r="E1514" s="511"/>
      <c r="F1514" s="232" t="s">
        <v>28222</v>
      </c>
      <c r="G1514" s="232" t="s">
        <v>22818</v>
      </c>
      <c r="H1514" s="232">
        <v>7.094893455E9</v>
      </c>
      <c r="I1514" s="509" t="s">
        <v>28223</v>
      </c>
      <c r="J1514" s="232" t="b">
        <v>0</v>
      </c>
      <c r="K1514" s="232" t="s">
        <v>12092</v>
      </c>
      <c r="L1514" s="232"/>
      <c r="M1514" s="511"/>
      <c r="N1514" s="232"/>
      <c r="O1514" s="232"/>
      <c r="P1514" s="312"/>
      <c r="Q1514" s="312"/>
      <c r="R1514" s="312"/>
      <c r="S1514" s="312"/>
      <c r="T1514" s="312"/>
      <c r="U1514" s="312"/>
    </row>
    <row r="1515">
      <c r="A1515" s="508" t="s">
        <v>28199</v>
      </c>
      <c r="B1515" s="232" t="s">
        <v>28224</v>
      </c>
      <c r="C1515" s="509" t="s">
        <v>28225</v>
      </c>
      <c r="D1515" s="511"/>
      <c r="E1515" s="511"/>
      <c r="F1515" s="232"/>
      <c r="G1515" s="232" t="s">
        <v>28226</v>
      </c>
      <c r="H1515" s="232">
        <v>-8.016885329E9</v>
      </c>
      <c r="I1515" s="509" t="s">
        <v>28227</v>
      </c>
      <c r="J1515" s="232" t="b">
        <v>0</v>
      </c>
      <c r="K1515" s="232" t="s">
        <v>12092</v>
      </c>
      <c r="L1515" s="232"/>
      <c r="M1515" s="511"/>
      <c r="N1515" s="232"/>
      <c r="O1515" s="232"/>
      <c r="P1515" s="312"/>
      <c r="Q1515" s="312"/>
      <c r="R1515" s="312"/>
      <c r="S1515" s="312"/>
      <c r="T1515" s="312"/>
      <c r="U1515" s="312"/>
    </row>
    <row r="1516">
      <c r="A1516" s="508" t="s">
        <v>28199</v>
      </c>
      <c r="B1516" s="232" t="s">
        <v>28228</v>
      </c>
      <c r="C1516" s="509" t="s">
        <v>28229</v>
      </c>
      <c r="D1516" s="511"/>
      <c r="E1516" s="511"/>
      <c r="F1516" s="232" t="s">
        <v>28230</v>
      </c>
      <c r="G1516" s="232" t="s">
        <v>28231</v>
      </c>
      <c r="H1516" s="232">
        <v>9.583205735E9</v>
      </c>
      <c r="I1516" s="509" t="s">
        <v>28232</v>
      </c>
      <c r="J1516" s="232" t="b">
        <v>0</v>
      </c>
      <c r="K1516" s="232" t="s">
        <v>334</v>
      </c>
      <c r="L1516" s="232" t="s">
        <v>28233</v>
      </c>
      <c r="M1516" s="511"/>
      <c r="N1516" s="232"/>
      <c r="O1516" s="232"/>
      <c r="P1516" s="312"/>
      <c r="Q1516" s="312"/>
      <c r="R1516" s="312"/>
      <c r="S1516" s="312"/>
      <c r="T1516" s="312"/>
      <c r="U1516" s="312"/>
    </row>
    <row r="1517">
      <c r="A1517" s="508" t="s">
        <v>28199</v>
      </c>
      <c r="B1517" s="232" t="s">
        <v>28234</v>
      </c>
      <c r="C1517" s="509" t="s">
        <v>28235</v>
      </c>
      <c r="D1517" s="511"/>
      <c r="E1517" s="511"/>
      <c r="F1517" s="232"/>
      <c r="G1517" s="232" t="s">
        <v>27170</v>
      </c>
      <c r="H1517" s="232">
        <v>8.013655512E9</v>
      </c>
      <c r="I1517" s="509" t="s">
        <v>28236</v>
      </c>
      <c r="J1517" s="232" t="b">
        <v>0</v>
      </c>
      <c r="K1517" s="232" t="s">
        <v>22365</v>
      </c>
      <c r="L1517" s="232" t="s">
        <v>28237</v>
      </c>
      <c r="M1517" s="511"/>
      <c r="N1517" s="232"/>
      <c r="O1517" s="232"/>
      <c r="P1517" s="312"/>
      <c r="Q1517" s="312"/>
      <c r="R1517" s="312"/>
      <c r="S1517" s="312"/>
      <c r="T1517" s="312"/>
      <c r="U1517" s="312"/>
    </row>
    <row r="1518">
      <c r="A1518" s="508" t="s">
        <v>28238</v>
      </c>
      <c r="B1518" s="232" t="s">
        <v>28239</v>
      </c>
      <c r="C1518" s="509" t="s">
        <v>28240</v>
      </c>
      <c r="D1518" s="511"/>
      <c r="E1518" s="511"/>
      <c r="F1518" s="232"/>
      <c r="G1518" s="232" t="s">
        <v>9359</v>
      </c>
      <c r="H1518" s="232">
        <v>-9.885477152E9</v>
      </c>
      <c r="I1518" s="509" t="s">
        <v>28241</v>
      </c>
      <c r="J1518" s="232" t="b">
        <v>0</v>
      </c>
      <c r="K1518" s="232" t="s">
        <v>22365</v>
      </c>
      <c r="L1518" s="232" t="s">
        <v>23537</v>
      </c>
      <c r="M1518" s="511"/>
      <c r="N1518" s="232"/>
      <c r="O1518" s="232"/>
      <c r="P1518" s="312"/>
      <c r="Q1518" s="312"/>
      <c r="R1518" s="312"/>
      <c r="S1518" s="312"/>
      <c r="T1518" s="312"/>
      <c r="U1518" s="312"/>
    </row>
    <row r="1519">
      <c r="A1519" s="508" t="s">
        <v>28238</v>
      </c>
      <c r="B1519" s="232" t="s">
        <v>28242</v>
      </c>
      <c r="C1519" s="509" t="s">
        <v>28243</v>
      </c>
      <c r="D1519" s="519"/>
      <c r="E1519" s="511"/>
      <c r="F1519" s="232"/>
      <c r="G1519" s="232" t="s">
        <v>28244</v>
      </c>
      <c r="H1519" s="232">
        <v>7.076260066E9</v>
      </c>
      <c r="I1519" s="509" t="s">
        <v>22903</v>
      </c>
      <c r="J1519" s="232" t="b">
        <v>0</v>
      </c>
      <c r="K1519" s="232" t="s">
        <v>22365</v>
      </c>
      <c r="L1519" s="232" t="s">
        <v>28245</v>
      </c>
      <c r="M1519" s="511"/>
      <c r="N1519" s="232"/>
      <c r="O1519" s="232"/>
      <c r="P1519" s="312"/>
      <c r="Q1519" s="312"/>
      <c r="R1519" s="312"/>
      <c r="S1519" s="312"/>
      <c r="T1519" s="312"/>
      <c r="U1519" s="312"/>
    </row>
    <row r="1520">
      <c r="A1520" s="508" t="s">
        <v>28238</v>
      </c>
      <c r="B1520" s="232" t="s">
        <v>28246</v>
      </c>
      <c r="C1520" s="509" t="s">
        <v>4438</v>
      </c>
      <c r="D1520" s="519" t="s">
        <v>28247</v>
      </c>
      <c r="E1520" s="511"/>
      <c r="F1520" s="232" t="s">
        <v>28248</v>
      </c>
      <c r="G1520" s="232" t="s">
        <v>519</v>
      </c>
      <c r="H1520" s="232">
        <v>9.727548388E9</v>
      </c>
      <c r="I1520" s="509" t="s">
        <v>22903</v>
      </c>
      <c r="J1520" s="232" t="b">
        <v>0</v>
      </c>
      <c r="K1520" s="232" t="s">
        <v>22365</v>
      </c>
      <c r="L1520" s="425" t="s">
        <v>28249</v>
      </c>
      <c r="M1520" s="511"/>
      <c r="N1520" s="232"/>
      <c r="O1520" s="232"/>
      <c r="P1520" s="312"/>
      <c r="Q1520" s="312"/>
      <c r="R1520" s="312"/>
      <c r="S1520" s="312"/>
      <c r="T1520" s="312"/>
      <c r="U1520" s="312"/>
    </row>
    <row r="1521">
      <c r="A1521" s="508" t="s">
        <v>28238</v>
      </c>
      <c r="B1521" s="232" t="s">
        <v>28250</v>
      </c>
      <c r="C1521" s="509" t="s">
        <v>28251</v>
      </c>
      <c r="D1521" s="511"/>
      <c r="E1521" s="511"/>
      <c r="F1521" s="232"/>
      <c r="G1521" s="232" t="s">
        <v>22564</v>
      </c>
      <c r="H1521" s="232">
        <v>8.983197514E9</v>
      </c>
      <c r="I1521" s="509" t="s">
        <v>22851</v>
      </c>
      <c r="J1521" s="232" t="b">
        <v>0</v>
      </c>
      <c r="K1521" s="232" t="s">
        <v>22365</v>
      </c>
      <c r="L1521" s="232" t="s">
        <v>28252</v>
      </c>
      <c r="M1521" s="511"/>
      <c r="N1521" s="232"/>
      <c r="O1521" s="232"/>
      <c r="P1521" s="312"/>
      <c r="Q1521" s="312"/>
      <c r="R1521" s="312"/>
      <c r="S1521" s="312"/>
      <c r="T1521" s="312"/>
      <c r="U1521" s="312"/>
    </row>
    <row r="1522">
      <c r="A1522" s="508" t="s">
        <v>28238</v>
      </c>
      <c r="B1522" s="232" t="s">
        <v>28253</v>
      </c>
      <c r="C1522" s="509" t="s">
        <v>28254</v>
      </c>
      <c r="D1522" s="510" t="s">
        <v>28255</v>
      </c>
      <c r="E1522" s="511"/>
      <c r="F1522" s="232"/>
      <c r="G1522" s="232" t="s">
        <v>23906</v>
      </c>
      <c r="H1522" s="232">
        <v>8.270822727E9</v>
      </c>
      <c r="I1522" s="509" t="s">
        <v>28256</v>
      </c>
      <c r="J1522" s="232" t="b">
        <v>0</v>
      </c>
      <c r="K1522" s="232" t="s">
        <v>22355</v>
      </c>
      <c r="L1522" s="232"/>
      <c r="M1522" s="511"/>
      <c r="N1522" s="232"/>
      <c r="O1522" s="232"/>
      <c r="P1522" s="312"/>
      <c r="Q1522" s="312"/>
      <c r="R1522" s="312"/>
      <c r="S1522" s="312"/>
      <c r="T1522" s="312"/>
      <c r="U1522" s="312"/>
    </row>
    <row r="1523">
      <c r="A1523" s="508" t="s">
        <v>28238</v>
      </c>
      <c r="B1523" s="232" t="s">
        <v>28257</v>
      </c>
      <c r="C1523" s="509" t="s">
        <v>22646</v>
      </c>
      <c r="D1523" s="511"/>
      <c r="E1523" s="511"/>
      <c r="F1523" s="232" t="s">
        <v>28258</v>
      </c>
      <c r="G1523" s="232" t="s">
        <v>28259</v>
      </c>
      <c r="H1523" s="232">
        <v>7.401335222E9</v>
      </c>
      <c r="I1523" s="509" t="s">
        <v>28260</v>
      </c>
      <c r="J1523" s="232" t="b">
        <v>0</v>
      </c>
      <c r="K1523" s="232" t="s">
        <v>334</v>
      </c>
      <c r="L1523" s="232"/>
      <c r="M1523" s="511"/>
      <c r="N1523" s="232"/>
      <c r="O1523" s="232"/>
      <c r="P1523" s="312"/>
      <c r="Q1523" s="312"/>
      <c r="R1523" s="312"/>
      <c r="S1523" s="312"/>
      <c r="T1523" s="312"/>
      <c r="U1523" s="312"/>
    </row>
    <row r="1524">
      <c r="A1524" s="508" t="s">
        <v>28238</v>
      </c>
      <c r="B1524" s="232" t="s">
        <v>28261</v>
      </c>
      <c r="C1524" s="509" t="s">
        <v>28262</v>
      </c>
      <c r="D1524" s="511"/>
      <c r="E1524" s="511"/>
      <c r="F1524" s="232" t="s">
        <v>28263</v>
      </c>
      <c r="G1524" s="232" t="s">
        <v>26514</v>
      </c>
      <c r="H1524" s="232">
        <v>9.331800988E9</v>
      </c>
      <c r="I1524" s="509" t="s">
        <v>23803</v>
      </c>
      <c r="J1524" s="232" t="b">
        <v>0</v>
      </c>
      <c r="K1524" s="232" t="s">
        <v>22365</v>
      </c>
      <c r="L1524" s="232" t="s">
        <v>24196</v>
      </c>
      <c r="M1524" s="511"/>
      <c r="N1524" s="232"/>
      <c r="O1524" s="232"/>
      <c r="P1524" s="312"/>
      <c r="Q1524" s="312"/>
      <c r="R1524" s="312"/>
      <c r="S1524" s="312"/>
      <c r="T1524" s="312"/>
      <c r="U1524" s="312"/>
    </row>
    <row r="1525">
      <c r="A1525" s="508" t="s">
        <v>28238</v>
      </c>
      <c r="B1525" s="232" t="s">
        <v>28264</v>
      </c>
      <c r="C1525" s="509" t="s">
        <v>28265</v>
      </c>
      <c r="D1525" s="511"/>
      <c r="E1525" s="511"/>
      <c r="F1525" s="232"/>
      <c r="G1525" s="232" t="s">
        <v>28266</v>
      </c>
      <c r="H1525" s="232">
        <v>6.289876395E9</v>
      </c>
      <c r="I1525" s="509" t="s">
        <v>26145</v>
      </c>
      <c r="J1525" s="232" t="b">
        <v>0</v>
      </c>
      <c r="K1525" s="232" t="s">
        <v>22365</v>
      </c>
      <c r="L1525" s="232" t="s">
        <v>28267</v>
      </c>
      <c r="M1525" s="511"/>
      <c r="N1525" s="232"/>
      <c r="O1525" s="232"/>
      <c r="P1525" s="312"/>
      <c r="Q1525" s="312"/>
      <c r="R1525" s="312"/>
      <c r="S1525" s="312"/>
      <c r="T1525" s="312"/>
      <c r="U1525" s="312"/>
    </row>
    <row r="1526">
      <c r="A1526" s="508" t="s">
        <v>28238</v>
      </c>
      <c r="B1526" s="232" t="s">
        <v>28268</v>
      </c>
      <c r="C1526" s="509" t="s">
        <v>28269</v>
      </c>
      <c r="D1526" s="511"/>
      <c r="E1526" s="511"/>
      <c r="F1526" s="232"/>
      <c r="G1526" s="232" t="s">
        <v>28270</v>
      </c>
      <c r="H1526" s="19">
        <v>7.061009546E9</v>
      </c>
      <c r="I1526" s="509" t="s">
        <v>28271</v>
      </c>
      <c r="J1526" s="232" t="b">
        <v>0</v>
      </c>
      <c r="K1526" s="232" t="s">
        <v>334</v>
      </c>
      <c r="L1526" s="232"/>
      <c r="M1526" s="511"/>
      <c r="N1526" s="232"/>
      <c r="O1526" s="232"/>
      <c r="P1526" s="312"/>
      <c r="Q1526" s="312"/>
      <c r="R1526" s="312"/>
      <c r="S1526" s="312"/>
      <c r="T1526" s="312"/>
      <c r="U1526" s="312"/>
    </row>
    <row r="1527">
      <c r="A1527" s="508" t="s">
        <v>28238</v>
      </c>
      <c r="B1527" s="232" t="s">
        <v>28272</v>
      </c>
      <c r="C1527" s="509" t="s">
        <v>28273</v>
      </c>
      <c r="D1527" s="511"/>
      <c r="E1527" s="511"/>
      <c r="F1527" s="232"/>
      <c r="G1527" s="232" t="s">
        <v>28190</v>
      </c>
      <c r="H1527" s="232">
        <v>9.117272852E9</v>
      </c>
      <c r="I1527" s="509" t="s">
        <v>23669</v>
      </c>
      <c r="J1527" s="232" t="b">
        <v>0</v>
      </c>
      <c r="K1527" s="232" t="s">
        <v>22365</v>
      </c>
      <c r="L1527" s="232" t="s">
        <v>28274</v>
      </c>
      <c r="M1527" s="511"/>
      <c r="N1527" s="232"/>
      <c r="O1527" s="232"/>
      <c r="P1527" s="312"/>
      <c r="Q1527" s="312"/>
      <c r="R1527" s="312"/>
      <c r="S1527" s="312"/>
      <c r="T1527" s="312"/>
      <c r="U1527" s="312"/>
    </row>
    <row r="1528">
      <c r="A1528" s="508" t="s">
        <v>28238</v>
      </c>
      <c r="B1528" s="232" t="s">
        <v>28275</v>
      </c>
      <c r="C1528" s="509" t="s">
        <v>28276</v>
      </c>
      <c r="D1528" s="511"/>
      <c r="E1528" s="511"/>
      <c r="F1528" s="232" t="s">
        <v>28277</v>
      </c>
      <c r="G1528" s="232" t="s">
        <v>26514</v>
      </c>
      <c r="H1528" s="232">
        <v>9.051441926E9</v>
      </c>
      <c r="I1528" s="509" t="s">
        <v>28278</v>
      </c>
      <c r="J1528" s="232" t="b">
        <v>0</v>
      </c>
      <c r="K1528" s="232" t="s">
        <v>22365</v>
      </c>
      <c r="L1528" s="232" t="s">
        <v>28279</v>
      </c>
      <c r="M1528" s="511"/>
      <c r="N1528" s="232"/>
      <c r="O1528" s="232"/>
      <c r="P1528" s="312"/>
      <c r="Q1528" s="312"/>
      <c r="R1528" s="312"/>
      <c r="S1528" s="312"/>
      <c r="T1528" s="312"/>
      <c r="U1528" s="312"/>
    </row>
    <row r="1529">
      <c r="A1529" s="508" t="s">
        <v>28238</v>
      </c>
      <c r="B1529" s="232" t="s">
        <v>28280</v>
      </c>
      <c r="C1529" s="509" t="s">
        <v>28281</v>
      </c>
      <c r="D1529" s="511"/>
      <c r="E1529" s="511"/>
      <c r="F1529" s="232"/>
      <c r="G1529" s="232" t="s">
        <v>27780</v>
      </c>
      <c r="H1529" s="232">
        <v>8.101083038E9</v>
      </c>
      <c r="I1529" s="528" t="s">
        <v>22678</v>
      </c>
      <c r="J1529" s="232" t="b">
        <v>0</v>
      </c>
      <c r="K1529" s="232" t="s">
        <v>22365</v>
      </c>
      <c r="L1529" s="232" t="s">
        <v>23537</v>
      </c>
      <c r="M1529" s="511"/>
      <c r="N1529" s="232"/>
      <c r="O1529" s="232"/>
      <c r="P1529" s="312"/>
      <c r="Q1529" s="312"/>
      <c r="R1529" s="312"/>
      <c r="S1529" s="312"/>
      <c r="T1529" s="312"/>
      <c r="U1529" s="312"/>
    </row>
    <row r="1530">
      <c r="A1530" s="508" t="s">
        <v>28282</v>
      </c>
      <c r="B1530" s="232" t="s">
        <v>28283</v>
      </c>
      <c r="C1530" s="509" t="s">
        <v>28284</v>
      </c>
      <c r="D1530" s="511"/>
      <c r="E1530" s="511"/>
      <c r="F1530" s="232"/>
      <c r="G1530" s="232" t="s">
        <v>28285</v>
      </c>
      <c r="H1530" s="232">
        <v>8.013112778E9</v>
      </c>
      <c r="I1530" s="509" t="s">
        <v>28286</v>
      </c>
      <c r="J1530" s="232" t="b">
        <v>0</v>
      </c>
      <c r="K1530" s="232" t="s">
        <v>22365</v>
      </c>
      <c r="L1530" s="425" t="s">
        <v>28287</v>
      </c>
      <c r="M1530" s="511"/>
      <c r="N1530" s="232"/>
      <c r="O1530" s="232"/>
      <c r="P1530" s="312"/>
      <c r="Q1530" s="312"/>
      <c r="R1530" s="312"/>
      <c r="S1530" s="312"/>
      <c r="T1530" s="312"/>
      <c r="U1530" s="312"/>
    </row>
    <row r="1531">
      <c r="A1531" s="508" t="s">
        <v>28282</v>
      </c>
      <c r="B1531" s="232" t="s">
        <v>28288</v>
      </c>
      <c r="C1531" s="509" t="s">
        <v>28289</v>
      </c>
      <c r="D1531" s="511"/>
      <c r="E1531" s="511"/>
      <c r="F1531" s="232"/>
      <c r="G1531" s="232"/>
      <c r="H1531" s="232">
        <v>7.698319114E9</v>
      </c>
      <c r="I1531" s="509" t="s">
        <v>27962</v>
      </c>
      <c r="J1531" s="232" t="b">
        <v>0</v>
      </c>
      <c r="K1531" s="232" t="s">
        <v>22365</v>
      </c>
      <c r="L1531" s="232" t="s">
        <v>28290</v>
      </c>
      <c r="M1531" s="511"/>
      <c r="N1531" s="232"/>
      <c r="O1531" s="232"/>
      <c r="P1531" s="312"/>
      <c r="Q1531" s="312"/>
      <c r="R1531" s="312"/>
      <c r="S1531" s="312"/>
      <c r="T1531" s="312"/>
      <c r="U1531" s="312"/>
    </row>
    <row r="1532">
      <c r="A1532" s="508" t="s">
        <v>28282</v>
      </c>
      <c r="B1532" s="232" t="s">
        <v>28291</v>
      </c>
      <c r="C1532" s="509" t="s">
        <v>28292</v>
      </c>
      <c r="D1532" s="511"/>
      <c r="E1532" s="511"/>
      <c r="F1532" s="232"/>
      <c r="G1532" s="232"/>
      <c r="H1532" s="232">
        <v>7.717700283E9</v>
      </c>
      <c r="I1532" s="509" t="s">
        <v>28293</v>
      </c>
      <c r="J1532" s="232" t="b">
        <v>0</v>
      </c>
      <c r="K1532" s="232" t="s">
        <v>22365</v>
      </c>
      <c r="L1532" s="232" t="s">
        <v>28294</v>
      </c>
      <c r="M1532" s="511"/>
      <c r="N1532" s="232"/>
      <c r="O1532" s="232"/>
      <c r="P1532" s="312"/>
      <c r="Q1532" s="312"/>
      <c r="R1532" s="312"/>
      <c r="S1532" s="312"/>
      <c r="T1532" s="312"/>
      <c r="U1532" s="312"/>
    </row>
    <row r="1533">
      <c r="A1533" s="508" t="s">
        <v>28282</v>
      </c>
      <c r="B1533" s="232" t="s">
        <v>28295</v>
      </c>
      <c r="C1533" s="509" t="s">
        <v>28296</v>
      </c>
      <c r="D1533" s="511"/>
      <c r="E1533" s="511"/>
      <c r="F1533" s="232" t="s">
        <v>28297</v>
      </c>
      <c r="G1533" s="232" t="s">
        <v>28298</v>
      </c>
      <c r="H1533" s="232">
        <v>7.830462828E9</v>
      </c>
      <c r="I1533" s="509" t="s">
        <v>28299</v>
      </c>
      <c r="J1533" s="232" t="b">
        <v>0</v>
      </c>
      <c r="K1533" s="232" t="s">
        <v>27100</v>
      </c>
      <c r="L1533" s="232" t="s">
        <v>28300</v>
      </c>
      <c r="M1533" s="511"/>
      <c r="N1533" s="232"/>
      <c r="O1533" s="232"/>
      <c r="P1533" s="312"/>
      <c r="Q1533" s="312"/>
      <c r="R1533" s="312"/>
      <c r="S1533" s="312"/>
      <c r="T1533" s="312"/>
      <c r="U1533" s="312"/>
    </row>
    <row r="1534">
      <c r="A1534" s="508" t="s">
        <v>28282</v>
      </c>
      <c r="B1534" s="232" t="s">
        <v>28301</v>
      </c>
      <c r="C1534" s="509" t="s">
        <v>28302</v>
      </c>
      <c r="D1534" s="510" t="s">
        <v>28303</v>
      </c>
      <c r="E1534" s="511"/>
      <c r="F1534" s="232" t="s">
        <v>28304</v>
      </c>
      <c r="G1534" s="232" t="s">
        <v>24462</v>
      </c>
      <c r="H1534" s="232">
        <v>-9.305213626E9</v>
      </c>
      <c r="I1534" s="509" t="s">
        <v>28305</v>
      </c>
      <c r="J1534" s="232" t="b">
        <v>0</v>
      </c>
      <c r="K1534" s="232" t="s">
        <v>22355</v>
      </c>
      <c r="L1534" s="232"/>
      <c r="M1534" s="511"/>
      <c r="N1534" s="232"/>
      <c r="O1534" s="232"/>
      <c r="P1534" s="312"/>
      <c r="Q1534" s="312"/>
      <c r="R1534" s="312"/>
      <c r="S1534" s="312"/>
      <c r="T1534" s="312"/>
      <c r="U1534" s="312"/>
    </row>
    <row r="1535">
      <c r="A1535" s="508" t="s">
        <v>28282</v>
      </c>
      <c r="B1535" s="232" t="s">
        <v>28306</v>
      </c>
      <c r="C1535" s="509" t="s">
        <v>28307</v>
      </c>
      <c r="D1535" s="519" t="s">
        <v>28308</v>
      </c>
      <c r="E1535" s="511"/>
      <c r="F1535" s="232"/>
      <c r="G1535" s="232" t="s">
        <v>22666</v>
      </c>
      <c r="H1535" s="232">
        <v>7.002434722E9</v>
      </c>
      <c r="I1535" s="509" t="s">
        <v>22698</v>
      </c>
      <c r="J1535" s="232" t="b">
        <v>0</v>
      </c>
      <c r="K1535" s="232" t="s">
        <v>334</v>
      </c>
      <c r="L1535" s="232"/>
      <c r="M1535" s="511"/>
      <c r="N1535" s="232"/>
      <c r="O1535" s="232"/>
      <c r="P1535" s="312"/>
      <c r="Q1535" s="312"/>
      <c r="R1535" s="312"/>
      <c r="S1535" s="312"/>
      <c r="T1535" s="312"/>
      <c r="U1535" s="312"/>
    </row>
    <row r="1536">
      <c r="A1536" s="508" t="s">
        <v>28282</v>
      </c>
      <c r="B1536" s="232" t="s">
        <v>28309</v>
      </c>
      <c r="C1536" s="509" t="s">
        <v>28310</v>
      </c>
      <c r="D1536" s="510" t="s">
        <v>28311</v>
      </c>
      <c r="E1536" s="511"/>
      <c r="F1536" s="232" t="s">
        <v>28312</v>
      </c>
      <c r="G1536" s="232" t="s">
        <v>99</v>
      </c>
      <c r="H1536" s="232">
        <v>9.556689184E9</v>
      </c>
      <c r="I1536" s="509" t="s">
        <v>22903</v>
      </c>
      <c r="J1536" s="232" t="b">
        <v>0</v>
      </c>
      <c r="K1536" s="232" t="s">
        <v>22365</v>
      </c>
      <c r="L1536" s="232" t="s">
        <v>28313</v>
      </c>
      <c r="M1536" s="511"/>
      <c r="N1536" s="232"/>
      <c r="O1536" s="232"/>
      <c r="P1536" s="312"/>
      <c r="Q1536" s="312"/>
      <c r="R1536" s="312"/>
      <c r="S1536" s="312"/>
      <c r="T1536" s="312"/>
      <c r="U1536" s="312"/>
    </row>
    <row r="1537">
      <c r="A1537" s="508" t="s">
        <v>28282</v>
      </c>
      <c r="B1537" s="232" t="s">
        <v>28314</v>
      </c>
      <c r="C1537" s="509" t="s">
        <v>28315</v>
      </c>
      <c r="D1537" s="511"/>
      <c r="E1537" s="511"/>
      <c r="F1537" s="232"/>
      <c r="G1537" s="232" t="s">
        <v>495</v>
      </c>
      <c r="H1537" s="232">
        <v>6.207423266E9</v>
      </c>
      <c r="I1537" s="509" t="s">
        <v>22903</v>
      </c>
      <c r="J1537" s="232" t="b">
        <v>0</v>
      </c>
      <c r="K1537" s="232" t="s">
        <v>28316</v>
      </c>
      <c r="L1537" s="232" t="s">
        <v>28317</v>
      </c>
      <c r="M1537" s="511"/>
      <c r="N1537" s="232"/>
      <c r="O1537" s="232"/>
      <c r="P1537" s="312"/>
      <c r="Q1537" s="312"/>
      <c r="R1537" s="312"/>
      <c r="S1537" s="312"/>
      <c r="T1537" s="312"/>
      <c r="U1537" s="312"/>
    </row>
    <row r="1538">
      <c r="A1538" s="508" t="s">
        <v>28282</v>
      </c>
      <c r="B1538" s="232" t="s">
        <v>28318</v>
      </c>
      <c r="C1538" s="509" t="s">
        <v>28319</v>
      </c>
      <c r="D1538" s="511"/>
      <c r="E1538" s="511"/>
      <c r="F1538" s="232"/>
      <c r="G1538" s="232" t="s">
        <v>28320</v>
      </c>
      <c r="H1538" s="232">
        <v>8.763653152E9</v>
      </c>
      <c r="I1538" s="509" t="s">
        <v>28321</v>
      </c>
      <c r="J1538" s="232" t="b">
        <v>0</v>
      </c>
      <c r="K1538" s="232" t="s">
        <v>334</v>
      </c>
      <c r="L1538" s="232"/>
      <c r="M1538" s="511"/>
      <c r="N1538" s="232"/>
      <c r="O1538" s="232"/>
      <c r="P1538" s="312"/>
      <c r="Q1538" s="312"/>
      <c r="R1538" s="312"/>
      <c r="S1538" s="312"/>
      <c r="T1538" s="312"/>
      <c r="U1538" s="312"/>
    </row>
    <row r="1539">
      <c r="A1539" s="508" t="s">
        <v>28322</v>
      </c>
      <c r="B1539" s="232" t="s">
        <v>28323</v>
      </c>
      <c r="C1539" s="509" t="s">
        <v>28324</v>
      </c>
      <c r="D1539" s="511"/>
      <c r="E1539" s="511"/>
      <c r="F1539" s="232" t="s">
        <v>28325</v>
      </c>
      <c r="G1539" s="232" t="s">
        <v>174</v>
      </c>
      <c r="H1539" s="232">
        <v>9.732810077E9</v>
      </c>
      <c r="I1539" s="509" t="s">
        <v>22933</v>
      </c>
      <c r="J1539" s="232" t="b">
        <v>0</v>
      </c>
      <c r="K1539" s="232" t="s">
        <v>22365</v>
      </c>
      <c r="L1539" s="232" t="s">
        <v>28290</v>
      </c>
      <c r="M1539" s="511"/>
      <c r="N1539" s="232"/>
      <c r="O1539" s="232"/>
      <c r="P1539" s="312"/>
      <c r="Q1539" s="312"/>
      <c r="R1539" s="312"/>
      <c r="S1539" s="312"/>
      <c r="T1539" s="312"/>
      <c r="U1539" s="312"/>
    </row>
    <row r="1540">
      <c r="A1540" s="508" t="s">
        <v>28322</v>
      </c>
      <c r="B1540" s="232" t="s">
        <v>28326</v>
      </c>
      <c r="C1540" s="509" t="s">
        <v>28327</v>
      </c>
      <c r="D1540" s="510" t="s">
        <v>28328</v>
      </c>
      <c r="E1540" s="511"/>
      <c r="F1540" s="232" t="s">
        <v>28329</v>
      </c>
      <c r="G1540" s="232" t="s">
        <v>2682</v>
      </c>
      <c r="H1540" s="232">
        <v>9.448328921E9</v>
      </c>
      <c r="I1540" s="509" t="s">
        <v>28330</v>
      </c>
      <c r="J1540" s="232" t="b">
        <v>0</v>
      </c>
      <c r="K1540" s="232" t="s">
        <v>334</v>
      </c>
      <c r="L1540" s="232"/>
      <c r="M1540" s="511"/>
      <c r="N1540" s="232"/>
      <c r="O1540" s="232"/>
      <c r="P1540" s="312"/>
      <c r="Q1540" s="312"/>
      <c r="R1540" s="312"/>
      <c r="S1540" s="312"/>
      <c r="T1540" s="312"/>
      <c r="U1540" s="312"/>
    </row>
    <row r="1541">
      <c r="A1541" s="508" t="s">
        <v>28322</v>
      </c>
      <c r="B1541" s="232" t="s">
        <v>28331</v>
      </c>
      <c r="C1541" s="509" t="s">
        <v>28332</v>
      </c>
      <c r="D1541" s="511"/>
      <c r="E1541" s="511"/>
      <c r="F1541" s="232" t="s">
        <v>28333</v>
      </c>
      <c r="G1541" s="232" t="s">
        <v>24270</v>
      </c>
      <c r="H1541" s="232">
        <v>9.148314976E9</v>
      </c>
      <c r="I1541" s="509" t="s">
        <v>28334</v>
      </c>
      <c r="J1541" s="232" t="b">
        <v>0</v>
      </c>
      <c r="K1541" s="232" t="s">
        <v>334</v>
      </c>
      <c r="L1541" s="232"/>
      <c r="M1541" s="511"/>
      <c r="N1541" s="232"/>
      <c r="O1541" s="232"/>
      <c r="P1541" s="312"/>
      <c r="Q1541" s="312"/>
      <c r="R1541" s="312"/>
      <c r="S1541" s="312"/>
      <c r="T1541" s="312"/>
      <c r="U1541" s="312"/>
    </row>
    <row r="1542">
      <c r="A1542" s="508" t="s">
        <v>28322</v>
      </c>
      <c r="B1542" s="232" t="s">
        <v>28335</v>
      </c>
      <c r="C1542" s="509" t="s">
        <v>28336</v>
      </c>
      <c r="D1542" s="511"/>
      <c r="E1542" s="511"/>
      <c r="F1542" s="232"/>
      <c r="G1542" s="232" t="s">
        <v>19795</v>
      </c>
      <c r="H1542" s="232">
        <v>6.379012413E9</v>
      </c>
      <c r="I1542" s="509" t="s">
        <v>22961</v>
      </c>
      <c r="J1542" s="232" t="b">
        <v>0</v>
      </c>
      <c r="K1542" s="232" t="s">
        <v>22365</v>
      </c>
      <c r="L1542" s="232" t="s">
        <v>28337</v>
      </c>
      <c r="M1542" s="511"/>
      <c r="N1542" s="232"/>
      <c r="O1542" s="232"/>
      <c r="P1542" s="312"/>
      <c r="Q1542" s="312"/>
      <c r="R1542" s="312"/>
      <c r="S1542" s="312"/>
      <c r="T1542" s="312"/>
      <c r="U1542" s="312"/>
    </row>
    <row r="1543">
      <c r="A1543" s="508" t="s">
        <v>28338</v>
      </c>
      <c r="B1543" s="232" t="s">
        <v>28339</v>
      </c>
      <c r="C1543" s="509" t="s">
        <v>11644</v>
      </c>
      <c r="D1543" s="519" t="s">
        <v>28340</v>
      </c>
      <c r="E1543" s="511"/>
      <c r="F1543" s="232" t="s">
        <v>28341</v>
      </c>
      <c r="G1543" s="232" t="s">
        <v>28342</v>
      </c>
      <c r="H1543" s="232">
        <v>9.93553565E9</v>
      </c>
      <c r="I1543" s="509" t="s">
        <v>27962</v>
      </c>
      <c r="J1543" s="232" t="b">
        <v>0</v>
      </c>
      <c r="K1543" s="232" t="s">
        <v>22365</v>
      </c>
      <c r="L1543" s="232" t="s">
        <v>28337</v>
      </c>
      <c r="M1543" s="511"/>
      <c r="N1543" s="232"/>
      <c r="O1543" s="232"/>
      <c r="P1543" s="312"/>
      <c r="Q1543" s="312"/>
      <c r="R1543" s="312"/>
      <c r="S1543" s="312"/>
      <c r="T1543" s="312"/>
      <c r="U1543" s="312"/>
    </row>
    <row r="1544">
      <c r="A1544" s="508" t="s">
        <v>28338</v>
      </c>
      <c r="B1544" s="232" t="s">
        <v>28343</v>
      </c>
      <c r="C1544" s="509" t="s">
        <v>28344</v>
      </c>
      <c r="D1544" s="511"/>
      <c r="E1544" s="511"/>
      <c r="F1544" s="232" t="s">
        <v>28345</v>
      </c>
      <c r="G1544" s="232" t="s">
        <v>467</v>
      </c>
      <c r="H1544" s="232">
        <v>8.840633312E9</v>
      </c>
      <c r="I1544" s="509" t="s">
        <v>28346</v>
      </c>
      <c r="J1544" s="232" t="b">
        <v>0</v>
      </c>
      <c r="K1544" s="232" t="s">
        <v>334</v>
      </c>
      <c r="L1544" s="232"/>
      <c r="M1544" s="511"/>
      <c r="N1544" s="232"/>
      <c r="O1544" s="232"/>
      <c r="P1544" s="312"/>
      <c r="Q1544" s="312"/>
      <c r="R1544" s="312"/>
      <c r="S1544" s="312"/>
      <c r="T1544" s="312"/>
      <c r="U1544" s="312"/>
    </row>
    <row r="1545">
      <c r="A1545" s="508" t="s">
        <v>28338</v>
      </c>
      <c r="B1545" s="232" t="s">
        <v>28347</v>
      </c>
      <c r="C1545" s="509" t="s">
        <v>28296</v>
      </c>
      <c r="D1545" s="511"/>
      <c r="E1545" s="511"/>
      <c r="F1545" s="232" t="s">
        <v>28297</v>
      </c>
      <c r="G1545" s="232" t="s">
        <v>24240</v>
      </c>
      <c r="H1545" s="232">
        <v>7.830462828E9</v>
      </c>
      <c r="I1545" s="509" t="s">
        <v>28299</v>
      </c>
      <c r="J1545" s="232" t="b">
        <v>0</v>
      </c>
      <c r="K1545" s="232"/>
      <c r="L1545" s="232"/>
      <c r="M1545" s="511"/>
      <c r="N1545" s="232"/>
      <c r="O1545" s="232"/>
      <c r="P1545" s="312"/>
      <c r="Q1545" s="312"/>
      <c r="R1545" s="312"/>
      <c r="S1545" s="312"/>
      <c r="T1545" s="312"/>
      <c r="U1545" s="312"/>
    </row>
    <row r="1546">
      <c r="A1546" s="508" t="s">
        <v>28338</v>
      </c>
      <c r="B1546" s="232" t="s">
        <v>28348</v>
      </c>
      <c r="C1546" s="509" t="s">
        <v>28349</v>
      </c>
      <c r="D1546" s="510" t="s">
        <v>28350</v>
      </c>
      <c r="E1546" s="511"/>
      <c r="F1546" s="232" t="s">
        <v>28351</v>
      </c>
      <c r="G1546" s="232" t="s">
        <v>24462</v>
      </c>
      <c r="H1546" s="232">
        <v>9.599638085E9</v>
      </c>
      <c r="I1546" s="509" t="s">
        <v>28352</v>
      </c>
      <c r="J1546" s="232" t="b">
        <v>0</v>
      </c>
      <c r="K1546" s="232" t="s">
        <v>22365</v>
      </c>
      <c r="L1546" s="232" t="s">
        <v>28353</v>
      </c>
      <c r="M1546" s="511"/>
      <c r="N1546" s="232"/>
      <c r="O1546" s="232"/>
      <c r="P1546" s="312"/>
      <c r="Q1546" s="312"/>
      <c r="R1546" s="312"/>
      <c r="S1546" s="312"/>
      <c r="T1546" s="312"/>
      <c r="U1546" s="312"/>
    </row>
    <row r="1547">
      <c r="A1547" s="508" t="s">
        <v>28338</v>
      </c>
      <c r="B1547" s="232" t="s">
        <v>28354</v>
      </c>
      <c r="C1547" s="509" t="s">
        <v>26822</v>
      </c>
      <c r="D1547" s="510" t="s">
        <v>28355</v>
      </c>
      <c r="E1547" s="511"/>
      <c r="F1547" s="232" t="s">
        <v>28356</v>
      </c>
      <c r="G1547" s="232" t="s">
        <v>22542</v>
      </c>
      <c r="H1547" s="232">
        <v>9.871237111E9</v>
      </c>
      <c r="I1547" s="509" t="s">
        <v>25637</v>
      </c>
      <c r="J1547" s="232" t="b">
        <v>0</v>
      </c>
      <c r="K1547" s="232"/>
      <c r="L1547" s="232"/>
      <c r="M1547" s="511"/>
      <c r="N1547" s="232"/>
      <c r="O1547" s="232"/>
      <c r="P1547" s="312"/>
      <c r="Q1547" s="312"/>
      <c r="R1547" s="312"/>
      <c r="S1547" s="312"/>
      <c r="T1547" s="312"/>
      <c r="U1547" s="312"/>
    </row>
    <row r="1548">
      <c r="A1548" s="508" t="s">
        <v>28338</v>
      </c>
      <c r="B1548" s="232" t="s">
        <v>28357</v>
      </c>
      <c r="C1548" s="509" t="s">
        <v>28358</v>
      </c>
      <c r="D1548" s="510" t="s">
        <v>28359</v>
      </c>
      <c r="E1548" s="511"/>
      <c r="F1548" s="232" t="s">
        <v>28360</v>
      </c>
      <c r="G1548" s="232" t="s">
        <v>25556</v>
      </c>
      <c r="H1548" s="232">
        <v>7.364025715E9</v>
      </c>
      <c r="I1548" s="509" t="s">
        <v>28361</v>
      </c>
      <c r="J1548" s="232" t="b">
        <v>0</v>
      </c>
      <c r="K1548" s="232" t="s">
        <v>22365</v>
      </c>
      <c r="L1548" s="232" t="s">
        <v>24196</v>
      </c>
      <c r="M1548" s="511"/>
      <c r="N1548" s="232"/>
      <c r="O1548" s="232"/>
      <c r="P1548" s="312"/>
      <c r="Q1548" s="312"/>
      <c r="R1548" s="312"/>
      <c r="S1548" s="312"/>
      <c r="T1548" s="312"/>
      <c r="U1548" s="312"/>
    </row>
    <row r="1549">
      <c r="A1549" s="508" t="s">
        <v>28338</v>
      </c>
      <c r="B1549" s="232" t="s">
        <v>28362</v>
      </c>
      <c r="C1549" s="509" t="s">
        <v>28363</v>
      </c>
      <c r="D1549" s="510" t="s">
        <v>28364</v>
      </c>
      <c r="E1549" s="511"/>
      <c r="F1549" s="232" t="s">
        <v>28365</v>
      </c>
      <c r="G1549" s="232" t="s">
        <v>22960</v>
      </c>
      <c r="H1549" s="232">
        <v>8.838253429E9</v>
      </c>
      <c r="I1549" s="528" t="s">
        <v>28366</v>
      </c>
      <c r="J1549" s="539"/>
      <c r="K1549" s="232" t="s">
        <v>22365</v>
      </c>
      <c r="L1549" s="232" t="s">
        <v>28367</v>
      </c>
      <c r="M1549" s="511"/>
      <c r="N1549" s="232"/>
      <c r="O1549" s="232"/>
      <c r="P1549" s="312"/>
      <c r="Q1549" s="312"/>
      <c r="R1549" s="312"/>
      <c r="S1549" s="312"/>
      <c r="T1549" s="312"/>
      <c r="U1549" s="312"/>
    </row>
    <row r="1550">
      <c r="A1550" s="508" t="s">
        <v>28338</v>
      </c>
      <c r="B1550" s="232" t="s">
        <v>28368</v>
      </c>
      <c r="C1550" s="509" t="s">
        <v>18167</v>
      </c>
      <c r="D1550" s="511"/>
      <c r="E1550" s="511"/>
      <c r="F1550" s="232" t="s">
        <v>26735</v>
      </c>
      <c r="G1550" s="232" t="s">
        <v>27780</v>
      </c>
      <c r="H1550" s="540">
        <v>9.051746318E9</v>
      </c>
      <c r="I1550" s="509" t="s">
        <v>28369</v>
      </c>
      <c r="J1550" s="232" t="b">
        <v>0</v>
      </c>
      <c r="K1550" s="232" t="s">
        <v>22365</v>
      </c>
      <c r="L1550" s="232" t="s">
        <v>28337</v>
      </c>
      <c r="M1550" s="511"/>
      <c r="N1550" s="232"/>
      <c r="O1550" s="232"/>
      <c r="P1550" s="312"/>
      <c r="Q1550" s="312"/>
      <c r="R1550" s="312"/>
      <c r="S1550" s="312"/>
      <c r="T1550" s="312"/>
      <c r="U1550" s="312"/>
    </row>
    <row r="1551">
      <c r="A1551" s="508" t="s">
        <v>28338</v>
      </c>
      <c r="B1551" s="232" t="s">
        <v>28370</v>
      </c>
      <c r="C1551" s="509" t="s">
        <v>28371</v>
      </c>
      <c r="D1551" s="511"/>
      <c r="E1551" s="511"/>
      <c r="F1551" s="232" t="s">
        <v>28372</v>
      </c>
      <c r="G1551" s="232" t="s">
        <v>28373</v>
      </c>
      <c r="H1551" s="232">
        <v>7.04717647E9</v>
      </c>
      <c r="I1551" s="509" t="s">
        <v>28374</v>
      </c>
      <c r="J1551" s="232" t="b">
        <v>0</v>
      </c>
      <c r="K1551" s="232" t="s">
        <v>22355</v>
      </c>
      <c r="L1551" s="232"/>
      <c r="M1551" s="511"/>
      <c r="N1551" s="232"/>
      <c r="O1551" s="232"/>
      <c r="P1551" s="312"/>
      <c r="Q1551" s="312"/>
      <c r="R1551" s="312"/>
      <c r="S1551" s="312"/>
      <c r="T1551" s="312"/>
      <c r="U1551" s="312"/>
    </row>
    <row r="1552">
      <c r="A1552" s="508" t="s">
        <v>28338</v>
      </c>
      <c r="B1552" s="232" t="s">
        <v>28375</v>
      </c>
      <c r="C1552" s="509" t="s">
        <v>2389</v>
      </c>
      <c r="D1552" s="511"/>
      <c r="E1552" s="511"/>
      <c r="F1552" s="232" t="s">
        <v>28376</v>
      </c>
      <c r="G1552" s="232" t="s">
        <v>28377</v>
      </c>
      <c r="H1552" s="232">
        <v>9.064312196E9</v>
      </c>
      <c r="I1552" s="509" t="s">
        <v>28378</v>
      </c>
      <c r="J1552" s="232" t="b">
        <v>0</v>
      </c>
      <c r="K1552" s="232" t="s">
        <v>22355</v>
      </c>
      <c r="L1552" s="232"/>
      <c r="M1552" s="511"/>
      <c r="N1552" s="232"/>
      <c r="O1552" s="232"/>
      <c r="P1552" s="312"/>
      <c r="Q1552" s="312"/>
      <c r="R1552" s="312"/>
      <c r="S1552" s="312"/>
      <c r="T1552" s="312"/>
      <c r="U1552" s="312"/>
    </row>
    <row r="1553">
      <c r="A1553" s="508" t="s">
        <v>28338</v>
      </c>
      <c r="B1553" s="232" t="s">
        <v>28379</v>
      </c>
      <c r="C1553" s="509" t="s">
        <v>1730</v>
      </c>
      <c r="D1553" s="511"/>
      <c r="E1553" s="511"/>
      <c r="F1553" s="232" t="s">
        <v>28380</v>
      </c>
      <c r="G1553" s="232" t="s">
        <v>28381</v>
      </c>
      <c r="H1553" s="232">
        <v>8.743942232E9</v>
      </c>
      <c r="I1553" s="509" t="s">
        <v>25744</v>
      </c>
      <c r="J1553" s="232" t="b">
        <v>0</v>
      </c>
      <c r="K1553" s="232"/>
      <c r="L1553" s="232"/>
      <c r="M1553" s="511"/>
      <c r="N1553" s="232"/>
      <c r="O1553" s="232"/>
      <c r="P1553" s="312"/>
      <c r="Q1553" s="312"/>
      <c r="R1553" s="312"/>
      <c r="S1553" s="312"/>
      <c r="T1553" s="312"/>
      <c r="U1553" s="312"/>
    </row>
    <row r="1554">
      <c r="A1554" s="508" t="s">
        <v>28338</v>
      </c>
      <c r="B1554" s="232" t="s">
        <v>28382</v>
      </c>
      <c r="C1554" s="509" t="s">
        <v>28383</v>
      </c>
      <c r="D1554" s="511"/>
      <c r="E1554" s="511"/>
      <c r="F1554" s="232" t="s">
        <v>28384</v>
      </c>
      <c r="G1554" s="232" t="s">
        <v>28385</v>
      </c>
      <c r="H1554" s="232">
        <v>7.364098271E9</v>
      </c>
      <c r="I1554" s="509" t="s">
        <v>25744</v>
      </c>
      <c r="J1554" s="232" t="b">
        <v>0</v>
      </c>
      <c r="K1554" s="232" t="s">
        <v>334</v>
      </c>
      <c r="L1554" s="232"/>
      <c r="M1554" s="511"/>
      <c r="N1554" s="232"/>
      <c r="O1554" s="232"/>
      <c r="P1554" s="312"/>
      <c r="Q1554" s="312"/>
      <c r="R1554" s="312"/>
      <c r="S1554" s="312"/>
      <c r="T1554" s="312"/>
      <c r="U1554" s="312"/>
    </row>
    <row r="1555">
      <c r="A1555" s="508" t="s">
        <v>28338</v>
      </c>
      <c r="B1555" s="232" t="s">
        <v>28386</v>
      </c>
      <c r="C1555" s="50" t="s">
        <v>28387</v>
      </c>
      <c r="D1555" s="511"/>
      <c r="E1555" s="511"/>
      <c r="F1555" s="232" t="s">
        <v>28388</v>
      </c>
      <c r="G1555" s="232" t="s">
        <v>28389</v>
      </c>
      <c r="H1555" s="232">
        <v>7.666452108E9</v>
      </c>
      <c r="I1555" s="509" t="s">
        <v>28390</v>
      </c>
      <c r="J1555" s="232" t="b">
        <v>0</v>
      </c>
      <c r="K1555" s="232"/>
      <c r="L1555" s="232"/>
      <c r="M1555" s="511"/>
      <c r="N1555" s="232"/>
      <c r="O1555" s="232"/>
      <c r="P1555" s="312"/>
      <c r="Q1555" s="312"/>
      <c r="R1555" s="312"/>
      <c r="S1555" s="312"/>
      <c r="T1555" s="312"/>
      <c r="U1555" s="312"/>
    </row>
    <row r="1556">
      <c r="A1556" s="538">
        <v>44906.0</v>
      </c>
      <c r="B1556" s="514" t="s">
        <v>28391</v>
      </c>
      <c r="C1556" s="515" t="s">
        <v>28392</v>
      </c>
      <c r="D1556" s="517"/>
      <c r="E1556" s="517"/>
      <c r="F1556" s="514"/>
      <c r="G1556" s="514" t="s">
        <v>25498</v>
      </c>
      <c r="H1556" s="514">
        <v>9.474198217E9</v>
      </c>
      <c r="I1556" s="525" t="s">
        <v>28393</v>
      </c>
      <c r="J1556" s="514" t="b">
        <v>0</v>
      </c>
      <c r="K1556" s="514" t="s">
        <v>22365</v>
      </c>
      <c r="L1556" s="514" t="s">
        <v>28394</v>
      </c>
      <c r="M1556" s="511"/>
      <c r="N1556" s="232"/>
      <c r="O1556" s="232"/>
      <c r="P1556" s="312"/>
      <c r="Q1556" s="312"/>
      <c r="R1556" s="312"/>
      <c r="S1556" s="312"/>
      <c r="T1556" s="312"/>
      <c r="U1556" s="312"/>
    </row>
    <row r="1557">
      <c r="A1557" s="537">
        <v>44906.0</v>
      </c>
      <c r="B1557" s="232" t="s">
        <v>28395</v>
      </c>
      <c r="C1557" s="509" t="s">
        <v>28387</v>
      </c>
      <c r="D1557" s="511"/>
      <c r="E1557" s="511"/>
      <c r="F1557" s="232" t="s">
        <v>28388</v>
      </c>
      <c r="G1557" s="232" t="s">
        <v>22564</v>
      </c>
      <c r="H1557" s="232">
        <v>7.666452108E9</v>
      </c>
      <c r="I1557" s="509" t="s">
        <v>28390</v>
      </c>
      <c r="J1557" s="232" t="b">
        <v>0</v>
      </c>
      <c r="K1557" s="232"/>
      <c r="L1557" s="232"/>
      <c r="M1557" s="511"/>
      <c r="N1557" s="232"/>
      <c r="O1557" s="232"/>
      <c r="P1557" s="312"/>
      <c r="Q1557" s="312"/>
      <c r="R1557" s="312"/>
      <c r="S1557" s="312"/>
      <c r="T1557" s="312"/>
      <c r="U1557" s="312"/>
    </row>
    <row r="1558">
      <c r="A1558" s="537">
        <v>44906.0</v>
      </c>
      <c r="B1558" s="232" t="s">
        <v>28396</v>
      </c>
      <c r="C1558" s="509" t="s">
        <v>26760</v>
      </c>
      <c r="D1558" s="510" t="s">
        <v>28397</v>
      </c>
      <c r="E1558" s="511"/>
      <c r="F1558" s="232" t="s">
        <v>26762</v>
      </c>
      <c r="G1558" s="232" t="s">
        <v>22564</v>
      </c>
      <c r="H1558" s="232">
        <v>8.879030767E9</v>
      </c>
      <c r="I1558" s="509" t="s">
        <v>28398</v>
      </c>
      <c r="J1558" s="232" t="b">
        <v>0</v>
      </c>
      <c r="K1558" s="232"/>
      <c r="L1558" s="232"/>
      <c r="M1558" s="511"/>
      <c r="N1558" s="232"/>
      <c r="O1558" s="232"/>
      <c r="P1558" s="312"/>
      <c r="Q1558" s="312"/>
      <c r="R1558" s="312"/>
      <c r="S1558" s="312"/>
      <c r="T1558" s="312"/>
      <c r="U1558" s="312"/>
    </row>
    <row r="1559">
      <c r="A1559" s="537">
        <v>44906.0</v>
      </c>
      <c r="B1559" s="232" t="s">
        <v>28399</v>
      </c>
      <c r="C1559" s="509" t="s">
        <v>28400</v>
      </c>
      <c r="D1559" s="510" t="s">
        <v>28401</v>
      </c>
      <c r="E1559" s="511"/>
      <c r="F1559" s="232" t="s">
        <v>28402</v>
      </c>
      <c r="G1559" s="232" t="s">
        <v>23598</v>
      </c>
      <c r="H1559" s="232">
        <v>9.334143057E9</v>
      </c>
      <c r="I1559" s="509" t="s">
        <v>24407</v>
      </c>
      <c r="J1559" s="232" t="b">
        <v>0</v>
      </c>
      <c r="K1559" s="232" t="s">
        <v>22365</v>
      </c>
      <c r="L1559" s="232" t="s">
        <v>23537</v>
      </c>
      <c r="M1559" s="511"/>
      <c r="N1559" s="232"/>
      <c r="O1559" s="232"/>
      <c r="P1559" s="312"/>
      <c r="Q1559" s="312"/>
      <c r="R1559" s="312"/>
      <c r="S1559" s="312"/>
      <c r="T1559" s="312"/>
      <c r="U1559" s="312"/>
    </row>
    <row r="1560">
      <c r="A1560" s="537">
        <v>44906.0</v>
      </c>
      <c r="B1560" s="232" t="s">
        <v>28403</v>
      </c>
      <c r="C1560" s="509" t="s">
        <v>28404</v>
      </c>
      <c r="D1560" s="511"/>
      <c r="E1560" s="511"/>
      <c r="F1560" s="232" t="s">
        <v>28405</v>
      </c>
      <c r="G1560" s="232" t="s">
        <v>28406</v>
      </c>
      <c r="H1560" s="232">
        <v>8.610077848E9</v>
      </c>
      <c r="I1560" s="509" t="s">
        <v>28407</v>
      </c>
      <c r="J1560" s="232" t="b">
        <v>0</v>
      </c>
      <c r="K1560" s="232" t="s">
        <v>334</v>
      </c>
      <c r="L1560" s="232"/>
      <c r="M1560" s="511"/>
      <c r="N1560" s="232"/>
      <c r="O1560" s="232"/>
      <c r="P1560" s="312"/>
      <c r="Q1560" s="312"/>
      <c r="R1560" s="312"/>
      <c r="S1560" s="312"/>
      <c r="T1560" s="312"/>
      <c r="U1560" s="312"/>
    </row>
    <row r="1561">
      <c r="A1561" s="537">
        <v>44906.0</v>
      </c>
      <c r="B1561" s="232" t="s">
        <v>28408</v>
      </c>
      <c r="C1561" s="509" t="s">
        <v>19732</v>
      </c>
      <c r="D1561" s="510" t="s">
        <v>28409</v>
      </c>
      <c r="E1561" s="511"/>
      <c r="F1561" s="232" t="s">
        <v>28410</v>
      </c>
      <c r="G1561" s="232" t="s">
        <v>495</v>
      </c>
      <c r="H1561" s="232">
        <v>9.798374982E9</v>
      </c>
      <c r="I1561" s="509" t="s">
        <v>22373</v>
      </c>
      <c r="J1561" s="232" t="b">
        <v>0</v>
      </c>
      <c r="K1561" s="232"/>
      <c r="L1561" s="232"/>
      <c r="M1561" s="511"/>
      <c r="N1561" s="232"/>
      <c r="O1561" s="232"/>
      <c r="P1561" s="312"/>
      <c r="Q1561" s="312"/>
      <c r="R1561" s="312"/>
      <c r="S1561" s="312"/>
      <c r="T1561" s="312"/>
      <c r="U1561" s="312"/>
    </row>
    <row r="1562">
      <c r="A1562" s="537">
        <v>44906.0</v>
      </c>
      <c r="B1562" s="232" t="s">
        <v>28411</v>
      </c>
      <c r="C1562" s="509" t="s">
        <v>28412</v>
      </c>
      <c r="D1562" s="510" t="s">
        <v>28413</v>
      </c>
      <c r="E1562" s="511"/>
      <c r="F1562" s="232" t="s">
        <v>28414</v>
      </c>
      <c r="G1562" s="232" t="s">
        <v>23823</v>
      </c>
      <c r="H1562" s="232">
        <v>8.018863996E9</v>
      </c>
      <c r="I1562" s="509" t="s">
        <v>22577</v>
      </c>
      <c r="J1562" s="232" t="b">
        <v>0</v>
      </c>
      <c r="K1562" s="232" t="s">
        <v>22365</v>
      </c>
      <c r="L1562" s="232" t="s">
        <v>28415</v>
      </c>
      <c r="M1562" s="511"/>
      <c r="N1562" s="232"/>
      <c r="O1562" s="232"/>
      <c r="P1562" s="312"/>
      <c r="Q1562" s="312"/>
      <c r="R1562" s="312"/>
      <c r="S1562" s="312"/>
      <c r="T1562" s="312"/>
      <c r="U1562" s="312"/>
    </row>
    <row r="1563">
      <c r="A1563" s="537">
        <v>44906.0</v>
      </c>
      <c r="B1563" s="232" t="s">
        <v>28416</v>
      </c>
      <c r="C1563" s="509" t="s">
        <v>28417</v>
      </c>
      <c r="D1563" s="511"/>
      <c r="E1563" s="511"/>
      <c r="F1563" s="232"/>
      <c r="G1563" s="232" t="s">
        <v>3861</v>
      </c>
      <c r="H1563" s="232">
        <v>7.875166282E9</v>
      </c>
      <c r="I1563" s="509" t="s">
        <v>24402</v>
      </c>
      <c r="J1563" s="232" t="b">
        <v>0</v>
      </c>
      <c r="K1563" s="232" t="s">
        <v>22365</v>
      </c>
      <c r="L1563" s="232" t="s">
        <v>28418</v>
      </c>
      <c r="M1563" s="511"/>
      <c r="N1563" s="232"/>
      <c r="O1563" s="232"/>
      <c r="P1563" s="312"/>
      <c r="Q1563" s="312"/>
      <c r="R1563" s="312"/>
      <c r="S1563" s="312"/>
      <c r="T1563" s="312"/>
      <c r="U1563" s="312"/>
    </row>
    <row r="1564">
      <c r="A1564" s="537">
        <v>44876.0</v>
      </c>
      <c r="B1564" s="232" t="s">
        <v>28419</v>
      </c>
      <c r="C1564" s="509" t="s">
        <v>28420</v>
      </c>
      <c r="D1564" s="511"/>
      <c r="E1564" s="511"/>
      <c r="F1564" s="232" t="s">
        <v>28421</v>
      </c>
      <c r="G1564" s="232" t="s">
        <v>25498</v>
      </c>
      <c r="H1564" s="232">
        <v>9.239207828E9</v>
      </c>
      <c r="I1564" s="509" t="s">
        <v>28422</v>
      </c>
      <c r="J1564" s="232" t="b">
        <v>0</v>
      </c>
      <c r="K1564" s="232" t="s">
        <v>22365</v>
      </c>
      <c r="L1564" s="232" t="s">
        <v>24196</v>
      </c>
      <c r="M1564" s="511"/>
      <c r="N1564" s="232"/>
      <c r="O1564" s="232"/>
      <c r="P1564" s="312"/>
      <c r="Q1564" s="312"/>
      <c r="R1564" s="312"/>
      <c r="S1564" s="312"/>
      <c r="T1564" s="312"/>
      <c r="U1564" s="312"/>
    </row>
    <row r="1565">
      <c r="A1565" s="537">
        <v>44876.0</v>
      </c>
      <c r="B1565" s="232" t="s">
        <v>28423</v>
      </c>
      <c r="C1565" s="509" t="s">
        <v>28424</v>
      </c>
      <c r="D1565" s="510" t="s">
        <v>28425</v>
      </c>
      <c r="E1565" s="511"/>
      <c r="F1565" s="232" t="s">
        <v>28426</v>
      </c>
      <c r="G1565" s="232" t="s">
        <v>22742</v>
      </c>
      <c r="H1565" s="232">
        <v>9.370731448E9</v>
      </c>
      <c r="I1565" s="509" t="s">
        <v>23803</v>
      </c>
      <c r="J1565" s="232" t="b">
        <v>0</v>
      </c>
      <c r="K1565" s="232" t="s">
        <v>12092</v>
      </c>
      <c r="L1565" s="232"/>
      <c r="M1565" s="511"/>
      <c r="N1565" s="232"/>
      <c r="O1565" s="232"/>
      <c r="P1565" s="312"/>
      <c r="Q1565" s="312"/>
      <c r="R1565" s="312"/>
      <c r="S1565" s="312"/>
      <c r="T1565" s="312"/>
      <c r="U1565" s="312"/>
    </row>
    <row r="1566">
      <c r="A1566" s="537">
        <v>44876.0</v>
      </c>
      <c r="B1566" s="232" t="s">
        <v>28427</v>
      </c>
      <c r="C1566" s="509" t="s">
        <v>28428</v>
      </c>
      <c r="D1566" s="511"/>
      <c r="E1566" s="511"/>
      <c r="F1566" s="232"/>
      <c r="G1566" s="232" t="s">
        <v>22337</v>
      </c>
      <c r="H1566" s="232">
        <v>-9.556305845E9</v>
      </c>
      <c r="I1566" s="509" t="s">
        <v>22678</v>
      </c>
      <c r="J1566" s="232" t="b">
        <v>0</v>
      </c>
      <c r="K1566" s="232" t="s">
        <v>12092</v>
      </c>
      <c r="L1566" s="232"/>
      <c r="M1566" s="511"/>
      <c r="N1566" s="232"/>
      <c r="O1566" s="232"/>
      <c r="P1566" s="312"/>
      <c r="Q1566" s="312"/>
      <c r="R1566" s="312"/>
      <c r="S1566" s="312"/>
      <c r="T1566" s="312"/>
      <c r="U1566" s="312"/>
    </row>
    <row r="1567">
      <c r="A1567" s="537">
        <v>44876.0</v>
      </c>
      <c r="B1567" s="232" t="s">
        <v>28429</v>
      </c>
      <c r="C1567" s="509" t="s">
        <v>28430</v>
      </c>
      <c r="D1567" s="511"/>
      <c r="E1567" s="511"/>
      <c r="F1567" s="232" t="s">
        <v>28431</v>
      </c>
      <c r="G1567" s="232" t="s">
        <v>99</v>
      </c>
      <c r="H1567" s="232">
        <v>7.066411119E9</v>
      </c>
      <c r="I1567" s="509" t="s">
        <v>22289</v>
      </c>
      <c r="J1567" s="232" t="b">
        <v>0</v>
      </c>
      <c r="K1567" s="232" t="s">
        <v>334</v>
      </c>
      <c r="L1567" s="232" t="s">
        <v>28432</v>
      </c>
      <c r="M1567" s="511"/>
      <c r="N1567" s="232"/>
      <c r="O1567" s="232"/>
      <c r="P1567" s="312"/>
      <c r="Q1567" s="312"/>
      <c r="R1567" s="312"/>
      <c r="S1567" s="312"/>
      <c r="T1567" s="312"/>
      <c r="U1567" s="312"/>
    </row>
    <row r="1568">
      <c r="A1568" s="537">
        <v>44876.0</v>
      </c>
      <c r="B1568" s="232" t="s">
        <v>28433</v>
      </c>
      <c r="C1568" s="509" t="s">
        <v>28434</v>
      </c>
      <c r="D1568" s="510" t="s">
        <v>28435</v>
      </c>
      <c r="E1568" s="511"/>
      <c r="F1568" s="232" t="s">
        <v>28436</v>
      </c>
      <c r="G1568" s="232" t="s">
        <v>742</v>
      </c>
      <c r="H1568" s="232">
        <v>9.182875312E9</v>
      </c>
      <c r="I1568" s="509" t="s">
        <v>28437</v>
      </c>
      <c r="J1568" s="232" t="b">
        <v>0</v>
      </c>
      <c r="K1568" s="232" t="s">
        <v>12092</v>
      </c>
      <c r="L1568" s="232"/>
      <c r="M1568" s="511"/>
      <c r="N1568" s="232"/>
      <c r="O1568" s="232"/>
      <c r="P1568" s="312"/>
      <c r="Q1568" s="312"/>
      <c r="R1568" s="312"/>
      <c r="S1568" s="312"/>
      <c r="T1568" s="312"/>
      <c r="U1568" s="312"/>
    </row>
    <row r="1569">
      <c r="A1569" s="537">
        <v>44876.0</v>
      </c>
      <c r="B1569" s="232" t="s">
        <v>28438</v>
      </c>
      <c r="C1569" s="509" t="s">
        <v>28439</v>
      </c>
      <c r="D1569" s="511"/>
      <c r="E1569" s="511"/>
      <c r="F1569" s="232"/>
      <c r="G1569" s="232" t="s">
        <v>22960</v>
      </c>
      <c r="H1569" s="232">
        <v>9.003750509E9</v>
      </c>
      <c r="I1569" s="509" t="s">
        <v>28440</v>
      </c>
      <c r="J1569" s="232" t="b">
        <v>0</v>
      </c>
      <c r="K1569" s="232" t="s">
        <v>334</v>
      </c>
      <c r="L1569" s="232"/>
      <c r="M1569" s="511"/>
      <c r="N1569" s="232"/>
      <c r="O1569" s="232"/>
      <c r="P1569" s="312"/>
      <c r="Q1569" s="312"/>
      <c r="R1569" s="312"/>
      <c r="S1569" s="312"/>
      <c r="T1569" s="312"/>
      <c r="U1569" s="312"/>
    </row>
    <row r="1570">
      <c r="A1570" s="537">
        <v>44876.0</v>
      </c>
      <c r="B1570" s="232" t="s">
        <v>28441</v>
      </c>
      <c r="C1570" s="509" t="s">
        <v>28442</v>
      </c>
      <c r="D1570" s="511"/>
      <c r="E1570" s="511"/>
      <c r="F1570" s="232" t="s">
        <v>28443</v>
      </c>
      <c r="G1570" s="232" t="s">
        <v>23823</v>
      </c>
      <c r="H1570" s="232">
        <v>6.371556355E9</v>
      </c>
      <c r="I1570" s="509" t="s">
        <v>25637</v>
      </c>
      <c r="J1570" s="232" t="b">
        <v>0</v>
      </c>
      <c r="K1570" s="232"/>
      <c r="L1570" s="232"/>
      <c r="M1570" s="511"/>
      <c r="N1570" s="232"/>
      <c r="O1570" s="232"/>
      <c r="P1570" s="312"/>
      <c r="Q1570" s="312"/>
      <c r="R1570" s="312"/>
      <c r="S1570" s="312"/>
      <c r="T1570" s="312"/>
      <c r="U1570" s="312"/>
    </row>
    <row r="1571">
      <c r="A1571" s="537">
        <v>44876.0</v>
      </c>
      <c r="B1571" s="232" t="s">
        <v>28444</v>
      </c>
      <c r="C1571" s="509" t="s">
        <v>28445</v>
      </c>
      <c r="D1571" s="511"/>
      <c r="E1571" s="511"/>
      <c r="F1571" s="232" t="s">
        <v>28446</v>
      </c>
      <c r="G1571" s="232" t="s">
        <v>28447</v>
      </c>
      <c r="H1571" s="232">
        <v>9.362885843E9</v>
      </c>
      <c r="I1571" s="509" t="s">
        <v>28448</v>
      </c>
      <c r="J1571" s="232" t="b">
        <v>0</v>
      </c>
      <c r="K1571" s="232" t="s">
        <v>22355</v>
      </c>
      <c r="L1571" s="232"/>
      <c r="M1571" s="511"/>
      <c r="N1571" s="232"/>
      <c r="O1571" s="232"/>
      <c r="P1571" s="312"/>
      <c r="Q1571" s="312"/>
      <c r="R1571" s="312"/>
      <c r="S1571" s="312"/>
      <c r="T1571" s="312"/>
      <c r="U1571" s="312"/>
    </row>
    <row r="1572">
      <c r="A1572" s="537">
        <v>44876.0</v>
      </c>
      <c r="B1572" s="232" t="s">
        <v>28449</v>
      </c>
      <c r="C1572" s="509" t="s">
        <v>28450</v>
      </c>
      <c r="D1572" s="511"/>
      <c r="E1572" s="511"/>
      <c r="F1572" s="232" t="s">
        <v>28451</v>
      </c>
      <c r="G1572" s="232" t="s">
        <v>28452</v>
      </c>
      <c r="H1572" s="232">
        <v>9.6684064E9</v>
      </c>
      <c r="I1572" s="509" t="s">
        <v>25075</v>
      </c>
      <c r="J1572" s="232" t="b">
        <v>0</v>
      </c>
      <c r="K1572" s="232" t="s">
        <v>22365</v>
      </c>
      <c r="L1572" s="232" t="s">
        <v>28453</v>
      </c>
      <c r="M1572" s="511"/>
      <c r="N1572" s="232"/>
      <c r="O1572" s="232"/>
      <c r="P1572" s="312"/>
      <c r="Q1572" s="312"/>
      <c r="R1572" s="312"/>
      <c r="S1572" s="312"/>
      <c r="T1572" s="312"/>
      <c r="U1572" s="312"/>
    </row>
    <row r="1573">
      <c r="A1573" s="537">
        <v>44876.0</v>
      </c>
      <c r="B1573" s="232" t="s">
        <v>28454</v>
      </c>
      <c r="C1573" s="509" t="s">
        <v>28455</v>
      </c>
      <c r="D1573" s="511"/>
      <c r="E1573" s="511"/>
      <c r="F1573" s="232"/>
      <c r="G1573" s="232" t="s">
        <v>26514</v>
      </c>
      <c r="H1573" s="232">
        <v>8.334861618E9</v>
      </c>
      <c r="I1573" s="509" t="s">
        <v>25637</v>
      </c>
      <c r="J1573" s="232" t="b">
        <v>0</v>
      </c>
      <c r="K1573" s="232" t="s">
        <v>334</v>
      </c>
      <c r="L1573" s="232"/>
      <c r="M1573" s="511"/>
      <c r="N1573" s="232"/>
      <c r="O1573" s="232"/>
      <c r="P1573" s="312"/>
      <c r="Q1573" s="312"/>
      <c r="R1573" s="312"/>
      <c r="S1573" s="312"/>
      <c r="T1573" s="312"/>
      <c r="U1573" s="312"/>
    </row>
    <row r="1574">
      <c r="A1574" s="537">
        <v>44876.0</v>
      </c>
      <c r="B1574" s="232" t="s">
        <v>28456</v>
      </c>
      <c r="C1574" s="509" t="s">
        <v>28455</v>
      </c>
      <c r="D1574" s="511"/>
      <c r="E1574" s="511"/>
      <c r="F1574" s="232" t="s">
        <v>28457</v>
      </c>
      <c r="G1574" s="232" t="s">
        <v>28458</v>
      </c>
      <c r="H1574" s="232">
        <v>9.051025222E9</v>
      </c>
      <c r="I1574" s="509" t="s">
        <v>28459</v>
      </c>
      <c r="J1574" s="232" t="b">
        <v>0</v>
      </c>
      <c r="K1574" s="232" t="s">
        <v>334</v>
      </c>
      <c r="L1574" s="232"/>
      <c r="M1574" s="511"/>
      <c r="N1574" s="232"/>
      <c r="O1574" s="232"/>
      <c r="P1574" s="312"/>
      <c r="Q1574" s="312"/>
      <c r="R1574" s="312"/>
      <c r="S1574" s="312"/>
      <c r="T1574" s="312"/>
      <c r="U1574" s="312"/>
    </row>
    <row r="1575">
      <c r="A1575" s="537">
        <v>44876.0</v>
      </c>
      <c r="B1575" s="232" t="s">
        <v>28460</v>
      </c>
      <c r="C1575" s="509" t="s">
        <v>28461</v>
      </c>
      <c r="D1575" s="511"/>
      <c r="E1575" s="511"/>
      <c r="F1575" s="232" t="s">
        <v>2946</v>
      </c>
      <c r="G1575" s="232" t="s">
        <v>26514</v>
      </c>
      <c r="H1575" s="232">
        <v>8.016675822E9</v>
      </c>
      <c r="I1575" s="509" t="s">
        <v>26083</v>
      </c>
      <c r="J1575" s="232" t="b">
        <v>0</v>
      </c>
      <c r="K1575" s="232" t="s">
        <v>22365</v>
      </c>
      <c r="L1575" s="232" t="s">
        <v>28462</v>
      </c>
      <c r="M1575" s="511"/>
      <c r="N1575" s="232"/>
      <c r="O1575" s="232"/>
      <c r="P1575" s="312"/>
      <c r="Q1575" s="312"/>
      <c r="R1575" s="312"/>
      <c r="S1575" s="312"/>
      <c r="T1575" s="312"/>
      <c r="U1575" s="312"/>
    </row>
    <row r="1576">
      <c r="A1576" s="537">
        <v>44876.0</v>
      </c>
      <c r="B1576" s="232" t="s">
        <v>28463</v>
      </c>
      <c r="C1576" s="509" t="s">
        <v>28464</v>
      </c>
      <c r="D1576" s="511"/>
      <c r="E1576" s="511"/>
      <c r="F1576" s="232" t="s">
        <v>28465</v>
      </c>
      <c r="G1576" s="232" t="s">
        <v>28466</v>
      </c>
      <c r="H1576" s="232">
        <v>9.098788881E9</v>
      </c>
      <c r="I1576" s="509" t="s">
        <v>28467</v>
      </c>
      <c r="J1576" s="232" t="b">
        <v>0</v>
      </c>
      <c r="K1576" s="232" t="s">
        <v>22365</v>
      </c>
      <c r="L1576" s="425" t="s">
        <v>28468</v>
      </c>
      <c r="M1576" s="511"/>
      <c r="N1576" s="232"/>
      <c r="O1576" s="232"/>
      <c r="P1576" s="312"/>
      <c r="Q1576" s="312"/>
      <c r="R1576" s="312"/>
      <c r="S1576" s="312"/>
      <c r="T1576" s="312"/>
      <c r="U1576" s="312"/>
    </row>
    <row r="1577">
      <c r="A1577" s="537">
        <v>44876.0</v>
      </c>
      <c r="B1577" s="232" t="s">
        <v>28469</v>
      </c>
      <c r="C1577" s="509" t="s">
        <v>28470</v>
      </c>
      <c r="D1577" s="511"/>
      <c r="E1577" s="511"/>
      <c r="F1577" s="232" t="s">
        <v>28471</v>
      </c>
      <c r="G1577" s="232" t="s">
        <v>28472</v>
      </c>
      <c r="H1577" s="232">
        <v>7.327926489E9</v>
      </c>
      <c r="I1577" s="509" t="s">
        <v>25986</v>
      </c>
      <c r="J1577" s="232" t="b">
        <v>0</v>
      </c>
      <c r="K1577" s="232"/>
      <c r="L1577" s="232"/>
      <c r="M1577" s="511"/>
      <c r="N1577" s="232"/>
      <c r="O1577" s="232"/>
      <c r="P1577" s="312"/>
      <c r="Q1577" s="312"/>
      <c r="R1577" s="312"/>
      <c r="S1577" s="312"/>
      <c r="T1577" s="312"/>
      <c r="U1577" s="312"/>
    </row>
    <row r="1578">
      <c r="A1578" s="537">
        <v>44876.0</v>
      </c>
      <c r="B1578" s="232" t="s">
        <v>28473</v>
      </c>
      <c r="C1578" s="509" t="s">
        <v>28474</v>
      </c>
      <c r="D1578" s="511"/>
      <c r="E1578" s="511"/>
      <c r="F1578" s="232"/>
      <c r="G1578" s="232" t="s">
        <v>28475</v>
      </c>
      <c r="H1578" s="232">
        <v>8.100161352E9</v>
      </c>
      <c r="I1578" s="509" t="s">
        <v>28476</v>
      </c>
      <c r="J1578" s="232" t="b">
        <v>0</v>
      </c>
      <c r="K1578" s="232" t="s">
        <v>22365</v>
      </c>
      <c r="L1578" s="232" t="s">
        <v>28477</v>
      </c>
      <c r="M1578" s="511"/>
      <c r="N1578" s="232"/>
      <c r="O1578" s="232"/>
      <c r="P1578" s="312"/>
      <c r="Q1578" s="312"/>
      <c r="R1578" s="312"/>
      <c r="S1578" s="312"/>
      <c r="T1578" s="312"/>
      <c r="U1578" s="312"/>
    </row>
    <row r="1579">
      <c r="A1579" s="537">
        <v>44876.0</v>
      </c>
      <c r="B1579" s="232" t="s">
        <v>28478</v>
      </c>
      <c r="C1579" s="509" t="s">
        <v>28479</v>
      </c>
      <c r="D1579" s="511"/>
      <c r="E1579" s="511"/>
      <c r="F1579" s="232" t="s">
        <v>28480</v>
      </c>
      <c r="G1579" s="232" t="s">
        <v>28385</v>
      </c>
      <c r="H1579" s="232">
        <v>9.679277761E9</v>
      </c>
      <c r="I1579" s="509" t="s">
        <v>25387</v>
      </c>
      <c r="J1579" s="232" t="b">
        <v>0</v>
      </c>
      <c r="K1579" s="232" t="s">
        <v>12092</v>
      </c>
      <c r="L1579" s="232"/>
      <c r="M1579" s="511"/>
      <c r="N1579" s="232"/>
      <c r="O1579" s="232"/>
      <c r="P1579" s="312"/>
      <c r="Q1579" s="312"/>
      <c r="R1579" s="312"/>
      <c r="S1579" s="312"/>
      <c r="T1579" s="312"/>
      <c r="U1579" s="312"/>
    </row>
    <row r="1580">
      <c r="A1580" s="537">
        <v>44876.0</v>
      </c>
      <c r="B1580" s="232" t="s">
        <v>28481</v>
      </c>
      <c r="C1580" s="509" t="s">
        <v>28482</v>
      </c>
      <c r="D1580" s="511"/>
      <c r="E1580" s="511"/>
      <c r="F1580" s="232" t="s">
        <v>28483</v>
      </c>
      <c r="G1580" s="232" t="s">
        <v>28484</v>
      </c>
      <c r="H1580" s="232">
        <v>9.046682005E9</v>
      </c>
      <c r="I1580" s="509" t="s">
        <v>28485</v>
      </c>
      <c r="J1580" s="232" t="b">
        <v>0</v>
      </c>
      <c r="K1580" s="232" t="s">
        <v>22365</v>
      </c>
      <c r="L1580" s="232" t="s">
        <v>23537</v>
      </c>
      <c r="M1580" s="511"/>
      <c r="N1580" s="232"/>
      <c r="O1580" s="232"/>
      <c r="P1580" s="312"/>
      <c r="Q1580" s="312"/>
      <c r="R1580" s="312"/>
      <c r="S1580" s="312"/>
      <c r="T1580" s="312"/>
      <c r="U1580" s="312"/>
    </row>
    <row r="1581">
      <c r="A1581" s="537">
        <v>44845.0</v>
      </c>
      <c r="B1581" s="232" t="s">
        <v>28486</v>
      </c>
      <c r="C1581" s="509" t="s">
        <v>28487</v>
      </c>
      <c r="D1581" s="511"/>
      <c r="E1581" s="511"/>
      <c r="F1581" s="232" t="s">
        <v>28488</v>
      </c>
      <c r="G1581" s="232" t="s">
        <v>22844</v>
      </c>
      <c r="H1581" s="232">
        <v>7.709360035E9</v>
      </c>
      <c r="I1581" s="509" t="s">
        <v>22289</v>
      </c>
      <c r="J1581" s="232" t="b">
        <v>0</v>
      </c>
      <c r="K1581" s="232" t="s">
        <v>22355</v>
      </c>
      <c r="L1581" s="232"/>
      <c r="M1581" s="511"/>
      <c r="N1581" s="232"/>
      <c r="O1581" s="232"/>
      <c r="P1581" s="312"/>
      <c r="Q1581" s="312"/>
      <c r="R1581" s="312"/>
      <c r="S1581" s="312"/>
      <c r="T1581" s="312"/>
      <c r="U1581" s="312"/>
    </row>
    <row r="1582">
      <c r="A1582" s="537">
        <v>44845.0</v>
      </c>
      <c r="B1582" s="232" t="s">
        <v>28489</v>
      </c>
      <c r="C1582" s="509" t="s">
        <v>28490</v>
      </c>
      <c r="D1582" s="511"/>
      <c r="E1582" s="511"/>
      <c r="F1582" s="232" t="s">
        <v>28491</v>
      </c>
      <c r="G1582" s="232" t="s">
        <v>44</v>
      </c>
      <c r="H1582" s="232">
        <v>-9.432572272E9</v>
      </c>
      <c r="I1582" s="509" t="s">
        <v>27938</v>
      </c>
      <c r="J1582" s="232" t="b">
        <v>0</v>
      </c>
      <c r="K1582" s="232" t="s">
        <v>22355</v>
      </c>
      <c r="L1582" s="232"/>
      <c r="M1582" s="511"/>
      <c r="N1582" s="232"/>
      <c r="O1582" s="232"/>
      <c r="P1582" s="312"/>
      <c r="Q1582" s="312"/>
      <c r="R1582" s="312"/>
      <c r="S1582" s="312"/>
      <c r="T1582" s="312"/>
      <c r="U1582" s="312"/>
    </row>
    <row r="1583">
      <c r="A1583" s="537">
        <v>44845.0</v>
      </c>
      <c r="B1583" s="232" t="s">
        <v>28492</v>
      </c>
      <c r="C1583" s="509" t="s">
        <v>28493</v>
      </c>
      <c r="D1583" s="510" t="s">
        <v>28494</v>
      </c>
      <c r="E1583" s="511"/>
      <c r="F1583" s="232" t="s">
        <v>28495</v>
      </c>
      <c r="G1583" s="232" t="s">
        <v>22960</v>
      </c>
      <c r="H1583" s="232">
        <v>9.789905909E9</v>
      </c>
      <c r="I1583" s="509" t="s">
        <v>22354</v>
      </c>
      <c r="J1583" s="232" t="b">
        <v>0</v>
      </c>
      <c r="K1583" s="232"/>
      <c r="L1583" s="232" t="s">
        <v>28496</v>
      </c>
      <c r="M1583" s="511"/>
      <c r="N1583" s="232"/>
      <c r="O1583" s="232"/>
      <c r="P1583" s="312"/>
      <c r="Q1583" s="312"/>
      <c r="R1583" s="312"/>
      <c r="S1583" s="312"/>
      <c r="T1583" s="312"/>
      <c r="U1583" s="312"/>
    </row>
    <row r="1584">
      <c r="A1584" s="537">
        <v>44845.0</v>
      </c>
      <c r="B1584" s="232" t="s">
        <v>28497</v>
      </c>
      <c r="C1584" s="509" t="s">
        <v>28498</v>
      </c>
      <c r="D1584" s="511"/>
      <c r="E1584" s="511"/>
      <c r="F1584" s="232" t="s">
        <v>28499</v>
      </c>
      <c r="G1584" s="232" t="s">
        <v>22507</v>
      </c>
      <c r="H1584" s="232">
        <v>9.003968843E9</v>
      </c>
      <c r="I1584" s="509" t="s">
        <v>25637</v>
      </c>
      <c r="J1584" s="232" t="b">
        <v>0</v>
      </c>
      <c r="K1584" s="232" t="s">
        <v>22365</v>
      </c>
      <c r="L1584" s="232" t="s">
        <v>24196</v>
      </c>
      <c r="M1584" s="511"/>
      <c r="N1584" s="232"/>
      <c r="O1584" s="232"/>
      <c r="P1584" s="312"/>
      <c r="Q1584" s="312"/>
      <c r="R1584" s="312"/>
      <c r="S1584" s="312"/>
      <c r="T1584" s="312"/>
      <c r="U1584" s="312"/>
    </row>
    <row r="1585">
      <c r="A1585" s="537">
        <v>44845.0</v>
      </c>
      <c r="B1585" s="232" t="s">
        <v>28500</v>
      </c>
      <c r="C1585" s="509" t="s">
        <v>27301</v>
      </c>
      <c r="D1585" s="511"/>
      <c r="E1585" s="511"/>
      <c r="F1585" s="232" t="s">
        <v>28501</v>
      </c>
      <c r="G1585" s="232" t="s">
        <v>15263</v>
      </c>
      <c r="H1585" s="232">
        <v>9.873758508E9</v>
      </c>
      <c r="I1585" s="509" t="s">
        <v>22354</v>
      </c>
      <c r="J1585" s="232" t="b">
        <v>0</v>
      </c>
      <c r="K1585" s="232" t="s">
        <v>334</v>
      </c>
      <c r="L1585" s="232"/>
      <c r="M1585" s="511"/>
      <c r="N1585" s="232"/>
      <c r="O1585" s="232"/>
      <c r="P1585" s="312"/>
      <c r="Q1585" s="312"/>
      <c r="R1585" s="312"/>
      <c r="S1585" s="312"/>
      <c r="T1585" s="312"/>
      <c r="U1585" s="312"/>
    </row>
    <row r="1586">
      <c r="A1586" s="537">
        <v>44845.0</v>
      </c>
      <c r="B1586" s="232" t="s">
        <v>28502</v>
      </c>
      <c r="C1586" s="509" t="s">
        <v>28503</v>
      </c>
      <c r="D1586" s="510" t="s">
        <v>28504</v>
      </c>
      <c r="E1586" s="511"/>
      <c r="F1586" s="232" t="s">
        <v>28505</v>
      </c>
      <c r="G1586" s="232" t="s">
        <v>24533</v>
      </c>
      <c r="H1586" s="232">
        <v>9.287529425E9</v>
      </c>
      <c r="I1586" s="509" t="s">
        <v>28506</v>
      </c>
      <c r="J1586" s="232" t="b">
        <v>0</v>
      </c>
      <c r="K1586" s="232" t="s">
        <v>334</v>
      </c>
      <c r="L1586" s="232"/>
      <c r="M1586" s="511"/>
      <c r="N1586" s="232"/>
      <c r="O1586" s="232"/>
      <c r="P1586" s="312"/>
      <c r="Q1586" s="312"/>
      <c r="R1586" s="312"/>
      <c r="S1586" s="312"/>
      <c r="T1586" s="312"/>
      <c r="U1586" s="312"/>
    </row>
    <row r="1587">
      <c r="A1587" s="537">
        <v>44845.0</v>
      </c>
      <c r="B1587" s="232" t="s">
        <v>28507</v>
      </c>
      <c r="C1587" s="509" t="s">
        <v>28508</v>
      </c>
      <c r="D1587" s="511"/>
      <c r="E1587" s="511"/>
      <c r="F1587" s="232" t="s">
        <v>28509</v>
      </c>
      <c r="G1587" s="232" t="s">
        <v>555</v>
      </c>
      <c r="H1587" s="232">
        <v>7.903265926E9</v>
      </c>
      <c r="I1587" s="509" t="s">
        <v>28510</v>
      </c>
      <c r="J1587" s="232" t="b">
        <v>0</v>
      </c>
      <c r="K1587" s="232" t="s">
        <v>22365</v>
      </c>
      <c r="L1587" s="232" t="s">
        <v>23537</v>
      </c>
      <c r="M1587" s="511"/>
      <c r="N1587" s="232"/>
      <c r="O1587" s="232"/>
      <c r="P1587" s="312"/>
      <c r="Q1587" s="312"/>
      <c r="R1587" s="312"/>
      <c r="S1587" s="312"/>
      <c r="T1587" s="312"/>
      <c r="U1587" s="312"/>
    </row>
    <row r="1588">
      <c r="A1588" s="537">
        <v>44845.0</v>
      </c>
      <c r="B1588" s="232" t="s">
        <v>28511</v>
      </c>
      <c r="C1588" s="509" t="s">
        <v>28512</v>
      </c>
      <c r="D1588" s="511"/>
      <c r="E1588" s="511"/>
      <c r="F1588" s="232" t="s">
        <v>28513</v>
      </c>
      <c r="G1588" s="232" t="s">
        <v>1663</v>
      </c>
      <c r="H1588" s="232">
        <v>7.019466787E9</v>
      </c>
      <c r="I1588" s="509" t="s">
        <v>28514</v>
      </c>
      <c r="J1588" s="232" t="b">
        <v>0</v>
      </c>
      <c r="K1588" s="232" t="s">
        <v>22355</v>
      </c>
      <c r="L1588" s="232"/>
      <c r="M1588" s="511"/>
      <c r="N1588" s="232"/>
      <c r="O1588" s="232"/>
      <c r="P1588" s="312"/>
      <c r="Q1588" s="312"/>
      <c r="R1588" s="312"/>
      <c r="S1588" s="312"/>
      <c r="T1588" s="312"/>
      <c r="U1588" s="312"/>
    </row>
    <row r="1589">
      <c r="A1589" s="520">
        <v>44815.0</v>
      </c>
      <c r="B1589" s="232" t="s">
        <v>28515</v>
      </c>
      <c r="C1589" s="509" t="s">
        <v>28516</v>
      </c>
      <c r="D1589" s="511"/>
      <c r="E1589" s="511"/>
      <c r="F1589" s="232" t="s">
        <v>28517</v>
      </c>
      <c r="G1589" s="232" t="s">
        <v>28518</v>
      </c>
      <c r="H1589" s="232">
        <v>7.204266602E10</v>
      </c>
      <c r="I1589" s="509" t="s">
        <v>28056</v>
      </c>
      <c r="J1589" s="232" t="b">
        <v>0</v>
      </c>
      <c r="K1589" s="232" t="s">
        <v>22365</v>
      </c>
      <c r="L1589" s="232" t="s">
        <v>23537</v>
      </c>
      <c r="M1589" s="511"/>
      <c r="N1589" s="232"/>
      <c r="O1589" s="232"/>
      <c r="P1589" s="312"/>
      <c r="Q1589" s="312"/>
      <c r="R1589" s="312"/>
      <c r="S1589" s="312"/>
      <c r="T1589" s="312"/>
      <c r="U1589" s="312"/>
    </row>
    <row r="1590">
      <c r="A1590" s="521">
        <v>44815.0</v>
      </c>
      <c r="B1590" s="514" t="s">
        <v>28519</v>
      </c>
      <c r="C1590" s="515" t="s">
        <v>28520</v>
      </c>
      <c r="D1590" s="517"/>
      <c r="E1590" s="517"/>
      <c r="F1590" s="514"/>
      <c r="G1590" s="518" t="s">
        <v>28521</v>
      </c>
      <c r="H1590" s="514">
        <v>7.01802808E9</v>
      </c>
      <c r="I1590" s="515" t="s">
        <v>28522</v>
      </c>
      <c r="J1590" s="514" t="b">
        <v>0</v>
      </c>
      <c r="K1590" s="514" t="s">
        <v>22312</v>
      </c>
      <c r="L1590" s="514" t="s">
        <v>28523</v>
      </c>
      <c r="M1590" s="511"/>
      <c r="N1590" s="232"/>
      <c r="O1590" s="232"/>
      <c r="P1590" s="312"/>
      <c r="Q1590" s="312"/>
      <c r="R1590" s="312"/>
      <c r="S1590" s="312"/>
      <c r="T1590" s="312"/>
      <c r="U1590" s="312"/>
    </row>
    <row r="1591">
      <c r="A1591" s="520">
        <v>44815.0</v>
      </c>
      <c r="B1591" s="232" t="s">
        <v>28524</v>
      </c>
      <c r="C1591" s="509" t="s">
        <v>28525</v>
      </c>
      <c r="D1591" s="511"/>
      <c r="E1591" s="511"/>
      <c r="F1591" s="232" t="s">
        <v>28526</v>
      </c>
      <c r="G1591" s="232" t="s">
        <v>44</v>
      </c>
      <c r="H1591" s="232">
        <v>9.831041631E9</v>
      </c>
      <c r="I1591" s="509" t="s">
        <v>28527</v>
      </c>
      <c r="J1591" s="232" t="b">
        <v>0</v>
      </c>
      <c r="K1591" s="232" t="s">
        <v>22365</v>
      </c>
      <c r="L1591" s="232" t="s">
        <v>23537</v>
      </c>
      <c r="M1591" s="511"/>
      <c r="N1591" s="232"/>
      <c r="O1591" s="232"/>
      <c r="P1591" s="312"/>
      <c r="Q1591" s="312"/>
      <c r="R1591" s="312"/>
      <c r="S1591" s="312"/>
      <c r="T1591" s="312"/>
      <c r="U1591" s="312"/>
    </row>
    <row r="1592">
      <c r="A1592" s="520">
        <v>44815.0</v>
      </c>
      <c r="B1592" s="232" t="s">
        <v>28528</v>
      </c>
      <c r="C1592" s="509" t="s">
        <v>28529</v>
      </c>
      <c r="D1592" s="511"/>
      <c r="E1592" s="511"/>
      <c r="F1592" s="232" t="s">
        <v>28530</v>
      </c>
      <c r="G1592" s="232" t="s">
        <v>23612</v>
      </c>
      <c r="H1592" s="232">
        <v>9.681194157E9</v>
      </c>
      <c r="I1592" s="509" t="s">
        <v>28531</v>
      </c>
      <c r="J1592" s="232" t="b">
        <v>0</v>
      </c>
      <c r="K1592" s="232" t="s">
        <v>22365</v>
      </c>
      <c r="L1592" s="232" t="s">
        <v>23537</v>
      </c>
      <c r="M1592" s="511"/>
      <c r="N1592" s="232"/>
      <c r="O1592" s="232"/>
      <c r="P1592" s="312"/>
      <c r="Q1592" s="312"/>
      <c r="R1592" s="312"/>
      <c r="S1592" s="312"/>
      <c r="T1592" s="312"/>
      <c r="U1592" s="312"/>
    </row>
    <row r="1593">
      <c r="A1593" s="520">
        <v>44815.0</v>
      </c>
      <c r="B1593" s="232" t="s">
        <v>28532</v>
      </c>
      <c r="C1593" s="509" t="s">
        <v>26983</v>
      </c>
      <c r="D1593" s="510" t="s">
        <v>28533</v>
      </c>
      <c r="E1593" s="511"/>
      <c r="F1593" s="232" t="s">
        <v>28534</v>
      </c>
      <c r="G1593" s="232" t="s">
        <v>23274</v>
      </c>
      <c r="H1593" s="232">
        <v>8.340712476E9</v>
      </c>
      <c r="I1593" s="509" t="s">
        <v>22289</v>
      </c>
      <c r="J1593" s="232" t="b">
        <v>0</v>
      </c>
      <c r="K1593" s="232" t="s">
        <v>22365</v>
      </c>
      <c r="L1593" s="232" t="s">
        <v>23537</v>
      </c>
      <c r="M1593" s="511"/>
      <c r="N1593" s="232"/>
      <c r="O1593" s="232"/>
      <c r="P1593" s="312"/>
      <c r="Q1593" s="312"/>
      <c r="R1593" s="312"/>
      <c r="S1593" s="312"/>
      <c r="T1593" s="312"/>
      <c r="U1593" s="312"/>
    </row>
    <row r="1594">
      <c r="A1594" s="520">
        <v>44815.0</v>
      </c>
      <c r="B1594" s="232" t="s">
        <v>28535</v>
      </c>
      <c r="C1594" s="509" t="s">
        <v>28536</v>
      </c>
      <c r="D1594" s="511"/>
      <c r="E1594" s="511"/>
      <c r="F1594" s="232" t="s">
        <v>28537</v>
      </c>
      <c r="G1594" s="232" t="s">
        <v>23660</v>
      </c>
      <c r="H1594" s="232">
        <v>9.829888288E9</v>
      </c>
      <c r="I1594" s="509" t="s">
        <v>24122</v>
      </c>
      <c r="J1594" s="232" t="b">
        <v>0</v>
      </c>
      <c r="K1594" s="232" t="s">
        <v>12092</v>
      </c>
      <c r="L1594" s="232"/>
      <c r="M1594" s="511"/>
      <c r="N1594" s="232"/>
      <c r="O1594" s="232"/>
      <c r="P1594" s="312"/>
      <c r="Q1594" s="312"/>
      <c r="R1594" s="312"/>
      <c r="S1594" s="312"/>
      <c r="T1594" s="312"/>
      <c r="U1594" s="312"/>
    </row>
    <row r="1595">
      <c r="A1595" s="520">
        <v>44815.0</v>
      </c>
      <c r="B1595" s="232" t="s">
        <v>28538</v>
      </c>
      <c r="C1595" s="509" t="s">
        <v>28539</v>
      </c>
      <c r="D1595" s="511"/>
      <c r="E1595" s="511"/>
      <c r="F1595" s="232" t="s">
        <v>28540</v>
      </c>
      <c r="G1595" s="232" t="s">
        <v>22742</v>
      </c>
      <c r="H1595" s="232">
        <v>8.65824018E9</v>
      </c>
      <c r="I1595" s="509" t="s">
        <v>23503</v>
      </c>
      <c r="J1595" s="232" t="b">
        <v>0</v>
      </c>
      <c r="K1595" s="232" t="s">
        <v>22355</v>
      </c>
      <c r="L1595" s="232"/>
      <c r="M1595" s="511"/>
      <c r="N1595" s="232"/>
      <c r="O1595" s="232"/>
      <c r="P1595" s="312"/>
      <c r="Q1595" s="312"/>
      <c r="R1595" s="312"/>
      <c r="S1595" s="312"/>
      <c r="T1595" s="312"/>
      <c r="U1595" s="312"/>
    </row>
    <row r="1596">
      <c r="A1596" s="520">
        <v>44815.0</v>
      </c>
      <c r="B1596" s="232" t="s">
        <v>28541</v>
      </c>
      <c r="C1596" s="509" t="s">
        <v>28542</v>
      </c>
      <c r="D1596" s="511"/>
      <c r="E1596" s="511"/>
      <c r="F1596" s="232" t="s">
        <v>28543</v>
      </c>
      <c r="G1596" s="232" t="s">
        <v>1663</v>
      </c>
      <c r="H1596" s="232">
        <v>-9.964257005E9</v>
      </c>
      <c r="I1596" s="509" t="s">
        <v>22354</v>
      </c>
      <c r="J1596" s="232" t="b">
        <v>0</v>
      </c>
      <c r="K1596" s="232" t="s">
        <v>22365</v>
      </c>
      <c r="L1596" s="232" t="s">
        <v>23537</v>
      </c>
      <c r="M1596" s="511"/>
      <c r="N1596" s="232"/>
      <c r="O1596" s="232"/>
      <c r="P1596" s="312"/>
      <c r="Q1596" s="312"/>
      <c r="R1596" s="312"/>
      <c r="S1596" s="312"/>
      <c r="T1596" s="312"/>
      <c r="U1596" s="312"/>
    </row>
    <row r="1597">
      <c r="A1597" s="520">
        <v>44815.0</v>
      </c>
      <c r="B1597" s="232" t="s">
        <v>28544</v>
      </c>
      <c r="C1597" s="509" t="s">
        <v>17968</v>
      </c>
      <c r="D1597" s="510" t="s">
        <v>28545</v>
      </c>
      <c r="E1597" s="511"/>
      <c r="F1597" s="232" t="s">
        <v>28546</v>
      </c>
      <c r="G1597" s="232" t="s">
        <v>22844</v>
      </c>
      <c r="H1597" s="232">
        <v>9.769969094E9</v>
      </c>
      <c r="I1597" s="509" t="s">
        <v>22289</v>
      </c>
      <c r="J1597" s="232" t="b">
        <v>0</v>
      </c>
      <c r="K1597" s="232" t="s">
        <v>22365</v>
      </c>
      <c r="L1597" s="232" t="s">
        <v>23537</v>
      </c>
      <c r="M1597" s="511"/>
      <c r="N1597" s="232"/>
      <c r="O1597" s="232"/>
      <c r="P1597" s="312"/>
      <c r="Q1597" s="312"/>
      <c r="R1597" s="312"/>
      <c r="S1597" s="312"/>
      <c r="T1597" s="312"/>
      <c r="U1597" s="312"/>
    </row>
    <row r="1598">
      <c r="A1598" s="520">
        <v>44815.0</v>
      </c>
      <c r="B1598" s="232" t="s">
        <v>28547</v>
      </c>
      <c r="C1598" s="509" t="s">
        <v>28548</v>
      </c>
      <c r="D1598" s="510" t="s">
        <v>28549</v>
      </c>
      <c r="E1598" s="511"/>
      <c r="F1598" s="232" t="s">
        <v>28550</v>
      </c>
      <c r="G1598" s="232" t="s">
        <v>22844</v>
      </c>
      <c r="H1598" s="232">
        <v>9.820264398E9</v>
      </c>
      <c r="I1598" s="509" t="s">
        <v>22961</v>
      </c>
      <c r="J1598" s="232" t="b">
        <v>0</v>
      </c>
      <c r="K1598" s="232" t="s">
        <v>22355</v>
      </c>
      <c r="L1598" s="232"/>
      <c r="M1598" s="511"/>
      <c r="N1598" s="232"/>
      <c r="O1598" s="232"/>
      <c r="P1598" s="312"/>
      <c r="Q1598" s="312"/>
      <c r="R1598" s="312"/>
      <c r="S1598" s="312"/>
      <c r="T1598" s="312"/>
      <c r="U1598" s="312"/>
    </row>
    <row r="1599">
      <c r="A1599" s="520">
        <v>44784.0</v>
      </c>
      <c r="B1599" s="232" t="s">
        <v>28551</v>
      </c>
      <c r="C1599" s="509" t="s">
        <v>28552</v>
      </c>
      <c r="D1599" s="510" t="s">
        <v>28553</v>
      </c>
      <c r="E1599" s="511"/>
      <c r="F1599" s="232" t="s">
        <v>28554</v>
      </c>
      <c r="G1599" s="232" t="s">
        <v>22818</v>
      </c>
      <c r="H1599" s="232">
        <v>9.586027E9</v>
      </c>
      <c r="I1599" s="509" t="s">
        <v>28555</v>
      </c>
      <c r="J1599" s="232" t="b">
        <v>0</v>
      </c>
      <c r="K1599" s="232" t="s">
        <v>22355</v>
      </c>
      <c r="L1599" s="232"/>
      <c r="M1599" s="511"/>
      <c r="N1599" s="232"/>
      <c r="O1599" s="232"/>
      <c r="P1599" s="312"/>
      <c r="Q1599" s="312"/>
      <c r="R1599" s="312"/>
      <c r="S1599" s="312"/>
      <c r="T1599" s="312"/>
      <c r="U1599" s="312"/>
    </row>
    <row r="1600">
      <c r="A1600" s="520">
        <v>44784.0</v>
      </c>
      <c r="B1600" s="232" t="s">
        <v>28556</v>
      </c>
      <c r="C1600" s="509" t="s">
        <v>28557</v>
      </c>
      <c r="D1600" s="510" t="s">
        <v>28558</v>
      </c>
      <c r="E1600" s="511"/>
      <c r="F1600" s="232" t="s">
        <v>28559</v>
      </c>
      <c r="G1600" s="232" t="s">
        <v>23557</v>
      </c>
      <c r="H1600" s="232">
        <v>7.737602743E9</v>
      </c>
      <c r="I1600" s="509" t="s">
        <v>22860</v>
      </c>
      <c r="J1600" s="232" t="b">
        <v>0</v>
      </c>
      <c r="K1600" s="232" t="s">
        <v>22355</v>
      </c>
      <c r="L1600" s="232"/>
      <c r="M1600" s="511"/>
      <c r="N1600" s="232"/>
      <c r="O1600" s="232"/>
      <c r="P1600" s="312"/>
      <c r="Q1600" s="312"/>
      <c r="R1600" s="312"/>
      <c r="S1600" s="312"/>
      <c r="T1600" s="312"/>
      <c r="U1600" s="312"/>
    </row>
    <row r="1601">
      <c r="A1601" s="520">
        <v>44784.0</v>
      </c>
      <c r="B1601" s="232" t="s">
        <v>28560</v>
      </c>
      <c r="C1601" s="509" t="s">
        <v>28561</v>
      </c>
      <c r="D1601" s="511"/>
      <c r="E1601" s="511"/>
      <c r="F1601" s="232"/>
      <c r="G1601" s="232" t="s">
        <v>22348</v>
      </c>
      <c r="H1601" s="232">
        <v>7.255919902E9</v>
      </c>
      <c r="I1601" s="509" t="s">
        <v>28562</v>
      </c>
      <c r="J1601" s="232" t="b">
        <v>0</v>
      </c>
      <c r="K1601" s="232" t="s">
        <v>22355</v>
      </c>
      <c r="L1601" s="232"/>
      <c r="M1601" s="511"/>
      <c r="N1601" s="232"/>
      <c r="O1601" s="232"/>
      <c r="P1601" s="312"/>
      <c r="Q1601" s="312"/>
      <c r="R1601" s="312"/>
      <c r="S1601" s="312"/>
      <c r="T1601" s="312"/>
      <c r="U1601" s="312"/>
    </row>
    <row r="1602">
      <c r="A1602" s="520">
        <v>44784.0</v>
      </c>
      <c r="B1602" s="232" t="s">
        <v>28563</v>
      </c>
      <c r="C1602" s="509" t="s">
        <v>28564</v>
      </c>
      <c r="D1602" s="511"/>
      <c r="E1602" s="511"/>
      <c r="F1602" s="232" t="s">
        <v>28565</v>
      </c>
      <c r="G1602" s="232" t="s">
        <v>22337</v>
      </c>
      <c r="H1602" s="232">
        <v>9.668555975E9</v>
      </c>
      <c r="I1602" s="509" t="s">
        <v>4786</v>
      </c>
      <c r="J1602" s="232" t="b">
        <v>0</v>
      </c>
      <c r="K1602" s="232" t="s">
        <v>22365</v>
      </c>
      <c r="L1602" s="232" t="s">
        <v>23537</v>
      </c>
      <c r="M1602" s="511"/>
      <c r="N1602" s="232"/>
      <c r="O1602" s="232"/>
      <c r="P1602" s="312"/>
      <c r="Q1602" s="312"/>
      <c r="R1602" s="312"/>
      <c r="S1602" s="312"/>
      <c r="T1602" s="312"/>
      <c r="U1602" s="312"/>
    </row>
    <row r="1603">
      <c r="A1603" s="520">
        <v>44784.0</v>
      </c>
      <c r="B1603" s="232" t="s">
        <v>28566</v>
      </c>
      <c r="C1603" s="509" t="s">
        <v>28567</v>
      </c>
      <c r="D1603" s="511"/>
      <c r="E1603" s="511"/>
      <c r="F1603" s="232" t="s">
        <v>28568</v>
      </c>
      <c r="G1603" s="232" t="s">
        <v>22770</v>
      </c>
      <c r="H1603" s="232">
        <v>-9.654789741E9</v>
      </c>
      <c r="I1603" s="509" t="s">
        <v>22373</v>
      </c>
      <c r="J1603" s="232" t="b">
        <v>0</v>
      </c>
      <c r="K1603" s="232" t="s">
        <v>22355</v>
      </c>
      <c r="L1603" s="232"/>
      <c r="M1603" s="511"/>
      <c r="N1603" s="232"/>
      <c r="O1603" s="232"/>
      <c r="P1603" s="312"/>
      <c r="Q1603" s="312"/>
      <c r="R1603" s="312"/>
      <c r="S1603" s="312"/>
      <c r="T1603" s="312"/>
      <c r="U1603" s="312"/>
    </row>
    <row r="1604">
      <c r="A1604" s="520">
        <v>44784.0</v>
      </c>
      <c r="B1604" s="232" t="s">
        <v>28569</v>
      </c>
      <c r="C1604" s="509" t="s">
        <v>474</v>
      </c>
      <c r="D1604" s="510" t="s">
        <v>28570</v>
      </c>
      <c r="E1604" s="511"/>
      <c r="F1604" s="232"/>
      <c r="G1604" s="232" t="s">
        <v>25015</v>
      </c>
      <c r="H1604" s="232">
        <v>9.25038887E9</v>
      </c>
      <c r="I1604" s="509" t="s">
        <v>28571</v>
      </c>
      <c r="J1604" s="232" t="b">
        <v>0</v>
      </c>
      <c r="K1604" s="232" t="s">
        <v>27100</v>
      </c>
      <c r="L1604" s="232"/>
      <c r="M1604" s="511"/>
      <c r="N1604" s="232"/>
      <c r="O1604" s="232"/>
      <c r="P1604" s="312"/>
      <c r="Q1604" s="312"/>
      <c r="R1604" s="312"/>
      <c r="S1604" s="312"/>
      <c r="T1604" s="312"/>
      <c r="U1604" s="312"/>
    </row>
    <row r="1605">
      <c r="A1605" s="520">
        <v>44784.0</v>
      </c>
      <c r="B1605" s="232" t="s">
        <v>28572</v>
      </c>
      <c r="C1605" s="509" t="s">
        <v>28573</v>
      </c>
      <c r="D1605" s="510" t="s">
        <v>28573</v>
      </c>
      <c r="E1605" s="511"/>
      <c r="F1605" s="232" t="s">
        <v>28574</v>
      </c>
      <c r="G1605" s="232" t="s">
        <v>23494</v>
      </c>
      <c r="H1605" s="232">
        <v>8.531807479E9</v>
      </c>
      <c r="I1605" s="509" t="s">
        <v>28575</v>
      </c>
      <c r="J1605" s="232" t="b">
        <v>0</v>
      </c>
      <c r="K1605" s="232" t="s">
        <v>12092</v>
      </c>
      <c r="L1605" s="232"/>
      <c r="M1605" s="511"/>
      <c r="N1605" s="232"/>
      <c r="O1605" s="232"/>
      <c r="P1605" s="312"/>
      <c r="Q1605" s="312"/>
      <c r="R1605" s="312"/>
      <c r="S1605" s="312"/>
      <c r="T1605" s="312"/>
      <c r="U1605" s="312"/>
    </row>
    <row r="1606">
      <c r="A1606" s="520">
        <v>44784.0</v>
      </c>
      <c r="B1606" s="232" t="s">
        <v>28576</v>
      </c>
      <c r="C1606" s="509" t="s">
        <v>28577</v>
      </c>
      <c r="D1606" s="511"/>
      <c r="E1606" s="511"/>
      <c r="F1606" s="232" t="s">
        <v>28578</v>
      </c>
      <c r="G1606" s="232" t="s">
        <v>44</v>
      </c>
      <c r="H1606" s="232">
        <v>9.163156996E9</v>
      </c>
      <c r="I1606" s="509" t="s">
        <v>28579</v>
      </c>
      <c r="J1606" s="232" t="b">
        <v>0</v>
      </c>
      <c r="K1606" s="232" t="s">
        <v>22365</v>
      </c>
      <c r="L1606" s="232" t="s">
        <v>23537</v>
      </c>
      <c r="M1606" s="511"/>
      <c r="N1606" s="232"/>
      <c r="O1606" s="232"/>
      <c r="P1606" s="312"/>
      <c r="Q1606" s="312"/>
      <c r="R1606" s="312"/>
      <c r="S1606" s="312"/>
      <c r="T1606" s="312"/>
      <c r="U1606" s="312"/>
    </row>
    <row r="1607">
      <c r="A1607" s="520">
        <v>44753.0</v>
      </c>
      <c r="B1607" s="232" t="s">
        <v>28580</v>
      </c>
      <c r="C1607" s="509" t="s">
        <v>28581</v>
      </c>
      <c r="D1607" s="511"/>
      <c r="E1607" s="511"/>
      <c r="F1607" s="232" t="s">
        <v>28582</v>
      </c>
      <c r="G1607" s="232" t="s">
        <v>965</v>
      </c>
      <c r="H1607" s="232">
        <v>9.500404757E9</v>
      </c>
      <c r="I1607" s="509" t="s">
        <v>22373</v>
      </c>
      <c r="J1607" s="232" t="b">
        <v>0</v>
      </c>
      <c r="K1607" s="232"/>
      <c r="L1607" s="232"/>
      <c r="M1607" s="511"/>
      <c r="N1607" s="232"/>
      <c r="O1607" s="232"/>
      <c r="P1607" s="312"/>
      <c r="Q1607" s="312"/>
      <c r="R1607" s="312"/>
      <c r="S1607" s="312"/>
      <c r="T1607" s="312"/>
      <c r="U1607" s="312"/>
    </row>
    <row r="1608">
      <c r="A1608" s="520">
        <v>44753.0</v>
      </c>
      <c r="B1608" s="232" t="s">
        <v>28583</v>
      </c>
      <c r="C1608" s="509" t="s">
        <v>28584</v>
      </c>
      <c r="D1608" s="511"/>
      <c r="E1608" s="511"/>
      <c r="F1608" s="232"/>
      <c r="G1608" s="232" t="s">
        <v>23612</v>
      </c>
      <c r="H1608" s="232">
        <v>7.980374536E9</v>
      </c>
      <c r="I1608" s="509" t="s">
        <v>22364</v>
      </c>
      <c r="J1608" s="232" t="b">
        <v>0</v>
      </c>
      <c r="K1608" s="232" t="s">
        <v>22365</v>
      </c>
      <c r="L1608" s="232" t="s">
        <v>28585</v>
      </c>
      <c r="M1608" s="511"/>
      <c r="N1608" s="232"/>
      <c r="O1608" s="232"/>
      <c r="P1608" s="312"/>
      <c r="Q1608" s="312"/>
      <c r="R1608" s="312"/>
      <c r="S1608" s="312"/>
      <c r="T1608" s="312"/>
      <c r="U1608" s="312"/>
    </row>
    <row r="1609">
      <c r="A1609" s="520">
        <v>44753.0</v>
      </c>
      <c r="B1609" s="232" t="s">
        <v>28586</v>
      </c>
      <c r="C1609" s="509" t="s">
        <v>28587</v>
      </c>
      <c r="D1609" s="511"/>
      <c r="E1609" s="511"/>
      <c r="F1609" s="232"/>
      <c r="G1609" s="232"/>
      <c r="H1609" s="232">
        <v>8.809263482E9</v>
      </c>
      <c r="I1609" s="509" t="s">
        <v>24742</v>
      </c>
      <c r="J1609" s="232" t="b">
        <v>0</v>
      </c>
      <c r="K1609" s="232" t="s">
        <v>22365</v>
      </c>
      <c r="L1609" s="232" t="s">
        <v>24196</v>
      </c>
      <c r="M1609" s="511"/>
      <c r="N1609" s="232"/>
      <c r="O1609" s="232"/>
      <c r="P1609" s="312"/>
      <c r="Q1609" s="312"/>
      <c r="R1609" s="312"/>
      <c r="S1609" s="312"/>
      <c r="T1609" s="312"/>
      <c r="U1609" s="312"/>
    </row>
    <row r="1610">
      <c r="A1610" s="520">
        <v>44753.0</v>
      </c>
      <c r="B1610" s="232" t="s">
        <v>28588</v>
      </c>
      <c r="C1610" s="509" t="s">
        <v>28589</v>
      </c>
      <c r="D1610" s="511"/>
      <c r="E1610" s="511"/>
      <c r="F1610" s="232" t="s">
        <v>28590</v>
      </c>
      <c r="G1610" s="232" t="s">
        <v>601</v>
      </c>
      <c r="H1610" s="232">
        <v>9.655609683E9</v>
      </c>
      <c r="I1610" s="509" t="s">
        <v>24052</v>
      </c>
      <c r="J1610" s="232" t="b">
        <v>0</v>
      </c>
      <c r="K1610" s="232" t="s">
        <v>22365</v>
      </c>
      <c r="L1610" s="232" t="s">
        <v>23537</v>
      </c>
      <c r="M1610" s="511"/>
      <c r="N1610" s="232"/>
      <c r="O1610" s="232"/>
      <c r="P1610" s="312"/>
      <c r="Q1610" s="312"/>
      <c r="R1610" s="312"/>
      <c r="S1610" s="312"/>
      <c r="T1610" s="312"/>
      <c r="U1610" s="312"/>
    </row>
    <row r="1611">
      <c r="A1611" s="520">
        <v>44753.0</v>
      </c>
      <c r="B1611" s="232" t="s">
        <v>28591</v>
      </c>
      <c r="C1611" s="509" t="s">
        <v>28592</v>
      </c>
      <c r="D1611" s="511"/>
      <c r="E1611" s="511"/>
      <c r="F1611" s="232"/>
      <c r="G1611" s="232" t="s">
        <v>28593</v>
      </c>
      <c r="H1611" s="232">
        <v>7.980161662E9</v>
      </c>
      <c r="I1611" s="509" t="s">
        <v>22727</v>
      </c>
      <c r="J1611" s="232" t="b">
        <v>0</v>
      </c>
      <c r="K1611" s="232" t="s">
        <v>12092</v>
      </c>
      <c r="L1611" s="232"/>
      <c r="M1611" s="511"/>
      <c r="N1611" s="232"/>
      <c r="O1611" s="232"/>
      <c r="P1611" s="312"/>
      <c r="Q1611" s="312"/>
      <c r="R1611" s="312"/>
      <c r="S1611" s="312"/>
      <c r="T1611" s="312"/>
      <c r="U1611" s="312"/>
    </row>
    <row r="1612">
      <c r="A1612" s="520">
        <v>44753.0</v>
      </c>
      <c r="B1612" s="232" t="s">
        <v>28594</v>
      </c>
      <c r="C1612" s="509" t="s">
        <v>28595</v>
      </c>
      <c r="D1612" s="511"/>
      <c r="E1612" s="511"/>
      <c r="F1612" s="232"/>
      <c r="G1612" s="232" t="s">
        <v>44</v>
      </c>
      <c r="H1612" s="232">
        <v>7.003690264E9</v>
      </c>
      <c r="I1612" s="509" t="s">
        <v>28202</v>
      </c>
      <c r="J1612" s="232" t="b">
        <v>0</v>
      </c>
      <c r="K1612" s="232" t="s">
        <v>22365</v>
      </c>
      <c r="L1612" s="232" t="s">
        <v>23537</v>
      </c>
      <c r="M1612" s="511"/>
      <c r="N1612" s="232"/>
      <c r="O1612" s="232"/>
      <c r="P1612" s="312"/>
      <c r="Q1612" s="312"/>
      <c r="R1612" s="312"/>
      <c r="S1612" s="312"/>
      <c r="T1612" s="312"/>
      <c r="U1612" s="312"/>
    </row>
    <row r="1613">
      <c r="A1613" s="520">
        <v>44753.0</v>
      </c>
      <c r="B1613" s="232" t="s">
        <v>28596</v>
      </c>
      <c r="C1613" s="509" t="s">
        <v>28589</v>
      </c>
      <c r="D1613" s="510" t="s">
        <v>28597</v>
      </c>
      <c r="E1613" s="511"/>
      <c r="F1613" s="232" t="s">
        <v>28598</v>
      </c>
      <c r="G1613" s="232" t="s">
        <v>22960</v>
      </c>
      <c r="H1613" s="232">
        <v>9.655609683E9</v>
      </c>
      <c r="I1613" s="509" t="s">
        <v>22373</v>
      </c>
      <c r="J1613" s="232" t="b">
        <v>0</v>
      </c>
      <c r="K1613" s="232"/>
      <c r="L1613" s="232" t="s">
        <v>28599</v>
      </c>
      <c r="M1613" s="511"/>
      <c r="N1613" s="232"/>
      <c r="O1613" s="232"/>
      <c r="P1613" s="312"/>
      <c r="Q1613" s="312"/>
      <c r="R1613" s="312"/>
      <c r="S1613" s="312"/>
      <c r="T1613" s="312"/>
      <c r="U1613" s="312"/>
    </row>
    <row r="1614">
      <c r="A1614" s="520">
        <v>44753.0</v>
      </c>
      <c r="B1614" s="232" t="s">
        <v>28600</v>
      </c>
      <c r="C1614" s="509" t="s">
        <v>28601</v>
      </c>
      <c r="D1614" s="511"/>
      <c r="E1614" s="511"/>
      <c r="F1614" s="232"/>
      <c r="G1614" s="232" t="s">
        <v>99</v>
      </c>
      <c r="H1614" s="232">
        <v>7.653843599E9</v>
      </c>
      <c r="I1614" s="509" t="s">
        <v>27207</v>
      </c>
      <c r="J1614" s="232" t="b">
        <v>0</v>
      </c>
      <c r="K1614" s="232" t="s">
        <v>334</v>
      </c>
      <c r="M1614" s="511"/>
      <c r="N1614" s="232"/>
      <c r="O1614" s="232"/>
      <c r="P1614" s="312"/>
      <c r="Q1614" s="312"/>
      <c r="R1614" s="312"/>
      <c r="S1614" s="312"/>
      <c r="T1614" s="312"/>
      <c r="U1614" s="312"/>
    </row>
    <row r="1615">
      <c r="A1615" s="520">
        <v>44753.0</v>
      </c>
      <c r="B1615" s="232" t="s">
        <v>28602</v>
      </c>
      <c r="C1615" s="509" t="s">
        <v>28603</v>
      </c>
      <c r="D1615" s="510" t="s">
        <v>28604</v>
      </c>
      <c r="E1615" s="511"/>
      <c r="F1615" s="232" t="s">
        <v>28605</v>
      </c>
      <c r="G1615" s="232" t="s">
        <v>23593</v>
      </c>
      <c r="H1615" s="232">
        <v>8.178332913E9</v>
      </c>
      <c r="I1615" s="509" t="s">
        <v>28606</v>
      </c>
      <c r="J1615" s="232" t="b">
        <v>0</v>
      </c>
      <c r="K1615" s="232" t="s">
        <v>22365</v>
      </c>
      <c r="L1615" s="232" t="s">
        <v>28607</v>
      </c>
      <c r="M1615" s="511"/>
      <c r="N1615" s="232"/>
      <c r="O1615" s="232"/>
      <c r="P1615" s="312"/>
      <c r="Q1615" s="312"/>
      <c r="R1615" s="312"/>
      <c r="S1615" s="312"/>
      <c r="T1615" s="312"/>
      <c r="U1615" s="312"/>
    </row>
    <row r="1616">
      <c r="A1616" s="520">
        <v>44753.0</v>
      </c>
      <c r="B1616" s="232" t="s">
        <v>28608</v>
      </c>
      <c r="C1616" s="509" t="s">
        <v>28609</v>
      </c>
      <c r="D1616" s="511"/>
      <c r="E1616" s="511"/>
      <c r="F1616" s="232" t="s">
        <v>28610</v>
      </c>
      <c r="G1616" s="232" t="s">
        <v>99</v>
      </c>
      <c r="H1616" s="232">
        <v>-9.348991322E9</v>
      </c>
      <c r="I1616" s="509" t="s">
        <v>22289</v>
      </c>
      <c r="J1616" s="232" t="b">
        <v>0</v>
      </c>
      <c r="K1616" s="232" t="s">
        <v>22365</v>
      </c>
      <c r="L1616" s="232" t="s">
        <v>23537</v>
      </c>
      <c r="M1616" s="511"/>
      <c r="N1616" s="232"/>
      <c r="O1616" s="232"/>
      <c r="P1616" s="312"/>
      <c r="Q1616" s="312"/>
      <c r="R1616" s="312"/>
      <c r="S1616" s="312"/>
      <c r="T1616" s="312"/>
      <c r="U1616" s="312"/>
    </row>
    <row r="1617">
      <c r="A1617" s="520">
        <v>44753.0</v>
      </c>
      <c r="B1617" s="232" t="s">
        <v>28611</v>
      </c>
      <c r="C1617" s="509" t="s">
        <v>28612</v>
      </c>
      <c r="D1617" s="519" t="s">
        <v>28613</v>
      </c>
      <c r="E1617" s="511"/>
      <c r="F1617" s="232" t="s">
        <v>28614</v>
      </c>
      <c r="G1617" s="232" t="s">
        <v>9266</v>
      </c>
      <c r="H1617" s="232">
        <v>9.142699991E9</v>
      </c>
      <c r="I1617" s="509" t="s">
        <v>28615</v>
      </c>
      <c r="J1617" s="232" t="b">
        <v>0</v>
      </c>
      <c r="K1617" s="232" t="s">
        <v>22365</v>
      </c>
      <c r="L1617" s="232" t="s">
        <v>22904</v>
      </c>
      <c r="M1617" s="511"/>
      <c r="N1617" s="232"/>
      <c r="O1617" s="232"/>
      <c r="P1617" s="312"/>
      <c r="Q1617" s="312"/>
      <c r="R1617" s="312"/>
      <c r="S1617" s="312"/>
      <c r="T1617" s="312"/>
      <c r="U1617" s="312"/>
    </row>
    <row r="1618">
      <c r="A1618" s="520">
        <v>44753.0</v>
      </c>
      <c r="B1618" s="232" t="s">
        <v>28616</v>
      </c>
      <c r="C1618" s="509" t="s">
        <v>28617</v>
      </c>
      <c r="D1618" s="511"/>
      <c r="E1618" s="511"/>
      <c r="F1618" s="232"/>
      <c r="G1618" s="232" t="s">
        <v>2682</v>
      </c>
      <c r="H1618" s="232">
        <v>9.945841221E9</v>
      </c>
      <c r="I1618" s="509" t="s">
        <v>28618</v>
      </c>
      <c r="J1618" s="232" t="b">
        <v>0</v>
      </c>
      <c r="K1618" s="232" t="s">
        <v>22355</v>
      </c>
      <c r="L1618" s="232"/>
      <c r="M1618" s="511"/>
      <c r="N1618" s="232"/>
      <c r="O1618" s="232"/>
      <c r="P1618" s="312"/>
      <c r="Q1618" s="312"/>
      <c r="R1618" s="312"/>
      <c r="S1618" s="312"/>
      <c r="T1618" s="312"/>
      <c r="U1618" s="312"/>
    </row>
    <row r="1619">
      <c r="A1619" s="520">
        <v>44753.0</v>
      </c>
      <c r="B1619" s="232" t="s">
        <v>28619</v>
      </c>
      <c r="C1619" s="509" t="s">
        <v>28620</v>
      </c>
      <c r="D1619" s="511"/>
      <c r="E1619" s="511"/>
      <c r="F1619" s="232"/>
      <c r="G1619" s="232" t="s">
        <v>2682</v>
      </c>
      <c r="H1619" s="232">
        <v>9.770737307E9</v>
      </c>
      <c r="I1619" s="509" t="s">
        <v>28621</v>
      </c>
      <c r="J1619" s="232" t="b">
        <v>0</v>
      </c>
      <c r="K1619" s="232" t="s">
        <v>22365</v>
      </c>
      <c r="L1619" s="232" t="s">
        <v>23537</v>
      </c>
      <c r="M1619" s="511"/>
      <c r="N1619" s="232"/>
      <c r="O1619" s="232"/>
      <c r="P1619" s="312"/>
      <c r="Q1619" s="312"/>
      <c r="R1619" s="312"/>
      <c r="S1619" s="312"/>
      <c r="T1619" s="312"/>
      <c r="U1619" s="312"/>
    </row>
    <row r="1620">
      <c r="A1620" s="520">
        <v>44753.0</v>
      </c>
      <c r="B1620" s="232" t="s">
        <v>28622</v>
      </c>
      <c r="C1620" s="509" t="s">
        <v>28623</v>
      </c>
      <c r="D1620" s="511"/>
      <c r="E1620" s="511"/>
      <c r="F1620" s="232" t="s">
        <v>28624</v>
      </c>
      <c r="G1620" s="232" t="s">
        <v>2070</v>
      </c>
      <c r="H1620" s="232">
        <v>9.827410022E9</v>
      </c>
      <c r="I1620" s="509" t="s">
        <v>28625</v>
      </c>
      <c r="J1620" s="232" t="b">
        <v>0</v>
      </c>
      <c r="K1620" s="232" t="s">
        <v>12092</v>
      </c>
      <c r="L1620" s="232"/>
      <c r="M1620" s="511"/>
      <c r="N1620" s="232"/>
      <c r="O1620" s="232"/>
      <c r="P1620" s="312"/>
      <c r="Q1620" s="312"/>
      <c r="R1620" s="312"/>
      <c r="S1620" s="312"/>
      <c r="T1620" s="312"/>
      <c r="U1620" s="312"/>
    </row>
    <row r="1621">
      <c r="A1621" s="520">
        <v>44753.0</v>
      </c>
      <c r="B1621" s="232" t="s">
        <v>28626</v>
      </c>
      <c r="C1621" s="509" t="s">
        <v>28627</v>
      </c>
      <c r="D1621" s="511"/>
      <c r="E1621" s="511"/>
      <c r="F1621" s="232"/>
      <c r="G1621" s="232" t="s">
        <v>44</v>
      </c>
      <c r="H1621" s="232">
        <v>8.910043582E9</v>
      </c>
      <c r="I1621" s="509" t="s">
        <v>22289</v>
      </c>
      <c r="J1621" s="232" t="b">
        <v>0</v>
      </c>
      <c r="K1621" s="232" t="s">
        <v>22349</v>
      </c>
      <c r="L1621" s="232" t="s">
        <v>28628</v>
      </c>
      <c r="M1621" s="511"/>
      <c r="N1621" s="232"/>
      <c r="O1621" s="232"/>
      <c r="P1621" s="312"/>
      <c r="Q1621" s="312"/>
      <c r="R1621" s="312"/>
      <c r="S1621" s="312"/>
      <c r="T1621" s="312"/>
      <c r="U1621" s="312"/>
    </row>
    <row r="1622">
      <c r="A1622" s="520">
        <v>44753.0</v>
      </c>
      <c r="B1622" s="232" t="s">
        <v>28629</v>
      </c>
      <c r="C1622" s="509" t="s">
        <v>28630</v>
      </c>
      <c r="D1622" s="511"/>
      <c r="E1622" s="511"/>
      <c r="F1622" s="232" t="s">
        <v>28631</v>
      </c>
      <c r="G1622" s="232" t="s">
        <v>44</v>
      </c>
      <c r="H1622" s="232">
        <v>9.831063757E9</v>
      </c>
      <c r="I1622" s="509" t="s">
        <v>22373</v>
      </c>
      <c r="J1622" s="232" t="b">
        <v>0</v>
      </c>
      <c r="K1622" s="232" t="s">
        <v>22355</v>
      </c>
      <c r="L1622" s="232"/>
      <c r="M1622" s="511"/>
      <c r="N1622" s="232"/>
      <c r="O1622" s="232"/>
      <c r="P1622" s="312"/>
      <c r="Q1622" s="312"/>
      <c r="R1622" s="312"/>
      <c r="S1622" s="312"/>
      <c r="T1622" s="312"/>
      <c r="U1622" s="312"/>
    </row>
    <row r="1623">
      <c r="A1623" s="520">
        <v>44753.0</v>
      </c>
      <c r="B1623" s="232" t="s">
        <v>28632</v>
      </c>
      <c r="C1623" s="509" t="s">
        <v>28633</v>
      </c>
      <c r="D1623" s="511"/>
      <c r="E1623" s="511"/>
      <c r="F1623" s="232" t="s">
        <v>28634</v>
      </c>
      <c r="G1623" s="232" t="s">
        <v>1090</v>
      </c>
      <c r="H1623" s="232">
        <v>8.127430014E9</v>
      </c>
      <c r="I1623" s="509"/>
      <c r="J1623" s="232" t="b">
        <v>0</v>
      </c>
      <c r="K1623" s="232" t="s">
        <v>22365</v>
      </c>
      <c r="L1623" s="232" t="s">
        <v>24196</v>
      </c>
      <c r="M1623" s="511"/>
      <c r="N1623" s="232"/>
      <c r="O1623" s="232"/>
      <c r="P1623" s="312"/>
      <c r="Q1623" s="312"/>
      <c r="R1623" s="312"/>
      <c r="S1623" s="312"/>
      <c r="T1623" s="312"/>
      <c r="U1623" s="312"/>
    </row>
    <row r="1624">
      <c r="A1624" s="520">
        <v>44753.0</v>
      </c>
      <c r="B1624" s="232" t="s">
        <v>28635</v>
      </c>
      <c r="C1624" s="509" t="s">
        <v>9524</v>
      </c>
      <c r="D1624" s="511"/>
      <c r="E1624" s="511"/>
      <c r="F1624" s="232" t="s">
        <v>28636</v>
      </c>
      <c r="G1624" s="232" t="s">
        <v>107</v>
      </c>
      <c r="H1624" s="232">
        <v>9.313266622E9</v>
      </c>
      <c r="I1624" s="509" t="s">
        <v>28467</v>
      </c>
      <c r="J1624" s="232" t="b">
        <v>0</v>
      </c>
      <c r="K1624" s="232" t="s">
        <v>334</v>
      </c>
      <c r="L1624" s="232"/>
      <c r="M1624" s="511"/>
      <c r="N1624" s="232"/>
      <c r="O1624" s="232"/>
      <c r="P1624" s="312"/>
      <c r="Q1624" s="312"/>
      <c r="R1624" s="312"/>
      <c r="S1624" s="312"/>
      <c r="T1624" s="312"/>
      <c r="U1624" s="312"/>
    </row>
    <row r="1625">
      <c r="A1625" s="520">
        <v>44692.0</v>
      </c>
      <c r="B1625" s="232" t="s">
        <v>28637</v>
      </c>
      <c r="C1625" s="509" t="s">
        <v>28638</v>
      </c>
      <c r="D1625" s="511"/>
      <c r="E1625" s="511"/>
      <c r="F1625" s="232"/>
      <c r="G1625" s="232" t="s">
        <v>28639</v>
      </c>
      <c r="H1625" s="232">
        <v>9.0902708E9</v>
      </c>
      <c r="I1625" s="509" t="s">
        <v>23871</v>
      </c>
      <c r="J1625" s="232" t="b">
        <v>0</v>
      </c>
      <c r="K1625" s="232" t="s">
        <v>27100</v>
      </c>
      <c r="L1625" s="232" t="s">
        <v>28640</v>
      </c>
      <c r="M1625" s="511"/>
      <c r="N1625" s="232"/>
      <c r="O1625" s="232"/>
      <c r="P1625" s="312"/>
      <c r="Q1625" s="312"/>
      <c r="R1625" s="312"/>
      <c r="S1625" s="312"/>
      <c r="T1625" s="312"/>
      <c r="U1625" s="312"/>
    </row>
    <row r="1626">
      <c r="A1626" s="520">
        <v>44692.0</v>
      </c>
      <c r="B1626" s="232" t="s">
        <v>28641</v>
      </c>
      <c r="C1626" s="509" t="s">
        <v>28642</v>
      </c>
      <c r="D1626" s="511"/>
      <c r="E1626" s="511"/>
      <c r="F1626" s="232" t="s">
        <v>28643</v>
      </c>
      <c r="G1626" s="232" t="s">
        <v>22288</v>
      </c>
      <c r="H1626" s="232">
        <v>7.023502771E9</v>
      </c>
      <c r="I1626" s="509" t="s">
        <v>28644</v>
      </c>
      <c r="J1626" s="232" t="b">
        <v>0</v>
      </c>
      <c r="K1626" s="232" t="s">
        <v>22365</v>
      </c>
      <c r="L1626" s="232" t="s">
        <v>24196</v>
      </c>
      <c r="M1626" s="511"/>
      <c r="N1626" s="232"/>
      <c r="O1626" s="232"/>
      <c r="P1626" s="312"/>
      <c r="Q1626" s="312"/>
      <c r="R1626" s="312"/>
      <c r="S1626" s="312"/>
      <c r="T1626" s="312"/>
      <c r="U1626" s="312"/>
    </row>
    <row r="1627">
      <c r="A1627" s="520">
        <v>44692.0</v>
      </c>
      <c r="B1627" s="232" t="s">
        <v>28645</v>
      </c>
      <c r="C1627" s="509" t="s">
        <v>26822</v>
      </c>
      <c r="D1627" s="510" t="s">
        <v>28646</v>
      </c>
      <c r="E1627" s="511"/>
      <c r="F1627" s="232" t="s">
        <v>28647</v>
      </c>
      <c r="G1627" s="232" t="s">
        <v>24452</v>
      </c>
      <c r="H1627" s="232">
        <v>9.050966869E9</v>
      </c>
      <c r="I1627" s="509" t="s">
        <v>24263</v>
      </c>
      <c r="J1627" s="232" t="b">
        <v>0</v>
      </c>
      <c r="K1627" s="232" t="s">
        <v>334</v>
      </c>
      <c r="L1627" s="232"/>
      <c r="M1627" s="511"/>
      <c r="N1627" s="232"/>
      <c r="O1627" s="232"/>
      <c r="P1627" s="312"/>
      <c r="Q1627" s="312"/>
      <c r="R1627" s="312"/>
      <c r="S1627" s="312"/>
      <c r="T1627" s="312"/>
      <c r="U1627" s="312"/>
    </row>
    <row r="1628">
      <c r="A1628" s="520">
        <v>44692.0</v>
      </c>
      <c r="B1628" s="232" t="s">
        <v>28648</v>
      </c>
      <c r="C1628" s="509" t="s">
        <v>28649</v>
      </c>
      <c r="D1628" s="511"/>
      <c r="E1628" s="511"/>
      <c r="F1628" s="232" t="s">
        <v>28650</v>
      </c>
      <c r="G1628" s="232" t="s">
        <v>24046</v>
      </c>
      <c r="H1628" s="232">
        <v>-7.7021585E9</v>
      </c>
      <c r="I1628" s="509" t="s">
        <v>22502</v>
      </c>
      <c r="J1628" s="232" t="b">
        <v>0</v>
      </c>
      <c r="K1628" s="232" t="s">
        <v>12092</v>
      </c>
      <c r="L1628" s="232"/>
      <c r="M1628" s="511"/>
      <c r="N1628" s="232"/>
      <c r="O1628" s="232"/>
      <c r="P1628" s="312"/>
      <c r="Q1628" s="312"/>
      <c r="R1628" s="312"/>
      <c r="S1628" s="312"/>
      <c r="T1628" s="312"/>
      <c r="U1628" s="312"/>
    </row>
    <row r="1629">
      <c r="A1629" s="520">
        <v>44692.0</v>
      </c>
      <c r="B1629" s="232" t="s">
        <v>28651</v>
      </c>
      <c r="C1629" s="509" t="s">
        <v>28652</v>
      </c>
      <c r="D1629" s="510" t="s">
        <v>28653</v>
      </c>
      <c r="E1629" s="511"/>
      <c r="F1629" s="232" t="s">
        <v>28654</v>
      </c>
      <c r="G1629" s="232" t="s">
        <v>22960</v>
      </c>
      <c r="H1629" s="232">
        <v>8.825974266E9</v>
      </c>
      <c r="I1629" s="509" t="s">
        <v>25626</v>
      </c>
      <c r="J1629" s="232" t="b">
        <v>0</v>
      </c>
      <c r="K1629" s="232"/>
      <c r="L1629" s="232" t="s">
        <v>28655</v>
      </c>
      <c r="M1629" s="511"/>
      <c r="N1629" s="232"/>
      <c r="O1629" s="232"/>
      <c r="P1629" s="312"/>
      <c r="Q1629" s="312"/>
      <c r="R1629" s="312"/>
      <c r="S1629" s="312"/>
      <c r="T1629" s="312"/>
      <c r="U1629" s="312"/>
    </row>
    <row r="1630">
      <c r="A1630" s="520">
        <v>44692.0</v>
      </c>
      <c r="B1630" s="232" t="s">
        <v>28656</v>
      </c>
      <c r="C1630" s="509" t="s">
        <v>28657</v>
      </c>
      <c r="D1630" s="511"/>
      <c r="E1630" s="511"/>
      <c r="F1630" s="232" t="s">
        <v>28658</v>
      </c>
      <c r="G1630" s="232" t="s">
        <v>398</v>
      </c>
      <c r="H1630" s="232">
        <v>7.8797E9</v>
      </c>
      <c r="I1630" s="509" t="s">
        <v>28659</v>
      </c>
      <c r="J1630" s="232" t="b">
        <v>0</v>
      </c>
      <c r="K1630" s="232" t="s">
        <v>22365</v>
      </c>
      <c r="L1630" s="232" t="s">
        <v>28660</v>
      </c>
      <c r="M1630" s="511"/>
      <c r="N1630" s="232"/>
      <c r="O1630" s="232"/>
      <c r="P1630" s="312"/>
      <c r="Q1630" s="312"/>
      <c r="R1630" s="312"/>
      <c r="S1630" s="312"/>
      <c r="T1630" s="312"/>
      <c r="U1630" s="312"/>
    </row>
    <row r="1631">
      <c r="A1631" s="520">
        <v>44692.0</v>
      </c>
      <c r="B1631" s="232" t="s">
        <v>28661</v>
      </c>
      <c r="C1631" s="509" t="s">
        <v>28662</v>
      </c>
      <c r="D1631" s="519" t="s">
        <v>28663</v>
      </c>
      <c r="E1631" s="511"/>
      <c r="F1631" s="232" t="s">
        <v>28664</v>
      </c>
      <c r="G1631" s="232" t="s">
        <v>28665</v>
      </c>
      <c r="H1631" s="232">
        <v>-8.24911249E9</v>
      </c>
      <c r="I1631" s="509" t="s">
        <v>25754</v>
      </c>
      <c r="J1631" s="232" t="b">
        <v>0</v>
      </c>
      <c r="K1631" s="232" t="s">
        <v>22365</v>
      </c>
      <c r="L1631" s="232" t="s">
        <v>23537</v>
      </c>
      <c r="M1631" s="511"/>
      <c r="N1631" s="232"/>
      <c r="O1631" s="232"/>
      <c r="P1631" s="312"/>
      <c r="Q1631" s="312"/>
      <c r="R1631" s="312"/>
      <c r="S1631" s="312"/>
      <c r="T1631" s="312"/>
      <c r="U1631" s="312"/>
    </row>
    <row r="1632">
      <c r="A1632" s="521">
        <v>44692.0</v>
      </c>
      <c r="B1632" s="514" t="s">
        <v>28666</v>
      </c>
      <c r="C1632" s="515" t="s">
        <v>28667</v>
      </c>
      <c r="D1632" s="516" t="s">
        <v>28668</v>
      </c>
      <c r="E1632" s="517"/>
      <c r="F1632" s="514"/>
      <c r="G1632" s="514" t="s">
        <v>24213</v>
      </c>
      <c r="H1632" s="514">
        <v>9.609763028E9</v>
      </c>
      <c r="I1632" s="515" t="s">
        <v>28669</v>
      </c>
      <c r="J1632" s="514" t="b">
        <v>0</v>
      </c>
      <c r="K1632" s="514" t="s">
        <v>22312</v>
      </c>
      <c r="L1632" s="518" t="s">
        <v>28670</v>
      </c>
      <c r="M1632" s="511"/>
      <c r="N1632" s="232"/>
      <c r="O1632" s="232"/>
      <c r="P1632" s="312"/>
      <c r="Q1632" s="312"/>
      <c r="R1632" s="312"/>
      <c r="S1632" s="312"/>
      <c r="T1632" s="312"/>
      <c r="U1632" s="312"/>
    </row>
    <row r="1633">
      <c r="A1633" s="520">
        <v>44692.0</v>
      </c>
      <c r="B1633" s="232" t="s">
        <v>28671</v>
      </c>
      <c r="C1633" s="509" t="s">
        <v>28672</v>
      </c>
      <c r="D1633" s="511"/>
      <c r="E1633" s="511"/>
      <c r="F1633" s="232" t="s">
        <v>28673</v>
      </c>
      <c r="G1633" s="232" t="s">
        <v>28674</v>
      </c>
      <c r="H1633" s="232">
        <v>7.396888322E9</v>
      </c>
      <c r="I1633" s="509" t="s">
        <v>28675</v>
      </c>
      <c r="J1633" s="232" t="b">
        <v>0</v>
      </c>
      <c r="K1633" s="232" t="s">
        <v>22365</v>
      </c>
      <c r="L1633" s="232" t="s">
        <v>28676</v>
      </c>
      <c r="M1633" s="511"/>
      <c r="N1633" s="232"/>
      <c r="O1633" s="232"/>
      <c r="P1633" s="312"/>
      <c r="Q1633" s="312"/>
      <c r="R1633" s="312"/>
      <c r="S1633" s="312"/>
      <c r="T1633" s="312"/>
      <c r="U1633" s="312"/>
    </row>
    <row r="1634">
      <c r="A1634" s="520">
        <v>44692.0</v>
      </c>
      <c r="B1634" s="232" t="s">
        <v>28677</v>
      </c>
      <c r="C1634" s="509" t="s">
        <v>28678</v>
      </c>
      <c r="D1634" s="511"/>
      <c r="E1634" s="511"/>
      <c r="F1634" s="232" t="s">
        <v>28679</v>
      </c>
      <c r="G1634" s="232" t="s">
        <v>985</v>
      </c>
      <c r="H1634" s="232">
        <v>6.295071148E9</v>
      </c>
      <c r="I1634" s="509" t="s">
        <v>28100</v>
      </c>
      <c r="J1634" s="232" t="b">
        <v>0</v>
      </c>
      <c r="K1634" s="232" t="s">
        <v>22355</v>
      </c>
      <c r="L1634" s="232"/>
      <c r="M1634" s="511"/>
      <c r="N1634" s="232"/>
      <c r="O1634" s="232"/>
      <c r="P1634" s="312"/>
      <c r="Q1634" s="312"/>
      <c r="R1634" s="312"/>
      <c r="S1634" s="312"/>
      <c r="T1634" s="312"/>
      <c r="U1634" s="312"/>
    </row>
    <row r="1635">
      <c r="A1635" s="520">
        <v>44692.0</v>
      </c>
      <c r="B1635" s="232" t="s">
        <v>28680</v>
      </c>
      <c r="C1635" s="509" t="s">
        <v>28681</v>
      </c>
      <c r="D1635" s="511"/>
      <c r="E1635" s="511"/>
      <c r="F1635" s="232"/>
      <c r="G1635" s="232" t="s">
        <v>28682</v>
      </c>
      <c r="H1635" s="232">
        <v>8.099241023E9</v>
      </c>
      <c r="I1635" s="509" t="s">
        <v>28683</v>
      </c>
      <c r="J1635" s="232" t="b">
        <v>0</v>
      </c>
      <c r="K1635" s="232" t="s">
        <v>22355</v>
      </c>
      <c r="L1635" s="232"/>
      <c r="M1635" s="511"/>
      <c r="N1635" s="232"/>
      <c r="O1635" s="232"/>
      <c r="P1635" s="312"/>
      <c r="Q1635" s="312"/>
      <c r="R1635" s="312"/>
      <c r="S1635" s="312"/>
      <c r="T1635" s="312"/>
      <c r="U1635" s="312"/>
    </row>
    <row r="1636">
      <c r="A1636" s="520">
        <v>44662.0</v>
      </c>
      <c r="B1636" s="232" t="s">
        <v>28684</v>
      </c>
      <c r="C1636" s="509" t="s">
        <v>28685</v>
      </c>
      <c r="D1636" s="511"/>
      <c r="E1636" s="511"/>
      <c r="F1636" s="232" t="s">
        <v>28686</v>
      </c>
      <c r="G1636" s="232" t="s">
        <v>22304</v>
      </c>
      <c r="H1636" s="232">
        <v>8.908180874E9</v>
      </c>
      <c r="I1636" s="509" t="s">
        <v>27832</v>
      </c>
      <c r="J1636" s="232" t="b">
        <v>0</v>
      </c>
      <c r="K1636" s="232" t="s">
        <v>22349</v>
      </c>
      <c r="L1636" s="232" t="s">
        <v>28687</v>
      </c>
      <c r="M1636" s="511"/>
      <c r="N1636" s="232"/>
      <c r="O1636" s="232"/>
      <c r="P1636" s="312"/>
      <c r="Q1636" s="312"/>
      <c r="R1636" s="312"/>
      <c r="S1636" s="312"/>
      <c r="T1636" s="312"/>
      <c r="U1636" s="312"/>
    </row>
    <row r="1637">
      <c r="A1637" s="520">
        <v>44662.0</v>
      </c>
      <c r="B1637" s="232" t="s">
        <v>28688</v>
      </c>
      <c r="C1637" s="509" t="s">
        <v>28689</v>
      </c>
      <c r="D1637" s="511"/>
      <c r="E1637" s="511"/>
      <c r="F1637" s="232" t="s">
        <v>28690</v>
      </c>
      <c r="G1637" s="232" t="s">
        <v>472</v>
      </c>
      <c r="H1637" s="232">
        <v>7.863901441E9</v>
      </c>
      <c r="I1637" s="509" t="s">
        <v>22373</v>
      </c>
      <c r="J1637" s="232" t="b">
        <v>0</v>
      </c>
      <c r="K1637" s="232" t="s">
        <v>22365</v>
      </c>
      <c r="L1637" s="232" t="s">
        <v>24747</v>
      </c>
      <c r="M1637" s="511"/>
      <c r="N1637" s="232"/>
      <c r="O1637" s="232"/>
      <c r="P1637" s="312"/>
      <c r="Q1637" s="312"/>
      <c r="R1637" s="312"/>
      <c r="S1637" s="312"/>
      <c r="T1637" s="312"/>
      <c r="U1637" s="312"/>
    </row>
    <row r="1638">
      <c r="A1638" s="520">
        <v>44662.0</v>
      </c>
      <c r="B1638" s="232" t="s">
        <v>28691</v>
      </c>
      <c r="C1638" s="509" t="s">
        <v>28692</v>
      </c>
      <c r="D1638" s="510" t="s">
        <v>28693</v>
      </c>
      <c r="E1638" s="511"/>
      <c r="F1638" s="232" t="s">
        <v>28694</v>
      </c>
      <c r="G1638" s="232" t="s">
        <v>507</v>
      </c>
      <c r="H1638" s="232">
        <v>8.390131814E9</v>
      </c>
      <c r="I1638" s="509" t="s">
        <v>22289</v>
      </c>
      <c r="J1638" s="232" t="b">
        <v>0</v>
      </c>
      <c r="K1638" s="232" t="s">
        <v>22365</v>
      </c>
      <c r="L1638" s="232" t="s">
        <v>23537</v>
      </c>
      <c r="M1638" s="511"/>
      <c r="N1638" s="232"/>
      <c r="O1638" s="232"/>
      <c r="P1638" s="312"/>
      <c r="Q1638" s="312"/>
      <c r="R1638" s="312"/>
      <c r="S1638" s="312"/>
      <c r="T1638" s="312"/>
      <c r="U1638" s="312"/>
    </row>
    <row r="1639">
      <c r="A1639" s="520">
        <v>44662.0</v>
      </c>
      <c r="B1639" s="232" t="s">
        <v>28695</v>
      </c>
      <c r="C1639" s="509" t="s">
        <v>11566</v>
      </c>
      <c r="D1639" s="510" t="s">
        <v>28696</v>
      </c>
      <c r="E1639" s="511"/>
      <c r="F1639" s="232" t="s">
        <v>28697</v>
      </c>
      <c r="G1639" s="232" t="s">
        <v>28698</v>
      </c>
      <c r="H1639" s="232">
        <v>-7.600278355E9</v>
      </c>
      <c r="I1639" s="509" t="s">
        <v>28699</v>
      </c>
      <c r="J1639" s="232" t="b">
        <v>0</v>
      </c>
      <c r="K1639" s="232" t="s">
        <v>22365</v>
      </c>
      <c r="L1639" s="232" t="s">
        <v>24196</v>
      </c>
      <c r="M1639" s="511"/>
      <c r="N1639" s="232"/>
      <c r="O1639" s="232"/>
      <c r="P1639" s="312"/>
      <c r="Q1639" s="312"/>
      <c r="R1639" s="312"/>
      <c r="S1639" s="312"/>
      <c r="T1639" s="312"/>
      <c r="U1639" s="312"/>
    </row>
    <row r="1640">
      <c r="A1640" s="520">
        <v>44662.0</v>
      </c>
      <c r="B1640" s="232" t="s">
        <v>28700</v>
      </c>
      <c r="C1640" s="509" t="s">
        <v>28701</v>
      </c>
      <c r="D1640" s="511"/>
      <c r="E1640" s="511"/>
      <c r="F1640" s="232" t="s">
        <v>28702</v>
      </c>
      <c r="G1640" s="232" t="s">
        <v>507</v>
      </c>
      <c r="H1640" s="232">
        <v>-9.930919601E9</v>
      </c>
      <c r="I1640" s="509" t="s">
        <v>28703</v>
      </c>
      <c r="J1640" s="232" t="b">
        <v>0</v>
      </c>
      <c r="K1640" s="232" t="s">
        <v>22365</v>
      </c>
      <c r="L1640" s="232" t="s">
        <v>24196</v>
      </c>
      <c r="M1640" s="511"/>
      <c r="N1640" s="232"/>
      <c r="O1640" s="232"/>
      <c r="P1640" s="312"/>
      <c r="Q1640" s="312"/>
      <c r="R1640" s="312"/>
      <c r="S1640" s="312"/>
      <c r="T1640" s="312"/>
      <c r="U1640" s="312"/>
    </row>
    <row r="1641">
      <c r="A1641" s="520">
        <v>44662.0</v>
      </c>
      <c r="B1641" s="232" t="s">
        <v>28704</v>
      </c>
      <c r="C1641" s="509" t="s">
        <v>28705</v>
      </c>
      <c r="D1641" s="511"/>
      <c r="E1641" s="511"/>
      <c r="F1641" s="232"/>
      <c r="G1641" s="232" t="s">
        <v>22630</v>
      </c>
      <c r="H1641" s="232">
        <v>8.128005753E9</v>
      </c>
      <c r="I1641" s="509" t="s">
        <v>28706</v>
      </c>
      <c r="J1641" s="232" t="b">
        <v>0</v>
      </c>
      <c r="K1641" s="232" t="s">
        <v>334</v>
      </c>
      <c r="L1641" s="232"/>
      <c r="M1641" s="511"/>
      <c r="N1641" s="232"/>
      <c r="O1641" s="232"/>
      <c r="P1641" s="312"/>
      <c r="Q1641" s="312"/>
      <c r="R1641" s="312"/>
      <c r="S1641" s="312"/>
      <c r="T1641" s="312"/>
      <c r="U1641" s="312"/>
    </row>
    <row r="1642">
      <c r="A1642" s="520">
        <v>44662.0</v>
      </c>
      <c r="B1642" s="232" t="s">
        <v>28707</v>
      </c>
      <c r="C1642" s="509" t="s">
        <v>28051</v>
      </c>
      <c r="D1642" s="519" t="s">
        <v>28708</v>
      </c>
      <c r="E1642" s="511"/>
      <c r="F1642" s="232" t="s">
        <v>28709</v>
      </c>
      <c r="G1642" s="232" t="s">
        <v>158</v>
      </c>
      <c r="H1642" s="232">
        <v>8.617290121E9</v>
      </c>
      <c r="I1642" s="509" t="s">
        <v>28710</v>
      </c>
      <c r="J1642" s="232" t="b">
        <v>0</v>
      </c>
      <c r="K1642" s="232" t="s">
        <v>22355</v>
      </c>
      <c r="L1642" s="232"/>
      <c r="M1642" s="511"/>
      <c r="N1642" s="232"/>
      <c r="O1642" s="232"/>
      <c r="P1642" s="312"/>
      <c r="Q1642" s="312"/>
      <c r="R1642" s="312"/>
      <c r="S1642" s="312"/>
      <c r="T1642" s="312"/>
      <c r="U1642" s="312"/>
    </row>
    <row r="1643">
      <c r="A1643" s="520">
        <v>44662.0</v>
      </c>
      <c r="B1643" s="232" t="s">
        <v>28711</v>
      </c>
      <c r="C1643" s="509" t="s">
        <v>28712</v>
      </c>
      <c r="D1643" s="511"/>
      <c r="E1643" s="511"/>
      <c r="F1643" s="232" t="s">
        <v>28713</v>
      </c>
      <c r="G1643" s="232" t="s">
        <v>28714</v>
      </c>
      <c r="H1643" s="232">
        <v>8.754334891E9</v>
      </c>
      <c r="I1643" s="509" t="s">
        <v>28715</v>
      </c>
      <c r="J1643" s="232" t="b">
        <v>0</v>
      </c>
      <c r="K1643" s="232" t="s">
        <v>334</v>
      </c>
      <c r="L1643" s="232"/>
      <c r="M1643" s="511"/>
      <c r="N1643" s="232"/>
      <c r="O1643" s="232"/>
      <c r="P1643" s="312"/>
      <c r="Q1643" s="312"/>
      <c r="R1643" s="312"/>
      <c r="S1643" s="312"/>
      <c r="T1643" s="312"/>
      <c r="U1643" s="312"/>
    </row>
    <row r="1644" ht="18.0" customHeight="1">
      <c r="A1644" s="520">
        <v>44631.0</v>
      </c>
      <c r="B1644" s="232" t="s">
        <v>28716</v>
      </c>
      <c r="C1644" s="509" t="s">
        <v>28717</v>
      </c>
      <c r="D1644" s="510" t="s">
        <v>28718</v>
      </c>
      <c r="E1644" s="511"/>
      <c r="F1644" s="232" t="s">
        <v>28719</v>
      </c>
      <c r="G1644" s="232" t="s">
        <v>22960</v>
      </c>
      <c r="H1644" s="232">
        <v>9.48626307E9</v>
      </c>
      <c r="I1644" s="509" t="s">
        <v>28720</v>
      </c>
      <c r="J1644" s="232" t="b">
        <v>0</v>
      </c>
      <c r="K1644" s="232" t="s">
        <v>22365</v>
      </c>
      <c r="L1644" s="232" t="s">
        <v>23537</v>
      </c>
      <c r="M1644" s="511"/>
      <c r="N1644" s="232"/>
      <c r="O1644" s="232"/>
      <c r="P1644" s="312"/>
      <c r="Q1644" s="312"/>
      <c r="R1644" s="312"/>
      <c r="S1644" s="312"/>
      <c r="T1644" s="312"/>
      <c r="U1644" s="312"/>
    </row>
    <row r="1645">
      <c r="A1645" s="520">
        <v>44631.0</v>
      </c>
      <c r="B1645" s="232" t="s">
        <v>28721</v>
      </c>
      <c r="C1645" s="509" t="s">
        <v>28722</v>
      </c>
      <c r="D1645" s="519" t="s">
        <v>28723</v>
      </c>
      <c r="E1645" s="511"/>
      <c r="F1645" s="232" t="s">
        <v>28724</v>
      </c>
      <c r="G1645" s="232" t="s">
        <v>22803</v>
      </c>
      <c r="H1645" s="232">
        <v>9.49318557E9</v>
      </c>
      <c r="I1645" s="512" t="s">
        <v>28725</v>
      </c>
      <c r="J1645" s="232" t="b">
        <v>0</v>
      </c>
      <c r="K1645" s="232" t="s">
        <v>22349</v>
      </c>
      <c r="L1645" s="232" t="s">
        <v>28726</v>
      </c>
      <c r="M1645" s="511"/>
      <c r="N1645" s="232"/>
      <c r="O1645" s="232"/>
      <c r="P1645" s="312"/>
      <c r="Q1645" s="312"/>
      <c r="R1645" s="312"/>
      <c r="S1645" s="312"/>
      <c r="T1645" s="312"/>
      <c r="U1645" s="312"/>
    </row>
    <row r="1646">
      <c r="A1646" s="520">
        <v>44631.0</v>
      </c>
      <c r="B1646" s="232" t="s">
        <v>28727</v>
      </c>
      <c r="C1646" s="509" t="s">
        <v>28728</v>
      </c>
      <c r="D1646" s="511"/>
      <c r="E1646" s="511"/>
      <c r="F1646" s="232" t="s">
        <v>28729</v>
      </c>
      <c r="G1646" s="232" t="s">
        <v>107</v>
      </c>
      <c r="H1646" s="232">
        <v>9.717680672E9</v>
      </c>
      <c r="I1646" s="509" t="s">
        <v>25637</v>
      </c>
      <c r="J1646" s="232" t="b">
        <v>0</v>
      </c>
      <c r="K1646" s="232" t="s">
        <v>22365</v>
      </c>
      <c r="L1646" s="232" t="s">
        <v>23537</v>
      </c>
      <c r="M1646" s="511"/>
      <c r="N1646" s="232"/>
      <c r="O1646" s="232"/>
      <c r="P1646" s="312"/>
      <c r="Q1646" s="312"/>
      <c r="R1646" s="312"/>
      <c r="S1646" s="312"/>
      <c r="T1646" s="312"/>
      <c r="U1646" s="312"/>
    </row>
    <row r="1647">
      <c r="A1647" s="520">
        <v>44631.0</v>
      </c>
      <c r="B1647" s="232" t="s">
        <v>28730</v>
      </c>
      <c r="C1647" s="509" t="s">
        <v>4015</v>
      </c>
      <c r="D1647" s="510" t="s">
        <v>7102</v>
      </c>
      <c r="E1647" s="511"/>
      <c r="F1647" s="232" t="s">
        <v>28731</v>
      </c>
      <c r="G1647" s="232" t="s">
        <v>507</v>
      </c>
      <c r="H1647" s="232">
        <v>9.420619899E9</v>
      </c>
      <c r="I1647" s="509" t="s">
        <v>28732</v>
      </c>
      <c r="J1647" s="232" t="b">
        <v>0</v>
      </c>
      <c r="K1647" s="232" t="s">
        <v>22365</v>
      </c>
      <c r="L1647" s="232" t="s">
        <v>23537</v>
      </c>
      <c r="M1647" s="511"/>
      <c r="N1647" s="232"/>
      <c r="O1647" s="232"/>
      <c r="P1647" s="312"/>
      <c r="Q1647" s="312"/>
      <c r="R1647" s="312"/>
      <c r="S1647" s="312"/>
      <c r="T1647" s="312"/>
      <c r="U1647" s="312"/>
    </row>
    <row r="1648">
      <c r="A1648" s="520">
        <v>44631.0</v>
      </c>
      <c r="B1648" s="232" t="s">
        <v>28733</v>
      </c>
      <c r="C1648" s="509" t="s">
        <v>28734</v>
      </c>
      <c r="D1648" s="511"/>
      <c r="E1648" s="511"/>
      <c r="F1648" s="232" t="s">
        <v>28735</v>
      </c>
      <c r="G1648" s="232" t="s">
        <v>23494</v>
      </c>
      <c r="H1648" s="232">
        <v>9.632121005E9</v>
      </c>
      <c r="I1648" s="509" t="s">
        <v>22289</v>
      </c>
      <c r="J1648" s="232" t="b">
        <v>0</v>
      </c>
      <c r="K1648" s="232" t="s">
        <v>334</v>
      </c>
      <c r="L1648" s="232"/>
      <c r="M1648" s="511"/>
      <c r="N1648" s="232"/>
      <c r="O1648" s="232"/>
      <c r="P1648" s="312"/>
      <c r="Q1648" s="312"/>
      <c r="R1648" s="312"/>
      <c r="S1648" s="312"/>
      <c r="T1648" s="312"/>
      <c r="U1648" s="312"/>
    </row>
    <row r="1649">
      <c r="A1649" s="520">
        <v>44631.0</v>
      </c>
      <c r="B1649" s="232" t="s">
        <v>28736</v>
      </c>
      <c r="C1649" s="509" t="s">
        <v>16485</v>
      </c>
      <c r="D1649" s="511"/>
      <c r="E1649" s="511"/>
      <c r="F1649" s="232" t="s">
        <v>28737</v>
      </c>
      <c r="G1649" s="232" t="s">
        <v>24601</v>
      </c>
      <c r="H1649" s="232">
        <v>8.638881904E9</v>
      </c>
      <c r="I1649" s="509" t="s">
        <v>28738</v>
      </c>
      <c r="J1649" s="232" t="b">
        <v>0</v>
      </c>
      <c r="K1649" s="232" t="s">
        <v>22365</v>
      </c>
      <c r="L1649" s="232" t="s">
        <v>28739</v>
      </c>
      <c r="M1649" s="511"/>
      <c r="N1649" s="232"/>
      <c r="O1649" s="232"/>
      <c r="P1649" s="312"/>
      <c r="Q1649" s="312"/>
      <c r="R1649" s="312"/>
      <c r="S1649" s="312"/>
      <c r="T1649" s="312"/>
      <c r="U1649" s="312"/>
    </row>
    <row r="1650">
      <c r="A1650" s="520">
        <v>44631.0</v>
      </c>
      <c r="B1650" s="232" t="s">
        <v>28740</v>
      </c>
      <c r="C1650" s="509" t="s">
        <v>28741</v>
      </c>
      <c r="D1650" s="511"/>
      <c r="E1650" s="511"/>
      <c r="F1650" s="232" t="s">
        <v>28742</v>
      </c>
      <c r="G1650" s="232" t="s">
        <v>2612</v>
      </c>
      <c r="H1650" s="232">
        <v>8.260743998E9</v>
      </c>
      <c r="I1650" s="509" t="s">
        <v>22727</v>
      </c>
      <c r="J1650" s="232" t="b">
        <v>0</v>
      </c>
      <c r="K1650" s="232" t="s">
        <v>22365</v>
      </c>
      <c r="L1650" s="232" t="s">
        <v>23537</v>
      </c>
      <c r="M1650" s="511"/>
      <c r="N1650" s="232"/>
      <c r="O1650" s="232"/>
      <c r="P1650" s="312"/>
      <c r="Q1650" s="312"/>
      <c r="R1650" s="312"/>
      <c r="S1650" s="312"/>
      <c r="T1650" s="312"/>
      <c r="U1650" s="312"/>
    </row>
    <row r="1651">
      <c r="A1651" s="520">
        <v>44631.0</v>
      </c>
      <c r="B1651" s="232" t="s">
        <v>28743</v>
      </c>
      <c r="C1651" s="509" t="s">
        <v>28744</v>
      </c>
      <c r="D1651" s="511"/>
      <c r="E1651" s="510">
        <v>20.0</v>
      </c>
      <c r="F1651" s="232" t="s">
        <v>28745</v>
      </c>
      <c r="G1651" s="232" t="s">
        <v>977</v>
      </c>
      <c r="H1651" s="232">
        <v>9.162450426E9</v>
      </c>
      <c r="I1651" s="509" t="s">
        <v>22698</v>
      </c>
      <c r="J1651" s="232" t="b">
        <v>0</v>
      </c>
      <c r="K1651" s="232" t="s">
        <v>27100</v>
      </c>
      <c r="L1651" s="232"/>
      <c r="M1651" s="511"/>
      <c r="N1651" s="232"/>
      <c r="O1651" s="232"/>
      <c r="P1651" s="312"/>
      <c r="Q1651" s="312"/>
      <c r="R1651" s="312"/>
      <c r="S1651" s="312"/>
      <c r="T1651" s="312"/>
      <c r="U1651" s="312"/>
    </row>
    <row r="1652">
      <c r="A1652" s="520">
        <v>44631.0</v>
      </c>
      <c r="B1652" s="232" t="s">
        <v>28746</v>
      </c>
      <c r="C1652" s="509" t="s">
        <v>28747</v>
      </c>
      <c r="D1652" s="511"/>
      <c r="E1652" s="511"/>
      <c r="F1652" s="232"/>
      <c r="G1652" s="232" t="s">
        <v>28748</v>
      </c>
      <c r="H1652" s="232">
        <v>9.040790004E9</v>
      </c>
      <c r="I1652" s="509" t="s">
        <v>28467</v>
      </c>
      <c r="J1652" s="232" t="b">
        <v>0</v>
      </c>
      <c r="K1652" s="232" t="s">
        <v>22355</v>
      </c>
      <c r="L1652" s="232"/>
      <c r="M1652" s="511"/>
      <c r="N1652" s="232"/>
      <c r="O1652" s="232"/>
      <c r="P1652" s="312"/>
      <c r="Q1652" s="312"/>
      <c r="R1652" s="312"/>
      <c r="S1652" s="312"/>
      <c r="T1652" s="312"/>
      <c r="U1652" s="312"/>
    </row>
    <row r="1653">
      <c r="A1653" s="520">
        <v>44603.0</v>
      </c>
      <c r="B1653" s="232" t="s">
        <v>28749</v>
      </c>
      <c r="C1653" s="509" t="s">
        <v>28750</v>
      </c>
      <c r="D1653" s="510" t="s">
        <v>28751</v>
      </c>
      <c r="E1653" s="511"/>
      <c r="F1653" s="232" t="s">
        <v>28752</v>
      </c>
      <c r="G1653" s="232" t="s">
        <v>22742</v>
      </c>
      <c r="H1653" s="232">
        <v>7.978679367E9</v>
      </c>
      <c r="I1653" s="509" t="s">
        <v>25744</v>
      </c>
      <c r="J1653" s="232" t="b">
        <v>0</v>
      </c>
      <c r="K1653" s="232" t="s">
        <v>22365</v>
      </c>
      <c r="L1653" s="232" t="s">
        <v>23537</v>
      </c>
      <c r="M1653" s="511"/>
      <c r="N1653" s="232"/>
      <c r="O1653" s="232"/>
      <c r="P1653" s="312"/>
      <c r="Q1653" s="312"/>
      <c r="R1653" s="312"/>
      <c r="S1653" s="312"/>
      <c r="T1653" s="312"/>
      <c r="U1653" s="312"/>
    </row>
    <row r="1654">
      <c r="A1654" s="520">
        <v>44603.0</v>
      </c>
      <c r="B1654" s="232" t="s">
        <v>28753</v>
      </c>
      <c r="C1654" s="509" t="s">
        <v>28754</v>
      </c>
      <c r="D1654" s="510" t="s">
        <v>28755</v>
      </c>
      <c r="E1654" s="511"/>
      <c r="F1654" s="232" t="s">
        <v>28756</v>
      </c>
      <c r="G1654" s="232" t="s">
        <v>22742</v>
      </c>
      <c r="H1654" s="232">
        <v>7.008800162E9</v>
      </c>
      <c r="I1654" s="509" t="s">
        <v>25954</v>
      </c>
      <c r="J1654" s="232" t="b">
        <v>0</v>
      </c>
      <c r="K1654" s="232" t="s">
        <v>22365</v>
      </c>
      <c r="L1654" s="232" t="s">
        <v>28757</v>
      </c>
      <c r="M1654" s="511"/>
      <c r="N1654" s="232"/>
      <c r="O1654" s="232"/>
      <c r="P1654" s="312"/>
      <c r="Q1654" s="312"/>
      <c r="R1654" s="312"/>
      <c r="S1654" s="312"/>
      <c r="T1654" s="312"/>
      <c r="U1654" s="312"/>
    </row>
    <row r="1655">
      <c r="A1655" s="520">
        <v>44603.0</v>
      </c>
      <c r="B1655" s="232" t="s">
        <v>28758</v>
      </c>
      <c r="C1655" s="509" t="s">
        <v>28759</v>
      </c>
      <c r="D1655" s="510" t="s">
        <v>28760</v>
      </c>
      <c r="E1655" s="511"/>
      <c r="F1655" s="232" t="s">
        <v>28761</v>
      </c>
      <c r="G1655" s="232" t="s">
        <v>22583</v>
      </c>
      <c r="H1655" s="232">
        <v>9.045332432E9</v>
      </c>
      <c r="I1655" s="509" t="s">
        <v>25820</v>
      </c>
      <c r="J1655" s="232" t="b">
        <v>0</v>
      </c>
      <c r="K1655" s="232" t="s">
        <v>22365</v>
      </c>
      <c r="L1655" s="232" t="s">
        <v>28762</v>
      </c>
      <c r="M1655" s="511"/>
      <c r="N1655" s="232"/>
      <c r="O1655" s="232"/>
      <c r="P1655" s="312"/>
      <c r="Q1655" s="312"/>
      <c r="R1655" s="312"/>
      <c r="S1655" s="312"/>
      <c r="T1655" s="312"/>
      <c r="U1655" s="312"/>
    </row>
    <row r="1656">
      <c r="A1656" s="520">
        <v>44603.0</v>
      </c>
      <c r="B1656" s="232" t="s">
        <v>28763</v>
      </c>
      <c r="C1656" s="509" t="s">
        <v>28764</v>
      </c>
      <c r="D1656" s="511"/>
      <c r="E1656" s="511"/>
      <c r="F1656" s="232" t="s">
        <v>28765</v>
      </c>
      <c r="G1656" s="232" t="s">
        <v>22630</v>
      </c>
      <c r="H1656" s="232">
        <v>9.512267377E9</v>
      </c>
      <c r="I1656" s="509" t="s">
        <v>24122</v>
      </c>
      <c r="J1656" s="232" t="b">
        <v>0</v>
      </c>
      <c r="K1656" s="232" t="s">
        <v>12092</v>
      </c>
      <c r="L1656" s="232"/>
      <c r="M1656" s="511"/>
      <c r="N1656" s="232"/>
      <c r="O1656" s="232"/>
      <c r="P1656" s="312"/>
      <c r="Q1656" s="312"/>
      <c r="R1656" s="312"/>
      <c r="S1656" s="312"/>
      <c r="T1656" s="312"/>
      <c r="U1656" s="312"/>
    </row>
    <row r="1657">
      <c r="A1657" s="520">
        <v>44603.0</v>
      </c>
      <c r="B1657" s="232" t="s">
        <v>28766</v>
      </c>
      <c r="C1657" s="509" t="s">
        <v>28767</v>
      </c>
      <c r="E1657" s="511"/>
      <c r="F1657" s="232" t="s">
        <v>28768</v>
      </c>
      <c r="G1657" s="232" t="s">
        <v>507</v>
      </c>
      <c r="H1657" s="232">
        <v>8.09767288E9</v>
      </c>
      <c r="I1657" s="509" t="s">
        <v>25889</v>
      </c>
      <c r="J1657" s="232" t="b">
        <v>0</v>
      </c>
      <c r="K1657" s="232" t="s">
        <v>22365</v>
      </c>
      <c r="L1657" s="232"/>
      <c r="M1657" s="511"/>
      <c r="N1657" s="232"/>
      <c r="O1657" s="232"/>
      <c r="P1657" s="312"/>
      <c r="Q1657" s="312"/>
      <c r="R1657" s="312"/>
      <c r="S1657" s="312"/>
      <c r="T1657" s="312"/>
      <c r="U1657" s="312"/>
    </row>
    <row r="1658">
      <c r="A1658" s="520">
        <v>44603.0</v>
      </c>
      <c r="B1658" s="232" t="s">
        <v>28769</v>
      </c>
      <c r="C1658" s="509" t="s">
        <v>28770</v>
      </c>
      <c r="D1658" s="510" t="s">
        <v>28771</v>
      </c>
      <c r="E1658" s="511"/>
      <c r="F1658" s="232" t="s">
        <v>28772</v>
      </c>
      <c r="G1658" s="232" t="s">
        <v>22404</v>
      </c>
      <c r="H1658" s="232">
        <v>9.820318139E9</v>
      </c>
      <c r="I1658" s="509" t="s">
        <v>28773</v>
      </c>
      <c r="J1658" s="232" t="b">
        <v>0</v>
      </c>
      <c r="K1658" s="232" t="s">
        <v>22365</v>
      </c>
      <c r="L1658" s="232" t="s">
        <v>28774</v>
      </c>
      <c r="M1658" s="511"/>
      <c r="N1658" s="232"/>
      <c r="O1658" s="232"/>
      <c r="P1658" s="312"/>
      <c r="Q1658" s="312"/>
      <c r="R1658" s="312"/>
      <c r="S1658" s="312"/>
      <c r="T1658" s="312"/>
      <c r="U1658" s="312"/>
    </row>
    <row r="1659">
      <c r="A1659" s="520">
        <v>44603.0</v>
      </c>
      <c r="B1659" s="232" t="s">
        <v>28775</v>
      </c>
      <c r="C1659" s="509" t="s">
        <v>28776</v>
      </c>
      <c r="D1659" s="511"/>
      <c r="E1659" s="511"/>
      <c r="F1659" s="232" t="s">
        <v>28777</v>
      </c>
      <c r="G1659" s="232" t="s">
        <v>99</v>
      </c>
      <c r="H1659" s="232">
        <v>7.894398362E9</v>
      </c>
      <c r="I1659" s="509" t="s">
        <v>25637</v>
      </c>
      <c r="J1659" s="232" t="b">
        <v>0</v>
      </c>
      <c r="K1659" s="232" t="s">
        <v>334</v>
      </c>
      <c r="L1659" s="232"/>
      <c r="M1659" s="511"/>
      <c r="N1659" s="232"/>
      <c r="O1659" s="232"/>
      <c r="P1659" s="312"/>
      <c r="Q1659" s="312"/>
      <c r="R1659" s="312"/>
      <c r="S1659" s="312"/>
      <c r="T1659" s="312"/>
      <c r="U1659" s="312"/>
    </row>
    <row r="1660">
      <c r="A1660" s="520">
        <v>44603.0</v>
      </c>
      <c r="B1660" s="232" t="s">
        <v>28778</v>
      </c>
      <c r="C1660" s="509" t="s">
        <v>17577</v>
      </c>
      <c r="D1660" s="511"/>
      <c r="E1660" s="511"/>
      <c r="F1660" s="232" t="s">
        <v>28779</v>
      </c>
      <c r="G1660" s="232" t="s">
        <v>28780</v>
      </c>
      <c r="H1660" s="232">
        <v>9.163186823E9</v>
      </c>
      <c r="I1660" s="509" t="s">
        <v>25075</v>
      </c>
      <c r="J1660" s="232" t="b">
        <v>0</v>
      </c>
      <c r="K1660" s="232" t="s">
        <v>22365</v>
      </c>
      <c r="L1660" s="232" t="s">
        <v>23537</v>
      </c>
      <c r="M1660" s="511"/>
      <c r="N1660" s="232"/>
      <c r="O1660" s="232"/>
      <c r="P1660" s="312"/>
      <c r="Q1660" s="312"/>
      <c r="R1660" s="312"/>
      <c r="S1660" s="312"/>
      <c r="T1660" s="312"/>
      <c r="U1660" s="312"/>
    </row>
    <row r="1661">
      <c r="A1661" s="520">
        <v>44603.0</v>
      </c>
      <c r="B1661" s="232" t="s">
        <v>28781</v>
      </c>
      <c r="C1661" s="509" t="s">
        <v>3400</v>
      </c>
      <c r="D1661" s="511"/>
      <c r="E1661" s="511"/>
      <c r="F1661" s="232" t="s">
        <v>28782</v>
      </c>
      <c r="G1661" s="232" t="s">
        <v>28783</v>
      </c>
      <c r="H1661" s="232">
        <v>9.122774455E9</v>
      </c>
      <c r="I1661" s="509" t="s">
        <v>23803</v>
      </c>
      <c r="J1661" s="232" t="b">
        <v>0</v>
      </c>
      <c r="K1661" s="232" t="s">
        <v>22365</v>
      </c>
      <c r="L1661" s="232" t="s">
        <v>24196</v>
      </c>
      <c r="M1661" s="511"/>
      <c r="N1661" s="232"/>
      <c r="O1661" s="232"/>
      <c r="P1661" s="312"/>
      <c r="Q1661" s="312"/>
      <c r="R1661" s="312"/>
      <c r="S1661" s="312"/>
      <c r="T1661" s="312"/>
      <c r="U1661" s="312"/>
    </row>
    <row r="1662">
      <c r="A1662" s="520">
        <v>44572.0</v>
      </c>
      <c r="B1662" s="232" t="s">
        <v>28784</v>
      </c>
      <c r="C1662" s="509" t="s">
        <v>28785</v>
      </c>
      <c r="D1662" s="511"/>
      <c r="E1662" s="511"/>
      <c r="F1662" s="232" t="s">
        <v>28786</v>
      </c>
      <c r="G1662" s="232" t="s">
        <v>28787</v>
      </c>
      <c r="H1662" s="232">
        <v>8.096888868E9</v>
      </c>
      <c r="I1662" s="509" t="s">
        <v>22727</v>
      </c>
      <c r="J1662" s="232" t="b">
        <v>0</v>
      </c>
      <c r="K1662" s="232" t="s">
        <v>22365</v>
      </c>
      <c r="L1662" s="232" t="s">
        <v>24196</v>
      </c>
      <c r="M1662" s="511"/>
      <c r="N1662" s="232"/>
      <c r="O1662" s="232"/>
      <c r="P1662" s="312"/>
      <c r="Q1662" s="312"/>
      <c r="R1662" s="312"/>
      <c r="S1662" s="312"/>
      <c r="T1662" s="312"/>
      <c r="U1662" s="312"/>
    </row>
    <row r="1663">
      <c r="A1663" s="520">
        <v>44572.0</v>
      </c>
      <c r="B1663" s="232" t="s">
        <v>28788</v>
      </c>
      <c r="C1663" s="509" t="s">
        <v>28789</v>
      </c>
      <c r="D1663" s="510" t="s">
        <v>28790</v>
      </c>
      <c r="E1663" s="511"/>
      <c r="F1663" s="232"/>
      <c r="G1663" s="232"/>
      <c r="H1663" s="232">
        <v>9.749891141E9</v>
      </c>
      <c r="I1663" s="509" t="s">
        <v>28791</v>
      </c>
      <c r="J1663" s="232" t="b">
        <v>0</v>
      </c>
      <c r="K1663" s="232" t="s">
        <v>22365</v>
      </c>
      <c r="L1663" s="232" t="s">
        <v>24196</v>
      </c>
      <c r="M1663" s="511"/>
      <c r="N1663" s="232"/>
      <c r="O1663" s="232"/>
      <c r="P1663" s="312"/>
      <c r="Q1663" s="312"/>
      <c r="R1663" s="312"/>
      <c r="S1663" s="312"/>
      <c r="T1663" s="312"/>
      <c r="U1663" s="312"/>
    </row>
    <row r="1664">
      <c r="A1664" s="520">
        <v>44572.0</v>
      </c>
      <c r="B1664" s="232" t="s">
        <v>28792</v>
      </c>
      <c r="C1664" s="509" t="s">
        <v>10110</v>
      </c>
      <c r="D1664" s="511"/>
      <c r="E1664" s="511"/>
      <c r="F1664" s="232"/>
      <c r="G1664" s="232" t="s">
        <v>268</v>
      </c>
      <c r="H1664" s="232">
        <v>-9.64129056E9</v>
      </c>
      <c r="I1664" s="509" t="s">
        <v>4786</v>
      </c>
      <c r="J1664" s="232" t="b">
        <v>0</v>
      </c>
      <c r="K1664" s="232" t="s">
        <v>22355</v>
      </c>
      <c r="L1664" s="232"/>
      <c r="M1664" s="511"/>
      <c r="N1664" s="232"/>
      <c r="O1664" s="232"/>
      <c r="P1664" s="312"/>
      <c r="Q1664" s="312"/>
      <c r="R1664" s="312"/>
      <c r="S1664" s="312"/>
      <c r="T1664" s="312"/>
      <c r="U1664" s="312"/>
    </row>
    <row r="1665">
      <c r="A1665" s="520">
        <v>44572.0</v>
      </c>
      <c r="B1665" s="232" t="s">
        <v>28793</v>
      </c>
      <c r="C1665" s="509" t="s">
        <v>28794</v>
      </c>
      <c r="D1665" s="510" t="s">
        <v>28795</v>
      </c>
      <c r="E1665" s="511"/>
      <c r="F1665" s="232" t="s">
        <v>28796</v>
      </c>
      <c r="G1665" s="232" t="s">
        <v>28797</v>
      </c>
      <c r="H1665" s="232">
        <v>9.871816465E9</v>
      </c>
      <c r="I1665" s="509" t="s">
        <v>25190</v>
      </c>
      <c r="J1665" s="232" t="b">
        <v>0</v>
      </c>
      <c r="K1665" s="232" t="s">
        <v>22365</v>
      </c>
      <c r="L1665" s="232" t="s">
        <v>28798</v>
      </c>
      <c r="M1665" s="511"/>
      <c r="N1665" s="232"/>
      <c r="O1665" s="232"/>
      <c r="P1665" s="312"/>
      <c r="Q1665" s="312"/>
      <c r="R1665" s="312"/>
      <c r="S1665" s="312"/>
      <c r="T1665" s="312"/>
      <c r="U1665" s="312"/>
    </row>
    <row r="1666">
      <c r="A1666" s="520">
        <v>44572.0</v>
      </c>
      <c r="B1666" s="232" t="s">
        <v>28799</v>
      </c>
      <c r="C1666" s="509" t="s">
        <v>28800</v>
      </c>
      <c r="D1666" s="511"/>
      <c r="E1666" s="511"/>
      <c r="F1666" s="232" t="s">
        <v>28801</v>
      </c>
      <c r="G1666" s="232" t="s">
        <v>28802</v>
      </c>
      <c r="H1666" s="232">
        <v>8.374184188E9</v>
      </c>
      <c r="I1666" s="509" t="s">
        <v>24892</v>
      </c>
      <c r="J1666" s="232" t="b">
        <v>0</v>
      </c>
      <c r="K1666" s="232" t="s">
        <v>22365</v>
      </c>
      <c r="L1666" s="232" t="s">
        <v>28803</v>
      </c>
      <c r="M1666" s="511"/>
      <c r="N1666" s="232"/>
      <c r="O1666" s="232"/>
      <c r="P1666" s="312"/>
      <c r="Q1666" s="312"/>
      <c r="R1666" s="312"/>
      <c r="S1666" s="312"/>
      <c r="T1666" s="312"/>
      <c r="U1666" s="312"/>
    </row>
    <row r="1667">
      <c r="A1667" s="520">
        <v>44572.0</v>
      </c>
      <c r="B1667" s="232" t="s">
        <v>28804</v>
      </c>
      <c r="C1667" s="509" t="s">
        <v>17410</v>
      </c>
      <c r="D1667" s="510" t="s">
        <v>28805</v>
      </c>
      <c r="E1667" s="511"/>
      <c r="F1667" s="232" t="s">
        <v>28806</v>
      </c>
      <c r="G1667" s="232" t="s">
        <v>24533</v>
      </c>
      <c r="H1667" s="232">
        <v>9.846208349E9</v>
      </c>
      <c r="I1667" s="509" t="s">
        <v>28807</v>
      </c>
      <c r="J1667" s="232" t="b">
        <v>0</v>
      </c>
      <c r="K1667" s="232" t="s">
        <v>12092</v>
      </c>
      <c r="L1667" s="232"/>
      <c r="M1667" s="511"/>
      <c r="N1667" s="232"/>
      <c r="O1667" s="232"/>
      <c r="P1667" s="312"/>
      <c r="Q1667" s="312"/>
      <c r="R1667" s="312"/>
      <c r="S1667" s="312"/>
      <c r="T1667" s="312"/>
      <c r="U1667" s="312"/>
    </row>
    <row r="1668">
      <c r="A1668" s="520">
        <v>44572.0</v>
      </c>
      <c r="B1668" s="232" t="s">
        <v>28808</v>
      </c>
      <c r="C1668" s="509" t="s">
        <v>28809</v>
      </c>
      <c r="D1668" s="511"/>
      <c r="E1668" s="511"/>
      <c r="F1668" s="511"/>
      <c r="G1668" s="232" t="s">
        <v>22564</v>
      </c>
      <c r="H1668" s="232">
        <v>-9.657847827E9</v>
      </c>
      <c r="I1668" s="509" t="s">
        <v>22289</v>
      </c>
      <c r="J1668" s="232" t="b">
        <v>0</v>
      </c>
      <c r="K1668" s="232" t="s">
        <v>334</v>
      </c>
      <c r="L1668" s="232"/>
      <c r="M1668" s="511"/>
      <c r="N1668" s="232"/>
      <c r="O1668" s="232"/>
      <c r="P1668" s="312"/>
      <c r="Q1668" s="312"/>
      <c r="R1668" s="312"/>
      <c r="S1668" s="312"/>
      <c r="T1668" s="312"/>
      <c r="U1668" s="312"/>
    </row>
    <row r="1669">
      <c r="A1669" s="520">
        <v>44572.0</v>
      </c>
      <c r="B1669" s="232" t="s">
        <v>28810</v>
      </c>
      <c r="C1669" s="509" t="s">
        <v>28811</v>
      </c>
      <c r="D1669" s="511"/>
      <c r="E1669" s="511"/>
      <c r="F1669" s="232" t="s">
        <v>28812</v>
      </c>
      <c r="G1669" s="232" t="s">
        <v>17603</v>
      </c>
      <c r="H1669" s="232">
        <v>9.963415244E9</v>
      </c>
      <c r="I1669" s="509" t="s">
        <v>25504</v>
      </c>
      <c r="J1669" s="232" t="b">
        <v>0</v>
      </c>
      <c r="K1669" s="232" t="s">
        <v>22365</v>
      </c>
      <c r="L1669" s="232" t="s">
        <v>28813</v>
      </c>
      <c r="M1669" s="511"/>
      <c r="N1669" s="232"/>
      <c r="O1669" s="232"/>
      <c r="P1669" s="312"/>
      <c r="Q1669" s="312"/>
      <c r="R1669" s="312"/>
      <c r="S1669" s="312"/>
      <c r="T1669" s="312"/>
      <c r="U1669" s="312"/>
    </row>
    <row r="1670">
      <c r="A1670" s="520">
        <v>44572.0</v>
      </c>
      <c r="B1670" s="232" t="s">
        <v>28814</v>
      </c>
      <c r="C1670" s="509" t="s">
        <v>28815</v>
      </c>
      <c r="D1670" s="511"/>
      <c r="E1670" s="511"/>
      <c r="F1670" s="232" t="s">
        <v>28816</v>
      </c>
      <c r="G1670" s="232" t="s">
        <v>449</v>
      </c>
      <c r="H1670" s="232">
        <v>7.908909944E9</v>
      </c>
      <c r="I1670" s="509" t="s">
        <v>28817</v>
      </c>
      <c r="J1670" s="232" t="b">
        <v>0</v>
      </c>
      <c r="K1670" s="232" t="s">
        <v>22365</v>
      </c>
      <c r="L1670" s="232" t="s">
        <v>23537</v>
      </c>
      <c r="M1670" s="511"/>
      <c r="N1670" s="232"/>
      <c r="O1670" s="232"/>
      <c r="P1670" s="312"/>
      <c r="Q1670" s="312"/>
      <c r="R1670" s="312"/>
      <c r="S1670" s="312"/>
      <c r="T1670" s="312"/>
      <c r="U1670" s="312"/>
    </row>
    <row r="1671">
      <c r="A1671" s="520">
        <v>44572.0</v>
      </c>
      <c r="B1671" s="232" t="s">
        <v>28818</v>
      </c>
      <c r="C1671" s="509" t="s">
        <v>28819</v>
      </c>
      <c r="D1671" s="511"/>
      <c r="E1671" s="511"/>
      <c r="F1671" s="232" t="s">
        <v>28820</v>
      </c>
      <c r="G1671" s="232" t="s">
        <v>449</v>
      </c>
      <c r="H1671" s="232">
        <v>9.734123816E9</v>
      </c>
      <c r="I1671" s="509" t="s">
        <v>28821</v>
      </c>
      <c r="J1671" s="232" t="b">
        <v>0</v>
      </c>
      <c r="K1671" s="232" t="s">
        <v>22355</v>
      </c>
      <c r="L1671" s="232"/>
      <c r="M1671" s="511"/>
      <c r="N1671" s="232"/>
      <c r="O1671" s="232"/>
      <c r="P1671" s="312"/>
      <c r="Q1671" s="312"/>
      <c r="R1671" s="312"/>
      <c r="S1671" s="312"/>
      <c r="T1671" s="312"/>
      <c r="U1671" s="312"/>
    </row>
    <row r="1672">
      <c r="A1672" s="520">
        <v>44572.0</v>
      </c>
      <c r="B1672" s="232" t="s">
        <v>28822</v>
      </c>
      <c r="C1672" s="509" t="s">
        <v>28823</v>
      </c>
      <c r="D1672" s="519" t="s">
        <v>28824</v>
      </c>
      <c r="E1672" s="511"/>
      <c r="F1672" s="232" t="s">
        <v>28825</v>
      </c>
      <c r="G1672" s="232" t="s">
        <v>44</v>
      </c>
      <c r="H1672" s="232">
        <v>6.289146983E9</v>
      </c>
      <c r="I1672" s="509" t="s">
        <v>28826</v>
      </c>
      <c r="J1672" s="232" t="b">
        <v>0</v>
      </c>
      <c r="K1672" s="232" t="s">
        <v>22365</v>
      </c>
      <c r="L1672" s="232" t="s">
        <v>24747</v>
      </c>
      <c r="M1672" s="511"/>
      <c r="N1672" s="232"/>
      <c r="O1672" s="232"/>
      <c r="P1672" s="312"/>
      <c r="Q1672" s="312"/>
      <c r="R1672" s="312"/>
      <c r="S1672" s="312"/>
      <c r="T1672" s="312"/>
      <c r="U1672" s="312"/>
    </row>
    <row r="1673">
      <c r="A1673" s="508" t="s">
        <v>28827</v>
      </c>
      <c r="B1673" s="232" t="s">
        <v>28828</v>
      </c>
      <c r="C1673" s="509" t="s">
        <v>13741</v>
      </c>
      <c r="D1673" s="511"/>
      <c r="E1673" s="511"/>
      <c r="F1673" s="232" t="s">
        <v>13744</v>
      </c>
      <c r="G1673" s="232" t="s">
        <v>28829</v>
      </c>
      <c r="H1673" s="232">
        <v>9.64718234E9</v>
      </c>
      <c r="I1673" s="509" t="s">
        <v>28830</v>
      </c>
      <c r="J1673" s="232" t="b">
        <v>0</v>
      </c>
      <c r="K1673" s="232" t="s">
        <v>22365</v>
      </c>
      <c r="L1673" s="232" t="s">
        <v>24196</v>
      </c>
      <c r="M1673" s="511"/>
      <c r="N1673" s="232"/>
      <c r="O1673" s="232"/>
      <c r="P1673" s="312"/>
      <c r="Q1673" s="312"/>
      <c r="R1673" s="312"/>
      <c r="S1673" s="312"/>
      <c r="T1673" s="312"/>
      <c r="U1673" s="312"/>
    </row>
    <row r="1674">
      <c r="A1674" s="508" t="s">
        <v>28827</v>
      </c>
      <c r="B1674" s="232" t="s">
        <v>28831</v>
      </c>
      <c r="C1674" s="509" t="s">
        <v>28832</v>
      </c>
      <c r="D1674" s="511"/>
      <c r="E1674" s="511"/>
      <c r="F1674" s="232" t="s">
        <v>28833</v>
      </c>
      <c r="G1674" s="232" t="s">
        <v>1461</v>
      </c>
      <c r="H1674" s="232">
        <v>9.7999674E9</v>
      </c>
      <c r="I1674" s="509" t="s">
        <v>28834</v>
      </c>
      <c r="J1674" s="232" t="b">
        <v>0</v>
      </c>
      <c r="K1674" s="232" t="s">
        <v>22349</v>
      </c>
      <c r="L1674" s="232" t="s">
        <v>28835</v>
      </c>
      <c r="M1674" s="511"/>
      <c r="N1674" s="232"/>
      <c r="O1674" s="232"/>
      <c r="P1674" s="312"/>
      <c r="Q1674" s="312"/>
      <c r="R1674" s="312"/>
      <c r="S1674" s="312"/>
      <c r="T1674" s="312"/>
      <c r="U1674" s="312"/>
    </row>
    <row r="1675">
      <c r="A1675" s="508" t="s">
        <v>28827</v>
      </c>
      <c r="B1675" s="232" t="s">
        <v>28836</v>
      </c>
      <c r="C1675" s="509" t="s">
        <v>28837</v>
      </c>
      <c r="D1675" s="510" t="s">
        <v>28838</v>
      </c>
      <c r="E1675" s="511"/>
      <c r="F1675" s="232" t="s">
        <v>28839</v>
      </c>
      <c r="G1675" s="232" t="s">
        <v>9094</v>
      </c>
      <c r="H1675" s="232">
        <v>9.478723396E9</v>
      </c>
      <c r="I1675" s="541" t="s">
        <v>22698</v>
      </c>
      <c r="J1675" s="232" t="b">
        <v>0</v>
      </c>
      <c r="K1675" s="232" t="s">
        <v>22365</v>
      </c>
      <c r="L1675" s="232" t="s">
        <v>24196</v>
      </c>
      <c r="M1675" s="511"/>
      <c r="N1675" s="232"/>
      <c r="O1675" s="232"/>
      <c r="P1675" s="312"/>
      <c r="Q1675" s="312"/>
      <c r="R1675" s="312"/>
      <c r="S1675" s="312"/>
      <c r="T1675" s="312"/>
      <c r="U1675" s="312"/>
    </row>
    <row r="1676">
      <c r="A1676" s="508" t="s">
        <v>28827</v>
      </c>
      <c r="B1676" s="232" t="s">
        <v>28840</v>
      </c>
      <c r="C1676" s="509" t="s">
        <v>28841</v>
      </c>
      <c r="D1676" s="511"/>
      <c r="E1676" s="511"/>
      <c r="F1676" s="232" t="s">
        <v>28842</v>
      </c>
      <c r="G1676" s="232" t="s">
        <v>28843</v>
      </c>
      <c r="H1676" s="232">
        <v>9.704637637E9</v>
      </c>
      <c r="I1676" s="509" t="s">
        <v>28346</v>
      </c>
      <c r="J1676" s="232" t="b">
        <v>0</v>
      </c>
      <c r="K1676" s="232" t="s">
        <v>22365</v>
      </c>
      <c r="L1676" s="232" t="s">
        <v>23537</v>
      </c>
      <c r="M1676" s="511"/>
      <c r="N1676" s="232"/>
      <c r="O1676" s="232"/>
      <c r="P1676" s="312"/>
      <c r="Q1676" s="312"/>
      <c r="R1676" s="312"/>
      <c r="S1676" s="312"/>
      <c r="T1676" s="312"/>
      <c r="U1676" s="312"/>
    </row>
    <row r="1677">
      <c r="A1677" s="508" t="s">
        <v>28827</v>
      </c>
      <c r="B1677" s="232" t="s">
        <v>28844</v>
      </c>
      <c r="C1677" s="509" t="s">
        <v>3768</v>
      </c>
      <c r="D1677" s="511"/>
      <c r="E1677" s="511"/>
      <c r="F1677" s="232" t="s">
        <v>28845</v>
      </c>
      <c r="G1677" s="232" t="s">
        <v>28846</v>
      </c>
      <c r="H1677" s="232">
        <v>-9.178590581E9</v>
      </c>
      <c r="I1677" s="509" t="s">
        <v>28847</v>
      </c>
      <c r="J1677" s="232" t="b">
        <v>0</v>
      </c>
      <c r="K1677" s="232" t="s">
        <v>22365</v>
      </c>
      <c r="L1677" s="232" t="s">
        <v>23537</v>
      </c>
      <c r="M1677" s="511"/>
      <c r="N1677" s="232"/>
      <c r="O1677" s="232"/>
      <c r="P1677" s="312"/>
      <c r="Q1677" s="312"/>
      <c r="R1677" s="312"/>
      <c r="S1677" s="312"/>
      <c r="T1677" s="312"/>
      <c r="U1677" s="312"/>
    </row>
    <row r="1678">
      <c r="A1678" s="508" t="s">
        <v>28827</v>
      </c>
      <c r="B1678" s="232" t="s">
        <v>28848</v>
      </c>
      <c r="C1678" s="509" t="s">
        <v>28849</v>
      </c>
      <c r="D1678" s="510" t="s">
        <v>28850</v>
      </c>
      <c r="E1678" s="511"/>
      <c r="F1678" s="232"/>
      <c r="G1678" s="232" t="s">
        <v>507</v>
      </c>
      <c r="H1678" s="232">
        <v>9.607767194E9</v>
      </c>
      <c r="I1678" s="509" t="s">
        <v>28851</v>
      </c>
      <c r="J1678" s="232" t="b">
        <v>0</v>
      </c>
      <c r="K1678" s="232"/>
      <c r="L1678" s="232" t="s">
        <v>28852</v>
      </c>
      <c r="M1678" s="511"/>
      <c r="N1678" s="232"/>
      <c r="O1678" s="232"/>
      <c r="P1678" s="312"/>
      <c r="Q1678" s="312"/>
      <c r="R1678" s="312"/>
      <c r="S1678" s="312"/>
      <c r="T1678" s="312"/>
      <c r="U1678" s="312"/>
    </row>
    <row r="1679">
      <c r="A1679" s="508" t="s">
        <v>28827</v>
      </c>
      <c r="B1679" s="232" t="s">
        <v>28853</v>
      </c>
      <c r="C1679" s="509" t="s">
        <v>28854</v>
      </c>
      <c r="D1679" s="510" t="s">
        <v>28855</v>
      </c>
      <c r="E1679" s="511"/>
      <c r="F1679" s="232" t="s">
        <v>28856</v>
      </c>
      <c r="G1679" s="232" t="s">
        <v>507</v>
      </c>
      <c r="H1679" s="232">
        <v>8.975489634E9</v>
      </c>
      <c r="I1679" s="509" t="s">
        <v>24404</v>
      </c>
      <c r="J1679" s="232" t="b">
        <v>0</v>
      </c>
      <c r="K1679" s="232" t="s">
        <v>12092</v>
      </c>
      <c r="L1679" s="232"/>
      <c r="M1679" s="511"/>
      <c r="N1679" s="232"/>
      <c r="O1679" s="232"/>
      <c r="P1679" s="312"/>
      <c r="Q1679" s="312"/>
      <c r="R1679" s="312"/>
      <c r="S1679" s="312"/>
      <c r="T1679" s="312"/>
      <c r="U1679" s="312"/>
    </row>
    <row r="1680">
      <c r="A1680" s="508" t="s">
        <v>28827</v>
      </c>
      <c r="B1680" s="232" t="s">
        <v>28857</v>
      </c>
      <c r="C1680" s="509" t="s">
        <v>28858</v>
      </c>
      <c r="D1680" s="511"/>
      <c r="E1680" s="511"/>
      <c r="F1680" s="232" t="s">
        <v>28859</v>
      </c>
      <c r="G1680" s="232" t="s">
        <v>23906</v>
      </c>
      <c r="H1680" s="232">
        <v>9.940687185E9</v>
      </c>
      <c r="I1680" s="509" t="s">
        <v>25637</v>
      </c>
      <c r="J1680" s="232" t="b">
        <v>0</v>
      </c>
      <c r="K1680" s="232" t="s">
        <v>334</v>
      </c>
      <c r="L1680" s="232" t="s">
        <v>28599</v>
      </c>
      <c r="M1680" s="511"/>
      <c r="N1680" s="232"/>
      <c r="O1680" s="232"/>
      <c r="P1680" s="312"/>
      <c r="Q1680" s="312"/>
      <c r="R1680" s="312"/>
      <c r="S1680" s="312"/>
      <c r="T1680" s="312"/>
      <c r="U1680" s="312"/>
    </row>
    <row r="1681">
      <c r="A1681" s="513" t="s">
        <v>28827</v>
      </c>
      <c r="B1681" s="514" t="s">
        <v>28860</v>
      </c>
      <c r="C1681" s="515" t="s">
        <v>11226</v>
      </c>
      <c r="D1681" s="517"/>
      <c r="E1681" s="517"/>
      <c r="F1681" s="514" t="s">
        <v>28861</v>
      </c>
      <c r="G1681" s="514" t="s">
        <v>44</v>
      </c>
      <c r="H1681" s="514">
        <v>9.830020715E9</v>
      </c>
      <c r="I1681" s="515" t="s">
        <v>25735</v>
      </c>
      <c r="J1681" s="514" t="b">
        <v>0</v>
      </c>
      <c r="K1681" s="514" t="s">
        <v>22365</v>
      </c>
      <c r="L1681" s="518" t="s">
        <v>28862</v>
      </c>
      <c r="M1681" s="511"/>
      <c r="N1681" s="232"/>
      <c r="O1681" s="232"/>
      <c r="P1681" s="312"/>
      <c r="Q1681" s="312"/>
      <c r="R1681" s="312"/>
      <c r="S1681" s="312"/>
      <c r="T1681" s="312"/>
      <c r="U1681" s="312"/>
    </row>
    <row r="1682">
      <c r="A1682" s="508" t="s">
        <v>28827</v>
      </c>
      <c r="B1682" s="232" t="s">
        <v>28863</v>
      </c>
      <c r="C1682" s="509" t="s">
        <v>28864</v>
      </c>
      <c r="D1682" s="511"/>
      <c r="E1682" s="511"/>
      <c r="F1682" s="232" t="s">
        <v>28865</v>
      </c>
      <c r="G1682" s="232" t="s">
        <v>44</v>
      </c>
      <c r="H1682" s="232">
        <v>7.016226527E9</v>
      </c>
      <c r="I1682" s="509" t="s">
        <v>22698</v>
      </c>
      <c r="J1682" s="232" t="b">
        <v>0</v>
      </c>
      <c r="K1682" s="232" t="s">
        <v>22365</v>
      </c>
      <c r="L1682" s="232" t="s">
        <v>23537</v>
      </c>
      <c r="M1682" s="511"/>
      <c r="N1682" s="232"/>
      <c r="O1682" s="232"/>
      <c r="P1682" s="312"/>
      <c r="Q1682" s="312"/>
      <c r="R1682" s="312"/>
      <c r="S1682" s="312"/>
      <c r="T1682" s="312"/>
      <c r="U1682" s="312"/>
    </row>
    <row r="1683">
      <c r="A1683" s="508" t="s">
        <v>28827</v>
      </c>
      <c r="B1683" s="232" t="s">
        <v>28866</v>
      </c>
      <c r="C1683" s="509" t="s">
        <v>28508</v>
      </c>
      <c r="D1683" s="511"/>
      <c r="E1683" s="511"/>
      <c r="F1683" s="232" t="s">
        <v>28509</v>
      </c>
      <c r="G1683" s="232" t="s">
        <v>555</v>
      </c>
      <c r="H1683" s="232">
        <v>7.903265926E9</v>
      </c>
      <c r="I1683" s="509" t="s">
        <v>28867</v>
      </c>
      <c r="J1683" s="232" t="b">
        <v>0</v>
      </c>
      <c r="K1683" s="232" t="s">
        <v>22365</v>
      </c>
      <c r="L1683" s="232" t="s">
        <v>23537</v>
      </c>
      <c r="M1683" s="511"/>
      <c r="N1683" s="232"/>
      <c r="O1683" s="232"/>
      <c r="P1683" s="312"/>
      <c r="Q1683" s="312"/>
      <c r="R1683" s="312"/>
      <c r="S1683" s="312"/>
      <c r="T1683" s="312"/>
      <c r="U1683" s="312"/>
    </row>
    <row r="1684">
      <c r="A1684" s="508" t="s">
        <v>28827</v>
      </c>
      <c r="B1684" s="232" t="s">
        <v>28868</v>
      </c>
      <c r="C1684" s="509" t="s">
        <v>28869</v>
      </c>
      <c r="D1684" s="511"/>
      <c r="E1684" s="511"/>
      <c r="F1684" s="232"/>
      <c r="G1684" s="232" t="s">
        <v>24</v>
      </c>
      <c r="H1684" s="232">
        <v>8.789893077E9</v>
      </c>
      <c r="I1684" s="509" t="s">
        <v>25889</v>
      </c>
      <c r="J1684" s="232" t="b">
        <v>0</v>
      </c>
      <c r="K1684" s="232" t="s">
        <v>22365</v>
      </c>
      <c r="L1684" s="232" t="s">
        <v>23537</v>
      </c>
      <c r="M1684" s="511"/>
      <c r="N1684" s="232"/>
      <c r="O1684" s="232"/>
      <c r="P1684" s="312"/>
      <c r="Q1684" s="312"/>
      <c r="R1684" s="312"/>
      <c r="S1684" s="312"/>
      <c r="T1684" s="312"/>
      <c r="U1684" s="312"/>
    </row>
    <row r="1685">
      <c r="A1685" s="508" t="s">
        <v>28870</v>
      </c>
      <c r="B1685" s="232" t="s">
        <v>28871</v>
      </c>
      <c r="C1685" s="509" t="s">
        <v>28872</v>
      </c>
      <c r="D1685" s="510" t="s">
        <v>28873</v>
      </c>
      <c r="E1685" s="511"/>
      <c r="F1685" s="232" t="s">
        <v>28874</v>
      </c>
      <c r="G1685" s="232" t="s">
        <v>22742</v>
      </c>
      <c r="H1685" s="232">
        <f>91-8984950947
</f>
        <v>-8984950856</v>
      </c>
      <c r="I1685" s="509" t="s">
        <v>28875</v>
      </c>
      <c r="J1685" s="232" t="b">
        <v>0</v>
      </c>
      <c r="K1685" s="232" t="s">
        <v>334</v>
      </c>
      <c r="L1685" s="232"/>
      <c r="M1685" s="511"/>
      <c r="N1685" s="232"/>
      <c r="O1685" s="232"/>
      <c r="P1685" s="312"/>
      <c r="Q1685" s="312"/>
      <c r="R1685" s="312"/>
      <c r="S1685" s="312"/>
      <c r="T1685" s="312"/>
      <c r="U1685" s="312"/>
    </row>
    <row r="1686">
      <c r="A1686" s="508" t="s">
        <v>28870</v>
      </c>
      <c r="B1686" s="232" t="s">
        <v>28876</v>
      </c>
      <c r="C1686" s="509" t="s">
        <v>13252</v>
      </c>
      <c r="D1686" s="510" t="s">
        <v>28877</v>
      </c>
      <c r="E1686" s="511"/>
      <c r="F1686" s="232" t="s">
        <v>28878</v>
      </c>
      <c r="G1686" s="232" t="s">
        <v>28879</v>
      </c>
      <c r="H1686" s="232">
        <v>8.617483615E9</v>
      </c>
      <c r="I1686" s="509" t="s">
        <v>22570</v>
      </c>
      <c r="J1686" s="232" t="b">
        <v>0</v>
      </c>
      <c r="K1686" s="232" t="s">
        <v>22365</v>
      </c>
      <c r="L1686" s="232"/>
      <c r="M1686" s="511"/>
      <c r="N1686" s="232"/>
      <c r="O1686" s="232"/>
      <c r="P1686" s="312"/>
      <c r="Q1686" s="312"/>
      <c r="R1686" s="312"/>
      <c r="S1686" s="312"/>
      <c r="T1686" s="312"/>
      <c r="U1686" s="312"/>
    </row>
    <row r="1687">
      <c r="A1687" s="508" t="s">
        <v>28870</v>
      </c>
      <c r="B1687" s="232" t="s">
        <v>28880</v>
      </c>
      <c r="C1687" s="509" t="s">
        <v>28881</v>
      </c>
      <c r="D1687" s="510" t="s">
        <v>28882</v>
      </c>
      <c r="E1687" s="511"/>
      <c r="F1687" s="232"/>
      <c r="G1687" s="232" t="s">
        <v>507</v>
      </c>
      <c r="H1687" s="232">
        <v>8.898127638E9</v>
      </c>
      <c r="I1687" s="509" t="s">
        <v>28883</v>
      </c>
      <c r="J1687" s="232" t="b">
        <v>0</v>
      </c>
      <c r="K1687" s="232" t="s">
        <v>22349</v>
      </c>
      <c r="L1687" s="232" t="s">
        <v>28884</v>
      </c>
      <c r="M1687" s="511"/>
      <c r="N1687" s="232"/>
      <c r="O1687" s="232"/>
      <c r="P1687" s="312"/>
      <c r="Q1687" s="312"/>
      <c r="R1687" s="312"/>
      <c r="S1687" s="312"/>
      <c r="T1687" s="312"/>
      <c r="U1687" s="312"/>
    </row>
    <row r="1688">
      <c r="A1688" s="508" t="s">
        <v>28870</v>
      </c>
      <c r="B1688" s="232" t="s">
        <v>28885</v>
      </c>
      <c r="C1688" s="509" t="s">
        <v>28886</v>
      </c>
      <c r="D1688" s="510" t="s">
        <v>28887</v>
      </c>
      <c r="E1688" s="511"/>
      <c r="F1688" s="232" t="s">
        <v>28888</v>
      </c>
      <c r="G1688" s="232" t="s">
        <v>22844</v>
      </c>
      <c r="H1688" s="232">
        <v>-9.224205414E9</v>
      </c>
      <c r="I1688" s="509" t="s">
        <v>28889</v>
      </c>
      <c r="J1688" s="232" t="b">
        <v>0</v>
      </c>
      <c r="K1688" s="232" t="s">
        <v>22349</v>
      </c>
      <c r="L1688" s="232" t="s">
        <v>28890</v>
      </c>
      <c r="M1688" s="511"/>
      <c r="N1688" s="232"/>
      <c r="O1688" s="232"/>
      <c r="P1688" s="312"/>
      <c r="Q1688" s="312"/>
      <c r="R1688" s="312"/>
      <c r="S1688" s="312"/>
      <c r="T1688" s="312"/>
      <c r="U1688" s="312"/>
    </row>
    <row r="1689">
      <c r="A1689" s="508" t="s">
        <v>28870</v>
      </c>
      <c r="B1689" s="232" t="s">
        <v>28891</v>
      </c>
      <c r="C1689" s="509" t="s">
        <v>28892</v>
      </c>
      <c r="D1689" s="511"/>
      <c r="E1689" s="511"/>
      <c r="F1689" s="232" t="s">
        <v>28893</v>
      </c>
      <c r="G1689" s="232" t="s">
        <v>28894</v>
      </c>
      <c r="H1689" s="232">
        <v>8.709942377E9</v>
      </c>
      <c r="I1689" s="509" t="s">
        <v>25744</v>
      </c>
      <c r="J1689" s="232" t="b">
        <v>0</v>
      </c>
      <c r="K1689" s="232" t="s">
        <v>22365</v>
      </c>
      <c r="L1689" s="232" t="s">
        <v>23537</v>
      </c>
      <c r="M1689" s="511"/>
      <c r="N1689" s="232"/>
      <c r="O1689" s="232"/>
      <c r="P1689" s="312"/>
      <c r="Q1689" s="312"/>
      <c r="R1689" s="312"/>
      <c r="S1689" s="312"/>
      <c r="T1689" s="312"/>
      <c r="U1689" s="312"/>
    </row>
    <row r="1690">
      <c r="A1690" s="508" t="s">
        <v>28870</v>
      </c>
      <c r="B1690" s="232" t="s">
        <v>28895</v>
      </c>
      <c r="C1690" s="509" t="s">
        <v>28896</v>
      </c>
      <c r="D1690" s="511"/>
      <c r="E1690" s="511"/>
      <c r="F1690" s="232" t="s">
        <v>28897</v>
      </c>
      <c r="G1690" s="232" t="s">
        <v>218</v>
      </c>
      <c r="H1690" s="232">
        <v>8.637310119E9</v>
      </c>
      <c r="I1690" s="509" t="s">
        <v>22577</v>
      </c>
      <c r="J1690" s="232" t="b">
        <v>0</v>
      </c>
      <c r="K1690" s="232" t="s">
        <v>22365</v>
      </c>
      <c r="L1690" s="232" t="s">
        <v>28898</v>
      </c>
      <c r="M1690" s="511"/>
      <c r="N1690" s="232"/>
      <c r="O1690" s="232"/>
      <c r="P1690" s="312"/>
      <c r="Q1690" s="312"/>
      <c r="R1690" s="312"/>
      <c r="S1690" s="312"/>
      <c r="T1690" s="312"/>
      <c r="U1690" s="312"/>
    </row>
    <row r="1691">
      <c r="A1691" s="508" t="s">
        <v>28870</v>
      </c>
      <c r="B1691" s="232" t="s">
        <v>28899</v>
      </c>
      <c r="C1691" s="509" t="s">
        <v>28900</v>
      </c>
      <c r="D1691" s="510" t="s">
        <v>28901</v>
      </c>
      <c r="E1691" s="511"/>
      <c r="F1691" s="232" t="s">
        <v>28902</v>
      </c>
      <c r="G1691" s="232" t="s">
        <v>22564</v>
      </c>
      <c r="H1691" s="232">
        <v>9.920900335E9</v>
      </c>
      <c r="I1691" s="512" t="s">
        <v>28903</v>
      </c>
      <c r="J1691" s="232" t="b">
        <v>0</v>
      </c>
      <c r="K1691" s="232" t="s">
        <v>22365</v>
      </c>
      <c r="L1691" s="232" t="s">
        <v>24196</v>
      </c>
      <c r="M1691" s="511"/>
      <c r="N1691" s="232"/>
      <c r="O1691" s="232"/>
      <c r="P1691" s="312"/>
      <c r="Q1691" s="312"/>
      <c r="R1691" s="312"/>
      <c r="S1691" s="312"/>
      <c r="T1691" s="312"/>
      <c r="U1691" s="312"/>
    </row>
    <row r="1692">
      <c r="A1692" s="508" t="s">
        <v>28870</v>
      </c>
      <c r="B1692" s="232" t="s">
        <v>28904</v>
      </c>
      <c r="C1692" s="509" t="s">
        <v>28905</v>
      </c>
      <c r="D1692" s="511"/>
      <c r="E1692" s="511"/>
      <c r="F1692" s="232" t="s">
        <v>28906</v>
      </c>
      <c r="G1692" s="232" t="s">
        <v>44</v>
      </c>
      <c r="H1692" s="232">
        <v>9.836765434E9</v>
      </c>
      <c r="I1692" s="509" t="s">
        <v>28907</v>
      </c>
      <c r="J1692" s="232" t="b">
        <v>0</v>
      </c>
      <c r="K1692" s="232" t="s">
        <v>22365</v>
      </c>
      <c r="L1692" s="232" t="s">
        <v>28908</v>
      </c>
      <c r="M1692" s="511"/>
      <c r="N1692" s="232"/>
      <c r="O1692" s="232"/>
      <c r="P1692" s="312"/>
      <c r="Q1692" s="312"/>
      <c r="R1692" s="312"/>
      <c r="S1692" s="312"/>
      <c r="T1692" s="312"/>
      <c r="U1692" s="312"/>
    </row>
    <row r="1693">
      <c r="A1693" s="508" t="s">
        <v>28870</v>
      </c>
      <c r="B1693" s="232" t="s">
        <v>28909</v>
      </c>
      <c r="C1693" s="509" t="s">
        <v>28910</v>
      </c>
      <c r="D1693" s="511"/>
      <c r="E1693" s="511"/>
      <c r="F1693" s="232" t="s">
        <v>28911</v>
      </c>
      <c r="G1693" s="232" t="s">
        <v>44</v>
      </c>
      <c r="H1693" s="232">
        <v>7.890466646E9</v>
      </c>
      <c r="I1693" s="509" t="s">
        <v>28912</v>
      </c>
      <c r="J1693" s="232" t="b">
        <v>0</v>
      </c>
      <c r="K1693" s="232" t="s">
        <v>334</v>
      </c>
      <c r="L1693" s="232"/>
      <c r="M1693" s="511"/>
      <c r="N1693" s="232"/>
      <c r="O1693" s="232"/>
      <c r="P1693" s="312"/>
      <c r="Q1693" s="312"/>
      <c r="R1693" s="312"/>
      <c r="S1693" s="312"/>
      <c r="T1693" s="312"/>
      <c r="U1693" s="312"/>
    </row>
    <row r="1694">
      <c r="A1694" s="508" t="s">
        <v>28913</v>
      </c>
      <c r="B1694" s="232" t="s">
        <v>28914</v>
      </c>
      <c r="C1694" s="509" t="s">
        <v>28915</v>
      </c>
      <c r="D1694" s="511"/>
      <c r="E1694" s="511"/>
      <c r="F1694" s="232" t="s">
        <v>28916</v>
      </c>
      <c r="G1694" s="232" t="s">
        <v>22564</v>
      </c>
      <c r="H1694" s="232">
        <v>8.308992187E9</v>
      </c>
      <c r="I1694" s="509" t="s">
        <v>28917</v>
      </c>
      <c r="J1694" s="232" t="b">
        <v>0</v>
      </c>
      <c r="K1694" s="232"/>
      <c r="L1694" s="232" t="s">
        <v>28918</v>
      </c>
      <c r="M1694" s="511"/>
      <c r="N1694" s="232"/>
      <c r="O1694" s="232"/>
      <c r="P1694" s="312"/>
      <c r="Q1694" s="312"/>
      <c r="R1694" s="312"/>
      <c r="S1694" s="312"/>
      <c r="T1694" s="312"/>
      <c r="U1694" s="312"/>
    </row>
    <row r="1695">
      <c r="A1695" s="508" t="s">
        <v>28913</v>
      </c>
      <c r="B1695" s="232" t="s">
        <v>28919</v>
      </c>
      <c r="C1695" s="509" t="s">
        <v>28920</v>
      </c>
      <c r="D1695" s="511"/>
      <c r="E1695" s="511"/>
      <c r="F1695" s="232" t="s">
        <v>28921</v>
      </c>
      <c r="G1695" s="232" t="s">
        <v>28922</v>
      </c>
      <c r="H1695" s="232">
        <v>8.250398815E9</v>
      </c>
      <c r="I1695" s="509" t="s">
        <v>22289</v>
      </c>
      <c r="J1695" s="232" t="b">
        <v>0</v>
      </c>
      <c r="K1695" s="232" t="s">
        <v>27182</v>
      </c>
      <c r="L1695" s="232" t="s">
        <v>28923</v>
      </c>
      <c r="M1695" s="511"/>
      <c r="N1695" s="232"/>
      <c r="O1695" s="232"/>
      <c r="P1695" s="312"/>
      <c r="Q1695" s="312"/>
      <c r="R1695" s="312"/>
      <c r="S1695" s="312"/>
      <c r="T1695" s="312"/>
      <c r="U1695" s="312"/>
    </row>
    <row r="1696">
      <c r="A1696" s="508" t="s">
        <v>28913</v>
      </c>
      <c r="B1696" s="232" t="s">
        <v>28924</v>
      </c>
      <c r="C1696" s="509" t="s">
        <v>28925</v>
      </c>
      <c r="D1696" s="510" t="s">
        <v>28926</v>
      </c>
      <c r="E1696" s="511"/>
      <c r="F1696" s="232" t="s">
        <v>28927</v>
      </c>
      <c r="G1696" s="232" t="s">
        <v>2662</v>
      </c>
      <c r="H1696" s="232">
        <v>-9.003139779E9</v>
      </c>
      <c r="I1696" s="509" t="s">
        <v>28928</v>
      </c>
      <c r="J1696" s="232" t="b">
        <v>0</v>
      </c>
      <c r="K1696" s="232" t="s">
        <v>22365</v>
      </c>
      <c r="L1696" s="232" t="s">
        <v>23537</v>
      </c>
      <c r="M1696" s="511"/>
      <c r="N1696" s="232"/>
      <c r="O1696" s="232"/>
      <c r="P1696" s="312"/>
      <c r="Q1696" s="312"/>
      <c r="R1696" s="312"/>
      <c r="S1696" s="312"/>
      <c r="T1696" s="312"/>
      <c r="U1696" s="312"/>
    </row>
    <row r="1697">
      <c r="A1697" s="508" t="s">
        <v>28913</v>
      </c>
      <c r="B1697" s="232" t="s">
        <v>28929</v>
      </c>
      <c r="C1697" s="509" t="s">
        <v>28930</v>
      </c>
      <c r="D1697" s="510" t="s">
        <v>28931</v>
      </c>
      <c r="E1697" s="511"/>
      <c r="F1697" s="232" t="s">
        <v>28932</v>
      </c>
      <c r="G1697" s="232" t="s">
        <v>158</v>
      </c>
      <c r="H1697" s="232">
        <v>8.910113039E9</v>
      </c>
      <c r="I1697" s="509" t="s">
        <v>24792</v>
      </c>
      <c r="J1697" s="232" t="b">
        <v>0</v>
      </c>
      <c r="K1697" s="232" t="s">
        <v>334</v>
      </c>
      <c r="L1697" s="232"/>
      <c r="M1697" s="511"/>
      <c r="N1697" s="232"/>
      <c r="O1697" s="232"/>
      <c r="P1697" s="312"/>
      <c r="Q1697" s="312"/>
      <c r="R1697" s="312"/>
      <c r="S1697" s="312"/>
      <c r="T1697" s="312"/>
      <c r="U1697" s="312"/>
    </row>
    <row r="1698">
      <c r="A1698" s="508" t="s">
        <v>28913</v>
      </c>
      <c r="B1698" s="232" t="s">
        <v>28933</v>
      </c>
      <c r="C1698" s="509" t="s">
        <v>27608</v>
      </c>
      <c r="D1698" s="511"/>
      <c r="E1698" s="511"/>
      <c r="F1698" s="232" t="s">
        <v>27609</v>
      </c>
      <c r="G1698" s="232" t="s">
        <v>28934</v>
      </c>
      <c r="H1698" s="232">
        <v>7.481826881E9</v>
      </c>
      <c r="I1698" s="509" t="s">
        <v>22289</v>
      </c>
      <c r="J1698" s="232" t="b">
        <v>0</v>
      </c>
      <c r="K1698" s="232" t="s">
        <v>22365</v>
      </c>
      <c r="L1698" s="232" t="s">
        <v>23537</v>
      </c>
      <c r="M1698" s="511"/>
      <c r="N1698" s="232"/>
      <c r="O1698" s="232"/>
      <c r="P1698" s="312"/>
      <c r="Q1698" s="312"/>
      <c r="R1698" s="312"/>
      <c r="S1698" s="312"/>
      <c r="T1698" s="312"/>
      <c r="U1698" s="312"/>
    </row>
    <row r="1699">
      <c r="A1699" s="508" t="s">
        <v>28913</v>
      </c>
      <c r="B1699" s="232" t="s">
        <v>28935</v>
      </c>
      <c r="C1699" s="509" t="s">
        <v>28936</v>
      </c>
      <c r="D1699" s="511"/>
      <c r="E1699" s="511"/>
      <c r="F1699" s="232" t="s">
        <v>28937</v>
      </c>
      <c r="G1699" s="232" t="s">
        <v>44</v>
      </c>
      <c r="H1699" s="232">
        <v>8.961407745E9</v>
      </c>
      <c r="I1699" s="509" t="s">
        <v>22373</v>
      </c>
      <c r="J1699" s="232" t="b">
        <v>0</v>
      </c>
      <c r="K1699" s="232" t="s">
        <v>22349</v>
      </c>
      <c r="L1699" s="232" t="s">
        <v>28938</v>
      </c>
      <c r="M1699" s="511"/>
      <c r="N1699" s="232"/>
      <c r="O1699" s="232"/>
      <c r="P1699" s="312"/>
      <c r="Q1699" s="312"/>
      <c r="R1699" s="312"/>
      <c r="S1699" s="312"/>
      <c r="T1699" s="312"/>
      <c r="U1699" s="312"/>
    </row>
    <row r="1700">
      <c r="A1700" s="508" t="s">
        <v>28913</v>
      </c>
      <c r="B1700" s="232" t="s">
        <v>28939</v>
      </c>
      <c r="C1700" s="509" t="s">
        <v>28940</v>
      </c>
      <c r="D1700" s="511"/>
      <c r="E1700" s="511"/>
      <c r="F1700" s="232" t="s">
        <v>28941</v>
      </c>
      <c r="G1700" s="232" t="s">
        <v>44</v>
      </c>
      <c r="H1700" s="232">
        <v>9.051644308E9</v>
      </c>
      <c r="I1700" s="509" t="s">
        <v>25387</v>
      </c>
      <c r="J1700" s="232" t="b">
        <v>0</v>
      </c>
      <c r="K1700" s="232"/>
      <c r="L1700" s="232"/>
      <c r="M1700" s="511"/>
      <c r="N1700" s="232"/>
      <c r="O1700" s="232"/>
      <c r="P1700" s="312"/>
      <c r="Q1700" s="312"/>
      <c r="R1700" s="312"/>
      <c r="S1700" s="312"/>
      <c r="T1700" s="312"/>
      <c r="U1700" s="312"/>
    </row>
    <row r="1701">
      <c r="A1701" s="508" t="s">
        <v>28942</v>
      </c>
      <c r="B1701" s="232" t="s">
        <v>28943</v>
      </c>
      <c r="C1701" s="509" t="s">
        <v>28944</v>
      </c>
      <c r="D1701" s="511"/>
      <c r="E1701" s="511"/>
      <c r="F1701" s="232" t="s">
        <v>28945</v>
      </c>
      <c r="G1701" s="232" t="s">
        <v>7995</v>
      </c>
      <c r="H1701" s="232">
        <v>7.980722495E9</v>
      </c>
      <c r="I1701" s="509" t="s">
        <v>24122</v>
      </c>
      <c r="J1701" s="232" t="b">
        <v>0</v>
      </c>
      <c r="K1701" s="232" t="s">
        <v>12092</v>
      </c>
      <c r="L1701" s="232"/>
      <c r="M1701" s="511"/>
      <c r="N1701" s="232"/>
      <c r="O1701" s="232"/>
      <c r="P1701" s="312"/>
      <c r="Q1701" s="312"/>
      <c r="R1701" s="312"/>
      <c r="S1701" s="312"/>
      <c r="T1701" s="312"/>
      <c r="U1701" s="312"/>
    </row>
    <row r="1702">
      <c r="A1702" s="508" t="s">
        <v>28942</v>
      </c>
      <c r="B1702" s="232" t="s">
        <v>28946</v>
      </c>
      <c r="C1702" s="509" t="s">
        <v>28947</v>
      </c>
      <c r="D1702" s="510" t="s">
        <v>28948</v>
      </c>
      <c r="E1702" s="511"/>
      <c r="F1702" s="232" t="s">
        <v>28949</v>
      </c>
      <c r="G1702" s="232" t="s">
        <v>28950</v>
      </c>
      <c r="H1702" s="232">
        <v>-9.425537036E9</v>
      </c>
      <c r="I1702" s="509" t="s">
        <v>24984</v>
      </c>
      <c r="J1702" s="232" t="b">
        <v>0</v>
      </c>
      <c r="K1702" s="232" t="s">
        <v>22365</v>
      </c>
      <c r="L1702" s="232" t="s">
        <v>23537</v>
      </c>
      <c r="M1702" s="511"/>
      <c r="N1702" s="232"/>
      <c r="O1702" s="232"/>
      <c r="P1702" s="312"/>
      <c r="Q1702" s="312"/>
      <c r="R1702" s="312"/>
      <c r="S1702" s="312"/>
      <c r="T1702" s="312"/>
      <c r="U1702" s="312"/>
    </row>
    <row r="1703">
      <c r="A1703" s="508" t="s">
        <v>28942</v>
      </c>
      <c r="B1703" s="232" t="s">
        <v>28951</v>
      </c>
      <c r="C1703" s="509" t="s">
        <v>17238</v>
      </c>
      <c r="D1703" s="511"/>
      <c r="E1703" s="511"/>
      <c r="F1703" s="232" t="s">
        <v>28952</v>
      </c>
      <c r="G1703" s="232" t="s">
        <v>268</v>
      </c>
      <c r="H1703" s="232">
        <v>9.800609493E9</v>
      </c>
      <c r="I1703" s="509" t="s">
        <v>22698</v>
      </c>
      <c r="J1703" s="232" t="b">
        <v>0</v>
      </c>
      <c r="K1703" s="232" t="s">
        <v>22365</v>
      </c>
      <c r="L1703" s="232" t="s">
        <v>23537</v>
      </c>
      <c r="M1703" s="511"/>
      <c r="N1703" s="232"/>
      <c r="O1703" s="232"/>
      <c r="P1703" s="312"/>
      <c r="Q1703" s="312"/>
      <c r="R1703" s="312"/>
      <c r="S1703" s="312"/>
      <c r="T1703" s="312"/>
      <c r="U1703" s="312"/>
    </row>
    <row r="1704">
      <c r="A1704" s="508" t="s">
        <v>28942</v>
      </c>
      <c r="B1704" s="232" t="s">
        <v>28953</v>
      </c>
      <c r="C1704" s="509" t="s">
        <v>20822</v>
      </c>
      <c r="D1704" s="510" t="s">
        <v>28954</v>
      </c>
      <c r="E1704" s="511"/>
      <c r="F1704" s="232" t="s">
        <v>28955</v>
      </c>
      <c r="G1704" s="232" t="s">
        <v>28956</v>
      </c>
      <c r="H1704" s="232">
        <v>7.0341134E9</v>
      </c>
      <c r="I1704" s="509" t="s">
        <v>28957</v>
      </c>
      <c r="J1704" s="232" t="b">
        <v>0</v>
      </c>
      <c r="K1704" s="232" t="s">
        <v>22365</v>
      </c>
      <c r="L1704" s="232" t="s">
        <v>23537</v>
      </c>
      <c r="M1704" s="511"/>
      <c r="N1704" s="232"/>
      <c r="O1704" s="232"/>
      <c r="P1704" s="312"/>
      <c r="Q1704" s="312"/>
      <c r="R1704" s="312"/>
      <c r="S1704" s="312"/>
      <c r="T1704" s="312"/>
      <c r="U1704" s="312"/>
    </row>
    <row r="1705">
      <c r="A1705" s="508" t="s">
        <v>28942</v>
      </c>
      <c r="B1705" s="232" t="s">
        <v>28958</v>
      </c>
      <c r="C1705" s="509" t="s">
        <v>28959</v>
      </c>
      <c r="D1705" s="511"/>
      <c r="E1705" s="511"/>
      <c r="F1705" s="232" t="s">
        <v>28960</v>
      </c>
      <c r="G1705" s="232" t="s">
        <v>28961</v>
      </c>
      <c r="H1705" s="232">
        <v>8.787586603E9</v>
      </c>
      <c r="I1705" s="509" t="s">
        <v>25387</v>
      </c>
      <c r="J1705" s="232" t="b">
        <v>0</v>
      </c>
      <c r="K1705" s="232" t="s">
        <v>334</v>
      </c>
      <c r="L1705" s="232"/>
      <c r="M1705" s="511"/>
      <c r="N1705" s="232"/>
      <c r="O1705" s="232"/>
      <c r="P1705" s="312"/>
      <c r="Q1705" s="312"/>
      <c r="R1705" s="312"/>
      <c r="S1705" s="312"/>
      <c r="T1705" s="312"/>
      <c r="U1705" s="312"/>
    </row>
    <row r="1706">
      <c r="A1706" s="508" t="s">
        <v>28942</v>
      </c>
      <c r="B1706" s="232" t="s">
        <v>28962</v>
      </c>
      <c r="C1706" s="509" t="s">
        <v>19557</v>
      </c>
      <c r="D1706" s="511"/>
      <c r="E1706" s="511"/>
      <c r="F1706" s="232" t="s">
        <v>28963</v>
      </c>
      <c r="G1706" s="232" t="s">
        <v>44</v>
      </c>
      <c r="H1706" s="232">
        <v>9.831081448E9</v>
      </c>
      <c r="I1706" s="509" t="s">
        <v>28964</v>
      </c>
      <c r="J1706" s="232" t="b">
        <v>0</v>
      </c>
      <c r="K1706" s="232" t="s">
        <v>22365</v>
      </c>
      <c r="L1706" s="232" t="s">
        <v>23537</v>
      </c>
      <c r="M1706" s="511"/>
      <c r="N1706" s="232"/>
      <c r="O1706" s="232"/>
      <c r="P1706" s="312"/>
      <c r="Q1706" s="312"/>
      <c r="R1706" s="312"/>
      <c r="S1706" s="312"/>
      <c r="T1706" s="312"/>
      <c r="U1706" s="312"/>
    </row>
    <row r="1707">
      <c r="A1707" s="508" t="s">
        <v>28942</v>
      </c>
      <c r="B1707" s="232" t="s">
        <v>28965</v>
      </c>
      <c r="C1707" s="509" t="s">
        <v>28966</v>
      </c>
      <c r="D1707" s="511"/>
      <c r="E1707" s="511"/>
      <c r="F1707" s="232" t="s">
        <v>28967</v>
      </c>
      <c r="G1707" s="232" t="s">
        <v>44</v>
      </c>
      <c r="H1707" s="232">
        <v>9.831757829E9</v>
      </c>
      <c r="I1707" s="509" t="s">
        <v>24052</v>
      </c>
      <c r="J1707" s="232" t="b">
        <v>0</v>
      </c>
      <c r="K1707" s="232" t="s">
        <v>334</v>
      </c>
      <c r="L1707" s="232"/>
      <c r="M1707" s="511"/>
      <c r="N1707" s="232"/>
      <c r="O1707" s="232"/>
      <c r="P1707" s="312"/>
      <c r="Q1707" s="312"/>
      <c r="R1707" s="312"/>
      <c r="S1707" s="312"/>
      <c r="T1707" s="312"/>
      <c r="U1707" s="312"/>
    </row>
    <row r="1708">
      <c r="A1708" s="508" t="s">
        <v>28942</v>
      </c>
      <c r="B1708" s="232" t="s">
        <v>28968</v>
      </c>
      <c r="C1708" s="509" t="s">
        <v>28969</v>
      </c>
      <c r="D1708" s="511"/>
      <c r="E1708" s="511"/>
      <c r="F1708" s="232"/>
      <c r="G1708" s="232" t="s">
        <v>930</v>
      </c>
      <c r="H1708" s="232">
        <v>9.390664283E9</v>
      </c>
      <c r="I1708" s="509" t="s">
        <v>28970</v>
      </c>
      <c r="J1708" s="232" t="b">
        <v>0</v>
      </c>
      <c r="K1708" s="232" t="s">
        <v>22365</v>
      </c>
      <c r="L1708" s="232" t="s">
        <v>28971</v>
      </c>
      <c r="M1708" s="511"/>
      <c r="N1708" s="232"/>
      <c r="O1708" s="232"/>
      <c r="P1708" s="312"/>
      <c r="Q1708" s="312"/>
      <c r="R1708" s="312"/>
      <c r="S1708" s="312"/>
      <c r="T1708" s="312"/>
      <c r="U1708" s="312"/>
    </row>
    <row r="1709">
      <c r="A1709" s="508" t="s">
        <v>28942</v>
      </c>
      <c r="B1709" s="232" t="s">
        <v>28972</v>
      </c>
      <c r="C1709" s="509" t="s">
        <v>28973</v>
      </c>
      <c r="D1709" s="511"/>
      <c r="E1709" s="511"/>
      <c r="F1709" s="232" t="s">
        <v>28974</v>
      </c>
      <c r="G1709" s="232" t="s">
        <v>26515</v>
      </c>
      <c r="H1709" s="232">
        <v>9.051371781E9</v>
      </c>
      <c r="I1709" s="509" t="s">
        <v>26515</v>
      </c>
      <c r="J1709" s="232" t="b">
        <v>0</v>
      </c>
      <c r="K1709" s="232" t="s">
        <v>12092</v>
      </c>
      <c r="L1709" s="232"/>
      <c r="M1709" s="511"/>
      <c r="N1709" s="232"/>
      <c r="O1709" s="232"/>
      <c r="P1709" s="312"/>
      <c r="Q1709" s="312"/>
      <c r="R1709" s="312"/>
      <c r="S1709" s="312"/>
      <c r="T1709" s="312"/>
      <c r="U1709" s="312"/>
    </row>
    <row r="1710">
      <c r="A1710" s="508" t="s">
        <v>28942</v>
      </c>
      <c r="B1710" s="232" t="s">
        <v>28975</v>
      </c>
      <c r="C1710" s="509" t="s">
        <v>28976</v>
      </c>
      <c r="D1710" s="511"/>
      <c r="E1710" s="511"/>
      <c r="F1710" s="232" t="s">
        <v>28977</v>
      </c>
      <c r="G1710" s="232" t="s">
        <v>2612</v>
      </c>
      <c r="H1710" s="232">
        <v>9.692712904E9</v>
      </c>
      <c r="I1710" s="509" t="s">
        <v>28978</v>
      </c>
      <c r="J1710" s="232" t="b">
        <v>0</v>
      </c>
      <c r="K1710" s="232" t="s">
        <v>334</v>
      </c>
      <c r="L1710" s="232"/>
      <c r="M1710" s="511"/>
      <c r="N1710" s="232"/>
      <c r="O1710" s="232"/>
      <c r="P1710" s="312"/>
      <c r="Q1710" s="312"/>
      <c r="R1710" s="312"/>
      <c r="S1710" s="312"/>
      <c r="T1710" s="312"/>
      <c r="U1710" s="312"/>
    </row>
    <row r="1711">
      <c r="A1711" s="508" t="s">
        <v>28942</v>
      </c>
      <c r="B1711" s="232" t="s">
        <v>28979</v>
      </c>
      <c r="C1711" s="509" t="s">
        <v>11193</v>
      </c>
      <c r="D1711" s="510" t="s">
        <v>28980</v>
      </c>
      <c r="E1711" s="511"/>
      <c r="F1711" s="232"/>
      <c r="G1711" s="232" t="s">
        <v>44</v>
      </c>
      <c r="H1711" s="232">
        <v>7.278120553E9</v>
      </c>
      <c r="I1711" s="509" t="s">
        <v>22289</v>
      </c>
      <c r="J1711" s="232" t="b">
        <v>0</v>
      </c>
      <c r="K1711" s="232" t="s">
        <v>22365</v>
      </c>
      <c r="L1711" s="232" t="s">
        <v>23537</v>
      </c>
      <c r="M1711" s="511"/>
      <c r="N1711" s="232"/>
      <c r="O1711" s="232"/>
      <c r="P1711" s="312"/>
      <c r="Q1711" s="312"/>
      <c r="R1711" s="312"/>
      <c r="S1711" s="312"/>
      <c r="T1711" s="312"/>
      <c r="U1711" s="312"/>
    </row>
    <row r="1712">
      <c r="A1712" s="508" t="s">
        <v>28942</v>
      </c>
      <c r="B1712" s="232" t="s">
        <v>28981</v>
      </c>
      <c r="C1712" s="509" t="s">
        <v>28982</v>
      </c>
      <c r="D1712" s="511"/>
      <c r="E1712" s="511"/>
      <c r="F1712" s="232" t="s">
        <v>28983</v>
      </c>
      <c r="G1712" s="232" t="s">
        <v>44</v>
      </c>
      <c r="H1712" s="232">
        <v>9.330363465E9</v>
      </c>
      <c r="I1712" s="509" t="s">
        <v>28984</v>
      </c>
      <c r="J1712" s="232" t="b">
        <v>0</v>
      </c>
      <c r="K1712" s="232" t="s">
        <v>22365</v>
      </c>
      <c r="L1712" s="232" t="s">
        <v>27251</v>
      </c>
      <c r="M1712" s="511"/>
      <c r="N1712" s="232"/>
      <c r="O1712" s="232"/>
      <c r="P1712" s="312"/>
      <c r="Q1712" s="312"/>
      <c r="R1712" s="312"/>
      <c r="S1712" s="312"/>
      <c r="T1712" s="312"/>
      <c r="U1712" s="312"/>
    </row>
    <row r="1713">
      <c r="A1713" s="508" t="s">
        <v>28985</v>
      </c>
      <c r="B1713" s="232" t="s">
        <v>28986</v>
      </c>
      <c r="C1713" s="509" t="s">
        <v>28987</v>
      </c>
      <c r="D1713" s="511"/>
      <c r="E1713" s="511"/>
      <c r="F1713" s="232" t="s">
        <v>28988</v>
      </c>
      <c r="G1713" s="232" t="s">
        <v>28698</v>
      </c>
      <c r="H1713" s="232">
        <v>8.849423746E9</v>
      </c>
      <c r="I1713" s="509" t="s">
        <v>28989</v>
      </c>
      <c r="J1713" s="232" t="b">
        <v>0</v>
      </c>
      <c r="K1713" s="232" t="s">
        <v>334</v>
      </c>
      <c r="L1713" s="232"/>
      <c r="M1713" s="511"/>
      <c r="N1713" s="232"/>
      <c r="O1713" s="232"/>
      <c r="P1713" s="312"/>
      <c r="Q1713" s="312"/>
      <c r="R1713" s="312"/>
      <c r="S1713" s="312"/>
      <c r="T1713" s="312"/>
      <c r="U1713" s="312"/>
    </row>
    <row r="1714">
      <c r="A1714" s="508" t="s">
        <v>28985</v>
      </c>
      <c r="B1714" s="232" t="s">
        <v>28990</v>
      </c>
      <c r="C1714" s="509" t="s">
        <v>28991</v>
      </c>
      <c r="D1714" s="510" t="s">
        <v>28992</v>
      </c>
      <c r="E1714" s="511"/>
      <c r="F1714" s="232" t="s">
        <v>28993</v>
      </c>
      <c r="G1714" s="232" t="s">
        <v>22844</v>
      </c>
      <c r="H1714" s="232">
        <v>8.805595207E9</v>
      </c>
      <c r="I1714" s="509" t="s">
        <v>22289</v>
      </c>
      <c r="J1714" s="232" t="b">
        <v>0</v>
      </c>
      <c r="K1714" s="232" t="s">
        <v>22365</v>
      </c>
      <c r="L1714" s="232" t="s">
        <v>23537</v>
      </c>
      <c r="M1714" s="511"/>
      <c r="N1714" s="232"/>
      <c r="O1714" s="232"/>
      <c r="P1714" s="312"/>
      <c r="Q1714" s="312"/>
      <c r="R1714" s="312"/>
      <c r="S1714" s="312"/>
      <c r="T1714" s="312"/>
      <c r="U1714" s="312"/>
    </row>
    <row r="1715">
      <c r="A1715" s="508" t="s">
        <v>28985</v>
      </c>
      <c r="B1715" s="232" t="s">
        <v>28994</v>
      </c>
      <c r="C1715" s="509" t="s">
        <v>28995</v>
      </c>
      <c r="D1715" s="511"/>
      <c r="E1715" s="511"/>
      <c r="F1715" s="232" t="s">
        <v>28996</v>
      </c>
      <c r="G1715" s="232" t="s">
        <v>449</v>
      </c>
      <c r="H1715" s="232">
        <v>9.563900206E9</v>
      </c>
      <c r="I1715" s="509" t="s">
        <v>22289</v>
      </c>
      <c r="J1715" s="232" t="b">
        <v>0</v>
      </c>
      <c r="K1715" s="232" t="s">
        <v>22355</v>
      </c>
      <c r="L1715" s="232"/>
      <c r="M1715" s="511"/>
      <c r="N1715" s="232"/>
      <c r="O1715" s="232"/>
      <c r="P1715" s="312"/>
      <c r="Q1715" s="312"/>
      <c r="R1715" s="312"/>
      <c r="S1715" s="312"/>
      <c r="T1715" s="312"/>
      <c r="U1715" s="312"/>
    </row>
    <row r="1716">
      <c r="A1716" s="508" t="s">
        <v>28985</v>
      </c>
      <c r="B1716" s="232" t="s">
        <v>28997</v>
      </c>
      <c r="C1716" s="509" t="s">
        <v>28998</v>
      </c>
      <c r="D1716" s="511"/>
      <c r="E1716" s="511"/>
      <c r="F1716" s="232" t="s">
        <v>28999</v>
      </c>
      <c r="G1716" s="232" t="s">
        <v>44</v>
      </c>
      <c r="H1716" s="232">
        <v>9.051883595E9</v>
      </c>
      <c r="I1716" s="509" t="s">
        <v>29000</v>
      </c>
      <c r="J1716" s="232" t="b">
        <v>0</v>
      </c>
      <c r="K1716" s="232" t="s">
        <v>22365</v>
      </c>
      <c r="L1716" s="232" t="s">
        <v>23537</v>
      </c>
      <c r="M1716" s="511"/>
      <c r="N1716" s="232"/>
      <c r="O1716" s="232"/>
      <c r="P1716" s="312"/>
      <c r="Q1716" s="312"/>
      <c r="R1716" s="312"/>
      <c r="S1716" s="312"/>
      <c r="T1716" s="312"/>
      <c r="U1716" s="312"/>
    </row>
    <row r="1717">
      <c r="A1717" s="508" t="s">
        <v>28985</v>
      </c>
      <c r="B1717" s="232" t="s">
        <v>29001</v>
      </c>
      <c r="C1717" s="509" t="s">
        <v>29002</v>
      </c>
      <c r="D1717" s="511"/>
      <c r="E1717" s="511"/>
      <c r="F1717" s="232" t="s">
        <v>29003</v>
      </c>
      <c r="G1717" s="232"/>
      <c r="H1717" s="232">
        <v>9.08053469E9</v>
      </c>
      <c r="I1717" s="509" t="s">
        <v>25995</v>
      </c>
      <c r="J1717" s="232" t="b">
        <v>0</v>
      </c>
      <c r="K1717" s="232" t="s">
        <v>22365</v>
      </c>
      <c r="L1717" s="232" t="s">
        <v>27251</v>
      </c>
      <c r="M1717" s="511"/>
      <c r="N1717" s="232"/>
      <c r="O1717" s="232"/>
      <c r="P1717" s="312"/>
      <c r="Q1717" s="312"/>
      <c r="R1717" s="312"/>
      <c r="S1717" s="312"/>
      <c r="T1717" s="312"/>
      <c r="U1717" s="312"/>
    </row>
    <row r="1718">
      <c r="A1718" s="508" t="s">
        <v>28985</v>
      </c>
      <c r="B1718" s="232" t="s">
        <v>29004</v>
      </c>
      <c r="C1718" s="509" t="s">
        <v>24663</v>
      </c>
      <c r="D1718" s="511"/>
      <c r="E1718" s="511"/>
      <c r="F1718" s="232"/>
      <c r="G1718" s="232" t="s">
        <v>3167</v>
      </c>
      <c r="H1718" s="232">
        <v>9.748670186E9</v>
      </c>
      <c r="I1718" s="509" t="s">
        <v>29005</v>
      </c>
      <c r="J1718" s="232" t="b">
        <v>0</v>
      </c>
      <c r="K1718" s="232" t="s">
        <v>22355</v>
      </c>
      <c r="L1718" s="232"/>
      <c r="M1718" s="511"/>
      <c r="N1718" s="232"/>
      <c r="O1718" s="232"/>
      <c r="P1718" s="312"/>
      <c r="Q1718" s="312"/>
      <c r="R1718" s="312"/>
      <c r="S1718" s="312"/>
      <c r="T1718" s="312"/>
      <c r="U1718" s="312"/>
    </row>
    <row r="1719">
      <c r="A1719" s="508" t="s">
        <v>28985</v>
      </c>
      <c r="B1719" s="232" t="s">
        <v>29006</v>
      </c>
      <c r="C1719" s="509" t="s">
        <v>29007</v>
      </c>
      <c r="D1719" s="511"/>
      <c r="E1719" s="511"/>
      <c r="F1719" s="232"/>
      <c r="G1719" s="232" t="s">
        <v>27170</v>
      </c>
      <c r="H1719" s="232">
        <v>9.330958438E9</v>
      </c>
      <c r="I1719" s="509" t="s">
        <v>29008</v>
      </c>
      <c r="J1719" s="232" t="b">
        <v>0</v>
      </c>
      <c r="K1719" s="232" t="s">
        <v>334</v>
      </c>
      <c r="L1719" s="232"/>
      <c r="M1719" s="511"/>
      <c r="N1719" s="232"/>
      <c r="O1719" s="232"/>
      <c r="P1719" s="312"/>
      <c r="Q1719" s="312"/>
      <c r="R1719" s="312"/>
      <c r="S1719" s="312"/>
      <c r="T1719" s="312"/>
      <c r="U1719" s="312"/>
    </row>
    <row r="1720">
      <c r="A1720" s="508" t="s">
        <v>28985</v>
      </c>
      <c r="B1720" s="232" t="s">
        <v>29009</v>
      </c>
      <c r="C1720" s="509" t="s">
        <v>29010</v>
      </c>
      <c r="D1720" s="511"/>
      <c r="E1720" s="511"/>
      <c r="F1720" s="232" t="s">
        <v>29011</v>
      </c>
      <c r="G1720" s="232" t="s">
        <v>29012</v>
      </c>
      <c r="H1720" s="232">
        <v>9.389950322E9</v>
      </c>
      <c r="I1720" s="509" t="s">
        <v>25995</v>
      </c>
      <c r="J1720" s="232" t="b">
        <v>0</v>
      </c>
      <c r="K1720" s="232" t="s">
        <v>22365</v>
      </c>
      <c r="L1720" s="232" t="s">
        <v>27251</v>
      </c>
      <c r="M1720" s="511"/>
      <c r="N1720" s="232"/>
      <c r="O1720" s="232"/>
      <c r="P1720" s="312"/>
      <c r="Q1720" s="312"/>
      <c r="R1720" s="312"/>
      <c r="S1720" s="312"/>
      <c r="T1720" s="312"/>
      <c r="U1720" s="312"/>
    </row>
    <row r="1721">
      <c r="A1721" s="508" t="s">
        <v>28985</v>
      </c>
      <c r="B1721" s="232" t="s">
        <v>29013</v>
      </c>
      <c r="C1721" s="509" t="s">
        <v>29014</v>
      </c>
      <c r="D1721" s="511"/>
      <c r="E1721" s="511"/>
      <c r="F1721" s="232"/>
      <c r="G1721" s="232" t="s">
        <v>44</v>
      </c>
      <c r="H1721" s="232">
        <v>6.289032893E9</v>
      </c>
      <c r="I1721" s="509" t="s">
        <v>22373</v>
      </c>
      <c r="J1721" s="232" t="b">
        <v>0</v>
      </c>
      <c r="K1721" s="232" t="s">
        <v>334</v>
      </c>
      <c r="L1721" s="232"/>
      <c r="M1721" s="511"/>
      <c r="N1721" s="232"/>
      <c r="O1721" s="232"/>
      <c r="P1721" s="312"/>
      <c r="Q1721" s="312"/>
      <c r="R1721" s="312"/>
      <c r="S1721" s="312"/>
      <c r="T1721" s="312"/>
      <c r="U1721" s="312"/>
    </row>
    <row r="1722">
      <c r="A1722" s="508" t="s">
        <v>28985</v>
      </c>
      <c r="B1722" s="232" t="s">
        <v>29015</v>
      </c>
      <c r="C1722" s="509" t="s">
        <v>27923</v>
      </c>
      <c r="D1722" s="511"/>
      <c r="E1722" s="511"/>
      <c r="F1722" s="232"/>
      <c r="G1722" s="232" t="s">
        <v>158</v>
      </c>
      <c r="H1722" s="232">
        <v>6.291820057E9</v>
      </c>
      <c r="I1722" s="509" t="s">
        <v>29016</v>
      </c>
      <c r="J1722" s="232" t="b">
        <v>0</v>
      </c>
      <c r="K1722" s="232" t="s">
        <v>22365</v>
      </c>
      <c r="L1722" s="232" t="s">
        <v>29017</v>
      </c>
      <c r="M1722" s="511"/>
      <c r="N1722" s="232"/>
      <c r="O1722" s="232"/>
      <c r="P1722" s="312"/>
      <c r="Q1722" s="312"/>
      <c r="R1722" s="312"/>
      <c r="S1722" s="312"/>
      <c r="T1722" s="312"/>
      <c r="U1722" s="312"/>
    </row>
    <row r="1723">
      <c r="A1723" s="508" t="s">
        <v>29018</v>
      </c>
      <c r="B1723" s="232" t="s">
        <v>29019</v>
      </c>
      <c r="C1723" s="509" t="s">
        <v>15039</v>
      </c>
      <c r="D1723" s="510" t="s">
        <v>29020</v>
      </c>
      <c r="E1723" s="511"/>
      <c r="F1723" s="232" t="s">
        <v>29021</v>
      </c>
      <c r="G1723" s="232" t="s">
        <v>467</v>
      </c>
      <c r="H1723" s="232">
        <v>-7.669839764E9</v>
      </c>
      <c r="I1723" s="509" t="s">
        <v>25245</v>
      </c>
      <c r="J1723" s="232" t="b">
        <v>0</v>
      </c>
      <c r="K1723" s="232"/>
      <c r="L1723" s="232"/>
      <c r="M1723" s="511"/>
      <c r="N1723" s="232"/>
      <c r="O1723" s="232"/>
      <c r="P1723" s="312"/>
      <c r="Q1723" s="312"/>
      <c r="R1723" s="312"/>
      <c r="S1723" s="312"/>
      <c r="T1723" s="312"/>
      <c r="U1723" s="312"/>
    </row>
    <row r="1724">
      <c r="A1724" s="508" t="s">
        <v>29018</v>
      </c>
      <c r="B1724" s="232" t="s">
        <v>29022</v>
      </c>
      <c r="C1724" s="509" t="s">
        <v>27588</v>
      </c>
      <c r="D1724" s="510" t="s">
        <v>27589</v>
      </c>
      <c r="E1724" s="510" t="s">
        <v>29023</v>
      </c>
      <c r="F1724" s="232" t="s">
        <v>27590</v>
      </c>
      <c r="G1724" s="232" t="s">
        <v>22856</v>
      </c>
      <c r="H1724" s="232">
        <v>8.073829976E9</v>
      </c>
      <c r="I1724" s="509" t="s">
        <v>29024</v>
      </c>
      <c r="J1724" s="232" t="b">
        <v>0</v>
      </c>
      <c r="K1724" s="232" t="s">
        <v>22365</v>
      </c>
      <c r="L1724" s="232" t="s">
        <v>23537</v>
      </c>
      <c r="M1724" s="511"/>
      <c r="N1724" s="232"/>
      <c r="O1724" s="232"/>
      <c r="P1724" s="312"/>
      <c r="Q1724" s="312"/>
      <c r="R1724" s="312"/>
      <c r="S1724" s="312"/>
      <c r="T1724" s="312"/>
      <c r="U1724" s="312"/>
    </row>
    <row r="1725">
      <c r="A1725" s="508" t="s">
        <v>29018</v>
      </c>
      <c r="B1725" s="232" t="s">
        <v>29025</v>
      </c>
      <c r="C1725" s="509" t="s">
        <v>14988</v>
      </c>
      <c r="D1725" s="511"/>
      <c r="E1725" s="510" t="s">
        <v>29026</v>
      </c>
      <c r="F1725" s="232"/>
      <c r="G1725" s="232" t="s">
        <v>22742</v>
      </c>
      <c r="H1725" s="232">
        <v>-6.370942432E9</v>
      </c>
      <c r="I1725" s="509" t="s">
        <v>25954</v>
      </c>
      <c r="J1725" s="232" t="b">
        <v>0</v>
      </c>
      <c r="K1725" s="232" t="s">
        <v>334</v>
      </c>
      <c r="L1725" s="232"/>
      <c r="M1725" s="511"/>
      <c r="N1725" s="232"/>
      <c r="O1725" s="232"/>
      <c r="P1725" s="312"/>
      <c r="Q1725" s="312"/>
      <c r="R1725" s="312"/>
      <c r="S1725" s="312"/>
      <c r="T1725" s="312"/>
      <c r="U1725" s="312"/>
    </row>
    <row r="1726">
      <c r="A1726" s="508" t="s">
        <v>29018</v>
      </c>
      <c r="B1726" s="232" t="s">
        <v>29027</v>
      </c>
      <c r="C1726" s="509" t="s">
        <v>29028</v>
      </c>
      <c r="D1726" s="511"/>
      <c r="E1726" s="511"/>
      <c r="F1726" s="232" t="s">
        <v>29029</v>
      </c>
      <c r="G1726" s="232" t="s">
        <v>29030</v>
      </c>
      <c r="H1726" s="232">
        <v>9.328595637E9</v>
      </c>
      <c r="I1726" s="509" t="s">
        <v>29031</v>
      </c>
      <c r="J1726" s="232" t="b">
        <v>0</v>
      </c>
      <c r="K1726" s="232" t="s">
        <v>22365</v>
      </c>
      <c r="L1726" s="232" t="s">
        <v>29032</v>
      </c>
      <c r="M1726" s="511"/>
      <c r="N1726" s="232"/>
      <c r="O1726" s="232"/>
      <c r="P1726" s="312"/>
      <c r="Q1726" s="312"/>
      <c r="R1726" s="312"/>
      <c r="S1726" s="312"/>
      <c r="T1726" s="312"/>
      <c r="U1726" s="312"/>
    </row>
    <row r="1727">
      <c r="A1727" s="508" t="s">
        <v>29018</v>
      </c>
      <c r="B1727" s="232" t="s">
        <v>29033</v>
      </c>
      <c r="C1727" s="509" t="s">
        <v>29034</v>
      </c>
      <c r="D1727" s="511"/>
      <c r="E1727" s="511"/>
      <c r="F1727" s="232" t="s">
        <v>29035</v>
      </c>
      <c r="G1727" s="232" t="s">
        <v>278</v>
      </c>
      <c r="H1727" s="232">
        <v>7.439230428E9</v>
      </c>
      <c r="I1727" s="509" t="s">
        <v>29036</v>
      </c>
      <c r="J1727" s="232" t="b">
        <v>0</v>
      </c>
      <c r="K1727" s="232" t="s">
        <v>22355</v>
      </c>
      <c r="L1727" s="232"/>
      <c r="M1727" s="511"/>
      <c r="N1727" s="232"/>
      <c r="O1727" s="232"/>
      <c r="P1727" s="312"/>
      <c r="Q1727" s="312"/>
      <c r="R1727" s="312"/>
      <c r="S1727" s="312"/>
      <c r="T1727" s="312"/>
      <c r="U1727" s="312"/>
    </row>
    <row r="1728">
      <c r="A1728" s="508" t="s">
        <v>29018</v>
      </c>
      <c r="B1728" s="232" t="s">
        <v>29037</v>
      </c>
      <c r="C1728" s="509" t="s">
        <v>29038</v>
      </c>
      <c r="D1728" s="511"/>
      <c r="E1728" s="511"/>
      <c r="F1728" s="232" t="s">
        <v>29039</v>
      </c>
      <c r="G1728" s="232" t="s">
        <v>44</v>
      </c>
      <c r="H1728" s="232">
        <v>6.290214445E9</v>
      </c>
      <c r="I1728" s="509" t="s">
        <v>29040</v>
      </c>
      <c r="J1728" s="232" t="b">
        <v>0</v>
      </c>
      <c r="K1728" s="232" t="s">
        <v>22365</v>
      </c>
      <c r="L1728" s="232" t="s">
        <v>29041</v>
      </c>
      <c r="M1728" s="511"/>
      <c r="N1728" s="232"/>
      <c r="O1728" s="232"/>
      <c r="P1728" s="312"/>
      <c r="Q1728" s="312"/>
      <c r="R1728" s="312"/>
      <c r="S1728" s="312"/>
      <c r="T1728" s="312"/>
      <c r="U1728" s="312"/>
    </row>
    <row r="1729">
      <c r="A1729" s="508" t="s">
        <v>29042</v>
      </c>
      <c r="B1729" s="232" t="s">
        <v>29043</v>
      </c>
      <c r="C1729" s="509" t="s">
        <v>28188</v>
      </c>
      <c r="D1729" s="511"/>
      <c r="E1729" s="511"/>
      <c r="F1729" s="232" t="s">
        <v>28189</v>
      </c>
      <c r="G1729" s="232" t="s">
        <v>22724</v>
      </c>
      <c r="H1729" s="232">
        <v>-7.257997891E9</v>
      </c>
      <c r="I1729" s="509" t="s">
        <v>22678</v>
      </c>
      <c r="J1729" s="232" t="b">
        <v>0</v>
      </c>
      <c r="K1729" s="232" t="s">
        <v>334</v>
      </c>
      <c r="L1729" s="232"/>
      <c r="M1729" s="511"/>
      <c r="N1729" s="232"/>
      <c r="O1729" s="232"/>
      <c r="P1729" s="312"/>
      <c r="Q1729" s="312"/>
      <c r="R1729" s="312"/>
      <c r="S1729" s="312"/>
      <c r="T1729" s="312"/>
      <c r="U1729" s="312"/>
    </row>
    <row r="1730">
      <c r="A1730" s="508" t="s">
        <v>29042</v>
      </c>
      <c r="B1730" s="232" t="s">
        <v>29044</v>
      </c>
      <c r="C1730" s="509" t="s">
        <v>29045</v>
      </c>
      <c r="D1730" s="510" t="s">
        <v>29046</v>
      </c>
      <c r="E1730" s="511"/>
      <c r="F1730" s="232" t="s">
        <v>29029</v>
      </c>
      <c r="G1730" s="232" t="s">
        <v>22630</v>
      </c>
      <c r="H1730" s="232">
        <v>9.328595637E9</v>
      </c>
      <c r="I1730" s="509" t="s">
        <v>22311</v>
      </c>
      <c r="J1730" s="232" t="b">
        <v>0</v>
      </c>
      <c r="K1730" s="232" t="s">
        <v>22365</v>
      </c>
      <c r="L1730" s="232" t="s">
        <v>23537</v>
      </c>
      <c r="M1730" s="511"/>
      <c r="N1730" s="232"/>
      <c r="O1730" s="232"/>
      <c r="P1730" s="312"/>
      <c r="Q1730" s="312"/>
      <c r="R1730" s="312"/>
      <c r="S1730" s="312"/>
      <c r="T1730" s="312"/>
      <c r="U1730" s="312"/>
    </row>
    <row r="1731">
      <c r="A1731" s="508" t="s">
        <v>29042</v>
      </c>
      <c r="B1731" s="232" t="s">
        <v>29047</v>
      </c>
      <c r="C1731" s="509" t="s">
        <v>29048</v>
      </c>
      <c r="D1731" s="511"/>
      <c r="E1731" s="511"/>
      <c r="F1731" s="232" t="s">
        <v>29049</v>
      </c>
      <c r="G1731" s="232" t="s">
        <v>22844</v>
      </c>
      <c r="H1731" s="232">
        <v>7.777014391E9</v>
      </c>
      <c r="I1731" s="509" t="s">
        <v>22289</v>
      </c>
      <c r="J1731" s="232" t="b">
        <v>0</v>
      </c>
      <c r="K1731" s="232" t="s">
        <v>22365</v>
      </c>
      <c r="L1731" s="232" t="s">
        <v>23537</v>
      </c>
      <c r="M1731" s="511"/>
      <c r="N1731" s="232"/>
      <c r="O1731" s="232"/>
      <c r="P1731" s="312"/>
      <c r="Q1731" s="312"/>
      <c r="R1731" s="312"/>
      <c r="S1731" s="312"/>
      <c r="T1731" s="312"/>
      <c r="U1731" s="312"/>
    </row>
    <row r="1732">
      <c r="A1732" s="508" t="s">
        <v>29042</v>
      </c>
      <c r="B1732" s="232" t="s">
        <v>29050</v>
      </c>
      <c r="C1732" s="509" t="s">
        <v>29051</v>
      </c>
      <c r="D1732" s="511"/>
      <c r="E1732" s="511"/>
      <c r="F1732" s="232" t="s">
        <v>29052</v>
      </c>
      <c r="G1732" s="232" t="s">
        <v>2612</v>
      </c>
      <c r="H1732" s="232">
        <v>-8.984169482E9</v>
      </c>
      <c r="I1732" s="509" t="s">
        <v>23751</v>
      </c>
      <c r="J1732" s="232" t="b">
        <v>0</v>
      </c>
      <c r="K1732" s="232" t="s">
        <v>22355</v>
      </c>
      <c r="L1732" s="232"/>
      <c r="M1732" s="511"/>
      <c r="N1732" s="232"/>
      <c r="O1732" s="232"/>
      <c r="P1732" s="312"/>
      <c r="Q1732" s="312"/>
      <c r="R1732" s="312"/>
      <c r="S1732" s="312"/>
      <c r="T1732" s="312"/>
      <c r="U1732" s="312"/>
    </row>
    <row r="1733">
      <c r="A1733" s="508" t="s">
        <v>29042</v>
      </c>
      <c r="B1733" s="232" t="s">
        <v>29053</v>
      </c>
      <c r="C1733" s="509" t="s">
        <v>29054</v>
      </c>
      <c r="D1733" s="511"/>
      <c r="E1733" s="511"/>
      <c r="F1733" s="232" t="s">
        <v>29055</v>
      </c>
      <c r="G1733" s="232" t="s">
        <v>22507</v>
      </c>
      <c r="H1733" s="232">
        <v>9.08032884E9</v>
      </c>
      <c r="I1733" s="509" t="s">
        <v>23221</v>
      </c>
      <c r="J1733" s="232" t="b">
        <v>0</v>
      </c>
      <c r="K1733" s="232" t="s">
        <v>22365</v>
      </c>
      <c r="L1733" s="232" t="s">
        <v>24569</v>
      </c>
      <c r="M1733" s="511"/>
      <c r="N1733" s="232"/>
      <c r="O1733" s="232"/>
      <c r="P1733" s="312"/>
      <c r="Q1733" s="312"/>
      <c r="R1733" s="312"/>
      <c r="S1733" s="312"/>
      <c r="T1733" s="312"/>
      <c r="U1733" s="312"/>
    </row>
    <row r="1734">
      <c r="A1734" s="508" t="s">
        <v>29042</v>
      </c>
      <c r="B1734" s="232" t="s">
        <v>29056</v>
      </c>
      <c r="C1734" s="509" t="s">
        <v>11980</v>
      </c>
      <c r="D1734" s="511"/>
      <c r="E1734" s="511"/>
      <c r="F1734" s="232" t="s">
        <v>29057</v>
      </c>
      <c r="G1734" s="232" t="s">
        <v>29058</v>
      </c>
      <c r="H1734" s="232">
        <v>7.003952745E9</v>
      </c>
      <c r="I1734" s="509" t="s">
        <v>29059</v>
      </c>
      <c r="J1734" s="232" t="b">
        <v>0</v>
      </c>
      <c r="K1734" s="232" t="s">
        <v>22365</v>
      </c>
      <c r="L1734" s="232" t="s">
        <v>23537</v>
      </c>
      <c r="M1734" s="511"/>
      <c r="N1734" s="232"/>
      <c r="O1734" s="232"/>
      <c r="P1734" s="312"/>
      <c r="Q1734" s="312"/>
      <c r="R1734" s="312"/>
      <c r="S1734" s="312"/>
      <c r="T1734" s="312"/>
      <c r="U1734" s="312"/>
    </row>
    <row r="1735">
      <c r="A1735" s="508" t="s">
        <v>29042</v>
      </c>
      <c r="B1735" s="232" t="s">
        <v>29060</v>
      </c>
      <c r="C1735" s="509" t="s">
        <v>29061</v>
      </c>
      <c r="D1735" s="510" t="s">
        <v>29062</v>
      </c>
      <c r="E1735" s="511"/>
      <c r="F1735" s="232" t="s">
        <v>29063</v>
      </c>
      <c r="G1735" s="232" t="s">
        <v>3167</v>
      </c>
      <c r="H1735" s="232">
        <v>8.777568292E9</v>
      </c>
      <c r="I1735" s="509" t="s">
        <v>22860</v>
      </c>
      <c r="J1735" s="232" t="b">
        <v>0</v>
      </c>
      <c r="K1735" s="232" t="s">
        <v>22365</v>
      </c>
      <c r="L1735" s="232" t="s">
        <v>24747</v>
      </c>
      <c r="M1735" s="511"/>
      <c r="N1735" s="232"/>
      <c r="O1735" s="232"/>
      <c r="P1735" s="312"/>
      <c r="Q1735" s="312"/>
      <c r="R1735" s="312"/>
      <c r="S1735" s="312"/>
      <c r="T1735" s="312"/>
      <c r="U1735" s="312"/>
    </row>
    <row r="1736">
      <c r="A1736" s="508" t="s">
        <v>29042</v>
      </c>
      <c r="B1736" s="232" t="s">
        <v>29064</v>
      </c>
      <c r="C1736" s="509" t="s">
        <v>29065</v>
      </c>
      <c r="D1736" s="511"/>
      <c r="E1736" s="511"/>
      <c r="F1736" s="232"/>
      <c r="G1736" s="232" t="s">
        <v>44</v>
      </c>
      <c r="H1736" s="232">
        <v>9.06236265E9</v>
      </c>
      <c r="I1736" s="509" t="s">
        <v>29066</v>
      </c>
      <c r="J1736" s="232" t="b">
        <v>0</v>
      </c>
      <c r="K1736" s="232" t="s">
        <v>12092</v>
      </c>
      <c r="L1736" s="232"/>
      <c r="M1736" s="511"/>
      <c r="N1736" s="232"/>
      <c r="O1736" s="232"/>
      <c r="P1736" s="312"/>
      <c r="Q1736" s="312"/>
      <c r="R1736" s="312"/>
      <c r="S1736" s="312"/>
      <c r="T1736" s="312"/>
      <c r="U1736" s="312"/>
    </row>
    <row r="1737">
      <c r="A1737" s="508" t="s">
        <v>29067</v>
      </c>
      <c r="B1737" s="232" t="s">
        <v>29068</v>
      </c>
      <c r="C1737" s="509" t="s">
        <v>29069</v>
      </c>
      <c r="D1737" s="511"/>
      <c r="E1737" s="511"/>
      <c r="F1737" s="232" t="s">
        <v>29070</v>
      </c>
      <c r="G1737" s="232" t="s">
        <v>24028</v>
      </c>
      <c r="H1737" s="232">
        <v>-8.547151265E9</v>
      </c>
      <c r="I1737" s="509" t="s">
        <v>29071</v>
      </c>
      <c r="J1737" s="232" t="b">
        <v>0</v>
      </c>
      <c r="K1737" s="232" t="s">
        <v>27100</v>
      </c>
      <c r="L1737" s="232" t="s">
        <v>22904</v>
      </c>
      <c r="M1737" s="511"/>
      <c r="N1737" s="232"/>
      <c r="O1737" s="232"/>
      <c r="P1737" s="312"/>
      <c r="Q1737" s="312"/>
      <c r="R1737" s="312"/>
      <c r="S1737" s="312"/>
      <c r="T1737" s="312"/>
      <c r="U1737" s="312"/>
    </row>
    <row r="1738">
      <c r="A1738" s="508" t="s">
        <v>29067</v>
      </c>
      <c r="B1738" s="232" t="s">
        <v>29072</v>
      </c>
      <c r="C1738" s="509" t="s">
        <v>29073</v>
      </c>
      <c r="D1738" s="510" t="s">
        <v>1319</v>
      </c>
      <c r="E1738" s="511"/>
      <c r="F1738" s="232" t="s">
        <v>29074</v>
      </c>
      <c r="G1738" s="232" t="s">
        <v>29075</v>
      </c>
      <c r="H1738" s="232">
        <v>8.918757837E9</v>
      </c>
      <c r="I1738" s="509" t="s">
        <v>26083</v>
      </c>
      <c r="J1738" s="232" t="b">
        <v>0</v>
      </c>
      <c r="K1738" s="232" t="s">
        <v>22365</v>
      </c>
      <c r="L1738" s="232" t="s">
        <v>29076</v>
      </c>
      <c r="M1738" s="511"/>
      <c r="N1738" s="232"/>
      <c r="O1738" s="232"/>
      <c r="P1738" s="312"/>
      <c r="Q1738" s="312"/>
      <c r="R1738" s="312"/>
      <c r="S1738" s="312"/>
      <c r="T1738" s="312"/>
      <c r="U1738" s="312"/>
    </row>
    <row r="1739" ht="25.5" customHeight="1">
      <c r="A1739" s="508" t="s">
        <v>29067</v>
      </c>
      <c r="B1739" s="232" t="s">
        <v>29077</v>
      </c>
      <c r="C1739" s="509" t="s">
        <v>29078</v>
      </c>
      <c r="D1739" s="511"/>
      <c r="E1739" s="511"/>
      <c r="F1739" s="232" t="s">
        <v>29079</v>
      </c>
      <c r="G1739" s="232" t="s">
        <v>22697</v>
      </c>
      <c r="H1739" s="232">
        <v>9.700356371E9</v>
      </c>
      <c r="I1739" s="509" t="s">
        <v>22961</v>
      </c>
      <c r="J1739" s="232" t="b">
        <v>0</v>
      </c>
      <c r="K1739" s="232" t="s">
        <v>22365</v>
      </c>
      <c r="L1739" s="232" t="s">
        <v>23537</v>
      </c>
      <c r="M1739" s="511"/>
      <c r="N1739" s="232"/>
      <c r="O1739" s="232"/>
      <c r="P1739" s="312"/>
      <c r="Q1739" s="312"/>
      <c r="R1739" s="312"/>
      <c r="S1739" s="312"/>
      <c r="T1739" s="312"/>
      <c r="U1739" s="312"/>
    </row>
    <row r="1740">
      <c r="A1740" s="508" t="s">
        <v>29067</v>
      </c>
      <c r="B1740" s="232" t="s">
        <v>29080</v>
      </c>
      <c r="C1740" s="509" t="s">
        <v>29081</v>
      </c>
      <c r="D1740" s="511"/>
      <c r="E1740" s="511"/>
      <c r="F1740" s="232"/>
      <c r="G1740" s="232" t="s">
        <v>25015</v>
      </c>
      <c r="H1740" s="232">
        <v>8.383993988E9</v>
      </c>
      <c r="I1740" s="509" t="s">
        <v>22373</v>
      </c>
      <c r="J1740" s="232" t="b">
        <v>0</v>
      </c>
      <c r="K1740" s="232" t="s">
        <v>334</v>
      </c>
      <c r="L1740" s="232"/>
      <c r="M1740" s="511"/>
      <c r="N1740" s="232"/>
      <c r="O1740" s="232"/>
      <c r="P1740" s="312"/>
      <c r="Q1740" s="312"/>
      <c r="R1740" s="312"/>
      <c r="S1740" s="312"/>
      <c r="T1740" s="312"/>
      <c r="U1740" s="312"/>
    </row>
    <row r="1741">
      <c r="A1741" s="508" t="s">
        <v>29067</v>
      </c>
      <c r="B1741" s="232" t="s">
        <v>29082</v>
      </c>
      <c r="C1741" s="509" t="s">
        <v>29083</v>
      </c>
      <c r="D1741" s="511"/>
      <c r="E1741" s="511"/>
      <c r="F1741" s="232" t="s">
        <v>29084</v>
      </c>
      <c r="G1741" s="232" t="s">
        <v>22818</v>
      </c>
      <c r="H1741" s="232">
        <v>-9.265213396E9</v>
      </c>
      <c r="I1741" s="509" t="s">
        <v>22565</v>
      </c>
      <c r="J1741" s="232" t="b">
        <v>0</v>
      </c>
      <c r="K1741" s="232" t="s">
        <v>22365</v>
      </c>
      <c r="L1741" s="232" t="s">
        <v>23537</v>
      </c>
      <c r="M1741" s="511"/>
      <c r="N1741" s="232"/>
      <c r="O1741" s="232"/>
      <c r="P1741" s="312"/>
      <c r="Q1741" s="312"/>
      <c r="R1741" s="312"/>
      <c r="S1741" s="312"/>
      <c r="T1741" s="312"/>
      <c r="U1741" s="312"/>
    </row>
    <row r="1742">
      <c r="A1742" s="508" t="s">
        <v>29067</v>
      </c>
      <c r="B1742" s="232" t="s">
        <v>29085</v>
      </c>
      <c r="C1742" s="509" t="s">
        <v>29086</v>
      </c>
      <c r="D1742" s="511"/>
      <c r="E1742" s="511"/>
      <c r="F1742" s="232" t="s">
        <v>29087</v>
      </c>
      <c r="G1742" s="232" t="s">
        <v>23494</v>
      </c>
      <c r="H1742" s="232">
        <v>-9.902959402E9</v>
      </c>
      <c r="I1742" s="509" t="s">
        <v>29088</v>
      </c>
      <c r="J1742" s="232" t="b">
        <v>0</v>
      </c>
      <c r="K1742" s="232"/>
      <c r="L1742" s="232"/>
      <c r="M1742" s="511"/>
      <c r="N1742" s="232"/>
      <c r="O1742" s="232"/>
      <c r="P1742" s="312"/>
      <c r="Q1742" s="312"/>
      <c r="R1742" s="312"/>
      <c r="S1742" s="312"/>
      <c r="T1742" s="312"/>
      <c r="U1742" s="312"/>
    </row>
    <row r="1743">
      <c r="A1743" s="508" t="s">
        <v>29067</v>
      </c>
      <c r="B1743" s="232" t="s">
        <v>29089</v>
      </c>
      <c r="C1743" s="509" t="s">
        <v>29090</v>
      </c>
      <c r="D1743" s="511"/>
      <c r="E1743" s="511"/>
      <c r="F1743" s="232" t="s">
        <v>29091</v>
      </c>
      <c r="G1743" s="232" t="s">
        <v>2612</v>
      </c>
      <c r="H1743" s="232">
        <v>8.144756016E9</v>
      </c>
      <c r="I1743" s="509" t="s">
        <v>29092</v>
      </c>
      <c r="J1743" s="232" t="b">
        <v>0</v>
      </c>
      <c r="K1743" s="232" t="s">
        <v>22365</v>
      </c>
      <c r="L1743" s="232" t="s">
        <v>23537</v>
      </c>
      <c r="M1743" s="511"/>
      <c r="N1743" s="232"/>
      <c r="O1743" s="232"/>
      <c r="P1743" s="312"/>
      <c r="Q1743" s="312"/>
      <c r="R1743" s="312"/>
      <c r="S1743" s="312"/>
      <c r="T1743" s="312"/>
      <c r="U1743" s="312"/>
    </row>
    <row r="1744">
      <c r="A1744" s="508" t="s">
        <v>29067</v>
      </c>
      <c r="B1744" s="232" t="s">
        <v>29093</v>
      </c>
      <c r="C1744" s="509" t="s">
        <v>29094</v>
      </c>
      <c r="D1744" s="511"/>
      <c r="E1744" s="511"/>
      <c r="F1744" s="232" t="s">
        <v>29095</v>
      </c>
      <c r="G1744" s="232" t="s">
        <v>24</v>
      </c>
      <c r="H1744" s="232">
        <v>7.070762524E9</v>
      </c>
      <c r="I1744" s="509" t="s">
        <v>29096</v>
      </c>
      <c r="J1744" s="232" t="b">
        <v>0</v>
      </c>
      <c r="K1744" s="232" t="s">
        <v>334</v>
      </c>
      <c r="L1744" s="232"/>
      <c r="M1744" s="511"/>
      <c r="N1744" s="232"/>
      <c r="O1744" s="232"/>
      <c r="P1744" s="312"/>
      <c r="Q1744" s="312"/>
      <c r="R1744" s="312"/>
      <c r="S1744" s="312"/>
      <c r="T1744" s="312"/>
      <c r="U1744" s="312"/>
    </row>
    <row r="1745">
      <c r="A1745" s="508" t="s">
        <v>29097</v>
      </c>
      <c r="B1745" s="232" t="s">
        <v>29098</v>
      </c>
      <c r="C1745" s="509" t="s">
        <v>29099</v>
      </c>
      <c r="D1745" s="511"/>
      <c r="E1745" s="511"/>
      <c r="F1745" s="232" t="s">
        <v>29100</v>
      </c>
      <c r="G1745" s="232" t="s">
        <v>29101</v>
      </c>
      <c r="H1745" s="232">
        <v>9.337866849E9</v>
      </c>
      <c r="I1745" s="509" t="s">
        <v>23813</v>
      </c>
      <c r="J1745" s="232" t="b">
        <v>0</v>
      </c>
      <c r="K1745" s="232" t="s">
        <v>22365</v>
      </c>
      <c r="L1745" s="232" t="s">
        <v>23537</v>
      </c>
      <c r="M1745" s="511"/>
      <c r="N1745" s="232"/>
      <c r="O1745" s="232"/>
      <c r="P1745" s="312"/>
      <c r="Q1745" s="312"/>
      <c r="R1745" s="312"/>
      <c r="S1745" s="312"/>
      <c r="T1745" s="312"/>
      <c r="U1745" s="312"/>
    </row>
    <row r="1746">
      <c r="A1746" s="508" t="s">
        <v>29097</v>
      </c>
      <c r="B1746" s="232" t="s">
        <v>29102</v>
      </c>
      <c r="C1746" s="509" t="s">
        <v>7499</v>
      </c>
      <c r="D1746" s="511"/>
      <c r="E1746" s="511"/>
      <c r="F1746" s="232" t="s">
        <v>29103</v>
      </c>
      <c r="G1746" s="232" t="s">
        <v>507</v>
      </c>
      <c r="H1746" s="232">
        <v>8.390004112E9</v>
      </c>
      <c r="I1746" s="509" t="s">
        <v>22354</v>
      </c>
      <c r="J1746" s="232" t="b">
        <v>0</v>
      </c>
      <c r="K1746" s="232" t="s">
        <v>334</v>
      </c>
      <c r="L1746" s="232"/>
      <c r="M1746" s="511"/>
      <c r="N1746" s="232"/>
      <c r="O1746" s="232"/>
      <c r="P1746" s="312"/>
      <c r="Q1746" s="312"/>
      <c r="R1746" s="312"/>
      <c r="S1746" s="312"/>
      <c r="T1746" s="312"/>
      <c r="U1746" s="312"/>
    </row>
    <row r="1747">
      <c r="A1747" s="508" t="s">
        <v>29097</v>
      </c>
      <c r="B1747" s="232" t="s">
        <v>29104</v>
      </c>
      <c r="C1747" s="509" t="s">
        <v>14988</v>
      </c>
      <c r="D1747" s="510" t="s">
        <v>29105</v>
      </c>
      <c r="E1747" s="510">
        <v>5.0</v>
      </c>
      <c r="F1747" s="232" t="s">
        <v>29106</v>
      </c>
      <c r="G1747" s="232" t="s">
        <v>22564</v>
      </c>
      <c r="H1747" s="232">
        <v>7.058213629E9</v>
      </c>
      <c r="I1747" s="509" t="s">
        <v>29107</v>
      </c>
      <c r="J1747" s="232" t="b">
        <v>0</v>
      </c>
      <c r="K1747" s="232" t="s">
        <v>22365</v>
      </c>
      <c r="L1747" s="232"/>
      <c r="M1747" s="511"/>
      <c r="N1747" s="232"/>
      <c r="O1747" s="232"/>
      <c r="P1747" s="312"/>
      <c r="Q1747" s="312"/>
      <c r="R1747" s="312"/>
      <c r="S1747" s="312"/>
      <c r="T1747" s="312"/>
      <c r="U1747" s="312"/>
    </row>
    <row r="1748">
      <c r="A1748" s="508" t="s">
        <v>29097</v>
      </c>
      <c r="B1748" s="232" t="s">
        <v>29108</v>
      </c>
      <c r="C1748" s="509" t="s">
        <v>29109</v>
      </c>
      <c r="D1748" s="510" t="s">
        <v>29110</v>
      </c>
      <c r="E1748" s="510">
        <v>10.0</v>
      </c>
      <c r="F1748" s="232" t="s">
        <v>29111</v>
      </c>
      <c r="G1748" s="232" t="s">
        <v>398</v>
      </c>
      <c r="H1748" s="232">
        <v>6.261770351E9</v>
      </c>
      <c r="I1748" s="509" t="s">
        <v>22289</v>
      </c>
      <c r="J1748" s="232" t="b">
        <v>0</v>
      </c>
      <c r="K1748" s="232" t="s">
        <v>27100</v>
      </c>
      <c r="L1748" s="232"/>
      <c r="M1748" s="511"/>
      <c r="N1748" s="232"/>
      <c r="O1748" s="232"/>
      <c r="P1748" s="312"/>
      <c r="Q1748" s="312"/>
      <c r="R1748" s="312"/>
      <c r="S1748" s="312"/>
      <c r="T1748" s="312"/>
      <c r="U1748" s="312"/>
    </row>
    <row r="1749">
      <c r="A1749" s="508" t="s">
        <v>29097</v>
      </c>
      <c r="B1749" s="232" t="s">
        <v>29112</v>
      </c>
      <c r="C1749" s="509" t="s">
        <v>29113</v>
      </c>
      <c r="D1749" s="511"/>
      <c r="E1749" s="510" t="s">
        <v>29114</v>
      </c>
      <c r="F1749" s="232"/>
      <c r="G1749" s="232" t="s">
        <v>22337</v>
      </c>
      <c r="H1749" s="232">
        <v>8.114612644E9</v>
      </c>
      <c r="I1749" s="509" t="s">
        <v>22289</v>
      </c>
      <c r="J1749" s="232" t="b">
        <v>0</v>
      </c>
      <c r="K1749" s="232" t="s">
        <v>27100</v>
      </c>
      <c r="L1749" s="232"/>
      <c r="M1749" s="511"/>
      <c r="N1749" s="232"/>
      <c r="O1749" s="232"/>
      <c r="P1749" s="312"/>
      <c r="Q1749" s="312"/>
      <c r="R1749" s="312"/>
      <c r="S1749" s="312"/>
      <c r="T1749" s="312"/>
      <c r="U1749" s="312"/>
    </row>
    <row r="1750">
      <c r="A1750" s="508" t="s">
        <v>29097</v>
      </c>
      <c r="B1750" s="232" t="s">
        <v>29115</v>
      </c>
      <c r="C1750" s="509" t="s">
        <v>18850</v>
      </c>
      <c r="D1750" s="510" t="s">
        <v>29116</v>
      </c>
      <c r="E1750" s="511"/>
      <c r="F1750" s="232" t="s">
        <v>29117</v>
      </c>
      <c r="G1750" s="232" t="s">
        <v>22697</v>
      </c>
      <c r="H1750" s="232">
        <v>9.848822432E9</v>
      </c>
      <c r="I1750" s="509" t="s">
        <v>29118</v>
      </c>
      <c r="J1750" s="232" t="b">
        <v>0</v>
      </c>
      <c r="K1750" s="232" t="s">
        <v>22365</v>
      </c>
      <c r="L1750" s="232"/>
      <c r="M1750" s="511"/>
      <c r="N1750" s="232"/>
      <c r="O1750" s="232"/>
      <c r="P1750" s="312"/>
      <c r="Q1750" s="312"/>
      <c r="R1750" s="312"/>
      <c r="S1750" s="312"/>
      <c r="T1750" s="312"/>
      <c r="U1750" s="312"/>
    </row>
    <row r="1751">
      <c r="A1751" s="508" t="s">
        <v>29097</v>
      </c>
      <c r="B1751" s="232" t="s">
        <v>29119</v>
      </c>
      <c r="C1751" s="509" t="s">
        <v>29120</v>
      </c>
      <c r="D1751" s="511"/>
      <c r="E1751" s="510">
        <v>50.0</v>
      </c>
      <c r="F1751" s="232" t="s">
        <v>29121</v>
      </c>
      <c r="G1751" s="232" t="s">
        <v>23598</v>
      </c>
      <c r="H1751" s="232">
        <v>8.651928426E9</v>
      </c>
      <c r="I1751" s="509" t="s">
        <v>22289</v>
      </c>
      <c r="J1751" s="232" t="b">
        <v>0</v>
      </c>
      <c r="K1751" s="232" t="s">
        <v>22365</v>
      </c>
      <c r="L1751" s="232"/>
      <c r="M1751" s="511"/>
      <c r="N1751" s="232"/>
      <c r="O1751" s="232"/>
      <c r="P1751" s="312"/>
      <c r="Q1751" s="312"/>
      <c r="R1751" s="312"/>
      <c r="S1751" s="312"/>
      <c r="T1751" s="312"/>
      <c r="U1751" s="312"/>
    </row>
    <row r="1752">
      <c r="A1752" s="508" t="s">
        <v>29097</v>
      </c>
      <c r="B1752" s="232" t="s">
        <v>29122</v>
      </c>
      <c r="C1752" s="509" t="s">
        <v>29123</v>
      </c>
      <c r="D1752" s="511"/>
      <c r="E1752" s="511"/>
      <c r="F1752" s="232" t="s">
        <v>29124</v>
      </c>
      <c r="G1752" s="232" t="s">
        <v>822</v>
      </c>
      <c r="H1752" s="232">
        <v>9.641154483E9</v>
      </c>
      <c r="I1752" s="509" t="s">
        <v>22373</v>
      </c>
      <c r="J1752" s="232" t="b">
        <v>0</v>
      </c>
      <c r="K1752" s="232" t="s">
        <v>334</v>
      </c>
      <c r="L1752" s="232"/>
      <c r="M1752" s="511"/>
      <c r="N1752" s="232"/>
      <c r="O1752" s="232"/>
      <c r="P1752" s="312"/>
      <c r="Q1752" s="312"/>
      <c r="R1752" s="312"/>
      <c r="S1752" s="312"/>
      <c r="T1752" s="312"/>
      <c r="U1752" s="312"/>
    </row>
    <row r="1753">
      <c r="A1753" s="508" t="s">
        <v>29097</v>
      </c>
      <c r="B1753" s="232" t="s">
        <v>29125</v>
      </c>
      <c r="C1753" s="509" t="s">
        <v>29126</v>
      </c>
      <c r="D1753" s="511"/>
      <c r="E1753" s="511"/>
      <c r="F1753" s="232" t="s">
        <v>29127</v>
      </c>
      <c r="G1753" s="232" t="s">
        <v>906</v>
      </c>
      <c r="H1753" s="232">
        <v>9.004023023E9</v>
      </c>
      <c r="I1753" s="509" t="s">
        <v>29128</v>
      </c>
      <c r="J1753" s="232" t="b">
        <v>0</v>
      </c>
      <c r="K1753" s="232" t="s">
        <v>22365</v>
      </c>
      <c r="L1753" s="232" t="s">
        <v>29129</v>
      </c>
      <c r="M1753" s="511"/>
      <c r="N1753" s="232"/>
      <c r="O1753" s="232"/>
      <c r="P1753" s="312"/>
      <c r="Q1753" s="312"/>
      <c r="R1753" s="312"/>
      <c r="S1753" s="312"/>
      <c r="T1753" s="312"/>
      <c r="U1753" s="312"/>
    </row>
    <row r="1754">
      <c r="A1754" s="508" t="s">
        <v>29097</v>
      </c>
      <c r="B1754" s="232" t="s">
        <v>29130</v>
      </c>
      <c r="C1754" s="509" t="s">
        <v>28722</v>
      </c>
      <c r="D1754" s="510" t="s">
        <v>29131</v>
      </c>
      <c r="E1754" s="511"/>
      <c r="F1754" s="232" t="s">
        <v>29132</v>
      </c>
      <c r="G1754" s="232" t="s">
        <v>22821</v>
      </c>
      <c r="H1754" s="232">
        <v>-9.494182755E9</v>
      </c>
      <c r="I1754" s="509" t="s">
        <v>25637</v>
      </c>
      <c r="J1754" s="232" t="b">
        <v>0</v>
      </c>
      <c r="K1754" s="232" t="s">
        <v>22365</v>
      </c>
      <c r="L1754" s="232"/>
      <c r="M1754" s="511"/>
      <c r="N1754" s="232"/>
      <c r="O1754" s="232"/>
      <c r="P1754" s="312"/>
      <c r="Q1754" s="312"/>
      <c r="R1754" s="312"/>
      <c r="S1754" s="312"/>
      <c r="T1754" s="312"/>
      <c r="U1754" s="312"/>
    </row>
    <row r="1755">
      <c r="A1755" s="508" t="s">
        <v>29133</v>
      </c>
      <c r="B1755" s="232" t="s">
        <v>29134</v>
      </c>
      <c r="C1755" s="509" t="s">
        <v>29135</v>
      </c>
      <c r="D1755" s="511"/>
      <c r="E1755" s="511"/>
      <c r="F1755" s="232"/>
      <c r="G1755" s="232" t="s">
        <v>29136</v>
      </c>
      <c r="H1755" s="232">
        <v>9.957355278E9</v>
      </c>
      <c r="I1755" s="509" t="s">
        <v>29137</v>
      </c>
      <c r="J1755" s="232" t="b">
        <v>0</v>
      </c>
      <c r="K1755" s="232" t="s">
        <v>22349</v>
      </c>
      <c r="L1755" s="232" t="s">
        <v>29138</v>
      </c>
      <c r="M1755" s="511"/>
      <c r="N1755" s="232"/>
      <c r="O1755" s="232"/>
      <c r="P1755" s="312"/>
      <c r="Q1755" s="312"/>
      <c r="R1755" s="312"/>
      <c r="S1755" s="312"/>
      <c r="T1755" s="312"/>
      <c r="U1755" s="312"/>
    </row>
    <row r="1756">
      <c r="A1756" s="508" t="s">
        <v>29133</v>
      </c>
      <c r="B1756" s="232" t="s">
        <v>29139</v>
      </c>
      <c r="C1756" s="509" t="s">
        <v>29140</v>
      </c>
      <c r="D1756" s="511"/>
      <c r="E1756" s="511"/>
      <c r="F1756" s="232"/>
      <c r="G1756" s="232" t="s">
        <v>29141</v>
      </c>
      <c r="H1756" s="232">
        <v>9.163312154E9</v>
      </c>
      <c r="I1756" s="509" t="s">
        <v>23871</v>
      </c>
      <c r="J1756" s="232" t="b">
        <v>0</v>
      </c>
      <c r="K1756" s="232" t="s">
        <v>22365</v>
      </c>
      <c r="L1756" s="232"/>
      <c r="M1756" s="511"/>
      <c r="N1756" s="232"/>
      <c r="O1756" s="232"/>
      <c r="P1756" s="312"/>
      <c r="Q1756" s="312"/>
      <c r="R1756" s="312"/>
      <c r="S1756" s="312"/>
      <c r="T1756" s="312"/>
      <c r="U1756" s="312"/>
    </row>
    <row r="1757">
      <c r="A1757" s="513" t="s">
        <v>29133</v>
      </c>
      <c r="B1757" s="514" t="s">
        <v>29142</v>
      </c>
      <c r="C1757" s="515" t="s">
        <v>29143</v>
      </c>
      <c r="D1757" s="517"/>
      <c r="E1757" s="517"/>
      <c r="F1757" s="514"/>
      <c r="G1757" s="514" t="s">
        <v>29144</v>
      </c>
      <c r="H1757" s="514">
        <v>7.085405349E9</v>
      </c>
      <c r="I1757" s="515" t="s">
        <v>23871</v>
      </c>
      <c r="J1757" s="514" t="b">
        <v>0</v>
      </c>
      <c r="K1757" s="514" t="s">
        <v>22365</v>
      </c>
      <c r="L1757" s="514" t="s">
        <v>29145</v>
      </c>
      <c r="M1757" s="511"/>
      <c r="N1757" s="232"/>
      <c r="O1757" s="232"/>
      <c r="P1757" s="312"/>
      <c r="Q1757" s="312"/>
      <c r="R1757" s="312"/>
      <c r="S1757" s="312"/>
      <c r="T1757" s="312"/>
      <c r="U1757" s="312"/>
    </row>
    <row r="1758">
      <c r="A1758" s="508" t="s">
        <v>29133</v>
      </c>
      <c r="B1758" s="232" t="s">
        <v>29146</v>
      </c>
      <c r="C1758" s="509" t="s">
        <v>29147</v>
      </c>
      <c r="D1758" s="510" t="s">
        <v>29148</v>
      </c>
      <c r="E1758" s="511"/>
      <c r="F1758" s="232" t="s">
        <v>29149</v>
      </c>
      <c r="G1758" s="232" t="s">
        <v>9266</v>
      </c>
      <c r="H1758" s="232">
        <v>-9.745151552E9</v>
      </c>
      <c r="I1758" s="509" t="s">
        <v>23503</v>
      </c>
      <c r="J1758" s="232" t="b">
        <v>0</v>
      </c>
      <c r="K1758" s="232" t="s">
        <v>22365</v>
      </c>
      <c r="L1758" s="232" t="s">
        <v>23537</v>
      </c>
      <c r="M1758" s="511"/>
      <c r="N1758" s="232"/>
      <c r="O1758" s="232"/>
      <c r="P1758" s="312"/>
      <c r="Q1758" s="312"/>
      <c r="R1758" s="312"/>
      <c r="S1758" s="312"/>
      <c r="T1758" s="312"/>
      <c r="U1758" s="312"/>
    </row>
    <row r="1759">
      <c r="A1759" s="508" t="s">
        <v>29133</v>
      </c>
      <c r="B1759" s="232" t="s">
        <v>29150</v>
      </c>
      <c r="C1759" s="509" t="s">
        <v>29151</v>
      </c>
      <c r="D1759" s="510" t="s">
        <v>29152</v>
      </c>
      <c r="E1759" s="511"/>
      <c r="F1759" s="232" t="s">
        <v>29153</v>
      </c>
      <c r="G1759" s="232" t="s">
        <v>22507</v>
      </c>
      <c r="H1759" s="232">
        <v>-9.962944435E9</v>
      </c>
      <c r="I1759" s="509" t="s">
        <v>29154</v>
      </c>
      <c r="J1759" s="232" t="b">
        <v>0</v>
      </c>
      <c r="K1759" s="232" t="s">
        <v>22365</v>
      </c>
      <c r="L1759" s="232" t="s">
        <v>29155</v>
      </c>
      <c r="M1759" s="511"/>
      <c r="N1759" s="232"/>
      <c r="O1759" s="232"/>
      <c r="P1759" s="312"/>
      <c r="Q1759" s="312"/>
      <c r="R1759" s="312"/>
      <c r="S1759" s="312"/>
      <c r="T1759" s="312"/>
      <c r="U1759" s="312"/>
    </row>
    <row r="1760">
      <c r="A1760" s="508" t="s">
        <v>29133</v>
      </c>
      <c r="B1760" s="232" t="s">
        <v>29156</v>
      </c>
      <c r="C1760" s="509" t="s">
        <v>29157</v>
      </c>
      <c r="D1760" s="511"/>
      <c r="E1760" s="511"/>
      <c r="F1760" s="232" t="s">
        <v>29158</v>
      </c>
      <c r="G1760" s="232" t="s">
        <v>25469</v>
      </c>
      <c r="H1760" s="232">
        <v>9.827919329E9</v>
      </c>
      <c r="I1760" s="509" t="s">
        <v>29159</v>
      </c>
      <c r="J1760" s="232" t="b">
        <v>0</v>
      </c>
      <c r="K1760" s="232" t="s">
        <v>12092</v>
      </c>
      <c r="L1760" s="232"/>
      <c r="M1760" s="511"/>
      <c r="N1760" s="232"/>
      <c r="O1760" s="232"/>
      <c r="P1760" s="312"/>
      <c r="Q1760" s="312"/>
      <c r="R1760" s="312"/>
      <c r="S1760" s="312"/>
      <c r="T1760" s="312"/>
      <c r="U1760" s="312"/>
    </row>
    <row r="1761">
      <c r="A1761" s="508" t="s">
        <v>29133</v>
      </c>
      <c r="B1761" s="232" t="s">
        <v>29160</v>
      </c>
      <c r="C1761" s="509" t="s">
        <v>29161</v>
      </c>
      <c r="D1761" s="510" t="s">
        <v>29162</v>
      </c>
      <c r="E1761" s="511"/>
      <c r="F1761" s="232" t="s">
        <v>29163</v>
      </c>
      <c r="G1761" s="232" t="s">
        <v>2682</v>
      </c>
      <c r="H1761" s="232">
        <v>9.663948427E9</v>
      </c>
      <c r="I1761" s="509" t="s">
        <v>29164</v>
      </c>
      <c r="J1761" s="232" t="b">
        <v>0</v>
      </c>
      <c r="K1761" s="232" t="s">
        <v>22365</v>
      </c>
      <c r="L1761" s="232"/>
      <c r="M1761" s="511"/>
      <c r="N1761" s="232"/>
      <c r="O1761" s="232"/>
      <c r="P1761" s="312"/>
      <c r="Q1761" s="312"/>
      <c r="R1761" s="312"/>
      <c r="S1761" s="312"/>
      <c r="T1761" s="312"/>
      <c r="U1761" s="312"/>
    </row>
    <row r="1762">
      <c r="A1762" s="508" t="s">
        <v>29133</v>
      </c>
      <c r="B1762" s="232" t="s">
        <v>29165</v>
      </c>
      <c r="C1762" s="509" t="s">
        <v>29166</v>
      </c>
      <c r="D1762" s="511"/>
      <c r="E1762" s="511"/>
      <c r="F1762" s="232" t="s">
        <v>29167</v>
      </c>
      <c r="G1762" s="232" t="s">
        <v>29168</v>
      </c>
      <c r="H1762" s="232">
        <v>9.337878589E9</v>
      </c>
      <c r="I1762" s="509" t="s">
        <v>25889</v>
      </c>
      <c r="J1762" s="232" t="b">
        <v>0</v>
      </c>
      <c r="K1762" s="232" t="s">
        <v>22365</v>
      </c>
      <c r="L1762" s="232"/>
      <c r="M1762" s="511"/>
      <c r="N1762" s="232"/>
      <c r="O1762" s="232"/>
      <c r="P1762" s="312"/>
      <c r="Q1762" s="312"/>
      <c r="R1762" s="312"/>
      <c r="S1762" s="312"/>
      <c r="T1762" s="312"/>
      <c r="U1762" s="312"/>
    </row>
    <row r="1763">
      <c r="A1763" s="508" t="s">
        <v>29133</v>
      </c>
      <c r="B1763" s="232" t="s">
        <v>29169</v>
      </c>
      <c r="C1763" s="509" t="s">
        <v>29010</v>
      </c>
      <c r="D1763" s="511"/>
      <c r="E1763" s="511"/>
      <c r="F1763" s="232" t="s">
        <v>29011</v>
      </c>
      <c r="G1763" s="232" t="s">
        <v>29012</v>
      </c>
      <c r="H1763" s="232">
        <v>9.389950322E9</v>
      </c>
      <c r="I1763" s="509" t="s">
        <v>25995</v>
      </c>
      <c r="J1763" s="232" t="b">
        <v>0</v>
      </c>
      <c r="K1763" s="232" t="s">
        <v>22355</v>
      </c>
      <c r="L1763" s="232"/>
      <c r="M1763" s="511"/>
      <c r="N1763" s="232"/>
      <c r="O1763" s="232"/>
      <c r="P1763" s="312"/>
      <c r="Q1763" s="312"/>
      <c r="R1763" s="312"/>
      <c r="S1763" s="312"/>
      <c r="T1763" s="312"/>
      <c r="U1763" s="312"/>
    </row>
    <row r="1764">
      <c r="A1764" s="508" t="s">
        <v>29133</v>
      </c>
      <c r="B1764" s="232" t="s">
        <v>29170</v>
      </c>
      <c r="C1764" s="509" t="s">
        <v>29171</v>
      </c>
      <c r="D1764" s="511"/>
      <c r="E1764" s="511"/>
      <c r="F1764" s="232" t="s">
        <v>29172</v>
      </c>
      <c r="G1764" s="232" t="s">
        <v>15578</v>
      </c>
      <c r="H1764" s="232">
        <v>9.800405908E9</v>
      </c>
      <c r="I1764" s="509" t="s">
        <v>23792</v>
      </c>
      <c r="J1764" s="232" t="b">
        <v>0</v>
      </c>
      <c r="K1764" s="232" t="s">
        <v>12092</v>
      </c>
      <c r="L1764" s="232"/>
      <c r="M1764" s="511"/>
      <c r="N1764" s="232"/>
      <c r="O1764" s="232"/>
      <c r="P1764" s="312"/>
      <c r="Q1764" s="312"/>
      <c r="R1764" s="312"/>
      <c r="S1764" s="312"/>
      <c r="T1764" s="312"/>
      <c r="U1764" s="312"/>
    </row>
    <row r="1765">
      <c r="A1765" s="508" t="s">
        <v>29133</v>
      </c>
      <c r="B1765" s="232" t="s">
        <v>29173</v>
      </c>
      <c r="C1765" s="509" t="s">
        <v>29174</v>
      </c>
      <c r="D1765" s="511"/>
      <c r="E1765" s="511"/>
      <c r="F1765" s="232" t="s">
        <v>29175</v>
      </c>
      <c r="G1765" s="232" t="s">
        <v>44</v>
      </c>
      <c r="H1765" s="232">
        <v>7.980987424E9</v>
      </c>
      <c r="I1765" s="509" t="s">
        <v>29176</v>
      </c>
      <c r="J1765" s="232" t="b">
        <v>0</v>
      </c>
      <c r="K1765" s="232" t="s">
        <v>334</v>
      </c>
      <c r="L1765" s="232"/>
      <c r="M1765" s="511"/>
      <c r="N1765" s="232"/>
      <c r="O1765" s="232"/>
      <c r="P1765" s="312"/>
      <c r="Q1765" s="312"/>
      <c r="R1765" s="312"/>
      <c r="S1765" s="312"/>
      <c r="T1765" s="312"/>
      <c r="U1765" s="312"/>
    </row>
    <row r="1766">
      <c r="A1766" s="508" t="s">
        <v>29133</v>
      </c>
      <c r="B1766" s="232" t="s">
        <v>29177</v>
      </c>
      <c r="C1766" s="509" t="s">
        <v>29178</v>
      </c>
      <c r="D1766" s="511"/>
      <c r="E1766" s="511"/>
      <c r="F1766" s="232" t="s">
        <v>29179</v>
      </c>
      <c r="G1766" s="232" t="s">
        <v>29180</v>
      </c>
      <c r="H1766" s="232">
        <v>6.371831538E9</v>
      </c>
      <c r="I1766" s="509" t="s">
        <v>25751</v>
      </c>
      <c r="J1766" s="232" t="b">
        <v>0</v>
      </c>
      <c r="K1766" s="232" t="s">
        <v>22355</v>
      </c>
      <c r="L1766" s="232" t="s">
        <v>27338</v>
      </c>
      <c r="M1766" s="511"/>
      <c r="N1766" s="232"/>
      <c r="O1766" s="232"/>
      <c r="P1766" s="312"/>
      <c r="Q1766" s="312"/>
      <c r="R1766" s="312"/>
      <c r="S1766" s="312"/>
      <c r="T1766" s="312"/>
      <c r="U1766" s="312"/>
    </row>
    <row r="1767">
      <c r="A1767" s="508" t="s">
        <v>29181</v>
      </c>
      <c r="B1767" s="232" t="s">
        <v>29182</v>
      </c>
      <c r="C1767" s="509" t="s">
        <v>29183</v>
      </c>
      <c r="D1767" s="510" t="s">
        <v>29184</v>
      </c>
      <c r="E1767" s="511"/>
      <c r="F1767" s="232" t="s">
        <v>29185</v>
      </c>
      <c r="G1767" s="232" t="s">
        <v>507</v>
      </c>
      <c r="H1767" s="232">
        <v>-8.591502966E9</v>
      </c>
      <c r="I1767" s="509" t="s">
        <v>25637</v>
      </c>
      <c r="J1767" s="232" t="b">
        <v>0</v>
      </c>
      <c r="K1767" s="232" t="s">
        <v>22365</v>
      </c>
      <c r="L1767" s="232"/>
      <c r="M1767" s="511"/>
      <c r="N1767" s="232"/>
      <c r="O1767" s="232"/>
      <c r="P1767" s="312"/>
      <c r="Q1767" s="312"/>
      <c r="R1767" s="312"/>
      <c r="S1767" s="312"/>
      <c r="T1767" s="312"/>
      <c r="U1767" s="312"/>
    </row>
    <row r="1768">
      <c r="A1768" s="508" t="s">
        <v>29181</v>
      </c>
      <c r="B1768" s="232" t="s">
        <v>29186</v>
      </c>
      <c r="C1768" s="509" t="s">
        <v>29187</v>
      </c>
      <c r="D1768" s="511"/>
      <c r="E1768" s="511"/>
      <c r="F1768" s="232"/>
      <c r="G1768" s="232" t="s">
        <v>977</v>
      </c>
      <c r="H1768" s="232">
        <v>7.870589615E9</v>
      </c>
      <c r="I1768" s="509" t="s">
        <v>22278</v>
      </c>
      <c r="J1768" s="232" t="b">
        <v>0</v>
      </c>
      <c r="K1768" s="232" t="s">
        <v>22365</v>
      </c>
      <c r="L1768" s="232" t="s">
        <v>23537</v>
      </c>
      <c r="M1768" s="511"/>
      <c r="N1768" s="232"/>
      <c r="O1768" s="232"/>
      <c r="P1768" s="312"/>
      <c r="Q1768" s="312"/>
      <c r="R1768" s="312"/>
      <c r="S1768" s="312"/>
      <c r="T1768" s="312"/>
      <c r="U1768" s="312"/>
    </row>
    <row r="1769">
      <c r="A1769" s="508" t="s">
        <v>29181</v>
      </c>
      <c r="B1769" s="232" t="s">
        <v>29188</v>
      </c>
      <c r="C1769" s="509" t="s">
        <v>29189</v>
      </c>
      <c r="D1769" s="511"/>
      <c r="E1769" s="511"/>
      <c r="F1769" s="232" t="s">
        <v>29190</v>
      </c>
      <c r="G1769" s="232" t="s">
        <v>29191</v>
      </c>
      <c r="H1769" s="232">
        <v>6.003572504E9</v>
      </c>
      <c r="I1769" s="509" t="s">
        <v>29192</v>
      </c>
      <c r="J1769" s="232" t="b">
        <v>0</v>
      </c>
      <c r="K1769" s="232" t="s">
        <v>334</v>
      </c>
      <c r="L1769" s="232"/>
      <c r="M1769" s="511"/>
      <c r="N1769" s="232"/>
      <c r="O1769" s="232"/>
      <c r="P1769" s="312"/>
      <c r="Q1769" s="312"/>
      <c r="R1769" s="312"/>
      <c r="S1769" s="312"/>
      <c r="T1769" s="312"/>
      <c r="U1769" s="312"/>
    </row>
    <row r="1770">
      <c r="A1770" s="508" t="s">
        <v>29181</v>
      </c>
      <c r="B1770" s="232" t="s">
        <v>29193</v>
      </c>
      <c r="C1770" s="509" t="s">
        <v>29194</v>
      </c>
      <c r="D1770" s="511"/>
      <c r="E1770" s="511"/>
      <c r="F1770" s="232" t="s">
        <v>29195</v>
      </c>
      <c r="G1770" s="232" t="s">
        <v>2612</v>
      </c>
      <c r="H1770" s="232">
        <v>6.370398171E9</v>
      </c>
      <c r="I1770" s="509" t="s">
        <v>28978</v>
      </c>
      <c r="J1770" s="232" t="b">
        <v>0</v>
      </c>
      <c r="K1770" s="232" t="s">
        <v>22365</v>
      </c>
      <c r="L1770" s="232"/>
      <c r="M1770" s="511"/>
      <c r="N1770" s="232"/>
      <c r="O1770" s="232"/>
      <c r="P1770" s="312"/>
      <c r="Q1770" s="312"/>
      <c r="R1770" s="312"/>
      <c r="S1770" s="312"/>
      <c r="T1770" s="312"/>
      <c r="U1770" s="312"/>
    </row>
    <row r="1771">
      <c r="A1771" s="508" t="s">
        <v>29181</v>
      </c>
      <c r="B1771" s="232" t="s">
        <v>29196</v>
      </c>
      <c r="C1771" s="509" t="s">
        <v>29197</v>
      </c>
      <c r="D1771" s="510" t="s">
        <v>29198</v>
      </c>
      <c r="E1771" s="511"/>
      <c r="F1771" s="232" t="s">
        <v>29199</v>
      </c>
      <c r="G1771" s="232"/>
      <c r="H1771" s="232">
        <v>8.098811922E9</v>
      </c>
      <c r="I1771" s="528" t="s">
        <v>29200</v>
      </c>
      <c r="J1771" s="232" t="b">
        <v>0</v>
      </c>
      <c r="K1771" s="232" t="s">
        <v>22365</v>
      </c>
      <c r="L1771" s="232" t="s">
        <v>23537</v>
      </c>
      <c r="M1771" s="511"/>
      <c r="N1771" s="232"/>
      <c r="O1771" s="232"/>
      <c r="P1771" s="312"/>
      <c r="Q1771" s="312"/>
      <c r="R1771" s="312"/>
      <c r="S1771" s="312"/>
      <c r="T1771" s="312"/>
      <c r="U1771" s="312"/>
    </row>
    <row r="1772">
      <c r="A1772" s="513" t="s">
        <v>29181</v>
      </c>
      <c r="B1772" s="514" t="s">
        <v>29201</v>
      </c>
      <c r="C1772" s="515" t="s">
        <v>29202</v>
      </c>
      <c r="D1772" s="530" t="s">
        <v>29203</v>
      </c>
      <c r="E1772" s="517"/>
      <c r="F1772" s="514" t="s">
        <v>29204</v>
      </c>
      <c r="G1772" s="514" t="s">
        <v>1414</v>
      </c>
      <c r="H1772" s="514">
        <v>9.800061403E9</v>
      </c>
      <c r="I1772" s="515" t="s">
        <v>29205</v>
      </c>
      <c r="J1772" s="514" t="b">
        <v>0</v>
      </c>
      <c r="K1772" s="542" t="s">
        <v>22312</v>
      </c>
      <c r="L1772" s="514" t="s">
        <v>29206</v>
      </c>
      <c r="M1772" s="511"/>
      <c r="N1772" s="232"/>
      <c r="O1772" s="232"/>
      <c r="P1772" s="312"/>
      <c r="Q1772" s="312"/>
      <c r="R1772" s="312"/>
      <c r="S1772" s="312"/>
      <c r="T1772" s="312"/>
      <c r="U1772" s="312"/>
    </row>
    <row r="1773">
      <c r="A1773" s="508" t="s">
        <v>29181</v>
      </c>
      <c r="B1773" s="232" t="s">
        <v>29207</v>
      </c>
      <c r="C1773" s="509" t="s">
        <v>29208</v>
      </c>
      <c r="D1773" s="511"/>
      <c r="E1773" s="511"/>
      <c r="F1773" s="232" t="s">
        <v>29209</v>
      </c>
      <c r="G1773" s="232" t="s">
        <v>29210</v>
      </c>
      <c r="H1773" s="232">
        <v>7.32580842E9</v>
      </c>
      <c r="I1773" s="509" t="s">
        <v>29211</v>
      </c>
      <c r="J1773" s="232" t="b">
        <v>0</v>
      </c>
      <c r="K1773" s="232" t="s">
        <v>22365</v>
      </c>
      <c r="L1773" s="232"/>
      <c r="M1773" s="511"/>
      <c r="N1773" s="232"/>
      <c r="O1773" s="232"/>
      <c r="P1773" s="312"/>
      <c r="Q1773" s="312"/>
      <c r="R1773" s="312"/>
      <c r="S1773" s="312"/>
      <c r="T1773" s="312"/>
      <c r="U1773" s="312"/>
    </row>
    <row r="1774">
      <c r="A1774" s="508" t="s">
        <v>29181</v>
      </c>
      <c r="B1774" s="232" t="s">
        <v>29212</v>
      </c>
      <c r="C1774" s="509" t="s">
        <v>29213</v>
      </c>
      <c r="D1774" s="511"/>
      <c r="E1774" s="511"/>
      <c r="F1774" s="232" t="s">
        <v>29214</v>
      </c>
      <c r="G1774" s="232" t="s">
        <v>638</v>
      </c>
      <c r="H1774" s="232">
        <v>9.80086317E9</v>
      </c>
      <c r="I1774" s="509" t="s">
        <v>29215</v>
      </c>
      <c r="J1774" s="232" t="b">
        <v>0</v>
      </c>
      <c r="K1774" s="232" t="s">
        <v>22365</v>
      </c>
      <c r="L1774" s="232"/>
      <c r="M1774" s="511"/>
      <c r="N1774" s="232"/>
      <c r="O1774" s="232"/>
      <c r="P1774" s="312"/>
      <c r="Q1774" s="312"/>
      <c r="R1774" s="312"/>
      <c r="S1774" s="312"/>
      <c r="T1774" s="312"/>
      <c r="U1774" s="312"/>
    </row>
    <row r="1775">
      <c r="A1775" s="508" t="s">
        <v>29216</v>
      </c>
      <c r="B1775" s="232" t="s">
        <v>29217</v>
      </c>
      <c r="C1775" s="509" t="s">
        <v>29218</v>
      </c>
      <c r="D1775" s="511"/>
      <c r="E1775" s="511"/>
      <c r="F1775" s="232" t="s">
        <v>29219</v>
      </c>
      <c r="G1775" s="232" t="s">
        <v>158</v>
      </c>
      <c r="H1775" s="232">
        <v>7.278466189E9</v>
      </c>
      <c r="I1775" s="509" t="s">
        <v>29220</v>
      </c>
      <c r="J1775" s="232" t="b">
        <v>0</v>
      </c>
      <c r="K1775" s="232" t="s">
        <v>22355</v>
      </c>
      <c r="L1775" s="232"/>
      <c r="M1775" s="511"/>
      <c r="N1775" s="232"/>
      <c r="O1775" s="232"/>
      <c r="P1775" s="312"/>
      <c r="Q1775" s="312"/>
      <c r="R1775" s="312"/>
      <c r="S1775" s="312"/>
      <c r="T1775" s="312"/>
      <c r="U1775" s="312"/>
    </row>
    <row r="1776">
      <c r="A1776" s="508" t="s">
        <v>29216</v>
      </c>
      <c r="B1776" s="232" t="s">
        <v>29221</v>
      </c>
      <c r="C1776" s="509" t="s">
        <v>18230</v>
      </c>
      <c r="D1776" s="511"/>
      <c r="E1776" s="511"/>
      <c r="F1776" s="232" t="s">
        <v>29222</v>
      </c>
      <c r="G1776" s="232" t="s">
        <v>283</v>
      </c>
      <c r="H1776" s="232">
        <v>8.101497471E9</v>
      </c>
      <c r="I1776" s="509" t="s">
        <v>22343</v>
      </c>
      <c r="J1776" s="232" t="b">
        <v>0</v>
      </c>
      <c r="K1776" s="232" t="s">
        <v>29223</v>
      </c>
      <c r="L1776" s="232"/>
      <c r="M1776" s="511"/>
      <c r="N1776" s="232"/>
      <c r="O1776" s="232"/>
      <c r="P1776" s="312"/>
      <c r="Q1776" s="312"/>
      <c r="R1776" s="312"/>
      <c r="S1776" s="312"/>
      <c r="T1776" s="312"/>
      <c r="U1776" s="312"/>
    </row>
    <row r="1777">
      <c r="A1777" s="508" t="s">
        <v>29216</v>
      </c>
      <c r="B1777" s="232" t="s">
        <v>29224</v>
      </c>
      <c r="C1777" s="509" t="s">
        <v>29225</v>
      </c>
      <c r="D1777" s="511"/>
      <c r="E1777" s="511"/>
      <c r="F1777" s="232"/>
      <c r="G1777" s="232" t="s">
        <v>22742</v>
      </c>
      <c r="H1777" s="232">
        <v>8.11499659E9</v>
      </c>
      <c r="I1777" s="509" t="s">
        <v>29226</v>
      </c>
      <c r="J1777" s="232" t="b">
        <v>0</v>
      </c>
      <c r="K1777" s="232" t="s">
        <v>22365</v>
      </c>
      <c r="L1777" s="232" t="s">
        <v>29227</v>
      </c>
      <c r="M1777" s="511"/>
      <c r="N1777" s="232"/>
      <c r="O1777" s="232"/>
      <c r="P1777" s="312"/>
      <c r="Q1777" s="312"/>
      <c r="R1777" s="312"/>
      <c r="S1777" s="312"/>
      <c r="T1777" s="312"/>
      <c r="U1777" s="312"/>
    </row>
    <row r="1778">
      <c r="A1778" s="508" t="s">
        <v>29216</v>
      </c>
      <c r="B1778" s="232" t="s">
        <v>29228</v>
      </c>
      <c r="C1778" s="509" t="s">
        <v>29229</v>
      </c>
      <c r="D1778" s="511"/>
      <c r="E1778" s="511"/>
      <c r="F1778" s="232" t="s">
        <v>29230</v>
      </c>
      <c r="G1778" s="232" t="s">
        <v>22742</v>
      </c>
      <c r="H1778" s="232">
        <v>9.78641749E9</v>
      </c>
      <c r="I1778" s="509" t="s">
        <v>29231</v>
      </c>
      <c r="J1778" s="232" t="b">
        <v>0</v>
      </c>
      <c r="K1778" s="232" t="s">
        <v>334</v>
      </c>
      <c r="L1778" s="232"/>
      <c r="M1778" s="511"/>
      <c r="N1778" s="232"/>
      <c r="O1778" s="232"/>
      <c r="P1778" s="312"/>
      <c r="Q1778" s="312"/>
      <c r="R1778" s="312"/>
      <c r="S1778" s="312"/>
      <c r="T1778" s="312"/>
      <c r="U1778" s="312"/>
    </row>
    <row r="1779">
      <c r="A1779" s="508" t="s">
        <v>29216</v>
      </c>
      <c r="B1779" s="232" t="s">
        <v>29232</v>
      </c>
      <c r="C1779" s="509" t="s">
        <v>19479</v>
      </c>
      <c r="D1779" s="511"/>
      <c r="E1779" s="511"/>
      <c r="F1779" s="232" t="s">
        <v>29233</v>
      </c>
      <c r="G1779" s="232"/>
      <c r="H1779" s="232">
        <v>7.418614552E9</v>
      </c>
      <c r="I1779" s="509" t="s">
        <v>29234</v>
      </c>
      <c r="J1779" s="232" t="b">
        <v>0</v>
      </c>
      <c r="K1779" s="232" t="s">
        <v>22349</v>
      </c>
      <c r="L1779" s="232" t="s">
        <v>29235</v>
      </c>
      <c r="M1779" s="511"/>
      <c r="N1779" s="232"/>
      <c r="O1779" s="232"/>
      <c r="P1779" s="312"/>
      <c r="Q1779" s="312"/>
      <c r="R1779" s="312"/>
      <c r="S1779" s="312"/>
      <c r="T1779" s="312"/>
      <c r="U1779" s="312"/>
    </row>
    <row r="1780">
      <c r="A1780" s="508" t="s">
        <v>29216</v>
      </c>
      <c r="B1780" s="232" t="s">
        <v>29236</v>
      </c>
      <c r="C1780" s="509" t="s">
        <v>29237</v>
      </c>
      <c r="D1780" s="511"/>
      <c r="E1780" s="511"/>
      <c r="F1780" s="232" t="s">
        <v>29238</v>
      </c>
      <c r="G1780" s="232" t="s">
        <v>29239</v>
      </c>
      <c r="H1780" s="232">
        <v>7.006281611E9</v>
      </c>
      <c r="I1780" s="509" t="s">
        <v>29240</v>
      </c>
      <c r="J1780" s="232" t="b">
        <v>0</v>
      </c>
      <c r="K1780" s="232" t="s">
        <v>334</v>
      </c>
      <c r="L1780" s="232"/>
      <c r="M1780" s="511"/>
      <c r="N1780" s="232"/>
      <c r="O1780" s="232"/>
      <c r="P1780" s="312"/>
      <c r="Q1780" s="312"/>
      <c r="R1780" s="312"/>
      <c r="S1780" s="312"/>
      <c r="T1780" s="312"/>
      <c r="U1780" s="312"/>
    </row>
    <row r="1781">
      <c r="A1781" s="508" t="s">
        <v>29216</v>
      </c>
      <c r="B1781" s="232" t="s">
        <v>29241</v>
      </c>
      <c r="C1781" s="509" t="s">
        <v>29242</v>
      </c>
      <c r="D1781" s="511"/>
      <c r="E1781" s="511"/>
      <c r="F1781" s="232" t="s">
        <v>29243</v>
      </c>
      <c r="G1781" s="232" t="s">
        <v>22292</v>
      </c>
      <c r="H1781" s="232">
        <v>9.272908772E9</v>
      </c>
      <c r="I1781" s="509" t="s">
        <v>29244</v>
      </c>
      <c r="J1781" s="232" t="b">
        <v>0</v>
      </c>
      <c r="K1781" s="232" t="s">
        <v>334</v>
      </c>
      <c r="L1781" s="232" t="s">
        <v>29245</v>
      </c>
      <c r="M1781" s="511"/>
      <c r="N1781" s="232"/>
      <c r="O1781" s="232"/>
      <c r="P1781" s="312"/>
      <c r="Q1781" s="312"/>
      <c r="R1781" s="312"/>
      <c r="S1781" s="312"/>
      <c r="T1781" s="312"/>
      <c r="U1781" s="312"/>
    </row>
    <row r="1782">
      <c r="A1782" s="508" t="s">
        <v>29216</v>
      </c>
      <c r="B1782" s="232" t="s">
        <v>29246</v>
      </c>
      <c r="C1782" s="509" t="s">
        <v>29247</v>
      </c>
      <c r="D1782" s="511"/>
      <c r="E1782" s="511"/>
      <c r="F1782" s="232"/>
      <c r="G1782" s="232" t="s">
        <v>29248</v>
      </c>
      <c r="H1782" s="232">
        <v>9.866001793E9</v>
      </c>
      <c r="I1782" s="509" t="s">
        <v>28100</v>
      </c>
      <c r="J1782" s="232" t="b">
        <v>0</v>
      </c>
      <c r="K1782" s="232" t="s">
        <v>334</v>
      </c>
      <c r="L1782" s="232" t="s">
        <v>29249</v>
      </c>
      <c r="M1782" s="511"/>
      <c r="N1782" s="232"/>
      <c r="O1782" s="232"/>
      <c r="P1782" s="312"/>
      <c r="Q1782" s="312"/>
      <c r="R1782" s="312"/>
      <c r="S1782" s="312"/>
      <c r="T1782" s="312"/>
      <c r="U1782" s="312"/>
    </row>
    <row r="1783">
      <c r="A1783" s="508" t="s">
        <v>29216</v>
      </c>
      <c r="B1783" s="232" t="s">
        <v>29250</v>
      </c>
      <c r="C1783" s="509" t="s">
        <v>29251</v>
      </c>
      <c r="D1783" s="511"/>
      <c r="E1783" s="511"/>
      <c r="F1783" s="232" t="s">
        <v>29252</v>
      </c>
      <c r="G1783" s="232" t="s">
        <v>24046</v>
      </c>
      <c r="H1783" s="232">
        <v>9.550266916E9</v>
      </c>
      <c r="I1783" s="509" t="s">
        <v>29253</v>
      </c>
      <c r="J1783" s="232" t="b">
        <v>0</v>
      </c>
      <c r="K1783" s="232" t="s">
        <v>334</v>
      </c>
      <c r="L1783" s="232"/>
      <c r="M1783" s="511"/>
      <c r="N1783" s="232"/>
      <c r="O1783" s="232"/>
      <c r="P1783" s="312"/>
      <c r="Q1783" s="312"/>
      <c r="R1783" s="312"/>
      <c r="S1783" s="312"/>
      <c r="T1783" s="312"/>
      <c r="U1783" s="312"/>
    </row>
    <row r="1784">
      <c r="A1784" s="508" t="s">
        <v>29216</v>
      </c>
      <c r="B1784" s="232" t="s">
        <v>29254</v>
      </c>
      <c r="C1784" s="509" t="s">
        <v>29255</v>
      </c>
      <c r="D1784" s="511"/>
      <c r="E1784" s="511"/>
      <c r="F1784" s="232" t="s">
        <v>29256</v>
      </c>
      <c r="G1784" s="232" t="s">
        <v>99</v>
      </c>
      <c r="H1784" s="232">
        <v>9.10864461E9</v>
      </c>
      <c r="I1784" s="509" t="s">
        <v>22678</v>
      </c>
      <c r="J1784" s="232" t="b">
        <v>0</v>
      </c>
      <c r="K1784" s="232" t="s">
        <v>22349</v>
      </c>
      <c r="L1784" s="232" t="s">
        <v>29257</v>
      </c>
      <c r="M1784" s="511"/>
      <c r="N1784" s="232"/>
      <c r="O1784" s="232"/>
      <c r="P1784" s="312"/>
      <c r="Q1784" s="312"/>
      <c r="R1784" s="312"/>
      <c r="S1784" s="312"/>
      <c r="T1784" s="312"/>
      <c r="U1784" s="312"/>
    </row>
    <row r="1785">
      <c r="A1785" s="508" t="s">
        <v>29216</v>
      </c>
      <c r="B1785" s="232" t="s">
        <v>29258</v>
      </c>
      <c r="C1785" s="509" t="s">
        <v>29010</v>
      </c>
      <c r="D1785" s="511"/>
      <c r="E1785" s="511"/>
      <c r="F1785" s="232" t="s">
        <v>29011</v>
      </c>
      <c r="G1785" s="232" t="s">
        <v>29012</v>
      </c>
      <c r="H1785" s="232">
        <v>9.389950322E9</v>
      </c>
      <c r="I1785" s="528" t="s">
        <v>25995</v>
      </c>
      <c r="J1785" s="232" t="b">
        <v>0</v>
      </c>
      <c r="K1785" s="232" t="s">
        <v>22365</v>
      </c>
      <c r="L1785" s="232"/>
      <c r="M1785" s="511"/>
      <c r="N1785" s="232"/>
      <c r="O1785" s="232"/>
      <c r="P1785" s="312"/>
      <c r="Q1785" s="312"/>
      <c r="R1785" s="312"/>
      <c r="S1785" s="312"/>
      <c r="T1785" s="312"/>
      <c r="U1785" s="312"/>
    </row>
    <row r="1786">
      <c r="A1786" s="508" t="s">
        <v>29216</v>
      </c>
      <c r="B1786" s="232" t="s">
        <v>29259</v>
      </c>
      <c r="C1786" s="509" t="s">
        <v>29260</v>
      </c>
      <c r="D1786" s="511"/>
      <c r="E1786" s="511"/>
      <c r="F1786" s="232" t="s">
        <v>29261</v>
      </c>
      <c r="G1786" s="232" t="s">
        <v>930</v>
      </c>
      <c r="H1786" s="232">
        <v>9.44054707E9</v>
      </c>
      <c r="I1786" s="509" t="s">
        <v>29262</v>
      </c>
      <c r="J1786" s="232" t="b">
        <v>0</v>
      </c>
      <c r="K1786" s="232"/>
      <c r="L1786" s="232"/>
      <c r="M1786" s="511"/>
      <c r="N1786" s="232"/>
      <c r="O1786" s="232"/>
      <c r="P1786" s="312"/>
      <c r="Q1786" s="312"/>
      <c r="R1786" s="312"/>
      <c r="S1786" s="312"/>
      <c r="T1786" s="312"/>
      <c r="U1786" s="312"/>
    </row>
    <row r="1787">
      <c r="A1787" s="508" t="s">
        <v>29216</v>
      </c>
      <c r="B1787" s="232" t="s">
        <v>29263</v>
      </c>
      <c r="C1787" s="509" t="s">
        <v>29264</v>
      </c>
      <c r="D1787" s="511"/>
      <c r="E1787" s="511"/>
      <c r="F1787" s="232"/>
      <c r="G1787" s="232" t="s">
        <v>29265</v>
      </c>
      <c r="H1787" s="526">
        <v>9.861264389E9</v>
      </c>
      <c r="I1787" s="509" t="s">
        <v>23792</v>
      </c>
      <c r="J1787" s="232" t="b">
        <v>0</v>
      </c>
      <c r="K1787" s="232" t="s">
        <v>334</v>
      </c>
      <c r="L1787" s="232"/>
      <c r="M1787" s="511"/>
      <c r="N1787" s="232"/>
      <c r="O1787" s="232"/>
      <c r="P1787" s="312"/>
      <c r="Q1787" s="312"/>
      <c r="R1787" s="312"/>
      <c r="S1787" s="312"/>
      <c r="T1787" s="312"/>
      <c r="U1787" s="312"/>
    </row>
    <row r="1788" ht="18.0" customHeight="1">
      <c r="A1788" s="508" t="s">
        <v>29216</v>
      </c>
      <c r="B1788" s="232" t="s">
        <v>29266</v>
      </c>
      <c r="C1788" s="509" t="s">
        <v>25993</v>
      </c>
      <c r="D1788" s="511"/>
      <c r="E1788" s="511"/>
      <c r="F1788" s="232"/>
      <c r="G1788" s="232"/>
      <c r="H1788" s="232">
        <v>9.874025309E9</v>
      </c>
      <c r="I1788" s="509" t="s">
        <v>22727</v>
      </c>
      <c r="J1788" s="232" t="b">
        <v>0</v>
      </c>
      <c r="K1788" s="232" t="s">
        <v>334</v>
      </c>
      <c r="L1788" s="232"/>
      <c r="M1788" s="511"/>
      <c r="N1788" s="232"/>
      <c r="O1788" s="232"/>
      <c r="P1788" s="312"/>
      <c r="Q1788" s="312"/>
      <c r="R1788" s="312"/>
      <c r="S1788" s="312"/>
      <c r="T1788" s="312"/>
      <c r="U1788" s="312"/>
    </row>
    <row r="1789">
      <c r="A1789" s="508" t="s">
        <v>29267</v>
      </c>
      <c r="B1789" s="232" t="s">
        <v>29268</v>
      </c>
      <c r="C1789" s="543" t="s">
        <v>29269</v>
      </c>
      <c r="D1789" s="511"/>
      <c r="E1789" s="511"/>
      <c r="F1789" s="232" t="s">
        <v>29270</v>
      </c>
      <c r="G1789" s="232" t="s">
        <v>23906</v>
      </c>
      <c r="H1789" s="232">
        <v>9.717049075E9</v>
      </c>
      <c r="I1789" s="509" t="s">
        <v>22289</v>
      </c>
      <c r="J1789" s="232" t="b">
        <v>0</v>
      </c>
      <c r="K1789" s="232" t="s">
        <v>22349</v>
      </c>
      <c r="L1789" s="232" t="s">
        <v>29271</v>
      </c>
      <c r="M1789" s="511"/>
      <c r="N1789" s="232"/>
      <c r="O1789" s="232"/>
      <c r="P1789" s="312"/>
      <c r="Q1789" s="312"/>
      <c r="R1789" s="312"/>
      <c r="S1789" s="312"/>
      <c r="T1789" s="312"/>
      <c r="U1789" s="312"/>
    </row>
    <row r="1790">
      <c r="A1790" s="508" t="s">
        <v>29267</v>
      </c>
      <c r="B1790" s="232" t="s">
        <v>29272</v>
      </c>
      <c r="C1790" s="509" t="s">
        <v>29273</v>
      </c>
      <c r="D1790" s="511"/>
      <c r="E1790" s="511"/>
      <c r="F1790" s="232" t="s">
        <v>29274</v>
      </c>
      <c r="G1790" s="232" t="s">
        <v>2662</v>
      </c>
      <c r="H1790" s="232">
        <v>-7.418738523E9</v>
      </c>
      <c r="I1790" s="509" t="s">
        <v>25889</v>
      </c>
      <c r="J1790" s="232" t="b">
        <v>0</v>
      </c>
      <c r="K1790" s="232" t="s">
        <v>12092</v>
      </c>
      <c r="L1790" s="232"/>
      <c r="M1790" s="511"/>
      <c r="N1790" s="232"/>
      <c r="O1790" s="232"/>
      <c r="P1790" s="312"/>
      <c r="Q1790" s="312"/>
      <c r="R1790" s="312"/>
      <c r="S1790" s="312"/>
      <c r="T1790" s="312"/>
      <c r="U1790" s="312"/>
    </row>
    <row r="1791">
      <c r="A1791" s="508" t="s">
        <v>29267</v>
      </c>
      <c r="B1791" s="232" t="s">
        <v>29275</v>
      </c>
      <c r="C1791" s="509" t="s">
        <v>29276</v>
      </c>
      <c r="D1791" s="511"/>
      <c r="E1791" s="511"/>
      <c r="F1791" s="232" t="s">
        <v>29277</v>
      </c>
      <c r="G1791" s="232" t="s">
        <v>22818</v>
      </c>
      <c r="H1791" s="232">
        <v>-7.698142727E9</v>
      </c>
      <c r="I1791" s="509" t="s">
        <v>29278</v>
      </c>
      <c r="J1791" s="232" t="b">
        <v>0</v>
      </c>
      <c r="K1791" s="232" t="s">
        <v>22349</v>
      </c>
      <c r="L1791" s="232" t="s">
        <v>29279</v>
      </c>
      <c r="M1791" s="511"/>
      <c r="N1791" s="232"/>
      <c r="O1791" s="232"/>
      <c r="P1791" s="312"/>
      <c r="Q1791" s="312"/>
      <c r="R1791" s="312"/>
      <c r="S1791" s="312"/>
      <c r="T1791" s="312"/>
      <c r="U1791" s="312"/>
    </row>
    <row r="1792">
      <c r="A1792" s="508" t="s">
        <v>29267</v>
      </c>
      <c r="B1792" s="232" t="s">
        <v>29280</v>
      </c>
      <c r="C1792" s="509" t="s">
        <v>29281</v>
      </c>
      <c r="D1792" s="511"/>
      <c r="E1792" s="511"/>
      <c r="F1792" s="232" t="s">
        <v>29282</v>
      </c>
      <c r="G1792" s="232" t="s">
        <v>22818</v>
      </c>
      <c r="H1792" s="232">
        <v>7.737376714E9</v>
      </c>
      <c r="I1792" s="509" t="s">
        <v>29283</v>
      </c>
      <c r="J1792" s="232" t="b">
        <v>0</v>
      </c>
      <c r="K1792" s="232" t="s">
        <v>334</v>
      </c>
      <c r="L1792" s="232"/>
      <c r="M1792" s="511"/>
      <c r="N1792" s="232"/>
      <c r="O1792" s="232"/>
      <c r="P1792" s="312"/>
      <c r="Q1792" s="312"/>
      <c r="R1792" s="312"/>
      <c r="S1792" s="312"/>
      <c r="T1792" s="312"/>
      <c r="U1792" s="312"/>
    </row>
    <row r="1793">
      <c r="A1793" s="508" t="s">
        <v>29267</v>
      </c>
      <c r="B1793" s="232" t="s">
        <v>29284</v>
      </c>
      <c r="C1793" s="509" t="s">
        <v>14907</v>
      </c>
      <c r="D1793" s="511"/>
      <c r="E1793" s="511"/>
      <c r="F1793" s="232" t="s">
        <v>29285</v>
      </c>
      <c r="G1793" s="232" t="s">
        <v>2612</v>
      </c>
      <c r="H1793" s="232">
        <v>8.249012303E9</v>
      </c>
      <c r="I1793" s="509" t="s">
        <v>22565</v>
      </c>
      <c r="J1793" s="232" t="b">
        <v>0</v>
      </c>
      <c r="K1793" s="232" t="s">
        <v>12092</v>
      </c>
      <c r="L1793" s="232"/>
      <c r="M1793" s="511"/>
      <c r="N1793" s="232"/>
      <c r="O1793" s="232"/>
      <c r="P1793" s="312"/>
      <c r="Q1793" s="312"/>
      <c r="R1793" s="312"/>
      <c r="S1793" s="312"/>
      <c r="T1793" s="312"/>
      <c r="U1793" s="312"/>
    </row>
    <row r="1794" ht="13.5" customHeight="1">
      <c r="A1794" s="508" t="s">
        <v>29267</v>
      </c>
      <c r="B1794" s="232" t="s">
        <v>29286</v>
      </c>
      <c r="C1794" s="509" t="s">
        <v>29287</v>
      </c>
      <c r="D1794" s="511"/>
      <c r="E1794" s="511"/>
      <c r="F1794" s="232"/>
      <c r="G1794" s="232" t="s">
        <v>29288</v>
      </c>
      <c r="H1794" s="232">
        <v>8.008795338E9</v>
      </c>
      <c r="I1794" s="509" t="s">
        <v>24404</v>
      </c>
      <c r="J1794" s="232" t="b">
        <v>0</v>
      </c>
      <c r="K1794" s="232" t="s">
        <v>12092</v>
      </c>
      <c r="L1794" s="232"/>
      <c r="M1794" s="511"/>
      <c r="N1794" s="232"/>
      <c r="O1794" s="232"/>
      <c r="P1794" s="312"/>
      <c r="Q1794" s="312"/>
      <c r="R1794" s="312"/>
      <c r="S1794" s="312"/>
      <c r="T1794" s="312"/>
      <c r="U1794" s="312"/>
    </row>
    <row r="1795">
      <c r="A1795" s="508" t="s">
        <v>29267</v>
      </c>
      <c r="B1795" s="232" t="s">
        <v>29289</v>
      </c>
      <c r="C1795" s="509" t="s">
        <v>29290</v>
      </c>
      <c r="D1795" s="511"/>
      <c r="E1795" s="511"/>
      <c r="F1795" s="232" t="s">
        <v>29291</v>
      </c>
      <c r="G1795" s="232" t="s">
        <v>19275</v>
      </c>
      <c r="H1795" s="232">
        <v>7.908460029E9</v>
      </c>
      <c r="I1795" s="509" t="s">
        <v>25889</v>
      </c>
      <c r="J1795" s="232" t="b">
        <v>0</v>
      </c>
      <c r="K1795" s="232" t="s">
        <v>22365</v>
      </c>
      <c r="L1795" s="232"/>
      <c r="M1795" s="544"/>
      <c r="N1795" s="232"/>
      <c r="O1795" s="232"/>
      <c r="P1795" s="312"/>
      <c r="Q1795" s="312"/>
      <c r="R1795" s="312"/>
      <c r="S1795" s="312"/>
      <c r="T1795" s="312"/>
      <c r="U1795" s="312"/>
    </row>
    <row r="1796">
      <c r="A1796" s="508" t="s">
        <v>29267</v>
      </c>
      <c r="B1796" s="232" t="s">
        <v>29292</v>
      </c>
      <c r="C1796" s="509" t="s">
        <v>29293</v>
      </c>
      <c r="D1796" s="511"/>
      <c r="E1796" s="511"/>
      <c r="F1796" s="232"/>
      <c r="G1796" s="232" t="s">
        <v>29294</v>
      </c>
      <c r="H1796" s="232">
        <v>6.372325245E9</v>
      </c>
      <c r="I1796" s="509" t="s">
        <v>26309</v>
      </c>
      <c r="J1796" s="232" t="b">
        <v>0</v>
      </c>
      <c r="K1796" s="232" t="s">
        <v>29223</v>
      </c>
      <c r="L1796" s="232"/>
      <c r="M1796" s="511"/>
      <c r="N1796" s="232"/>
      <c r="O1796" s="232"/>
      <c r="P1796" s="312"/>
      <c r="Q1796" s="312"/>
      <c r="R1796" s="312"/>
      <c r="S1796" s="312"/>
      <c r="T1796" s="312"/>
      <c r="U1796" s="312"/>
    </row>
    <row r="1797">
      <c r="A1797" s="508" t="s">
        <v>29267</v>
      </c>
      <c r="B1797" s="232" t="s">
        <v>29295</v>
      </c>
      <c r="C1797" s="509" t="s">
        <v>16478</v>
      </c>
      <c r="D1797" s="511"/>
      <c r="E1797" s="511"/>
      <c r="F1797" s="232"/>
      <c r="G1797" s="232" t="s">
        <v>22803</v>
      </c>
      <c r="H1797" s="232">
        <v>8.008795338E9</v>
      </c>
      <c r="I1797" s="509" t="s">
        <v>24404</v>
      </c>
      <c r="J1797" s="232" t="b">
        <v>0</v>
      </c>
      <c r="K1797" s="232" t="s">
        <v>334</v>
      </c>
      <c r="L1797" s="232"/>
      <c r="M1797" s="511"/>
      <c r="N1797" s="232"/>
      <c r="O1797" s="232"/>
      <c r="P1797" s="312"/>
      <c r="Q1797" s="312"/>
      <c r="R1797" s="312"/>
      <c r="S1797" s="312"/>
      <c r="T1797" s="312"/>
      <c r="U1797" s="312"/>
    </row>
    <row r="1798">
      <c r="A1798" s="508" t="s">
        <v>29296</v>
      </c>
      <c r="B1798" s="232" t="s">
        <v>29297</v>
      </c>
      <c r="C1798" s="509" t="s">
        <v>29298</v>
      </c>
      <c r="D1798" s="511"/>
      <c r="E1798" s="511"/>
      <c r="F1798" s="232"/>
      <c r="G1798" s="232" t="s">
        <v>27606</v>
      </c>
      <c r="H1798" s="232">
        <v>8.848028119E9</v>
      </c>
      <c r="I1798" s="509" t="s">
        <v>29299</v>
      </c>
      <c r="J1798" s="232" t="b">
        <v>0</v>
      </c>
      <c r="K1798" s="232" t="s">
        <v>334</v>
      </c>
      <c r="L1798" s="232"/>
      <c r="M1798" s="511"/>
      <c r="N1798" s="232"/>
      <c r="O1798" s="232"/>
      <c r="P1798" s="312"/>
      <c r="Q1798" s="312"/>
      <c r="R1798" s="312"/>
      <c r="S1798" s="312"/>
      <c r="T1798" s="312"/>
      <c r="U1798" s="312"/>
    </row>
    <row r="1799">
      <c r="A1799" s="508" t="s">
        <v>29296</v>
      </c>
      <c r="B1799" s="232" t="s">
        <v>29300</v>
      </c>
      <c r="C1799" s="509" t="s">
        <v>29301</v>
      </c>
      <c r="D1799" s="510" t="s">
        <v>29302</v>
      </c>
      <c r="E1799" s="511"/>
      <c r="F1799" s="232"/>
      <c r="G1799" s="232" t="s">
        <v>29303</v>
      </c>
      <c r="H1799" s="232">
        <v>7.986444487E9</v>
      </c>
      <c r="I1799" s="509" t="s">
        <v>29253</v>
      </c>
      <c r="J1799" s="232" t="b">
        <v>0</v>
      </c>
      <c r="K1799" s="232" t="s">
        <v>22365</v>
      </c>
      <c r="L1799" s="232" t="s">
        <v>28064</v>
      </c>
      <c r="M1799" s="544">
        <v>44847.0</v>
      </c>
      <c r="N1799" s="232"/>
      <c r="O1799" s="232"/>
      <c r="P1799" s="312"/>
      <c r="Q1799" s="312"/>
      <c r="R1799" s="312"/>
      <c r="S1799" s="312"/>
      <c r="T1799" s="312"/>
      <c r="U1799" s="312"/>
    </row>
    <row r="1800">
      <c r="A1800" s="508" t="s">
        <v>29296</v>
      </c>
      <c r="B1800" s="232" t="s">
        <v>29304</v>
      </c>
      <c r="C1800" s="509" t="s">
        <v>16250</v>
      </c>
      <c r="D1800" s="519"/>
      <c r="E1800" s="511"/>
      <c r="F1800" s="232" t="s">
        <v>29305</v>
      </c>
      <c r="G1800" s="232" t="s">
        <v>29306</v>
      </c>
      <c r="H1800" s="232">
        <v>7.261821113E9</v>
      </c>
      <c r="I1800" s="509" t="s">
        <v>29307</v>
      </c>
      <c r="J1800" s="232" t="b">
        <v>0</v>
      </c>
      <c r="K1800" s="232" t="s">
        <v>22349</v>
      </c>
      <c r="L1800" s="232" t="s">
        <v>29308</v>
      </c>
      <c r="M1800" s="511"/>
      <c r="N1800" s="312"/>
      <c r="O1800" s="232"/>
      <c r="P1800" s="312"/>
      <c r="Q1800" s="312"/>
      <c r="R1800" s="312"/>
      <c r="S1800" s="312"/>
      <c r="T1800" s="312"/>
      <c r="U1800" s="312"/>
    </row>
    <row r="1801">
      <c r="A1801" s="508" t="s">
        <v>29296</v>
      </c>
      <c r="B1801" s="232" t="s">
        <v>29309</v>
      </c>
      <c r="C1801" s="509" t="s">
        <v>29310</v>
      </c>
      <c r="D1801" s="511"/>
      <c r="E1801" s="511"/>
      <c r="F1801" s="232" t="s">
        <v>29311</v>
      </c>
      <c r="G1801" s="232" t="s">
        <v>158</v>
      </c>
      <c r="H1801" s="232">
        <v>-8.250936504E9</v>
      </c>
      <c r="I1801" s="509" t="s">
        <v>22577</v>
      </c>
      <c r="J1801" s="232" t="b">
        <v>0</v>
      </c>
      <c r="K1801" s="232" t="s">
        <v>12092</v>
      </c>
      <c r="L1801" s="232"/>
      <c r="M1801" s="511"/>
      <c r="N1801" s="312"/>
      <c r="O1801" s="232"/>
      <c r="P1801" s="312"/>
      <c r="Q1801" s="312"/>
      <c r="R1801" s="312"/>
      <c r="S1801" s="312"/>
      <c r="T1801" s="312"/>
      <c r="U1801" s="312"/>
    </row>
    <row r="1802">
      <c r="A1802" s="508" t="s">
        <v>29296</v>
      </c>
      <c r="B1802" s="232" t="s">
        <v>29312</v>
      </c>
      <c r="C1802" s="509" t="s">
        <v>29313</v>
      </c>
      <c r="D1802" s="511"/>
      <c r="E1802" s="511"/>
      <c r="F1802" s="232" t="s">
        <v>29314</v>
      </c>
      <c r="G1802" s="232" t="s">
        <v>22960</v>
      </c>
      <c r="H1802" s="232">
        <v>8.074053959E9</v>
      </c>
      <c r="I1802" s="509" t="s">
        <v>23051</v>
      </c>
      <c r="J1802" s="232" t="b">
        <v>0</v>
      </c>
      <c r="K1802" s="232" t="s">
        <v>29223</v>
      </c>
      <c r="L1802" s="232" t="s">
        <v>23537</v>
      </c>
      <c r="M1802" s="511"/>
      <c r="N1802" s="232"/>
      <c r="O1802" s="232"/>
      <c r="P1802" s="312"/>
      <c r="Q1802" s="312"/>
      <c r="R1802" s="312"/>
      <c r="S1802" s="312"/>
      <c r="T1802" s="312"/>
      <c r="U1802" s="312"/>
    </row>
    <row r="1803">
      <c r="A1803" s="545">
        <v>44905.0</v>
      </c>
      <c r="B1803" s="232" t="s">
        <v>29315</v>
      </c>
      <c r="C1803" s="509" t="s">
        <v>29316</v>
      </c>
      <c r="D1803" s="511"/>
      <c r="E1803" s="511"/>
      <c r="F1803" s="232" t="s">
        <v>29317</v>
      </c>
      <c r="G1803" s="232" t="s">
        <v>29318</v>
      </c>
      <c r="H1803" s="232">
        <v>8.158960347E9</v>
      </c>
      <c r="I1803" s="509" t="s">
        <v>29319</v>
      </c>
      <c r="J1803" s="232" t="b">
        <v>0</v>
      </c>
      <c r="K1803" s="232" t="s">
        <v>29223</v>
      </c>
      <c r="L1803" s="232" t="s">
        <v>29320</v>
      </c>
      <c r="M1803" s="511"/>
      <c r="N1803" s="232"/>
      <c r="O1803" s="232"/>
      <c r="P1803" s="312"/>
      <c r="Q1803" s="312"/>
      <c r="R1803" s="312"/>
      <c r="S1803" s="312"/>
      <c r="T1803" s="312"/>
      <c r="U1803" s="312"/>
    </row>
    <row r="1804">
      <c r="A1804" s="545">
        <v>44905.0</v>
      </c>
      <c r="B1804" s="232" t="s">
        <v>29321</v>
      </c>
      <c r="C1804" s="509" t="s">
        <v>15677</v>
      </c>
      <c r="D1804" s="511"/>
      <c r="E1804" s="511"/>
      <c r="F1804" s="232" t="s">
        <v>29322</v>
      </c>
      <c r="G1804" s="232" t="s">
        <v>29323</v>
      </c>
      <c r="H1804" s="232">
        <v>8.884224007E9</v>
      </c>
      <c r="I1804" s="509" t="s">
        <v>25075</v>
      </c>
      <c r="J1804" s="232" t="b">
        <v>0</v>
      </c>
      <c r="K1804" s="232" t="s">
        <v>29223</v>
      </c>
      <c r="L1804" s="232" t="s">
        <v>29320</v>
      </c>
      <c r="M1804" s="511"/>
      <c r="N1804" s="232"/>
      <c r="O1804" s="232"/>
      <c r="P1804" s="312"/>
      <c r="Q1804" s="312"/>
      <c r="R1804" s="312"/>
      <c r="S1804" s="312"/>
      <c r="T1804" s="312"/>
      <c r="U1804" s="312"/>
    </row>
    <row r="1805">
      <c r="A1805" s="545">
        <v>44905.0</v>
      </c>
      <c r="B1805" s="232" t="s">
        <v>29324</v>
      </c>
      <c r="C1805" s="509" t="s">
        <v>23805</v>
      </c>
      <c r="D1805" s="511"/>
      <c r="E1805" s="511"/>
      <c r="F1805" s="232" t="s">
        <v>23806</v>
      </c>
      <c r="G1805" s="232" t="s">
        <v>29325</v>
      </c>
      <c r="H1805" s="232">
        <v>6.297732125E9</v>
      </c>
      <c r="I1805" s="509" t="s">
        <v>22289</v>
      </c>
      <c r="J1805" s="232" t="b">
        <v>0</v>
      </c>
      <c r="K1805" s="232" t="s">
        <v>12092</v>
      </c>
      <c r="L1805" s="232"/>
      <c r="M1805" s="511"/>
      <c r="N1805" s="312"/>
      <c r="O1805" s="232"/>
      <c r="P1805" s="312"/>
      <c r="Q1805" s="312"/>
      <c r="R1805" s="312"/>
      <c r="S1805" s="312"/>
      <c r="T1805" s="312"/>
      <c r="U1805" s="312"/>
    </row>
    <row r="1806">
      <c r="A1806" s="545">
        <v>44905.0</v>
      </c>
      <c r="B1806" s="232" t="s">
        <v>29326</v>
      </c>
      <c r="C1806" s="509" t="s">
        <v>18622</v>
      </c>
      <c r="D1806" s="511"/>
      <c r="E1806" s="510"/>
      <c r="F1806" s="232" t="s">
        <v>29327</v>
      </c>
      <c r="G1806" s="232" t="s">
        <v>906</v>
      </c>
      <c r="H1806" s="232">
        <v>6.377224168E9</v>
      </c>
      <c r="I1806" s="509" t="s">
        <v>25649</v>
      </c>
      <c r="J1806" s="232" t="b">
        <v>0</v>
      </c>
      <c r="K1806" s="312" t="s">
        <v>334</v>
      </c>
      <c r="L1806" s="232" t="s">
        <v>29328</v>
      </c>
      <c r="M1806" s="511"/>
      <c r="N1806" s="312"/>
      <c r="O1806" s="232"/>
      <c r="P1806" s="312"/>
      <c r="Q1806" s="312"/>
      <c r="R1806" s="312"/>
      <c r="S1806" s="312"/>
      <c r="T1806" s="312"/>
      <c r="U1806" s="312"/>
    </row>
    <row r="1807">
      <c r="A1807" s="545">
        <v>44905.0</v>
      </c>
      <c r="B1807" s="232" t="s">
        <v>29329</v>
      </c>
      <c r="C1807" s="509" t="s">
        <v>9622</v>
      </c>
      <c r="D1807" s="511"/>
      <c r="E1807" s="510"/>
      <c r="F1807" s="312"/>
      <c r="G1807" s="232" t="s">
        <v>29210</v>
      </c>
      <c r="H1807" s="232">
        <v>9.337791417E9</v>
      </c>
      <c r="I1807" s="509" t="s">
        <v>29330</v>
      </c>
      <c r="J1807" s="232" t="b">
        <v>0</v>
      </c>
      <c r="K1807" s="232" t="s">
        <v>29223</v>
      </c>
      <c r="L1807" s="232" t="s">
        <v>29331</v>
      </c>
      <c r="M1807" s="511"/>
      <c r="N1807" s="232"/>
      <c r="O1807" s="232"/>
      <c r="P1807" s="312"/>
      <c r="Q1807" s="312"/>
      <c r="R1807" s="312"/>
      <c r="S1807" s="312"/>
      <c r="T1807" s="312"/>
      <c r="U1807" s="312"/>
    </row>
    <row r="1808">
      <c r="A1808" s="545">
        <v>44905.0</v>
      </c>
      <c r="B1808" s="232" t="s">
        <v>29332</v>
      </c>
      <c r="C1808" s="509" t="s">
        <v>29333</v>
      </c>
      <c r="D1808" s="511"/>
      <c r="E1808" s="510"/>
      <c r="F1808" s="232" t="s">
        <v>29334</v>
      </c>
      <c r="G1808" s="232" t="s">
        <v>29335</v>
      </c>
      <c r="H1808" s="232">
        <v>9.830092716E9</v>
      </c>
      <c r="I1808" s="509" t="s">
        <v>28531</v>
      </c>
      <c r="J1808" s="232" t="b">
        <v>0</v>
      </c>
      <c r="K1808" s="232" t="s">
        <v>22365</v>
      </c>
      <c r="L1808" s="232" t="s">
        <v>29336</v>
      </c>
      <c r="M1808" s="511"/>
      <c r="N1808" s="232"/>
      <c r="O1808" s="232"/>
      <c r="P1808" s="312"/>
      <c r="Q1808" s="312"/>
      <c r="R1808" s="312"/>
      <c r="S1808" s="312"/>
      <c r="T1808" s="312"/>
      <c r="U1808" s="312"/>
    </row>
    <row r="1809">
      <c r="A1809" s="545">
        <v>44905.0</v>
      </c>
      <c r="B1809" s="232" t="s">
        <v>29337</v>
      </c>
      <c r="C1809" s="509" t="s">
        <v>29338</v>
      </c>
      <c r="D1809" s="511"/>
      <c r="E1809" s="511"/>
      <c r="F1809" s="232"/>
      <c r="G1809" s="232" t="s">
        <v>27170</v>
      </c>
      <c r="H1809" s="232">
        <v>8.777780115E9</v>
      </c>
      <c r="I1809" s="509" t="s">
        <v>22354</v>
      </c>
      <c r="J1809" s="232" t="b">
        <v>0</v>
      </c>
      <c r="K1809" s="312" t="s">
        <v>334</v>
      </c>
      <c r="L1809" s="232" t="s">
        <v>29339</v>
      </c>
      <c r="M1809" s="511"/>
      <c r="N1809" s="312"/>
      <c r="O1809" s="232"/>
      <c r="P1809" s="312"/>
      <c r="Q1809" s="312"/>
      <c r="R1809" s="312"/>
      <c r="S1809" s="312"/>
      <c r="T1809" s="312"/>
      <c r="U1809" s="312"/>
    </row>
    <row r="1810">
      <c r="A1810" s="545">
        <v>44905.0</v>
      </c>
      <c r="B1810" s="232" t="s">
        <v>29340</v>
      </c>
      <c r="C1810" s="509" t="s">
        <v>16769</v>
      </c>
      <c r="D1810" s="511"/>
      <c r="E1810" s="511"/>
      <c r="F1810" s="232" t="s">
        <v>29341</v>
      </c>
      <c r="G1810" s="232" t="s">
        <v>29342</v>
      </c>
      <c r="H1810" s="232">
        <v>8.340675791E9</v>
      </c>
      <c r="I1810" s="509" t="s">
        <v>27962</v>
      </c>
      <c r="J1810" s="232" t="b">
        <v>0</v>
      </c>
      <c r="K1810" s="232" t="s">
        <v>22365</v>
      </c>
      <c r="L1810" s="232" t="s">
        <v>29343</v>
      </c>
      <c r="M1810" s="511"/>
      <c r="N1810" s="232"/>
      <c r="O1810" s="232"/>
      <c r="P1810" s="312"/>
      <c r="Q1810" s="312"/>
      <c r="R1810" s="312"/>
      <c r="S1810" s="312"/>
      <c r="T1810" s="312"/>
      <c r="U1810" s="312"/>
    </row>
    <row r="1811">
      <c r="A1811" s="545">
        <v>44905.0</v>
      </c>
      <c r="B1811" s="232" t="s">
        <v>29344</v>
      </c>
      <c r="C1811" s="509" t="s">
        <v>29345</v>
      </c>
      <c r="D1811" s="511"/>
      <c r="E1811" s="511"/>
      <c r="F1811" s="232" t="s">
        <v>29346</v>
      </c>
      <c r="G1811" s="232" t="s">
        <v>29347</v>
      </c>
      <c r="H1811" s="232">
        <v>9.532163936E9</v>
      </c>
      <c r="I1811" s="509" t="s">
        <v>29348</v>
      </c>
      <c r="J1811" s="312" t="b">
        <v>0</v>
      </c>
      <c r="K1811" s="232" t="s">
        <v>22365</v>
      </c>
      <c r="L1811" s="232" t="s">
        <v>23537</v>
      </c>
      <c r="M1811" s="511"/>
      <c r="N1811" s="312"/>
      <c r="O1811" s="312"/>
      <c r="P1811" s="312"/>
      <c r="Q1811" s="312"/>
      <c r="R1811" s="312"/>
      <c r="S1811" s="312"/>
      <c r="T1811" s="312"/>
      <c r="U1811" s="312"/>
    </row>
    <row r="1812">
      <c r="A1812" s="545">
        <v>44905.0</v>
      </c>
      <c r="B1812" s="232" t="s">
        <v>29349</v>
      </c>
      <c r="C1812" s="509" t="s">
        <v>29350</v>
      </c>
      <c r="D1812" s="511"/>
      <c r="E1812" s="511"/>
      <c r="F1812" s="232" t="s">
        <v>29351</v>
      </c>
      <c r="G1812" s="232" t="s">
        <v>44</v>
      </c>
      <c r="H1812" s="232">
        <v>8.420745222E9</v>
      </c>
      <c r="I1812" s="509" t="s">
        <v>27721</v>
      </c>
      <c r="J1812" s="232" t="b">
        <v>0</v>
      </c>
      <c r="K1812" s="312" t="s">
        <v>334</v>
      </c>
      <c r="L1812" s="232" t="s">
        <v>29352</v>
      </c>
      <c r="M1812" s="511"/>
      <c r="N1812" s="312"/>
      <c r="O1812" s="232"/>
      <c r="P1812" s="312"/>
      <c r="Q1812" s="312"/>
      <c r="R1812" s="312"/>
      <c r="S1812" s="312"/>
      <c r="T1812" s="312"/>
      <c r="U1812" s="312"/>
    </row>
    <row r="1813">
      <c r="A1813" s="545">
        <v>44905.0</v>
      </c>
      <c r="B1813" s="232" t="s">
        <v>29353</v>
      </c>
      <c r="C1813" s="509" t="s">
        <v>29354</v>
      </c>
      <c r="D1813" s="511"/>
      <c r="E1813" s="511"/>
      <c r="F1813" s="232" t="s">
        <v>29355</v>
      </c>
      <c r="G1813" s="232" t="s">
        <v>44</v>
      </c>
      <c r="H1813" s="232">
        <v>8.777704178E9</v>
      </c>
      <c r="I1813" s="512" t="s">
        <v>29356</v>
      </c>
      <c r="J1813" s="232" t="b">
        <v>0</v>
      </c>
      <c r="K1813" s="312" t="s">
        <v>334</v>
      </c>
      <c r="L1813" s="232" t="s">
        <v>29352</v>
      </c>
      <c r="M1813" s="511"/>
      <c r="N1813" s="312"/>
      <c r="O1813" s="232"/>
      <c r="P1813" s="312"/>
      <c r="Q1813" s="312"/>
      <c r="R1813" s="312"/>
      <c r="S1813" s="312"/>
      <c r="T1813" s="312"/>
      <c r="U1813" s="312"/>
    </row>
    <row r="1814">
      <c r="A1814" s="545">
        <v>44905.0</v>
      </c>
      <c r="B1814" s="232" t="s">
        <v>29357</v>
      </c>
      <c r="C1814" s="509" t="s">
        <v>29358</v>
      </c>
      <c r="D1814" s="511"/>
      <c r="E1814" s="511"/>
      <c r="F1814" s="232" t="s">
        <v>29359</v>
      </c>
      <c r="G1814" s="232" t="s">
        <v>191</v>
      </c>
      <c r="H1814" s="232">
        <v>9.232396514E9</v>
      </c>
      <c r="I1814" s="509" t="s">
        <v>29360</v>
      </c>
      <c r="J1814" s="232" t="b">
        <v>0</v>
      </c>
      <c r="K1814" s="312" t="s">
        <v>334</v>
      </c>
      <c r="L1814" s="232" t="s">
        <v>29361</v>
      </c>
      <c r="M1814" s="511"/>
      <c r="N1814" s="312"/>
      <c r="O1814" s="232"/>
      <c r="P1814" s="312"/>
      <c r="Q1814" s="312"/>
      <c r="R1814" s="312"/>
      <c r="S1814" s="312"/>
      <c r="T1814" s="312"/>
      <c r="U1814" s="312"/>
    </row>
    <row r="1815">
      <c r="A1815" s="545">
        <v>44875.0</v>
      </c>
      <c r="B1815" s="232" t="s">
        <v>29362</v>
      </c>
      <c r="C1815" s="509" t="s">
        <v>29363</v>
      </c>
      <c r="D1815" s="511"/>
      <c r="E1815" s="511"/>
      <c r="F1815" s="232"/>
      <c r="G1815" s="232"/>
      <c r="H1815" s="232">
        <v>9.598991145E9</v>
      </c>
      <c r="I1815" s="509" t="s">
        <v>23871</v>
      </c>
      <c r="J1815" s="232" t="b">
        <v>0</v>
      </c>
      <c r="K1815" s="232" t="s">
        <v>22365</v>
      </c>
      <c r="L1815" s="232" t="s">
        <v>29364</v>
      </c>
      <c r="M1815" s="511"/>
      <c r="N1815" s="232"/>
      <c r="O1815" s="232"/>
      <c r="P1815" s="312"/>
      <c r="Q1815" s="312"/>
      <c r="R1815" s="312"/>
      <c r="S1815" s="312"/>
      <c r="T1815" s="312"/>
      <c r="U1815" s="312"/>
    </row>
    <row r="1816">
      <c r="A1816" s="545">
        <v>44875.0</v>
      </c>
      <c r="B1816" s="232" t="s">
        <v>29365</v>
      </c>
      <c r="C1816" s="509" t="s">
        <v>29366</v>
      </c>
      <c r="D1816" s="511"/>
      <c r="E1816" s="511"/>
      <c r="F1816" s="232" t="s">
        <v>29367</v>
      </c>
      <c r="G1816" s="232" t="s">
        <v>29368</v>
      </c>
      <c r="H1816" s="232">
        <v>9.830066272E9</v>
      </c>
      <c r="I1816" s="512" t="s">
        <v>29369</v>
      </c>
      <c r="J1816" s="425" t="b">
        <v>0</v>
      </c>
      <c r="K1816" s="312" t="s">
        <v>22349</v>
      </c>
      <c r="L1816" s="425" t="s">
        <v>29370</v>
      </c>
      <c r="M1816" s="511"/>
      <c r="N1816" s="312"/>
      <c r="O1816" s="425"/>
      <c r="P1816" s="312"/>
      <c r="Q1816" s="312"/>
      <c r="R1816" s="312"/>
      <c r="S1816" s="312"/>
      <c r="T1816" s="312"/>
      <c r="U1816" s="312"/>
    </row>
    <row r="1817">
      <c r="A1817" s="546">
        <v>44875.0</v>
      </c>
      <c r="B1817" s="514" t="s">
        <v>29371</v>
      </c>
      <c r="C1817" s="515" t="s">
        <v>29372</v>
      </c>
      <c r="D1817" s="517"/>
      <c r="E1817" s="517"/>
      <c r="F1817" s="547"/>
      <c r="G1817" s="514" t="s">
        <v>28639</v>
      </c>
      <c r="H1817" s="514">
        <v>9.090893039E9</v>
      </c>
      <c r="I1817" s="515" t="s">
        <v>29373</v>
      </c>
      <c r="J1817" s="514" t="b">
        <v>0</v>
      </c>
      <c r="K1817" s="547" t="s">
        <v>22312</v>
      </c>
      <c r="L1817" s="514" t="s">
        <v>29374</v>
      </c>
      <c r="M1817" s="511"/>
      <c r="N1817" s="312"/>
      <c r="O1817" s="514"/>
      <c r="P1817" s="312"/>
      <c r="Q1817" s="312"/>
      <c r="R1817" s="312"/>
      <c r="S1817" s="312"/>
      <c r="T1817" s="312"/>
      <c r="U1817" s="312"/>
    </row>
    <row r="1818">
      <c r="A1818" s="545">
        <v>44875.0</v>
      </c>
      <c r="B1818" s="232" t="s">
        <v>29375</v>
      </c>
      <c r="C1818" s="509" t="s">
        <v>29376</v>
      </c>
      <c r="D1818" s="511"/>
      <c r="E1818" s="511"/>
      <c r="F1818" s="232" t="s">
        <v>29377</v>
      </c>
      <c r="G1818" s="232" t="s">
        <v>22292</v>
      </c>
      <c r="H1818" s="232">
        <v>-9.819586292E9</v>
      </c>
      <c r="I1818" s="509" t="s">
        <v>29378</v>
      </c>
      <c r="J1818" s="312" t="b">
        <v>0</v>
      </c>
      <c r="K1818" s="232" t="s">
        <v>12092</v>
      </c>
      <c r="L1818" s="312"/>
      <c r="M1818" s="511"/>
      <c r="N1818" s="312"/>
      <c r="O1818" s="312"/>
      <c r="P1818" s="312"/>
      <c r="Q1818" s="312"/>
      <c r="R1818" s="312"/>
      <c r="S1818" s="312"/>
      <c r="T1818" s="312"/>
      <c r="U1818" s="312"/>
    </row>
    <row r="1819">
      <c r="A1819" s="545">
        <v>44875.0</v>
      </c>
      <c r="B1819" s="232" t="s">
        <v>29379</v>
      </c>
      <c r="C1819" s="509" t="s">
        <v>29380</v>
      </c>
      <c r="D1819" s="511"/>
      <c r="E1819" s="511"/>
      <c r="F1819" s="232" t="s">
        <v>29381</v>
      </c>
      <c r="G1819" s="232" t="s">
        <v>25488</v>
      </c>
      <c r="H1819" s="232">
        <v>9.749768018E9</v>
      </c>
      <c r="I1819" s="509" t="s">
        <v>22577</v>
      </c>
      <c r="J1819" s="312" t="b">
        <v>0</v>
      </c>
      <c r="K1819" s="232" t="s">
        <v>12092</v>
      </c>
      <c r="L1819" s="312"/>
      <c r="M1819" s="511"/>
      <c r="N1819" s="312"/>
      <c r="O1819" s="312"/>
      <c r="P1819" s="312"/>
      <c r="Q1819" s="312"/>
      <c r="R1819" s="312"/>
      <c r="S1819" s="312"/>
      <c r="T1819" s="312"/>
      <c r="U1819" s="312"/>
    </row>
    <row r="1820">
      <c r="A1820" s="545">
        <v>44875.0</v>
      </c>
      <c r="B1820" s="232" t="s">
        <v>29382</v>
      </c>
      <c r="C1820" s="509" t="s">
        <v>17993</v>
      </c>
      <c r="D1820" s="511"/>
      <c r="E1820" s="511"/>
      <c r="F1820" s="312"/>
      <c r="G1820" s="232" t="s">
        <v>23598</v>
      </c>
      <c r="H1820" s="232">
        <v>7.488900189E9</v>
      </c>
      <c r="I1820" s="509" t="s">
        <v>29383</v>
      </c>
      <c r="J1820" s="234" t="b">
        <v>0</v>
      </c>
      <c r="K1820" s="232" t="s">
        <v>22349</v>
      </c>
      <c r="L1820" s="233" t="s">
        <v>29384</v>
      </c>
      <c r="M1820" s="511"/>
      <c r="N1820" s="312"/>
      <c r="O1820" s="234"/>
      <c r="P1820" s="312"/>
      <c r="Q1820" s="312"/>
      <c r="R1820" s="312"/>
      <c r="S1820" s="312"/>
      <c r="T1820" s="312"/>
      <c r="U1820" s="312"/>
    </row>
    <row r="1821">
      <c r="A1821" s="545">
        <v>44875.0</v>
      </c>
      <c r="B1821" s="232" t="s">
        <v>29385</v>
      </c>
      <c r="C1821" s="509" t="s">
        <v>29126</v>
      </c>
      <c r="D1821" s="511"/>
      <c r="E1821" s="511"/>
      <c r="F1821" s="232" t="s">
        <v>29386</v>
      </c>
      <c r="G1821" s="232" t="s">
        <v>22292</v>
      </c>
      <c r="H1821" s="232">
        <v>-9.004023023E9</v>
      </c>
      <c r="I1821" s="509" t="s">
        <v>29387</v>
      </c>
      <c r="J1821" s="312" t="b">
        <v>0</v>
      </c>
      <c r="K1821" s="232" t="s">
        <v>334</v>
      </c>
      <c r="L1821" s="232" t="s">
        <v>29388</v>
      </c>
      <c r="M1821" s="511"/>
      <c r="N1821" s="312"/>
      <c r="O1821" s="312"/>
      <c r="P1821" s="312"/>
      <c r="Q1821" s="312"/>
      <c r="R1821" s="312"/>
      <c r="S1821" s="312"/>
      <c r="T1821" s="312"/>
      <c r="U1821" s="312"/>
    </row>
    <row r="1822">
      <c r="A1822" s="545">
        <v>44875.0</v>
      </c>
      <c r="B1822" s="232" t="s">
        <v>29389</v>
      </c>
      <c r="C1822" s="509" t="s">
        <v>29390</v>
      </c>
      <c r="D1822" s="511"/>
      <c r="E1822" s="511"/>
      <c r="F1822" s="232" t="s">
        <v>29391</v>
      </c>
      <c r="G1822" s="232" t="s">
        <v>372</v>
      </c>
      <c r="H1822" s="232">
        <v>9.833092572E9</v>
      </c>
      <c r="I1822" s="509" t="s">
        <v>24404</v>
      </c>
      <c r="J1822" s="312" t="b">
        <v>0</v>
      </c>
      <c r="K1822" s="232" t="s">
        <v>12092</v>
      </c>
      <c r="L1822" s="312"/>
      <c r="M1822" s="511"/>
      <c r="N1822" s="312"/>
      <c r="O1822" s="312"/>
      <c r="P1822" s="312"/>
      <c r="Q1822" s="312"/>
      <c r="R1822" s="312"/>
      <c r="S1822" s="312"/>
      <c r="T1822" s="312"/>
      <c r="U1822" s="312"/>
    </row>
    <row r="1823">
      <c r="A1823" s="545">
        <v>44875.0</v>
      </c>
      <c r="B1823" s="232" t="s">
        <v>29392</v>
      </c>
      <c r="C1823" s="509" t="s">
        <v>29393</v>
      </c>
      <c r="D1823" s="511"/>
      <c r="E1823" s="511"/>
      <c r="F1823" s="232" t="s">
        <v>29394</v>
      </c>
      <c r="G1823" s="232" t="s">
        <v>23750</v>
      </c>
      <c r="H1823" s="232">
        <v>9.89480668E9</v>
      </c>
      <c r="I1823" s="509" t="s">
        <v>29395</v>
      </c>
      <c r="J1823" s="232" t="b">
        <v>0</v>
      </c>
      <c r="K1823" s="232" t="s">
        <v>22365</v>
      </c>
      <c r="L1823" s="232" t="s">
        <v>24196</v>
      </c>
      <c r="M1823" s="511"/>
      <c r="N1823" s="232"/>
      <c r="O1823" s="232"/>
      <c r="P1823" s="312"/>
      <c r="Q1823" s="312"/>
      <c r="R1823" s="312"/>
      <c r="S1823" s="312"/>
      <c r="T1823" s="312"/>
      <c r="U1823" s="312"/>
    </row>
    <row r="1824">
      <c r="A1824" s="545">
        <v>44875.0</v>
      </c>
      <c r="B1824" s="232" t="s">
        <v>29396</v>
      </c>
      <c r="C1824" s="509" t="s">
        <v>29397</v>
      </c>
      <c r="D1824" s="511"/>
      <c r="E1824" s="511"/>
      <c r="F1824" s="232" t="s">
        <v>29398</v>
      </c>
      <c r="G1824" s="232" t="s">
        <v>2612</v>
      </c>
      <c r="H1824" s="232">
        <v>8.602193528E9</v>
      </c>
      <c r="I1824" s="509" t="s">
        <v>23260</v>
      </c>
      <c r="J1824" s="232" t="b">
        <v>0</v>
      </c>
      <c r="K1824" s="232" t="s">
        <v>22365</v>
      </c>
      <c r="L1824" s="232" t="s">
        <v>29336</v>
      </c>
      <c r="M1824" s="511"/>
      <c r="N1824" s="232"/>
      <c r="O1824" s="232"/>
      <c r="P1824" s="312"/>
      <c r="Q1824" s="312"/>
      <c r="R1824" s="312"/>
      <c r="S1824" s="312"/>
      <c r="T1824" s="312"/>
      <c r="U1824" s="312"/>
    </row>
    <row r="1825">
      <c r="A1825" s="545">
        <v>44875.0</v>
      </c>
      <c r="B1825" s="232" t="s">
        <v>29399</v>
      </c>
      <c r="C1825" s="509" t="s">
        <v>29400</v>
      </c>
      <c r="D1825" s="511"/>
      <c r="E1825" s="511"/>
      <c r="F1825" s="232" t="s">
        <v>29401</v>
      </c>
      <c r="G1825" s="312"/>
      <c r="H1825" s="232">
        <v>7.679548982E9</v>
      </c>
      <c r="I1825" s="509" t="s">
        <v>29402</v>
      </c>
      <c r="J1825" s="312" t="b">
        <v>0</v>
      </c>
      <c r="K1825" s="232" t="s">
        <v>12092</v>
      </c>
      <c r="L1825" s="312"/>
      <c r="M1825" s="511"/>
      <c r="N1825" s="312"/>
      <c r="O1825" s="312"/>
      <c r="P1825" s="312"/>
      <c r="Q1825" s="312"/>
      <c r="R1825" s="312"/>
      <c r="S1825" s="312"/>
      <c r="T1825" s="312"/>
      <c r="U1825" s="312"/>
    </row>
    <row r="1826">
      <c r="A1826" s="545">
        <v>44875.0</v>
      </c>
      <c r="B1826" s="232" t="s">
        <v>29403</v>
      </c>
      <c r="C1826" s="509" t="s">
        <v>25993</v>
      </c>
      <c r="D1826" s="511"/>
      <c r="E1826" s="511"/>
      <c r="F1826" s="312"/>
      <c r="G1826" s="312"/>
      <c r="H1826" s="232">
        <v>9.332811259E9</v>
      </c>
      <c r="I1826" s="509" t="s">
        <v>22727</v>
      </c>
      <c r="J1826" s="312" t="b">
        <v>0</v>
      </c>
      <c r="K1826" s="232" t="s">
        <v>334</v>
      </c>
      <c r="L1826" s="312"/>
      <c r="M1826" s="511"/>
      <c r="N1826" s="312"/>
      <c r="O1826" s="312"/>
      <c r="P1826" s="312"/>
      <c r="Q1826" s="312"/>
      <c r="R1826" s="312"/>
      <c r="S1826" s="312"/>
      <c r="T1826" s="312"/>
      <c r="U1826" s="312"/>
    </row>
    <row r="1827">
      <c r="A1827" s="545">
        <v>44875.0</v>
      </c>
      <c r="B1827" s="232" t="s">
        <v>29404</v>
      </c>
      <c r="C1827" s="509" t="s">
        <v>29405</v>
      </c>
      <c r="D1827" s="511"/>
      <c r="E1827" s="511"/>
      <c r="F1827" s="232" t="s">
        <v>29406</v>
      </c>
      <c r="G1827" s="232" t="s">
        <v>29407</v>
      </c>
      <c r="H1827" s="232">
        <v>9.935933504E9</v>
      </c>
      <c r="I1827" s="509" t="s">
        <v>25504</v>
      </c>
      <c r="J1827" s="232" t="b">
        <v>0</v>
      </c>
      <c r="K1827" s="312" t="s">
        <v>334</v>
      </c>
      <c r="L1827" s="232" t="s">
        <v>29408</v>
      </c>
      <c r="M1827" s="511"/>
      <c r="N1827" s="312"/>
      <c r="O1827" s="232"/>
      <c r="P1827" s="312"/>
      <c r="Q1827" s="312"/>
      <c r="R1827" s="312"/>
      <c r="S1827" s="312"/>
      <c r="T1827" s="312"/>
      <c r="U1827" s="312"/>
    </row>
    <row r="1828">
      <c r="A1828" s="545">
        <v>44875.0</v>
      </c>
      <c r="B1828" s="232" t="s">
        <v>29409</v>
      </c>
      <c r="C1828" s="509" t="s">
        <v>29410</v>
      </c>
      <c r="D1828" s="511"/>
      <c r="E1828" s="511"/>
      <c r="F1828" s="312"/>
      <c r="G1828" s="232" t="s">
        <v>2503</v>
      </c>
      <c r="H1828" s="232">
        <v>9.4324996E9</v>
      </c>
      <c r="I1828" s="509" t="s">
        <v>29411</v>
      </c>
      <c r="J1828" s="232" t="b">
        <v>0</v>
      </c>
      <c r="K1828" s="312" t="s">
        <v>334</v>
      </c>
      <c r="L1828" s="232" t="s">
        <v>29412</v>
      </c>
      <c r="M1828" s="511"/>
      <c r="N1828" s="312"/>
      <c r="O1828" s="232"/>
      <c r="P1828" s="312"/>
      <c r="Q1828" s="312"/>
      <c r="R1828" s="312"/>
      <c r="S1828" s="312"/>
      <c r="T1828" s="312"/>
      <c r="U1828" s="312"/>
    </row>
    <row r="1829">
      <c r="A1829" s="545">
        <v>44875.0</v>
      </c>
      <c r="B1829" s="232" t="s">
        <v>29413</v>
      </c>
      <c r="C1829" s="509" t="s">
        <v>14561</v>
      </c>
      <c r="D1829" s="511"/>
      <c r="E1829" s="511"/>
      <c r="F1829" s="232" t="s">
        <v>29414</v>
      </c>
      <c r="G1829" s="232" t="s">
        <v>29415</v>
      </c>
      <c r="H1829" s="232">
        <v>8.969979753E9</v>
      </c>
      <c r="I1829" s="509" t="s">
        <v>27768</v>
      </c>
      <c r="J1829" s="232" t="b">
        <v>0</v>
      </c>
      <c r="K1829" s="312" t="s">
        <v>334</v>
      </c>
      <c r="L1829" s="232" t="s">
        <v>29408</v>
      </c>
      <c r="M1829" s="511"/>
      <c r="N1829" s="312"/>
      <c r="O1829" s="232"/>
      <c r="P1829" s="312"/>
      <c r="Q1829" s="312"/>
      <c r="R1829" s="312"/>
      <c r="S1829" s="312"/>
      <c r="T1829" s="312"/>
      <c r="U1829" s="312"/>
    </row>
    <row r="1830">
      <c r="A1830" s="546">
        <v>44875.0</v>
      </c>
      <c r="B1830" s="514" t="s">
        <v>29416</v>
      </c>
      <c r="C1830" s="515" t="s">
        <v>2419</v>
      </c>
      <c r="D1830" s="517"/>
      <c r="E1830" s="517"/>
      <c r="F1830" s="514" t="s">
        <v>29417</v>
      </c>
      <c r="G1830" s="514" t="s">
        <v>638</v>
      </c>
      <c r="H1830" s="514">
        <v>7.797627997E9</v>
      </c>
      <c r="I1830" s="515" t="s">
        <v>25653</v>
      </c>
      <c r="J1830" s="514" t="b">
        <v>0</v>
      </c>
      <c r="K1830" s="547" t="s">
        <v>22312</v>
      </c>
      <c r="L1830" s="514" t="s">
        <v>29418</v>
      </c>
      <c r="M1830" s="511"/>
      <c r="N1830" s="312"/>
      <c r="O1830" s="514"/>
      <c r="P1830" s="312"/>
      <c r="Q1830" s="312"/>
      <c r="R1830" s="312"/>
      <c r="S1830" s="312"/>
      <c r="T1830" s="312"/>
      <c r="U1830" s="312"/>
    </row>
    <row r="1831">
      <c r="A1831" s="545">
        <v>44875.0</v>
      </c>
      <c r="B1831" s="232" t="s">
        <v>29419</v>
      </c>
      <c r="C1831" s="509" t="s">
        <v>23994</v>
      </c>
      <c r="D1831" s="511"/>
      <c r="E1831" s="511"/>
      <c r="F1831" s="232" t="s">
        <v>29420</v>
      </c>
      <c r="G1831" s="232" t="s">
        <v>6644</v>
      </c>
      <c r="H1831" s="232">
        <v>7.488871909E9</v>
      </c>
      <c r="I1831" s="509" t="s">
        <v>29421</v>
      </c>
      <c r="J1831" s="312" t="b">
        <v>0</v>
      </c>
      <c r="K1831" s="312"/>
      <c r="L1831" s="312"/>
      <c r="M1831" s="511"/>
      <c r="N1831" s="312"/>
      <c r="O1831" s="312"/>
      <c r="P1831" s="312"/>
      <c r="Q1831" s="312"/>
      <c r="R1831" s="312"/>
      <c r="S1831" s="312"/>
      <c r="T1831" s="312"/>
      <c r="U1831" s="312"/>
    </row>
    <row r="1832">
      <c r="A1832" s="545">
        <v>44844.0</v>
      </c>
      <c r="B1832" s="232" t="s">
        <v>29422</v>
      </c>
      <c r="C1832" s="509" t="s">
        <v>17835</v>
      </c>
      <c r="D1832" s="511"/>
      <c r="E1832" s="511"/>
      <c r="F1832" s="232" t="s">
        <v>0</v>
      </c>
      <c r="G1832" s="232" t="s">
        <v>22421</v>
      </c>
      <c r="H1832" s="232">
        <v>9.284952978E9</v>
      </c>
      <c r="I1832" s="509" t="s">
        <v>29423</v>
      </c>
      <c r="J1832" s="232" t="b">
        <v>0</v>
      </c>
      <c r="K1832" s="312" t="s">
        <v>12092</v>
      </c>
      <c r="L1832" s="232" t="s">
        <v>29424</v>
      </c>
      <c r="M1832" s="511"/>
      <c r="N1832" s="312"/>
      <c r="O1832" s="232"/>
      <c r="P1832" s="312"/>
      <c r="Q1832" s="312"/>
      <c r="R1832" s="312"/>
      <c r="S1832" s="312"/>
      <c r="T1832" s="312"/>
      <c r="U1832" s="312"/>
    </row>
    <row r="1833">
      <c r="A1833" s="545">
        <v>44844.0</v>
      </c>
      <c r="B1833" s="232" t="s">
        <v>29425</v>
      </c>
      <c r="C1833" s="509" t="s">
        <v>29426</v>
      </c>
      <c r="D1833" s="511"/>
      <c r="E1833" s="511"/>
      <c r="F1833" s="232" t="s">
        <v>29427</v>
      </c>
      <c r="G1833" s="232" t="s">
        <v>268</v>
      </c>
      <c r="H1833" s="232">
        <v>-7.478569113E9</v>
      </c>
      <c r="I1833" s="509" t="s">
        <v>22794</v>
      </c>
      <c r="J1833" s="232" t="b">
        <v>0</v>
      </c>
      <c r="K1833" s="232" t="s">
        <v>22365</v>
      </c>
      <c r="L1833" s="232" t="s">
        <v>29336</v>
      </c>
      <c r="M1833" s="511"/>
      <c r="N1833" s="232"/>
      <c r="O1833" s="232"/>
      <c r="P1833" s="312"/>
      <c r="Q1833" s="312"/>
      <c r="R1833" s="312"/>
      <c r="S1833" s="312"/>
      <c r="T1833" s="312"/>
      <c r="U1833" s="312"/>
    </row>
    <row r="1834">
      <c r="A1834" s="545">
        <v>44844.0</v>
      </c>
      <c r="B1834" s="232" t="s">
        <v>29428</v>
      </c>
      <c r="C1834" s="509" t="s">
        <v>28620</v>
      </c>
      <c r="D1834" s="511"/>
      <c r="E1834" s="511"/>
      <c r="F1834" s="312"/>
      <c r="G1834" s="232" t="s">
        <v>22292</v>
      </c>
      <c r="H1834" s="232">
        <v>7.045052925E9</v>
      </c>
      <c r="I1834" s="509" t="s">
        <v>29429</v>
      </c>
      <c r="J1834" s="232" t="b">
        <v>0</v>
      </c>
      <c r="K1834" s="232" t="s">
        <v>29223</v>
      </c>
      <c r="L1834" s="232" t="s">
        <v>29430</v>
      </c>
      <c r="M1834" s="511"/>
      <c r="N1834" s="232"/>
      <c r="O1834" s="232"/>
      <c r="P1834" s="312"/>
      <c r="Q1834" s="312"/>
      <c r="R1834" s="312"/>
      <c r="S1834" s="312"/>
      <c r="T1834" s="312"/>
      <c r="U1834" s="312"/>
    </row>
    <row r="1835">
      <c r="A1835" s="545">
        <v>44844.0</v>
      </c>
      <c r="B1835" s="232" t="s">
        <v>29431</v>
      </c>
      <c r="C1835" s="509" t="s">
        <v>2812</v>
      </c>
      <c r="D1835" s="511"/>
      <c r="E1835" s="511"/>
      <c r="F1835" s="312"/>
      <c r="G1835" s="232" t="s">
        <v>99</v>
      </c>
      <c r="H1835" s="232">
        <v>-8.249892306E9</v>
      </c>
      <c r="I1835" s="509" t="s">
        <v>4786</v>
      </c>
      <c r="J1835" s="232" t="b">
        <v>0</v>
      </c>
      <c r="K1835" s="312" t="s">
        <v>334</v>
      </c>
      <c r="L1835" s="232" t="s">
        <v>29408</v>
      </c>
      <c r="M1835" s="511"/>
      <c r="N1835" s="312"/>
      <c r="O1835" s="232"/>
      <c r="P1835" s="312"/>
      <c r="Q1835" s="312"/>
      <c r="R1835" s="312"/>
      <c r="S1835" s="312"/>
      <c r="T1835" s="312"/>
      <c r="U1835" s="312"/>
    </row>
    <row r="1836">
      <c r="A1836" s="545">
        <v>44844.0</v>
      </c>
      <c r="B1836" s="232" t="s">
        <v>29432</v>
      </c>
      <c r="C1836" s="509" t="s">
        <v>29433</v>
      </c>
      <c r="D1836" s="511"/>
      <c r="E1836" s="511"/>
      <c r="F1836" s="312"/>
      <c r="G1836" s="232" t="s">
        <v>22564</v>
      </c>
      <c r="H1836" s="232">
        <v>9.555609565E9</v>
      </c>
      <c r="I1836" s="509" t="s">
        <v>29434</v>
      </c>
      <c r="J1836" s="232" t="b">
        <v>0</v>
      </c>
      <c r="K1836" s="312" t="s">
        <v>334</v>
      </c>
      <c r="L1836" s="232" t="s">
        <v>29435</v>
      </c>
      <c r="M1836" s="511"/>
      <c r="N1836" s="312"/>
      <c r="O1836" s="232"/>
      <c r="P1836" s="312"/>
      <c r="Q1836" s="312"/>
      <c r="R1836" s="312"/>
      <c r="S1836" s="312"/>
      <c r="T1836" s="312"/>
      <c r="U1836" s="312"/>
    </row>
    <row r="1837">
      <c r="A1837" s="545">
        <v>44844.0</v>
      </c>
      <c r="B1837" s="232" t="s">
        <v>29436</v>
      </c>
      <c r="C1837" s="509" t="s">
        <v>29437</v>
      </c>
      <c r="D1837" s="511"/>
      <c r="E1837" s="511"/>
      <c r="F1837" s="232" t="s">
        <v>29438</v>
      </c>
      <c r="G1837" s="232" t="s">
        <v>44</v>
      </c>
      <c r="H1837" s="232">
        <v>9.804641285E9</v>
      </c>
      <c r="I1837" s="509" t="s">
        <v>22364</v>
      </c>
      <c r="J1837" s="232" t="b">
        <v>0</v>
      </c>
      <c r="K1837" s="312" t="s">
        <v>12092</v>
      </c>
      <c r="L1837" s="232" t="s">
        <v>29424</v>
      </c>
      <c r="M1837" s="511"/>
      <c r="N1837" s="312"/>
      <c r="O1837" s="232"/>
      <c r="P1837" s="312"/>
      <c r="Q1837" s="312"/>
      <c r="R1837" s="312"/>
      <c r="S1837" s="312"/>
      <c r="T1837" s="312"/>
      <c r="U1837" s="312"/>
    </row>
    <row r="1838">
      <c r="A1838" s="545">
        <v>44844.0</v>
      </c>
      <c r="B1838" s="232" t="s">
        <v>29439</v>
      </c>
      <c r="C1838" s="509" t="s">
        <v>29440</v>
      </c>
      <c r="D1838" s="511"/>
      <c r="E1838" s="511"/>
      <c r="F1838" s="312"/>
      <c r="G1838" s="232" t="s">
        <v>44</v>
      </c>
      <c r="H1838" s="232">
        <v>8.82530116E9</v>
      </c>
      <c r="I1838" s="509" t="s">
        <v>29441</v>
      </c>
      <c r="J1838" s="232" t="b">
        <v>0</v>
      </c>
      <c r="K1838" s="232" t="s">
        <v>29223</v>
      </c>
      <c r="L1838" s="232" t="s">
        <v>29430</v>
      </c>
      <c r="M1838" s="511"/>
      <c r="N1838" s="232"/>
      <c r="O1838" s="232"/>
      <c r="P1838" s="312"/>
      <c r="Q1838" s="312"/>
      <c r="R1838" s="312"/>
      <c r="S1838" s="312"/>
      <c r="T1838" s="312"/>
      <c r="U1838" s="312"/>
    </row>
    <row r="1839">
      <c r="A1839" s="545">
        <v>44844.0</v>
      </c>
      <c r="B1839" s="232" t="s">
        <v>29442</v>
      </c>
      <c r="C1839" s="509" t="s">
        <v>29443</v>
      </c>
      <c r="D1839" s="511"/>
      <c r="E1839" s="511"/>
      <c r="F1839" s="232" t="s">
        <v>29444</v>
      </c>
      <c r="G1839" s="232" t="s">
        <v>29445</v>
      </c>
      <c r="H1839" s="232">
        <v>8.018069889E9</v>
      </c>
      <c r="I1839" s="509" t="s">
        <v>29446</v>
      </c>
      <c r="J1839" s="233" t="b">
        <v>0</v>
      </c>
      <c r="K1839" s="232" t="s">
        <v>29223</v>
      </c>
      <c r="L1839" s="233" t="s">
        <v>29430</v>
      </c>
      <c r="M1839" s="511"/>
      <c r="N1839" s="232"/>
      <c r="O1839" s="233"/>
      <c r="P1839" s="312"/>
      <c r="Q1839" s="312"/>
      <c r="R1839" s="312"/>
      <c r="S1839" s="312"/>
      <c r="T1839" s="312"/>
      <c r="U1839" s="312"/>
    </row>
    <row r="1840">
      <c r="A1840" s="545">
        <v>44844.0</v>
      </c>
      <c r="B1840" s="232" t="s">
        <v>29447</v>
      </c>
      <c r="C1840" s="509" t="s">
        <v>29448</v>
      </c>
      <c r="D1840" s="511"/>
      <c r="E1840" s="511"/>
      <c r="F1840" s="232" t="s">
        <v>29449</v>
      </c>
      <c r="G1840" s="232" t="s">
        <v>29450</v>
      </c>
      <c r="H1840" s="232">
        <v>7.970753567E9</v>
      </c>
      <c r="I1840" s="509" t="s">
        <v>29451</v>
      </c>
      <c r="J1840" s="232" t="b">
        <v>0</v>
      </c>
      <c r="K1840" s="312" t="s">
        <v>334</v>
      </c>
      <c r="L1840" s="232" t="s">
        <v>29339</v>
      </c>
      <c r="M1840" s="511"/>
      <c r="N1840" s="312"/>
      <c r="O1840" s="232"/>
      <c r="P1840" s="312"/>
      <c r="Q1840" s="312"/>
      <c r="R1840" s="312"/>
      <c r="S1840" s="312"/>
      <c r="T1840" s="312"/>
      <c r="U1840" s="312"/>
    </row>
    <row r="1841">
      <c r="A1841" s="548">
        <v>44783.0</v>
      </c>
      <c r="B1841" s="232" t="s">
        <v>29452</v>
      </c>
      <c r="C1841" s="509" t="s">
        <v>29453</v>
      </c>
      <c r="D1841" s="510" t="s">
        <v>29454</v>
      </c>
      <c r="E1841" s="511"/>
      <c r="F1841" s="312"/>
      <c r="G1841" s="232" t="s">
        <v>26659</v>
      </c>
      <c r="H1841" s="232">
        <v>7.017946611E9</v>
      </c>
      <c r="I1841" s="509" t="s">
        <v>23871</v>
      </c>
      <c r="J1841" s="232" t="b">
        <v>0</v>
      </c>
      <c r="K1841" s="232" t="s">
        <v>22365</v>
      </c>
      <c r="L1841" s="232" t="s">
        <v>29336</v>
      </c>
      <c r="M1841" s="511"/>
      <c r="N1841" s="232"/>
      <c r="O1841" s="232"/>
      <c r="P1841" s="312"/>
      <c r="Q1841" s="312"/>
      <c r="R1841" s="312"/>
      <c r="S1841" s="312"/>
      <c r="T1841" s="312"/>
      <c r="U1841" s="312"/>
    </row>
    <row r="1842">
      <c r="A1842" s="548">
        <v>44783.0</v>
      </c>
      <c r="B1842" s="232" t="s">
        <v>29455</v>
      </c>
      <c r="C1842" s="509" t="s">
        <v>29456</v>
      </c>
      <c r="D1842" s="511"/>
      <c r="E1842" s="511"/>
      <c r="F1842" s="232" t="s">
        <v>29457</v>
      </c>
      <c r="G1842" s="232" t="s">
        <v>29458</v>
      </c>
      <c r="H1842" s="232">
        <v>9.769829908E9</v>
      </c>
      <c r="I1842" s="549" t="s">
        <v>22553</v>
      </c>
      <c r="J1842" s="232" t="b">
        <v>0</v>
      </c>
      <c r="K1842" s="312" t="s">
        <v>22349</v>
      </c>
      <c r="L1842" s="232" t="s">
        <v>29459</v>
      </c>
      <c r="M1842" s="511"/>
      <c r="N1842" s="312"/>
      <c r="O1842" s="232"/>
      <c r="P1842" s="312"/>
      <c r="Q1842" s="312"/>
      <c r="R1842" s="312"/>
      <c r="S1842" s="312"/>
      <c r="T1842" s="312"/>
      <c r="U1842" s="312"/>
    </row>
    <row r="1843">
      <c r="A1843" s="548">
        <v>44783.0</v>
      </c>
      <c r="B1843" s="232" t="s">
        <v>29460</v>
      </c>
      <c r="C1843" s="509" t="s">
        <v>1730</v>
      </c>
      <c r="D1843" s="511"/>
      <c r="E1843" s="511"/>
      <c r="F1843" s="312"/>
      <c r="G1843" s="232" t="s">
        <v>22724</v>
      </c>
      <c r="H1843" s="232">
        <v>-6.204684434E9</v>
      </c>
      <c r="I1843" s="509" t="s">
        <v>25269</v>
      </c>
      <c r="J1843" s="232" t="b">
        <v>0</v>
      </c>
      <c r="K1843" s="232" t="s">
        <v>29223</v>
      </c>
      <c r="L1843" s="232" t="s">
        <v>29430</v>
      </c>
      <c r="M1843" s="511"/>
      <c r="N1843" s="232"/>
      <c r="O1843" s="232"/>
      <c r="P1843" s="312"/>
      <c r="Q1843" s="312"/>
      <c r="R1843" s="312"/>
      <c r="S1843" s="312"/>
      <c r="T1843" s="312"/>
      <c r="U1843" s="312"/>
    </row>
    <row r="1844">
      <c r="A1844" s="548">
        <v>44783.0</v>
      </c>
      <c r="B1844" s="232" t="s">
        <v>29461</v>
      </c>
      <c r="C1844" s="509" t="s">
        <v>21852</v>
      </c>
      <c r="D1844" s="511"/>
      <c r="E1844" s="511"/>
      <c r="F1844" s="232" t="s">
        <v>29462</v>
      </c>
      <c r="G1844" s="232" t="s">
        <v>22803</v>
      </c>
      <c r="H1844" s="232">
        <v>-7.286909727E9</v>
      </c>
      <c r="I1844" s="509" t="s">
        <v>22565</v>
      </c>
      <c r="J1844" s="232" t="b">
        <v>0</v>
      </c>
      <c r="K1844" s="312" t="s">
        <v>334</v>
      </c>
      <c r="L1844" s="232" t="s">
        <v>29463</v>
      </c>
      <c r="M1844" s="511"/>
      <c r="N1844" s="312"/>
      <c r="O1844" s="232"/>
      <c r="P1844" s="312"/>
      <c r="Q1844" s="312"/>
      <c r="R1844" s="312"/>
      <c r="S1844" s="312"/>
      <c r="T1844" s="312"/>
      <c r="U1844" s="312"/>
    </row>
    <row r="1845">
      <c r="A1845" s="548">
        <v>44783.0</v>
      </c>
      <c r="B1845" s="232" t="s">
        <v>29464</v>
      </c>
      <c r="C1845" s="509" t="s">
        <v>25174</v>
      </c>
      <c r="D1845" s="511"/>
      <c r="E1845" s="511"/>
      <c r="F1845" s="232" t="s">
        <v>27404</v>
      </c>
      <c r="G1845" s="232" t="s">
        <v>507</v>
      </c>
      <c r="H1845" s="232">
        <v>7.020856822E9</v>
      </c>
      <c r="I1845" s="509" t="s">
        <v>22373</v>
      </c>
      <c r="J1845" s="312" t="b">
        <v>0</v>
      </c>
      <c r="K1845" s="232" t="s">
        <v>22349</v>
      </c>
      <c r="L1845" s="232" t="s">
        <v>29465</v>
      </c>
      <c r="M1845" s="511"/>
      <c r="N1845" s="312"/>
      <c r="O1845" s="312"/>
      <c r="P1845" s="312"/>
      <c r="Q1845" s="312"/>
      <c r="R1845" s="312"/>
      <c r="S1845" s="312"/>
      <c r="T1845" s="312"/>
      <c r="U1845" s="312"/>
    </row>
    <row r="1846">
      <c r="A1846" s="548">
        <v>44783.0</v>
      </c>
      <c r="B1846" s="232" t="s">
        <v>29466</v>
      </c>
      <c r="C1846" s="509" t="s">
        <v>29467</v>
      </c>
      <c r="D1846" s="511"/>
      <c r="E1846" s="511"/>
      <c r="F1846" s="312"/>
      <c r="G1846" s="232" t="s">
        <v>22359</v>
      </c>
      <c r="H1846" s="232">
        <v>8.085867705E9</v>
      </c>
      <c r="I1846" s="509" t="s">
        <v>22343</v>
      </c>
      <c r="J1846" s="232" t="b">
        <v>0</v>
      </c>
      <c r="K1846" s="232" t="s">
        <v>22365</v>
      </c>
      <c r="L1846" s="232" t="s">
        <v>29336</v>
      </c>
      <c r="M1846" s="511"/>
      <c r="N1846" s="232"/>
      <c r="O1846" s="232"/>
      <c r="P1846" s="312"/>
      <c r="Q1846" s="312"/>
      <c r="R1846" s="312"/>
      <c r="S1846" s="312"/>
      <c r="T1846" s="312"/>
      <c r="U1846" s="312"/>
    </row>
    <row r="1847">
      <c r="A1847" s="548">
        <v>44783.0</v>
      </c>
      <c r="B1847" s="232" t="s">
        <v>29468</v>
      </c>
      <c r="C1847" s="509" t="s">
        <v>24963</v>
      </c>
      <c r="D1847" s="511"/>
      <c r="E1847" s="511"/>
      <c r="F1847" s="232" t="s">
        <v>24965</v>
      </c>
      <c r="G1847" s="232" t="s">
        <v>507</v>
      </c>
      <c r="H1847" s="232">
        <v>-7.715828709E9</v>
      </c>
      <c r="I1847" s="509" t="s">
        <v>22373</v>
      </c>
      <c r="J1847" s="232" t="b">
        <v>0</v>
      </c>
      <c r="K1847" s="312" t="s">
        <v>334</v>
      </c>
      <c r="L1847" s="232" t="s">
        <v>29339</v>
      </c>
      <c r="M1847" s="511"/>
      <c r="N1847" s="312"/>
      <c r="O1847" s="232"/>
      <c r="P1847" s="312"/>
      <c r="Q1847" s="312"/>
      <c r="R1847" s="312"/>
      <c r="S1847" s="312"/>
      <c r="T1847" s="312"/>
      <c r="U1847" s="312"/>
    </row>
    <row r="1848">
      <c r="A1848" s="548">
        <v>44783.0</v>
      </c>
      <c r="B1848" s="232" t="s">
        <v>29469</v>
      </c>
      <c r="C1848" s="509" t="s">
        <v>29470</v>
      </c>
      <c r="D1848" s="511"/>
      <c r="E1848" s="511"/>
      <c r="F1848" s="232" t="s">
        <v>29471</v>
      </c>
      <c r="G1848" s="232" t="s">
        <v>44</v>
      </c>
      <c r="H1848" s="232">
        <v>9.831074587E9</v>
      </c>
      <c r="I1848" s="509" t="s">
        <v>29472</v>
      </c>
      <c r="J1848" s="232" t="b">
        <v>0</v>
      </c>
      <c r="K1848" s="232" t="s">
        <v>22365</v>
      </c>
      <c r="L1848" s="232" t="s">
        <v>29473</v>
      </c>
      <c r="M1848" s="511"/>
      <c r="N1848" s="232"/>
      <c r="O1848" s="232"/>
      <c r="P1848" s="312"/>
      <c r="Q1848" s="312"/>
      <c r="R1848" s="312"/>
      <c r="S1848" s="312"/>
      <c r="T1848" s="312"/>
      <c r="U1848" s="312"/>
    </row>
    <row r="1849">
      <c r="A1849" s="548">
        <v>44783.0</v>
      </c>
      <c r="B1849" s="232" t="s">
        <v>29474</v>
      </c>
      <c r="C1849" s="509" t="s">
        <v>29475</v>
      </c>
      <c r="D1849" s="511"/>
      <c r="E1849" s="511"/>
      <c r="F1849" s="232" t="s">
        <v>29476</v>
      </c>
      <c r="G1849" s="232" t="s">
        <v>29477</v>
      </c>
      <c r="H1849" s="232">
        <v>9.85620004E9</v>
      </c>
      <c r="I1849" s="509" t="s">
        <v>29478</v>
      </c>
      <c r="J1849" s="232" t="b">
        <v>0</v>
      </c>
      <c r="K1849" s="312" t="s">
        <v>334</v>
      </c>
      <c r="L1849" s="232" t="s">
        <v>29408</v>
      </c>
      <c r="M1849" s="511"/>
      <c r="N1849" s="312"/>
      <c r="O1849" s="232"/>
      <c r="P1849" s="312"/>
      <c r="Q1849" s="312"/>
      <c r="R1849" s="312"/>
      <c r="S1849" s="312"/>
      <c r="T1849" s="312"/>
      <c r="U1849" s="312"/>
    </row>
    <row r="1850">
      <c r="A1850" s="548">
        <v>44783.0</v>
      </c>
      <c r="B1850" s="232" t="s">
        <v>29479</v>
      </c>
      <c r="C1850" s="509" t="s">
        <v>29480</v>
      </c>
      <c r="D1850" s="511"/>
      <c r="E1850" s="511"/>
      <c r="F1850" s="232" t="s">
        <v>29481</v>
      </c>
      <c r="G1850" s="232" t="s">
        <v>44</v>
      </c>
      <c r="H1850" s="232">
        <v>9.062379711E9</v>
      </c>
      <c r="I1850" s="509" t="s">
        <v>29482</v>
      </c>
      <c r="J1850" s="232" t="b">
        <v>0</v>
      </c>
      <c r="K1850" s="232" t="s">
        <v>22365</v>
      </c>
      <c r="L1850" s="232" t="s">
        <v>22904</v>
      </c>
      <c r="M1850" s="511"/>
      <c r="N1850" s="232"/>
      <c r="O1850" s="232"/>
      <c r="P1850" s="312"/>
      <c r="Q1850" s="312"/>
      <c r="R1850" s="312"/>
      <c r="S1850" s="312"/>
      <c r="T1850" s="312"/>
      <c r="U1850" s="312"/>
    </row>
    <row r="1851">
      <c r="A1851" s="548">
        <v>44752.0</v>
      </c>
      <c r="B1851" s="232" t="s">
        <v>29483</v>
      </c>
      <c r="C1851" s="509" t="s">
        <v>29484</v>
      </c>
      <c r="D1851" s="511"/>
      <c r="E1851" s="511"/>
      <c r="F1851" s="312"/>
      <c r="G1851" s="312"/>
      <c r="H1851" s="232">
        <v>9.717049075E9</v>
      </c>
      <c r="I1851" s="509" t="s">
        <v>29485</v>
      </c>
      <c r="J1851" s="232" t="b">
        <v>0</v>
      </c>
      <c r="K1851" s="312" t="s">
        <v>12092</v>
      </c>
      <c r="L1851" s="232" t="s">
        <v>29424</v>
      </c>
      <c r="M1851" s="511"/>
      <c r="N1851" s="312"/>
      <c r="O1851" s="232"/>
      <c r="P1851" s="312"/>
      <c r="Q1851" s="312"/>
      <c r="R1851" s="312"/>
      <c r="S1851" s="312"/>
      <c r="T1851" s="312"/>
      <c r="U1851" s="312"/>
    </row>
    <row r="1852">
      <c r="A1852" s="548">
        <v>44752.0</v>
      </c>
      <c r="B1852" s="232" t="s">
        <v>29486</v>
      </c>
      <c r="C1852" s="509" t="s">
        <v>29487</v>
      </c>
      <c r="D1852" s="511"/>
      <c r="E1852" s="511"/>
      <c r="F1852" s="312"/>
      <c r="G1852" s="312"/>
      <c r="H1852" s="232">
        <v>7.364025715E9</v>
      </c>
      <c r="I1852" s="509" t="s">
        <v>29488</v>
      </c>
      <c r="J1852" s="232" t="b">
        <v>0</v>
      </c>
      <c r="K1852" s="232" t="s">
        <v>29223</v>
      </c>
      <c r="L1852" s="232" t="s">
        <v>29489</v>
      </c>
      <c r="M1852" s="511"/>
      <c r="N1852" s="232"/>
      <c r="O1852" s="232"/>
      <c r="P1852" s="312"/>
      <c r="Q1852" s="312"/>
      <c r="R1852" s="312"/>
      <c r="S1852" s="312"/>
      <c r="T1852" s="312"/>
      <c r="U1852" s="312"/>
    </row>
    <row r="1853">
      <c r="A1853" s="548">
        <v>44752.0</v>
      </c>
      <c r="B1853" s="232" t="s">
        <v>29490</v>
      </c>
      <c r="C1853" s="509" t="s">
        <v>29491</v>
      </c>
      <c r="D1853" s="511"/>
      <c r="E1853" s="511"/>
      <c r="F1853" s="312"/>
      <c r="G1853" s="312"/>
      <c r="H1853" s="232">
        <v>7.980718297E9</v>
      </c>
      <c r="I1853" s="509" t="s">
        <v>28762</v>
      </c>
      <c r="J1853" s="232" t="b">
        <v>0</v>
      </c>
      <c r="K1853" s="232" t="s">
        <v>29223</v>
      </c>
      <c r="L1853" s="232" t="s">
        <v>29320</v>
      </c>
      <c r="M1853" s="511"/>
      <c r="N1853" s="232"/>
      <c r="O1853" s="232"/>
      <c r="P1853" s="312"/>
      <c r="Q1853" s="312"/>
      <c r="R1853" s="312"/>
      <c r="S1853" s="312"/>
      <c r="T1853" s="312"/>
      <c r="U1853" s="312"/>
    </row>
    <row r="1854">
      <c r="A1854" s="548">
        <v>44752.0</v>
      </c>
      <c r="B1854" s="232" t="s">
        <v>29492</v>
      </c>
      <c r="C1854" s="509" t="s">
        <v>18563</v>
      </c>
      <c r="D1854" s="511"/>
      <c r="E1854" s="511"/>
      <c r="F1854" s="232" t="s">
        <v>29493</v>
      </c>
      <c r="G1854" s="232" t="s">
        <v>29494</v>
      </c>
      <c r="H1854" s="232">
        <v>7.751030247E9</v>
      </c>
      <c r="I1854" s="509" t="s">
        <v>29495</v>
      </c>
      <c r="J1854" s="232" t="b">
        <v>0</v>
      </c>
      <c r="K1854" s="312" t="s">
        <v>12092</v>
      </c>
      <c r="L1854" s="232" t="s">
        <v>29424</v>
      </c>
      <c r="M1854" s="511"/>
      <c r="N1854" s="312"/>
      <c r="O1854" s="232"/>
      <c r="P1854" s="312"/>
      <c r="Q1854" s="312"/>
      <c r="R1854" s="312"/>
      <c r="S1854" s="312"/>
      <c r="T1854" s="312"/>
      <c r="U1854" s="312"/>
    </row>
    <row r="1855">
      <c r="A1855" s="548">
        <v>44752.0</v>
      </c>
      <c r="B1855" s="232" t="s">
        <v>29496</v>
      </c>
      <c r="C1855" s="509" t="s">
        <v>29497</v>
      </c>
      <c r="D1855" s="511"/>
      <c r="E1855" s="511"/>
      <c r="F1855" s="232" t="s">
        <v>29498</v>
      </c>
      <c r="G1855" s="232" t="s">
        <v>29180</v>
      </c>
      <c r="H1855" s="232">
        <v>9.986018565E9</v>
      </c>
      <c r="I1855" s="509" t="s">
        <v>29499</v>
      </c>
      <c r="J1855" s="232" t="b">
        <v>0</v>
      </c>
      <c r="K1855" s="312" t="s">
        <v>12092</v>
      </c>
      <c r="L1855" s="232" t="s">
        <v>29424</v>
      </c>
      <c r="M1855" s="511"/>
      <c r="N1855" s="312"/>
      <c r="O1855" s="232"/>
      <c r="P1855" s="312"/>
      <c r="Q1855" s="312"/>
      <c r="R1855" s="312"/>
      <c r="S1855" s="312"/>
      <c r="T1855" s="312"/>
      <c r="U1855" s="312"/>
    </row>
    <row r="1856">
      <c r="A1856" s="548">
        <v>44752.0</v>
      </c>
      <c r="B1856" s="232" t="s">
        <v>29500</v>
      </c>
      <c r="C1856" s="509" t="s">
        <v>29501</v>
      </c>
      <c r="D1856" s="511"/>
      <c r="E1856" s="511"/>
      <c r="F1856" s="232" t="s">
        <v>29502</v>
      </c>
      <c r="G1856" s="232" t="s">
        <v>16288</v>
      </c>
      <c r="H1856" s="232">
        <v>7.002362206E9</v>
      </c>
      <c r="I1856" s="509" t="s">
        <v>22698</v>
      </c>
      <c r="J1856" s="232" t="b">
        <v>0</v>
      </c>
      <c r="K1856" s="312" t="s">
        <v>28316</v>
      </c>
      <c r="L1856" s="232" t="s">
        <v>29503</v>
      </c>
      <c r="M1856" s="511"/>
      <c r="N1856" s="312"/>
      <c r="O1856" s="232"/>
      <c r="P1856" s="312"/>
      <c r="Q1856" s="312"/>
      <c r="R1856" s="312"/>
      <c r="S1856" s="312"/>
      <c r="T1856" s="312"/>
      <c r="U1856" s="312"/>
    </row>
    <row r="1857">
      <c r="A1857" s="548">
        <v>44752.0</v>
      </c>
      <c r="B1857" s="232" t="s">
        <v>29504</v>
      </c>
      <c r="C1857" s="509" t="s">
        <v>29505</v>
      </c>
      <c r="D1857" s="511"/>
      <c r="E1857" s="511"/>
      <c r="F1857" s="312"/>
      <c r="G1857" s="232" t="s">
        <v>23612</v>
      </c>
      <c r="H1857" s="232">
        <v>9.748642475E9</v>
      </c>
      <c r="I1857" s="509" t="s">
        <v>22822</v>
      </c>
      <c r="J1857" s="232" t="b">
        <v>0</v>
      </c>
      <c r="K1857" s="312"/>
      <c r="L1857" s="232" t="s">
        <v>29506</v>
      </c>
      <c r="M1857" s="511"/>
      <c r="N1857" s="312"/>
      <c r="O1857" s="232"/>
      <c r="P1857" s="312"/>
      <c r="Q1857" s="312"/>
      <c r="R1857" s="312"/>
      <c r="S1857" s="312"/>
      <c r="T1857" s="312"/>
      <c r="U1857" s="312"/>
    </row>
    <row r="1858">
      <c r="A1858" s="548">
        <v>44752.0</v>
      </c>
      <c r="B1858" s="232" t="s">
        <v>29507</v>
      </c>
      <c r="C1858" s="509" t="s">
        <v>29508</v>
      </c>
      <c r="D1858" s="511"/>
      <c r="E1858" s="511"/>
      <c r="F1858" s="232" t="s">
        <v>29509</v>
      </c>
      <c r="G1858" s="232" t="s">
        <v>29510</v>
      </c>
      <c r="H1858" s="232">
        <v>8.918690144E9</v>
      </c>
      <c r="I1858" s="509" t="s">
        <v>26841</v>
      </c>
      <c r="J1858" s="232" t="b">
        <v>0</v>
      </c>
      <c r="K1858" s="232" t="s">
        <v>22365</v>
      </c>
      <c r="L1858" s="232" t="s">
        <v>29336</v>
      </c>
      <c r="M1858" s="511"/>
      <c r="N1858" s="232"/>
      <c r="O1858" s="232"/>
      <c r="P1858" s="312"/>
      <c r="Q1858" s="312"/>
      <c r="R1858" s="312"/>
      <c r="S1858" s="312"/>
      <c r="T1858" s="312"/>
      <c r="U1858" s="312"/>
    </row>
    <row r="1859">
      <c r="A1859" s="548">
        <v>44752.0</v>
      </c>
      <c r="B1859" s="232" t="s">
        <v>29511</v>
      </c>
      <c r="C1859" s="509" t="s">
        <v>29512</v>
      </c>
      <c r="D1859" s="511"/>
      <c r="E1859" s="511"/>
      <c r="F1859" s="232" t="s">
        <v>29513</v>
      </c>
      <c r="G1859" s="232" t="s">
        <v>49</v>
      </c>
      <c r="H1859" s="232">
        <v>9.134530556E9</v>
      </c>
      <c r="I1859" s="509" t="s">
        <v>22373</v>
      </c>
      <c r="J1859" s="232" t="b">
        <v>0</v>
      </c>
      <c r="K1859" s="312" t="s">
        <v>12092</v>
      </c>
      <c r="L1859" s="232" t="s">
        <v>29424</v>
      </c>
      <c r="M1859" s="511"/>
      <c r="N1859" s="312"/>
      <c r="O1859" s="232"/>
      <c r="P1859" s="312"/>
      <c r="Q1859" s="312"/>
      <c r="R1859" s="312"/>
      <c r="S1859" s="312"/>
      <c r="T1859" s="312"/>
      <c r="U1859" s="312"/>
    </row>
    <row r="1860">
      <c r="A1860" s="548">
        <v>44752.0</v>
      </c>
      <c r="B1860" s="232" t="s">
        <v>29514</v>
      </c>
      <c r="C1860" s="509" t="s">
        <v>18642</v>
      </c>
      <c r="D1860" s="511"/>
      <c r="E1860" s="511"/>
      <c r="F1860" s="232" t="s">
        <v>29515</v>
      </c>
      <c r="G1860" s="232" t="s">
        <v>985</v>
      </c>
      <c r="H1860" s="232">
        <v>7.00188262E9</v>
      </c>
      <c r="I1860" s="509" t="s">
        <v>29516</v>
      </c>
      <c r="J1860" s="232" t="b">
        <v>0</v>
      </c>
      <c r="K1860" s="232" t="s">
        <v>22365</v>
      </c>
      <c r="L1860" s="232" t="s">
        <v>29336</v>
      </c>
      <c r="M1860" s="511"/>
      <c r="N1860" s="232"/>
      <c r="O1860" s="232"/>
      <c r="P1860" s="312"/>
      <c r="Q1860" s="312"/>
      <c r="R1860" s="312"/>
      <c r="S1860" s="312"/>
      <c r="T1860" s="312"/>
      <c r="U1860" s="312"/>
    </row>
    <row r="1861">
      <c r="A1861" s="548">
        <v>44752.0</v>
      </c>
      <c r="B1861" s="232" t="s">
        <v>29517</v>
      </c>
      <c r="C1861" s="550" t="s">
        <v>29518</v>
      </c>
      <c r="D1861" s="511"/>
      <c r="E1861" s="511"/>
      <c r="F1861" s="312"/>
      <c r="G1861" s="232" t="s">
        <v>19941</v>
      </c>
      <c r="H1861" s="232">
        <v>7.889833758E9</v>
      </c>
      <c r="I1861" s="509" t="s">
        <v>23792</v>
      </c>
      <c r="J1861" s="232" t="b">
        <v>0</v>
      </c>
      <c r="K1861" s="312" t="s">
        <v>334</v>
      </c>
      <c r="L1861" s="232" t="s">
        <v>29408</v>
      </c>
      <c r="M1861" s="511"/>
      <c r="N1861" s="312"/>
      <c r="O1861" s="232"/>
      <c r="P1861" s="312"/>
      <c r="Q1861" s="312"/>
      <c r="R1861" s="312"/>
      <c r="S1861" s="312"/>
      <c r="T1861" s="312"/>
      <c r="U1861" s="312"/>
    </row>
    <row r="1862">
      <c r="A1862" s="548">
        <v>44752.0</v>
      </c>
      <c r="B1862" s="232" t="s">
        <v>29519</v>
      </c>
      <c r="C1862" s="509" t="s">
        <v>29520</v>
      </c>
      <c r="D1862" s="511"/>
      <c r="E1862" s="511"/>
      <c r="F1862" s="312"/>
      <c r="G1862" s="232" t="s">
        <v>107</v>
      </c>
      <c r="H1862" s="232">
        <v>9.811115971E9</v>
      </c>
      <c r="I1862" s="509" t="s">
        <v>29521</v>
      </c>
      <c r="J1862" s="312" t="b">
        <v>0</v>
      </c>
      <c r="K1862" s="232" t="s">
        <v>22365</v>
      </c>
      <c r="L1862" s="232" t="s">
        <v>29522</v>
      </c>
      <c r="M1862" s="511"/>
      <c r="N1862" s="312"/>
      <c r="O1862" s="312"/>
      <c r="P1862" s="312"/>
      <c r="Q1862" s="312"/>
      <c r="R1862" s="312"/>
      <c r="S1862" s="312"/>
      <c r="T1862" s="312"/>
      <c r="U1862" s="312"/>
    </row>
    <row r="1863">
      <c r="A1863" s="548">
        <v>44752.0</v>
      </c>
      <c r="B1863" s="232" t="s">
        <v>29523</v>
      </c>
      <c r="C1863" s="509" t="s">
        <v>29524</v>
      </c>
      <c r="D1863" s="511"/>
      <c r="E1863" s="511"/>
      <c r="F1863" s="312"/>
      <c r="G1863" s="232" t="s">
        <v>29525</v>
      </c>
      <c r="H1863" s="232">
        <v>9.170737069E9</v>
      </c>
      <c r="I1863" s="509" t="s">
        <v>29526</v>
      </c>
      <c r="J1863" s="232" t="b">
        <v>0</v>
      </c>
      <c r="K1863" s="232" t="s">
        <v>334</v>
      </c>
      <c r="L1863" s="232" t="s">
        <v>29527</v>
      </c>
      <c r="M1863" s="511"/>
      <c r="N1863" s="232"/>
      <c r="O1863" s="232"/>
      <c r="P1863" s="312"/>
      <c r="Q1863" s="312"/>
      <c r="R1863" s="312"/>
      <c r="S1863" s="312"/>
      <c r="T1863" s="312"/>
      <c r="U1863" s="312"/>
    </row>
    <row r="1864">
      <c r="A1864" s="548">
        <v>44752.0</v>
      </c>
      <c r="B1864" s="232" t="s">
        <v>29528</v>
      </c>
      <c r="C1864" s="509" t="s">
        <v>29529</v>
      </c>
      <c r="D1864" s="511"/>
      <c r="E1864" s="511"/>
      <c r="F1864" s="232" t="s">
        <v>29530</v>
      </c>
      <c r="G1864" s="312"/>
      <c r="H1864" s="232">
        <v>8.24980094E9</v>
      </c>
      <c r="I1864" s="509" t="s">
        <v>28366</v>
      </c>
      <c r="J1864" s="232" t="b">
        <v>0</v>
      </c>
      <c r="K1864" s="312" t="s">
        <v>334</v>
      </c>
      <c r="L1864" s="232" t="s">
        <v>29531</v>
      </c>
      <c r="M1864" s="511"/>
      <c r="N1864" s="312"/>
      <c r="O1864" s="232"/>
      <c r="P1864" s="312"/>
      <c r="Q1864" s="312"/>
      <c r="R1864" s="312"/>
      <c r="S1864" s="312"/>
      <c r="T1864" s="312"/>
      <c r="U1864" s="312"/>
    </row>
    <row r="1865">
      <c r="A1865" s="548">
        <v>44752.0</v>
      </c>
      <c r="B1865" s="232" t="s">
        <v>29532</v>
      </c>
      <c r="C1865" s="509" t="s">
        <v>26555</v>
      </c>
      <c r="D1865" s="511"/>
      <c r="E1865" s="511"/>
      <c r="F1865" s="232" t="s">
        <v>26557</v>
      </c>
      <c r="G1865" s="232" t="s">
        <v>26558</v>
      </c>
      <c r="H1865" s="232">
        <v>8.348434041E9</v>
      </c>
      <c r="I1865" s="509" t="s">
        <v>29360</v>
      </c>
      <c r="J1865" s="232" t="b">
        <v>0</v>
      </c>
      <c r="K1865" s="312" t="s">
        <v>12092</v>
      </c>
      <c r="L1865" s="232" t="s">
        <v>29424</v>
      </c>
      <c r="M1865" s="511"/>
      <c r="N1865" s="312"/>
      <c r="O1865" s="232"/>
      <c r="P1865" s="312"/>
      <c r="Q1865" s="312"/>
      <c r="R1865" s="312"/>
      <c r="S1865" s="312"/>
      <c r="T1865" s="312"/>
      <c r="U1865" s="312"/>
    </row>
    <row r="1866">
      <c r="A1866" s="548">
        <v>44752.0</v>
      </c>
      <c r="B1866" s="232" t="s">
        <v>29533</v>
      </c>
      <c r="C1866" s="509" t="s">
        <v>29534</v>
      </c>
      <c r="D1866" s="511"/>
      <c r="E1866" s="511"/>
      <c r="F1866" s="312"/>
      <c r="G1866" s="232" t="s">
        <v>23612</v>
      </c>
      <c r="H1866" s="232">
        <v>8.509338186E9</v>
      </c>
      <c r="I1866" s="509" t="s">
        <v>29535</v>
      </c>
      <c r="J1866" s="232" t="b">
        <v>0</v>
      </c>
      <c r="K1866" s="232" t="s">
        <v>29223</v>
      </c>
      <c r="L1866" s="232" t="s">
        <v>29430</v>
      </c>
      <c r="M1866" s="511"/>
      <c r="N1866" s="232"/>
      <c r="O1866" s="232"/>
      <c r="P1866" s="312"/>
      <c r="Q1866" s="312"/>
      <c r="R1866" s="312"/>
      <c r="S1866" s="312"/>
      <c r="T1866" s="312"/>
      <c r="U1866" s="312"/>
    </row>
    <row r="1867">
      <c r="A1867" s="548">
        <v>44752.0</v>
      </c>
      <c r="B1867" s="232" t="s">
        <v>29536</v>
      </c>
      <c r="C1867" s="509" t="s">
        <v>29537</v>
      </c>
      <c r="D1867" s="511"/>
      <c r="E1867" s="511"/>
      <c r="F1867" s="232" t="s">
        <v>29538</v>
      </c>
      <c r="G1867" s="232" t="s">
        <v>930</v>
      </c>
      <c r="H1867" s="232">
        <v>8.638248823E9</v>
      </c>
      <c r="I1867" s="509" t="s">
        <v>29539</v>
      </c>
      <c r="J1867" s="232" t="b">
        <v>0</v>
      </c>
      <c r="K1867" s="312" t="s">
        <v>334</v>
      </c>
      <c r="L1867" s="232" t="s">
        <v>24733</v>
      </c>
      <c r="M1867" s="511"/>
      <c r="N1867" s="312"/>
      <c r="O1867" s="232"/>
      <c r="P1867" s="312"/>
      <c r="Q1867" s="312"/>
      <c r="R1867" s="312"/>
      <c r="S1867" s="312"/>
      <c r="T1867" s="312"/>
      <c r="U1867" s="312"/>
    </row>
    <row r="1868">
      <c r="A1868" s="548">
        <v>44752.0</v>
      </c>
      <c r="B1868" s="232" t="s">
        <v>29540</v>
      </c>
      <c r="C1868" s="509" t="s">
        <v>29541</v>
      </c>
      <c r="D1868" s="511"/>
      <c r="E1868" s="511"/>
      <c r="F1868" s="312"/>
      <c r="G1868" s="232" t="s">
        <v>29542</v>
      </c>
      <c r="H1868" s="232">
        <v>8.369120005E9</v>
      </c>
      <c r="I1868" s="509" t="s">
        <v>26796</v>
      </c>
      <c r="J1868" s="232" t="b">
        <v>0</v>
      </c>
      <c r="K1868" s="232" t="s">
        <v>22365</v>
      </c>
      <c r="L1868" s="232" t="s">
        <v>22904</v>
      </c>
      <c r="M1868" s="511"/>
      <c r="N1868" s="232"/>
      <c r="O1868" s="232"/>
      <c r="P1868" s="312"/>
      <c r="Q1868" s="312"/>
      <c r="R1868" s="312"/>
      <c r="S1868" s="312"/>
      <c r="T1868" s="312"/>
      <c r="U1868" s="312"/>
    </row>
    <row r="1869">
      <c r="A1869" s="548">
        <v>44752.0</v>
      </c>
      <c r="B1869" s="232" t="s">
        <v>29543</v>
      </c>
      <c r="C1869" s="509" t="s">
        <v>18036</v>
      </c>
      <c r="D1869" s="511"/>
      <c r="E1869" s="511"/>
      <c r="F1869" s="312"/>
      <c r="G1869" s="232" t="s">
        <v>981</v>
      </c>
      <c r="H1869" s="232">
        <v>9.932999947E9</v>
      </c>
      <c r="I1869" s="509" t="s">
        <v>26796</v>
      </c>
      <c r="J1869" s="232" t="b">
        <v>0</v>
      </c>
      <c r="K1869" s="312" t="s">
        <v>334</v>
      </c>
      <c r="L1869" s="232" t="s">
        <v>29544</v>
      </c>
      <c r="M1869" s="511"/>
      <c r="N1869" s="312"/>
      <c r="O1869" s="232"/>
      <c r="P1869" s="312"/>
      <c r="Q1869" s="312"/>
      <c r="R1869" s="312"/>
      <c r="S1869" s="312"/>
      <c r="T1869" s="312"/>
      <c r="U1869" s="312"/>
    </row>
    <row r="1870">
      <c r="A1870" s="548">
        <v>44752.0</v>
      </c>
      <c r="B1870" s="232" t="s">
        <v>29545</v>
      </c>
      <c r="C1870" s="509" t="s">
        <v>22623</v>
      </c>
      <c r="D1870" s="511"/>
      <c r="E1870" s="511"/>
      <c r="F1870" s="232" t="s">
        <v>29546</v>
      </c>
      <c r="G1870" s="312"/>
      <c r="H1870" s="232">
        <v>8.910711662E9</v>
      </c>
      <c r="I1870" s="509" t="s">
        <v>29547</v>
      </c>
      <c r="J1870" s="232" t="b">
        <v>0</v>
      </c>
      <c r="K1870" s="232" t="s">
        <v>29223</v>
      </c>
      <c r="L1870" s="232" t="s">
        <v>29430</v>
      </c>
      <c r="M1870" s="511"/>
      <c r="N1870" s="232"/>
      <c r="O1870" s="232"/>
      <c r="P1870" s="312"/>
      <c r="Q1870" s="312"/>
      <c r="R1870" s="312"/>
      <c r="S1870" s="312"/>
      <c r="T1870" s="312"/>
      <c r="U1870" s="312"/>
    </row>
    <row r="1871">
      <c r="A1871" s="548">
        <v>44752.0</v>
      </c>
      <c r="B1871" s="232" t="s">
        <v>29548</v>
      </c>
      <c r="C1871" s="550" t="s">
        <v>29549</v>
      </c>
      <c r="D1871" s="511"/>
      <c r="E1871" s="511"/>
      <c r="F1871" s="232" t="s">
        <v>29550</v>
      </c>
      <c r="G1871" s="232" t="s">
        <v>23612</v>
      </c>
      <c r="H1871" s="232">
        <v>7.076166125E9</v>
      </c>
      <c r="I1871" s="509" t="s">
        <v>29551</v>
      </c>
      <c r="J1871" s="232" t="b">
        <v>0</v>
      </c>
      <c r="K1871" s="312" t="s">
        <v>334</v>
      </c>
      <c r="L1871" s="232" t="s">
        <v>24733</v>
      </c>
      <c r="M1871" s="511"/>
      <c r="N1871" s="312"/>
      <c r="O1871" s="232"/>
      <c r="P1871" s="312"/>
      <c r="Q1871" s="312"/>
      <c r="R1871" s="312"/>
      <c r="S1871" s="312"/>
      <c r="T1871" s="312"/>
      <c r="U1871" s="312"/>
    </row>
    <row r="1872">
      <c r="A1872" s="548">
        <v>44752.0</v>
      </c>
      <c r="B1872" s="232" t="s">
        <v>29552</v>
      </c>
      <c r="C1872" s="509" t="s">
        <v>29553</v>
      </c>
      <c r="D1872" s="511"/>
      <c r="E1872" s="511"/>
      <c r="F1872" s="312"/>
      <c r="G1872" s="232" t="s">
        <v>27883</v>
      </c>
      <c r="H1872" s="232">
        <v>9.096149976E9</v>
      </c>
      <c r="I1872" s="509" t="s">
        <v>29554</v>
      </c>
      <c r="J1872" s="232" t="b">
        <v>0</v>
      </c>
      <c r="K1872" s="312" t="s">
        <v>334</v>
      </c>
      <c r="L1872" s="232" t="s">
        <v>29555</v>
      </c>
      <c r="M1872" s="511"/>
      <c r="N1872" s="312"/>
      <c r="O1872" s="232"/>
      <c r="P1872" s="312"/>
      <c r="Q1872" s="312"/>
      <c r="R1872" s="312"/>
      <c r="S1872" s="312"/>
      <c r="T1872" s="312"/>
      <c r="U1872" s="312"/>
    </row>
    <row r="1873">
      <c r="A1873" s="548">
        <v>44752.0</v>
      </c>
      <c r="B1873" s="232" t="s">
        <v>29556</v>
      </c>
      <c r="C1873" s="509" t="s">
        <v>29197</v>
      </c>
      <c r="D1873" s="511"/>
      <c r="E1873" s="511"/>
      <c r="F1873" s="232" t="s">
        <v>29199</v>
      </c>
      <c r="G1873" s="232" t="s">
        <v>601</v>
      </c>
      <c r="H1873" s="232">
        <v>8.098811922E9</v>
      </c>
      <c r="I1873" s="509" t="s">
        <v>29557</v>
      </c>
      <c r="J1873" s="232" t="b">
        <v>0</v>
      </c>
      <c r="K1873" s="232" t="s">
        <v>22365</v>
      </c>
      <c r="L1873" s="232" t="s">
        <v>29336</v>
      </c>
      <c r="M1873" s="511"/>
      <c r="N1873" s="232"/>
      <c r="O1873" s="232"/>
      <c r="P1873" s="312"/>
      <c r="Q1873" s="312"/>
      <c r="R1873" s="312"/>
      <c r="S1873" s="312"/>
      <c r="T1873" s="312"/>
      <c r="U1873" s="312"/>
    </row>
    <row r="1874">
      <c r="A1874" s="551">
        <v>44571.0</v>
      </c>
      <c r="B1874" s="232" t="s">
        <v>29558</v>
      </c>
      <c r="C1874" s="509" t="s">
        <v>29559</v>
      </c>
      <c r="D1874" s="511"/>
      <c r="E1874" s="511"/>
      <c r="F1874" s="232" t="s">
        <v>29560</v>
      </c>
      <c r="G1874" s="232" t="s">
        <v>1090</v>
      </c>
      <c r="H1874" s="232">
        <v>9.695935955E9</v>
      </c>
      <c r="I1874" s="509" t="s">
        <v>4786</v>
      </c>
      <c r="J1874" s="232" t="b">
        <v>0</v>
      </c>
      <c r="K1874" s="232" t="s">
        <v>29223</v>
      </c>
      <c r="L1874" s="232" t="s">
        <v>23537</v>
      </c>
      <c r="M1874" s="511"/>
      <c r="N1874" s="232"/>
      <c r="O1874" s="232"/>
      <c r="P1874" s="312"/>
      <c r="Q1874" s="312"/>
      <c r="R1874" s="312"/>
      <c r="S1874" s="312"/>
      <c r="T1874" s="312"/>
      <c r="U1874" s="312"/>
    </row>
    <row r="1875">
      <c r="A1875" s="551">
        <v>44571.0</v>
      </c>
      <c r="B1875" s="232" t="s">
        <v>29561</v>
      </c>
      <c r="C1875" s="509" t="s">
        <v>29562</v>
      </c>
      <c r="D1875" s="511"/>
      <c r="E1875" s="511"/>
      <c r="F1875" s="232" t="s">
        <v>29563</v>
      </c>
      <c r="G1875" s="232" t="s">
        <v>44</v>
      </c>
      <c r="H1875" s="232">
        <v>6.290461061E9</v>
      </c>
      <c r="I1875" s="509" t="s">
        <v>29564</v>
      </c>
      <c r="J1875" s="232" t="b">
        <v>0</v>
      </c>
      <c r="K1875" s="312" t="s">
        <v>12092</v>
      </c>
      <c r="L1875" s="232" t="s">
        <v>29424</v>
      </c>
      <c r="M1875" s="511"/>
      <c r="N1875" s="312"/>
      <c r="O1875" s="232"/>
      <c r="P1875" s="312"/>
      <c r="Q1875" s="312"/>
      <c r="R1875" s="312"/>
      <c r="S1875" s="312"/>
      <c r="T1875" s="312"/>
      <c r="U1875" s="312"/>
    </row>
    <row r="1876">
      <c r="A1876" s="552">
        <v>44571.0</v>
      </c>
      <c r="B1876" s="514" t="s">
        <v>29565</v>
      </c>
      <c r="C1876" s="515" t="s">
        <v>29566</v>
      </c>
      <c r="D1876" s="517"/>
      <c r="E1876" s="517"/>
      <c r="F1876" s="514" t="s">
        <v>29567</v>
      </c>
      <c r="G1876" s="514" t="s">
        <v>25308</v>
      </c>
      <c r="H1876" s="514">
        <v>9.145502072E9</v>
      </c>
      <c r="I1876" s="515" t="s">
        <v>22289</v>
      </c>
      <c r="J1876" s="514" t="b">
        <v>0</v>
      </c>
      <c r="K1876" s="514" t="s">
        <v>22312</v>
      </c>
      <c r="L1876" s="514" t="s">
        <v>29568</v>
      </c>
      <c r="M1876" s="511"/>
      <c r="N1876" s="312"/>
      <c r="O1876" s="232"/>
      <c r="P1876" s="312"/>
      <c r="Q1876" s="312"/>
      <c r="R1876" s="312"/>
      <c r="S1876" s="312"/>
      <c r="T1876" s="312"/>
      <c r="U1876" s="312"/>
    </row>
    <row r="1877">
      <c r="A1877" s="551">
        <v>44571.0</v>
      </c>
      <c r="B1877" s="232" t="s">
        <v>29569</v>
      </c>
      <c r="C1877" s="509" t="s">
        <v>24124</v>
      </c>
      <c r="D1877" s="511"/>
      <c r="E1877" s="511"/>
      <c r="F1877" s="312"/>
      <c r="G1877" s="232" t="s">
        <v>107</v>
      </c>
      <c r="H1877" s="232">
        <v>7.290961919E9</v>
      </c>
      <c r="I1877" s="509" t="s">
        <v>23751</v>
      </c>
      <c r="J1877" s="232" t="b">
        <v>0</v>
      </c>
      <c r="K1877" s="312" t="s">
        <v>334</v>
      </c>
      <c r="L1877" s="232" t="s">
        <v>29570</v>
      </c>
      <c r="M1877" s="511"/>
      <c r="N1877" s="312"/>
      <c r="O1877" s="232"/>
      <c r="P1877" s="312"/>
      <c r="Q1877" s="312"/>
      <c r="R1877" s="312"/>
      <c r="S1877" s="312"/>
      <c r="T1877" s="312"/>
      <c r="U1877" s="312"/>
    </row>
    <row r="1878">
      <c r="A1878" s="551">
        <v>44571.0</v>
      </c>
      <c r="B1878" s="232" t="s">
        <v>29571</v>
      </c>
      <c r="C1878" s="509" t="s">
        <v>29572</v>
      </c>
      <c r="D1878" s="511"/>
      <c r="E1878" s="511"/>
      <c r="F1878" s="232" t="s">
        <v>29121</v>
      </c>
      <c r="G1878" s="232" t="s">
        <v>22348</v>
      </c>
      <c r="H1878" s="232">
        <v>-8.651928426E9</v>
      </c>
      <c r="I1878" s="509" t="s">
        <v>23751</v>
      </c>
      <c r="J1878" s="232" t="b">
        <v>0</v>
      </c>
      <c r="K1878" s="232" t="s">
        <v>29223</v>
      </c>
      <c r="L1878" s="232" t="s">
        <v>23537</v>
      </c>
      <c r="M1878" s="511"/>
      <c r="N1878" s="232"/>
      <c r="O1878" s="232"/>
      <c r="P1878" s="312"/>
      <c r="Q1878" s="312"/>
      <c r="R1878" s="312"/>
      <c r="S1878" s="312"/>
      <c r="T1878" s="312"/>
      <c r="U1878" s="312"/>
    </row>
    <row r="1879">
      <c r="A1879" s="551">
        <v>44571.0</v>
      </c>
      <c r="B1879" s="232" t="s">
        <v>29573</v>
      </c>
      <c r="C1879" s="509" t="s">
        <v>29574</v>
      </c>
      <c r="D1879" s="511"/>
      <c r="E1879" s="511"/>
      <c r="F1879" s="312"/>
      <c r="G1879" s="232" t="s">
        <v>8145</v>
      </c>
      <c r="H1879" s="232">
        <v>8.59541018E9</v>
      </c>
      <c r="I1879" s="509" t="s">
        <v>23792</v>
      </c>
      <c r="J1879" s="232" t="b">
        <v>0</v>
      </c>
      <c r="K1879" s="232" t="s">
        <v>22365</v>
      </c>
      <c r="L1879" s="232" t="s">
        <v>26842</v>
      </c>
      <c r="M1879" s="511"/>
      <c r="N1879" s="232"/>
      <c r="O1879" s="232"/>
      <c r="P1879" s="312"/>
      <c r="Q1879" s="312"/>
      <c r="R1879" s="312"/>
      <c r="S1879" s="312"/>
      <c r="T1879" s="312"/>
      <c r="U1879" s="312"/>
    </row>
    <row r="1880">
      <c r="A1880" s="551">
        <v>44571.0</v>
      </c>
      <c r="B1880" s="232" t="s">
        <v>29575</v>
      </c>
      <c r="C1880" s="509" t="s">
        <v>19153</v>
      </c>
      <c r="D1880" s="511"/>
      <c r="E1880" s="511"/>
      <c r="F1880" s="232" t="s">
        <v>29576</v>
      </c>
      <c r="G1880" s="232" t="s">
        <v>29577</v>
      </c>
      <c r="H1880" s="232">
        <v>7.057747515E9</v>
      </c>
      <c r="I1880" s="509" t="s">
        <v>22502</v>
      </c>
      <c r="J1880" s="232" t="b">
        <v>0</v>
      </c>
      <c r="K1880" s="312" t="s">
        <v>27100</v>
      </c>
      <c r="L1880" s="232" t="s">
        <v>29578</v>
      </c>
      <c r="M1880" s="511"/>
      <c r="N1880" s="312"/>
      <c r="O1880" s="232"/>
      <c r="P1880" s="312"/>
      <c r="Q1880" s="312"/>
      <c r="R1880" s="312"/>
      <c r="S1880" s="312"/>
      <c r="T1880" s="312"/>
      <c r="U1880" s="312"/>
    </row>
    <row r="1881">
      <c r="A1881" s="551">
        <v>44571.0</v>
      </c>
      <c r="B1881" s="232" t="s">
        <v>29579</v>
      </c>
      <c r="C1881" s="509" t="s">
        <v>29580</v>
      </c>
      <c r="D1881" s="511"/>
      <c r="E1881" s="510">
        <v>5.0</v>
      </c>
      <c r="F1881" s="312"/>
      <c r="G1881" s="232" t="s">
        <v>495</v>
      </c>
      <c r="H1881" s="232">
        <v>7.004335396E9</v>
      </c>
      <c r="I1881" s="509" t="s">
        <v>29581</v>
      </c>
      <c r="J1881" s="232" t="b">
        <v>0</v>
      </c>
      <c r="K1881" s="312"/>
      <c r="L1881" s="232" t="s">
        <v>29582</v>
      </c>
      <c r="M1881" s="511"/>
      <c r="N1881" s="312"/>
      <c r="O1881" s="232"/>
      <c r="P1881" s="312"/>
      <c r="Q1881" s="312"/>
      <c r="R1881" s="312"/>
      <c r="S1881" s="312"/>
      <c r="T1881" s="312"/>
      <c r="U1881" s="312"/>
    </row>
    <row r="1882">
      <c r="A1882" s="551">
        <v>44571.0</v>
      </c>
      <c r="B1882" s="232" t="s">
        <v>29583</v>
      </c>
      <c r="C1882" s="509" t="s">
        <v>29584</v>
      </c>
      <c r="D1882" s="511"/>
      <c r="E1882" s="511"/>
      <c r="F1882" s="312"/>
      <c r="G1882" s="232" t="s">
        <v>29585</v>
      </c>
      <c r="H1882" s="232">
        <v>9.341661486E9</v>
      </c>
      <c r="I1882" s="509" t="s">
        <v>29586</v>
      </c>
      <c r="J1882" s="232" t="b">
        <v>0</v>
      </c>
      <c r="K1882" s="312" t="s">
        <v>334</v>
      </c>
      <c r="L1882" s="232" t="s">
        <v>29587</v>
      </c>
      <c r="M1882" s="511"/>
      <c r="N1882" s="312"/>
      <c r="O1882" s="232"/>
      <c r="P1882" s="312"/>
      <c r="Q1882" s="312"/>
      <c r="R1882" s="312"/>
      <c r="S1882" s="312"/>
      <c r="T1882" s="312"/>
      <c r="U1882" s="312"/>
    </row>
    <row r="1883">
      <c r="A1883" s="551">
        <v>44571.0</v>
      </c>
      <c r="B1883" s="232" t="s">
        <v>29588</v>
      </c>
      <c r="C1883" s="509" t="s">
        <v>29589</v>
      </c>
      <c r="D1883" s="511"/>
      <c r="E1883" s="511"/>
      <c r="F1883" s="312"/>
      <c r="G1883" s="232" t="s">
        <v>44</v>
      </c>
      <c r="H1883" s="232">
        <v>6.289056614E9</v>
      </c>
      <c r="I1883" s="509" t="s">
        <v>29590</v>
      </c>
      <c r="J1883" s="232" t="b">
        <v>0</v>
      </c>
      <c r="K1883" s="312"/>
      <c r="L1883" s="232" t="s">
        <v>29582</v>
      </c>
      <c r="M1883" s="511"/>
      <c r="N1883" s="312"/>
      <c r="O1883" s="232"/>
      <c r="P1883" s="312"/>
      <c r="Q1883" s="312"/>
      <c r="R1883" s="312"/>
      <c r="S1883" s="312"/>
      <c r="T1883" s="312"/>
      <c r="U1883" s="312"/>
    </row>
    <row r="1884">
      <c r="A1884" s="551">
        <v>44571.0</v>
      </c>
      <c r="B1884" s="232" t="s">
        <v>29591</v>
      </c>
      <c r="C1884" s="509" t="s">
        <v>21363</v>
      </c>
      <c r="D1884" s="511"/>
      <c r="E1884" s="510">
        <v>1.0</v>
      </c>
      <c r="F1884" s="232" t="s">
        <v>27014</v>
      </c>
      <c r="G1884" s="232" t="s">
        <v>218</v>
      </c>
      <c r="H1884" s="232">
        <v>8.53704258E9</v>
      </c>
      <c r="I1884" s="509" t="s">
        <v>29395</v>
      </c>
      <c r="J1884" s="232" t="b">
        <v>0</v>
      </c>
      <c r="K1884" s="232" t="s">
        <v>29223</v>
      </c>
      <c r="L1884" s="232" t="s">
        <v>29592</v>
      </c>
      <c r="M1884" s="511"/>
      <c r="N1884" s="232"/>
      <c r="O1884" s="232"/>
      <c r="P1884" s="312"/>
      <c r="Q1884" s="312"/>
      <c r="R1884" s="312"/>
      <c r="S1884" s="312"/>
      <c r="T1884" s="312"/>
      <c r="U1884" s="312"/>
    </row>
    <row r="1885">
      <c r="A1885" s="232" t="s">
        <v>29593</v>
      </c>
      <c r="B1885" s="232" t="s">
        <v>29594</v>
      </c>
      <c r="C1885" s="509" t="s">
        <v>29595</v>
      </c>
      <c r="D1885" s="312"/>
      <c r="E1885" s="511"/>
      <c r="F1885" s="312"/>
      <c r="G1885" s="510" t="s">
        <v>26659</v>
      </c>
      <c r="H1885" s="232">
        <v>6.398596668E9</v>
      </c>
      <c r="I1885" s="509" t="s">
        <v>29596</v>
      </c>
      <c r="J1885" s="232" t="b">
        <v>0</v>
      </c>
      <c r="K1885" s="312" t="s">
        <v>22355</v>
      </c>
      <c r="L1885" s="232" t="s">
        <v>29597</v>
      </c>
      <c r="M1885" s="511"/>
      <c r="N1885" s="312"/>
      <c r="O1885" s="232"/>
      <c r="P1885" s="312"/>
      <c r="Q1885" s="312"/>
      <c r="R1885" s="312"/>
      <c r="S1885" s="312"/>
      <c r="T1885" s="312"/>
      <c r="U1885" s="312"/>
    </row>
    <row r="1886">
      <c r="A1886" s="232" t="s">
        <v>29598</v>
      </c>
      <c r="B1886" s="232" t="s">
        <v>29594</v>
      </c>
      <c r="C1886" s="509" t="s">
        <v>27251</v>
      </c>
      <c r="D1886" s="312"/>
      <c r="E1886" s="511"/>
      <c r="F1886" s="312"/>
      <c r="G1886" s="312"/>
      <c r="H1886" s="232">
        <v>9.431427063E9</v>
      </c>
      <c r="I1886" s="509" t="s">
        <v>29599</v>
      </c>
      <c r="J1886" s="232" t="b">
        <v>0</v>
      </c>
      <c r="K1886" s="232" t="s">
        <v>22365</v>
      </c>
      <c r="L1886" s="232" t="s">
        <v>27251</v>
      </c>
      <c r="M1886" s="511"/>
      <c r="N1886" s="312"/>
      <c r="O1886" s="232"/>
      <c r="P1886" s="312"/>
      <c r="Q1886" s="312"/>
      <c r="R1886" s="312"/>
      <c r="S1886" s="312"/>
      <c r="T1886" s="312"/>
      <c r="U1886" s="312"/>
    </row>
    <row r="1887">
      <c r="A1887" s="232" t="s">
        <v>29598</v>
      </c>
      <c r="B1887" s="232" t="s">
        <v>29600</v>
      </c>
      <c r="C1887" s="509" t="s">
        <v>29601</v>
      </c>
      <c r="D1887" s="312"/>
      <c r="E1887" s="511"/>
      <c r="F1887" s="232" t="s">
        <v>29602</v>
      </c>
      <c r="G1887" s="232" t="s">
        <v>2662</v>
      </c>
      <c r="H1887" s="232">
        <v>9.444042278E9</v>
      </c>
      <c r="I1887" s="509" t="s">
        <v>25637</v>
      </c>
      <c r="J1887" s="232" t="b">
        <v>0</v>
      </c>
      <c r="K1887" s="312" t="s">
        <v>22355</v>
      </c>
      <c r="L1887" s="232" t="s">
        <v>29603</v>
      </c>
      <c r="M1887" s="511"/>
      <c r="N1887" s="312"/>
      <c r="O1887" s="232"/>
      <c r="P1887" s="312"/>
      <c r="Q1887" s="312"/>
      <c r="R1887" s="312"/>
      <c r="S1887" s="312"/>
      <c r="T1887" s="312"/>
      <c r="U1887" s="312"/>
    </row>
    <row r="1888">
      <c r="A1888" s="232" t="s">
        <v>29598</v>
      </c>
      <c r="B1888" s="232" t="s">
        <v>29604</v>
      </c>
      <c r="C1888" s="509" t="s">
        <v>29605</v>
      </c>
      <c r="D1888" s="312"/>
      <c r="E1888" s="511"/>
      <c r="F1888" s="232" t="s">
        <v>29606</v>
      </c>
      <c r="G1888" s="232" t="s">
        <v>27170</v>
      </c>
      <c r="H1888" s="232">
        <v>8.777316866E9</v>
      </c>
      <c r="I1888" s="509" t="s">
        <v>29607</v>
      </c>
      <c r="J1888" s="232" t="b">
        <v>0</v>
      </c>
      <c r="K1888" s="232" t="s">
        <v>29223</v>
      </c>
      <c r="L1888" s="232" t="s">
        <v>23537</v>
      </c>
      <c r="M1888" s="511"/>
      <c r="N1888" s="232"/>
      <c r="O1888" s="232"/>
      <c r="P1888" s="312"/>
      <c r="Q1888" s="312"/>
      <c r="R1888" s="312"/>
      <c r="S1888" s="312"/>
      <c r="T1888" s="312"/>
      <c r="U1888" s="312"/>
    </row>
    <row r="1889">
      <c r="A1889" s="232" t="s">
        <v>29598</v>
      </c>
      <c r="B1889" s="232" t="s">
        <v>29608</v>
      </c>
      <c r="C1889" s="509" t="s">
        <v>29609</v>
      </c>
      <c r="D1889" s="312"/>
      <c r="E1889" s="511"/>
      <c r="F1889" s="312"/>
      <c r="G1889" s="232" t="s">
        <v>977</v>
      </c>
      <c r="H1889" s="232">
        <v>8.603856084E9</v>
      </c>
      <c r="I1889" s="509" t="s">
        <v>22289</v>
      </c>
      <c r="J1889" s="232" t="b">
        <v>0</v>
      </c>
      <c r="K1889" s="232" t="s">
        <v>29223</v>
      </c>
      <c r="L1889" s="232" t="s">
        <v>29320</v>
      </c>
      <c r="M1889" s="511"/>
      <c r="N1889" s="232"/>
      <c r="O1889" s="232"/>
      <c r="P1889" s="312"/>
      <c r="Q1889" s="312"/>
      <c r="R1889" s="312"/>
      <c r="S1889" s="312"/>
      <c r="T1889" s="312"/>
      <c r="U1889" s="312"/>
    </row>
    <row r="1890">
      <c r="A1890" s="232" t="s">
        <v>29598</v>
      </c>
      <c r="B1890" s="232" t="s">
        <v>29610</v>
      </c>
      <c r="C1890" s="509" t="s">
        <v>29611</v>
      </c>
      <c r="D1890" s="312"/>
      <c r="E1890" s="511"/>
      <c r="F1890" s="312"/>
      <c r="G1890" s="232" t="s">
        <v>49</v>
      </c>
      <c r="H1890" s="232">
        <v>7.908549482E9</v>
      </c>
      <c r="I1890" s="509" t="s">
        <v>29612</v>
      </c>
      <c r="J1890" s="232" t="b">
        <v>0</v>
      </c>
      <c r="K1890" s="232" t="s">
        <v>22365</v>
      </c>
      <c r="L1890" s="232" t="s">
        <v>29613</v>
      </c>
      <c r="M1890" s="511"/>
      <c r="N1890" s="232"/>
      <c r="O1890" s="232"/>
      <c r="P1890" s="312"/>
      <c r="Q1890" s="312"/>
      <c r="R1890" s="312"/>
      <c r="S1890" s="312"/>
      <c r="T1890" s="312"/>
      <c r="U1890" s="312"/>
    </row>
    <row r="1891">
      <c r="A1891" s="232" t="s">
        <v>29598</v>
      </c>
      <c r="B1891" s="232" t="s">
        <v>29614</v>
      </c>
      <c r="C1891" s="509" t="s">
        <v>16194</v>
      </c>
      <c r="D1891" s="312"/>
      <c r="E1891" s="511"/>
      <c r="F1891" s="312"/>
      <c r="G1891" s="232" t="s">
        <v>78</v>
      </c>
      <c r="H1891" s="232">
        <v>9.122359224E9</v>
      </c>
      <c r="I1891" s="509" t="s">
        <v>29615</v>
      </c>
      <c r="J1891" s="232" t="b">
        <v>0</v>
      </c>
      <c r="K1891" s="232" t="s">
        <v>22365</v>
      </c>
      <c r="L1891" s="232" t="s">
        <v>29336</v>
      </c>
      <c r="M1891" s="511"/>
      <c r="N1891" s="232"/>
      <c r="O1891" s="232"/>
      <c r="P1891" s="312"/>
      <c r="Q1891" s="312"/>
      <c r="R1891" s="312"/>
      <c r="S1891" s="312"/>
      <c r="T1891" s="312"/>
      <c r="U1891" s="312"/>
    </row>
    <row r="1892">
      <c r="A1892" s="232" t="s">
        <v>29616</v>
      </c>
      <c r="B1892" s="232" t="s">
        <v>29617</v>
      </c>
      <c r="C1892" s="509" t="s">
        <v>29618</v>
      </c>
      <c r="D1892" s="312"/>
      <c r="E1892" s="511"/>
      <c r="F1892" s="232" t="s">
        <v>29619</v>
      </c>
      <c r="G1892" s="232" t="s">
        <v>29620</v>
      </c>
      <c r="H1892" s="232">
        <v>6.000730453E9</v>
      </c>
      <c r="I1892" s="509" t="s">
        <v>29621</v>
      </c>
      <c r="J1892" s="232" t="b">
        <v>0</v>
      </c>
      <c r="K1892" s="232" t="s">
        <v>29223</v>
      </c>
      <c r="L1892" s="232" t="s">
        <v>23537</v>
      </c>
      <c r="M1892" s="511"/>
      <c r="N1892" s="232"/>
      <c r="O1892" s="232"/>
      <c r="P1892" s="312"/>
      <c r="Q1892" s="312"/>
      <c r="R1892" s="312"/>
      <c r="S1892" s="312"/>
      <c r="T1892" s="312"/>
      <c r="U1892" s="312"/>
    </row>
    <row r="1893">
      <c r="A1893" s="232" t="s">
        <v>29616</v>
      </c>
      <c r="B1893" s="232" t="s">
        <v>29622</v>
      </c>
      <c r="C1893" s="509" t="s">
        <v>29623</v>
      </c>
      <c r="D1893" s="312"/>
      <c r="E1893" s="511"/>
      <c r="F1893" s="232" t="s">
        <v>29624</v>
      </c>
      <c r="G1893" s="232" t="s">
        <v>99</v>
      </c>
      <c r="H1893" s="232">
        <v>9.861444567E9</v>
      </c>
      <c r="I1893" s="509" t="s">
        <v>25889</v>
      </c>
      <c r="J1893" s="232" t="b">
        <v>0</v>
      </c>
      <c r="K1893" s="312" t="s">
        <v>12092</v>
      </c>
      <c r="L1893" s="232" t="s">
        <v>29424</v>
      </c>
      <c r="M1893" s="511"/>
      <c r="N1893" s="312"/>
      <c r="O1893" s="232"/>
      <c r="P1893" s="312"/>
      <c r="Q1893" s="312"/>
      <c r="R1893" s="312"/>
      <c r="S1893" s="312"/>
      <c r="T1893" s="312"/>
      <c r="U1893" s="312"/>
    </row>
    <row r="1894">
      <c r="A1894" s="232" t="s">
        <v>29616</v>
      </c>
      <c r="B1894" s="232" t="s">
        <v>29625</v>
      </c>
      <c r="C1894" s="509" t="s">
        <v>24718</v>
      </c>
      <c r="D1894" s="312"/>
      <c r="E1894" s="511"/>
      <c r="F1894" s="312"/>
      <c r="G1894" s="232" t="s">
        <v>22337</v>
      </c>
      <c r="H1894" s="232">
        <v>8.260523035E9</v>
      </c>
      <c r="I1894" s="509" t="s">
        <v>29626</v>
      </c>
      <c r="J1894" s="232" t="b">
        <v>0</v>
      </c>
      <c r="K1894" s="312" t="s">
        <v>334</v>
      </c>
      <c r="L1894" s="232" t="s">
        <v>29408</v>
      </c>
      <c r="M1894" s="511"/>
      <c r="N1894" s="312"/>
      <c r="O1894" s="232"/>
      <c r="P1894" s="312"/>
      <c r="Q1894" s="312"/>
      <c r="R1894" s="312"/>
      <c r="S1894" s="312"/>
      <c r="T1894" s="312"/>
      <c r="U1894" s="312"/>
    </row>
    <row r="1895">
      <c r="A1895" s="232" t="s">
        <v>29616</v>
      </c>
      <c r="B1895" s="232" t="s">
        <v>29627</v>
      </c>
      <c r="C1895" s="509" t="s">
        <v>29628</v>
      </c>
      <c r="D1895" s="312"/>
      <c r="E1895" s="511"/>
      <c r="F1895" s="312"/>
      <c r="G1895" s="232" t="s">
        <v>23770</v>
      </c>
      <c r="H1895" s="232">
        <v>9.534853388E9</v>
      </c>
      <c r="I1895" s="509" t="s">
        <v>29629</v>
      </c>
      <c r="J1895" s="232" t="b">
        <v>0</v>
      </c>
      <c r="K1895" s="232" t="s">
        <v>29223</v>
      </c>
      <c r="L1895" s="232" t="s">
        <v>29630</v>
      </c>
      <c r="M1895" s="511"/>
      <c r="N1895" s="232"/>
      <c r="O1895" s="232"/>
      <c r="P1895" s="312"/>
      <c r="Q1895" s="312"/>
      <c r="R1895" s="312"/>
      <c r="S1895" s="312"/>
      <c r="T1895" s="312"/>
      <c r="U1895" s="312"/>
    </row>
    <row r="1896">
      <c r="A1896" s="232" t="s">
        <v>29616</v>
      </c>
      <c r="B1896" s="232" t="s">
        <v>29631</v>
      </c>
      <c r="C1896" s="509" t="s">
        <v>29632</v>
      </c>
      <c r="D1896" s="312"/>
      <c r="E1896" s="511"/>
      <c r="F1896" s="312"/>
      <c r="G1896" s="232" t="s">
        <v>22292</v>
      </c>
      <c r="H1896" s="232">
        <v>9.582104716E9</v>
      </c>
      <c r="I1896" s="509" t="s">
        <v>27938</v>
      </c>
      <c r="J1896" s="232" t="b">
        <v>0</v>
      </c>
      <c r="K1896" s="312" t="s">
        <v>334</v>
      </c>
      <c r="L1896" s="232" t="s">
        <v>29633</v>
      </c>
      <c r="M1896" s="511"/>
      <c r="N1896" s="312"/>
      <c r="O1896" s="232"/>
      <c r="P1896" s="312"/>
      <c r="Q1896" s="312"/>
      <c r="R1896" s="312"/>
      <c r="S1896" s="312"/>
      <c r="T1896" s="312"/>
      <c r="U1896" s="312"/>
    </row>
    <row r="1897">
      <c r="A1897" s="232" t="s">
        <v>29616</v>
      </c>
      <c r="B1897" s="232" t="s">
        <v>29634</v>
      </c>
      <c r="C1897" s="509" t="s">
        <v>29635</v>
      </c>
      <c r="D1897" s="312"/>
      <c r="E1897" s="511"/>
      <c r="F1897" s="312"/>
      <c r="G1897" s="232" t="s">
        <v>107</v>
      </c>
      <c r="H1897" s="232">
        <v>9.82167432E9</v>
      </c>
      <c r="I1897" s="509" t="s">
        <v>23503</v>
      </c>
      <c r="J1897" s="232" t="b">
        <v>0</v>
      </c>
      <c r="K1897" s="232" t="s">
        <v>29223</v>
      </c>
      <c r="L1897" s="232" t="s">
        <v>23537</v>
      </c>
      <c r="M1897" s="511"/>
      <c r="N1897" s="232"/>
      <c r="O1897" s="232"/>
      <c r="P1897" s="312"/>
      <c r="Q1897" s="312"/>
      <c r="R1897" s="312"/>
      <c r="S1897" s="312"/>
      <c r="T1897" s="312"/>
      <c r="U1897" s="312"/>
    </row>
    <row r="1898">
      <c r="A1898" s="232" t="s">
        <v>29616</v>
      </c>
      <c r="B1898" s="232" t="s">
        <v>29636</v>
      </c>
      <c r="C1898" s="509" t="s">
        <v>29637</v>
      </c>
      <c r="D1898" s="312"/>
      <c r="E1898" s="511"/>
      <c r="F1898" s="312"/>
      <c r="G1898" s="232" t="s">
        <v>519</v>
      </c>
      <c r="H1898" s="232">
        <v>7.390023812E9</v>
      </c>
      <c r="I1898" s="509" t="s">
        <v>23661</v>
      </c>
      <c r="J1898" s="232" t="b">
        <v>0</v>
      </c>
      <c r="K1898" s="312" t="s">
        <v>334</v>
      </c>
      <c r="L1898" s="232" t="s">
        <v>29570</v>
      </c>
      <c r="M1898" s="511"/>
      <c r="N1898" s="312"/>
      <c r="O1898" s="232"/>
      <c r="P1898" s="312"/>
      <c r="Q1898" s="312"/>
      <c r="R1898" s="312"/>
      <c r="S1898" s="312"/>
      <c r="T1898" s="312"/>
      <c r="U1898" s="312"/>
    </row>
    <row r="1899">
      <c r="A1899" s="232" t="s">
        <v>29616</v>
      </c>
      <c r="B1899" s="232" t="s">
        <v>29638</v>
      </c>
      <c r="C1899" s="509" t="s">
        <v>29639</v>
      </c>
      <c r="D1899" s="312"/>
      <c r="E1899" s="511"/>
      <c r="F1899" s="232" t="s">
        <v>29640</v>
      </c>
      <c r="G1899" s="232" t="s">
        <v>22564</v>
      </c>
      <c r="H1899" s="232">
        <v>9.422032332E9</v>
      </c>
      <c r="I1899" s="509" t="s">
        <v>22577</v>
      </c>
      <c r="J1899" s="232" t="b">
        <v>0</v>
      </c>
      <c r="K1899" s="312" t="s">
        <v>22355</v>
      </c>
      <c r="L1899" s="232" t="s">
        <v>29603</v>
      </c>
      <c r="M1899" s="511"/>
      <c r="N1899" s="312"/>
      <c r="O1899" s="232"/>
      <c r="P1899" s="312"/>
      <c r="Q1899" s="312"/>
      <c r="R1899" s="312"/>
      <c r="S1899" s="312"/>
      <c r="T1899" s="312"/>
      <c r="U1899" s="312"/>
    </row>
    <row r="1900">
      <c r="A1900" s="232" t="s">
        <v>29616</v>
      </c>
      <c r="B1900" s="232" t="s">
        <v>29641</v>
      </c>
      <c r="C1900" s="515" t="s">
        <v>29642</v>
      </c>
      <c r="D1900" s="312"/>
      <c r="E1900" s="517"/>
      <c r="F1900" s="514" t="s">
        <v>29643</v>
      </c>
      <c r="G1900" s="514" t="s">
        <v>27170</v>
      </c>
      <c r="H1900" s="514">
        <v>9.674378729E9</v>
      </c>
      <c r="I1900" s="515" t="s">
        <v>27776</v>
      </c>
      <c r="J1900" s="514" t="b">
        <v>0</v>
      </c>
      <c r="K1900" s="547" t="s">
        <v>22312</v>
      </c>
      <c r="L1900" s="514" t="s">
        <v>29418</v>
      </c>
      <c r="M1900" s="511"/>
      <c r="N1900" s="312"/>
      <c r="O1900" s="514"/>
      <c r="P1900" s="312"/>
      <c r="Q1900" s="312"/>
      <c r="R1900" s="312"/>
      <c r="S1900" s="312"/>
      <c r="T1900" s="312"/>
      <c r="U1900" s="312"/>
    </row>
    <row r="1901">
      <c r="A1901" s="232" t="s">
        <v>29616</v>
      </c>
      <c r="B1901" s="232" t="s">
        <v>29644</v>
      </c>
      <c r="C1901" s="509" t="s">
        <v>29645</v>
      </c>
      <c r="D1901" s="312"/>
      <c r="E1901" s="511"/>
      <c r="F1901" s="232" t="s">
        <v>29646</v>
      </c>
      <c r="G1901" s="232" t="s">
        <v>981</v>
      </c>
      <c r="H1901" s="232">
        <v>9.002503977E9</v>
      </c>
      <c r="I1901" s="509" t="s">
        <v>29647</v>
      </c>
      <c r="J1901" s="232" t="b">
        <v>0</v>
      </c>
      <c r="K1901" s="312" t="s">
        <v>22355</v>
      </c>
      <c r="L1901" s="232" t="s">
        <v>29597</v>
      </c>
      <c r="M1901" s="511"/>
      <c r="N1901" s="312"/>
      <c r="O1901" s="232"/>
      <c r="P1901" s="312"/>
      <c r="Q1901" s="312"/>
      <c r="R1901" s="312"/>
      <c r="S1901" s="312"/>
      <c r="T1901" s="312"/>
      <c r="U1901" s="312"/>
    </row>
    <row r="1902">
      <c r="A1902" s="232" t="s">
        <v>29616</v>
      </c>
      <c r="B1902" s="232" t="s">
        <v>29648</v>
      </c>
      <c r="C1902" s="509" t="s">
        <v>15677</v>
      </c>
      <c r="D1902" s="312"/>
      <c r="E1902" s="510">
        <v>100.0</v>
      </c>
      <c r="F1902" s="232" t="s">
        <v>29322</v>
      </c>
      <c r="G1902" s="232" t="s">
        <v>15845</v>
      </c>
      <c r="H1902" s="232">
        <v>8.884224007E9</v>
      </c>
      <c r="I1902" s="509" t="s">
        <v>25075</v>
      </c>
      <c r="J1902" s="232" t="b">
        <v>0</v>
      </c>
      <c r="K1902" s="312" t="s">
        <v>22355</v>
      </c>
      <c r="L1902" s="232" t="s">
        <v>29597</v>
      </c>
      <c r="M1902" s="511"/>
      <c r="N1902" s="312"/>
      <c r="O1902" s="232"/>
      <c r="P1902" s="312"/>
      <c r="Q1902" s="312"/>
      <c r="R1902" s="312"/>
      <c r="S1902" s="312"/>
      <c r="T1902" s="312"/>
      <c r="U1902" s="312"/>
    </row>
    <row r="1903">
      <c r="A1903" s="232" t="s">
        <v>29616</v>
      </c>
      <c r="B1903" s="232" t="s">
        <v>29649</v>
      </c>
      <c r="C1903" s="509" t="s">
        <v>9827</v>
      </c>
      <c r="D1903" s="312"/>
      <c r="E1903" s="511"/>
      <c r="F1903" s="232" t="s">
        <v>29650</v>
      </c>
      <c r="G1903" s="232" t="s">
        <v>1029</v>
      </c>
      <c r="H1903" s="232">
        <v>9.78998168E9</v>
      </c>
      <c r="I1903" s="509" t="s">
        <v>29651</v>
      </c>
      <c r="J1903" s="232" t="b">
        <v>0</v>
      </c>
      <c r="K1903" s="312" t="s">
        <v>334</v>
      </c>
      <c r="L1903" s="232" t="s">
        <v>23363</v>
      </c>
      <c r="M1903" s="511"/>
      <c r="N1903" s="312"/>
      <c r="O1903" s="232"/>
      <c r="P1903" s="312"/>
      <c r="Q1903" s="312"/>
      <c r="R1903" s="312"/>
      <c r="S1903" s="312"/>
      <c r="T1903" s="312"/>
      <c r="U1903" s="312"/>
    </row>
    <row r="1904">
      <c r="A1904" s="232" t="s">
        <v>29652</v>
      </c>
      <c r="B1904" s="232" t="s">
        <v>29653</v>
      </c>
      <c r="C1904" s="509" t="s">
        <v>474</v>
      </c>
      <c r="D1904" s="312"/>
      <c r="E1904" s="510">
        <v>100.0</v>
      </c>
      <c r="F1904" s="232" t="s">
        <v>29654</v>
      </c>
      <c r="G1904" s="510" t="s">
        <v>398</v>
      </c>
      <c r="H1904" s="232">
        <v>9.13160412E9</v>
      </c>
      <c r="I1904" s="509" t="s">
        <v>29655</v>
      </c>
      <c r="J1904" s="232" t="b">
        <v>0</v>
      </c>
      <c r="K1904" s="232" t="s">
        <v>29223</v>
      </c>
      <c r="L1904" s="232" t="s">
        <v>23537</v>
      </c>
      <c r="M1904" s="511"/>
      <c r="N1904" s="232"/>
      <c r="O1904" s="232"/>
      <c r="P1904" s="312"/>
      <c r="Q1904" s="312"/>
      <c r="R1904" s="312"/>
      <c r="S1904" s="312"/>
      <c r="T1904" s="312"/>
      <c r="U1904" s="312"/>
    </row>
    <row r="1905">
      <c r="A1905" s="232" t="s">
        <v>29652</v>
      </c>
      <c r="B1905" s="232" t="s">
        <v>29656</v>
      </c>
      <c r="C1905" s="509" t="s">
        <v>29657</v>
      </c>
      <c r="D1905" s="312"/>
      <c r="E1905" s="511"/>
      <c r="F1905" s="312"/>
      <c r="G1905" s="232" t="s">
        <v>28639</v>
      </c>
      <c r="H1905" s="232">
        <v>8.018416471E9</v>
      </c>
      <c r="I1905" s="509" t="s">
        <v>24747</v>
      </c>
      <c r="J1905" s="232" t="b">
        <v>0</v>
      </c>
      <c r="K1905" s="232" t="s">
        <v>29223</v>
      </c>
      <c r="L1905" s="232" t="s">
        <v>29658</v>
      </c>
      <c r="M1905" s="511"/>
      <c r="N1905" s="232"/>
      <c r="O1905" s="232"/>
      <c r="P1905" s="312"/>
      <c r="Q1905" s="312"/>
      <c r="R1905" s="312"/>
      <c r="S1905" s="312"/>
      <c r="T1905" s="312"/>
      <c r="U1905" s="312"/>
    </row>
    <row r="1906">
      <c r="A1906" s="232" t="s">
        <v>29652</v>
      </c>
      <c r="B1906" s="232" t="s">
        <v>29659</v>
      </c>
      <c r="C1906" s="509" t="s">
        <v>29660</v>
      </c>
      <c r="D1906" s="312"/>
      <c r="E1906" s="511"/>
      <c r="F1906" s="232" t="s">
        <v>29661</v>
      </c>
      <c r="G1906" s="232" t="s">
        <v>22844</v>
      </c>
      <c r="H1906" s="232">
        <v>9.561637613E9</v>
      </c>
      <c r="I1906" s="509" t="s">
        <v>22502</v>
      </c>
      <c r="J1906" s="232" t="b">
        <v>0</v>
      </c>
      <c r="K1906" s="232" t="s">
        <v>29223</v>
      </c>
      <c r="L1906" s="232" t="s">
        <v>29662</v>
      </c>
      <c r="M1906" s="511"/>
      <c r="N1906" s="232"/>
      <c r="O1906" s="232"/>
      <c r="P1906" s="312"/>
      <c r="Q1906" s="312"/>
      <c r="R1906" s="312"/>
      <c r="S1906" s="312"/>
      <c r="T1906" s="312"/>
      <c r="U1906" s="312"/>
    </row>
    <row r="1907">
      <c r="A1907" s="232" t="s">
        <v>29652</v>
      </c>
      <c r="B1907" s="232" t="s">
        <v>29663</v>
      </c>
      <c r="C1907" s="509" t="s">
        <v>29664</v>
      </c>
      <c r="D1907" s="312"/>
      <c r="E1907" s="511"/>
      <c r="F1907" s="232" t="s">
        <v>29665</v>
      </c>
      <c r="G1907" s="232" t="s">
        <v>22564</v>
      </c>
      <c r="H1907" s="232">
        <v>-9.868406295E9</v>
      </c>
      <c r="I1907" s="509" t="s">
        <v>29666</v>
      </c>
      <c r="J1907" s="232" t="b">
        <v>0</v>
      </c>
      <c r="K1907" s="232" t="s">
        <v>22365</v>
      </c>
      <c r="L1907" s="232" t="s">
        <v>29336</v>
      </c>
      <c r="M1907" s="511"/>
      <c r="N1907" s="232"/>
      <c r="O1907" s="232"/>
      <c r="P1907" s="312"/>
      <c r="Q1907" s="312"/>
      <c r="R1907" s="312"/>
      <c r="S1907" s="312"/>
      <c r="T1907" s="312"/>
      <c r="U1907" s="312"/>
    </row>
    <row r="1908">
      <c r="A1908" s="232" t="s">
        <v>29652</v>
      </c>
      <c r="B1908" s="232" t="s">
        <v>29667</v>
      </c>
      <c r="C1908" s="509" t="s">
        <v>29668</v>
      </c>
      <c r="D1908" s="312"/>
      <c r="E1908" s="511"/>
      <c r="F1908" s="553" t="s">
        <v>29669</v>
      </c>
      <c r="G1908" s="232" t="s">
        <v>29670</v>
      </c>
      <c r="H1908" s="232">
        <v>8.602932478E9</v>
      </c>
      <c r="I1908" s="509" t="s">
        <v>29671</v>
      </c>
      <c r="J1908" s="232" t="b">
        <v>0</v>
      </c>
      <c r="K1908" s="312"/>
      <c r="L1908" s="232" t="s">
        <v>29672</v>
      </c>
      <c r="M1908" s="511"/>
      <c r="N1908" s="312"/>
      <c r="O1908" s="232"/>
      <c r="P1908" s="312"/>
      <c r="Q1908" s="312"/>
      <c r="R1908" s="312"/>
      <c r="S1908" s="312"/>
      <c r="T1908" s="312"/>
      <c r="U1908" s="312"/>
    </row>
    <row r="1909">
      <c r="A1909" s="232" t="s">
        <v>29652</v>
      </c>
      <c r="B1909" s="232" t="s">
        <v>29673</v>
      </c>
      <c r="C1909" s="509" t="s">
        <v>28920</v>
      </c>
      <c r="D1909" s="312"/>
      <c r="E1909" s="378">
        <v>5.0</v>
      </c>
      <c r="F1909" s="232" t="s">
        <v>29674</v>
      </c>
      <c r="G1909" s="232" t="s">
        <v>23593</v>
      </c>
      <c r="H1909" s="232">
        <v>-8.642872201E9</v>
      </c>
      <c r="I1909" s="509" t="s">
        <v>25889</v>
      </c>
      <c r="J1909" s="312" t="b">
        <v>0</v>
      </c>
      <c r="K1909" s="312"/>
      <c r="L1909" s="312"/>
      <c r="M1909" s="511"/>
      <c r="N1909" s="312"/>
      <c r="O1909" s="312"/>
      <c r="P1909" s="312"/>
      <c r="Q1909" s="312"/>
      <c r="R1909" s="312"/>
      <c r="S1909" s="312"/>
      <c r="T1909" s="312"/>
      <c r="U1909" s="312"/>
    </row>
    <row r="1910">
      <c r="A1910" s="232" t="s">
        <v>29652</v>
      </c>
      <c r="B1910" s="232" t="s">
        <v>29675</v>
      </c>
      <c r="C1910" s="509" t="s">
        <v>29676</v>
      </c>
      <c r="D1910" s="312"/>
      <c r="E1910" s="511"/>
      <c r="F1910" s="232" t="s">
        <v>29677</v>
      </c>
      <c r="G1910" s="312"/>
      <c r="H1910" s="232">
        <v>9.749891141E9</v>
      </c>
      <c r="I1910" s="509" t="s">
        <v>29678</v>
      </c>
      <c r="J1910" s="232" t="b">
        <v>0</v>
      </c>
      <c r="K1910" s="232" t="s">
        <v>22365</v>
      </c>
      <c r="L1910" s="232" t="s">
        <v>29336</v>
      </c>
      <c r="M1910" s="511"/>
      <c r="N1910" s="232"/>
      <c r="O1910" s="232"/>
      <c r="P1910" s="312"/>
      <c r="Q1910" s="312"/>
      <c r="R1910" s="312"/>
      <c r="S1910" s="312"/>
      <c r="T1910" s="312"/>
      <c r="U1910" s="312"/>
    </row>
    <row r="1911">
      <c r="A1911" s="232" t="s">
        <v>29652</v>
      </c>
      <c r="B1911" s="232" t="s">
        <v>29679</v>
      </c>
      <c r="C1911" s="509" t="s">
        <v>29680</v>
      </c>
      <c r="D1911" s="312"/>
      <c r="E1911" s="510">
        <v>24.0</v>
      </c>
      <c r="F1911" s="232" t="s">
        <v>29681</v>
      </c>
      <c r="G1911" s="232" t="s">
        <v>23598</v>
      </c>
      <c r="H1911" s="232">
        <v>-6.207913532E9</v>
      </c>
      <c r="I1911" s="509" t="s">
        <v>4786</v>
      </c>
      <c r="J1911" s="312" t="b">
        <v>0</v>
      </c>
      <c r="K1911" s="312"/>
      <c r="L1911" s="312"/>
      <c r="M1911" s="511"/>
      <c r="N1911" s="312"/>
      <c r="O1911" s="312"/>
      <c r="P1911" s="312"/>
      <c r="Q1911" s="312"/>
      <c r="R1911" s="312"/>
      <c r="S1911" s="312"/>
      <c r="T1911" s="312"/>
      <c r="U1911" s="312"/>
    </row>
    <row r="1912">
      <c r="A1912" s="232" t="s">
        <v>29652</v>
      </c>
      <c r="B1912" s="232" t="s">
        <v>29682</v>
      </c>
      <c r="C1912" s="509" t="s">
        <v>29683</v>
      </c>
      <c r="D1912" s="312"/>
      <c r="E1912" s="510">
        <v>1.0</v>
      </c>
      <c r="F1912" s="232" t="s">
        <v>29684</v>
      </c>
      <c r="G1912" s="232" t="s">
        <v>107</v>
      </c>
      <c r="H1912" s="232">
        <v>9.6544747E9</v>
      </c>
      <c r="I1912" s="509" t="s">
        <v>29685</v>
      </c>
      <c r="J1912" s="232" t="b">
        <v>0</v>
      </c>
      <c r="K1912" s="232" t="s">
        <v>22365</v>
      </c>
      <c r="L1912" s="232" t="s">
        <v>29686</v>
      </c>
      <c r="M1912" s="511"/>
      <c r="N1912" s="232"/>
      <c r="O1912" s="232"/>
      <c r="P1912" s="312"/>
      <c r="Q1912" s="312"/>
      <c r="R1912" s="312"/>
      <c r="S1912" s="312"/>
      <c r="T1912" s="312"/>
      <c r="U1912" s="312"/>
    </row>
    <row r="1913">
      <c r="A1913" s="232" t="s">
        <v>29652</v>
      </c>
      <c r="B1913" s="232" t="s">
        <v>29687</v>
      </c>
      <c r="C1913" s="509" t="s">
        <v>28920</v>
      </c>
      <c r="D1913" s="312"/>
      <c r="E1913" s="511"/>
      <c r="F1913" s="232" t="s">
        <v>28921</v>
      </c>
      <c r="G1913" s="232" t="s">
        <v>28879</v>
      </c>
      <c r="H1913" s="232">
        <v>8.250398815E9</v>
      </c>
      <c r="I1913" s="509" t="s">
        <v>23813</v>
      </c>
      <c r="J1913" s="232" t="b">
        <v>0</v>
      </c>
      <c r="K1913" s="232" t="s">
        <v>29223</v>
      </c>
      <c r="L1913" s="232" t="s">
        <v>23537</v>
      </c>
      <c r="M1913" s="511"/>
      <c r="N1913" s="232"/>
      <c r="O1913" s="232"/>
      <c r="P1913" s="312"/>
      <c r="Q1913" s="312"/>
      <c r="R1913" s="312"/>
      <c r="S1913" s="312"/>
      <c r="T1913" s="312"/>
      <c r="U1913" s="312"/>
    </row>
    <row r="1914">
      <c r="A1914" s="232" t="s">
        <v>29652</v>
      </c>
      <c r="B1914" s="232" t="s">
        <v>29687</v>
      </c>
      <c r="C1914" s="509" t="s">
        <v>29688</v>
      </c>
      <c r="D1914" s="312"/>
      <c r="E1914" s="511"/>
      <c r="F1914" s="232" t="s">
        <v>29689</v>
      </c>
      <c r="G1914" s="232" t="s">
        <v>44</v>
      </c>
      <c r="H1914" s="232">
        <v>7.461064105E9</v>
      </c>
      <c r="I1914" s="554" t="s">
        <v>29690</v>
      </c>
      <c r="J1914" s="232" t="b">
        <v>0</v>
      </c>
      <c r="K1914" s="232" t="s">
        <v>29223</v>
      </c>
      <c r="L1914" s="232" t="s">
        <v>23537</v>
      </c>
      <c r="M1914" s="511"/>
      <c r="N1914" s="232"/>
      <c r="O1914" s="232"/>
      <c r="P1914" s="312"/>
      <c r="Q1914" s="312"/>
      <c r="R1914" s="312"/>
      <c r="S1914" s="312"/>
      <c r="T1914" s="312"/>
      <c r="U1914" s="312"/>
    </row>
    <row r="1915">
      <c r="A1915" s="232" t="s">
        <v>29652</v>
      </c>
      <c r="B1915" s="232" t="s">
        <v>29691</v>
      </c>
      <c r="C1915" s="509" t="s">
        <v>29692</v>
      </c>
      <c r="D1915" s="312"/>
      <c r="E1915" s="511"/>
      <c r="F1915" s="232" t="s">
        <v>29693</v>
      </c>
      <c r="G1915" s="232" t="s">
        <v>29694</v>
      </c>
      <c r="H1915" s="232">
        <v>9.800081218E9</v>
      </c>
      <c r="I1915" s="509" t="s">
        <v>29695</v>
      </c>
      <c r="J1915" s="312" t="b">
        <v>0</v>
      </c>
      <c r="K1915" s="312"/>
      <c r="L1915" s="312"/>
      <c r="M1915" s="511"/>
      <c r="N1915" s="312"/>
      <c r="O1915" s="312"/>
      <c r="P1915" s="312"/>
      <c r="Q1915" s="312"/>
      <c r="R1915" s="312"/>
      <c r="S1915" s="312"/>
      <c r="T1915" s="312"/>
      <c r="U1915" s="312"/>
    </row>
    <row r="1916">
      <c r="A1916" s="232" t="s">
        <v>29652</v>
      </c>
      <c r="B1916" s="232" t="s">
        <v>29696</v>
      </c>
      <c r="C1916" s="509" t="s">
        <v>29697</v>
      </c>
      <c r="D1916" s="312"/>
      <c r="E1916" s="511"/>
      <c r="F1916" s="232" t="s">
        <v>29698</v>
      </c>
      <c r="G1916" s="232" t="s">
        <v>44</v>
      </c>
      <c r="H1916" s="232">
        <v>9.800999685E9</v>
      </c>
      <c r="I1916" s="509" t="s">
        <v>29699</v>
      </c>
      <c r="J1916" s="425" t="b">
        <v>0</v>
      </c>
      <c r="K1916" s="232" t="s">
        <v>29223</v>
      </c>
      <c r="L1916" s="425" t="s">
        <v>29700</v>
      </c>
      <c r="M1916" s="511"/>
      <c r="N1916" s="232"/>
      <c r="O1916" s="425"/>
      <c r="P1916" s="312"/>
      <c r="Q1916" s="312"/>
      <c r="R1916" s="312"/>
      <c r="S1916" s="312"/>
      <c r="T1916" s="312"/>
      <c r="U1916" s="312"/>
    </row>
    <row r="1917">
      <c r="A1917" s="232" t="s">
        <v>29652</v>
      </c>
      <c r="B1917" s="232" t="s">
        <v>29701</v>
      </c>
      <c r="C1917" s="515" t="s">
        <v>29702</v>
      </c>
      <c r="D1917" s="312"/>
      <c r="E1917" s="517"/>
      <c r="F1917" s="547"/>
      <c r="G1917" s="514" t="s">
        <v>20565</v>
      </c>
      <c r="H1917" s="514">
        <v>7.894391421E9</v>
      </c>
      <c r="I1917" s="515" t="s">
        <v>29703</v>
      </c>
      <c r="J1917" s="514" t="b">
        <v>0</v>
      </c>
      <c r="K1917" s="547" t="s">
        <v>22312</v>
      </c>
      <c r="L1917" s="514" t="s">
        <v>29704</v>
      </c>
      <c r="M1917" s="511"/>
      <c r="N1917" s="312"/>
      <c r="O1917" s="514"/>
      <c r="P1917" s="312"/>
      <c r="Q1917" s="312"/>
      <c r="R1917" s="312"/>
      <c r="S1917" s="312"/>
      <c r="T1917" s="312"/>
      <c r="U1917" s="312"/>
    </row>
    <row r="1918">
      <c r="A1918" s="232" t="s">
        <v>29705</v>
      </c>
      <c r="B1918" s="232" t="s">
        <v>29706</v>
      </c>
      <c r="C1918" s="509" t="s">
        <v>29707</v>
      </c>
      <c r="D1918" s="312"/>
      <c r="E1918" s="510">
        <v>1.0</v>
      </c>
      <c r="F1918" s="232" t="s">
        <v>23370</v>
      </c>
      <c r="G1918" s="232" t="s">
        <v>22564</v>
      </c>
      <c r="H1918" s="232">
        <v>9.322778191E9</v>
      </c>
      <c r="I1918" s="509" t="s">
        <v>22961</v>
      </c>
      <c r="J1918" s="232" t="b">
        <v>0</v>
      </c>
      <c r="K1918" s="232" t="s">
        <v>29223</v>
      </c>
      <c r="L1918" s="232" t="s">
        <v>29320</v>
      </c>
      <c r="M1918" s="511"/>
      <c r="N1918" s="232"/>
      <c r="O1918" s="232"/>
      <c r="P1918" s="312"/>
      <c r="Q1918" s="312"/>
      <c r="R1918" s="312"/>
      <c r="S1918" s="312"/>
      <c r="T1918" s="312"/>
      <c r="U1918" s="312"/>
    </row>
    <row r="1919">
      <c r="A1919" s="232" t="s">
        <v>29705</v>
      </c>
      <c r="B1919" s="232" t="s">
        <v>29708</v>
      </c>
      <c r="C1919" s="509" t="s">
        <v>29709</v>
      </c>
      <c r="D1919" s="312"/>
      <c r="E1919" s="511"/>
      <c r="F1919" s="232" t="s">
        <v>29710</v>
      </c>
      <c r="G1919" s="232" t="s">
        <v>507</v>
      </c>
      <c r="H1919" s="232">
        <v>9.930685433E9</v>
      </c>
      <c r="I1919" s="509" t="s">
        <v>26700</v>
      </c>
      <c r="J1919" s="232" t="b">
        <v>0</v>
      </c>
      <c r="K1919" s="312" t="s">
        <v>334</v>
      </c>
      <c r="L1919" s="232" t="s">
        <v>29408</v>
      </c>
      <c r="M1919" s="511"/>
      <c r="N1919" s="312"/>
      <c r="O1919" s="232"/>
      <c r="P1919" s="312"/>
      <c r="Q1919" s="312"/>
      <c r="R1919" s="312"/>
      <c r="S1919" s="312"/>
      <c r="T1919" s="312"/>
      <c r="U1919" s="312"/>
    </row>
    <row r="1920">
      <c r="A1920" s="232" t="s">
        <v>29705</v>
      </c>
      <c r="B1920" s="232" t="s">
        <v>29711</v>
      </c>
      <c r="C1920" s="509" t="s">
        <v>29712</v>
      </c>
      <c r="D1920" s="312"/>
      <c r="E1920" s="511"/>
      <c r="F1920" s="232" t="s">
        <v>29713</v>
      </c>
      <c r="G1920" s="232" t="s">
        <v>22630</v>
      </c>
      <c r="H1920" s="232">
        <v>9.739301092E9</v>
      </c>
      <c r="I1920" s="509" t="s">
        <v>29714</v>
      </c>
      <c r="J1920" s="312" t="b">
        <v>0</v>
      </c>
      <c r="K1920" s="312"/>
      <c r="L1920" s="312"/>
      <c r="M1920" s="511"/>
      <c r="N1920" s="312"/>
      <c r="O1920" s="312"/>
      <c r="P1920" s="312"/>
      <c r="Q1920" s="312"/>
      <c r="R1920" s="312"/>
      <c r="S1920" s="312"/>
      <c r="T1920" s="312"/>
      <c r="U1920" s="312"/>
    </row>
    <row r="1921">
      <c r="A1921" s="232" t="s">
        <v>29705</v>
      </c>
      <c r="B1921" s="232" t="s">
        <v>29715</v>
      </c>
      <c r="C1921" s="509" t="s">
        <v>29716</v>
      </c>
      <c r="D1921" s="312"/>
      <c r="E1921" s="510">
        <v>1.0</v>
      </c>
      <c r="F1921" s="312"/>
      <c r="G1921" s="232" t="s">
        <v>22697</v>
      </c>
      <c r="H1921" s="232">
        <v>-9.502903368E9</v>
      </c>
      <c r="I1921" s="509" t="s">
        <v>22822</v>
      </c>
      <c r="J1921" s="232" t="b">
        <v>0</v>
      </c>
      <c r="K1921" s="312"/>
      <c r="L1921" s="232" t="s">
        <v>29717</v>
      </c>
      <c r="M1921" s="511"/>
      <c r="N1921" s="312"/>
      <c r="O1921" s="232"/>
      <c r="P1921" s="312"/>
      <c r="Q1921" s="312"/>
      <c r="R1921" s="312"/>
      <c r="S1921" s="312"/>
      <c r="T1921" s="312"/>
      <c r="U1921" s="312"/>
    </row>
    <row r="1922">
      <c r="A1922" s="232" t="s">
        <v>29705</v>
      </c>
      <c r="B1922" s="232" t="s">
        <v>29718</v>
      </c>
      <c r="C1922" s="509" t="s">
        <v>6494</v>
      </c>
      <c r="D1922" s="312"/>
      <c r="E1922" s="511"/>
      <c r="F1922" s="232" t="s">
        <v>29719</v>
      </c>
      <c r="G1922" s="232" t="s">
        <v>22292</v>
      </c>
      <c r="H1922" s="232">
        <v>9.87083555E9</v>
      </c>
      <c r="I1922" s="509" t="s">
        <v>29720</v>
      </c>
      <c r="J1922" s="232" t="b">
        <v>0</v>
      </c>
      <c r="K1922" s="312" t="s">
        <v>334</v>
      </c>
      <c r="L1922" s="232" t="s">
        <v>29721</v>
      </c>
      <c r="M1922" s="511"/>
      <c r="N1922" s="312"/>
      <c r="O1922" s="232"/>
      <c r="P1922" s="312"/>
      <c r="Q1922" s="312"/>
      <c r="R1922" s="312"/>
      <c r="S1922" s="312"/>
      <c r="T1922" s="312"/>
      <c r="U1922" s="312"/>
    </row>
    <row r="1923">
      <c r="A1923" s="232" t="s">
        <v>29705</v>
      </c>
      <c r="B1923" s="232" t="s">
        <v>29722</v>
      </c>
      <c r="C1923" s="509" t="s">
        <v>29723</v>
      </c>
      <c r="D1923" s="312"/>
      <c r="E1923" s="511"/>
      <c r="F1923" s="232" t="s">
        <v>29724</v>
      </c>
      <c r="G1923" s="232" t="s">
        <v>9359</v>
      </c>
      <c r="H1923" s="232">
        <v>9.700380115E9</v>
      </c>
      <c r="I1923" s="509" t="s">
        <v>22822</v>
      </c>
      <c r="J1923" s="232" t="b">
        <v>0</v>
      </c>
      <c r="K1923" s="312" t="s">
        <v>334</v>
      </c>
      <c r="L1923" s="232" t="s">
        <v>29408</v>
      </c>
      <c r="M1923" s="511"/>
      <c r="N1923" s="312"/>
      <c r="O1923" s="232"/>
      <c r="P1923" s="312"/>
      <c r="Q1923" s="312"/>
      <c r="R1923" s="312"/>
      <c r="S1923" s="312"/>
      <c r="T1923" s="312"/>
      <c r="U1923" s="312"/>
    </row>
    <row r="1924">
      <c r="A1924" s="232" t="s">
        <v>29705</v>
      </c>
      <c r="B1924" s="232" t="s">
        <v>29725</v>
      </c>
      <c r="C1924" s="509" t="s">
        <v>29726</v>
      </c>
      <c r="D1924" s="312"/>
      <c r="E1924" s="511"/>
      <c r="F1924" s="312"/>
      <c r="G1924" s="232" t="s">
        <v>118</v>
      </c>
      <c r="H1924" s="232">
        <v>7.498490372E9</v>
      </c>
      <c r="I1924" s="509" t="s">
        <v>25075</v>
      </c>
      <c r="J1924" s="232" t="b">
        <v>0</v>
      </c>
      <c r="K1924" s="312" t="s">
        <v>334</v>
      </c>
      <c r="L1924" s="232" t="s">
        <v>29339</v>
      </c>
      <c r="M1924" s="511"/>
      <c r="N1924" s="312"/>
      <c r="O1924" s="232"/>
      <c r="P1924" s="312"/>
      <c r="Q1924" s="312"/>
      <c r="R1924" s="312"/>
      <c r="S1924" s="312"/>
      <c r="T1924" s="312"/>
      <c r="U1924" s="312"/>
    </row>
    <row r="1925">
      <c r="A1925" s="232" t="s">
        <v>29705</v>
      </c>
      <c r="B1925" s="232" t="s">
        <v>29727</v>
      </c>
      <c r="C1925" s="509" t="s">
        <v>29728</v>
      </c>
      <c r="D1925" s="312"/>
      <c r="E1925" s="511"/>
      <c r="F1925" s="312"/>
      <c r="G1925" s="232" t="s">
        <v>3216</v>
      </c>
      <c r="H1925" s="232">
        <v>9.674842474E9</v>
      </c>
      <c r="I1925" s="509" t="s">
        <v>22829</v>
      </c>
      <c r="J1925" s="312" t="b">
        <v>0</v>
      </c>
      <c r="K1925" s="312"/>
      <c r="L1925" s="312"/>
      <c r="M1925" s="511"/>
      <c r="N1925" s="312"/>
      <c r="O1925" s="312"/>
      <c r="P1925" s="312"/>
      <c r="Q1925" s="312"/>
      <c r="R1925" s="312"/>
      <c r="S1925" s="312"/>
      <c r="T1925" s="312"/>
      <c r="U1925" s="312"/>
    </row>
    <row r="1926">
      <c r="A1926" s="232" t="s">
        <v>29705</v>
      </c>
      <c r="B1926" s="232" t="s">
        <v>29729</v>
      </c>
      <c r="C1926" s="515" t="s">
        <v>29730</v>
      </c>
      <c r="D1926" s="312"/>
      <c r="E1926" s="517"/>
      <c r="F1926" s="514" t="s">
        <v>29731</v>
      </c>
      <c r="G1926" s="514" t="s">
        <v>29732</v>
      </c>
      <c r="H1926" s="514">
        <v>7.570943287E9</v>
      </c>
      <c r="I1926" s="515" t="s">
        <v>29733</v>
      </c>
      <c r="J1926" s="514" t="b">
        <v>0</v>
      </c>
      <c r="K1926" s="547" t="s">
        <v>22312</v>
      </c>
      <c r="L1926" s="514" t="s">
        <v>29734</v>
      </c>
      <c r="M1926" s="511"/>
      <c r="N1926" s="312"/>
      <c r="O1926" s="514"/>
      <c r="P1926" s="312"/>
      <c r="Q1926" s="312"/>
      <c r="R1926" s="312"/>
      <c r="S1926" s="312"/>
      <c r="T1926" s="312"/>
      <c r="U1926" s="312"/>
    </row>
    <row r="1927">
      <c r="A1927" s="232" t="s">
        <v>29705</v>
      </c>
      <c r="B1927" s="232" t="s">
        <v>29735</v>
      </c>
      <c r="C1927" s="509" t="s">
        <v>29736</v>
      </c>
      <c r="D1927" s="312"/>
      <c r="E1927" s="511"/>
      <c r="F1927" s="232" t="s">
        <v>29737</v>
      </c>
      <c r="G1927" s="232" t="s">
        <v>29738</v>
      </c>
      <c r="H1927" s="232">
        <v>9.853862449E9</v>
      </c>
      <c r="I1927" s="509" t="s">
        <v>27251</v>
      </c>
      <c r="J1927" s="232" t="b">
        <v>0</v>
      </c>
      <c r="K1927" s="232" t="s">
        <v>29223</v>
      </c>
      <c r="L1927" s="232" t="s">
        <v>29739</v>
      </c>
      <c r="M1927" s="511"/>
      <c r="N1927" s="232"/>
      <c r="O1927" s="232"/>
      <c r="P1927" s="312"/>
      <c r="Q1927" s="312"/>
      <c r="R1927" s="312"/>
      <c r="S1927" s="312"/>
      <c r="T1927" s="312"/>
      <c r="U1927" s="312"/>
    </row>
    <row r="1928">
      <c r="A1928" s="232" t="s">
        <v>29740</v>
      </c>
      <c r="B1928" s="232" t="s">
        <v>29741</v>
      </c>
      <c r="C1928" s="509" t="s">
        <v>29742</v>
      </c>
      <c r="D1928" s="312"/>
      <c r="E1928" s="511"/>
      <c r="F1928" s="232" t="s">
        <v>29743</v>
      </c>
      <c r="G1928" s="232" t="s">
        <v>23593</v>
      </c>
      <c r="H1928" s="232">
        <v>9.810885839E9</v>
      </c>
      <c r="I1928" s="509" t="s">
        <v>29744</v>
      </c>
      <c r="J1928" s="312" t="b">
        <v>0</v>
      </c>
      <c r="K1928" s="312"/>
      <c r="L1928" s="312"/>
      <c r="M1928" s="511"/>
      <c r="N1928" s="312"/>
      <c r="O1928" s="312"/>
      <c r="P1928" s="312"/>
      <c r="Q1928" s="312"/>
      <c r="R1928" s="312"/>
      <c r="S1928" s="312"/>
      <c r="T1928" s="312"/>
      <c r="U1928" s="312"/>
    </row>
    <row r="1929">
      <c r="A1929" s="232" t="s">
        <v>29740</v>
      </c>
      <c r="B1929" s="232" t="s">
        <v>29745</v>
      </c>
      <c r="C1929" s="509" t="s">
        <v>29746</v>
      </c>
      <c r="D1929" s="312"/>
      <c r="E1929" s="511"/>
      <c r="F1929" s="232" t="s">
        <v>29747</v>
      </c>
      <c r="G1929" s="232" t="s">
        <v>25699</v>
      </c>
      <c r="H1929" s="232">
        <v>9.422925078E9</v>
      </c>
      <c r="I1929" s="509" t="s">
        <v>23661</v>
      </c>
      <c r="J1929" s="232" t="b">
        <v>0</v>
      </c>
      <c r="K1929" s="232" t="s">
        <v>22365</v>
      </c>
      <c r="L1929" s="232" t="s">
        <v>29748</v>
      </c>
      <c r="M1929" s="511"/>
      <c r="N1929" s="232"/>
      <c r="O1929" s="232"/>
      <c r="P1929" s="312"/>
      <c r="Q1929" s="312"/>
      <c r="R1929" s="312"/>
      <c r="S1929" s="312"/>
      <c r="T1929" s="312"/>
      <c r="U1929" s="312"/>
    </row>
    <row r="1930">
      <c r="A1930" s="232" t="s">
        <v>29740</v>
      </c>
      <c r="B1930" s="232" t="s">
        <v>29749</v>
      </c>
      <c r="C1930" s="509" t="s">
        <v>29750</v>
      </c>
      <c r="D1930" s="312"/>
      <c r="E1930" s="510">
        <v>2.0</v>
      </c>
      <c r="F1930" s="232" t="s">
        <v>29751</v>
      </c>
      <c r="G1930" s="232" t="s">
        <v>184</v>
      </c>
      <c r="H1930" s="232">
        <v>8.541971482E9</v>
      </c>
      <c r="I1930" s="509" t="s">
        <v>29752</v>
      </c>
      <c r="J1930" s="232" t="b">
        <v>0</v>
      </c>
      <c r="K1930" s="232" t="s">
        <v>29223</v>
      </c>
      <c r="L1930" s="232" t="s">
        <v>29753</v>
      </c>
      <c r="M1930" s="511"/>
      <c r="N1930" s="232"/>
      <c r="O1930" s="232"/>
      <c r="P1930" s="312"/>
      <c r="Q1930" s="312"/>
      <c r="R1930" s="312"/>
      <c r="S1930" s="312"/>
      <c r="T1930" s="312"/>
      <c r="U1930" s="312"/>
    </row>
    <row r="1931">
      <c r="A1931" s="232" t="s">
        <v>29740</v>
      </c>
      <c r="B1931" s="232" t="s">
        <v>29754</v>
      </c>
      <c r="C1931" s="509" t="s">
        <v>3787</v>
      </c>
      <c r="D1931" s="312"/>
      <c r="E1931" s="510">
        <v>2.0</v>
      </c>
      <c r="F1931" s="232" t="s">
        <v>29755</v>
      </c>
      <c r="G1931" s="232" t="s">
        <v>495</v>
      </c>
      <c r="H1931" s="232">
        <v>9.955819517E9</v>
      </c>
      <c r="I1931" s="509" t="s">
        <v>29756</v>
      </c>
      <c r="J1931" s="312" t="b">
        <v>0</v>
      </c>
      <c r="K1931" s="232" t="s">
        <v>22365</v>
      </c>
      <c r="L1931" s="312"/>
      <c r="M1931" s="511"/>
      <c r="N1931" s="312"/>
      <c r="O1931" s="312"/>
      <c r="P1931" s="312"/>
      <c r="Q1931" s="312"/>
      <c r="R1931" s="312"/>
      <c r="S1931" s="312"/>
      <c r="T1931" s="312"/>
      <c r="U1931" s="312"/>
    </row>
    <row r="1932">
      <c r="A1932" s="232" t="s">
        <v>29740</v>
      </c>
      <c r="B1932" s="232" t="s">
        <v>29757</v>
      </c>
      <c r="C1932" s="509" t="s">
        <v>29758</v>
      </c>
      <c r="D1932" s="312"/>
      <c r="E1932" s="510">
        <v>50.0</v>
      </c>
      <c r="F1932" s="232" t="s">
        <v>29759</v>
      </c>
      <c r="G1932" s="232" t="s">
        <v>25074</v>
      </c>
      <c r="H1932" s="232">
        <v>7.765884172E9</v>
      </c>
      <c r="I1932" s="509" t="s">
        <v>29752</v>
      </c>
      <c r="J1932" s="232" t="b">
        <v>0</v>
      </c>
      <c r="K1932" s="232" t="s">
        <v>29223</v>
      </c>
      <c r="L1932" s="232" t="s">
        <v>29753</v>
      </c>
      <c r="M1932" s="511"/>
      <c r="N1932" s="232"/>
      <c r="O1932" s="232"/>
      <c r="P1932" s="312"/>
      <c r="Q1932" s="312"/>
      <c r="R1932" s="312"/>
      <c r="S1932" s="312"/>
      <c r="T1932" s="312"/>
      <c r="U1932" s="312"/>
    </row>
    <row r="1933">
      <c r="A1933" s="232" t="s">
        <v>29740</v>
      </c>
      <c r="B1933" s="232" t="s">
        <v>29760</v>
      </c>
      <c r="C1933" s="509" t="s">
        <v>17829</v>
      </c>
      <c r="D1933" s="312"/>
      <c r="E1933" s="511"/>
      <c r="F1933" s="312"/>
      <c r="G1933" s="232" t="s">
        <v>25888</v>
      </c>
      <c r="H1933" s="232">
        <v>-7.091242944E9</v>
      </c>
      <c r="I1933" s="509" t="s">
        <v>29761</v>
      </c>
      <c r="J1933" s="232" t="b">
        <v>0</v>
      </c>
      <c r="K1933" s="232" t="s">
        <v>29223</v>
      </c>
      <c r="L1933" s="232" t="s">
        <v>29320</v>
      </c>
      <c r="M1933" s="511"/>
      <c r="N1933" s="232"/>
      <c r="O1933" s="232"/>
      <c r="P1933" s="312"/>
      <c r="Q1933" s="312"/>
      <c r="R1933" s="312"/>
      <c r="S1933" s="312"/>
      <c r="T1933" s="312"/>
      <c r="U1933" s="312"/>
    </row>
    <row r="1934">
      <c r="A1934" s="232" t="s">
        <v>29740</v>
      </c>
      <c r="B1934" s="232" t="s">
        <v>29762</v>
      </c>
      <c r="C1934" s="509" t="s">
        <v>29763</v>
      </c>
      <c r="D1934" s="312"/>
      <c r="E1934" s="511"/>
      <c r="F1934" s="312"/>
      <c r="G1934" s="232" t="s">
        <v>23512</v>
      </c>
      <c r="H1934" s="232">
        <v>8.141557267E9</v>
      </c>
      <c r="I1934" s="509" t="s">
        <v>29764</v>
      </c>
      <c r="J1934" s="312" t="b">
        <v>0</v>
      </c>
      <c r="K1934" s="312"/>
      <c r="L1934" s="312"/>
      <c r="M1934" s="511"/>
      <c r="N1934" s="312"/>
      <c r="O1934" s="312"/>
      <c r="P1934" s="312"/>
      <c r="Q1934" s="312"/>
      <c r="R1934" s="312"/>
      <c r="S1934" s="312"/>
      <c r="T1934" s="312"/>
      <c r="U1934" s="312"/>
    </row>
    <row r="1935">
      <c r="A1935" s="232" t="s">
        <v>29740</v>
      </c>
      <c r="B1935" s="232" t="s">
        <v>29765</v>
      </c>
      <c r="C1935" s="509" t="s">
        <v>14384</v>
      </c>
      <c r="D1935" s="312"/>
      <c r="E1935" s="511"/>
      <c r="F1935" s="232" t="s">
        <v>29766</v>
      </c>
      <c r="G1935" s="232" t="s">
        <v>25699</v>
      </c>
      <c r="H1935" s="232">
        <v>-8.218766342E9</v>
      </c>
      <c r="I1935" s="509" t="s">
        <v>25637</v>
      </c>
      <c r="J1935" s="232" t="b">
        <v>0</v>
      </c>
      <c r="K1935" s="312" t="s">
        <v>334</v>
      </c>
      <c r="L1935" s="232" t="s">
        <v>29408</v>
      </c>
      <c r="M1935" s="511"/>
      <c r="N1935" s="312"/>
      <c r="O1935" s="232"/>
      <c r="P1935" s="312"/>
      <c r="Q1935" s="312"/>
      <c r="R1935" s="312"/>
      <c r="S1935" s="312"/>
      <c r="T1935" s="312"/>
      <c r="U1935" s="312"/>
    </row>
    <row r="1936">
      <c r="A1936" s="232" t="s">
        <v>29740</v>
      </c>
      <c r="B1936" s="232" t="s">
        <v>29767</v>
      </c>
      <c r="C1936" s="509" t="s">
        <v>29768</v>
      </c>
      <c r="D1936" s="312"/>
      <c r="E1936" s="511"/>
      <c r="F1936" s="232" t="s">
        <v>29769</v>
      </c>
      <c r="G1936" s="232" t="s">
        <v>25015</v>
      </c>
      <c r="H1936" s="232">
        <v>9.818698497E9</v>
      </c>
      <c r="I1936" s="509" t="s">
        <v>22373</v>
      </c>
      <c r="J1936" s="232" t="b">
        <v>0</v>
      </c>
      <c r="K1936" s="312" t="s">
        <v>22355</v>
      </c>
      <c r="L1936" s="232" t="s">
        <v>29770</v>
      </c>
      <c r="M1936" s="511"/>
      <c r="N1936" s="312"/>
      <c r="O1936" s="232"/>
      <c r="P1936" s="312"/>
      <c r="Q1936" s="312"/>
      <c r="R1936" s="312"/>
      <c r="S1936" s="312"/>
      <c r="T1936" s="312"/>
      <c r="U1936" s="312"/>
    </row>
    <row r="1937">
      <c r="A1937" s="232" t="s">
        <v>29740</v>
      </c>
      <c r="B1937" s="232" t="s">
        <v>29771</v>
      </c>
      <c r="C1937" s="509" t="s">
        <v>29772</v>
      </c>
      <c r="D1937" s="312"/>
      <c r="E1937" s="511"/>
      <c r="F1937" s="232" t="s">
        <v>29773</v>
      </c>
      <c r="G1937" s="232" t="s">
        <v>184</v>
      </c>
      <c r="H1937" s="232">
        <v>-6.204094135E9</v>
      </c>
      <c r="I1937" s="509" t="s">
        <v>22373</v>
      </c>
      <c r="J1937" s="232" t="b">
        <v>0</v>
      </c>
      <c r="K1937" s="312" t="s">
        <v>334</v>
      </c>
      <c r="L1937" s="232" t="s">
        <v>29339</v>
      </c>
      <c r="M1937" s="511"/>
      <c r="N1937" s="312"/>
      <c r="O1937" s="232"/>
      <c r="P1937" s="312"/>
      <c r="Q1937" s="312"/>
      <c r="R1937" s="312"/>
      <c r="S1937" s="312"/>
      <c r="T1937" s="312"/>
      <c r="U1937" s="312"/>
    </row>
    <row r="1938">
      <c r="A1938" s="232" t="s">
        <v>29740</v>
      </c>
      <c r="B1938" s="232" t="s">
        <v>29774</v>
      </c>
      <c r="C1938" s="509" t="s">
        <v>17681</v>
      </c>
      <c r="D1938" s="312"/>
      <c r="E1938" s="511"/>
      <c r="F1938" s="232" t="s">
        <v>29775</v>
      </c>
      <c r="G1938" s="232" t="s">
        <v>26553</v>
      </c>
      <c r="H1938" s="232">
        <v>8.0974179E9</v>
      </c>
      <c r="I1938" s="509" t="s">
        <v>29776</v>
      </c>
      <c r="J1938" s="312" t="b">
        <v>0</v>
      </c>
      <c r="K1938" s="312"/>
      <c r="L1938" s="312"/>
      <c r="M1938" s="511"/>
      <c r="N1938" s="312"/>
      <c r="O1938" s="312"/>
      <c r="P1938" s="312"/>
      <c r="Q1938" s="312"/>
      <c r="R1938" s="312"/>
      <c r="S1938" s="312"/>
      <c r="T1938" s="312"/>
      <c r="U1938" s="312"/>
    </row>
    <row r="1939">
      <c r="A1939" s="232" t="s">
        <v>29740</v>
      </c>
      <c r="B1939" s="232" t="s">
        <v>29777</v>
      </c>
      <c r="C1939" s="509" t="s">
        <v>29778</v>
      </c>
      <c r="D1939" s="312"/>
      <c r="E1939" s="511"/>
      <c r="F1939" s="232" t="s">
        <v>29779</v>
      </c>
      <c r="G1939" s="232" t="s">
        <v>22292</v>
      </c>
      <c r="H1939" s="232">
        <v>7.038301394E9</v>
      </c>
      <c r="I1939" s="509" t="s">
        <v>26700</v>
      </c>
      <c r="J1939" s="312" t="b">
        <v>0</v>
      </c>
      <c r="K1939" s="312"/>
      <c r="L1939" s="312"/>
      <c r="M1939" s="511"/>
      <c r="N1939" s="312"/>
      <c r="O1939" s="312"/>
      <c r="P1939" s="312"/>
      <c r="Q1939" s="312"/>
      <c r="R1939" s="312"/>
      <c r="S1939" s="312"/>
      <c r="T1939" s="312"/>
      <c r="U1939" s="312"/>
    </row>
    <row r="1940">
      <c r="A1940" s="232" t="s">
        <v>29740</v>
      </c>
      <c r="B1940" s="232" t="s">
        <v>29777</v>
      </c>
      <c r="C1940" s="509" t="s">
        <v>29780</v>
      </c>
      <c r="D1940" s="312"/>
      <c r="E1940" s="510">
        <v>5.0</v>
      </c>
      <c r="F1940" s="232" t="s">
        <v>29781</v>
      </c>
      <c r="G1940" s="232" t="s">
        <v>22592</v>
      </c>
      <c r="H1940" s="232">
        <v>9.594538346E9</v>
      </c>
      <c r="I1940" s="509" t="s">
        <v>4786</v>
      </c>
      <c r="J1940" s="232" t="b">
        <v>0</v>
      </c>
      <c r="K1940" s="312" t="s">
        <v>334</v>
      </c>
      <c r="L1940" s="232" t="s">
        <v>23363</v>
      </c>
      <c r="M1940" s="511"/>
      <c r="N1940" s="312"/>
      <c r="O1940" s="232"/>
      <c r="P1940" s="312"/>
      <c r="Q1940" s="312"/>
      <c r="R1940" s="312"/>
      <c r="S1940" s="312"/>
      <c r="T1940" s="312"/>
      <c r="U1940" s="312"/>
    </row>
    <row r="1941">
      <c r="A1941" s="232" t="s">
        <v>29740</v>
      </c>
      <c r="B1941" s="232" t="s">
        <v>29782</v>
      </c>
      <c r="C1941" s="509" t="s">
        <v>29783</v>
      </c>
      <c r="D1941" s="312"/>
      <c r="E1941" s="511"/>
      <c r="F1941" s="232" t="s">
        <v>29784</v>
      </c>
      <c r="G1941" s="232" t="s">
        <v>22421</v>
      </c>
      <c r="H1941" s="232">
        <v>9.029484097E9</v>
      </c>
      <c r="I1941" s="509" t="s">
        <v>26026</v>
      </c>
      <c r="J1941" s="232" t="b">
        <v>0</v>
      </c>
      <c r="K1941" s="232" t="s">
        <v>29223</v>
      </c>
      <c r="L1941" s="232" t="s">
        <v>23537</v>
      </c>
      <c r="M1941" s="511"/>
      <c r="N1941" s="232"/>
      <c r="O1941" s="232"/>
      <c r="P1941" s="312"/>
      <c r="Q1941" s="312"/>
      <c r="R1941" s="312"/>
      <c r="S1941" s="312"/>
      <c r="T1941" s="312"/>
      <c r="U1941" s="312"/>
    </row>
    <row r="1942">
      <c r="A1942" s="232" t="s">
        <v>29740</v>
      </c>
      <c r="B1942" s="232" t="s">
        <v>29785</v>
      </c>
      <c r="C1942" s="509" t="s">
        <v>29786</v>
      </c>
      <c r="D1942" s="312"/>
      <c r="E1942" s="511"/>
      <c r="F1942" s="232" t="s">
        <v>29787</v>
      </c>
      <c r="G1942" s="232" t="s">
        <v>22844</v>
      </c>
      <c r="H1942" s="232">
        <v>-8.669045041E9</v>
      </c>
      <c r="I1942" s="509" t="s">
        <v>25637</v>
      </c>
      <c r="J1942" s="312" t="b">
        <v>0</v>
      </c>
      <c r="K1942" s="312"/>
      <c r="L1942" s="312"/>
      <c r="M1942" s="511"/>
      <c r="N1942" s="312"/>
      <c r="O1942" s="312"/>
      <c r="P1942" s="312"/>
      <c r="Q1942" s="312"/>
      <c r="R1942" s="312"/>
      <c r="S1942" s="312"/>
      <c r="T1942" s="312"/>
      <c r="U1942" s="312"/>
    </row>
    <row r="1943">
      <c r="A1943" s="232" t="s">
        <v>29740</v>
      </c>
      <c r="B1943" s="232" t="s">
        <v>29788</v>
      </c>
      <c r="C1943" s="509" t="s">
        <v>29789</v>
      </c>
      <c r="D1943" s="312"/>
      <c r="E1943" s="511"/>
      <c r="F1943" s="232" t="s">
        <v>29790</v>
      </c>
      <c r="G1943" s="232" t="s">
        <v>977</v>
      </c>
      <c r="H1943" s="232">
        <v>6.20428538E9</v>
      </c>
      <c r="I1943" s="509" t="s">
        <v>29791</v>
      </c>
      <c r="J1943" s="232" t="b">
        <v>0</v>
      </c>
      <c r="K1943" s="232" t="s">
        <v>29223</v>
      </c>
      <c r="L1943" s="232" t="s">
        <v>29792</v>
      </c>
      <c r="M1943" s="511"/>
      <c r="N1943" s="232"/>
      <c r="O1943" s="232"/>
      <c r="P1943" s="312"/>
      <c r="Q1943" s="312"/>
      <c r="R1943" s="312"/>
      <c r="S1943" s="312"/>
      <c r="T1943" s="312"/>
      <c r="U1943" s="312"/>
    </row>
    <row r="1944">
      <c r="A1944" s="232" t="s">
        <v>29740</v>
      </c>
      <c r="B1944" s="232" t="s">
        <v>29793</v>
      </c>
      <c r="C1944" s="509" t="s">
        <v>29794</v>
      </c>
      <c r="D1944" s="312"/>
      <c r="E1944" s="511"/>
      <c r="F1944" s="232" t="s">
        <v>29795</v>
      </c>
      <c r="G1944" s="232" t="s">
        <v>29796</v>
      </c>
      <c r="H1944" s="232">
        <v>7.003534523E9</v>
      </c>
      <c r="I1944" s="554" t="s">
        <v>29797</v>
      </c>
      <c r="J1944" s="232" t="b">
        <v>0</v>
      </c>
      <c r="K1944" s="312" t="s">
        <v>28316</v>
      </c>
      <c r="L1944" s="232" t="s">
        <v>25270</v>
      </c>
      <c r="M1944" s="511"/>
      <c r="N1944" s="312"/>
      <c r="O1944" s="232"/>
      <c r="P1944" s="312"/>
      <c r="Q1944" s="312"/>
      <c r="R1944" s="312"/>
      <c r="S1944" s="312"/>
      <c r="T1944" s="312"/>
      <c r="U1944" s="312"/>
    </row>
    <row r="1945">
      <c r="A1945" s="232" t="s">
        <v>29740</v>
      </c>
      <c r="B1945" s="232" t="s">
        <v>29798</v>
      </c>
      <c r="C1945" s="509" t="s">
        <v>29799</v>
      </c>
      <c r="D1945" s="312"/>
      <c r="E1945" s="511"/>
      <c r="F1945" s="232" t="s">
        <v>29800</v>
      </c>
      <c r="G1945" s="232" t="s">
        <v>1408</v>
      </c>
      <c r="H1945" s="232">
        <v>7.005304942E9</v>
      </c>
      <c r="I1945" s="509" t="s">
        <v>29801</v>
      </c>
      <c r="J1945" s="232" t="b">
        <v>0</v>
      </c>
      <c r="K1945" s="232" t="s">
        <v>22365</v>
      </c>
      <c r="L1945" s="232" t="s">
        <v>29802</v>
      </c>
      <c r="M1945" s="511"/>
      <c r="N1945" s="232"/>
      <c r="O1945" s="232"/>
      <c r="P1945" s="312"/>
      <c r="Q1945" s="312"/>
      <c r="R1945" s="312"/>
      <c r="S1945" s="312"/>
      <c r="T1945" s="312"/>
      <c r="U1945" s="312"/>
    </row>
    <row r="1946">
      <c r="A1946" s="232" t="s">
        <v>29740</v>
      </c>
      <c r="B1946" s="232" t="s">
        <v>29803</v>
      </c>
      <c r="C1946" s="509" t="s">
        <v>29804</v>
      </c>
      <c r="D1946" s="312"/>
      <c r="E1946" s="511"/>
      <c r="F1946" s="232" t="s">
        <v>29805</v>
      </c>
      <c r="G1946" s="232" t="s">
        <v>29738</v>
      </c>
      <c r="H1946" s="232">
        <v>7.328045554E9</v>
      </c>
      <c r="I1946" s="509" t="s">
        <v>29806</v>
      </c>
      <c r="J1946" s="232" t="b">
        <v>0</v>
      </c>
      <c r="K1946" s="232" t="s">
        <v>22365</v>
      </c>
      <c r="L1946" s="232" t="s">
        <v>22904</v>
      </c>
      <c r="M1946" s="511"/>
      <c r="N1946" s="232"/>
      <c r="O1946" s="232"/>
      <c r="P1946" s="312"/>
      <c r="Q1946" s="312"/>
      <c r="R1946" s="312"/>
      <c r="S1946" s="312"/>
      <c r="T1946" s="312"/>
      <c r="U1946" s="312"/>
    </row>
    <row r="1947">
      <c r="A1947" s="232" t="s">
        <v>29740</v>
      </c>
      <c r="B1947" s="232" t="s">
        <v>29807</v>
      </c>
      <c r="C1947" s="509" t="s">
        <v>29808</v>
      </c>
      <c r="D1947" s="312"/>
      <c r="E1947" s="511"/>
      <c r="F1947" s="232" t="s">
        <v>29809</v>
      </c>
      <c r="G1947" s="232" t="s">
        <v>4944</v>
      </c>
      <c r="H1947" s="232">
        <v>6.305181341E9</v>
      </c>
      <c r="I1947" s="509" t="s">
        <v>27251</v>
      </c>
      <c r="J1947" s="232" t="b">
        <v>0</v>
      </c>
      <c r="K1947" s="312" t="s">
        <v>334</v>
      </c>
      <c r="L1947" s="232" t="s">
        <v>29408</v>
      </c>
      <c r="M1947" s="511"/>
      <c r="N1947" s="312"/>
      <c r="O1947" s="232"/>
      <c r="P1947" s="312"/>
      <c r="Q1947" s="312"/>
      <c r="R1947" s="312"/>
      <c r="S1947" s="312"/>
      <c r="T1947" s="312"/>
      <c r="U1947" s="312"/>
    </row>
    <row r="1948">
      <c r="A1948" s="232" t="s">
        <v>29740</v>
      </c>
      <c r="B1948" s="232" t="s">
        <v>29810</v>
      </c>
      <c r="C1948" s="509" t="s">
        <v>29811</v>
      </c>
      <c r="D1948" s="312"/>
      <c r="E1948" s="511"/>
      <c r="F1948" s="312"/>
      <c r="G1948" s="232" t="s">
        <v>29058</v>
      </c>
      <c r="H1948" s="232">
        <v>8.638868654E9</v>
      </c>
      <c r="I1948" s="509" t="s">
        <v>23761</v>
      </c>
      <c r="J1948" s="232" t="b">
        <v>0</v>
      </c>
      <c r="K1948" s="312" t="s">
        <v>334</v>
      </c>
      <c r="L1948" s="232" t="s">
        <v>29339</v>
      </c>
      <c r="M1948" s="511"/>
      <c r="N1948" s="312"/>
      <c r="O1948" s="232"/>
      <c r="P1948" s="312"/>
      <c r="Q1948" s="312"/>
      <c r="R1948" s="312"/>
      <c r="S1948" s="312"/>
      <c r="T1948" s="312"/>
      <c r="U1948" s="312"/>
    </row>
    <row r="1949">
      <c r="A1949" s="232" t="s">
        <v>29740</v>
      </c>
      <c r="B1949" s="232" t="s">
        <v>29812</v>
      </c>
      <c r="C1949" s="509" t="s">
        <v>29813</v>
      </c>
      <c r="D1949" s="312"/>
      <c r="E1949" s="511"/>
      <c r="F1949" s="232" t="s">
        <v>29814</v>
      </c>
      <c r="G1949" s="232" t="s">
        <v>44</v>
      </c>
      <c r="H1949" s="232">
        <v>8.240435358E9</v>
      </c>
      <c r="I1949" s="509" t="s">
        <v>29815</v>
      </c>
      <c r="J1949" s="232" t="b">
        <v>0</v>
      </c>
      <c r="K1949" s="232" t="s">
        <v>22365</v>
      </c>
      <c r="L1949" s="232" t="s">
        <v>29816</v>
      </c>
      <c r="M1949" s="511"/>
      <c r="N1949" s="232"/>
      <c r="O1949" s="232"/>
      <c r="P1949" s="312"/>
      <c r="Q1949" s="312"/>
      <c r="R1949" s="312"/>
      <c r="S1949" s="312"/>
      <c r="T1949" s="312"/>
      <c r="U1949" s="312"/>
    </row>
    <row r="1950">
      <c r="A1950" s="232" t="s">
        <v>29817</v>
      </c>
      <c r="B1950" s="232" t="s">
        <v>29818</v>
      </c>
      <c r="C1950" s="509" t="s">
        <v>29819</v>
      </c>
      <c r="D1950" s="312"/>
      <c r="E1950" s="510">
        <v>1.0</v>
      </c>
      <c r="F1950" s="510" t="s">
        <v>29820</v>
      </c>
      <c r="G1950" s="232" t="s">
        <v>23557</v>
      </c>
      <c r="H1950" s="232">
        <v>6.350148307E9</v>
      </c>
      <c r="I1950" s="509" t="s">
        <v>29821</v>
      </c>
      <c r="J1950" s="232" t="b">
        <v>0</v>
      </c>
      <c r="K1950" s="232" t="s">
        <v>12092</v>
      </c>
      <c r="L1950" s="232" t="s">
        <v>29822</v>
      </c>
      <c r="M1950" s="511"/>
      <c r="N1950" s="312"/>
      <c r="O1950" s="232"/>
      <c r="P1950" s="312"/>
      <c r="Q1950" s="312"/>
      <c r="R1950" s="312"/>
      <c r="S1950" s="312"/>
      <c r="T1950" s="312"/>
      <c r="U1950" s="312"/>
    </row>
    <row r="1951">
      <c r="A1951" s="232" t="s">
        <v>29817</v>
      </c>
      <c r="B1951" s="232" t="s">
        <v>29823</v>
      </c>
      <c r="C1951" s="509" t="s">
        <v>29824</v>
      </c>
      <c r="D1951" s="312"/>
      <c r="E1951" s="510" t="s">
        <v>29825</v>
      </c>
      <c r="F1951" s="511"/>
      <c r="G1951" s="232" t="s">
        <v>29826</v>
      </c>
      <c r="H1951" s="232">
        <v>-9.904129904E9</v>
      </c>
      <c r="I1951" s="509" t="s">
        <v>24380</v>
      </c>
      <c r="J1951" s="312" t="b">
        <v>0</v>
      </c>
      <c r="K1951" s="312"/>
      <c r="L1951" s="312"/>
      <c r="M1951" s="511"/>
      <c r="N1951" s="312"/>
      <c r="O1951" s="312"/>
      <c r="P1951" s="312"/>
      <c r="Q1951" s="312"/>
      <c r="R1951" s="312"/>
      <c r="S1951" s="312"/>
      <c r="T1951" s="312"/>
      <c r="U1951" s="312"/>
    </row>
    <row r="1952">
      <c r="A1952" s="232" t="s">
        <v>29817</v>
      </c>
      <c r="B1952" s="232" t="s">
        <v>29827</v>
      </c>
      <c r="C1952" s="509" t="s">
        <v>29828</v>
      </c>
      <c r="D1952" s="312"/>
      <c r="E1952" s="510">
        <v>5.0</v>
      </c>
      <c r="F1952" s="510" t="s">
        <v>29829</v>
      </c>
      <c r="G1952" s="232" t="s">
        <v>23512</v>
      </c>
      <c r="H1952" s="232">
        <v>9.998419592E9</v>
      </c>
      <c r="I1952" s="509" t="s">
        <v>29830</v>
      </c>
      <c r="J1952" s="232" t="b">
        <v>0</v>
      </c>
      <c r="K1952" s="312"/>
      <c r="L1952" s="232" t="s">
        <v>29831</v>
      </c>
      <c r="M1952" s="511"/>
      <c r="N1952" s="312"/>
      <c r="O1952" s="232"/>
      <c r="P1952" s="312"/>
      <c r="Q1952" s="312"/>
      <c r="R1952" s="312"/>
      <c r="S1952" s="312"/>
      <c r="T1952" s="312"/>
      <c r="U1952" s="312"/>
    </row>
    <row r="1953">
      <c r="A1953" s="232" t="s">
        <v>29817</v>
      </c>
      <c r="B1953" s="232" t="s">
        <v>29832</v>
      </c>
      <c r="C1953" s="509" t="s">
        <v>29833</v>
      </c>
      <c r="D1953" s="312"/>
      <c r="E1953" s="510">
        <v>1.0</v>
      </c>
      <c r="F1953" s="510" t="s">
        <v>29834</v>
      </c>
      <c r="G1953" s="232" t="s">
        <v>22421</v>
      </c>
      <c r="H1953" s="232">
        <v>8.766921667E9</v>
      </c>
      <c r="I1953" s="509" t="s">
        <v>29835</v>
      </c>
      <c r="J1953" s="312" t="b">
        <v>0</v>
      </c>
      <c r="K1953" s="312"/>
      <c r="L1953" s="312"/>
      <c r="M1953" s="511"/>
      <c r="N1953" s="312"/>
      <c r="O1953" s="312"/>
      <c r="P1953" s="312"/>
      <c r="Q1953" s="312"/>
      <c r="R1953" s="312"/>
      <c r="S1953" s="312"/>
      <c r="T1953" s="312"/>
      <c r="U1953" s="312"/>
    </row>
    <row r="1954">
      <c r="A1954" s="232" t="s">
        <v>29817</v>
      </c>
      <c r="B1954" s="232" t="s">
        <v>29836</v>
      </c>
      <c r="C1954" s="509" t="s">
        <v>29837</v>
      </c>
      <c r="D1954" s="312"/>
      <c r="E1954" s="511"/>
      <c r="F1954" s="511"/>
      <c r="G1954" s="232" t="s">
        <v>29058</v>
      </c>
      <c r="H1954" s="232">
        <v>6.289512787E9</v>
      </c>
      <c r="I1954" s="509" t="s">
        <v>29838</v>
      </c>
      <c r="J1954" s="232" t="b">
        <v>0</v>
      </c>
      <c r="K1954" s="312" t="s">
        <v>334</v>
      </c>
      <c r="L1954" s="232" t="s">
        <v>29408</v>
      </c>
      <c r="M1954" s="511"/>
      <c r="N1954" s="312"/>
      <c r="O1954" s="232"/>
      <c r="P1954" s="312"/>
      <c r="Q1954" s="312"/>
      <c r="R1954" s="312"/>
      <c r="S1954" s="312"/>
      <c r="T1954" s="312"/>
      <c r="U1954" s="312"/>
    </row>
    <row r="1955">
      <c r="A1955" s="232" t="s">
        <v>29817</v>
      </c>
      <c r="B1955" s="232" t="s">
        <v>29839</v>
      </c>
      <c r="C1955" s="509" t="s">
        <v>26673</v>
      </c>
      <c r="D1955" s="312"/>
      <c r="E1955" s="511"/>
      <c r="F1955" s="510" t="s">
        <v>29840</v>
      </c>
      <c r="G1955" s="232" t="s">
        <v>4944</v>
      </c>
      <c r="H1955" s="232">
        <v>9.110760943E9</v>
      </c>
      <c r="I1955" s="509" t="s">
        <v>23010</v>
      </c>
      <c r="J1955" s="232" t="b">
        <v>0</v>
      </c>
      <c r="K1955" s="232" t="s">
        <v>22365</v>
      </c>
      <c r="L1955" s="232" t="s">
        <v>29336</v>
      </c>
      <c r="M1955" s="511"/>
      <c r="N1955" s="232"/>
      <c r="O1955" s="232"/>
      <c r="P1955" s="312"/>
      <c r="Q1955" s="312"/>
      <c r="R1955" s="312"/>
      <c r="S1955" s="312"/>
      <c r="T1955" s="312"/>
      <c r="U1955" s="312"/>
    </row>
    <row r="1956">
      <c r="A1956" s="232" t="s">
        <v>29817</v>
      </c>
      <c r="B1956" s="232" t="s">
        <v>29841</v>
      </c>
      <c r="C1956" s="509" t="s">
        <v>29842</v>
      </c>
      <c r="D1956" s="312"/>
      <c r="E1956" s="511"/>
      <c r="F1956" s="510" t="s">
        <v>29843</v>
      </c>
      <c r="G1956" s="232" t="s">
        <v>23612</v>
      </c>
      <c r="H1956" s="232">
        <v>9.167008364E9</v>
      </c>
      <c r="I1956" s="509" t="s">
        <v>22373</v>
      </c>
      <c r="J1956" s="232" t="b">
        <v>0</v>
      </c>
      <c r="K1956" s="232" t="s">
        <v>22365</v>
      </c>
      <c r="L1956" s="232" t="s">
        <v>29336</v>
      </c>
      <c r="M1956" s="511"/>
      <c r="N1956" s="232"/>
      <c r="O1956" s="232"/>
      <c r="P1956" s="312"/>
      <c r="Q1956" s="312"/>
      <c r="R1956" s="312"/>
      <c r="S1956" s="312"/>
      <c r="T1956" s="312"/>
      <c r="U1956" s="312"/>
    </row>
    <row r="1957">
      <c r="A1957" s="232" t="s">
        <v>29817</v>
      </c>
      <c r="B1957" s="232" t="s">
        <v>29844</v>
      </c>
      <c r="C1957" s="509" t="s">
        <v>29845</v>
      </c>
      <c r="D1957" s="312"/>
      <c r="E1957" s="511"/>
      <c r="F1957" s="510" t="s">
        <v>29846</v>
      </c>
      <c r="G1957" s="232" t="s">
        <v>29288</v>
      </c>
      <c r="H1957" s="232">
        <v>8.522081835E9</v>
      </c>
      <c r="I1957" s="509" t="s">
        <v>29847</v>
      </c>
      <c r="J1957" s="232" t="b">
        <v>0</v>
      </c>
      <c r="K1957" s="232" t="s">
        <v>22365</v>
      </c>
      <c r="L1957" s="232" t="s">
        <v>29336</v>
      </c>
      <c r="M1957" s="511"/>
      <c r="N1957" s="232"/>
      <c r="O1957" s="232"/>
      <c r="P1957" s="312"/>
      <c r="Q1957" s="312"/>
      <c r="R1957" s="312"/>
      <c r="S1957" s="312"/>
      <c r="T1957" s="312"/>
      <c r="U1957" s="312"/>
    </row>
    <row r="1958">
      <c r="A1958" s="232" t="s">
        <v>29817</v>
      </c>
      <c r="B1958" s="232" t="s">
        <v>29848</v>
      </c>
      <c r="C1958" s="509" t="s">
        <v>29002</v>
      </c>
      <c r="D1958" s="312"/>
      <c r="E1958" s="511"/>
      <c r="F1958" s="510" t="s">
        <v>29003</v>
      </c>
      <c r="G1958" s="232" t="s">
        <v>29849</v>
      </c>
      <c r="H1958" s="232">
        <v>9.08053469E9</v>
      </c>
      <c r="I1958" s="509" t="s">
        <v>25995</v>
      </c>
      <c r="J1958" s="232" t="b">
        <v>0</v>
      </c>
      <c r="K1958" s="312" t="s">
        <v>334</v>
      </c>
      <c r="L1958" s="232" t="s">
        <v>29850</v>
      </c>
      <c r="M1958" s="511"/>
      <c r="N1958" s="312"/>
      <c r="O1958" s="232"/>
      <c r="P1958" s="312"/>
      <c r="Q1958" s="312"/>
      <c r="R1958" s="312"/>
      <c r="S1958" s="312"/>
      <c r="T1958" s="312"/>
      <c r="U1958" s="312"/>
    </row>
    <row r="1959">
      <c r="A1959" s="232" t="s">
        <v>29817</v>
      </c>
      <c r="B1959" s="232" t="s">
        <v>29851</v>
      </c>
      <c r="C1959" s="509" t="s">
        <v>29852</v>
      </c>
      <c r="D1959" s="312"/>
      <c r="E1959" s="511"/>
      <c r="F1959" s="510" t="s">
        <v>29853</v>
      </c>
      <c r="G1959" s="232" t="s">
        <v>3167</v>
      </c>
      <c r="H1959" s="232">
        <v>9.43221784E9</v>
      </c>
      <c r="I1959" s="509" t="s">
        <v>29854</v>
      </c>
      <c r="J1959" s="232" t="b">
        <v>0</v>
      </c>
      <c r="K1959" s="312" t="s">
        <v>334</v>
      </c>
      <c r="L1959" s="232" t="s">
        <v>23363</v>
      </c>
      <c r="M1959" s="511"/>
      <c r="N1959" s="312"/>
      <c r="O1959" s="232"/>
      <c r="P1959" s="312"/>
      <c r="Q1959" s="312"/>
      <c r="R1959" s="312"/>
      <c r="S1959" s="312"/>
      <c r="T1959" s="312"/>
      <c r="U1959" s="312"/>
    </row>
    <row r="1960">
      <c r="A1960" s="232" t="s">
        <v>29855</v>
      </c>
      <c r="B1960" s="232" t="s">
        <v>29856</v>
      </c>
      <c r="C1960" s="509" t="s">
        <v>29857</v>
      </c>
      <c r="D1960" s="312"/>
      <c r="E1960" s="511"/>
      <c r="F1960" s="510" t="s">
        <v>29858</v>
      </c>
      <c r="G1960" s="232" t="s">
        <v>23612</v>
      </c>
      <c r="H1960" s="232">
        <v>9.59334581E9</v>
      </c>
      <c r="I1960" s="509" t="s">
        <v>27251</v>
      </c>
      <c r="J1960" s="232" t="b">
        <v>0</v>
      </c>
      <c r="K1960" s="232" t="s">
        <v>29223</v>
      </c>
      <c r="L1960" s="232" t="s">
        <v>23537</v>
      </c>
      <c r="M1960" s="511"/>
      <c r="N1960" s="232"/>
      <c r="O1960" s="232"/>
      <c r="P1960" s="312"/>
      <c r="Q1960" s="312"/>
      <c r="R1960" s="312"/>
      <c r="S1960" s="312"/>
      <c r="T1960" s="312"/>
      <c r="U1960" s="312"/>
    </row>
    <row r="1961">
      <c r="A1961" s="232" t="s">
        <v>29855</v>
      </c>
      <c r="B1961" s="232" t="s">
        <v>29859</v>
      </c>
      <c r="C1961" s="509" t="s">
        <v>29860</v>
      </c>
      <c r="D1961" s="312"/>
      <c r="E1961" s="511"/>
      <c r="F1961" s="510" t="s">
        <v>23010</v>
      </c>
      <c r="G1961" s="232" t="s">
        <v>44</v>
      </c>
      <c r="H1961" s="232">
        <v>9.830951041E9</v>
      </c>
      <c r="I1961" s="509" t="s">
        <v>28056</v>
      </c>
      <c r="J1961" s="232" t="b">
        <v>0</v>
      </c>
      <c r="K1961" s="312" t="s">
        <v>334</v>
      </c>
      <c r="L1961" s="232" t="s">
        <v>29861</v>
      </c>
      <c r="M1961" s="511"/>
      <c r="N1961" s="312"/>
      <c r="O1961" s="232"/>
      <c r="P1961" s="312"/>
      <c r="Q1961" s="312"/>
      <c r="R1961" s="312"/>
      <c r="S1961" s="312"/>
      <c r="T1961" s="312"/>
      <c r="U1961" s="312"/>
    </row>
    <row r="1962">
      <c r="A1962" s="232" t="s">
        <v>29855</v>
      </c>
      <c r="B1962" s="232" t="s">
        <v>29862</v>
      </c>
      <c r="C1962" s="509" t="s">
        <v>29863</v>
      </c>
      <c r="D1962" s="312"/>
      <c r="E1962" s="511"/>
      <c r="F1962" s="511"/>
      <c r="G1962" s="312"/>
      <c r="H1962" s="232">
        <v>8.249801637E9</v>
      </c>
      <c r="I1962" s="509" t="s">
        <v>28056</v>
      </c>
      <c r="J1962" s="232" t="b">
        <v>0</v>
      </c>
      <c r="K1962" s="232" t="s">
        <v>22365</v>
      </c>
      <c r="L1962" s="232" t="s">
        <v>29864</v>
      </c>
      <c r="M1962" s="511"/>
      <c r="N1962" s="232"/>
      <c r="O1962" s="232"/>
      <c r="P1962" s="312"/>
      <c r="Q1962" s="312"/>
      <c r="R1962" s="312"/>
      <c r="S1962" s="312"/>
      <c r="T1962" s="312"/>
      <c r="U1962" s="312"/>
    </row>
    <row r="1963">
      <c r="A1963" s="232" t="s">
        <v>29855</v>
      </c>
      <c r="B1963" s="232" t="s">
        <v>29865</v>
      </c>
      <c r="C1963" s="509" t="s">
        <v>29866</v>
      </c>
      <c r="D1963" s="312"/>
      <c r="E1963" s="511"/>
      <c r="F1963" s="510" t="s">
        <v>29867</v>
      </c>
      <c r="G1963" s="232" t="s">
        <v>1691</v>
      </c>
      <c r="H1963" s="232">
        <v>6.296735691E9</v>
      </c>
      <c r="I1963" s="509" t="s">
        <v>22373</v>
      </c>
      <c r="J1963" s="232" t="b">
        <v>0</v>
      </c>
      <c r="K1963" s="232" t="s">
        <v>22365</v>
      </c>
      <c r="L1963" s="232" t="s">
        <v>29336</v>
      </c>
      <c r="M1963" s="511"/>
      <c r="N1963" s="232"/>
      <c r="O1963" s="232"/>
      <c r="P1963" s="312"/>
      <c r="Q1963" s="312"/>
      <c r="R1963" s="312"/>
      <c r="S1963" s="312"/>
      <c r="T1963" s="312"/>
      <c r="U1963" s="312"/>
    </row>
    <row r="1964">
      <c r="A1964" s="232" t="s">
        <v>29855</v>
      </c>
      <c r="B1964" s="232" t="s">
        <v>29868</v>
      </c>
      <c r="C1964" s="509" t="s">
        <v>29869</v>
      </c>
      <c r="D1964" s="312"/>
      <c r="E1964" s="511"/>
      <c r="F1964" s="510" t="s">
        <v>29870</v>
      </c>
      <c r="G1964" s="232" t="s">
        <v>29871</v>
      </c>
      <c r="H1964" s="232">
        <v>6.294727178E9</v>
      </c>
      <c r="I1964" s="509" t="s">
        <v>29478</v>
      </c>
      <c r="J1964" s="232" t="b">
        <v>0</v>
      </c>
      <c r="K1964" s="312" t="s">
        <v>334</v>
      </c>
      <c r="L1964" s="232" t="s">
        <v>29339</v>
      </c>
      <c r="M1964" s="511"/>
      <c r="N1964" s="312"/>
      <c r="O1964" s="232"/>
      <c r="P1964" s="312"/>
      <c r="Q1964" s="312"/>
      <c r="R1964" s="312"/>
      <c r="S1964" s="312"/>
      <c r="T1964" s="312"/>
      <c r="U1964" s="312"/>
    </row>
    <row r="1965">
      <c r="A1965" s="232" t="s">
        <v>29855</v>
      </c>
      <c r="B1965" s="232" t="s">
        <v>29872</v>
      </c>
      <c r="C1965" s="509" t="s">
        <v>29873</v>
      </c>
      <c r="D1965" s="312"/>
      <c r="E1965" s="511"/>
      <c r="F1965" s="511"/>
      <c r="G1965" s="232" t="s">
        <v>23557</v>
      </c>
      <c r="H1965" s="232">
        <v>6.375104876E9</v>
      </c>
      <c r="I1965" s="509" t="s">
        <v>29874</v>
      </c>
      <c r="J1965" s="232" t="b">
        <v>0</v>
      </c>
      <c r="K1965" s="312" t="s">
        <v>334</v>
      </c>
      <c r="L1965" s="232" t="s">
        <v>29339</v>
      </c>
      <c r="M1965" s="511"/>
      <c r="N1965" s="312"/>
      <c r="O1965" s="232"/>
      <c r="P1965" s="312"/>
      <c r="Q1965" s="312"/>
      <c r="R1965" s="312"/>
      <c r="S1965" s="312"/>
      <c r="T1965" s="312"/>
      <c r="U1965" s="312"/>
    </row>
    <row r="1966">
      <c r="A1966" s="232" t="s">
        <v>29855</v>
      </c>
      <c r="B1966" s="232" t="s">
        <v>29875</v>
      </c>
      <c r="C1966" s="509" t="s">
        <v>29876</v>
      </c>
      <c r="D1966" s="312"/>
      <c r="E1966" s="511"/>
      <c r="F1966" s="510" t="s">
        <v>29877</v>
      </c>
      <c r="G1966" s="232" t="s">
        <v>467</v>
      </c>
      <c r="H1966" s="232">
        <v>9.997210105E9</v>
      </c>
      <c r="I1966" s="509" t="s">
        <v>29878</v>
      </c>
      <c r="J1966" s="232" t="b">
        <v>0</v>
      </c>
      <c r="K1966" s="232" t="s">
        <v>22365</v>
      </c>
      <c r="L1966" s="232" t="s">
        <v>29336</v>
      </c>
      <c r="M1966" s="511"/>
      <c r="N1966" s="232"/>
      <c r="O1966" s="232"/>
      <c r="P1966" s="312"/>
      <c r="Q1966" s="312"/>
      <c r="R1966" s="312"/>
      <c r="S1966" s="312"/>
      <c r="T1966" s="312"/>
      <c r="U1966" s="312"/>
    </row>
    <row r="1967">
      <c r="A1967" s="232" t="s">
        <v>29855</v>
      </c>
      <c r="B1967" s="232" t="s">
        <v>29879</v>
      </c>
      <c r="C1967" s="509" t="s">
        <v>29880</v>
      </c>
      <c r="D1967" s="312"/>
      <c r="E1967" s="511"/>
      <c r="F1967" s="510" t="s">
        <v>29881</v>
      </c>
      <c r="G1967" s="232" t="s">
        <v>27170</v>
      </c>
      <c r="H1967" s="232">
        <v>7.439655326E9</v>
      </c>
      <c r="I1967" s="509" t="s">
        <v>29882</v>
      </c>
      <c r="J1967" s="232" t="b">
        <v>0</v>
      </c>
      <c r="K1967" s="312" t="s">
        <v>334</v>
      </c>
      <c r="L1967" s="232" t="s">
        <v>29339</v>
      </c>
      <c r="M1967" s="511"/>
      <c r="N1967" s="312"/>
      <c r="O1967" s="232"/>
      <c r="P1967" s="312"/>
      <c r="Q1967" s="312"/>
      <c r="R1967" s="312"/>
      <c r="S1967" s="312"/>
      <c r="T1967" s="312"/>
      <c r="U1967" s="312"/>
    </row>
    <row r="1968">
      <c r="A1968" s="232" t="s">
        <v>29855</v>
      </c>
      <c r="B1968" s="232" t="s">
        <v>29883</v>
      </c>
      <c r="C1968" s="509" t="s">
        <v>29884</v>
      </c>
      <c r="D1968" s="312"/>
      <c r="E1968" s="511"/>
      <c r="F1968" s="510" t="s">
        <v>29885</v>
      </c>
      <c r="G1968" s="232" t="s">
        <v>29886</v>
      </c>
      <c r="H1968" s="232">
        <v>8.927731895E9</v>
      </c>
      <c r="I1968" s="509" t="s">
        <v>29887</v>
      </c>
      <c r="J1968" s="232" t="b">
        <v>0</v>
      </c>
      <c r="K1968" s="312" t="s">
        <v>28316</v>
      </c>
      <c r="L1968" s="232" t="s">
        <v>29888</v>
      </c>
      <c r="M1968" s="511"/>
      <c r="N1968" s="312"/>
      <c r="O1968" s="232"/>
      <c r="P1968" s="312"/>
      <c r="Q1968" s="312"/>
      <c r="R1968" s="312"/>
      <c r="S1968" s="312"/>
      <c r="T1968" s="312"/>
      <c r="U1968" s="312"/>
    </row>
    <row r="1969">
      <c r="A1969" s="232" t="s">
        <v>29855</v>
      </c>
      <c r="B1969" s="232" t="s">
        <v>29889</v>
      </c>
      <c r="C1969" s="509" t="s">
        <v>29890</v>
      </c>
      <c r="D1969" s="312"/>
      <c r="E1969" s="511"/>
      <c r="F1969" s="510" t="s">
        <v>29891</v>
      </c>
      <c r="G1969" s="232" t="s">
        <v>1315</v>
      </c>
      <c r="H1969" s="232">
        <v>9.825878798E9</v>
      </c>
      <c r="I1969" s="509" t="s">
        <v>22727</v>
      </c>
      <c r="J1969" s="312" t="b">
        <v>0</v>
      </c>
      <c r="K1969" s="312"/>
      <c r="L1969" s="312"/>
      <c r="M1969" s="511"/>
      <c r="N1969" s="312"/>
      <c r="O1969" s="312"/>
      <c r="P1969" s="312"/>
      <c r="Q1969" s="312"/>
      <c r="R1969" s="312"/>
      <c r="S1969" s="312"/>
      <c r="T1969" s="312"/>
      <c r="U1969" s="312"/>
    </row>
    <row r="1970">
      <c r="A1970" s="232" t="s">
        <v>29855</v>
      </c>
      <c r="B1970" s="232" t="s">
        <v>29892</v>
      </c>
      <c r="C1970" s="509" t="s">
        <v>28479</v>
      </c>
      <c r="D1970" s="312"/>
      <c r="E1970" s="511"/>
      <c r="F1970" s="510" t="s">
        <v>28480</v>
      </c>
      <c r="G1970" s="312"/>
      <c r="H1970" s="232">
        <v>9.679277761E9</v>
      </c>
      <c r="I1970" s="509" t="s">
        <v>22354</v>
      </c>
      <c r="J1970" s="232" t="b">
        <v>0</v>
      </c>
      <c r="K1970" s="312" t="s">
        <v>22355</v>
      </c>
      <c r="L1970" s="232" t="s">
        <v>29893</v>
      </c>
      <c r="M1970" s="511"/>
      <c r="N1970" s="312"/>
      <c r="O1970" s="232"/>
      <c r="P1970" s="312"/>
      <c r="Q1970" s="312"/>
      <c r="R1970" s="312"/>
      <c r="S1970" s="312"/>
      <c r="T1970" s="312"/>
      <c r="U1970" s="312"/>
    </row>
    <row r="1971">
      <c r="A1971" s="232" t="s">
        <v>29855</v>
      </c>
      <c r="B1971" s="232" t="s">
        <v>29894</v>
      </c>
      <c r="C1971" s="509" t="s">
        <v>29895</v>
      </c>
      <c r="D1971" s="312"/>
      <c r="E1971" s="511"/>
      <c r="F1971" s="510" t="s">
        <v>29896</v>
      </c>
      <c r="G1971" s="232" t="s">
        <v>29897</v>
      </c>
      <c r="H1971" s="232">
        <v>8.42744667E9</v>
      </c>
      <c r="I1971" s="509" t="s">
        <v>29898</v>
      </c>
      <c r="J1971" s="232" t="b">
        <v>0</v>
      </c>
      <c r="K1971" s="232" t="s">
        <v>22365</v>
      </c>
      <c r="L1971" s="232" t="s">
        <v>29336</v>
      </c>
      <c r="M1971" s="511"/>
      <c r="N1971" s="232"/>
      <c r="O1971" s="232"/>
      <c r="P1971" s="312"/>
      <c r="Q1971" s="312"/>
      <c r="R1971" s="312"/>
      <c r="S1971" s="312"/>
      <c r="T1971" s="312"/>
      <c r="U1971" s="312"/>
    </row>
    <row r="1972">
      <c r="A1972" s="514" t="s">
        <v>29855</v>
      </c>
      <c r="B1972" s="514" t="s">
        <v>29899</v>
      </c>
      <c r="C1972" s="515" t="s">
        <v>1474</v>
      </c>
      <c r="D1972" s="312"/>
      <c r="E1972" s="517"/>
      <c r="F1972" s="516" t="s">
        <v>29900</v>
      </c>
      <c r="G1972" s="514" t="s">
        <v>29901</v>
      </c>
      <c r="H1972" s="514">
        <v>7.011678107E9</v>
      </c>
      <c r="I1972" s="515" t="s">
        <v>29516</v>
      </c>
      <c r="J1972" s="514" t="b">
        <v>0</v>
      </c>
      <c r="K1972" s="547" t="s">
        <v>22312</v>
      </c>
      <c r="L1972" s="514" t="s">
        <v>29902</v>
      </c>
      <c r="M1972" s="511"/>
      <c r="N1972" s="312"/>
      <c r="O1972" s="514"/>
      <c r="P1972" s="312"/>
      <c r="Q1972" s="312"/>
      <c r="R1972" s="312"/>
      <c r="S1972" s="312"/>
      <c r="T1972" s="312"/>
      <c r="U1972" s="312"/>
    </row>
    <row r="1973">
      <c r="A1973" s="232" t="s">
        <v>29903</v>
      </c>
      <c r="B1973" s="232" t="s">
        <v>29904</v>
      </c>
      <c r="C1973" s="509" t="s">
        <v>29905</v>
      </c>
      <c r="D1973" s="312"/>
      <c r="E1973" s="510" t="s">
        <v>29906</v>
      </c>
      <c r="F1973" s="511"/>
      <c r="G1973" s="232" t="s">
        <v>977</v>
      </c>
      <c r="H1973" s="232">
        <v>6.203097212E9</v>
      </c>
      <c r="I1973" s="509" t="s">
        <v>27938</v>
      </c>
      <c r="J1973" s="232" t="b">
        <v>0</v>
      </c>
      <c r="K1973" s="232" t="s">
        <v>22365</v>
      </c>
      <c r="L1973" s="232" t="s">
        <v>29336</v>
      </c>
      <c r="M1973" s="511"/>
      <c r="N1973" s="232"/>
      <c r="O1973" s="232"/>
      <c r="P1973" s="312"/>
      <c r="Q1973" s="312"/>
      <c r="R1973" s="312"/>
      <c r="S1973" s="312"/>
      <c r="T1973" s="312"/>
      <c r="U1973" s="312"/>
    </row>
    <row r="1974">
      <c r="A1974" s="232" t="s">
        <v>29903</v>
      </c>
      <c r="B1974" s="232" t="s">
        <v>29907</v>
      </c>
      <c r="C1974" s="509" t="s">
        <v>29908</v>
      </c>
      <c r="D1974" s="312"/>
      <c r="E1974" s="511"/>
      <c r="F1974" s="511"/>
      <c r="G1974" s="312"/>
      <c r="H1974" s="232">
        <v>8.334897257E9</v>
      </c>
      <c r="I1974" s="509" t="s">
        <v>22364</v>
      </c>
      <c r="J1974" s="312" t="b">
        <v>0</v>
      </c>
      <c r="K1974" s="312"/>
      <c r="L1974" s="312"/>
      <c r="M1974" s="511"/>
      <c r="N1974" s="312"/>
      <c r="O1974" s="312"/>
      <c r="P1974" s="312"/>
      <c r="Q1974" s="312"/>
      <c r="R1974" s="312"/>
      <c r="S1974" s="312"/>
      <c r="T1974" s="312"/>
      <c r="U1974" s="312"/>
    </row>
    <row r="1975">
      <c r="A1975" s="232" t="s">
        <v>29903</v>
      </c>
      <c r="B1975" s="232" t="s">
        <v>29909</v>
      </c>
      <c r="C1975" s="509" t="s">
        <v>29910</v>
      </c>
      <c r="D1975" s="312"/>
      <c r="E1975" s="511"/>
      <c r="F1975" s="510" t="s">
        <v>29911</v>
      </c>
      <c r="G1975" s="232" t="s">
        <v>22304</v>
      </c>
      <c r="H1975" s="232">
        <v>-9.370731448E9</v>
      </c>
      <c r="I1975" s="509" t="s">
        <v>29912</v>
      </c>
      <c r="J1975" s="232" t="b">
        <v>0</v>
      </c>
      <c r="K1975" s="312" t="s">
        <v>334</v>
      </c>
      <c r="L1975" s="232" t="s">
        <v>29913</v>
      </c>
      <c r="M1975" s="511"/>
      <c r="N1975" s="312"/>
      <c r="O1975" s="232"/>
      <c r="P1975" s="312"/>
      <c r="Q1975" s="312"/>
      <c r="R1975" s="312"/>
      <c r="S1975" s="312"/>
      <c r="T1975" s="312"/>
      <c r="U1975" s="312"/>
    </row>
    <row r="1976">
      <c r="A1976" s="232" t="s">
        <v>29903</v>
      </c>
      <c r="B1976" s="232" t="s">
        <v>29914</v>
      </c>
      <c r="C1976" s="509" t="s">
        <v>29915</v>
      </c>
      <c r="D1976" s="312"/>
      <c r="E1976" s="511"/>
      <c r="F1976" s="510" t="s">
        <v>29916</v>
      </c>
      <c r="G1976" s="232" t="s">
        <v>22742</v>
      </c>
      <c r="H1976" s="232">
        <v>8.917472046E9</v>
      </c>
      <c r="I1976" s="509" t="s">
        <v>22289</v>
      </c>
      <c r="J1976" s="232" t="b">
        <v>0</v>
      </c>
      <c r="K1976" s="232" t="s">
        <v>22365</v>
      </c>
      <c r="L1976" s="232" t="s">
        <v>29336</v>
      </c>
      <c r="M1976" s="511"/>
      <c r="N1976" s="232"/>
      <c r="O1976" s="232"/>
      <c r="P1976" s="312"/>
      <c r="Q1976" s="312"/>
      <c r="R1976" s="312"/>
      <c r="S1976" s="312"/>
      <c r="T1976" s="312"/>
      <c r="U1976" s="312"/>
    </row>
    <row r="1977">
      <c r="A1977" s="232" t="s">
        <v>29903</v>
      </c>
      <c r="B1977" s="232" t="s">
        <v>29917</v>
      </c>
      <c r="C1977" s="509" t="s">
        <v>29918</v>
      </c>
      <c r="D1977" s="312"/>
      <c r="E1977" s="510">
        <v>1.0</v>
      </c>
      <c r="F1977" s="510" t="s">
        <v>29919</v>
      </c>
      <c r="G1977" s="232" t="s">
        <v>22592</v>
      </c>
      <c r="H1977" s="232">
        <v>-9.768132682E9</v>
      </c>
      <c r="I1977" s="509" t="s">
        <v>29920</v>
      </c>
      <c r="J1977" s="232" t="b">
        <v>0</v>
      </c>
      <c r="K1977" s="232" t="s">
        <v>29223</v>
      </c>
      <c r="L1977" s="232" t="s">
        <v>29921</v>
      </c>
      <c r="M1977" s="511"/>
      <c r="N1977" s="232"/>
      <c r="O1977" s="232"/>
      <c r="P1977" s="312"/>
      <c r="Q1977" s="312"/>
      <c r="R1977" s="312"/>
      <c r="S1977" s="312"/>
      <c r="T1977" s="312"/>
      <c r="U1977" s="312"/>
    </row>
    <row r="1978">
      <c r="A1978" s="232" t="s">
        <v>29903</v>
      </c>
      <c r="B1978" s="232" t="s">
        <v>29922</v>
      </c>
      <c r="C1978" s="509" t="s">
        <v>29923</v>
      </c>
      <c r="D1978" s="312"/>
      <c r="E1978" s="511"/>
      <c r="F1978" s="511"/>
      <c r="G1978" s="232" t="s">
        <v>22770</v>
      </c>
      <c r="H1978" s="232">
        <v>9.773663221E9</v>
      </c>
      <c r="I1978" s="509" t="s">
        <v>22373</v>
      </c>
      <c r="J1978" s="232" t="b">
        <v>0</v>
      </c>
      <c r="K1978" s="312" t="s">
        <v>334</v>
      </c>
      <c r="L1978" s="232" t="s">
        <v>29924</v>
      </c>
      <c r="M1978" s="511"/>
      <c r="N1978" s="312"/>
      <c r="O1978" s="232"/>
      <c r="P1978" s="312"/>
      <c r="Q1978" s="312"/>
      <c r="R1978" s="312"/>
      <c r="S1978" s="312"/>
      <c r="T1978" s="312"/>
      <c r="U1978" s="312"/>
    </row>
    <row r="1979">
      <c r="A1979" s="232" t="s">
        <v>29903</v>
      </c>
      <c r="B1979" s="232" t="s">
        <v>29925</v>
      </c>
      <c r="C1979" s="509" t="s">
        <v>29926</v>
      </c>
      <c r="D1979" s="312"/>
      <c r="E1979" s="511"/>
      <c r="F1979" s="511"/>
      <c r="G1979" s="232" t="s">
        <v>26514</v>
      </c>
      <c r="H1979" s="232">
        <v>9.123394653E9</v>
      </c>
      <c r="I1979" s="509" t="s">
        <v>23803</v>
      </c>
      <c r="J1979" s="232" t="b">
        <v>0</v>
      </c>
      <c r="K1979" s="232" t="s">
        <v>22365</v>
      </c>
      <c r="L1979" s="232" t="s">
        <v>29927</v>
      </c>
      <c r="M1979" s="511"/>
      <c r="N1979" s="312"/>
      <c r="O1979" s="232"/>
      <c r="P1979" s="312"/>
      <c r="Q1979" s="312"/>
      <c r="R1979" s="312"/>
      <c r="S1979" s="312"/>
      <c r="T1979" s="312"/>
      <c r="U1979" s="312"/>
    </row>
    <row r="1980">
      <c r="A1980" s="232" t="s">
        <v>29903</v>
      </c>
      <c r="B1980" s="232" t="s">
        <v>29928</v>
      </c>
      <c r="C1980" s="509" t="s">
        <v>21363</v>
      </c>
      <c r="D1980" s="312"/>
      <c r="E1980" s="511"/>
      <c r="F1980" s="511"/>
      <c r="G1980" s="232" t="s">
        <v>158</v>
      </c>
      <c r="H1980" s="232">
        <v>6.289808827E9</v>
      </c>
      <c r="I1980" s="509" t="s">
        <v>24052</v>
      </c>
      <c r="J1980" s="312" t="b">
        <v>0</v>
      </c>
      <c r="K1980" s="312"/>
      <c r="L1980" s="312"/>
      <c r="M1980" s="511"/>
      <c r="N1980" s="312"/>
      <c r="O1980" s="312"/>
      <c r="P1980" s="312"/>
      <c r="Q1980" s="312"/>
      <c r="R1980" s="312"/>
      <c r="S1980" s="312"/>
      <c r="T1980" s="312"/>
      <c r="U1980" s="312"/>
    </row>
    <row r="1981">
      <c r="A1981" s="232" t="s">
        <v>29903</v>
      </c>
      <c r="B1981" s="232" t="s">
        <v>29929</v>
      </c>
      <c r="C1981" s="509" t="s">
        <v>29930</v>
      </c>
      <c r="D1981" s="312"/>
      <c r="E1981" s="511"/>
      <c r="F1981" s="511"/>
      <c r="G1981" s="232" t="s">
        <v>2612</v>
      </c>
      <c r="H1981" s="232">
        <v>6.370753908E9</v>
      </c>
      <c r="I1981" s="509" t="s">
        <v>27725</v>
      </c>
      <c r="J1981" s="232" t="b">
        <v>0</v>
      </c>
      <c r="K1981" s="312" t="s">
        <v>334</v>
      </c>
      <c r="L1981" s="232" t="s">
        <v>29931</v>
      </c>
      <c r="M1981" s="511"/>
      <c r="N1981" s="312"/>
      <c r="O1981" s="232"/>
      <c r="P1981" s="312"/>
      <c r="Q1981" s="312"/>
      <c r="R1981" s="312"/>
      <c r="S1981" s="312"/>
      <c r="T1981" s="312"/>
      <c r="U1981" s="312"/>
    </row>
    <row r="1982">
      <c r="A1982" s="232" t="s">
        <v>29932</v>
      </c>
      <c r="B1982" s="232" t="s">
        <v>29933</v>
      </c>
      <c r="C1982" s="509" t="s">
        <v>29934</v>
      </c>
      <c r="D1982" s="312"/>
      <c r="E1982" s="511"/>
      <c r="F1982" s="510" t="s">
        <v>29935</v>
      </c>
      <c r="G1982" s="232" t="s">
        <v>22304</v>
      </c>
      <c r="H1982" s="232">
        <v>8.018550534E9</v>
      </c>
      <c r="I1982" s="509" t="s">
        <v>26796</v>
      </c>
      <c r="J1982" s="232" t="b">
        <v>0</v>
      </c>
      <c r="K1982" s="312" t="s">
        <v>22355</v>
      </c>
      <c r="L1982" s="232" t="s">
        <v>29936</v>
      </c>
      <c r="M1982" s="511"/>
      <c r="N1982" s="312"/>
      <c r="O1982" s="232"/>
      <c r="P1982" s="312"/>
      <c r="Q1982" s="312"/>
      <c r="R1982" s="312"/>
      <c r="S1982" s="312"/>
      <c r="T1982" s="312"/>
      <c r="U1982" s="312"/>
    </row>
    <row r="1983">
      <c r="A1983" s="232" t="s">
        <v>29932</v>
      </c>
      <c r="B1983" s="232" t="s">
        <v>29937</v>
      </c>
      <c r="C1983" s="509" t="s">
        <v>29938</v>
      </c>
      <c r="D1983" s="312"/>
      <c r="E1983" s="511"/>
      <c r="F1983" s="510" t="s">
        <v>29939</v>
      </c>
      <c r="G1983" s="232" t="s">
        <v>22844</v>
      </c>
      <c r="H1983" s="232">
        <v>9.975116098E9</v>
      </c>
      <c r="I1983" s="509" t="s">
        <v>22961</v>
      </c>
      <c r="J1983" s="232" t="b">
        <v>0</v>
      </c>
      <c r="K1983" s="232" t="s">
        <v>22365</v>
      </c>
      <c r="L1983" s="232" t="s">
        <v>29940</v>
      </c>
      <c r="M1983" s="511"/>
      <c r="N1983" s="232"/>
      <c r="O1983" s="232"/>
      <c r="P1983" s="312"/>
      <c r="Q1983" s="312"/>
      <c r="R1983" s="312"/>
      <c r="S1983" s="312"/>
      <c r="T1983" s="312"/>
      <c r="U1983" s="312"/>
    </row>
    <row r="1984">
      <c r="A1984" s="232" t="s">
        <v>29932</v>
      </c>
      <c r="B1984" s="232" t="s">
        <v>29941</v>
      </c>
      <c r="C1984" s="509" t="s">
        <v>29942</v>
      </c>
      <c r="D1984" s="312"/>
      <c r="E1984" s="511"/>
      <c r="F1984" s="510" t="s">
        <v>29943</v>
      </c>
      <c r="G1984" s="232" t="s">
        <v>26216</v>
      </c>
      <c r="H1984" s="232">
        <v>-9.33769295E9</v>
      </c>
      <c r="I1984" s="509" t="s">
        <v>23696</v>
      </c>
      <c r="J1984" s="232" t="b">
        <v>0</v>
      </c>
      <c r="K1984" s="312"/>
      <c r="L1984" s="232" t="s">
        <v>29944</v>
      </c>
      <c r="M1984" s="511"/>
      <c r="N1984" s="312"/>
      <c r="O1984" s="232"/>
      <c r="P1984" s="312"/>
      <c r="Q1984" s="312"/>
      <c r="R1984" s="312"/>
      <c r="S1984" s="312"/>
      <c r="T1984" s="312"/>
      <c r="U1984" s="312"/>
    </row>
    <row r="1985">
      <c r="A1985" s="232" t="s">
        <v>29932</v>
      </c>
      <c r="B1985" s="232" t="s">
        <v>29945</v>
      </c>
      <c r="C1985" s="509" t="s">
        <v>29946</v>
      </c>
      <c r="D1985" s="312"/>
      <c r="E1985" s="511"/>
      <c r="F1985" s="511"/>
      <c r="G1985" s="232" t="s">
        <v>24601</v>
      </c>
      <c r="H1985" s="232">
        <v>-9.706440825E9</v>
      </c>
      <c r="I1985" s="509" t="s">
        <v>22373</v>
      </c>
      <c r="J1985" s="232" t="b">
        <v>0</v>
      </c>
      <c r="K1985" s="312" t="s">
        <v>334</v>
      </c>
      <c r="L1985" s="232" t="s">
        <v>29947</v>
      </c>
      <c r="M1985" s="511"/>
      <c r="N1985" s="312"/>
      <c r="O1985" s="232"/>
      <c r="P1985" s="312"/>
      <c r="Q1985" s="312"/>
      <c r="R1985" s="312"/>
      <c r="S1985" s="312"/>
      <c r="T1985" s="312"/>
      <c r="U1985" s="312"/>
    </row>
    <row r="1986">
      <c r="A1986" s="232" t="s">
        <v>29932</v>
      </c>
      <c r="B1986" s="232" t="s">
        <v>29948</v>
      </c>
      <c r="C1986" s="509" t="s">
        <v>15487</v>
      </c>
      <c r="D1986" s="312"/>
      <c r="E1986" s="511"/>
      <c r="F1986" s="510" t="s">
        <v>29949</v>
      </c>
      <c r="G1986" s="232" t="s">
        <v>981</v>
      </c>
      <c r="H1986" s="232">
        <v>9.775757651E9</v>
      </c>
      <c r="I1986" s="509" t="s">
        <v>22278</v>
      </c>
      <c r="J1986" s="232" t="b">
        <v>0</v>
      </c>
      <c r="K1986" s="312" t="s">
        <v>334</v>
      </c>
      <c r="L1986" s="232" t="s">
        <v>29408</v>
      </c>
      <c r="M1986" s="511"/>
      <c r="N1986" s="312"/>
      <c r="O1986" s="232"/>
      <c r="P1986" s="312"/>
      <c r="Q1986" s="312"/>
      <c r="R1986" s="312"/>
      <c r="S1986" s="312"/>
      <c r="T1986" s="312"/>
      <c r="U1986" s="312"/>
    </row>
    <row r="1987">
      <c r="A1987" s="232" t="s">
        <v>29932</v>
      </c>
      <c r="B1987" s="232" t="s">
        <v>29950</v>
      </c>
      <c r="C1987" s="509" t="s">
        <v>29951</v>
      </c>
      <c r="D1987" s="312"/>
      <c r="E1987" s="511"/>
      <c r="F1987" s="510" t="s">
        <v>29952</v>
      </c>
      <c r="G1987" s="232" t="s">
        <v>22844</v>
      </c>
      <c r="H1987" s="232">
        <v>8.209169913E9</v>
      </c>
      <c r="I1987" s="509" t="s">
        <v>22373</v>
      </c>
      <c r="J1987" s="232" t="b">
        <v>0</v>
      </c>
      <c r="K1987" s="312" t="s">
        <v>334</v>
      </c>
      <c r="L1987" s="232" t="s">
        <v>29339</v>
      </c>
      <c r="M1987" s="511"/>
      <c r="N1987" s="312"/>
      <c r="O1987" s="232"/>
      <c r="P1987" s="312"/>
      <c r="Q1987" s="312"/>
      <c r="R1987" s="312"/>
      <c r="S1987" s="312"/>
      <c r="T1987" s="312"/>
      <c r="U1987" s="312"/>
    </row>
    <row r="1988">
      <c r="A1988" s="232" t="s">
        <v>29932</v>
      </c>
      <c r="B1988" s="232" t="s">
        <v>29953</v>
      </c>
      <c r="C1988" s="509" t="s">
        <v>29954</v>
      </c>
      <c r="D1988" s="312"/>
      <c r="E1988" s="511"/>
      <c r="F1988" s="510" t="s">
        <v>29955</v>
      </c>
      <c r="G1988" s="232" t="s">
        <v>29956</v>
      </c>
      <c r="H1988" s="232">
        <v>8.09560963E9</v>
      </c>
      <c r="I1988" s="509" t="s">
        <v>22698</v>
      </c>
      <c r="J1988" s="232" t="b">
        <v>0</v>
      </c>
      <c r="K1988" s="232" t="s">
        <v>22365</v>
      </c>
      <c r="L1988" s="232" t="s">
        <v>29336</v>
      </c>
      <c r="M1988" s="511"/>
      <c r="N1988" s="232"/>
      <c r="O1988" s="232"/>
      <c r="P1988" s="312"/>
      <c r="Q1988" s="312"/>
      <c r="R1988" s="312"/>
      <c r="S1988" s="312"/>
      <c r="T1988" s="312"/>
      <c r="U1988" s="312"/>
    </row>
    <row r="1989">
      <c r="A1989" s="232" t="s">
        <v>29932</v>
      </c>
      <c r="B1989" s="232" t="s">
        <v>29957</v>
      </c>
      <c r="C1989" s="509" t="s">
        <v>9622</v>
      </c>
      <c r="D1989" s="312"/>
      <c r="E1989" s="511"/>
      <c r="F1989" s="511"/>
      <c r="G1989" s="232" t="s">
        <v>467</v>
      </c>
      <c r="H1989" s="232">
        <v>-7.895460176E9</v>
      </c>
      <c r="I1989" s="509" t="s">
        <v>29958</v>
      </c>
      <c r="J1989" s="232" t="b">
        <v>0</v>
      </c>
      <c r="K1989" s="232" t="s">
        <v>22365</v>
      </c>
      <c r="L1989" s="232" t="s">
        <v>29336</v>
      </c>
      <c r="M1989" s="511"/>
      <c r="N1989" s="232"/>
      <c r="O1989" s="232"/>
      <c r="P1989" s="312"/>
      <c r="Q1989" s="312"/>
      <c r="R1989" s="312"/>
      <c r="S1989" s="312"/>
      <c r="T1989" s="312"/>
      <c r="U1989" s="312"/>
    </row>
    <row r="1990">
      <c r="A1990" s="232" t="s">
        <v>29932</v>
      </c>
      <c r="B1990" s="232" t="s">
        <v>29959</v>
      </c>
      <c r="C1990" s="509" t="s">
        <v>29960</v>
      </c>
      <c r="D1990" s="312"/>
      <c r="E1990" s="511"/>
      <c r="F1990" s="510" t="s">
        <v>29961</v>
      </c>
      <c r="G1990" s="232" t="s">
        <v>5089</v>
      </c>
      <c r="H1990" s="232">
        <v>9.702930683E9</v>
      </c>
      <c r="I1990" s="554" t="s">
        <v>29962</v>
      </c>
      <c r="J1990" s="232" t="b">
        <v>0</v>
      </c>
      <c r="K1990" s="232" t="s">
        <v>22365</v>
      </c>
      <c r="L1990" s="232" t="s">
        <v>29963</v>
      </c>
      <c r="M1990" s="511"/>
      <c r="N1990" s="232"/>
      <c r="O1990" s="232"/>
      <c r="P1990" s="312"/>
      <c r="Q1990" s="312"/>
      <c r="R1990" s="312"/>
      <c r="S1990" s="312"/>
      <c r="T1990" s="312"/>
      <c r="U1990" s="312"/>
    </row>
    <row r="1991">
      <c r="A1991" s="232" t="s">
        <v>29964</v>
      </c>
      <c r="B1991" s="232" t="s">
        <v>29965</v>
      </c>
      <c r="C1991" s="509" t="s">
        <v>29966</v>
      </c>
      <c r="D1991" s="312"/>
      <c r="E1991" s="511"/>
      <c r="F1991" s="510" t="s">
        <v>29967</v>
      </c>
      <c r="G1991" s="232" t="s">
        <v>22818</v>
      </c>
      <c r="H1991" s="232">
        <v>9.099059439E9</v>
      </c>
      <c r="I1991" s="512" t="s">
        <v>29968</v>
      </c>
      <c r="J1991" s="232" t="b">
        <v>0</v>
      </c>
      <c r="K1991" s="232" t="s">
        <v>29223</v>
      </c>
      <c r="L1991" s="232" t="s">
        <v>29320</v>
      </c>
      <c r="M1991" s="511"/>
      <c r="N1991" s="232"/>
      <c r="O1991" s="232"/>
      <c r="P1991" s="312"/>
      <c r="Q1991" s="312"/>
      <c r="R1991" s="312"/>
      <c r="S1991" s="312"/>
      <c r="T1991" s="312"/>
      <c r="U1991" s="312"/>
    </row>
    <row r="1992">
      <c r="A1992" s="232" t="s">
        <v>29964</v>
      </c>
      <c r="B1992" s="232" t="s">
        <v>29969</v>
      </c>
      <c r="C1992" s="509" t="s">
        <v>29970</v>
      </c>
      <c r="D1992" s="312"/>
      <c r="E1992" s="511"/>
      <c r="F1992" s="510" t="s">
        <v>29971</v>
      </c>
      <c r="G1992" s="232" t="s">
        <v>22992</v>
      </c>
      <c r="H1992" s="232">
        <v>-9.915164854E9</v>
      </c>
      <c r="I1992" s="509" t="s">
        <v>23661</v>
      </c>
      <c r="J1992" s="312" t="b">
        <v>0</v>
      </c>
      <c r="K1992" s="312"/>
      <c r="L1992" s="312"/>
      <c r="M1992" s="511"/>
      <c r="N1992" s="312"/>
      <c r="O1992" s="312"/>
      <c r="P1992" s="312"/>
      <c r="Q1992" s="312"/>
      <c r="R1992" s="312"/>
      <c r="S1992" s="312"/>
      <c r="T1992" s="312"/>
      <c r="U1992" s="312"/>
    </row>
    <row r="1993">
      <c r="A1993" s="232" t="s">
        <v>29964</v>
      </c>
      <c r="B1993" s="232" t="s">
        <v>29972</v>
      </c>
      <c r="C1993" s="509" t="s">
        <v>29973</v>
      </c>
      <c r="D1993" s="312"/>
      <c r="E1993" s="511"/>
      <c r="F1993" s="510" t="s">
        <v>29974</v>
      </c>
      <c r="G1993" s="232" t="s">
        <v>22564</v>
      </c>
      <c r="H1993" s="312">
        <f>91-7719856394
</f>
        <v>-7719856303</v>
      </c>
      <c r="I1993" s="509" t="s">
        <v>22961</v>
      </c>
      <c r="J1993" s="232" t="b">
        <v>0</v>
      </c>
      <c r="K1993" s="312" t="s">
        <v>22355</v>
      </c>
      <c r="L1993" s="232" t="s">
        <v>29975</v>
      </c>
      <c r="M1993" s="511"/>
      <c r="N1993" s="312"/>
      <c r="O1993" s="232"/>
      <c r="P1993" s="312"/>
      <c r="Q1993" s="312"/>
      <c r="R1993" s="312"/>
      <c r="S1993" s="312"/>
      <c r="T1993" s="312"/>
      <c r="U1993" s="312"/>
    </row>
    <row r="1994">
      <c r="A1994" s="232" t="s">
        <v>29964</v>
      </c>
      <c r="B1994" s="232" t="s">
        <v>29976</v>
      </c>
      <c r="C1994" s="509" t="s">
        <v>29977</v>
      </c>
      <c r="D1994" s="312"/>
      <c r="E1994" s="511"/>
      <c r="F1994" s="511"/>
      <c r="G1994" s="232" t="s">
        <v>22902</v>
      </c>
      <c r="H1994" s="232">
        <v>7.369850419E9</v>
      </c>
      <c r="I1994" s="509" t="s">
        <v>29978</v>
      </c>
      <c r="J1994" s="232" t="b">
        <v>0</v>
      </c>
      <c r="K1994" s="312" t="s">
        <v>334</v>
      </c>
      <c r="L1994" s="232" t="s">
        <v>29850</v>
      </c>
      <c r="M1994" s="511"/>
      <c r="N1994" s="312"/>
      <c r="O1994" s="232"/>
      <c r="P1994" s="312"/>
      <c r="Q1994" s="312"/>
      <c r="R1994" s="312"/>
      <c r="S1994" s="312"/>
      <c r="T1994" s="312"/>
      <c r="U1994" s="312"/>
    </row>
    <row r="1995">
      <c r="A1995" s="232" t="s">
        <v>29964</v>
      </c>
      <c r="B1995" s="232" t="s">
        <v>29979</v>
      </c>
      <c r="C1995" s="509" t="s">
        <v>29980</v>
      </c>
      <c r="D1995" s="312"/>
      <c r="E1995" s="511"/>
      <c r="F1995" s="510" t="s">
        <v>29981</v>
      </c>
      <c r="G1995" s="232" t="s">
        <v>22844</v>
      </c>
      <c r="H1995" s="232">
        <v>9.326517999E9</v>
      </c>
      <c r="I1995" s="509" t="s">
        <v>29626</v>
      </c>
      <c r="J1995" s="232" t="b">
        <v>0</v>
      </c>
      <c r="K1995" s="232" t="s">
        <v>29223</v>
      </c>
      <c r="L1995" s="232" t="s">
        <v>29982</v>
      </c>
      <c r="M1995" s="511"/>
      <c r="N1995" s="232"/>
      <c r="O1995" s="232"/>
      <c r="P1995" s="312"/>
      <c r="Q1995" s="312"/>
      <c r="R1995" s="312"/>
      <c r="S1995" s="312"/>
      <c r="T1995" s="312"/>
      <c r="U1995" s="312"/>
    </row>
    <row r="1996">
      <c r="A1996" s="232" t="s">
        <v>29964</v>
      </c>
      <c r="B1996" s="232" t="s">
        <v>29983</v>
      </c>
      <c r="C1996" s="509" t="s">
        <v>29984</v>
      </c>
      <c r="D1996" s="312"/>
      <c r="E1996" s="510" t="s">
        <v>29985</v>
      </c>
      <c r="F1996" s="511"/>
      <c r="G1996" s="232" t="s">
        <v>398</v>
      </c>
      <c r="H1996" s="232">
        <v>9.313639436E9</v>
      </c>
      <c r="I1996" s="509" t="s">
        <v>24182</v>
      </c>
      <c r="J1996" s="232" t="b">
        <v>0</v>
      </c>
      <c r="K1996" s="232" t="s">
        <v>22365</v>
      </c>
      <c r="L1996" s="232" t="s">
        <v>29986</v>
      </c>
      <c r="M1996" s="511"/>
      <c r="N1996" s="232"/>
      <c r="O1996" s="232"/>
      <c r="P1996" s="312"/>
      <c r="Q1996" s="312"/>
      <c r="R1996" s="312"/>
      <c r="S1996" s="312"/>
      <c r="T1996" s="312"/>
      <c r="U1996" s="312"/>
    </row>
    <row r="1997">
      <c r="A1997" s="232" t="s">
        <v>29964</v>
      </c>
      <c r="B1997" s="232" t="s">
        <v>29987</v>
      </c>
      <c r="C1997" s="509" t="s">
        <v>25621</v>
      </c>
      <c r="D1997" s="312"/>
      <c r="E1997" s="511"/>
      <c r="F1997" s="510" t="s">
        <v>29988</v>
      </c>
      <c r="G1997" s="232" t="s">
        <v>22583</v>
      </c>
      <c r="H1997" s="232">
        <v>-9.670013635E9</v>
      </c>
      <c r="I1997" s="509" t="s">
        <v>22289</v>
      </c>
      <c r="J1997" s="232" t="b">
        <v>0</v>
      </c>
      <c r="K1997" s="312" t="s">
        <v>22349</v>
      </c>
      <c r="L1997" s="232" t="s">
        <v>29989</v>
      </c>
      <c r="M1997" s="511"/>
      <c r="N1997" s="312"/>
      <c r="O1997" s="232"/>
      <c r="P1997" s="312"/>
      <c r="Q1997" s="312"/>
      <c r="R1997" s="312"/>
      <c r="S1997" s="312"/>
      <c r="T1997" s="312"/>
      <c r="U1997" s="312"/>
    </row>
    <row r="1998">
      <c r="A1998" s="232" t="s">
        <v>29964</v>
      </c>
      <c r="B1998" s="232" t="s">
        <v>29990</v>
      </c>
      <c r="C1998" s="509" t="s">
        <v>3173</v>
      </c>
      <c r="D1998" s="312"/>
      <c r="E1998" s="510" t="s">
        <v>29991</v>
      </c>
      <c r="F1998" s="511"/>
      <c r="G1998" s="232" t="s">
        <v>22821</v>
      </c>
      <c r="H1998" s="232">
        <v>9.393596699E9</v>
      </c>
      <c r="I1998" s="509" t="s">
        <v>29992</v>
      </c>
      <c r="J1998" s="232" t="b">
        <v>0</v>
      </c>
      <c r="K1998" s="312" t="s">
        <v>334</v>
      </c>
      <c r="L1998" s="232" t="s">
        <v>29339</v>
      </c>
      <c r="M1998" s="511"/>
      <c r="N1998" s="312"/>
      <c r="O1998" s="232"/>
      <c r="P1998" s="312"/>
      <c r="Q1998" s="312"/>
      <c r="R1998" s="312"/>
      <c r="S1998" s="312"/>
      <c r="T1998" s="312"/>
      <c r="U1998" s="312"/>
    </row>
    <row r="1999">
      <c r="A1999" s="232" t="s">
        <v>29964</v>
      </c>
      <c r="B1999" s="232" t="s">
        <v>29993</v>
      </c>
      <c r="C1999" s="509" t="s">
        <v>29994</v>
      </c>
      <c r="D1999" s="312"/>
      <c r="E1999" s="510" t="s">
        <v>29995</v>
      </c>
      <c r="F1999" s="510" t="s">
        <v>29996</v>
      </c>
      <c r="G1999" s="232" t="s">
        <v>22856</v>
      </c>
      <c r="H1999" s="232">
        <v>9.916896333E9</v>
      </c>
      <c r="I1999" s="509" t="s">
        <v>22289</v>
      </c>
      <c r="J1999" s="312" t="b">
        <v>0</v>
      </c>
      <c r="K1999" s="312"/>
      <c r="L1999" s="312"/>
      <c r="M1999" s="511"/>
      <c r="N1999" s="312"/>
      <c r="O1999" s="312"/>
      <c r="P1999" s="312"/>
      <c r="Q1999" s="312"/>
      <c r="R1999" s="312"/>
      <c r="S1999" s="312"/>
      <c r="T1999" s="312"/>
      <c r="U1999" s="312"/>
    </row>
    <row r="2000">
      <c r="A2000" s="232" t="s">
        <v>29964</v>
      </c>
      <c r="B2000" s="232" t="s">
        <v>29997</v>
      </c>
      <c r="C2000" s="509" t="s">
        <v>29998</v>
      </c>
      <c r="D2000" s="312"/>
      <c r="E2000" s="510">
        <v>1.0</v>
      </c>
      <c r="F2000" s="510" t="s">
        <v>29999</v>
      </c>
      <c r="G2000" s="232" t="s">
        <v>30000</v>
      </c>
      <c r="H2000" s="232">
        <v>9.126265855E9</v>
      </c>
      <c r="I2000" s="509" t="s">
        <v>26796</v>
      </c>
      <c r="J2000" s="232" t="b">
        <v>0</v>
      </c>
      <c r="K2000" s="312" t="s">
        <v>334</v>
      </c>
      <c r="L2000" s="232" t="s">
        <v>29408</v>
      </c>
      <c r="M2000" s="511"/>
      <c r="N2000" s="312"/>
      <c r="O2000" s="232"/>
      <c r="P2000" s="312"/>
      <c r="Q2000" s="312"/>
      <c r="R2000" s="312"/>
      <c r="S2000" s="312"/>
      <c r="T2000" s="312"/>
      <c r="U2000" s="312"/>
    </row>
    <row r="2001">
      <c r="A2001" s="232" t="s">
        <v>29964</v>
      </c>
      <c r="B2001" s="232" t="s">
        <v>30001</v>
      </c>
      <c r="C2001" s="509" t="s">
        <v>29960</v>
      </c>
      <c r="D2001" s="312"/>
      <c r="E2001" s="510">
        <v>15.0</v>
      </c>
      <c r="F2001" s="510" t="s">
        <v>30002</v>
      </c>
      <c r="G2001" s="232" t="s">
        <v>30003</v>
      </c>
      <c r="H2001" s="232">
        <v>-9.263393729E9</v>
      </c>
      <c r="I2001" s="509" t="s">
        <v>30004</v>
      </c>
      <c r="J2001" s="232" t="b">
        <v>0</v>
      </c>
      <c r="K2001" s="232" t="s">
        <v>22365</v>
      </c>
      <c r="L2001" s="232" t="s">
        <v>29336</v>
      </c>
      <c r="M2001" s="511"/>
      <c r="N2001" s="232"/>
      <c r="O2001" s="232"/>
      <c r="P2001" s="312"/>
      <c r="Q2001" s="312"/>
      <c r="R2001" s="312"/>
      <c r="S2001" s="312"/>
      <c r="T2001" s="312"/>
      <c r="U2001" s="312"/>
    </row>
    <row r="2002">
      <c r="A2002" s="232" t="s">
        <v>29964</v>
      </c>
      <c r="B2002" s="232" t="s">
        <v>30005</v>
      </c>
      <c r="C2002" s="509" t="s">
        <v>30006</v>
      </c>
      <c r="D2002" s="312"/>
      <c r="E2002" s="510">
        <v>1.0</v>
      </c>
      <c r="F2002" s="511"/>
      <c r="G2002" s="312"/>
      <c r="H2002" s="232">
        <v>-8.095703961E9</v>
      </c>
      <c r="I2002" s="509" t="s">
        <v>26083</v>
      </c>
      <c r="J2002" s="312" t="b">
        <v>0</v>
      </c>
      <c r="K2002" s="312"/>
      <c r="L2002" s="312"/>
      <c r="M2002" s="511"/>
      <c r="N2002" s="312"/>
      <c r="O2002" s="312"/>
      <c r="P2002" s="312"/>
      <c r="Q2002" s="312"/>
      <c r="R2002" s="312"/>
      <c r="S2002" s="312"/>
      <c r="T2002" s="312"/>
      <c r="U2002" s="312"/>
    </row>
    <row r="2003">
      <c r="A2003" s="232" t="s">
        <v>29964</v>
      </c>
      <c r="B2003" s="232" t="s">
        <v>30007</v>
      </c>
      <c r="C2003" s="509" t="s">
        <v>20822</v>
      </c>
      <c r="D2003" s="312"/>
      <c r="E2003" s="511"/>
      <c r="F2003" s="511"/>
      <c r="G2003" s="232" t="s">
        <v>22304</v>
      </c>
      <c r="H2003" s="232">
        <v>6.370873325E9</v>
      </c>
      <c r="I2003" s="509" t="s">
        <v>30008</v>
      </c>
      <c r="J2003" s="232" t="b">
        <v>0</v>
      </c>
      <c r="K2003" s="312" t="s">
        <v>334</v>
      </c>
      <c r="L2003" s="232" t="s">
        <v>29339</v>
      </c>
      <c r="M2003" s="511"/>
      <c r="N2003" s="312"/>
      <c r="O2003" s="232"/>
      <c r="P2003" s="312"/>
      <c r="Q2003" s="312"/>
      <c r="R2003" s="312"/>
      <c r="S2003" s="312"/>
      <c r="T2003" s="312"/>
      <c r="U2003" s="312"/>
    </row>
    <row r="2004">
      <c r="A2004" s="232" t="s">
        <v>29964</v>
      </c>
      <c r="B2004" s="232" t="s">
        <v>30009</v>
      </c>
      <c r="C2004" s="509" t="s">
        <v>30010</v>
      </c>
      <c r="D2004" s="312"/>
      <c r="E2004" s="511"/>
      <c r="F2004" s="511"/>
      <c r="G2004" s="232" t="s">
        <v>30011</v>
      </c>
      <c r="H2004" s="232">
        <v>7.87032024E9</v>
      </c>
      <c r="I2004" s="509" t="s">
        <v>25637</v>
      </c>
      <c r="J2004" s="232" t="b">
        <v>0</v>
      </c>
      <c r="K2004" s="312" t="s">
        <v>334</v>
      </c>
      <c r="L2004" s="232" t="s">
        <v>29339</v>
      </c>
      <c r="M2004" s="511"/>
      <c r="N2004" s="312"/>
      <c r="O2004" s="232"/>
      <c r="P2004" s="312"/>
      <c r="Q2004" s="312"/>
      <c r="R2004" s="312"/>
      <c r="S2004" s="312"/>
      <c r="T2004" s="312"/>
      <c r="U2004" s="312"/>
    </row>
    <row r="2005">
      <c r="A2005" s="514" t="s">
        <v>29964</v>
      </c>
      <c r="B2005" s="514" t="s">
        <v>30012</v>
      </c>
      <c r="C2005" s="515" t="s">
        <v>30013</v>
      </c>
      <c r="D2005" s="547"/>
      <c r="E2005" s="517"/>
      <c r="F2005" s="516" t="s">
        <v>30014</v>
      </c>
      <c r="G2005" s="514" t="s">
        <v>30015</v>
      </c>
      <c r="H2005" s="514">
        <v>7.602772827E9</v>
      </c>
      <c r="I2005" s="515" t="s">
        <v>30016</v>
      </c>
      <c r="J2005" s="514" t="b">
        <v>0</v>
      </c>
      <c r="K2005" s="514" t="s">
        <v>22312</v>
      </c>
      <c r="L2005" s="514" t="s">
        <v>30017</v>
      </c>
      <c r="M2005" s="511"/>
      <c r="N2005" s="232"/>
      <c r="O2005" s="232"/>
      <c r="P2005" s="312"/>
      <c r="Q2005" s="312"/>
      <c r="R2005" s="312"/>
      <c r="S2005" s="312"/>
      <c r="T2005" s="312"/>
      <c r="U2005" s="312"/>
    </row>
    <row r="2006">
      <c r="A2006" s="232" t="s">
        <v>29964</v>
      </c>
      <c r="B2006" s="232" t="s">
        <v>30018</v>
      </c>
      <c r="C2006" s="509" t="s">
        <v>30019</v>
      </c>
      <c r="D2006" s="312"/>
      <c r="E2006" s="511"/>
      <c r="F2006" s="511"/>
      <c r="G2006" s="232" t="s">
        <v>30020</v>
      </c>
      <c r="H2006" s="232">
        <v>9.123002218E9</v>
      </c>
      <c r="I2006" s="509" t="s">
        <v>30021</v>
      </c>
      <c r="J2006" s="232" t="b">
        <v>0</v>
      </c>
      <c r="K2006" s="232" t="s">
        <v>22365</v>
      </c>
      <c r="L2006" s="232" t="s">
        <v>30022</v>
      </c>
      <c r="M2006" s="511"/>
      <c r="N2006" s="232"/>
      <c r="O2006" s="232"/>
      <c r="P2006" s="312"/>
      <c r="Q2006" s="312"/>
      <c r="R2006" s="312"/>
      <c r="S2006" s="312"/>
      <c r="T2006" s="312"/>
      <c r="U2006" s="312"/>
    </row>
    <row r="2007">
      <c r="A2007" s="232" t="s">
        <v>29964</v>
      </c>
      <c r="B2007" s="232" t="s">
        <v>30023</v>
      </c>
      <c r="C2007" s="509" t="s">
        <v>30024</v>
      </c>
      <c r="D2007" s="312"/>
      <c r="E2007" s="511"/>
      <c r="F2007" s="510" t="s">
        <v>30025</v>
      </c>
      <c r="G2007" s="232" t="s">
        <v>218</v>
      </c>
      <c r="H2007" s="553">
        <v>8.420176612E9</v>
      </c>
      <c r="I2007" s="509" t="s">
        <v>26796</v>
      </c>
      <c r="J2007" s="232" t="b">
        <v>0</v>
      </c>
      <c r="K2007" s="232" t="s">
        <v>22365</v>
      </c>
      <c r="L2007" s="232" t="s">
        <v>29336</v>
      </c>
      <c r="M2007" s="511"/>
      <c r="N2007" s="232"/>
      <c r="O2007" s="232"/>
      <c r="P2007" s="312"/>
      <c r="Q2007" s="312"/>
      <c r="R2007" s="312"/>
      <c r="S2007" s="312"/>
      <c r="T2007" s="312"/>
      <c r="U2007" s="312"/>
    </row>
    <row r="2008">
      <c r="A2008" s="232" t="s">
        <v>30026</v>
      </c>
      <c r="B2008" s="232" t="s">
        <v>30027</v>
      </c>
      <c r="C2008" s="509" t="s">
        <v>30028</v>
      </c>
      <c r="D2008" s="312"/>
      <c r="E2008" s="510">
        <v>5.0</v>
      </c>
      <c r="F2008" s="510" t="s">
        <v>30029</v>
      </c>
      <c r="G2008" s="232" t="s">
        <v>22564</v>
      </c>
      <c r="H2008" s="232">
        <v>7.666619691E9</v>
      </c>
      <c r="I2008" s="509" t="s">
        <v>26796</v>
      </c>
      <c r="J2008" s="232" t="b">
        <v>0</v>
      </c>
      <c r="K2008" s="312" t="s">
        <v>12092</v>
      </c>
      <c r="L2008" s="232" t="s">
        <v>30030</v>
      </c>
      <c r="M2008" s="511"/>
      <c r="N2008" s="312"/>
      <c r="O2008" s="232"/>
      <c r="P2008" s="312"/>
      <c r="Q2008" s="312"/>
      <c r="R2008" s="312"/>
      <c r="S2008" s="312"/>
      <c r="T2008" s="312"/>
      <c r="U2008" s="312"/>
    </row>
    <row r="2009">
      <c r="A2009" s="232" t="s">
        <v>30026</v>
      </c>
      <c r="B2009" s="232" t="s">
        <v>30031</v>
      </c>
      <c r="C2009" s="509" t="s">
        <v>30032</v>
      </c>
      <c r="D2009" s="312"/>
      <c r="E2009" s="510">
        <v>100.0</v>
      </c>
      <c r="F2009" s="511"/>
      <c r="G2009" s="232" t="s">
        <v>30033</v>
      </c>
      <c r="H2009" s="232">
        <v>7.501801236E9</v>
      </c>
      <c r="I2009" s="509" t="s">
        <v>22373</v>
      </c>
      <c r="J2009" s="232" t="b">
        <v>0</v>
      </c>
      <c r="K2009" s="312" t="s">
        <v>22355</v>
      </c>
      <c r="L2009" s="232" t="s">
        <v>29936</v>
      </c>
      <c r="M2009" s="511"/>
      <c r="N2009" s="312"/>
      <c r="O2009" s="232"/>
      <c r="P2009" s="312"/>
      <c r="Q2009" s="312"/>
      <c r="R2009" s="312"/>
      <c r="S2009" s="312"/>
      <c r="T2009" s="312"/>
      <c r="U2009" s="312"/>
    </row>
    <row r="2010">
      <c r="A2010" s="232" t="s">
        <v>30026</v>
      </c>
      <c r="B2010" s="232" t="s">
        <v>30034</v>
      </c>
      <c r="C2010" s="509" t="s">
        <v>30035</v>
      </c>
      <c r="D2010" s="312"/>
      <c r="E2010" s="511"/>
      <c r="F2010" s="510" t="s">
        <v>30036</v>
      </c>
      <c r="G2010" s="232" t="s">
        <v>131</v>
      </c>
      <c r="H2010" s="232">
        <v>9.954206613E9</v>
      </c>
      <c r="I2010" s="509" t="s">
        <v>27251</v>
      </c>
      <c r="J2010" s="232" t="b">
        <v>0</v>
      </c>
      <c r="K2010" s="232" t="s">
        <v>22365</v>
      </c>
      <c r="L2010" s="232" t="s">
        <v>29336</v>
      </c>
      <c r="M2010" s="511"/>
      <c r="N2010" s="232"/>
      <c r="O2010" s="232"/>
      <c r="P2010" s="312"/>
      <c r="Q2010" s="312"/>
      <c r="R2010" s="312"/>
      <c r="S2010" s="312"/>
      <c r="T2010" s="312"/>
      <c r="U2010" s="312"/>
    </row>
    <row r="2011">
      <c r="A2011" s="232" t="s">
        <v>30026</v>
      </c>
      <c r="B2011" s="232" t="s">
        <v>30037</v>
      </c>
      <c r="C2011" s="509" t="s">
        <v>23070</v>
      </c>
      <c r="D2011" s="312"/>
      <c r="E2011" s="511"/>
      <c r="F2011" s="510" t="s">
        <v>30038</v>
      </c>
      <c r="G2011" s="232" t="s">
        <v>30033</v>
      </c>
      <c r="H2011" s="232">
        <v>7.834800957E9</v>
      </c>
      <c r="I2011" s="509" t="s">
        <v>23871</v>
      </c>
      <c r="J2011" s="232" t="b">
        <v>0</v>
      </c>
      <c r="K2011" s="232" t="s">
        <v>29223</v>
      </c>
      <c r="L2011" s="232" t="s">
        <v>23537</v>
      </c>
      <c r="M2011" s="511"/>
      <c r="N2011" s="232"/>
      <c r="O2011" s="232"/>
      <c r="P2011" s="312"/>
      <c r="Q2011" s="312"/>
      <c r="R2011" s="312"/>
      <c r="S2011" s="312"/>
      <c r="T2011" s="312"/>
      <c r="U2011" s="312"/>
    </row>
    <row r="2012">
      <c r="A2012" s="232" t="s">
        <v>30026</v>
      </c>
      <c r="B2012" s="232" t="s">
        <v>30039</v>
      </c>
      <c r="C2012" s="509" t="s">
        <v>30040</v>
      </c>
      <c r="D2012" s="312"/>
      <c r="E2012" s="511"/>
      <c r="F2012" s="510" t="s">
        <v>30041</v>
      </c>
      <c r="G2012" s="232" t="s">
        <v>30042</v>
      </c>
      <c r="H2012" s="232">
        <v>8.27703225E9</v>
      </c>
      <c r="I2012" s="509" t="s">
        <v>30043</v>
      </c>
      <c r="J2012" s="232" t="b">
        <v>0</v>
      </c>
      <c r="K2012" s="312" t="s">
        <v>334</v>
      </c>
      <c r="L2012" s="232" t="s">
        <v>30044</v>
      </c>
      <c r="M2012" s="511"/>
      <c r="N2012" s="312"/>
      <c r="O2012" s="232"/>
      <c r="P2012" s="312"/>
      <c r="Q2012" s="312"/>
      <c r="R2012" s="312"/>
      <c r="S2012" s="312"/>
      <c r="T2012" s="312"/>
      <c r="U2012" s="312"/>
    </row>
    <row r="2013">
      <c r="A2013" s="232" t="s">
        <v>30026</v>
      </c>
      <c r="B2013" s="232" t="s">
        <v>30045</v>
      </c>
      <c r="C2013" s="509" t="s">
        <v>30046</v>
      </c>
      <c r="D2013" s="312"/>
      <c r="E2013" s="511"/>
      <c r="F2013" s="510" t="s">
        <v>30047</v>
      </c>
      <c r="G2013" s="232" t="s">
        <v>30048</v>
      </c>
      <c r="H2013" s="232">
        <v>7.439438984E9</v>
      </c>
      <c r="I2013" s="554" t="s">
        <v>30049</v>
      </c>
      <c r="J2013" s="232" t="b">
        <v>0</v>
      </c>
      <c r="K2013" s="312" t="s">
        <v>334</v>
      </c>
      <c r="L2013" s="232" t="s">
        <v>30050</v>
      </c>
      <c r="M2013" s="511"/>
      <c r="N2013" s="312"/>
      <c r="O2013" s="232"/>
      <c r="P2013" s="312"/>
      <c r="Q2013" s="312"/>
      <c r="R2013" s="312"/>
      <c r="S2013" s="312"/>
      <c r="T2013" s="312"/>
      <c r="U2013" s="312"/>
    </row>
    <row r="2014">
      <c r="A2014" s="232" t="s">
        <v>30026</v>
      </c>
      <c r="B2014" s="232" t="s">
        <v>30051</v>
      </c>
      <c r="C2014" s="509" t="s">
        <v>30052</v>
      </c>
      <c r="D2014" s="312"/>
      <c r="E2014" s="511"/>
      <c r="F2014" s="511"/>
      <c r="G2014" s="232" t="s">
        <v>23612</v>
      </c>
      <c r="H2014" s="232">
        <v>7.278337202E9</v>
      </c>
      <c r="I2014" s="509" t="s">
        <v>30053</v>
      </c>
      <c r="J2014" s="232" t="b">
        <v>0</v>
      </c>
      <c r="K2014" s="232" t="s">
        <v>22365</v>
      </c>
      <c r="L2014" s="232" t="s">
        <v>29336</v>
      </c>
      <c r="M2014" s="511"/>
      <c r="N2014" s="232"/>
      <c r="O2014" s="232"/>
      <c r="P2014" s="312"/>
      <c r="Q2014" s="312"/>
      <c r="R2014" s="312"/>
      <c r="S2014" s="312"/>
      <c r="T2014" s="312"/>
      <c r="U2014" s="312"/>
    </row>
    <row r="2015">
      <c r="A2015" s="232" t="s">
        <v>30026</v>
      </c>
      <c r="B2015" s="232" t="s">
        <v>30054</v>
      </c>
      <c r="C2015" s="509" t="s">
        <v>30055</v>
      </c>
      <c r="D2015" s="312"/>
      <c r="E2015" s="510">
        <v>1.0</v>
      </c>
      <c r="F2015" s="510" t="s">
        <v>30056</v>
      </c>
      <c r="G2015" s="232" t="s">
        <v>12077</v>
      </c>
      <c r="H2015" s="232">
        <v>8.101496857E9</v>
      </c>
      <c r="I2015" s="554" t="s">
        <v>30057</v>
      </c>
      <c r="J2015" s="425" t="b">
        <v>0</v>
      </c>
      <c r="K2015" s="232" t="s">
        <v>29223</v>
      </c>
      <c r="L2015" s="425" t="s">
        <v>30058</v>
      </c>
      <c r="M2015" s="511"/>
      <c r="N2015" s="232"/>
      <c r="O2015" s="425"/>
      <c r="P2015" s="312"/>
      <c r="Q2015" s="312"/>
      <c r="R2015" s="312"/>
      <c r="S2015" s="312"/>
      <c r="T2015" s="312"/>
      <c r="U2015" s="312"/>
    </row>
    <row r="2016">
      <c r="A2016" s="232" t="s">
        <v>30026</v>
      </c>
      <c r="B2016" s="232" t="s">
        <v>30059</v>
      </c>
      <c r="C2016" s="509" t="s">
        <v>30060</v>
      </c>
      <c r="D2016" s="312"/>
      <c r="E2016" s="511"/>
      <c r="F2016" s="510" t="s">
        <v>30061</v>
      </c>
      <c r="G2016" s="232" t="s">
        <v>8263</v>
      </c>
      <c r="H2016" s="232">
        <v>7.001351245E9</v>
      </c>
      <c r="I2016" s="509" t="s">
        <v>22327</v>
      </c>
      <c r="J2016" s="425" t="b">
        <v>0</v>
      </c>
      <c r="K2016" s="312" t="s">
        <v>28316</v>
      </c>
      <c r="L2016" s="425" t="s">
        <v>30062</v>
      </c>
      <c r="M2016" s="511"/>
      <c r="N2016" s="312"/>
      <c r="O2016" s="425"/>
      <c r="P2016" s="312"/>
      <c r="Q2016" s="312"/>
      <c r="R2016" s="312"/>
      <c r="S2016" s="312"/>
      <c r="T2016" s="312"/>
      <c r="U2016" s="312"/>
    </row>
    <row r="2017">
      <c r="A2017" s="514" t="s">
        <v>30026</v>
      </c>
      <c r="B2017" s="514" t="s">
        <v>30063</v>
      </c>
      <c r="C2017" s="515" t="s">
        <v>30064</v>
      </c>
      <c r="D2017" s="547"/>
      <c r="E2017" s="516">
        <v>10.0</v>
      </c>
      <c r="F2017" s="516" t="s">
        <v>30065</v>
      </c>
      <c r="G2017" s="514" t="s">
        <v>30066</v>
      </c>
      <c r="H2017" s="514">
        <v>9.943183241E9</v>
      </c>
      <c r="I2017" s="515" t="s">
        <v>22727</v>
      </c>
      <c r="J2017" s="514" t="b">
        <v>0</v>
      </c>
      <c r="K2017" s="514" t="s">
        <v>22312</v>
      </c>
      <c r="L2017" s="518" t="s">
        <v>30067</v>
      </c>
      <c r="M2017" s="511"/>
      <c r="N2017" s="312"/>
      <c r="O2017" s="232"/>
      <c r="P2017" s="312"/>
      <c r="Q2017" s="312"/>
      <c r="R2017" s="312"/>
      <c r="S2017" s="312"/>
      <c r="T2017" s="312"/>
      <c r="U2017" s="312"/>
    </row>
    <row r="2018">
      <c r="A2018" s="232" t="s">
        <v>30026</v>
      </c>
      <c r="B2018" s="232" t="s">
        <v>30068</v>
      </c>
      <c r="C2018" s="509" t="s">
        <v>30069</v>
      </c>
      <c r="D2018" s="312"/>
      <c r="E2018" s="511"/>
      <c r="F2018" s="510" t="s">
        <v>30070</v>
      </c>
      <c r="G2018" s="232" t="s">
        <v>44</v>
      </c>
      <c r="H2018" s="232">
        <v>7.003723426E9</v>
      </c>
      <c r="I2018" s="509" t="s">
        <v>30071</v>
      </c>
      <c r="J2018" s="232" t="b">
        <v>0</v>
      </c>
      <c r="K2018" s="312" t="s">
        <v>12092</v>
      </c>
      <c r="L2018" s="232" t="s">
        <v>30072</v>
      </c>
      <c r="M2018" s="511"/>
      <c r="N2018" s="312"/>
      <c r="O2018" s="232"/>
      <c r="P2018" s="312"/>
      <c r="Q2018" s="312"/>
      <c r="R2018" s="312"/>
      <c r="S2018" s="312"/>
      <c r="T2018" s="312"/>
      <c r="U2018" s="312"/>
    </row>
    <row r="2019">
      <c r="A2019" s="232" t="s">
        <v>30026</v>
      </c>
      <c r="B2019" s="232" t="s">
        <v>30073</v>
      </c>
      <c r="C2019" s="509" t="s">
        <v>30074</v>
      </c>
      <c r="D2019" s="312"/>
      <c r="E2019" s="511"/>
      <c r="F2019" s="510" t="s">
        <v>30075</v>
      </c>
      <c r="G2019" s="232" t="s">
        <v>28879</v>
      </c>
      <c r="H2019" s="232">
        <v>7.908092958E9</v>
      </c>
      <c r="I2019" s="509" t="s">
        <v>30076</v>
      </c>
      <c r="J2019" s="232" t="b">
        <v>0</v>
      </c>
      <c r="K2019" s="312" t="s">
        <v>334</v>
      </c>
      <c r="L2019" s="232" t="s">
        <v>30077</v>
      </c>
      <c r="M2019" s="511"/>
      <c r="N2019" s="312"/>
      <c r="O2019" s="232"/>
      <c r="P2019" s="312"/>
      <c r="Q2019" s="312"/>
      <c r="R2019" s="312"/>
      <c r="S2019" s="312"/>
      <c r="T2019" s="312"/>
      <c r="U2019" s="312"/>
    </row>
    <row r="2020">
      <c r="A2020" s="232" t="s">
        <v>30078</v>
      </c>
      <c r="B2020" s="232" t="s">
        <v>30079</v>
      </c>
      <c r="C2020" s="509" t="s">
        <v>30080</v>
      </c>
      <c r="D2020" s="312"/>
      <c r="E2020" s="511"/>
      <c r="F2020" s="510" t="s">
        <v>30081</v>
      </c>
      <c r="G2020" s="232" t="s">
        <v>30082</v>
      </c>
      <c r="H2020" s="232">
        <v>9.355241793E9</v>
      </c>
      <c r="I2020" s="509" t="s">
        <v>30083</v>
      </c>
      <c r="J2020" s="232" t="b">
        <v>0</v>
      </c>
      <c r="K2020" s="312" t="s">
        <v>22355</v>
      </c>
      <c r="L2020" s="232" t="s">
        <v>29936</v>
      </c>
      <c r="M2020" s="511"/>
      <c r="N2020" s="312"/>
      <c r="O2020" s="232"/>
      <c r="P2020" s="312"/>
      <c r="Q2020" s="312"/>
      <c r="R2020" s="312"/>
      <c r="S2020" s="312"/>
      <c r="T2020" s="312"/>
      <c r="U2020" s="312"/>
    </row>
    <row r="2021">
      <c r="A2021" s="232" t="s">
        <v>30078</v>
      </c>
      <c r="B2021" s="232" t="s">
        <v>30084</v>
      </c>
      <c r="C2021" s="509" t="s">
        <v>23720</v>
      </c>
      <c r="D2021" s="312"/>
      <c r="E2021" s="511"/>
      <c r="F2021" s="511"/>
      <c r="G2021" s="232" t="s">
        <v>519</v>
      </c>
      <c r="H2021" s="232">
        <v>8.980291968E9</v>
      </c>
      <c r="I2021" s="509" t="s">
        <v>23761</v>
      </c>
      <c r="J2021" s="232" t="b">
        <v>0</v>
      </c>
      <c r="K2021" s="312" t="s">
        <v>334</v>
      </c>
      <c r="L2021" s="232" t="s">
        <v>29339</v>
      </c>
      <c r="M2021" s="511"/>
      <c r="N2021" s="312"/>
      <c r="O2021" s="232"/>
      <c r="P2021" s="312"/>
      <c r="Q2021" s="312"/>
      <c r="R2021" s="312"/>
      <c r="S2021" s="312"/>
      <c r="T2021" s="312"/>
      <c r="U2021" s="312"/>
    </row>
    <row r="2022">
      <c r="A2022" s="232" t="s">
        <v>30078</v>
      </c>
      <c r="B2022" s="232" t="s">
        <v>30085</v>
      </c>
      <c r="C2022" s="509" t="s">
        <v>30086</v>
      </c>
      <c r="D2022" s="312"/>
      <c r="E2022" s="511"/>
      <c r="F2022" s="510" t="s">
        <v>30087</v>
      </c>
      <c r="G2022" s="232" t="s">
        <v>507</v>
      </c>
      <c r="H2022" s="232">
        <v>-8.390523347E9</v>
      </c>
      <c r="I2022" s="509" t="s">
        <v>25064</v>
      </c>
      <c r="J2022" s="232" t="b">
        <v>0</v>
      </c>
      <c r="K2022" s="232" t="s">
        <v>22365</v>
      </c>
      <c r="L2022" s="232" t="s">
        <v>29336</v>
      </c>
      <c r="M2022" s="511"/>
      <c r="N2022" s="232"/>
      <c r="O2022" s="232"/>
      <c r="P2022" s="312"/>
      <c r="Q2022" s="312"/>
      <c r="R2022" s="312"/>
      <c r="S2022" s="312"/>
      <c r="T2022" s="312"/>
      <c r="U2022" s="312"/>
    </row>
    <row r="2023">
      <c r="A2023" s="232" t="s">
        <v>30078</v>
      </c>
      <c r="B2023" s="232" t="s">
        <v>30088</v>
      </c>
      <c r="C2023" s="509" t="s">
        <v>30089</v>
      </c>
      <c r="D2023" s="312"/>
      <c r="E2023" s="511"/>
      <c r="F2023" s="511"/>
      <c r="G2023" s="232" t="s">
        <v>25699</v>
      </c>
      <c r="H2023" s="232">
        <v>8.275843801E9</v>
      </c>
      <c r="I2023" s="509" t="s">
        <v>26796</v>
      </c>
      <c r="J2023" s="232" t="b">
        <v>0</v>
      </c>
      <c r="K2023" s="312"/>
      <c r="L2023" s="232" t="s">
        <v>30090</v>
      </c>
      <c r="M2023" s="511"/>
      <c r="N2023" s="312"/>
      <c r="O2023" s="232"/>
      <c r="P2023" s="312"/>
      <c r="Q2023" s="312"/>
      <c r="R2023" s="312"/>
      <c r="S2023" s="312"/>
      <c r="T2023" s="312"/>
      <c r="U2023" s="312"/>
    </row>
    <row r="2024">
      <c r="A2024" s="232" t="s">
        <v>30091</v>
      </c>
      <c r="B2024" s="232" t="s">
        <v>30092</v>
      </c>
      <c r="C2024" s="509" t="s">
        <v>30093</v>
      </c>
      <c r="D2024" s="312"/>
      <c r="E2024" s="511"/>
      <c r="F2024" s="510" t="s">
        <v>30094</v>
      </c>
      <c r="G2024" s="312"/>
      <c r="H2024" s="232">
        <v>-8.200919497E9</v>
      </c>
      <c r="I2024" s="509" t="s">
        <v>30095</v>
      </c>
      <c r="J2024" s="232" t="b">
        <v>0</v>
      </c>
      <c r="K2024" s="312" t="s">
        <v>22355</v>
      </c>
      <c r="L2024" s="232" t="s">
        <v>28496</v>
      </c>
      <c r="M2024" s="511"/>
      <c r="N2024" s="312"/>
      <c r="O2024" s="232"/>
      <c r="P2024" s="312"/>
      <c r="Q2024" s="312"/>
      <c r="R2024" s="312"/>
      <c r="S2024" s="312"/>
      <c r="T2024" s="312"/>
      <c r="U2024" s="312"/>
    </row>
    <row r="2025">
      <c r="A2025" s="232" t="s">
        <v>30091</v>
      </c>
      <c r="B2025" s="232" t="s">
        <v>30096</v>
      </c>
      <c r="C2025" s="509" t="s">
        <v>30097</v>
      </c>
      <c r="D2025" s="312"/>
      <c r="E2025" s="511"/>
      <c r="F2025" s="511"/>
      <c r="G2025" s="232" t="s">
        <v>24601</v>
      </c>
      <c r="H2025" s="232">
        <v>9.431420018E9</v>
      </c>
      <c r="I2025" s="509" t="s">
        <v>22698</v>
      </c>
      <c r="J2025" s="232" t="b">
        <v>0</v>
      </c>
      <c r="K2025" s="232" t="s">
        <v>22365</v>
      </c>
      <c r="L2025" s="232" t="s">
        <v>30098</v>
      </c>
      <c r="M2025" s="511"/>
      <c r="N2025" s="232"/>
      <c r="O2025" s="232"/>
      <c r="P2025" s="312"/>
      <c r="Q2025" s="312"/>
      <c r="R2025" s="312"/>
      <c r="S2025" s="312"/>
      <c r="T2025" s="312"/>
      <c r="U2025" s="312"/>
    </row>
    <row r="2026">
      <c r="A2026" s="232" t="s">
        <v>30091</v>
      </c>
      <c r="B2026" s="232" t="s">
        <v>30099</v>
      </c>
      <c r="C2026" s="509" t="s">
        <v>30100</v>
      </c>
      <c r="D2026" s="312"/>
      <c r="E2026" s="511"/>
      <c r="F2026" s="510" t="s">
        <v>30101</v>
      </c>
      <c r="G2026" s="232" t="s">
        <v>22803</v>
      </c>
      <c r="H2026" s="232">
        <v>-7.093195304E9</v>
      </c>
      <c r="I2026" s="509" t="s">
        <v>22857</v>
      </c>
      <c r="J2026" s="232" t="b">
        <v>0</v>
      </c>
      <c r="K2026" s="312" t="s">
        <v>334</v>
      </c>
      <c r="L2026" s="232" t="s">
        <v>29850</v>
      </c>
      <c r="M2026" s="511"/>
      <c r="N2026" s="312"/>
      <c r="O2026" s="232"/>
      <c r="P2026" s="312"/>
      <c r="Q2026" s="312"/>
      <c r="R2026" s="312"/>
      <c r="S2026" s="312"/>
      <c r="T2026" s="312"/>
      <c r="U2026" s="312"/>
    </row>
    <row r="2027">
      <c r="A2027" s="232" t="s">
        <v>30091</v>
      </c>
      <c r="B2027" s="232" t="s">
        <v>30102</v>
      </c>
      <c r="C2027" s="509" t="s">
        <v>30103</v>
      </c>
      <c r="D2027" s="312"/>
      <c r="E2027" s="511"/>
      <c r="F2027" s="510" t="s">
        <v>30104</v>
      </c>
      <c r="G2027" s="232" t="s">
        <v>22960</v>
      </c>
      <c r="H2027" s="232">
        <v>-8.825824809E9</v>
      </c>
      <c r="I2027" s="509" t="s">
        <v>27251</v>
      </c>
      <c r="J2027" s="232" t="b">
        <v>0</v>
      </c>
      <c r="K2027" s="312" t="s">
        <v>22349</v>
      </c>
      <c r="L2027" s="232" t="s">
        <v>29235</v>
      </c>
      <c r="M2027" s="511"/>
      <c r="N2027" s="312"/>
      <c r="O2027" s="232"/>
      <c r="P2027" s="312"/>
      <c r="Q2027" s="312"/>
      <c r="R2027" s="312"/>
      <c r="S2027" s="312"/>
      <c r="T2027" s="312"/>
      <c r="U2027" s="312"/>
    </row>
    <row r="2028">
      <c r="A2028" s="232" t="s">
        <v>30091</v>
      </c>
      <c r="B2028" s="232" t="s">
        <v>30105</v>
      </c>
      <c r="C2028" s="509" t="s">
        <v>30106</v>
      </c>
      <c r="D2028" s="312"/>
      <c r="E2028" s="511"/>
      <c r="F2028" s="510" t="s">
        <v>30107</v>
      </c>
      <c r="G2028" s="232" t="s">
        <v>44</v>
      </c>
      <c r="H2028" s="232">
        <v>8.972694625E9</v>
      </c>
      <c r="I2028" s="509" t="s">
        <v>22715</v>
      </c>
      <c r="J2028" s="232" t="b">
        <v>0</v>
      </c>
      <c r="K2028" s="232" t="s">
        <v>22365</v>
      </c>
      <c r="L2028" s="232" t="s">
        <v>30108</v>
      </c>
      <c r="M2028" s="511"/>
      <c r="N2028" s="232"/>
      <c r="O2028" s="232"/>
      <c r="P2028" s="312"/>
      <c r="Q2028" s="312"/>
      <c r="R2028" s="312"/>
      <c r="S2028" s="312"/>
      <c r="T2028" s="312"/>
      <c r="U2028" s="312"/>
    </row>
    <row r="2029">
      <c r="A2029" s="232" t="s">
        <v>30109</v>
      </c>
      <c r="B2029" s="232" t="s">
        <v>30110</v>
      </c>
      <c r="C2029" s="509" t="s">
        <v>27369</v>
      </c>
      <c r="D2029" s="312"/>
      <c r="E2029" s="511"/>
      <c r="F2029" s="511"/>
      <c r="G2029" s="312"/>
      <c r="H2029" s="232">
        <v>9.152794498E9</v>
      </c>
      <c r="I2029" s="509" t="s">
        <v>22570</v>
      </c>
      <c r="J2029" s="232" t="b">
        <v>0</v>
      </c>
      <c r="K2029" s="312" t="s">
        <v>12092</v>
      </c>
      <c r="L2029" s="232" t="s">
        <v>30072</v>
      </c>
      <c r="M2029" s="511"/>
      <c r="N2029" s="312"/>
      <c r="O2029" s="232"/>
      <c r="P2029" s="312"/>
      <c r="Q2029" s="312"/>
      <c r="R2029" s="312"/>
      <c r="S2029" s="312"/>
      <c r="T2029" s="312"/>
      <c r="U2029" s="312"/>
    </row>
    <row r="2030">
      <c r="A2030" s="232" t="s">
        <v>30109</v>
      </c>
      <c r="B2030" s="232" t="s">
        <v>30111</v>
      </c>
      <c r="C2030" s="509" t="s">
        <v>30112</v>
      </c>
      <c r="D2030" s="312"/>
      <c r="E2030" s="511"/>
      <c r="F2030" s="510" t="s">
        <v>30113</v>
      </c>
      <c r="G2030" s="232" t="s">
        <v>22564</v>
      </c>
      <c r="H2030" s="232">
        <v>9.326511681E9</v>
      </c>
      <c r="I2030" s="509" t="s">
        <v>30114</v>
      </c>
      <c r="J2030" s="232" t="b">
        <v>0</v>
      </c>
      <c r="K2030" s="232" t="s">
        <v>22365</v>
      </c>
      <c r="L2030" s="232" t="s">
        <v>30115</v>
      </c>
      <c r="M2030" s="511"/>
      <c r="N2030" s="232"/>
      <c r="O2030" s="232"/>
      <c r="P2030" s="312"/>
      <c r="Q2030" s="312"/>
      <c r="R2030" s="312"/>
      <c r="S2030" s="312"/>
      <c r="T2030" s="312"/>
      <c r="U2030" s="312"/>
    </row>
    <row r="2031">
      <c r="A2031" s="232" t="s">
        <v>30109</v>
      </c>
      <c r="B2031" s="232" t="s">
        <v>30116</v>
      </c>
      <c r="C2031" s="509" t="s">
        <v>30117</v>
      </c>
      <c r="D2031" s="312"/>
      <c r="E2031" s="511"/>
      <c r="F2031" s="510" t="s">
        <v>30118</v>
      </c>
      <c r="G2031" s="232" t="s">
        <v>495</v>
      </c>
      <c r="H2031" s="232">
        <v>8.757430111E9</v>
      </c>
      <c r="I2031" s="509" t="s">
        <v>30119</v>
      </c>
      <c r="J2031" s="232" t="b">
        <v>0</v>
      </c>
      <c r="K2031" s="232" t="s">
        <v>22365</v>
      </c>
      <c r="L2031" s="232" t="s">
        <v>30120</v>
      </c>
      <c r="M2031" s="511"/>
      <c r="N2031" s="232"/>
      <c r="O2031" s="232"/>
      <c r="P2031" s="312"/>
      <c r="Q2031" s="312"/>
      <c r="R2031" s="312"/>
      <c r="S2031" s="312"/>
      <c r="T2031" s="312"/>
      <c r="U2031" s="312"/>
    </row>
    <row r="2032">
      <c r="A2032" s="232" t="s">
        <v>30109</v>
      </c>
      <c r="B2032" s="232" t="s">
        <v>30121</v>
      </c>
      <c r="C2032" s="509" t="s">
        <v>30122</v>
      </c>
      <c r="D2032" s="312"/>
      <c r="E2032" s="511"/>
      <c r="F2032" s="511"/>
      <c r="G2032" s="232" t="s">
        <v>30123</v>
      </c>
      <c r="H2032" s="232">
        <v>9.153164897E9</v>
      </c>
      <c r="I2032" s="509" t="s">
        <v>22343</v>
      </c>
      <c r="J2032" s="232" t="b">
        <v>0</v>
      </c>
      <c r="K2032" s="232" t="s">
        <v>29223</v>
      </c>
      <c r="L2032" s="232" t="s">
        <v>23537</v>
      </c>
      <c r="M2032" s="511"/>
      <c r="N2032" s="232"/>
      <c r="O2032" s="232"/>
      <c r="P2032" s="312"/>
      <c r="Q2032" s="312"/>
      <c r="R2032" s="312"/>
      <c r="S2032" s="312"/>
      <c r="T2032" s="312"/>
      <c r="U2032" s="312"/>
    </row>
    <row r="2033">
      <c r="A2033" s="232" t="s">
        <v>30109</v>
      </c>
      <c r="B2033" s="232" t="s">
        <v>30124</v>
      </c>
      <c r="C2033" s="509" t="s">
        <v>30125</v>
      </c>
      <c r="D2033" s="312"/>
      <c r="E2033" s="510">
        <v>2.0</v>
      </c>
      <c r="F2033" s="510" t="s">
        <v>30126</v>
      </c>
      <c r="G2033" s="232" t="s">
        <v>495</v>
      </c>
      <c r="H2033" s="232">
        <v>-8.279711473E9</v>
      </c>
      <c r="I2033" s="509" t="s">
        <v>22364</v>
      </c>
      <c r="J2033" s="232" t="b">
        <v>0</v>
      </c>
      <c r="K2033" s="312" t="s">
        <v>334</v>
      </c>
      <c r="L2033" s="232" t="s">
        <v>29850</v>
      </c>
      <c r="M2033" s="511"/>
      <c r="N2033" s="312"/>
      <c r="O2033" s="232"/>
      <c r="P2033" s="312"/>
      <c r="Q2033" s="312"/>
      <c r="R2033" s="312"/>
      <c r="S2033" s="312"/>
      <c r="T2033" s="312"/>
      <c r="U2033" s="312"/>
    </row>
    <row r="2034">
      <c r="A2034" s="232" t="s">
        <v>30109</v>
      </c>
      <c r="B2034" s="232" t="s">
        <v>30127</v>
      </c>
      <c r="C2034" s="509" t="s">
        <v>408</v>
      </c>
      <c r="D2034" s="312"/>
      <c r="E2034" s="511"/>
      <c r="F2034" s="510" t="s">
        <v>30128</v>
      </c>
      <c r="G2034" s="232" t="s">
        <v>495</v>
      </c>
      <c r="H2034" s="232">
        <v>-7.462807874E9</v>
      </c>
      <c r="I2034" s="509" t="s">
        <v>30129</v>
      </c>
      <c r="J2034" s="232" t="b">
        <v>0</v>
      </c>
      <c r="K2034" s="312"/>
      <c r="L2034" s="232" t="s">
        <v>30130</v>
      </c>
      <c r="M2034" s="511"/>
      <c r="N2034" s="312"/>
      <c r="O2034" s="232"/>
      <c r="P2034" s="312"/>
      <c r="Q2034" s="312"/>
      <c r="R2034" s="312"/>
      <c r="S2034" s="312"/>
      <c r="T2034" s="312"/>
      <c r="U2034" s="312"/>
    </row>
    <row r="2035">
      <c r="A2035" s="232" t="s">
        <v>30109</v>
      </c>
      <c r="B2035" s="232" t="s">
        <v>30131</v>
      </c>
      <c r="C2035" s="509" t="s">
        <v>30132</v>
      </c>
      <c r="D2035" s="312"/>
      <c r="E2035" s="510">
        <v>25.0</v>
      </c>
      <c r="F2035" s="510" t="s">
        <v>30133</v>
      </c>
      <c r="G2035" s="232" t="s">
        <v>22564</v>
      </c>
      <c r="H2035" s="232">
        <v>-8.08726961E9</v>
      </c>
      <c r="I2035" s="509" t="s">
        <v>30134</v>
      </c>
      <c r="J2035" s="232" t="b">
        <v>0</v>
      </c>
      <c r="K2035" s="232" t="s">
        <v>22365</v>
      </c>
      <c r="L2035" s="232" t="s">
        <v>29336</v>
      </c>
      <c r="M2035" s="511"/>
      <c r="N2035" s="232"/>
      <c r="O2035" s="232"/>
      <c r="P2035" s="312"/>
      <c r="Q2035" s="312"/>
      <c r="R2035" s="312"/>
      <c r="S2035" s="312"/>
      <c r="T2035" s="312"/>
      <c r="U2035" s="312"/>
    </row>
    <row r="2036">
      <c r="A2036" s="232" t="s">
        <v>30109</v>
      </c>
      <c r="B2036" s="232" t="s">
        <v>30135</v>
      </c>
      <c r="C2036" s="509" t="s">
        <v>30136</v>
      </c>
      <c r="D2036" s="312"/>
      <c r="E2036" s="511"/>
      <c r="F2036" s="510" t="s">
        <v>30137</v>
      </c>
      <c r="G2036" s="232" t="s">
        <v>24452</v>
      </c>
      <c r="H2036" s="232">
        <v>-9.990221199E9</v>
      </c>
      <c r="I2036" s="509" t="s">
        <v>30138</v>
      </c>
      <c r="J2036" s="232" t="b">
        <v>0</v>
      </c>
      <c r="K2036" s="312" t="s">
        <v>12092</v>
      </c>
      <c r="L2036" s="232" t="s">
        <v>30072</v>
      </c>
      <c r="M2036" s="511"/>
      <c r="N2036" s="312"/>
      <c r="O2036" s="232"/>
      <c r="P2036" s="312"/>
      <c r="Q2036" s="312"/>
      <c r="R2036" s="312"/>
      <c r="S2036" s="312"/>
      <c r="T2036" s="312"/>
      <c r="U2036" s="312"/>
    </row>
    <row r="2037">
      <c r="A2037" s="232" t="s">
        <v>30109</v>
      </c>
      <c r="B2037" s="232" t="s">
        <v>30139</v>
      </c>
      <c r="C2037" s="509" t="s">
        <v>30140</v>
      </c>
      <c r="D2037" s="312"/>
      <c r="E2037" s="511"/>
      <c r="F2037" s="510" t="s">
        <v>30141</v>
      </c>
      <c r="G2037" s="232" t="s">
        <v>2882</v>
      </c>
      <c r="H2037" s="232">
        <v>-9.050190333E9</v>
      </c>
      <c r="I2037" s="509" t="s">
        <v>22373</v>
      </c>
      <c r="J2037" s="232" t="b">
        <v>0</v>
      </c>
      <c r="K2037" s="312" t="s">
        <v>22355</v>
      </c>
      <c r="L2037" s="232" t="s">
        <v>29597</v>
      </c>
      <c r="M2037" s="511"/>
      <c r="N2037" s="312"/>
      <c r="O2037" s="232"/>
      <c r="P2037" s="312"/>
      <c r="Q2037" s="312"/>
      <c r="R2037" s="312"/>
      <c r="S2037" s="312"/>
      <c r="T2037" s="312"/>
      <c r="U2037" s="312"/>
    </row>
    <row r="2038">
      <c r="A2038" s="232" t="s">
        <v>30109</v>
      </c>
      <c r="B2038" s="232" t="s">
        <v>30142</v>
      </c>
      <c r="C2038" s="509" t="s">
        <v>30143</v>
      </c>
      <c r="D2038" s="312"/>
      <c r="E2038" s="511"/>
      <c r="F2038" s="510" t="s">
        <v>30144</v>
      </c>
      <c r="G2038" s="232" t="s">
        <v>184</v>
      </c>
      <c r="H2038" s="232">
        <v>-7.091144933E9</v>
      </c>
      <c r="I2038" s="509" t="s">
        <v>29764</v>
      </c>
      <c r="J2038" s="232" t="b">
        <v>0</v>
      </c>
      <c r="K2038" s="312" t="s">
        <v>12092</v>
      </c>
      <c r="L2038" s="232" t="s">
        <v>30072</v>
      </c>
      <c r="M2038" s="511"/>
      <c r="N2038" s="312"/>
      <c r="O2038" s="232"/>
      <c r="P2038" s="312"/>
      <c r="Q2038" s="312"/>
      <c r="R2038" s="312"/>
      <c r="S2038" s="312"/>
      <c r="T2038" s="312"/>
      <c r="U2038" s="312"/>
    </row>
    <row r="2039">
      <c r="A2039" s="232" t="s">
        <v>30109</v>
      </c>
      <c r="B2039" s="232" t="s">
        <v>30145</v>
      </c>
      <c r="C2039" s="509" t="s">
        <v>30146</v>
      </c>
      <c r="D2039" s="312"/>
      <c r="E2039" s="511"/>
      <c r="F2039" s="510" t="s">
        <v>30147</v>
      </c>
      <c r="G2039" s="232" t="s">
        <v>2662</v>
      </c>
      <c r="H2039" s="232">
        <v>9.585062669E9</v>
      </c>
      <c r="I2039" s="509" t="s">
        <v>30148</v>
      </c>
      <c r="J2039" s="232" t="b">
        <v>0</v>
      </c>
      <c r="K2039" s="312" t="s">
        <v>22349</v>
      </c>
      <c r="L2039" s="232" t="s">
        <v>29235</v>
      </c>
      <c r="M2039" s="511"/>
      <c r="N2039" s="312"/>
      <c r="O2039" s="232"/>
      <c r="P2039" s="312"/>
      <c r="Q2039" s="312"/>
      <c r="R2039" s="312"/>
      <c r="S2039" s="312"/>
      <c r="T2039" s="312"/>
      <c r="U2039" s="312"/>
    </row>
    <row r="2040">
      <c r="A2040" s="232" t="s">
        <v>30109</v>
      </c>
      <c r="B2040" s="232" t="s">
        <v>30149</v>
      </c>
      <c r="C2040" s="509" t="s">
        <v>29553</v>
      </c>
      <c r="D2040" s="312"/>
      <c r="E2040" s="511"/>
      <c r="F2040" s="510" t="s">
        <v>30150</v>
      </c>
      <c r="G2040" s="232" t="s">
        <v>507</v>
      </c>
      <c r="H2040" s="232">
        <v>-9.096149976E9</v>
      </c>
      <c r="I2040" s="509" t="s">
        <v>30151</v>
      </c>
      <c r="J2040" s="232" t="b">
        <v>0</v>
      </c>
      <c r="K2040" s="312" t="s">
        <v>334</v>
      </c>
      <c r="L2040" s="232" t="s">
        <v>29339</v>
      </c>
      <c r="M2040" s="511"/>
      <c r="N2040" s="312"/>
      <c r="O2040" s="232"/>
      <c r="P2040" s="312"/>
      <c r="Q2040" s="312"/>
      <c r="R2040" s="312"/>
      <c r="S2040" s="312"/>
      <c r="T2040" s="312"/>
      <c r="U2040" s="312"/>
    </row>
    <row r="2041">
      <c r="A2041" s="232" t="s">
        <v>30109</v>
      </c>
      <c r="B2041" s="232" t="s">
        <v>30152</v>
      </c>
      <c r="C2041" s="509" t="s">
        <v>30153</v>
      </c>
      <c r="D2041" s="312"/>
      <c r="E2041" s="511"/>
      <c r="F2041" s="511"/>
      <c r="G2041" s="232" t="s">
        <v>507</v>
      </c>
      <c r="H2041" s="232">
        <v>8.689928573E9</v>
      </c>
      <c r="I2041" s="509" t="s">
        <v>22364</v>
      </c>
      <c r="J2041" s="232" t="b">
        <v>0</v>
      </c>
      <c r="K2041" s="312" t="s">
        <v>334</v>
      </c>
      <c r="L2041" s="232" t="s">
        <v>29339</v>
      </c>
      <c r="M2041" s="511"/>
      <c r="N2041" s="312"/>
      <c r="O2041" s="232"/>
      <c r="P2041" s="312"/>
      <c r="Q2041" s="312"/>
      <c r="R2041" s="312"/>
      <c r="S2041" s="312"/>
      <c r="T2041" s="312"/>
      <c r="U2041" s="312"/>
    </row>
    <row r="2042">
      <c r="A2042" s="232" t="s">
        <v>30109</v>
      </c>
      <c r="B2042" s="232" t="s">
        <v>30154</v>
      </c>
      <c r="C2042" s="509" t="s">
        <v>30155</v>
      </c>
      <c r="D2042" s="312"/>
      <c r="E2042" s="511"/>
      <c r="F2042" s="510" t="s">
        <v>30156</v>
      </c>
      <c r="G2042" s="232" t="s">
        <v>1006</v>
      </c>
      <c r="H2042" s="232">
        <v>9.7607567E9</v>
      </c>
      <c r="I2042" s="509" t="s">
        <v>30157</v>
      </c>
      <c r="J2042" s="232" t="b">
        <v>0</v>
      </c>
      <c r="K2042" s="312" t="s">
        <v>334</v>
      </c>
      <c r="L2042" s="232" t="s">
        <v>29339</v>
      </c>
      <c r="M2042" s="511"/>
      <c r="N2042" s="312"/>
      <c r="O2042" s="232"/>
      <c r="P2042" s="312"/>
      <c r="Q2042" s="312"/>
      <c r="R2042" s="312"/>
      <c r="S2042" s="312"/>
      <c r="T2042" s="312"/>
      <c r="U2042" s="312"/>
    </row>
    <row r="2043">
      <c r="A2043" s="232" t="s">
        <v>30109</v>
      </c>
      <c r="B2043" s="232" t="s">
        <v>30158</v>
      </c>
      <c r="C2043" s="509" t="s">
        <v>30159</v>
      </c>
      <c r="D2043" s="312"/>
      <c r="E2043" s="511"/>
      <c r="F2043" s="510" t="s">
        <v>30160</v>
      </c>
      <c r="G2043" s="232" t="s">
        <v>23906</v>
      </c>
      <c r="H2043" s="232">
        <v>9.789786229E9</v>
      </c>
      <c r="I2043" s="509" t="s">
        <v>27439</v>
      </c>
      <c r="J2043" s="232" t="b">
        <v>0</v>
      </c>
      <c r="K2043" s="312" t="s">
        <v>12092</v>
      </c>
      <c r="L2043" s="232" t="s">
        <v>30072</v>
      </c>
      <c r="M2043" s="511"/>
      <c r="N2043" s="312"/>
      <c r="O2043" s="232"/>
      <c r="P2043" s="312"/>
      <c r="Q2043" s="312"/>
      <c r="R2043" s="312"/>
      <c r="S2043" s="312"/>
      <c r="T2043" s="312"/>
      <c r="U2043" s="312"/>
    </row>
    <row r="2044">
      <c r="A2044" s="232" t="s">
        <v>30109</v>
      </c>
      <c r="B2044" s="232" t="s">
        <v>30161</v>
      </c>
      <c r="C2044" s="509" t="s">
        <v>30162</v>
      </c>
      <c r="D2044" s="312"/>
      <c r="E2044" s="511"/>
      <c r="F2044" s="510" t="s">
        <v>30163</v>
      </c>
      <c r="G2044" s="232" t="s">
        <v>472</v>
      </c>
      <c r="H2044" s="232">
        <v>9.126718224E9</v>
      </c>
      <c r="I2044" s="509" t="s">
        <v>30164</v>
      </c>
      <c r="J2044" s="232" t="b">
        <v>0</v>
      </c>
      <c r="K2044" s="232" t="s">
        <v>22365</v>
      </c>
      <c r="L2044" s="232" t="s">
        <v>29336</v>
      </c>
      <c r="M2044" s="511"/>
      <c r="N2044" s="232"/>
      <c r="O2044" s="232"/>
      <c r="P2044" s="312"/>
      <c r="Q2044" s="312"/>
      <c r="R2044" s="312"/>
      <c r="S2044" s="312"/>
      <c r="T2044" s="312"/>
      <c r="U2044" s="312"/>
    </row>
    <row r="2045">
      <c r="A2045" s="232" t="s">
        <v>30165</v>
      </c>
      <c r="B2045" s="232" t="s">
        <v>30166</v>
      </c>
      <c r="C2045" s="509" t="s">
        <v>30167</v>
      </c>
      <c r="D2045" s="312"/>
      <c r="E2045" s="511"/>
      <c r="F2045" s="511"/>
      <c r="G2045" s="232" t="s">
        <v>30168</v>
      </c>
      <c r="H2045" s="232">
        <v>7.001446205E9</v>
      </c>
      <c r="I2045" s="509" t="s">
        <v>30169</v>
      </c>
      <c r="J2045" s="232" t="b">
        <v>0</v>
      </c>
      <c r="K2045" s="232" t="s">
        <v>22365</v>
      </c>
      <c r="L2045" s="232" t="s">
        <v>30170</v>
      </c>
      <c r="M2045" s="511"/>
      <c r="N2045" s="232"/>
      <c r="O2045" s="232"/>
      <c r="P2045" s="312"/>
      <c r="Q2045" s="312"/>
      <c r="R2045" s="312"/>
      <c r="S2045" s="312"/>
      <c r="T2045" s="312"/>
      <c r="U2045" s="312"/>
    </row>
    <row r="2046">
      <c r="A2046" s="232" t="s">
        <v>30165</v>
      </c>
      <c r="B2046" s="232" t="s">
        <v>30171</v>
      </c>
      <c r="C2046" s="509" t="s">
        <v>30172</v>
      </c>
      <c r="D2046" s="312"/>
      <c r="E2046" s="511"/>
      <c r="F2046" s="511"/>
      <c r="G2046" s="312"/>
      <c r="H2046" s="232">
        <v>9.674948707E9</v>
      </c>
      <c r="I2046" s="509" t="s">
        <v>28056</v>
      </c>
      <c r="J2046" s="232" t="b">
        <v>0</v>
      </c>
      <c r="K2046" s="312" t="s">
        <v>334</v>
      </c>
      <c r="L2046" s="232" t="s">
        <v>30173</v>
      </c>
      <c r="M2046" s="511"/>
      <c r="N2046" s="312"/>
      <c r="O2046" s="232"/>
      <c r="P2046" s="312"/>
      <c r="Q2046" s="312"/>
      <c r="R2046" s="312"/>
      <c r="S2046" s="312"/>
      <c r="T2046" s="312"/>
      <c r="U2046" s="312"/>
    </row>
    <row r="2047">
      <c r="A2047" s="232" t="s">
        <v>30165</v>
      </c>
      <c r="B2047" s="232" t="s">
        <v>30174</v>
      </c>
      <c r="C2047" s="509" t="s">
        <v>30175</v>
      </c>
      <c r="D2047" s="312"/>
      <c r="E2047" s="511"/>
      <c r="F2047" s="511"/>
      <c r="G2047" s="232" t="s">
        <v>23612</v>
      </c>
      <c r="H2047" s="232">
        <v>8.250287748E9</v>
      </c>
      <c r="I2047" s="509" t="s">
        <v>26796</v>
      </c>
      <c r="J2047" s="232" t="b">
        <v>0</v>
      </c>
      <c r="K2047" s="232" t="s">
        <v>29223</v>
      </c>
      <c r="L2047" s="232" t="s">
        <v>23537</v>
      </c>
      <c r="M2047" s="511"/>
      <c r="N2047" s="232"/>
      <c r="O2047" s="232"/>
      <c r="P2047" s="312"/>
      <c r="Q2047" s="312"/>
      <c r="R2047" s="312"/>
      <c r="S2047" s="312"/>
      <c r="T2047" s="312"/>
      <c r="U2047" s="312"/>
    </row>
    <row r="2048">
      <c r="A2048" s="232" t="s">
        <v>30165</v>
      </c>
      <c r="B2048" s="232" t="s">
        <v>30176</v>
      </c>
      <c r="C2048" s="509" t="s">
        <v>30177</v>
      </c>
      <c r="D2048" s="312"/>
      <c r="E2048" s="511"/>
      <c r="F2048" s="510" t="s">
        <v>30178</v>
      </c>
      <c r="G2048" s="232" t="s">
        <v>24653</v>
      </c>
      <c r="H2048" s="232">
        <v>-9.381486719E9</v>
      </c>
      <c r="I2048" s="509" t="s">
        <v>22289</v>
      </c>
      <c r="J2048" s="232" t="b">
        <v>0</v>
      </c>
      <c r="K2048" s="312" t="s">
        <v>12092</v>
      </c>
      <c r="L2048" s="232" t="s">
        <v>30072</v>
      </c>
      <c r="M2048" s="511"/>
      <c r="N2048" s="312"/>
      <c r="O2048" s="232"/>
      <c r="P2048" s="312"/>
      <c r="Q2048" s="312"/>
      <c r="R2048" s="312"/>
      <c r="S2048" s="312"/>
      <c r="T2048" s="312"/>
      <c r="U2048" s="312"/>
    </row>
    <row r="2049">
      <c r="A2049" s="232" t="s">
        <v>30165</v>
      </c>
      <c r="B2049" s="232" t="s">
        <v>30179</v>
      </c>
      <c r="C2049" s="509" t="s">
        <v>5456</v>
      </c>
      <c r="D2049" s="312"/>
      <c r="E2049" s="511"/>
      <c r="F2049" s="511"/>
      <c r="G2049" s="232" t="s">
        <v>23598</v>
      </c>
      <c r="H2049" s="232">
        <v>8.809284241E9</v>
      </c>
      <c r="I2049" s="509" t="s">
        <v>30180</v>
      </c>
      <c r="J2049" s="232" t="b">
        <v>0</v>
      </c>
      <c r="K2049" s="312" t="s">
        <v>334</v>
      </c>
      <c r="L2049" s="232" t="s">
        <v>30181</v>
      </c>
      <c r="M2049" s="511"/>
      <c r="N2049" s="312"/>
      <c r="O2049" s="232"/>
      <c r="P2049" s="312"/>
      <c r="Q2049" s="312"/>
      <c r="R2049" s="312"/>
      <c r="S2049" s="312"/>
      <c r="T2049" s="312"/>
      <c r="U2049" s="312"/>
    </row>
    <row r="2050">
      <c r="A2050" s="232" t="s">
        <v>30165</v>
      </c>
      <c r="B2050" s="232" t="s">
        <v>30182</v>
      </c>
      <c r="C2050" s="509" t="s">
        <v>30183</v>
      </c>
      <c r="D2050" s="312"/>
      <c r="E2050" s="511"/>
      <c r="F2050" s="510" t="s">
        <v>30184</v>
      </c>
      <c r="G2050" s="232" t="s">
        <v>22630</v>
      </c>
      <c r="H2050" s="232">
        <v>-9.426816027E9</v>
      </c>
      <c r="I2050" s="509" t="s">
        <v>30185</v>
      </c>
      <c r="J2050" s="232" t="b">
        <v>0</v>
      </c>
      <c r="K2050" s="312" t="s">
        <v>334</v>
      </c>
      <c r="L2050" s="232" t="s">
        <v>30186</v>
      </c>
      <c r="M2050" s="511"/>
      <c r="N2050" s="312"/>
      <c r="O2050" s="232"/>
      <c r="P2050" s="312"/>
      <c r="Q2050" s="312"/>
      <c r="R2050" s="312"/>
      <c r="S2050" s="312"/>
      <c r="T2050" s="312"/>
      <c r="U2050" s="312"/>
    </row>
    <row r="2051">
      <c r="A2051" s="232" t="s">
        <v>30165</v>
      </c>
      <c r="B2051" s="232" t="s">
        <v>30187</v>
      </c>
      <c r="C2051" s="509" t="s">
        <v>30188</v>
      </c>
      <c r="D2051" s="312"/>
      <c r="E2051" s="510">
        <v>100.0</v>
      </c>
      <c r="F2051" s="510" t="s">
        <v>30189</v>
      </c>
      <c r="G2051" s="232" t="s">
        <v>30190</v>
      </c>
      <c r="H2051" s="232">
        <v>-9.442057139E9</v>
      </c>
      <c r="I2051" s="509" t="s">
        <v>4786</v>
      </c>
      <c r="J2051" s="232" t="b">
        <v>0</v>
      </c>
      <c r="K2051" s="312" t="s">
        <v>334</v>
      </c>
      <c r="L2051" s="232" t="s">
        <v>24343</v>
      </c>
      <c r="M2051" s="511"/>
      <c r="N2051" s="312"/>
      <c r="O2051" s="232"/>
      <c r="P2051" s="312"/>
      <c r="Q2051" s="312"/>
      <c r="R2051" s="312"/>
      <c r="S2051" s="312"/>
      <c r="T2051" s="312"/>
      <c r="U2051" s="312"/>
    </row>
    <row r="2052">
      <c r="A2052" s="232" t="s">
        <v>30165</v>
      </c>
      <c r="B2052" s="232" t="s">
        <v>30191</v>
      </c>
      <c r="C2052" s="509" t="s">
        <v>30192</v>
      </c>
      <c r="D2052" s="312"/>
      <c r="E2052" s="511"/>
      <c r="F2052" s="510" t="s">
        <v>30193</v>
      </c>
      <c r="G2052" s="232" t="s">
        <v>30194</v>
      </c>
      <c r="H2052" s="232">
        <v>-9.02563667E9</v>
      </c>
      <c r="I2052" s="509" t="s">
        <v>22278</v>
      </c>
      <c r="J2052" s="232" t="b">
        <v>0</v>
      </c>
      <c r="K2052" s="312" t="s">
        <v>12092</v>
      </c>
      <c r="L2052" s="232" t="s">
        <v>30072</v>
      </c>
      <c r="M2052" s="511"/>
      <c r="N2052" s="312"/>
      <c r="O2052" s="232"/>
      <c r="P2052" s="312"/>
      <c r="Q2052" s="312"/>
      <c r="R2052" s="312"/>
      <c r="S2052" s="312"/>
      <c r="T2052" s="312"/>
      <c r="U2052" s="312"/>
    </row>
    <row r="2053">
      <c r="A2053" s="232" t="s">
        <v>30165</v>
      </c>
      <c r="B2053" s="232" t="s">
        <v>30195</v>
      </c>
      <c r="C2053" s="509" t="s">
        <v>30196</v>
      </c>
      <c r="D2053" s="312"/>
      <c r="E2053" s="511"/>
      <c r="F2053" s="510" t="s">
        <v>30197</v>
      </c>
      <c r="G2053" s="232" t="s">
        <v>3861</v>
      </c>
      <c r="H2053" s="232">
        <v>9.860937676E9</v>
      </c>
      <c r="I2053" s="509" t="s">
        <v>22727</v>
      </c>
      <c r="J2053" s="232" t="b">
        <v>0</v>
      </c>
      <c r="K2053" s="312" t="s">
        <v>334</v>
      </c>
      <c r="L2053" s="232" t="s">
        <v>30198</v>
      </c>
      <c r="M2053" s="511"/>
      <c r="N2053" s="312"/>
      <c r="O2053" s="232"/>
      <c r="P2053" s="312"/>
      <c r="Q2053" s="312"/>
      <c r="R2053" s="312"/>
      <c r="S2053" s="312"/>
      <c r="T2053" s="312"/>
      <c r="U2053" s="312"/>
    </row>
    <row r="2054">
      <c r="A2054" s="232" t="s">
        <v>30165</v>
      </c>
      <c r="B2054" s="232" t="s">
        <v>30199</v>
      </c>
      <c r="C2054" s="509" t="s">
        <v>30200</v>
      </c>
      <c r="D2054" s="312"/>
      <c r="E2054" s="511"/>
      <c r="F2054" s="511"/>
      <c r="G2054" s="232" t="s">
        <v>12077</v>
      </c>
      <c r="H2054" s="232">
        <v>9.735764553E9</v>
      </c>
      <c r="I2054" s="509" t="s">
        <v>22373</v>
      </c>
      <c r="J2054" s="232" t="b">
        <v>0</v>
      </c>
      <c r="K2054" s="312" t="s">
        <v>22349</v>
      </c>
      <c r="L2054" s="232" t="s">
        <v>30201</v>
      </c>
      <c r="M2054" s="511"/>
      <c r="N2054" s="312"/>
      <c r="O2054" s="232"/>
      <c r="P2054" s="312"/>
      <c r="Q2054" s="312"/>
      <c r="R2054" s="312"/>
      <c r="S2054" s="312"/>
      <c r="T2054" s="312"/>
      <c r="U2054" s="312"/>
    </row>
    <row r="2055">
      <c r="A2055" s="232" t="s">
        <v>30165</v>
      </c>
      <c r="B2055" s="232" t="s">
        <v>30202</v>
      </c>
      <c r="C2055" s="509" t="s">
        <v>30203</v>
      </c>
      <c r="D2055" s="312"/>
      <c r="E2055" s="511"/>
      <c r="F2055" s="510" t="s">
        <v>30204</v>
      </c>
      <c r="G2055" s="232" t="s">
        <v>23612</v>
      </c>
      <c r="H2055" s="232">
        <v>8.27688555E9</v>
      </c>
      <c r="I2055" s="509" t="s">
        <v>26796</v>
      </c>
      <c r="J2055" s="232" t="b">
        <v>0</v>
      </c>
      <c r="K2055" s="312" t="s">
        <v>334</v>
      </c>
      <c r="L2055" s="232" t="s">
        <v>30205</v>
      </c>
      <c r="M2055" s="511"/>
      <c r="N2055" s="312"/>
      <c r="O2055" s="232"/>
      <c r="P2055" s="312"/>
      <c r="Q2055" s="312"/>
      <c r="R2055" s="312"/>
      <c r="S2055" s="312"/>
      <c r="T2055" s="312"/>
      <c r="U2055" s="312"/>
    </row>
    <row r="2056">
      <c r="A2056" s="232" t="s">
        <v>30165</v>
      </c>
      <c r="B2056" s="232" t="s">
        <v>30206</v>
      </c>
      <c r="C2056" s="509" t="s">
        <v>4773</v>
      </c>
      <c r="D2056" s="312"/>
      <c r="E2056" s="511"/>
      <c r="F2056" s="510" t="s">
        <v>30207</v>
      </c>
      <c r="G2056" s="232" t="s">
        <v>44</v>
      </c>
      <c r="H2056" s="232">
        <v>8.219855319E9</v>
      </c>
      <c r="I2056" s="509" t="s">
        <v>26796</v>
      </c>
      <c r="J2056" s="232" t="b">
        <v>0</v>
      </c>
      <c r="K2056" s="312" t="s">
        <v>22312</v>
      </c>
      <c r="L2056" s="232" t="s">
        <v>30208</v>
      </c>
      <c r="M2056" s="511"/>
      <c r="N2056" s="312"/>
      <c r="O2056" s="232"/>
      <c r="P2056" s="312"/>
      <c r="Q2056" s="312"/>
      <c r="R2056" s="312"/>
      <c r="S2056" s="312"/>
      <c r="T2056" s="312"/>
      <c r="U2056" s="312"/>
    </row>
    <row r="2057">
      <c r="A2057" s="232" t="s">
        <v>30165</v>
      </c>
      <c r="B2057" s="232" t="s">
        <v>30209</v>
      </c>
      <c r="C2057" s="509" t="s">
        <v>30210</v>
      </c>
      <c r="D2057" s="312"/>
      <c r="E2057" s="510">
        <v>50.0</v>
      </c>
      <c r="F2057" s="510" t="s">
        <v>30211</v>
      </c>
      <c r="G2057" s="232" t="s">
        <v>18059</v>
      </c>
      <c r="H2057" s="232">
        <v>9.064848463E9</v>
      </c>
      <c r="I2057" s="509" t="s">
        <v>29806</v>
      </c>
      <c r="J2057" s="232" t="b">
        <v>0</v>
      </c>
      <c r="K2057" s="232" t="s">
        <v>29223</v>
      </c>
      <c r="L2057" s="232" t="s">
        <v>30212</v>
      </c>
      <c r="M2057" s="511"/>
      <c r="N2057" s="232"/>
      <c r="O2057" s="232"/>
      <c r="P2057" s="312"/>
      <c r="Q2057" s="312"/>
      <c r="R2057" s="312"/>
      <c r="S2057" s="312"/>
      <c r="T2057" s="312"/>
      <c r="U2057" s="312"/>
    </row>
    <row r="2058">
      <c r="A2058" s="232" t="s">
        <v>30213</v>
      </c>
      <c r="B2058" s="232" t="s">
        <v>30214</v>
      </c>
      <c r="C2058" s="509" t="s">
        <v>30215</v>
      </c>
      <c r="D2058" s="312"/>
      <c r="E2058" s="511"/>
      <c r="F2058" s="511"/>
      <c r="G2058" s="312"/>
      <c r="H2058" s="232">
        <v>7.872071721E9</v>
      </c>
      <c r="I2058" s="509" t="s">
        <v>26796</v>
      </c>
      <c r="J2058" s="232" t="b">
        <v>0</v>
      </c>
      <c r="K2058" s="232" t="s">
        <v>22365</v>
      </c>
      <c r="L2058" s="232" t="s">
        <v>29336</v>
      </c>
      <c r="M2058" s="511"/>
      <c r="N2058" s="232"/>
      <c r="O2058" s="232"/>
      <c r="P2058" s="312"/>
      <c r="Q2058" s="312"/>
      <c r="R2058" s="312"/>
      <c r="S2058" s="312"/>
      <c r="T2058" s="312"/>
      <c r="U2058" s="312"/>
    </row>
    <row r="2059">
      <c r="A2059" s="232" t="s">
        <v>30213</v>
      </c>
      <c r="B2059" s="232" t="s">
        <v>30216</v>
      </c>
      <c r="C2059" s="509" t="s">
        <v>30217</v>
      </c>
      <c r="D2059" s="312"/>
      <c r="E2059" s="511"/>
      <c r="F2059" s="511"/>
      <c r="G2059" s="232" t="s">
        <v>44</v>
      </c>
      <c r="H2059" s="232">
        <v>8.918161737E9</v>
      </c>
      <c r="I2059" s="509" t="s">
        <v>27251</v>
      </c>
      <c r="J2059" s="232" t="b">
        <v>0</v>
      </c>
      <c r="K2059" s="232" t="s">
        <v>22365</v>
      </c>
      <c r="L2059" s="232" t="s">
        <v>29336</v>
      </c>
      <c r="M2059" s="511"/>
      <c r="N2059" s="232"/>
      <c r="O2059" s="232"/>
      <c r="P2059" s="312"/>
      <c r="Q2059" s="312"/>
      <c r="R2059" s="312"/>
      <c r="S2059" s="312"/>
      <c r="T2059" s="312"/>
      <c r="U2059" s="312"/>
    </row>
    <row r="2060">
      <c r="A2060" s="232" t="s">
        <v>30213</v>
      </c>
      <c r="B2060" s="232" t="s">
        <v>30218</v>
      </c>
      <c r="C2060" s="509" t="s">
        <v>30219</v>
      </c>
      <c r="D2060" s="312"/>
      <c r="E2060" s="511"/>
      <c r="F2060" s="510" t="s">
        <v>30220</v>
      </c>
      <c r="G2060" s="232" t="s">
        <v>3167</v>
      </c>
      <c r="H2060" s="232">
        <v>7.384130664E9</v>
      </c>
      <c r="I2060" s="509" t="s">
        <v>29898</v>
      </c>
      <c r="J2060" s="232" t="b">
        <v>0</v>
      </c>
      <c r="K2060" s="232" t="s">
        <v>22365</v>
      </c>
      <c r="L2060" s="232" t="s">
        <v>30221</v>
      </c>
      <c r="M2060" s="511"/>
      <c r="N2060" s="232"/>
      <c r="O2060" s="232"/>
      <c r="P2060" s="312"/>
      <c r="Q2060" s="312"/>
      <c r="R2060" s="312"/>
      <c r="S2060" s="312"/>
      <c r="T2060" s="312"/>
      <c r="U2060" s="312"/>
    </row>
    <row r="2061">
      <c r="A2061" s="232" t="s">
        <v>30213</v>
      </c>
      <c r="B2061" s="232" t="s">
        <v>30222</v>
      </c>
      <c r="C2061" s="509" t="s">
        <v>30223</v>
      </c>
      <c r="D2061" s="312"/>
      <c r="E2061" s="511"/>
      <c r="F2061" s="510" t="s">
        <v>30224</v>
      </c>
      <c r="G2061" s="232" t="s">
        <v>30225</v>
      </c>
      <c r="H2061" s="232">
        <v>7.477455022E9</v>
      </c>
      <c r="I2061" s="509" t="s">
        <v>25499</v>
      </c>
      <c r="J2061" s="232" t="b">
        <v>0</v>
      </c>
      <c r="K2061" s="312" t="s">
        <v>334</v>
      </c>
      <c r="L2061" s="232" t="s">
        <v>30226</v>
      </c>
      <c r="M2061" s="511"/>
      <c r="N2061" s="312"/>
      <c r="O2061" s="232"/>
      <c r="P2061" s="312"/>
      <c r="Q2061" s="312"/>
      <c r="R2061" s="312"/>
      <c r="S2061" s="312"/>
      <c r="T2061" s="312"/>
      <c r="U2061" s="312"/>
    </row>
    <row r="2062">
      <c r="A2062" s="514" t="s">
        <v>30213</v>
      </c>
      <c r="B2062" s="514" t="s">
        <v>30227</v>
      </c>
      <c r="C2062" s="515" t="s">
        <v>30228</v>
      </c>
      <c r="D2062" s="312"/>
      <c r="E2062" s="517"/>
      <c r="F2062" s="516" t="s">
        <v>30229</v>
      </c>
      <c r="G2062" s="514" t="s">
        <v>30230</v>
      </c>
      <c r="H2062" s="514">
        <v>9.732735336E9</v>
      </c>
      <c r="I2062" s="515" t="s">
        <v>30231</v>
      </c>
      <c r="J2062" s="514" t="b">
        <v>1</v>
      </c>
      <c r="K2062" s="514" t="s">
        <v>22312</v>
      </c>
      <c r="L2062" s="514" t="s">
        <v>30232</v>
      </c>
      <c r="M2062" s="516"/>
      <c r="N2062" s="232"/>
      <c r="O2062" s="514"/>
      <c r="P2062" s="312"/>
      <c r="Q2062" s="312"/>
      <c r="R2062" s="312"/>
      <c r="S2062" s="312"/>
      <c r="T2062" s="312"/>
      <c r="U2062" s="312"/>
    </row>
    <row r="2063">
      <c r="A2063" s="232" t="s">
        <v>30213</v>
      </c>
      <c r="B2063" s="232" t="s">
        <v>30233</v>
      </c>
      <c r="C2063" s="509" t="s">
        <v>30234</v>
      </c>
      <c r="D2063" s="312"/>
      <c r="E2063" s="511"/>
      <c r="F2063" s="510" t="s">
        <v>30235</v>
      </c>
      <c r="G2063" s="232" t="s">
        <v>3167</v>
      </c>
      <c r="H2063" s="232">
        <v>8.50934341E9</v>
      </c>
      <c r="I2063" s="509" t="s">
        <v>30236</v>
      </c>
      <c r="J2063" s="232" t="b">
        <v>0</v>
      </c>
      <c r="K2063" s="312" t="s">
        <v>334</v>
      </c>
      <c r="L2063" s="232" t="s">
        <v>29408</v>
      </c>
      <c r="M2063" s="511"/>
      <c r="N2063" s="312"/>
      <c r="O2063" s="232"/>
      <c r="P2063" s="312"/>
      <c r="Q2063" s="312"/>
      <c r="R2063" s="312"/>
      <c r="S2063" s="312"/>
      <c r="T2063" s="312"/>
      <c r="U2063" s="312"/>
    </row>
    <row r="2064">
      <c r="A2064" s="232" t="s">
        <v>30213</v>
      </c>
      <c r="B2064" s="232" t="s">
        <v>30237</v>
      </c>
      <c r="C2064" s="509" t="s">
        <v>30238</v>
      </c>
      <c r="D2064" s="312"/>
      <c r="E2064" s="511"/>
      <c r="F2064" s="510" t="s">
        <v>30239</v>
      </c>
      <c r="G2064" s="232" t="s">
        <v>6381</v>
      </c>
      <c r="H2064" s="232">
        <v>9.204561674E9</v>
      </c>
      <c r="I2064" s="509" t="s">
        <v>30240</v>
      </c>
      <c r="J2064" s="232" t="b">
        <v>0</v>
      </c>
      <c r="K2064" s="232" t="s">
        <v>22365</v>
      </c>
      <c r="L2064" s="232" t="s">
        <v>29336</v>
      </c>
      <c r="M2064" s="511"/>
      <c r="N2064" s="232"/>
      <c r="O2064" s="232"/>
      <c r="P2064" s="312"/>
      <c r="Q2064" s="312"/>
      <c r="R2064" s="312"/>
      <c r="S2064" s="312"/>
      <c r="T2064" s="312"/>
      <c r="U2064" s="312"/>
    </row>
    <row r="2065">
      <c r="A2065" s="232" t="s">
        <v>30213</v>
      </c>
      <c r="B2065" s="232" t="s">
        <v>30241</v>
      </c>
      <c r="C2065" s="509" t="s">
        <v>30242</v>
      </c>
      <c r="D2065" s="312"/>
      <c r="E2065" s="511"/>
      <c r="F2065" s="511"/>
      <c r="G2065" s="232" t="s">
        <v>1691</v>
      </c>
      <c r="H2065" s="232">
        <v>7.001127388E9</v>
      </c>
      <c r="I2065" s="554" t="s">
        <v>22829</v>
      </c>
      <c r="J2065" s="232" t="b">
        <v>0</v>
      </c>
      <c r="K2065" s="312" t="s">
        <v>334</v>
      </c>
      <c r="L2065" s="232" t="s">
        <v>22661</v>
      </c>
      <c r="M2065" s="511"/>
      <c r="N2065" s="312"/>
      <c r="O2065" s="232"/>
      <c r="P2065" s="312"/>
      <c r="Q2065" s="312"/>
      <c r="R2065" s="312"/>
      <c r="S2065" s="312"/>
      <c r="T2065" s="312"/>
      <c r="U2065" s="312"/>
    </row>
    <row r="2066">
      <c r="A2066" s="551">
        <v>44904.0</v>
      </c>
      <c r="B2066" s="232" t="s">
        <v>30243</v>
      </c>
      <c r="C2066" s="509" t="s">
        <v>30244</v>
      </c>
      <c r="D2066" s="312"/>
      <c r="E2066" s="511"/>
      <c r="F2066" s="510" t="s">
        <v>30245</v>
      </c>
      <c r="G2066" s="232" t="s">
        <v>28059</v>
      </c>
      <c r="H2066" s="232">
        <v>8.320027483E9</v>
      </c>
      <c r="I2066" s="509" t="s">
        <v>27979</v>
      </c>
      <c r="J2066" s="232" t="b">
        <v>0</v>
      </c>
      <c r="K2066" s="232" t="s">
        <v>22365</v>
      </c>
      <c r="L2066" s="232" t="s">
        <v>29336</v>
      </c>
      <c r="M2066" s="511"/>
      <c r="N2066" s="232"/>
      <c r="O2066" s="232"/>
      <c r="P2066" s="312"/>
      <c r="Q2066" s="312"/>
      <c r="R2066" s="312"/>
      <c r="S2066" s="312"/>
      <c r="T2066" s="312"/>
      <c r="U2066" s="312"/>
    </row>
    <row r="2067">
      <c r="A2067" s="551">
        <v>44904.0</v>
      </c>
      <c r="B2067" s="232" t="s">
        <v>30246</v>
      </c>
      <c r="C2067" s="509" t="s">
        <v>30247</v>
      </c>
      <c r="D2067" s="312"/>
      <c r="E2067" s="511"/>
      <c r="F2067" s="511"/>
      <c r="G2067" s="232" t="s">
        <v>30248</v>
      </c>
      <c r="H2067" s="232">
        <v>8.77780571E9</v>
      </c>
      <c r="I2067" s="509" t="s">
        <v>23871</v>
      </c>
      <c r="J2067" s="232" t="b">
        <v>0</v>
      </c>
      <c r="K2067" s="232" t="s">
        <v>22365</v>
      </c>
      <c r="L2067" s="232" t="s">
        <v>29336</v>
      </c>
      <c r="M2067" s="511"/>
      <c r="N2067" s="232"/>
      <c r="O2067" s="232"/>
      <c r="P2067" s="312"/>
      <c r="Q2067" s="312"/>
      <c r="R2067" s="312"/>
      <c r="S2067" s="312"/>
      <c r="T2067" s="312"/>
      <c r="U2067" s="312"/>
    </row>
    <row r="2068">
      <c r="A2068" s="551">
        <v>44904.0</v>
      </c>
      <c r="B2068" s="232" t="s">
        <v>30249</v>
      </c>
      <c r="C2068" s="509" t="s">
        <v>30250</v>
      </c>
      <c r="D2068" s="312"/>
      <c r="E2068" s="511"/>
      <c r="F2068" s="510" t="s">
        <v>30251</v>
      </c>
      <c r="G2068" s="232" t="s">
        <v>44</v>
      </c>
      <c r="H2068" s="232">
        <v>-8.69756802E9</v>
      </c>
      <c r="I2068" s="509" t="s">
        <v>25744</v>
      </c>
      <c r="J2068" s="232" t="b">
        <v>0</v>
      </c>
      <c r="K2068" s="232" t="s">
        <v>22365</v>
      </c>
      <c r="L2068" s="232" t="s">
        <v>29336</v>
      </c>
      <c r="M2068" s="511"/>
      <c r="N2068" s="232"/>
      <c r="O2068" s="232"/>
      <c r="P2068" s="312"/>
      <c r="Q2068" s="312"/>
      <c r="R2068" s="312"/>
      <c r="S2068" s="312"/>
      <c r="T2068" s="312"/>
      <c r="U2068" s="312"/>
    </row>
    <row r="2069">
      <c r="A2069" s="551">
        <v>44904.0</v>
      </c>
      <c r="B2069" s="232" t="s">
        <v>30252</v>
      </c>
      <c r="C2069" s="509" t="s">
        <v>30253</v>
      </c>
      <c r="D2069" s="312"/>
      <c r="E2069" s="511"/>
      <c r="F2069" s="510" t="s">
        <v>30254</v>
      </c>
      <c r="G2069" s="232" t="s">
        <v>30255</v>
      </c>
      <c r="H2069" s="232">
        <v>-7.377255112E9</v>
      </c>
      <c r="I2069" s="509" t="s">
        <v>30256</v>
      </c>
      <c r="J2069" s="232" t="b">
        <v>0</v>
      </c>
      <c r="K2069" s="232" t="s">
        <v>22365</v>
      </c>
      <c r="L2069" s="232" t="s">
        <v>30257</v>
      </c>
      <c r="M2069" s="511"/>
      <c r="N2069" s="232"/>
      <c r="O2069" s="232"/>
      <c r="P2069" s="312"/>
      <c r="Q2069" s="312"/>
      <c r="R2069" s="312"/>
      <c r="S2069" s="312"/>
      <c r="T2069" s="312"/>
      <c r="U2069" s="312"/>
    </row>
    <row r="2070">
      <c r="A2070" s="551">
        <v>44904.0</v>
      </c>
      <c r="B2070" s="232" t="s">
        <v>30258</v>
      </c>
      <c r="C2070" s="509" t="s">
        <v>474</v>
      </c>
      <c r="D2070" s="312"/>
      <c r="E2070" s="510">
        <v>1.0</v>
      </c>
      <c r="F2070" s="511"/>
      <c r="G2070" s="232" t="s">
        <v>22292</v>
      </c>
      <c r="H2070" s="232">
        <v>-7.709239555E9</v>
      </c>
      <c r="I2070" s="509" t="s">
        <v>23661</v>
      </c>
      <c r="J2070" s="232" t="b">
        <v>0</v>
      </c>
      <c r="K2070" s="312" t="s">
        <v>334</v>
      </c>
      <c r="L2070" s="232" t="s">
        <v>29408</v>
      </c>
      <c r="M2070" s="511"/>
      <c r="N2070" s="312"/>
      <c r="O2070" s="232"/>
      <c r="P2070" s="312"/>
      <c r="Q2070" s="312"/>
      <c r="R2070" s="312"/>
      <c r="S2070" s="312"/>
      <c r="T2070" s="312"/>
      <c r="U2070" s="312"/>
    </row>
    <row r="2071">
      <c r="A2071" s="551">
        <v>44904.0</v>
      </c>
      <c r="B2071" s="232" t="s">
        <v>30259</v>
      </c>
      <c r="C2071" s="509" t="s">
        <v>30260</v>
      </c>
      <c r="D2071" s="312"/>
      <c r="E2071" s="511"/>
      <c r="F2071" s="510" t="s">
        <v>30261</v>
      </c>
      <c r="G2071" s="232" t="s">
        <v>30262</v>
      </c>
      <c r="H2071" s="232">
        <v>6.295826443E9</v>
      </c>
      <c r="I2071" s="509" t="s">
        <v>26026</v>
      </c>
      <c r="J2071" s="232" t="b">
        <v>0</v>
      </c>
      <c r="K2071" s="232" t="s">
        <v>22365</v>
      </c>
      <c r="L2071" s="232" t="s">
        <v>29336</v>
      </c>
      <c r="M2071" s="511"/>
      <c r="N2071" s="232"/>
      <c r="O2071" s="232"/>
      <c r="P2071" s="312"/>
      <c r="Q2071" s="312"/>
      <c r="R2071" s="312"/>
      <c r="S2071" s="312"/>
      <c r="T2071" s="312"/>
      <c r="U2071" s="312"/>
    </row>
    <row r="2072">
      <c r="A2072" s="551">
        <v>44904.0</v>
      </c>
      <c r="B2072" s="232" t="s">
        <v>30263</v>
      </c>
      <c r="C2072" s="509" t="s">
        <v>30264</v>
      </c>
      <c r="D2072" s="312"/>
      <c r="E2072" s="511"/>
      <c r="F2072" s="510" t="s">
        <v>30265</v>
      </c>
      <c r="G2072" s="232" t="s">
        <v>30266</v>
      </c>
      <c r="H2072" s="232">
        <v>9.810413661E9</v>
      </c>
      <c r="I2072" s="509" t="s">
        <v>23761</v>
      </c>
      <c r="J2072" s="232" t="b">
        <v>0</v>
      </c>
      <c r="K2072" s="312" t="s">
        <v>12092</v>
      </c>
      <c r="L2072" s="232" t="s">
        <v>30267</v>
      </c>
      <c r="M2072" s="511"/>
      <c r="N2072" s="312"/>
      <c r="O2072" s="232"/>
      <c r="P2072" s="312"/>
      <c r="Q2072" s="312"/>
      <c r="R2072" s="312"/>
      <c r="S2072" s="312"/>
      <c r="T2072" s="312"/>
      <c r="U2072" s="312"/>
    </row>
    <row r="2073">
      <c r="A2073" s="551">
        <v>44904.0</v>
      </c>
      <c r="B2073" s="232" t="s">
        <v>30268</v>
      </c>
      <c r="C2073" s="509" t="s">
        <v>30269</v>
      </c>
      <c r="D2073" s="312"/>
      <c r="E2073" s="510">
        <v>20.0</v>
      </c>
      <c r="F2073" s="511"/>
      <c r="G2073" s="232" t="s">
        <v>22292</v>
      </c>
      <c r="H2073" s="232">
        <v>-9.833644353E9</v>
      </c>
      <c r="I2073" s="509" t="s">
        <v>22289</v>
      </c>
      <c r="J2073" s="232" t="b">
        <v>0</v>
      </c>
      <c r="K2073" s="232" t="s">
        <v>22365</v>
      </c>
      <c r="L2073" s="232" t="s">
        <v>30270</v>
      </c>
      <c r="M2073" s="511"/>
      <c r="N2073" s="232"/>
      <c r="O2073" s="232"/>
      <c r="P2073" s="312"/>
      <c r="Q2073" s="312"/>
      <c r="R2073" s="312"/>
      <c r="S2073" s="312"/>
      <c r="T2073" s="312"/>
      <c r="U2073" s="312"/>
    </row>
    <row r="2074">
      <c r="A2074" s="551">
        <v>44904.0</v>
      </c>
      <c r="B2074" s="232" t="s">
        <v>30271</v>
      </c>
      <c r="C2074" s="509" t="s">
        <v>30272</v>
      </c>
      <c r="D2074" s="312"/>
      <c r="E2074" s="511"/>
      <c r="F2074" s="510" t="s">
        <v>30273</v>
      </c>
      <c r="G2074" s="232" t="s">
        <v>22770</v>
      </c>
      <c r="H2074" s="232">
        <v>8.544101419E9</v>
      </c>
      <c r="I2074" s="509" t="s">
        <v>27279</v>
      </c>
      <c r="J2074" s="232" t="b">
        <v>0</v>
      </c>
      <c r="K2074" s="232" t="s">
        <v>22365</v>
      </c>
      <c r="L2074" s="232" t="s">
        <v>29336</v>
      </c>
      <c r="M2074" s="511"/>
      <c r="N2074" s="232"/>
      <c r="O2074" s="232"/>
      <c r="P2074" s="312"/>
      <c r="Q2074" s="312"/>
      <c r="R2074" s="312"/>
      <c r="S2074" s="312"/>
      <c r="T2074" s="312"/>
      <c r="U2074" s="312"/>
    </row>
    <row r="2075">
      <c r="A2075" s="551">
        <v>44904.0</v>
      </c>
      <c r="B2075" s="232" t="s">
        <v>30274</v>
      </c>
      <c r="C2075" s="509" t="s">
        <v>30275</v>
      </c>
      <c r="D2075" s="312"/>
      <c r="E2075" s="510">
        <v>25.0</v>
      </c>
      <c r="F2075" s="510" t="s">
        <v>30276</v>
      </c>
      <c r="G2075" s="232" t="s">
        <v>22770</v>
      </c>
      <c r="H2075" s="232">
        <v>7.870370879E9</v>
      </c>
      <c r="I2075" s="509" t="s">
        <v>30277</v>
      </c>
      <c r="J2075" s="232" t="b">
        <v>0</v>
      </c>
      <c r="K2075" s="232" t="s">
        <v>22365</v>
      </c>
      <c r="L2075" s="232" t="s">
        <v>29336</v>
      </c>
      <c r="M2075" s="511"/>
      <c r="N2075" s="232"/>
      <c r="O2075" s="232"/>
      <c r="P2075" s="312"/>
      <c r="Q2075" s="312"/>
      <c r="R2075" s="312"/>
      <c r="S2075" s="312"/>
      <c r="T2075" s="312"/>
      <c r="U2075" s="312"/>
    </row>
    <row r="2076">
      <c r="A2076" s="551">
        <v>44904.0</v>
      </c>
      <c r="B2076" s="232" t="s">
        <v>30278</v>
      </c>
      <c r="C2076" s="509" t="s">
        <v>30279</v>
      </c>
      <c r="D2076" s="312"/>
      <c r="E2076" s="511"/>
      <c r="F2076" s="510" t="s">
        <v>30280</v>
      </c>
      <c r="G2076" s="232" t="s">
        <v>30281</v>
      </c>
      <c r="H2076" s="232">
        <v>-9.643212026E9</v>
      </c>
      <c r="I2076" s="509" t="s">
        <v>22373</v>
      </c>
      <c r="J2076" s="232" t="b">
        <v>0</v>
      </c>
      <c r="K2076" s="312" t="s">
        <v>334</v>
      </c>
      <c r="L2076" s="232" t="s">
        <v>29408</v>
      </c>
      <c r="M2076" s="511"/>
      <c r="N2076" s="312"/>
      <c r="O2076" s="232"/>
      <c r="P2076" s="312"/>
      <c r="Q2076" s="312"/>
      <c r="R2076" s="312"/>
      <c r="S2076" s="312"/>
      <c r="T2076" s="312"/>
      <c r="U2076" s="312"/>
    </row>
    <row r="2077">
      <c r="A2077" s="551">
        <v>44904.0</v>
      </c>
      <c r="B2077" s="232" t="s">
        <v>30282</v>
      </c>
      <c r="C2077" s="509" t="s">
        <v>30283</v>
      </c>
      <c r="D2077" s="312"/>
      <c r="E2077" s="511"/>
      <c r="F2077" s="510" t="s">
        <v>30284</v>
      </c>
      <c r="G2077" s="232" t="s">
        <v>1082</v>
      </c>
      <c r="H2077" s="232">
        <v>9.073344456E9</v>
      </c>
      <c r="I2077" s="509" t="s">
        <v>30285</v>
      </c>
      <c r="J2077" s="232" t="b">
        <v>0</v>
      </c>
      <c r="K2077" s="312" t="s">
        <v>334</v>
      </c>
      <c r="L2077" s="232" t="s">
        <v>29408</v>
      </c>
      <c r="M2077" s="511"/>
      <c r="N2077" s="312"/>
      <c r="O2077" s="232"/>
      <c r="P2077" s="312"/>
      <c r="Q2077" s="312"/>
      <c r="R2077" s="312"/>
      <c r="S2077" s="312"/>
      <c r="T2077" s="312"/>
      <c r="U2077" s="312"/>
    </row>
    <row r="2078">
      <c r="A2078" s="552">
        <v>44904.0</v>
      </c>
      <c r="B2078" s="514" t="s">
        <v>30286</v>
      </c>
      <c r="C2078" s="515" t="s">
        <v>30287</v>
      </c>
      <c r="D2078" s="312"/>
      <c r="E2078" s="517"/>
      <c r="F2078" s="516" t="s">
        <v>30288</v>
      </c>
      <c r="G2078" s="514" t="s">
        <v>30289</v>
      </c>
      <c r="H2078" s="514">
        <v>9.830599955E9</v>
      </c>
      <c r="I2078" s="515" t="s">
        <v>30290</v>
      </c>
      <c r="J2078" s="518" t="b">
        <v>0</v>
      </c>
      <c r="K2078" s="547" t="s">
        <v>22312</v>
      </c>
      <c r="L2078" s="518" t="s">
        <v>30291</v>
      </c>
      <c r="M2078" s="516"/>
      <c r="N2078" s="312"/>
      <c r="O2078" s="518"/>
      <c r="P2078" s="312"/>
      <c r="Q2078" s="312"/>
      <c r="R2078" s="312"/>
      <c r="S2078" s="312"/>
      <c r="T2078" s="312"/>
      <c r="U2078" s="312"/>
    </row>
    <row r="2079">
      <c r="A2079" s="551">
        <v>44904.0</v>
      </c>
      <c r="B2079" s="232" t="s">
        <v>30292</v>
      </c>
      <c r="C2079" s="509" t="s">
        <v>30293</v>
      </c>
      <c r="D2079" s="312"/>
      <c r="E2079" s="511"/>
      <c r="F2079" s="510" t="s">
        <v>10181</v>
      </c>
      <c r="G2079" s="232"/>
      <c r="H2079" s="232">
        <v>8.348396235E9</v>
      </c>
      <c r="I2079" s="509" t="s">
        <v>23803</v>
      </c>
      <c r="J2079" s="232" t="b">
        <v>0</v>
      </c>
      <c r="K2079" s="232" t="s">
        <v>22365</v>
      </c>
      <c r="L2079" s="232" t="s">
        <v>29336</v>
      </c>
      <c r="M2079" s="511"/>
      <c r="N2079" s="232"/>
      <c r="O2079" s="232"/>
      <c r="P2079" s="312"/>
      <c r="Q2079" s="312"/>
      <c r="R2079" s="312"/>
      <c r="S2079" s="312"/>
      <c r="T2079" s="312"/>
      <c r="U2079" s="312"/>
    </row>
    <row r="2080">
      <c r="A2080" s="551">
        <v>44904.0</v>
      </c>
      <c r="B2080" s="232" t="s">
        <v>30294</v>
      </c>
      <c r="C2080" s="509" t="s">
        <v>30295</v>
      </c>
      <c r="D2080" s="312"/>
      <c r="E2080" s="511"/>
      <c r="F2080" s="510" t="s">
        <v>30296</v>
      </c>
      <c r="G2080" s="232" t="s">
        <v>26514</v>
      </c>
      <c r="H2080" s="232">
        <v>7.980609789E9</v>
      </c>
      <c r="I2080" s="509" t="s">
        <v>25075</v>
      </c>
      <c r="J2080" s="232" t="b">
        <v>0</v>
      </c>
      <c r="K2080" s="232" t="s">
        <v>22365</v>
      </c>
      <c r="L2080" s="232" t="s">
        <v>30270</v>
      </c>
      <c r="M2080" s="511"/>
      <c r="N2080" s="232"/>
      <c r="O2080" s="232"/>
      <c r="P2080" s="312"/>
      <c r="Q2080" s="312"/>
      <c r="R2080" s="312"/>
      <c r="S2080" s="312"/>
      <c r="T2080" s="312"/>
      <c r="U2080" s="312"/>
    </row>
    <row r="2081">
      <c r="A2081" s="551">
        <v>44843.0</v>
      </c>
      <c r="B2081" s="232" t="s">
        <v>30297</v>
      </c>
      <c r="C2081" s="509" t="s">
        <v>30298</v>
      </c>
      <c r="D2081" s="312"/>
      <c r="E2081" s="511"/>
      <c r="F2081" s="511"/>
      <c r="G2081" s="232" t="s">
        <v>30299</v>
      </c>
      <c r="H2081" s="232">
        <v>6.200207685E9</v>
      </c>
      <c r="I2081" s="509" t="s">
        <v>27251</v>
      </c>
      <c r="J2081" s="232" t="b">
        <v>0</v>
      </c>
      <c r="K2081" s="312" t="s">
        <v>334</v>
      </c>
      <c r="L2081" s="232" t="s">
        <v>29339</v>
      </c>
      <c r="M2081" s="511"/>
      <c r="N2081" s="312"/>
      <c r="O2081" s="232"/>
      <c r="P2081" s="312"/>
      <c r="Q2081" s="312"/>
      <c r="R2081" s="312"/>
      <c r="S2081" s="312"/>
      <c r="T2081" s="312"/>
      <c r="U2081" s="312"/>
    </row>
    <row r="2082">
      <c r="A2082" s="551">
        <v>44843.0</v>
      </c>
      <c r="B2082" s="232" t="s">
        <v>30300</v>
      </c>
      <c r="C2082" s="509" t="s">
        <v>18818</v>
      </c>
      <c r="D2082" s="312"/>
      <c r="E2082" s="511"/>
      <c r="F2082" s="510" t="s">
        <v>30301</v>
      </c>
      <c r="G2082" s="232" t="s">
        <v>22592</v>
      </c>
      <c r="H2082" s="232">
        <v>-7.0831144E9</v>
      </c>
      <c r="I2082" s="509" t="s">
        <v>30302</v>
      </c>
      <c r="J2082" s="232" t="b">
        <v>0</v>
      </c>
      <c r="K2082" s="232" t="s">
        <v>22365</v>
      </c>
      <c r="L2082" s="232" t="s">
        <v>29336</v>
      </c>
      <c r="M2082" s="511"/>
      <c r="N2082" s="232"/>
      <c r="O2082" s="232"/>
      <c r="P2082" s="312"/>
      <c r="Q2082" s="312"/>
      <c r="R2082" s="312"/>
      <c r="S2082" s="312"/>
      <c r="T2082" s="312"/>
      <c r="U2082" s="312"/>
    </row>
    <row r="2083">
      <c r="A2083" s="551">
        <v>44843.0</v>
      </c>
      <c r="B2083" s="232" t="s">
        <v>30303</v>
      </c>
      <c r="C2083" s="509" t="s">
        <v>30304</v>
      </c>
      <c r="D2083" s="312"/>
      <c r="E2083" s="511"/>
      <c r="F2083" s="510" t="s">
        <v>30305</v>
      </c>
      <c r="G2083" s="232" t="s">
        <v>30306</v>
      </c>
      <c r="H2083" s="232">
        <v>-8.26087811E9</v>
      </c>
      <c r="I2083" s="509" t="s">
        <v>30307</v>
      </c>
      <c r="J2083" s="232" t="b">
        <v>0</v>
      </c>
      <c r="K2083" s="312" t="s">
        <v>334</v>
      </c>
      <c r="L2083" s="232" t="s">
        <v>29408</v>
      </c>
      <c r="M2083" s="511"/>
      <c r="N2083" s="312"/>
      <c r="O2083" s="232"/>
      <c r="P2083" s="312"/>
      <c r="Q2083" s="312"/>
      <c r="R2083" s="312"/>
      <c r="S2083" s="312"/>
      <c r="T2083" s="312"/>
      <c r="U2083" s="312"/>
    </row>
    <row r="2084">
      <c r="A2084" s="551">
        <v>44843.0</v>
      </c>
      <c r="B2084" s="232" t="s">
        <v>30308</v>
      </c>
      <c r="C2084" s="509" t="s">
        <v>30309</v>
      </c>
      <c r="D2084" s="312"/>
      <c r="E2084" s="511"/>
      <c r="F2084" s="511"/>
      <c r="G2084" s="232" t="s">
        <v>4944</v>
      </c>
      <c r="H2084" s="232">
        <v>8.897709194E9</v>
      </c>
      <c r="I2084" s="509" t="s">
        <v>30310</v>
      </c>
      <c r="J2084" s="232" t="b">
        <v>0</v>
      </c>
      <c r="K2084" s="312" t="s">
        <v>334</v>
      </c>
      <c r="L2084" s="232" t="s">
        <v>29408</v>
      </c>
      <c r="M2084" s="511"/>
      <c r="N2084" s="312"/>
      <c r="O2084" s="232"/>
      <c r="P2084" s="312"/>
      <c r="Q2084" s="312"/>
      <c r="R2084" s="312"/>
      <c r="S2084" s="312"/>
      <c r="T2084" s="312"/>
      <c r="U2084" s="312"/>
    </row>
    <row r="2085">
      <c r="A2085" s="551">
        <v>44843.0</v>
      </c>
      <c r="B2085" s="232" t="s">
        <v>30311</v>
      </c>
      <c r="C2085" s="509" t="s">
        <v>30312</v>
      </c>
      <c r="D2085" s="312"/>
      <c r="E2085" s="510">
        <v>5.0</v>
      </c>
      <c r="F2085" s="510" t="s">
        <v>30313</v>
      </c>
      <c r="G2085" s="232" t="s">
        <v>23823</v>
      </c>
      <c r="H2085" s="232">
        <v>8.249343457E9</v>
      </c>
      <c r="I2085" s="509" t="s">
        <v>30310</v>
      </c>
      <c r="J2085" s="232" t="b">
        <v>0</v>
      </c>
      <c r="K2085" s="312" t="s">
        <v>334</v>
      </c>
      <c r="L2085" s="232" t="s">
        <v>29408</v>
      </c>
      <c r="M2085" s="511"/>
      <c r="N2085" s="312"/>
      <c r="O2085" s="232"/>
      <c r="P2085" s="312"/>
      <c r="Q2085" s="312"/>
      <c r="R2085" s="312"/>
      <c r="S2085" s="312"/>
      <c r="T2085" s="312"/>
      <c r="U2085" s="312"/>
    </row>
    <row r="2086">
      <c r="A2086" s="551">
        <v>44843.0</v>
      </c>
      <c r="B2086" s="232" t="s">
        <v>30311</v>
      </c>
      <c r="C2086" s="509" t="s">
        <v>30314</v>
      </c>
      <c r="D2086" s="312"/>
      <c r="E2086" s="511"/>
      <c r="F2086" s="511"/>
      <c r="G2086" s="232" t="s">
        <v>131</v>
      </c>
      <c r="H2086" s="232">
        <v>9.362182252E9</v>
      </c>
      <c r="I2086" s="509" t="s">
        <v>22860</v>
      </c>
      <c r="J2086" s="232" t="b">
        <v>0</v>
      </c>
      <c r="K2086" s="232" t="s">
        <v>22365</v>
      </c>
      <c r="L2086" s="232" t="s">
        <v>29336</v>
      </c>
      <c r="M2086" s="511"/>
      <c r="N2086" s="232"/>
      <c r="O2086" s="232"/>
      <c r="P2086" s="312"/>
      <c r="Q2086" s="312"/>
      <c r="R2086" s="312"/>
      <c r="S2086" s="312"/>
      <c r="T2086" s="312"/>
      <c r="U2086" s="312"/>
    </row>
    <row r="2087">
      <c r="A2087" s="551">
        <v>44843.0</v>
      </c>
      <c r="B2087" s="232" t="s">
        <v>30315</v>
      </c>
      <c r="C2087" s="509" t="s">
        <v>30316</v>
      </c>
      <c r="D2087" s="312"/>
      <c r="E2087" s="511"/>
      <c r="F2087" s="510" t="s">
        <v>30317</v>
      </c>
      <c r="G2087" s="232" t="s">
        <v>507</v>
      </c>
      <c r="H2087" s="232">
        <v>-7.387097324E9</v>
      </c>
      <c r="I2087" s="509" t="s">
        <v>23761</v>
      </c>
      <c r="J2087" s="232" t="b">
        <v>0</v>
      </c>
      <c r="K2087" s="312" t="s">
        <v>22349</v>
      </c>
      <c r="L2087" s="232" t="s">
        <v>30318</v>
      </c>
      <c r="M2087" s="511"/>
      <c r="N2087" s="312"/>
      <c r="O2087" s="232"/>
      <c r="P2087" s="312"/>
      <c r="Q2087" s="312"/>
      <c r="R2087" s="312"/>
      <c r="S2087" s="312"/>
      <c r="T2087" s="312"/>
      <c r="U2087" s="312"/>
    </row>
    <row r="2088">
      <c r="A2088" s="551">
        <v>44843.0</v>
      </c>
      <c r="B2088" s="232" t="s">
        <v>30319</v>
      </c>
      <c r="C2088" s="509" t="s">
        <v>30320</v>
      </c>
      <c r="D2088" s="312"/>
      <c r="E2088" s="511"/>
      <c r="F2088" s="510" t="s">
        <v>30321</v>
      </c>
      <c r="G2088" s="232" t="s">
        <v>22421</v>
      </c>
      <c r="H2088" s="232">
        <v>-9.167925623E9</v>
      </c>
      <c r="I2088" s="509" t="s">
        <v>23761</v>
      </c>
      <c r="J2088" s="232" t="b">
        <v>0</v>
      </c>
      <c r="K2088" s="232" t="s">
        <v>22365</v>
      </c>
      <c r="L2088" s="232" t="s">
        <v>30322</v>
      </c>
      <c r="M2088" s="511"/>
      <c r="N2088" s="232"/>
      <c r="O2088" s="232"/>
      <c r="P2088" s="312"/>
      <c r="Q2088" s="312"/>
      <c r="R2088" s="312"/>
      <c r="S2088" s="312"/>
      <c r="T2088" s="312"/>
      <c r="U2088" s="312"/>
    </row>
    <row r="2089">
      <c r="A2089" s="551">
        <v>44813.0</v>
      </c>
      <c r="B2089" s="232" t="s">
        <v>30323</v>
      </c>
      <c r="C2089" s="555" t="s">
        <v>26673</v>
      </c>
      <c r="D2089" s="312"/>
      <c r="E2089" s="511"/>
      <c r="F2089" s="510" t="s">
        <v>29840</v>
      </c>
      <c r="G2089" s="553" t="s">
        <v>4944</v>
      </c>
      <c r="H2089" s="232">
        <v>9.110760943E9</v>
      </c>
      <c r="I2089" s="509" t="s">
        <v>25649</v>
      </c>
      <c r="J2089" s="232" t="b">
        <v>0</v>
      </c>
      <c r="K2089" s="312" t="s">
        <v>334</v>
      </c>
      <c r="L2089" s="232" t="s">
        <v>29339</v>
      </c>
      <c r="M2089" s="511"/>
      <c r="N2089" s="312"/>
      <c r="O2089" s="232"/>
      <c r="P2089" s="312"/>
      <c r="Q2089" s="312"/>
      <c r="R2089" s="312"/>
      <c r="S2089" s="312"/>
      <c r="T2089" s="312"/>
      <c r="U2089" s="312"/>
    </row>
    <row r="2090">
      <c r="A2090" s="551">
        <v>44813.0</v>
      </c>
      <c r="B2090" s="232" t="s">
        <v>30324</v>
      </c>
      <c r="C2090" s="556" t="s">
        <v>30325</v>
      </c>
      <c r="D2090" s="312"/>
      <c r="E2090" s="511"/>
      <c r="F2090" s="511"/>
      <c r="G2090" s="232" t="s">
        <v>25015</v>
      </c>
      <c r="H2090" s="232">
        <v>-9.897805824E9</v>
      </c>
      <c r="I2090" s="509" t="s">
        <v>30326</v>
      </c>
      <c r="J2090" s="232" t="b">
        <v>0</v>
      </c>
      <c r="K2090" s="312" t="s">
        <v>334</v>
      </c>
      <c r="L2090" s="232" t="s">
        <v>29408</v>
      </c>
      <c r="M2090" s="511"/>
      <c r="N2090" s="312"/>
      <c r="O2090" s="232"/>
      <c r="P2090" s="312"/>
      <c r="Q2090" s="312"/>
      <c r="R2090" s="312"/>
      <c r="S2090" s="312"/>
      <c r="T2090" s="312"/>
      <c r="U2090" s="312"/>
    </row>
    <row r="2091">
      <c r="A2091" s="551">
        <v>44813.0</v>
      </c>
      <c r="B2091" s="232" t="s">
        <v>30327</v>
      </c>
      <c r="C2091" s="509" t="s">
        <v>30328</v>
      </c>
      <c r="D2091" s="312"/>
      <c r="E2091" s="511"/>
      <c r="F2091" s="510" t="s">
        <v>30329</v>
      </c>
      <c r="G2091" s="232" t="s">
        <v>29248</v>
      </c>
      <c r="H2091" s="232">
        <v>-9.100013257E9</v>
      </c>
      <c r="I2091" s="509" t="s">
        <v>25075</v>
      </c>
      <c r="J2091" s="232" t="b">
        <v>0</v>
      </c>
      <c r="K2091" s="312" t="s">
        <v>12092</v>
      </c>
      <c r="L2091" s="232" t="s">
        <v>30072</v>
      </c>
      <c r="M2091" s="511"/>
      <c r="N2091" s="312"/>
      <c r="O2091" s="232"/>
      <c r="P2091" s="312"/>
      <c r="Q2091" s="312"/>
      <c r="R2091" s="312"/>
      <c r="S2091" s="312"/>
      <c r="T2091" s="312"/>
      <c r="U2091" s="312"/>
    </row>
    <row r="2092">
      <c r="A2092" s="551">
        <v>44813.0</v>
      </c>
      <c r="B2092" s="232" t="s">
        <v>30330</v>
      </c>
      <c r="C2092" s="509" t="s">
        <v>30331</v>
      </c>
      <c r="D2092" s="312"/>
      <c r="E2092" s="510" t="s">
        <v>30332</v>
      </c>
      <c r="F2092" s="510" t="s">
        <v>30333</v>
      </c>
      <c r="G2092" s="232" t="s">
        <v>30334</v>
      </c>
      <c r="H2092" s="232">
        <v>7.259690508E9</v>
      </c>
      <c r="I2092" s="509" t="s">
        <v>30335</v>
      </c>
      <c r="J2092" s="232" t="b">
        <v>0</v>
      </c>
      <c r="K2092" s="232" t="s">
        <v>22365</v>
      </c>
      <c r="L2092" s="232" t="s">
        <v>29336</v>
      </c>
      <c r="M2092" s="511"/>
      <c r="N2092" s="232"/>
      <c r="O2092" s="232"/>
      <c r="P2092" s="312"/>
      <c r="Q2092" s="312"/>
      <c r="R2092" s="312"/>
      <c r="S2092" s="312"/>
      <c r="T2092" s="312"/>
      <c r="U2092" s="312"/>
    </row>
    <row r="2093">
      <c r="A2093" s="551">
        <v>44813.0</v>
      </c>
      <c r="B2093" s="232" t="s">
        <v>30336</v>
      </c>
      <c r="C2093" s="509" t="s">
        <v>30337</v>
      </c>
      <c r="D2093" s="312"/>
      <c r="E2093" s="511"/>
      <c r="F2093" s="510" t="s">
        <v>30338</v>
      </c>
      <c r="G2093" s="232" t="s">
        <v>22542</v>
      </c>
      <c r="H2093" s="232">
        <v>8.76627597E9</v>
      </c>
      <c r="I2093" s="509" t="s">
        <v>22343</v>
      </c>
      <c r="J2093" s="232" t="b">
        <v>0</v>
      </c>
      <c r="K2093" s="232" t="s">
        <v>22365</v>
      </c>
      <c r="L2093" s="232" t="s">
        <v>29336</v>
      </c>
      <c r="M2093" s="511"/>
      <c r="N2093" s="232"/>
      <c r="O2093" s="232"/>
      <c r="P2093" s="312"/>
      <c r="Q2093" s="312"/>
      <c r="R2093" s="312"/>
      <c r="S2093" s="312"/>
      <c r="T2093" s="312"/>
      <c r="U2093" s="312"/>
    </row>
    <row r="2094">
      <c r="A2094" s="551">
        <v>44813.0</v>
      </c>
      <c r="B2094" s="232" t="s">
        <v>30330</v>
      </c>
      <c r="C2094" s="509" t="s">
        <v>24718</v>
      </c>
      <c r="D2094" s="312"/>
      <c r="E2094" s="511"/>
      <c r="F2094" s="510" t="s">
        <v>30339</v>
      </c>
      <c r="G2094" s="232" t="s">
        <v>99</v>
      </c>
      <c r="H2094" s="232">
        <v>7.008552574E9</v>
      </c>
      <c r="I2094" s="509" t="s">
        <v>22822</v>
      </c>
      <c r="J2094" s="232" t="b">
        <v>0</v>
      </c>
      <c r="K2094" s="312" t="s">
        <v>22355</v>
      </c>
      <c r="L2094" s="232" t="s">
        <v>30340</v>
      </c>
      <c r="M2094" s="511"/>
      <c r="N2094" s="312"/>
      <c r="O2094" s="232"/>
      <c r="P2094" s="312"/>
      <c r="Q2094" s="312"/>
      <c r="R2094" s="312"/>
      <c r="S2094" s="312"/>
      <c r="T2094" s="312"/>
      <c r="U2094" s="312"/>
    </row>
    <row r="2095">
      <c r="A2095" s="551">
        <v>44813.0</v>
      </c>
      <c r="B2095" s="232" t="s">
        <v>30336</v>
      </c>
      <c r="C2095" s="509" t="s">
        <v>30341</v>
      </c>
      <c r="D2095" s="312"/>
      <c r="E2095" s="511"/>
      <c r="F2095" s="510" t="s">
        <v>30342</v>
      </c>
      <c r="G2095" s="232" t="s">
        <v>2662</v>
      </c>
      <c r="H2095" s="232">
        <v>-9.841004797E9</v>
      </c>
      <c r="I2095" s="509" t="s">
        <v>22289</v>
      </c>
      <c r="J2095" s="232" t="b">
        <v>0</v>
      </c>
      <c r="K2095" s="232" t="s">
        <v>22365</v>
      </c>
      <c r="L2095" s="232" t="s">
        <v>29336</v>
      </c>
      <c r="M2095" s="511"/>
      <c r="N2095" s="232"/>
      <c r="O2095" s="232"/>
      <c r="P2095" s="312"/>
      <c r="Q2095" s="312"/>
      <c r="R2095" s="312"/>
      <c r="S2095" s="312"/>
      <c r="T2095" s="312"/>
      <c r="U2095" s="312"/>
    </row>
    <row r="2096">
      <c r="A2096" s="551">
        <v>44813.0</v>
      </c>
      <c r="B2096" s="232" t="s">
        <v>30343</v>
      </c>
      <c r="C2096" s="555" t="s">
        <v>30203</v>
      </c>
      <c r="D2096" s="312"/>
      <c r="E2096" s="511"/>
      <c r="F2096" s="557" t="s">
        <v>30204</v>
      </c>
      <c r="G2096" s="232" t="s">
        <v>23612</v>
      </c>
      <c r="H2096" s="232">
        <v>8.27688555E9</v>
      </c>
      <c r="I2096" s="554" t="s">
        <v>22430</v>
      </c>
      <c r="J2096" s="232" t="b">
        <v>0</v>
      </c>
      <c r="K2096" s="232" t="s">
        <v>22365</v>
      </c>
      <c r="L2096" s="232" t="s">
        <v>29336</v>
      </c>
      <c r="M2096" s="511"/>
      <c r="N2096" s="232"/>
      <c r="O2096" s="232"/>
      <c r="P2096" s="312"/>
      <c r="Q2096" s="312"/>
      <c r="R2096" s="312"/>
      <c r="S2096" s="312"/>
      <c r="T2096" s="312"/>
      <c r="U2096" s="312"/>
    </row>
    <row r="2097">
      <c r="A2097" s="551">
        <v>44813.0</v>
      </c>
      <c r="B2097" s="232" t="s">
        <v>30344</v>
      </c>
      <c r="C2097" s="555" t="s">
        <v>30345</v>
      </c>
      <c r="D2097" s="312"/>
      <c r="E2097" s="511"/>
      <c r="F2097" s="511"/>
      <c r="G2097" s="232" t="s">
        <v>23981</v>
      </c>
      <c r="H2097" s="232">
        <v>8.240731062E9</v>
      </c>
      <c r="I2097" s="509" t="s">
        <v>30346</v>
      </c>
      <c r="J2097" s="232" t="b">
        <v>0</v>
      </c>
      <c r="K2097" s="312" t="s">
        <v>334</v>
      </c>
      <c r="L2097" s="232" t="s">
        <v>29408</v>
      </c>
      <c r="M2097" s="511"/>
      <c r="N2097" s="312"/>
      <c r="O2097" s="232"/>
      <c r="P2097" s="312"/>
      <c r="Q2097" s="312"/>
      <c r="R2097" s="312"/>
      <c r="S2097" s="312"/>
      <c r="T2097" s="312"/>
      <c r="U2097" s="312"/>
    </row>
    <row r="2098">
      <c r="A2098" s="551">
        <v>44813.0</v>
      </c>
      <c r="B2098" s="232" t="s">
        <v>30347</v>
      </c>
      <c r="C2098" s="555" t="s">
        <v>30348</v>
      </c>
      <c r="D2098" s="312"/>
      <c r="E2098" s="511"/>
      <c r="F2098" s="511"/>
      <c r="G2098" s="553" t="s">
        <v>158</v>
      </c>
      <c r="H2098" s="553">
        <v>9.87533876E9</v>
      </c>
      <c r="I2098" s="509" t="s">
        <v>28056</v>
      </c>
      <c r="J2098" s="232" t="b">
        <v>0</v>
      </c>
      <c r="K2098" s="312" t="s">
        <v>334</v>
      </c>
      <c r="L2098" s="232" t="s">
        <v>30349</v>
      </c>
      <c r="M2098" s="511"/>
      <c r="N2098" s="312"/>
      <c r="O2098" s="232"/>
      <c r="P2098" s="312"/>
      <c r="Q2098" s="312"/>
      <c r="R2098" s="312"/>
      <c r="S2098" s="312"/>
      <c r="T2098" s="312"/>
      <c r="U2098" s="312"/>
    </row>
    <row r="2099">
      <c r="A2099" s="551">
        <v>44813.0</v>
      </c>
      <c r="B2099" s="232" t="s">
        <v>30350</v>
      </c>
      <c r="C2099" s="555" t="s">
        <v>30351</v>
      </c>
      <c r="D2099" s="312"/>
      <c r="E2099" s="511"/>
      <c r="F2099" s="557" t="s">
        <v>30352</v>
      </c>
      <c r="G2099" s="553" t="s">
        <v>44</v>
      </c>
      <c r="H2099" s="553">
        <v>9.330185417E9</v>
      </c>
      <c r="I2099" s="554" t="s">
        <v>30353</v>
      </c>
      <c r="J2099" s="232" t="b">
        <v>0</v>
      </c>
      <c r="K2099" s="312" t="s">
        <v>12092</v>
      </c>
      <c r="L2099" s="232" t="s">
        <v>30072</v>
      </c>
      <c r="M2099" s="511"/>
      <c r="N2099" s="312"/>
      <c r="O2099" s="232"/>
      <c r="P2099" s="312"/>
      <c r="Q2099" s="312"/>
      <c r="R2099" s="312"/>
      <c r="S2099" s="312"/>
      <c r="T2099" s="312"/>
      <c r="U2099" s="312"/>
    </row>
    <row r="2100">
      <c r="A2100" s="551">
        <v>44813.0</v>
      </c>
      <c r="B2100" s="232" t="s">
        <v>30354</v>
      </c>
      <c r="C2100" s="555" t="s">
        <v>30355</v>
      </c>
      <c r="D2100" s="312"/>
      <c r="E2100" s="511"/>
      <c r="F2100" s="557" t="s">
        <v>30356</v>
      </c>
      <c r="G2100" s="558" t="s">
        <v>30357</v>
      </c>
      <c r="H2100" s="553">
        <v>7.001191921E9</v>
      </c>
      <c r="I2100" s="554" t="s">
        <v>22825</v>
      </c>
      <c r="J2100" s="232" t="b">
        <v>0</v>
      </c>
      <c r="K2100" s="312" t="s">
        <v>334</v>
      </c>
      <c r="L2100" s="232" t="s">
        <v>29408</v>
      </c>
      <c r="M2100" s="511"/>
      <c r="N2100" s="312"/>
      <c r="O2100" s="232"/>
      <c r="P2100" s="312"/>
      <c r="Q2100" s="312"/>
      <c r="R2100" s="312"/>
      <c r="S2100" s="312"/>
      <c r="T2100" s="312"/>
      <c r="U2100" s="312"/>
    </row>
    <row r="2101">
      <c r="A2101" s="551">
        <v>44813.0</v>
      </c>
      <c r="B2101" s="232" t="s">
        <v>30358</v>
      </c>
      <c r="C2101" s="555" t="s">
        <v>30359</v>
      </c>
      <c r="D2101" s="312"/>
      <c r="E2101" s="511"/>
      <c r="F2101" s="557" t="s">
        <v>30360</v>
      </c>
      <c r="G2101" s="553" t="s">
        <v>7516</v>
      </c>
      <c r="H2101" s="232">
        <v>7.978605257E9</v>
      </c>
      <c r="I2101" s="554" t="s">
        <v>30361</v>
      </c>
      <c r="J2101" s="232" t="b">
        <v>0</v>
      </c>
      <c r="K2101" s="312" t="s">
        <v>12092</v>
      </c>
      <c r="L2101" s="232" t="s">
        <v>30072</v>
      </c>
      <c r="M2101" s="511"/>
      <c r="N2101" s="312"/>
      <c r="O2101" s="232"/>
      <c r="P2101" s="312"/>
      <c r="Q2101" s="312"/>
      <c r="R2101" s="312"/>
      <c r="S2101" s="312"/>
      <c r="T2101" s="312"/>
      <c r="U2101" s="312"/>
    </row>
    <row r="2102">
      <c r="A2102" s="551">
        <v>44782.0</v>
      </c>
      <c r="B2102" s="232" t="s">
        <v>30362</v>
      </c>
      <c r="C2102" s="509" t="s">
        <v>30363</v>
      </c>
      <c r="D2102" s="312"/>
      <c r="E2102" s="511"/>
      <c r="F2102" s="511"/>
      <c r="G2102" s="312"/>
      <c r="H2102" s="232">
        <v>9.836376432E9</v>
      </c>
      <c r="I2102" s="509" t="s">
        <v>23871</v>
      </c>
      <c r="J2102" s="232" t="b">
        <v>0</v>
      </c>
      <c r="K2102" s="312" t="s">
        <v>334</v>
      </c>
      <c r="L2102" s="232" t="s">
        <v>30364</v>
      </c>
      <c r="M2102" s="511"/>
      <c r="N2102" s="312"/>
      <c r="O2102" s="232"/>
      <c r="P2102" s="312"/>
      <c r="Q2102" s="312"/>
      <c r="R2102" s="312"/>
      <c r="S2102" s="312"/>
      <c r="T2102" s="312"/>
      <c r="U2102" s="312"/>
    </row>
    <row r="2103">
      <c r="A2103" s="551">
        <v>44782.0</v>
      </c>
      <c r="B2103" s="232" t="s">
        <v>30365</v>
      </c>
      <c r="C2103" s="509" t="s">
        <v>30366</v>
      </c>
      <c r="D2103" s="312"/>
      <c r="E2103" s="511"/>
      <c r="F2103" s="511"/>
      <c r="G2103" s="232" t="s">
        <v>30367</v>
      </c>
      <c r="H2103" s="232">
        <v>9.830792884E9</v>
      </c>
      <c r="I2103" s="509" t="s">
        <v>23871</v>
      </c>
      <c r="J2103" s="232" t="b">
        <v>0</v>
      </c>
      <c r="K2103" s="312" t="s">
        <v>27182</v>
      </c>
      <c r="L2103" s="232" t="s">
        <v>30368</v>
      </c>
      <c r="M2103" s="511"/>
      <c r="N2103" s="312"/>
      <c r="O2103" s="232"/>
      <c r="P2103" s="312"/>
      <c r="Q2103" s="312"/>
      <c r="R2103" s="312"/>
      <c r="S2103" s="312"/>
      <c r="T2103" s="312"/>
      <c r="U2103" s="312"/>
    </row>
    <row r="2104">
      <c r="A2104" s="551">
        <v>44782.0</v>
      </c>
      <c r="B2104" s="232" t="s">
        <v>30369</v>
      </c>
      <c r="C2104" s="509" t="s">
        <v>30370</v>
      </c>
      <c r="D2104" s="312"/>
      <c r="E2104" s="511"/>
      <c r="F2104" s="511"/>
      <c r="G2104" s="232" t="s">
        <v>30371</v>
      </c>
      <c r="H2104" s="232">
        <v>8.348722545E9</v>
      </c>
      <c r="I2104" s="509" t="s">
        <v>27251</v>
      </c>
      <c r="J2104" s="232" t="b">
        <v>0</v>
      </c>
      <c r="K2104" s="232" t="s">
        <v>22365</v>
      </c>
      <c r="L2104" s="232" t="s">
        <v>29336</v>
      </c>
      <c r="M2104" s="511"/>
      <c r="N2104" s="232"/>
      <c r="O2104" s="232"/>
      <c r="P2104" s="312"/>
      <c r="Q2104" s="312"/>
      <c r="R2104" s="312"/>
      <c r="S2104" s="312"/>
      <c r="T2104" s="312"/>
      <c r="U2104" s="312"/>
    </row>
    <row r="2105">
      <c r="A2105" s="551">
        <v>44782.0</v>
      </c>
      <c r="B2105" s="232" t="s">
        <v>30372</v>
      </c>
      <c r="C2105" s="509" t="s">
        <v>30373</v>
      </c>
      <c r="D2105" s="312"/>
      <c r="E2105" s="511"/>
      <c r="F2105" s="511"/>
      <c r="G2105" s="232" t="s">
        <v>23981</v>
      </c>
      <c r="H2105" s="232">
        <v>8.240731062E9</v>
      </c>
      <c r="I2105" s="509" t="s">
        <v>26796</v>
      </c>
      <c r="J2105" s="232" t="b">
        <v>0</v>
      </c>
      <c r="K2105" s="312" t="s">
        <v>334</v>
      </c>
      <c r="L2105" s="232" t="s">
        <v>30374</v>
      </c>
      <c r="M2105" s="511"/>
      <c r="N2105" s="312"/>
      <c r="O2105" s="232"/>
      <c r="P2105" s="312"/>
      <c r="Q2105" s="312"/>
      <c r="R2105" s="312"/>
      <c r="S2105" s="312"/>
      <c r="T2105" s="312"/>
      <c r="U2105" s="312"/>
    </row>
    <row r="2106">
      <c r="A2106" s="551">
        <v>44782.0</v>
      </c>
      <c r="B2106" s="232" t="s">
        <v>30375</v>
      </c>
      <c r="C2106" s="559" t="s">
        <v>15144</v>
      </c>
      <c r="D2106" s="312"/>
      <c r="E2106" s="511"/>
      <c r="F2106" s="557" t="s">
        <v>30376</v>
      </c>
      <c r="G2106" s="553" t="s">
        <v>44</v>
      </c>
      <c r="H2106" s="553">
        <v>9.899033457E9</v>
      </c>
      <c r="I2106" s="554" t="s">
        <v>22278</v>
      </c>
      <c r="J2106" s="232" t="b">
        <v>0</v>
      </c>
      <c r="K2106" s="312"/>
      <c r="L2106" s="232" t="s">
        <v>30377</v>
      </c>
      <c r="M2106" s="511"/>
      <c r="N2106" s="312"/>
      <c r="O2106" s="232"/>
      <c r="P2106" s="312"/>
      <c r="Q2106" s="312"/>
      <c r="R2106" s="312"/>
      <c r="S2106" s="312"/>
      <c r="T2106" s="312"/>
      <c r="U2106" s="312"/>
    </row>
    <row r="2107">
      <c r="A2107" s="551">
        <v>44782.0</v>
      </c>
      <c r="B2107" s="232" t="s">
        <v>30378</v>
      </c>
      <c r="C2107" s="555" t="s">
        <v>30379</v>
      </c>
      <c r="D2107" s="312"/>
      <c r="E2107" s="510">
        <v>2.0</v>
      </c>
      <c r="F2107" s="557" t="s">
        <v>30380</v>
      </c>
      <c r="G2107" s="553" t="s">
        <v>44</v>
      </c>
      <c r="H2107" s="553">
        <v>9.163006786E9</v>
      </c>
      <c r="I2107" s="554" t="s">
        <v>30381</v>
      </c>
      <c r="J2107" s="232" t="b">
        <v>0</v>
      </c>
      <c r="K2107" s="232" t="s">
        <v>22365</v>
      </c>
      <c r="L2107" s="232" t="s">
        <v>30382</v>
      </c>
      <c r="M2107" s="511"/>
      <c r="N2107" s="232"/>
      <c r="O2107" s="232"/>
      <c r="P2107" s="312"/>
      <c r="Q2107" s="312"/>
      <c r="R2107" s="312"/>
      <c r="S2107" s="312"/>
      <c r="T2107" s="312"/>
      <c r="U2107" s="312"/>
    </row>
    <row r="2108">
      <c r="A2108" s="551">
        <v>44782.0</v>
      </c>
      <c r="B2108" s="232" t="s">
        <v>30383</v>
      </c>
      <c r="C2108" s="555" t="s">
        <v>30384</v>
      </c>
      <c r="D2108" s="312"/>
      <c r="E2108" s="511"/>
      <c r="F2108" s="557" t="s">
        <v>30385</v>
      </c>
      <c r="G2108" s="553" t="s">
        <v>30386</v>
      </c>
      <c r="H2108" s="553">
        <v>9.437592803E9</v>
      </c>
      <c r="I2108" s="554" t="s">
        <v>22373</v>
      </c>
      <c r="J2108" s="232" t="b">
        <v>0</v>
      </c>
      <c r="K2108" s="232" t="s">
        <v>29223</v>
      </c>
      <c r="L2108" s="232" t="s">
        <v>29792</v>
      </c>
      <c r="M2108" s="511"/>
      <c r="N2108" s="232"/>
      <c r="O2108" s="232"/>
      <c r="P2108" s="312"/>
      <c r="Q2108" s="312"/>
      <c r="R2108" s="312"/>
      <c r="S2108" s="312"/>
      <c r="T2108" s="312"/>
      <c r="U2108" s="312"/>
    </row>
    <row r="2109">
      <c r="A2109" s="551">
        <v>44782.0</v>
      </c>
      <c r="B2109" s="232" t="s">
        <v>30387</v>
      </c>
      <c r="C2109" s="509" t="s">
        <v>30388</v>
      </c>
      <c r="D2109" s="312"/>
      <c r="E2109" s="511"/>
      <c r="F2109" s="511"/>
      <c r="G2109" s="553" t="s">
        <v>30389</v>
      </c>
      <c r="H2109" s="553">
        <v>9.031753247E9</v>
      </c>
      <c r="I2109" s="554" t="s">
        <v>22289</v>
      </c>
      <c r="J2109" s="232" t="b">
        <v>0</v>
      </c>
      <c r="K2109" s="232" t="s">
        <v>22365</v>
      </c>
      <c r="L2109" s="232" t="s">
        <v>29336</v>
      </c>
      <c r="M2109" s="511"/>
      <c r="N2109" s="232"/>
      <c r="O2109" s="232"/>
      <c r="P2109" s="312"/>
      <c r="Q2109" s="312"/>
      <c r="R2109" s="312"/>
      <c r="S2109" s="312"/>
      <c r="T2109" s="312"/>
      <c r="U2109" s="312"/>
    </row>
    <row r="2110">
      <c r="A2110" s="551">
        <v>44782.0</v>
      </c>
      <c r="B2110" s="232" t="s">
        <v>30390</v>
      </c>
      <c r="C2110" s="509" t="s">
        <v>30391</v>
      </c>
      <c r="D2110" s="312"/>
      <c r="E2110" s="511"/>
      <c r="F2110" s="510" t="s">
        <v>30392</v>
      </c>
      <c r="G2110" s="232" t="s">
        <v>24746</v>
      </c>
      <c r="H2110" s="232">
        <v>8.969842348E9</v>
      </c>
      <c r="I2110" s="554" t="s">
        <v>23661</v>
      </c>
      <c r="J2110" s="232" t="b">
        <v>0</v>
      </c>
      <c r="K2110" s="312" t="s">
        <v>12092</v>
      </c>
      <c r="L2110" s="232" t="s">
        <v>30393</v>
      </c>
      <c r="M2110" s="511"/>
      <c r="N2110" s="312"/>
      <c r="O2110" s="232"/>
      <c r="P2110" s="312"/>
      <c r="Q2110" s="312"/>
      <c r="R2110" s="312"/>
      <c r="S2110" s="312"/>
      <c r="T2110" s="312"/>
      <c r="U2110" s="312"/>
    </row>
    <row r="2111">
      <c r="A2111" s="551">
        <v>44782.0</v>
      </c>
      <c r="B2111" s="232" t="s">
        <v>30394</v>
      </c>
      <c r="C2111" s="509" t="s">
        <v>20115</v>
      </c>
      <c r="D2111" s="312"/>
      <c r="E2111" s="511"/>
      <c r="F2111" s="510" t="s">
        <v>30395</v>
      </c>
      <c r="G2111" s="232" t="s">
        <v>22770</v>
      </c>
      <c r="H2111" s="232">
        <v>9.910110224E9</v>
      </c>
      <c r="I2111" s="509" t="s">
        <v>22373</v>
      </c>
      <c r="J2111" s="232" t="b">
        <v>0</v>
      </c>
      <c r="K2111" s="232" t="s">
        <v>22365</v>
      </c>
      <c r="L2111" s="232" t="s">
        <v>30396</v>
      </c>
      <c r="M2111" s="511"/>
      <c r="N2111" s="232"/>
      <c r="O2111" s="232"/>
      <c r="P2111" s="312"/>
      <c r="Q2111" s="312"/>
      <c r="R2111" s="312"/>
      <c r="S2111" s="312"/>
      <c r="T2111" s="312"/>
      <c r="U2111" s="312"/>
    </row>
    <row r="2112">
      <c r="A2112" s="551">
        <v>44782.0</v>
      </c>
      <c r="B2112" s="232" t="s">
        <v>30397</v>
      </c>
      <c r="C2112" s="509" t="s">
        <v>30398</v>
      </c>
      <c r="D2112" s="312"/>
      <c r="E2112" s="511"/>
      <c r="F2112" s="511"/>
      <c r="G2112" s="232" t="s">
        <v>22960</v>
      </c>
      <c r="H2112" s="232">
        <v>-9.885934953E9</v>
      </c>
      <c r="I2112" s="509" t="s">
        <v>4786</v>
      </c>
      <c r="J2112" s="232" t="b">
        <v>0</v>
      </c>
      <c r="K2112" s="312" t="s">
        <v>334</v>
      </c>
      <c r="L2112" s="232" t="s">
        <v>30399</v>
      </c>
      <c r="M2112" s="511"/>
      <c r="N2112" s="312"/>
      <c r="O2112" s="232"/>
      <c r="P2112" s="312"/>
      <c r="Q2112" s="312"/>
      <c r="R2112" s="312"/>
      <c r="S2112" s="312"/>
      <c r="T2112" s="312"/>
      <c r="U2112" s="312"/>
    </row>
    <row r="2113">
      <c r="A2113" s="551">
        <v>44782.0</v>
      </c>
      <c r="B2113" s="232" t="s">
        <v>30400</v>
      </c>
      <c r="C2113" s="509" t="s">
        <v>30401</v>
      </c>
      <c r="D2113" s="312"/>
      <c r="E2113" s="511"/>
      <c r="F2113" s="511"/>
      <c r="G2113" s="232" t="s">
        <v>22429</v>
      </c>
      <c r="H2113" s="232">
        <v>9.830033474E9</v>
      </c>
      <c r="I2113" s="509" t="s">
        <v>29806</v>
      </c>
      <c r="J2113" s="232" t="b">
        <v>0</v>
      </c>
      <c r="K2113" s="232" t="s">
        <v>22365</v>
      </c>
      <c r="L2113" s="232" t="s">
        <v>29336</v>
      </c>
      <c r="M2113" s="511"/>
      <c r="N2113" s="232"/>
      <c r="O2113" s="232"/>
      <c r="P2113" s="312"/>
      <c r="Q2113" s="312"/>
      <c r="R2113" s="312"/>
      <c r="S2113" s="312"/>
      <c r="T2113" s="312"/>
      <c r="U2113" s="312"/>
    </row>
    <row r="2114">
      <c r="A2114" s="551">
        <v>44782.0</v>
      </c>
      <c r="B2114" s="232" t="s">
        <v>30402</v>
      </c>
      <c r="C2114" s="509" t="s">
        <v>30403</v>
      </c>
      <c r="D2114" s="312"/>
      <c r="E2114" s="511"/>
      <c r="F2114" s="510" t="s">
        <v>29846</v>
      </c>
      <c r="G2114" s="232" t="s">
        <v>30404</v>
      </c>
      <c r="H2114" s="232">
        <v>8.522081835E9</v>
      </c>
      <c r="I2114" s="509" t="s">
        <v>30405</v>
      </c>
      <c r="J2114" s="232" t="b">
        <v>0</v>
      </c>
      <c r="K2114" s="232" t="s">
        <v>22365</v>
      </c>
      <c r="L2114" s="232" t="s">
        <v>29336</v>
      </c>
      <c r="M2114" s="511"/>
      <c r="N2114" s="232"/>
      <c r="O2114" s="232"/>
      <c r="P2114" s="312"/>
      <c r="Q2114" s="312"/>
      <c r="R2114" s="312"/>
      <c r="S2114" s="312"/>
      <c r="T2114" s="312"/>
      <c r="U2114" s="312"/>
    </row>
    <row r="2115">
      <c r="A2115" s="551">
        <v>44782.0</v>
      </c>
      <c r="B2115" s="232" t="s">
        <v>30406</v>
      </c>
      <c r="C2115" s="509" t="s">
        <v>30407</v>
      </c>
      <c r="D2115" s="312"/>
      <c r="E2115" s="511"/>
      <c r="F2115" s="510" t="s">
        <v>30408</v>
      </c>
      <c r="G2115" s="232" t="s">
        <v>0</v>
      </c>
      <c r="H2115" s="232">
        <v>9.137536797E9</v>
      </c>
      <c r="I2115" s="509" t="s">
        <v>22343</v>
      </c>
      <c r="J2115" s="514" t="b">
        <v>0</v>
      </c>
      <c r="K2115" s="312" t="s">
        <v>12092</v>
      </c>
      <c r="L2115" s="514" t="s">
        <v>30072</v>
      </c>
      <c r="M2115" s="511"/>
      <c r="N2115" s="312"/>
      <c r="O2115" s="514"/>
      <c r="P2115" s="312"/>
      <c r="Q2115" s="312"/>
      <c r="R2115" s="312"/>
      <c r="S2115" s="312"/>
      <c r="T2115" s="312"/>
      <c r="U2115" s="312"/>
    </row>
    <row r="2116">
      <c r="A2116" s="551">
        <v>44782.0</v>
      </c>
      <c r="B2116" s="232" t="s">
        <v>30409</v>
      </c>
      <c r="C2116" s="509" t="s">
        <v>30391</v>
      </c>
      <c r="D2116" s="312"/>
      <c r="E2116" s="511"/>
      <c r="F2116" s="510" t="s">
        <v>30392</v>
      </c>
      <c r="G2116" s="232" t="s">
        <v>184</v>
      </c>
      <c r="H2116" s="232">
        <v>8.969842348E9</v>
      </c>
      <c r="I2116" s="509" t="s">
        <v>23661</v>
      </c>
      <c r="J2116" s="232" t="b">
        <v>0</v>
      </c>
      <c r="K2116" s="312" t="s">
        <v>334</v>
      </c>
      <c r="L2116" s="232" t="s">
        <v>29339</v>
      </c>
      <c r="M2116" s="511"/>
      <c r="N2116" s="312"/>
      <c r="O2116" s="232"/>
      <c r="P2116" s="312"/>
      <c r="Q2116" s="312"/>
      <c r="R2116" s="312"/>
      <c r="S2116" s="312"/>
      <c r="T2116" s="312"/>
      <c r="U2116" s="312"/>
    </row>
    <row r="2117">
      <c r="A2117" s="551">
        <v>44782.0</v>
      </c>
      <c r="B2117" s="232" t="s">
        <v>30410</v>
      </c>
      <c r="C2117" s="509" t="s">
        <v>30411</v>
      </c>
      <c r="D2117" s="312"/>
      <c r="E2117" s="511"/>
      <c r="F2117" s="510" t="s">
        <v>30412</v>
      </c>
      <c r="G2117" s="232" t="s">
        <v>22844</v>
      </c>
      <c r="H2117" s="232">
        <v>9.136166418E9</v>
      </c>
      <c r="I2117" s="509" t="s">
        <v>22278</v>
      </c>
      <c r="J2117" s="232" t="b">
        <v>0</v>
      </c>
      <c r="K2117" s="312" t="s">
        <v>12092</v>
      </c>
      <c r="L2117" s="232" t="s">
        <v>30072</v>
      </c>
      <c r="M2117" s="511"/>
      <c r="N2117" s="312"/>
      <c r="O2117" s="232"/>
      <c r="P2117" s="312"/>
      <c r="Q2117" s="312"/>
      <c r="R2117" s="312"/>
      <c r="S2117" s="312"/>
      <c r="T2117" s="312"/>
      <c r="U2117" s="312"/>
    </row>
    <row r="2118">
      <c r="A2118" s="551">
        <v>44782.0</v>
      </c>
      <c r="B2118" s="232" t="s">
        <v>30413</v>
      </c>
      <c r="C2118" s="509" t="s">
        <v>30414</v>
      </c>
      <c r="D2118" s="312"/>
      <c r="E2118" s="511"/>
      <c r="F2118" s="510" t="s">
        <v>30415</v>
      </c>
      <c r="G2118" s="232" t="s">
        <v>23593</v>
      </c>
      <c r="H2118" s="232">
        <v>9.8189871E9</v>
      </c>
      <c r="I2118" s="509" t="s">
        <v>30416</v>
      </c>
      <c r="J2118" s="232" t="b">
        <v>0</v>
      </c>
      <c r="K2118" s="312" t="s">
        <v>334</v>
      </c>
      <c r="L2118" s="232" t="s">
        <v>30417</v>
      </c>
      <c r="M2118" s="511"/>
      <c r="N2118" s="312"/>
      <c r="O2118" s="232"/>
      <c r="P2118" s="312"/>
      <c r="Q2118" s="312"/>
      <c r="R2118" s="312"/>
      <c r="S2118" s="312"/>
      <c r="T2118" s="312"/>
      <c r="U2118" s="312"/>
    </row>
    <row r="2119">
      <c r="A2119" s="551">
        <v>44782.0</v>
      </c>
      <c r="B2119" s="232" t="s">
        <v>30418</v>
      </c>
      <c r="C2119" s="509" t="s">
        <v>30388</v>
      </c>
      <c r="D2119" s="312"/>
      <c r="E2119" s="510">
        <v>50.0</v>
      </c>
      <c r="F2119" s="511"/>
      <c r="G2119" s="232" t="s">
        <v>25888</v>
      </c>
      <c r="H2119" s="232">
        <v>9.031753247E9</v>
      </c>
      <c r="I2119" s="509" t="s">
        <v>29629</v>
      </c>
      <c r="J2119" s="232" t="b">
        <v>0</v>
      </c>
      <c r="K2119" s="232" t="s">
        <v>22365</v>
      </c>
      <c r="L2119" s="232" t="s">
        <v>29336</v>
      </c>
      <c r="M2119" s="511"/>
      <c r="N2119" s="232"/>
      <c r="O2119" s="232"/>
      <c r="P2119" s="312"/>
      <c r="Q2119" s="312"/>
      <c r="R2119" s="312"/>
      <c r="S2119" s="312"/>
      <c r="T2119" s="312"/>
      <c r="U2119" s="312"/>
    </row>
    <row r="2120">
      <c r="A2120" s="551">
        <v>44782.0</v>
      </c>
      <c r="B2120" s="232" t="s">
        <v>30419</v>
      </c>
      <c r="C2120" s="509" t="s">
        <v>30420</v>
      </c>
      <c r="D2120" s="312"/>
      <c r="E2120" s="510">
        <v>10.0</v>
      </c>
      <c r="F2120" s="510" t="s">
        <v>29787</v>
      </c>
      <c r="G2120" s="232" t="s">
        <v>22844</v>
      </c>
      <c r="H2120" s="232">
        <v>-8.669045041E9</v>
      </c>
      <c r="I2120" s="509" t="s">
        <v>29806</v>
      </c>
      <c r="J2120" s="232" t="b">
        <v>0</v>
      </c>
      <c r="K2120" s="312" t="s">
        <v>334</v>
      </c>
      <c r="L2120" s="232" t="s">
        <v>29408</v>
      </c>
      <c r="M2120" s="511"/>
      <c r="N2120" s="312"/>
      <c r="O2120" s="232"/>
      <c r="P2120" s="312"/>
      <c r="Q2120" s="312"/>
      <c r="R2120" s="312"/>
      <c r="S2120" s="312"/>
      <c r="T2120" s="312"/>
      <c r="U2120" s="312"/>
    </row>
    <row r="2121">
      <c r="A2121" s="551">
        <v>44782.0</v>
      </c>
      <c r="B2121" s="232" t="s">
        <v>30421</v>
      </c>
      <c r="C2121" s="509" t="s">
        <v>30422</v>
      </c>
      <c r="D2121" s="312"/>
      <c r="E2121" s="510">
        <v>5.0</v>
      </c>
      <c r="F2121" s="510" t="s">
        <v>30423</v>
      </c>
      <c r="G2121" s="232" t="s">
        <v>107</v>
      </c>
      <c r="H2121" s="232">
        <v>9.55573107E9</v>
      </c>
      <c r="I2121" s="509" t="s">
        <v>30424</v>
      </c>
      <c r="J2121" s="232" t="b">
        <v>0</v>
      </c>
      <c r="K2121" s="312" t="s">
        <v>334</v>
      </c>
      <c r="L2121" s="232" t="s">
        <v>30425</v>
      </c>
      <c r="M2121" s="511"/>
      <c r="N2121" s="312"/>
      <c r="O2121" s="232"/>
      <c r="P2121" s="312"/>
      <c r="Q2121" s="312"/>
      <c r="R2121" s="312"/>
      <c r="S2121" s="312"/>
      <c r="T2121" s="312"/>
      <c r="U2121" s="312"/>
    </row>
    <row r="2122">
      <c r="A2122" s="551">
        <v>44751.0</v>
      </c>
      <c r="B2122" s="232" t="s">
        <v>30426</v>
      </c>
      <c r="C2122" s="509" t="s">
        <v>30427</v>
      </c>
      <c r="D2122" s="312"/>
      <c r="E2122" s="560"/>
      <c r="F2122" s="511"/>
      <c r="G2122" s="232" t="s">
        <v>30428</v>
      </c>
      <c r="H2122" s="232">
        <v>9.330080943E9</v>
      </c>
      <c r="I2122" s="509" t="s">
        <v>28085</v>
      </c>
      <c r="J2122" s="232" t="b">
        <v>0</v>
      </c>
      <c r="K2122" s="232" t="s">
        <v>22365</v>
      </c>
      <c r="L2122" s="232" t="s">
        <v>29336</v>
      </c>
      <c r="M2122" s="511"/>
      <c r="N2122" s="232"/>
      <c r="O2122" s="232"/>
      <c r="P2122" s="312"/>
      <c r="Q2122" s="312"/>
      <c r="R2122" s="312"/>
      <c r="S2122" s="312"/>
      <c r="T2122" s="312"/>
      <c r="U2122" s="312"/>
    </row>
    <row r="2123">
      <c r="A2123" s="551">
        <v>44751.0</v>
      </c>
      <c r="B2123" s="232" t="s">
        <v>30429</v>
      </c>
      <c r="C2123" s="509" t="s">
        <v>30430</v>
      </c>
      <c r="D2123" s="312"/>
      <c r="E2123" s="511"/>
      <c r="F2123" s="510" t="s">
        <v>30431</v>
      </c>
      <c r="G2123" s="232" t="s">
        <v>467</v>
      </c>
      <c r="H2123" s="232">
        <v>9.897435978E9</v>
      </c>
      <c r="I2123" s="509" t="s">
        <v>29129</v>
      </c>
      <c r="J2123" s="232" t="b">
        <v>0</v>
      </c>
      <c r="K2123" s="232" t="s">
        <v>22365</v>
      </c>
      <c r="L2123" s="232" t="s">
        <v>29336</v>
      </c>
      <c r="M2123" s="511"/>
      <c r="N2123" s="232"/>
      <c r="O2123" s="232"/>
      <c r="P2123" s="312"/>
      <c r="Q2123" s="312"/>
      <c r="R2123" s="312"/>
      <c r="S2123" s="312"/>
      <c r="T2123" s="312"/>
      <c r="U2123" s="312"/>
    </row>
    <row r="2124">
      <c r="A2124" s="551">
        <v>44751.0</v>
      </c>
      <c r="B2124" s="232" t="s">
        <v>30432</v>
      </c>
      <c r="C2124" s="509" t="s">
        <v>25772</v>
      </c>
      <c r="D2124" s="312"/>
      <c r="E2124" s="511"/>
      <c r="F2124" s="510" t="s">
        <v>30433</v>
      </c>
      <c r="G2124" s="232" t="s">
        <v>22960</v>
      </c>
      <c r="H2124" s="232">
        <v>8.610383008E9</v>
      </c>
      <c r="I2124" s="509" t="s">
        <v>22370</v>
      </c>
      <c r="J2124" s="232" t="b">
        <v>0</v>
      </c>
      <c r="K2124" s="312" t="s">
        <v>22349</v>
      </c>
      <c r="L2124" s="232" t="s">
        <v>29235</v>
      </c>
      <c r="M2124" s="511"/>
      <c r="N2124" s="312"/>
      <c r="O2124" s="232"/>
      <c r="P2124" s="312"/>
      <c r="Q2124" s="312"/>
      <c r="R2124" s="312"/>
      <c r="S2124" s="312"/>
      <c r="T2124" s="312"/>
      <c r="U2124" s="312"/>
    </row>
    <row r="2125">
      <c r="A2125" s="551">
        <v>44751.0</v>
      </c>
      <c r="B2125" s="232" t="s">
        <v>30434</v>
      </c>
      <c r="C2125" s="509" t="s">
        <v>30435</v>
      </c>
      <c r="D2125" s="312"/>
      <c r="E2125" s="511"/>
      <c r="F2125" s="510" t="s">
        <v>30436</v>
      </c>
      <c r="G2125" s="232" t="s">
        <v>22960</v>
      </c>
      <c r="H2125" s="232">
        <v>-9.78808339E9</v>
      </c>
      <c r="I2125" s="509" t="s">
        <v>22961</v>
      </c>
      <c r="J2125" s="232" t="b">
        <v>0</v>
      </c>
      <c r="K2125" s="312" t="s">
        <v>334</v>
      </c>
      <c r="L2125" s="232" t="s">
        <v>29408</v>
      </c>
      <c r="M2125" s="511"/>
      <c r="N2125" s="312"/>
      <c r="O2125" s="232"/>
      <c r="P2125" s="312"/>
      <c r="Q2125" s="312"/>
      <c r="R2125" s="312"/>
      <c r="S2125" s="312"/>
      <c r="T2125" s="312"/>
      <c r="U2125" s="312"/>
    </row>
    <row r="2126">
      <c r="A2126" s="551">
        <v>44751.0</v>
      </c>
      <c r="B2126" s="232" t="s">
        <v>30437</v>
      </c>
      <c r="C2126" s="509" t="s">
        <v>24791</v>
      </c>
      <c r="D2126" s="312"/>
      <c r="E2126" s="511"/>
      <c r="F2126" s="510" t="s">
        <v>30438</v>
      </c>
      <c r="G2126" s="232" t="s">
        <v>22564</v>
      </c>
      <c r="H2126" s="232">
        <v>7.97750524E9</v>
      </c>
      <c r="I2126" s="509" t="s">
        <v>22373</v>
      </c>
      <c r="J2126" s="232" t="b">
        <v>0</v>
      </c>
      <c r="K2126" s="232" t="s">
        <v>22365</v>
      </c>
      <c r="L2126" s="232" t="s">
        <v>29336</v>
      </c>
      <c r="M2126" s="511"/>
      <c r="N2126" s="232"/>
      <c r="O2126" s="232"/>
      <c r="P2126" s="312"/>
      <c r="Q2126" s="312"/>
      <c r="R2126" s="312"/>
      <c r="S2126" s="312"/>
      <c r="T2126" s="312"/>
      <c r="U2126" s="312"/>
    </row>
    <row r="2127">
      <c r="A2127" s="551">
        <v>44751.0</v>
      </c>
      <c r="B2127" s="232" t="s">
        <v>30439</v>
      </c>
      <c r="C2127" s="509" t="s">
        <v>30440</v>
      </c>
      <c r="D2127" s="312"/>
      <c r="E2127" s="511"/>
      <c r="F2127" s="510" t="s">
        <v>30441</v>
      </c>
      <c r="G2127" s="232" t="s">
        <v>507</v>
      </c>
      <c r="H2127" s="232">
        <v>8.698656849E9</v>
      </c>
      <c r="I2127" s="509" t="s">
        <v>22961</v>
      </c>
      <c r="J2127" s="232" t="b">
        <v>0</v>
      </c>
      <c r="K2127" s="312" t="s">
        <v>22355</v>
      </c>
      <c r="L2127" s="232" t="s">
        <v>29936</v>
      </c>
      <c r="M2127" s="511"/>
      <c r="N2127" s="312"/>
      <c r="O2127" s="232"/>
      <c r="P2127" s="312"/>
      <c r="Q2127" s="312"/>
      <c r="R2127" s="312"/>
      <c r="S2127" s="312"/>
      <c r="T2127" s="312"/>
      <c r="U2127" s="312"/>
    </row>
    <row r="2128">
      <c r="A2128" s="551">
        <v>44751.0</v>
      </c>
      <c r="B2128" s="232" t="s">
        <v>30442</v>
      </c>
      <c r="C2128" s="509" t="s">
        <v>30443</v>
      </c>
      <c r="D2128" s="312"/>
      <c r="E2128" s="511"/>
      <c r="F2128" s="510" t="s">
        <v>30444</v>
      </c>
      <c r="G2128" s="232" t="s">
        <v>30445</v>
      </c>
      <c r="H2128" s="232">
        <v>9.862673989E9</v>
      </c>
      <c r="I2128" s="509" t="s">
        <v>22373</v>
      </c>
      <c r="J2128" s="232" t="b">
        <v>0</v>
      </c>
      <c r="K2128" s="312" t="s">
        <v>334</v>
      </c>
      <c r="L2128" s="232" t="s">
        <v>28599</v>
      </c>
      <c r="M2128" s="511"/>
      <c r="N2128" s="312"/>
      <c r="O2128" s="232"/>
      <c r="P2128" s="312"/>
      <c r="Q2128" s="312"/>
      <c r="R2128" s="312"/>
      <c r="S2128" s="312"/>
      <c r="T2128" s="312"/>
      <c r="U2128" s="312"/>
    </row>
    <row r="2129">
      <c r="A2129" s="551">
        <v>44751.0</v>
      </c>
      <c r="B2129" s="232" t="s">
        <v>30446</v>
      </c>
      <c r="C2129" s="509" t="s">
        <v>474</v>
      </c>
      <c r="D2129" s="312"/>
      <c r="E2129" s="511"/>
      <c r="F2129" s="510" t="s">
        <v>30447</v>
      </c>
      <c r="G2129" s="232" t="s">
        <v>22960</v>
      </c>
      <c r="H2129" s="232">
        <v>9.08090756E9</v>
      </c>
      <c r="I2129" s="509" t="s">
        <v>30448</v>
      </c>
      <c r="J2129" s="232" t="b">
        <v>0</v>
      </c>
      <c r="K2129" s="312" t="s">
        <v>334</v>
      </c>
      <c r="L2129" s="232" t="s">
        <v>30449</v>
      </c>
      <c r="M2129" s="510"/>
      <c r="N2129" s="312"/>
      <c r="O2129" s="232"/>
      <c r="P2129" s="312"/>
      <c r="Q2129" s="312"/>
      <c r="R2129" s="312"/>
      <c r="S2129" s="312"/>
      <c r="T2129" s="312"/>
      <c r="U2129" s="312"/>
    </row>
    <row r="2130">
      <c r="A2130" s="551">
        <v>44751.0</v>
      </c>
      <c r="B2130" s="232" t="s">
        <v>30450</v>
      </c>
      <c r="C2130" s="509" t="s">
        <v>17993</v>
      </c>
      <c r="D2130" s="312"/>
      <c r="E2130" s="511"/>
      <c r="F2130" s="510" t="s">
        <v>30451</v>
      </c>
      <c r="G2130" s="232" t="s">
        <v>467</v>
      </c>
      <c r="H2130" s="232">
        <v>7.007802676E9</v>
      </c>
      <c r="I2130" s="509" t="s">
        <v>30452</v>
      </c>
      <c r="J2130" s="232" t="b">
        <v>0</v>
      </c>
      <c r="K2130" s="312" t="s">
        <v>12092</v>
      </c>
      <c r="L2130" s="232" t="s">
        <v>30072</v>
      </c>
      <c r="M2130" s="511"/>
      <c r="N2130" s="312"/>
      <c r="O2130" s="232"/>
      <c r="P2130" s="312"/>
      <c r="Q2130" s="312"/>
      <c r="R2130" s="312"/>
      <c r="S2130" s="312"/>
      <c r="T2130" s="312"/>
      <c r="U2130" s="312"/>
    </row>
    <row r="2131">
      <c r="A2131" s="551">
        <v>44751.0</v>
      </c>
      <c r="B2131" s="232" t="s">
        <v>30453</v>
      </c>
      <c r="C2131" s="561" t="s">
        <v>30454</v>
      </c>
      <c r="D2131" s="312"/>
      <c r="E2131" s="511"/>
      <c r="F2131" s="510" t="s">
        <v>30455</v>
      </c>
      <c r="G2131" s="232" t="s">
        <v>30456</v>
      </c>
      <c r="H2131" s="232">
        <v>8.507453136E9</v>
      </c>
      <c r="I2131" s="509" t="s">
        <v>27251</v>
      </c>
      <c r="J2131" s="232" t="b">
        <v>0</v>
      </c>
      <c r="K2131" s="232" t="s">
        <v>22365</v>
      </c>
      <c r="L2131" s="232" t="s">
        <v>29336</v>
      </c>
      <c r="M2131" s="511"/>
      <c r="N2131" s="232"/>
      <c r="O2131" s="232"/>
      <c r="P2131" s="312"/>
      <c r="Q2131" s="312"/>
      <c r="R2131" s="312"/>
      <c r="S2131" s="312"/>
      <c r="T2131" s="312"/>
      <c r="U2131" s="312"/>
    </row>
    <row r="2132">
      <c r="A2132" s="551">
        <v>44751.0</v>
      </c>
      <c r="B2132" s="232" t="s">
        <v>30457</v>
      </c>
      <c r="C2132" s="509" t="s">
        <v>30458</v>
      </c>
      <c r="D2132" s="312"/>
      <c r="E2132" s="510">
        <v>1.0</v>
      </c>
      <c r="F2132" s="510" t="s">
        <v>30459</v>
      </c>
      <c r="G2132" s="232" t="s">
        <v>467</v>
      </c>
      <c r="H2132" s="232">
        <v>9.820911696E9</v>
      </c>
      <c r="I2132" s="509" t="s">
        <v>30460</v>
      </c>
      <c r="J2132" s="232" t="b">
        <v>0</v>
      </c>
      <c r="K2132" s="312" t="s">
        <v>12092</v>
      </c>
      <c r="L2132" s="232" t="s">
        <v>30072</v>
      </c>
      <c r="M2132" s="511"/>
      <c r="N2132" s="312"/>
      <c r="O2132" s="232"/>
      <c r="P2132" s="312"/>
      <c r="Q2132" s="312"/>
      <c r="R2132" s="312"/>
      <c r="S2132" s="312"/>
      <c r="T2132" s="312"/>
      <c r="U2132" s="312"/>
    </row>
    <row r="2133">
      <c r="A2133" s="551">
        <v>44751.0</v>
      </c>
      <c r="B2133" s="232" t="s">
        <v>30461</v>
      </c>
      <c r="C2133" s="555" t="s">
        <v>30462</v>
      </c>
      <c r="D2133" s="312"/>
      <c r="E2133" s="511"/>
      <c r="F2133" s="557"/>
      <c r="G2133" s="553" t="s">
        <v>30463</v>
      </c>
      <c r="H2133" s="553">
        <v>9.146170404E9</v>
      </c>
      <c r="I2133" s="554" t="s">
        <v>28056</v>
      </c>
      <c r="J2133" s="232" t="b">
        <v>0</v>
      </c>
      <c r="K2133" s="312" t="s">
        <v>334</v>
      </c>
      <c r="L2133" s="232" t="s">
        <v>29361</v>
      </c>
      <c r="M2133" s="511"/>
      <c r="N2133" s="312"/>
      <c r="O2133" s="232"/>
      <c r="P2133" s="312"/>
      <c r="Q2133" s="312"/>
      <c r="R2133" s="312"/>
      <c r="S2133" s="312"/>
      <c r="T2133" s="312"/>
      <c r="U2133" s="312"/>
    </row>
    <row r="2134">
      <c r="A2134" s="551">
        <v>44751.0</v>
      </c>
      <c r="B2134" s="232" t="s">
        <v>30464</v>
      </c>
      <c r="C2134" s="555" t="s">
        <v>30465</v>
      </c>
      <c r="D2134" s="312"/>
      <c r="E2134" s="511"/>
      <c r="F2134" s="557" t="s">
        <v>30466</v>
      </c>
      <c r="G2134" s="553" t="s">
        <v>30467</v>
      </c>
      <c r="H2134" s="553">
        <v>9.507693996E9</v>
      </c>
      <c r="I2134" s="554" t="s">
        <v>22343</v>
      </c>
      <c r="J2134" s="232" t="b">
        <v>0</v>
      </c>
      <c r="K2134" s="232" t="s">
        <v>22365</v>
      </c>
      <c r="L2134" s="232" t="s">
        <v>29336</v>
      </c>
      <c r="M2134" s="511"/>
      <c r="N2134" s="232"/>
      <c r="O2134" s="232"/>
      <c r="P2134" s="312"/>
      <c r="Q2134" s="312"/>
      <c r="R2134" s="312"/>
      <c r="S2134" s="312"/>
      <c r="T2134" s="312"/>
      <c r="U2134" s="312"/>
    </row>
    <row r="2135">
      <c r="A2135" s="551">
        <v>44751.0</v>
      </c>
      <c r="B2135" s="232" t="s">
        <v>30468</v>
      </c>
      <c r="C2135" s="555" t="s">
        <v>30469</v>
      </c>
      <c r="D2135" s="312"/>
      <c r="E2135" s="511"/>
      <c r="F2135" s="511"/>
      <c r="G2135" s="553" t="s">
        <v>23612</v>
      </c>
      <c r="H2135" s="553">
        <v>9.43344129E9</v>
      </c>
      <c r="I2135" s="554" t="s">
        <v>23803</v>
      </c>
      <c r="J2135" s="232" t="b">
        <v>0</v>
      </c>
      <c r="K2135" s="232" t="s">
        <v>22365</v>
      </c>
      <c r="L2135" s="232" t="s">
        <v>29336</v>
      </c>
      <c r="M2135" s="511"/>
      <c r="N2135" s="232"/>
      <c r="O2135" s="232"/>
      <c r="P2135" s="312"/>
      <c r="Q2135" s="312"/>
      <c r="R2135" s="312"/>
      <c r="S2135" s="312"/>
      <c r="T2135" s="312"/>
      <c r="U2135" s="312"/>
    </row>
    <row r="2136">
      <c r="A2136" s="551">
        <v>44751.0</v>
      </c>
      <c r="B2136" s="232" t="s">
        <v>30470</v>
      </c>
      <c r="C2136" s="555" t="s">
        <v>30471</v>
      </c>
      <c r="D2136" s="312"/>
      <c r="E2136" s="510">
        <v>10.0</v>
      </c>
      <c r="F2136" s="557" t="s">
        <v>30472</v>
      </c>
      <c r="G2136" s="553" t="s">
        <v>23612</v>
      </c>
      <c r="H2136" s="553">
        <v>9.00707606E9</v>
      </c>
      <c r="I2136" s="554" t="s">
        <v>24052</v>
      </c>
      <c r="J2136" s="232" t="b">
        <v>0</v>
      </c>
      <c r="K2136" s="312" t="s">
        <v>334</v>
      </c>
      <c r="L2136" s="232" t="s">
        <v>29339</v>
      </c>
      <c r="M2136" s="511"/>
      <c r="N2136" s="312"/>
      <c r="O2136" s="232"/>
      <c r="P2136" s="312"/>
      <c r="Q2136" s="312"/>
      <c r="R2136" s="312"/>
      <c r="S2136" s="312"/>
      <c r="T2136" s="312"/>
      <c r="U2136" s="312"/>
    </row>
    <row r="2137">
      <c r="A2137" s="551">
        <v>44751.0</v>
      </c>
      <c r="B2137" s="232" t="s">
        <v>30473</v>
      </c>
      <c r="C2137" s="555" t="s">
        <v>30474</v>
      </c>
      <c r="D2137" s="312"/>
      <c r="E2137" s="510">
        <v>2.0</v>
      </c>
      <c r="F2137" s="557" t="s">
        <v>30475</v>
      </c>
      <c r="G2137" s="553" t="s">
        <v>30476</v>
      </c>
      <c r="H2137" s="553">
        <v>6.29108464E9</v>
      </c>
      <c r="I2137" s="554" t="s">
        <v>23580</v>
      </c>
      <c r="J2137" s="232" t="b">
        <v>0</v>
      </c>
      <c r="K2137" s="312" t="s">
        <v>334</v>
      </c>
      <c r="L2137" s="232" t="s">
        <v>29339</v>
      </c>
      <c r="M2137" s="511"/>
      <c r="N2137" s="312"/>
      <c r="O2137" s="232"/>
      <c r="P2137" s="312"/>
      <c r="Q2137" s="312"/>
      <c r="R2137" s="312"/>
      <c r="S2137" s="312"/>
      <c r="T2137" s="312"/>
      <c r="U2137" s="312"/>
    </row>
    <row r="2138">
      <c r="A2138" s="551">
        <v>44721.0</v>
      </c>
      <c r="B2138" s="232" t="s">
        <v>30477</v>
      </c>
      <c r="C2138" s="509" t="s">
        <v>30478</v>
      </c>
      <c r="D2138" s="312"/>
      <c r="E2138" s="510">
        <v>1.0</v>
      </c>
      <c r="F2138" s="511"/>
      <c r="G2138" s="553" t="s">
        <v>30367</v>
      </c>
      <c r="H2138" s="232">
        <v>8.051021062E9</v>
      </c>
      <c r="I2138" s="509" t="s">
        <v>30479</v>
      </c>
      <c r="J2138" s="232" t="b">
        <v>0</v>
      </c>
      <c r="K2138" s="232" t="s">
        <v>22365</v>
      </c>
      <c r="L2138" s="232" t="s">
        <v>29336</v>
      </c>
      <c r="M2138" s="511"/>
      <c r="N2138" s="232"/>
      <c r="O2138" s="232"/>
      <c r="P2138" s="312"/>
      <c r="Q2138" s="312"/>
      <c r="R2138" s="312"/>
      <c r="S2138" s="312"/>
      <c r="T2138" s="312"/>
      <c r="U2138" s="312"/>
    </row>
    <row r="2139">
      <c r="A2139" s="551">
        <v>44721.0</v>
      </c>
      <c r="B2139" s="232" t="s">
        <v>30477</v>
      </c>
      <c r="C2139" s="509" t="s">
        <v>30480</v>
      </c>
      <c r="D2139" s="312"/>
      <c r="E2139" s="511"/>
      <c r="F2139" s="511"/>
      <c r="G2139" s="553" t="s">
        <v>218</v>
      </c>
      <c r="H2139" s="232">
        <v>8.101563949E9</v>
      </c>
      <c r="I2139" s="509" t="s">
        <v>28585</v>
      </c>
      <c r="J2139" s="232" t="b">
        <v>0</v>
      </c>
      <c r="K2139" s="312"/>
      <c r="L2139" s="232" t="s">
        <v>30481</v>
      </c>
      <c r="M2139" s="511"/>
      <c r="N2139" s="312"/>
      <c r="O2139" s="232"/>
      <c r="P2139" s="312"/>
      <c r="Q2139" s="312"/>
      <c r="R2139" s="312"/>
      <c r="S2139" s="312"/>
      <c r="T2139" s="312"/>
      <c r="U2139" s="312"/>
    </row>
    <row r="2140">
      <c r="A2140" s="551">
        <v>44721.0</v>
      </c>
      <c r="B2140" s="232" t="s">
        <v>30482</v>
      </c>
      <c r="C2140" s="562" t="s">
        <v>30483</v>
      </c>
      <c r="D2140" s="312"/>
      <c r="E2140" s="511"/>
      <c r="F2140" s="510" t="s">
        <v>0</v>
      </c>
      <c r="G2140" s="232" t="s">
        <v>23612</v>
      </c>
      <c r="H2140" s="232">
        <v>7.547915957E9</v>
      </c>
      <c r="I2140" s="509" t="s">
        <v>22354</v>
      </c>
      <c r="J2140" s="232" t="b">
        <v>0</v>
      </c>
      <c r="K2140" s="312" t="s">
        <v>334</v>
      </c>
      <c r="L2140" s="232" t="s">
        <v>29339</v>
      </c>
      <c r="M2140" s="511"/>
      <c r="N2140" s="312"/>
      <c r="O2140" s="232"/>
      <c r="P2140" s="312"/>
      <c r="Q2140" s="312"/>
      <c r="R2140" s="312"/>
      <c r="S2140" s="312"/>
      <c r="T2140" s="312"/>
      <c r="U2140" s="312"/>
    </row>
    <row r="2141">
      <c r="A2141" s="551">
        <v>44721.0</v>
      </c>
      <c r="B2141" s="232" t="s">
        <v>30484</v>
      </c>
      <c r="C2141" s="563" t="s">
        <v>30485</v>
      </c>
      <c r="D2141" s="312"/>
      <c r="E2141" s="511"/>
      <c r="F2141" s="511"/>
      <c r="G2141" s="232" t="s">
        <v>23612</v>
      </c>
      <c r="H2141" s="232">
        <v>8.240088028E9</v>
      </c>
      <c r="I2141" s="509" t="s">
        <v>30479</v>
      </c>
      <c r="J2141" s="232" t="b">
        <v>0</v>
      </c>
      <c r="K2141" s="232" t="s">
        <v>22365</v>
      </c>
      <c r="L2141" s="232" t="s">
        <v>30486</v>
      </c>
      <c r="M2141" s="511"/>
      <c r="N2141" s="232"/>
      <c r="O2141" s="232"/>
      <c r="P2141" s="312"/>
      <c r="Q2141" s="312"/>
      <c r="R2141" s="312"/>
      <c r="S2141" s="312"/>
      <c r="T2141" s="312"/>
      <c r="U2141" s="312"/>
    </row>
    <row r="2142">
      <c r="A2142" s="551">
        <v>44721.0</v>
      </c>
      <c r="B2142" s="232" t="s">
        <v>30487</v>
      </c>
      <c r="C2142" s="564" t="s">
        <v>30488</v>
      </c>
      <c r="D2142" s="312"/>
      <c r="E2142" s="511"/>
      <c r="F2142" s="557" t="s">
        <v>30489</v>
      </c>
      <c r="G2142" s="553" t="s">
        <v>1561</v>
      </c>
      <c r="H2142" s="553">
        <v>8.53881967E9</v>
      </c>
      <c r="I2142" s="509" t="s">
        <v>30479</v>
      </c>
      <c r="J2142" s="232" t="b">
        <v>0</v>
      </c>
      <c r="K2142" s="312" t="s">
        <v>22355</v>
      </c>
      <c r="L2142" s="232" t="s">
        <v>30490</v>
      </c>
      <c r="M2142" s="511"/>
      <c r="N2142" s="312"/>
      <c r="O2142" s="232"/>
      <c r="P2142" s="312"/>
      <c r="Q2142" s="312"/>
      <c r="R2142" s="312"/>
      <c r="S2142" s="312"/>
      <c r="T2142" s="312"/>
      <c r="U2142" s="312"/>
    </row>
    <row r="2143">
      <c r="A2143" s="551">
        <v>44721.0</v>
      </c>
      <c r="B2143" s="232" t="s">
        <v>30491</v>
      </c>
      <c r="C2143" s="555" t="s">
        <v>30492</v>
      </c>
      <c r="D2143" s="312"/>
      <c r="E2143" s="511"/>
      <c r="F2143" s="557" t="s">
        <v>30489</v>
      </c>
      <c r="G2143" s="553" t="s">
        <v>218</v>
      </c>
      <c r="H2143" s="553">
        <v>9.093042843E9</v>
      </c>
      <c r="I2143" s="554" t="s">
        <v>27808</v>
      </c>
      <c r="J2143" s="232" t="b">
        <v>0</v>
      </c>
      <c r="K2143" s="312" t="s">
        <v>22355</v>
      </c>
      <c r="L2143" s="232" t="s">
        <v>30493</v>
      </c>
      <c r="M2143" s="511"/>
      <c r="N2143" s="312"/>
      <c r="O2143" s="232"/>
      <c r="P2143" s="312"/>
      <c r="Q2143" s="312"/>
      <c r="R2143" s="312"/>
      <c r="S2143" s="312"/>
      <c r="T2143" s="312"/>
      <c r="U2143" s="312"/>
    </row>
    <row r="2144">
      <c r="A2144" s="551">
        <v>44721.0</v>
      </c>
      <c r="B2144" s="232" t="s">
        <v>30494</v>
      </c>
      <c r="C2144" s="555" t="s">
        <v>30492</v>
      </c>
      <c r="D2144" s="312"/>
      <c r="E2144" s="511"/>
      <c r="F2144" s="557" t="s">
        <v>30495</v>
      </c>
      <c r="G2144" s="553" t="s">
        <v>218</v>
      </c>
      <c r="H2144" s="232">
        <v>7.908105891E9</v>
      </c>
      <c r="I2144" s="554" t="s">
        <v>22354</v>
      </c>
      <c r="J2144" s="232" t="b">
        <v>0</v>
      </c>
      <c r="K2144" s="312" t="s">
        <v>12092</v>
      </c>
      <c r="L2144" s="232" t="s">
        <v>30072</v>
      </c>
      <c r="M2144" s="511"/>
      <c r="N2144" s="312"/>
      <c r="O2144" s="232"/>
      <c r="P2144" s="312"/>
      <c r="Q2144" s="312"/>
      <c r="R2144" s="312"/>
      <c r="S2144" s="312"/>
      <c r="T2144" s="312"/>
      <c r="U2144" s="312"/>
    </row>
    <row r="2145">
      <c r="A2145" s="551">
        <v>44721.0</v>
      </c>
      <c r="B2145" s="232" t="s">
        <v>30496</v>
      </c>
      <c r="C2145" s="555" t="s">
        <v>30497</v>
      </c>
      <c r="D2145" s="312"/>
      <c r="E2145" s="511"/>
      <c r="F2145" s="557" t="s">
        <v>30498</v>
      </c>
      <c r="G2145" s="553" t="s">
        <v>44</v>
      </c>
      <c r="H2145" s="553">
        <v>9.734516682E9</v>
      </c>
      <c r="I2145" s="509" t="s">
        <v>27251</v>
      </c>
      <c r="J2145" s="232" t="b">
        <v>0</v>
      </c>
      <c r="K2145" s="232" t="s">
        <v>22365</v>
      </c>
      <c r="L2145" s="232" t="s">
        <v>29336</v>
      </c>
      <c r="M2145" s="511"/>
      <c r="N2145" s="232"/>
      <c r="O2145" s="232"/>
      <c r="P2145" s="312"/>
      <c r="Q2145" s="312"/>
      <c r="R2145" s="312"/>
      <c r="S2145" s="312"/>
      <c r="T2145" s="312"/>
      <c r="U2145" s="312"/>
    </row>
    <row r="2146">
      <c r="A2146" s="551">
        <v>44721.0</v>
      </c>
      <c r="B2146" s="232" t="s">
        <v>30499</v>
      </c>
      <c r="C2146" s="555" t="s">
        <v>30500</v>
      </c>
      <c r="D2146" s="312"/>
      <c r="E2146" s="511"/>
      <c r="F2146" s="511"/>
      <c r="G2146" s="558" t="s">
        <v>23612</v>
      </c>
      <c r="H2146" s="553">
        <v>9.123394653E9</v>
      </c>
      <c r="I2146" s="509" t="s">
        <v>30479</v>
      </c>
      <c r="J2146" s="232" t="b">
        <v>0</v>
      </c>
      <c r="K2146" s="312" t="s">
        <v>22312</v>
      </c>
      <c r="L2146" s="232" t="s">
        <v>27809</v>
      </c>
      <c r="M2146" s="511"/>
      <c r="N2146" s="312"/>
      <c r="O2146" s="232"/>
      <c r="P2146" s="312"/>
      <c r="Q2146" s="312"/>
      <c r="R2146" s="312"/>
      <c r="S2146" s="312"/>
      <c r="T2146" s="312"/>
      <c r="U2146" s="312"/>
    </row>
    <row r="2147">
      <c r="A2147" s="551">
        <v>44721.0</v>
      </c>
      <c r="B2147" s="232" t="s">
        <v>30501</v>
      </c>
      <c r="C2147" s="555" t="s">
        <v>16102</v>
      </c>
      <c r="D2147" s="312"/>
      <c r="E2147" s="511"/>
      <c r="F2147" s="510" t="s">
        <v>30502</v>
      </c>
      <c r="G2147" s="558" t="s">
        <v>30503</v>
      </c>
      <c r="H2147" s="553">
        <v>7.562955776E9</v>
      </c>
      <c r="I2147" s="509" t="s">
        <v>27251</v>
      </c>
      <c r="J2147" s="232" t="b">
        <v>0</v>
      </c>
      <c r="K2147" s="232" t="s">
        <v>22365</v>
      </c>
      <c r="L2147" s="232" t="s">
        <v>29336</v>
      </c>
      <c r="M2147" s="511"/>
      <c r="N2147" s="232"/>
      <c r="O2147" s="232"/>
      <c r="P2147" s="312"/>
      <c r="Q2147" s="312"/>
      <c r="R2147" s="312"/>
      <c r="S2147" s="312"/>
      <c r="T2147" s="312"/>
      <c r="U2147" s="312"/>
    </row>
    <row r="2148">
      <c r="A2148" s="551">
        <v>44721.0</v>
      </c>
      <c r="B2148" s="232" t="s">
        <v>30504</v>
      </c>
      <c r="C2148" s="555" t="s">
        <v>30505</v>
      </c>
      <c r="D2148" s="312"/>
      <c r="E2148" s="511"/>
      <c r="F2148" s="511"/>
      <c r="G2148" s="553" t="s">
        <v>23612</v>
      </c>
      <c r="H2148" s="553">
        <v>6.291888515E9</v>
      </c>
      <c r="I2148" s="509" t="s">
        <v>30479</v>
      </c>
      <c r="J2148" s="232" t="b">
        <v>0</v>
      </c>
      <c r="K2148" s="312" t="s">
        <v>12092</v>
      </c>
      <c r="L2148" s="232" t="s">
        <v>30030</v>
      </c>
      <c r="M2148" s="511"/>
      <c r="N2148" s="312"/>
      <c r="O2148" s="232"/>
      <c r="P2148" s="312"/>
      <c r="Q2148" s="312"/>
      <c r="R2148" s="312"/>
      <c r="S2148" s="312"/>
      <c r="T2148" s="312"/>
      <c r="U2148" s="312"/>
    </row>
    <row r="2149">
      <c r="A2149" s="551">
        <v>44690.0</v>
      </c>
      <c r="B2149" s="232" t="s">
        <v>30506</v>
      </c>
      <c r="C2149" s="555" t="s">
        <v>30507</v>
      </c>
      <c r="D2149" s="312"/>
      <c r="E2149" s="510">
        <v>5.0</v>
      </c>
      <c r="F2149" s="557" t="s">
        <v>30508</v>
      </c>
      <c r="G2149" s="232" t="s">
        <v>23612</v>
      </c>
      <c r="H2149" s="553">
        <v>9.907075606E9</v>
      </c>
      <c r="I2149" s="509" t="s">
        <v>30509</v>
      </c>
      <c r="J2149" s="232" t="b">
        <v>0</v>
      </c>
      <c r="K2149" s="312" t="s">
        <v>334</v>
      </c>
      <c r="L2149" s="232" t="s">
        <v>29408</v>
      </c>
      <c r="M2149" s="511"/>
      <c r="N2149" s="312"/>
      <c r="O2149" s="232"/>
      <c r="P2149" s="312"/>
      <c r="Q2149" s="312"/>
      <c r="R2149" s="312"/>
      <c r="S2149" s="312"/>
      <c r="T2149" s="312"/>
      <c r="U2149" s="312"/>
    </row>
    <row r="2150">
      <c r="A2150" s="552">
        <v>44690.0</v>
      </c>
      <c r="B2150" s="514" t="s">
        <v>30510</v>
      </c>
      <c r="C2150" s="565" t="s">
        <v>30511</v>
      </c>
      <c r="D2150" s="312"/>
      <c r="E2150" s="517"/>
      <c r="F2150" s="566" t="s">
        <v>30512</v>
      </c>
      <c r="G2150" s="514" t="s">
        <v>23612</v>
      </c>
      <c r="H2150" s="514">
        <v>6.291990036E9</v>
      </c>
      <c r="I2150" s="515" t="s">
        <v>30513</v>
      </c>
      <c r="J2150" s="514" t="b">
        <v>0</v>
      </c>
      <c r="K2150" s="547" t="s">
        <v>22312</v>
      </c>
      <c r="L2150" s="514" t="s">
        <v>25344</v>
      </c>
      <c r="M2150" s="516"/>
      <c r="N2150" s="312"/>
      <c r="O2150" s="514"/>
      <c r="P2150" s="312"/>
      <c r="Q2150" s="312"/>
      <c r="R2150" s="312"/>
      <c r="S2150" s="312"/>
      <c r="T2150" s="312"/>
      <c r="U2150" s="312"/>
    </row>
    <row r="2151">
      <c r="A2151" s="551">
        <v>44690.0</v>
      </c>
      <c r="B2151" s="232" t="s">
        <v>30514</v>
      </c>
      <c r="C2151" s="509" t="s">
        <v>30515</v>
      </c>
      <c r="D2151" s="312"/>
      <c r="E2151" s="510">
        <v>100.0</v>
      </c>
      <c r="F2151" s="511"/>
      <c r="G2151" s="232" t="s">
        <v>23612</v>
      </c>
      <c r="H2151" s="232">
        <v>8.334800561E9</v>
      </c>
      <c r="I2151" s="509" t="s">
        <v>30479</v>
      </c>
      <c r="J2151" s="232" t="b">
        <v>0</v>
      </c>
      <c r="K2151" s="232" t="s">
        <v>22365</v>
      </c>
      <c r="L2151" s="232" t="s">
        <v>30516</v>
      </c>
      <c r="M2151" s="511"/>
      <c r="N2151" s="232"/>
      <c r="O2151" s="232"/>
      <c r="P2151" s="312"/>
      <c r="Q2151" s="312"/>
      <c r="R2151" s="312"/>
      <c r="S2151" s="312"/>
      <c r="T2151" s="312"/>
      <c r="U2151" s="312"/>
    </row>
    <row r="2152">
      <c r="A2152" s="551">
        <v>44690.0</v>
      </c>
      <c r="B2152" s="232" t="s">
        <v>30517</v>
      </c>
      <c r="C2152" s="555" t="s">
        <v>30518</v>
      </c>
      <c r="D2152" s="312"/>
      <c r="E2152" s="511"/>
      <c r="F2152" s="557" t="s">
        <v>30519</v>
      </c>
      <c r="G2152" s="553" t="s">
        <v>30520</v>
      </c>
      <c r="H2152" s="553">
        <v>7.501530174E9</v>
      </c>
      <c r="I2152" s="509" t="s">
        <v>24758</v>
      </c>
      <c r="J2152" s="232" t="b">
        <v>0</v>
      </c>
      <c r="K2152" s="312" t="s">
        <v>28316</v>
      </c>
      <c r="L2152" s="232" t="s">
        <v>30521</v>
      </c>
      <c r="M2152" s="511"/>
      <c r="N2152" s="312"/>
      <c r="O2152" s="232"/>
      <c r="P2152" s="312"/>
      <c r="Q2152" s="312"/>
      <c r="R2152" s="312"/>
      <c r="S2152" s="312"/>
      <c r="T2152" s="312"/>
      <c r="U2152" s="312"/>
    </row>
    <row r="2153">
      <c r="A2153" s="551">
        <v>44690.0</v>
      </c>
      <c r="B2153" s="232" t="s">
        <v>30522</v>
      </c>
      <c r="C2153" s="509" t="s">
        <v>30523</v>
      </c>
      <c r="D2153" s="312"/>
      <c r="E2153" s="511"/>
      <c r="F2153" s="557" t="s">
        <v>30524</v>
      </c>
      <c r="G2153" s="553" t="s">
        <v>44</v>
      </c>
      <c r="H2153" s="553">
        <v>8.92544004E9</v>
      </c>
      <c r="I2153" s="509" t="s">
        <v>28085</v>
      </c>
      <c r="J2153" s="232" t="b">
        <v>0</v>
      </c>
      <c r="K2153" s="232" t="s">
        <v>29223</v>
      </c>
      <c r="L2153" s="232" t="s">
        <v>23537</v>
      </c>
      <c r="M2153" s="511"/>
      <c r="N2153" s="232"/>
      <c r="O2153" s="232"/>
      <c r="P2153" s="312"/>
      <c r="Q2153" s="312"/>
      <c r="R2153" s="312"/>
      <c r="S2153" s="312"/>
      <c r="T2153" s="312"/>
      <c r="U2153" s="312"/>
    </row>
    <row r="2154">
      <c r="A2154" s="551">
        <v>44690.0</v>
      </c>
      <c r="B2154" s="232" t="s">
        <v>30525</v>
      </c>
      <c r="C2154" s="509" t="s">
        <v>30526</v>
      </c>
      <c r="D2154" s="312"/>
      <c r="E2154" s="510">
        <v>1.0</v>
      </c>
      <c r="F2154" s="511"/>
      <c r="G2154" s="558" t="s">
        <v>30527</v>
      </c>
      <c r="H2154" s="232">
        <v>7.008271406E9</v>
      </c>
      <c r="I2154" s="509" t="s">
        <v>30528</v>
      </c>
      <c r="J2154" s="232" t="b">
        <v>0</v>
      </c>
      <c r="K2154" s="312" t="s">
        <v>334</v>
      </c>
      <c r="L2154" s="232" t="s">
        <v>30529</v>
      </c>
      <c r="M2154" s="511"/>
      <c r="N2154" s="312"/>
      <c r="O2154" s="232"/>
      <c r="P2154" s="312"/>
      <c r="Q2154" s="312"/>
      <c r="R2154" s="312"/>
      <c r="S2154" s="312"/>
      <c r="T2154" s="312"/>
      <c r="U2154" s="312"/>
    </row>
    <row r="2155">
      <c r="A2155" s="551">
        <v>44690.0</v>
      </c>
      <c r="B2155" s="232" t="s">
        <v>30530</v>
      </c>
      <c r="C2155" s="555" t="s">
        <v>30531</v>
      </c>
      <c r="D2155" s="312"/>
      <c r="E2155" s="510">
        <v>50.0</v>
      </c>
      <c r="F2155" s="557" t="s">
        <v>30532</v>
      </c>
      <c r="G2155" s="553" t="s">
        <v>1337</v>
      </c>
      <c r="H2155" s="553">
        <v>9.954854759E9</v>
      </c>
      <c r="I2155" s="509" t="s">
        <v>24758</v>
      </c>
      <c r="J2155" s="232" t="b">
        <v>0</v>
      </c>
      <c r="K2155" s="312" t="s">
        <v>334</v>
      </c>
      <c r="L2155" s="232" t="s">
        <v>30533</v>
      </c>
      <c r="M2155" s="511"/>
      <c r="N2155" s="312"/>
      <c r="O2155" s="232"/>
      <c r="P2155" s="312"/>
      <c r="Q2155" s="312"/>
      <c r="R2155" s="312"/>
      <c r="S2155" s="312"/>
      <c r="T2155" s="312"/>
      <c r="U2155" s="312"/>
    </row>
    <row r="2156">
      <c r="A2156" s="551">
        <v>44690.0</v>
      </c>
      <c r="B2156" s="232" t="s">
        <v>30534</v>
      </c>
      <c r="C2156" s="509" t="s">
        <v>30535</v>
      </c>
      <c r="D2156" s="312"/>
      <c r="E2156" s="510">
        <v>5.0</v>
      </c>
      <c r="F2156" s="557" t="s">
        <v>30536</v>
      </c>
      <c r="G2156" s="553" t="s">
        <v>30537</v>
      </c>
      <c r="H2156" s="553">
        <v>7.059586324E9</v>
      </c>
      <c r="I2156" s="509" t="s">
        <v>24742</v>
      </c>
      <c r="J2156" s="232" t="b">
        <v>0</v>
      </c>
      <c r="K2156" s="232" t="s">
        <v>29223</v>
      </c>
      <c r="L2156" s="232" t="s">
        <v>23537</v>
      </c>
      <c r="M2156" s="511"/>
      <c r="N2156" s="232"/>
      <c r="O2156" s="232"/>
      <c r="P2156" s="312"/>
      <c r="Q2156" s="312"/>
      <c r="R2156" s="312"/>
      <c r="S2156" s="312"/>
      <c r="T2156" s="312"/>
      <c r="U2156" s="312"/>
    </row>
    <row r="2157">
      <c r="A2157" s="551">
        <v>44690.0</v>
      </c>
      <c r="B2157" s="509" t="s">
        <v>30538</v>
      </c>
      <c r="C2157" s="509" t="s">
        <v>30539</v>
      </c>
      <c r="D2157" s="312"/>
      <c r="E2157" s="511"/>
      <c r="F2157" s="511"/>
      <c r="G2157" s="567"/>
      <c r="H2157" s="509">
        <v>9.438753176E9</v>
      </c>
      <c r="I2157" s="509" t="s">
        <v>27230</v>
      </c>
      <c r="J2157" s="509" t="b">
        <v>0</v>
      </c>
      <c r="K2157" s="312" t="s">
        <v>22349</v>
      </c>
      <c r="L2157" s="509" t="s">
        <v>30540</v>
      </c>
      <c r="M2157" s="511"/>
      <c r="N2157" s="312"/>
      <c r="O2157" s="509"/>
      <c r="P2157" s="312"/>
      <c r="Q2157" s="312"/>
      <c r="R2157" s="312"/>
      <c r="S2157" s="312"/>
      <c r="T2157" s="312"/>
      <c r="U2157" s="312"/>
    </row>
    <row r="2158">
      <c r="A2158" s="551">
        <v>44690.0</v>
      </c>
      <c r="B2158" s="509" t="s">
        <v>30541</v>
      </c>
      <c r="C2158" s="509" t="s">
        <v>30542</v>
      </c>
      <c r="D2158" s="312"/>
      <c r="E2158" s="511"/>
      <c r="F2158" s="511"/>
      <c r="G2158" s="509" t="s">
        <v>23612</v>
      </c>
      <c r="H2158" s="509">
        <v>9.830676968E9</v>
      </c>
      <c r="I2158" s="509" t="s">
        <v>22860</v>
      </c>
      <c r="J2158" s="509" t="b">
        <v>0</v>
      </c>
      <c r="K2158" s="232" t="s">
        <v>22365</v>
      </c>
      <c r="L2158" s="509" t="s">
        <v>29336</v>
      </c>
      <c r="M2158" s="511"/>
      <c r="N2158" s="232"/>
      <c r="O2158" s="509"/>
      <c r="P2158" s="312"/>
      <c r="Q2158" s="312"/>
      <c r="R2158" s="312"/>
      <c r="S2158" s="312"/>
      <c r="T2158" s="312"/>
      <c r="U2158" s="312"/>
    </row>
    <row r="2159">
      <c r="A2159" s="551">
        <v>44690.0</v>
      </c>
      <c r="B2159" s="509" t="s">
        <v>30543</v>
      </c>
      <c r="C2159" s="509" t="s">
        <v>30544</v>
      </c>
      <c r="D2159" s="312"/>
      <c r="E2159" s="510">
        <v>5.0</v>
      </c>
      <c r="F2159" s="511"/>
      <c r="G2159" s="509" t="s">
        <v>30545</v>
      </c>
      <c r="H2159" s="509">
        <v>8.250593372E9</v>
      </c>
      <c r="I2159" s="509" t="s">
        <v>24758</v>
      </c>
      <c r="J2159" s="509" t="b">
        <v>0</v>
      </c>
      <c r="K2159" s="232" t="s">
        <v>22365</v>
      </c>
      <c r="L2159" s="509" t="s">
        <v>30546</v>
      </c>
      <c r="M2159" s="511"/>
      <c r="N2159" s="232"/>
      <c r="O2159" s="509"/>
      <c r="P2159" s="312"/>
      <c r="Q2159" s="312"/>
      <c r="R2159" s="312"/>
      <c r="S2159" s="312"/>
      <c r="T2159" s="312"/>
      <c r="U2159" s="312"/>
    </row>
    <row r="2160">
      <c r="A2160" s="509" t="s">
        <v>1538</v>
      </c>
      <c r="B2160" s="568" t="s">
        <v>30547</v>
      </c>
      <c r="C2160" s="509" t="s">
        <v>30548</v>
      </c>
      <c r="D2160" s="312"/>
      <c r="E2160" s="510">
        <v>2.0</v>
      </c>
      <c r="F2160" s="511"/>
      <c r="G2160" s="509" t="s">
        <v>507</v>
      </c>
      <c r="H2160" s="509">
        <v>9.356451162E9</v>
      </c>
      <c r="I2160" s="509" t="s">
        <v>22860</v>
      </c>
      <c r="J2160" s="509" t="b">
        <v>0</v>
      </c>
      <c r="K2160" s="232" t="s">
        <v>22365</v>
      </c>
      <c r="L2160" s="509" t="s">
        <v>29336</v>
      </c>
      <c r="M2160" s="511"/>
      <c r="N2160" s="232"/>
      <c r="O2160" s="509"/>
      <c r="P2160" s="312"/>
      <c r="Q2160" s="312"/>
      <c r="R2160" s="312"/>
      <c r="S2160" s="312"/>
      <c r="T2160" s="312"/>
      <c r="U2160" s="312"/>
    </row>
    <row r="2161">
      <c r="A2161" s="509" t="s">
        <v>1538</v>
      </c>
      <c r="B2161" s="509" t="s">
        <v>30549</v>
      </c>
      <c r="C2161" s="569" t="s">
        <v>30550</v>
      </c>
      <c r="D2161" s="312"/>
      <c r="E2161" s="510">
        <v>10.0</v>
      </c>
      <c r="F2161" s="570" t="s">
        <v>30551</v>
      </c>
      <c r="G2161" s="509" t="s">
        <v>906</v>
      </c>
      <c r="H2161" s="509">
        <v>9.881345284E9</v>
      </c>
      <c r="I2161" s="509" t="s">
        <v>24758</v>
      </c>
      <c r="J2161" s="232" t="b">
        <v>0</v>
      </c>
      <c r="K2161" s="232" t="s">
        <v>22365</v>
      </c>
      <c r="L2161" s="232" t="s">
        <v>30396</v>
      </c>
      <c r="M2161" s="511"/>
      <c r="N2161" s="232"/>
      <c r="O2161" s="232"/>
      <c r="P2161" s="312"/>
      <c r="Q2161" s="312"/>
      <c r="R2161" s="312"/>
      <c r="S2161" s="312"/>
      <c r="T2161" s="312"/>
      <c r="U2161" s="312"/>
    </row>
    <row r="2162">
      <c r="A2162" s="509" t="s">
        <v>1538</v>
      </c>
      <c r="B2162" s="509" t="s">
        <v>30552</v>
      </c>
      <c r="C2162" s="509" t="s">
        <v>30511</v>
      </c>
      <c r="D2162" s="312"/>
      <c r="E2162" s="510">
        <v>3.0</v>
      </c>
      <c r="F2162" s="510" t="s">
        <v>30512</v>
      </c>
      <c r="G2162" s="509" t="s">
        <v>44</v>
      </c>
      <c r="H2162" s="509">
        <v>6.291990036E9</v>
      </c>
      <c r="I2162" s="509" t="s">
        <v>27979</v>
      </c>
      <c r="J2162" s="509" t="b">
        <v>0</v>
      </c>
      <c r="K2162" s="312" t="s">
        <v>28316</v>
      </c>
      <c r="L2162" s="509" t="s">
        <v>30553</v>
      </c>
      <c r="M2162" s="511"/>
      <c r="N2162" s="312"/>
      <c r="O2162" s="509"/>
      <c r="P2162" s="511"/>
      <c r="Q2162" s="511"/>
      <c r="R2162" s="511"/>
      <c r="S2162" s="511"/>
      <c r="T2162" s="511"/>
      <c r="U2162" s="511"/>
    </row>
    <row r="2163">
      <c r="A2163" s="508"/>
      <c r="B2163" s="312"/>
      <c r="C2163" s="567"/>
      <c r="D2163" s="312"/>
      <c r="E2163" s="511"/>
      <c r="F2163" s="312"/>
      <c r="G2163" s="312"/>
      <c r="H2163" s="312"/>
      <c r="I2163" s="567"/>
      <c r="J2163" s="312" t="b">
        <v>0</v>
      </c>
      <c r="K2163" s="312"/>
      <c r="L2163" s="312"/>
      <c r="M2163" s="511"/>
      <c r="N2163" s="312"/>
      <c r="O2163" s="312"/>
      <c r="P2163" s="312"/>
      <c r="Q2163" s="312"/>
      <c r="R2163" s="312"/>
      <c r="S2163" s="312"/>
      <c r="T2163" s="312"/>
      <c r="U2163" s="312"/>
    </row>
    <row r="2164">
      <c r="A2164" s="508"/>
      <c r="B2164" s="312"/>
      <c r="C2164" s="567"/>
      <c r="D2164" s="312"/>
      <c r="E2164" s="511"/>
      <c r="F2164" s="312"/>
      <c r="G2164" s="312"/>
      <c r="H2164" s="312"/>
      <c r="I2164" s="567"/>
      <c r="J2164" s="312" t="b">
        <v>0</v>
      </c>
      <c r="K2164" s="312"/>
      <c r="L2164" s="312"/>
      <c r="M2164" s="511"/>
      <c r="N2164" s="312"/>
      <c r="O2164" s="312"/>
      <c r="P2164" s="312"/>
      <c r="Q2164" s="312"/>
      <c r="R2164" s="312"/>
      <c r="S2164" s="312"/>
      <c r="T2164" s="312"/>
      <c r="U2164" s="312"/>
    </row>
    <row r="2165">
      <c r="A2165" s="508"/>
      <c r="B2165" s="312"/>
      <c r="C2165" s="567"/>
      <c r="D2165" s="312"/>
      <c r="E2165" s="511"/>
      <c r="F2165" s="312"/>
      <c r="G2165" s="312"/>
      <c r="H2165" s="312"/>
      <c r="I2165" s="567"/>
      <c r="J2165" s="312" t="b">
        <v>0</v>
      </c>
      <c r="K2165" s="312"/>
      <c r="L2165" s="312"/>
      <c r="M2165" s="511"/>
      <c r="N2165" s="312"/>
      <c r="O2165" s="312"/>
      <c r="P2165" s="312"/>
      <c r="Q2165" s="312"/>
      <c r="R2165" s="312"/>
      <c r="S2165" s="312"/>
      <c r="T2165" s="312"/>
      <c r="U2165" s="312"/>
    </row>
    <row r="2166">
      <c r="A2166" s="508"/>
      <c r="B2166" s="312"/>
      <c r="C2166" s="567"/>
      <c r="D2166" s="312"/>
      <c r="E2166" s="511"/>
      <c r="F2166" s="312"/>
      <c r="G2166" s="312"/>
      <c r="H2166" s="312"/>
      <c r="I2166" s="567"/>
      <c r="J2166" s="312" t="b">
        <v>0</v>
      </c>
      <c r="K2166" s="312"/>
      <c r="L2166" s="312"/>
      <c r="M2166" s="511"/>
      <c r="N2166" s="312"/>
      <c r="O2166" s="312"/>
      <c r="P2166" s="312"/>
      <c r="Q2166" s="312"/>
      <c r="R2166" s="312"/>
      <c r="S2166" s="312"/>
      <c r="T2166" s="312"/>
      <c r="U2166" s="312"/>
    </row>
    <row r="2167">
      <c r="A2167" s="571" t="s">
        <v>30554</v>
      </c>
      <c r="B2167" s="312"/>
      <c r="C2167" s="567"/>
      <c r="D2167" s="312"/>
      <c r="E2167" s="511"/>
      <c r="F2167" s="312"/>
      <c r="G2167" s="312"/>
      <c r="H2167" s="312"/>
      <c r="I2167" s="567"/>
      <c r="J2167" s="312" t="b">
        <v>0</v>
      </c>
      <c r="K2167" s="312"/>
      <c r="L2167" s="312"/>
      <c r="M2167" s="511"/>
      <c r="N2167" s="312"/>
      <c r="O2167" s="312"/>
      <c r="P2167" s="312"/>
      <c r="Q2167" s="312"/>
      <c r="R2167" s="312"/>
      <c r="S2167" s="312"/>
      <c r="T2167" s="312"/>
      <c r="U2167" s="312"/>
    </row>
    <row r="2168">
      <c r="A2168" s="312"/>
      <c r="B2168" s="312"/>
      <c r="C2168" s="567"/>
      <c r="D2168" s="312"/>
      <c r="E2168" s="511"/>
      <c r="F2168" s="312"/>
      <c r="G2168" s="312"/>
      <c r="H2168" s="312"/>
      <c r="I2168" s="567"/>
      <c r="J2168" s="312" t="b">
        <v>0</v>
      </c>
      <c r="K2168" s="312"/>
      <c r="L2168" s="312"/>
      <c r="M2168" s="511"/>
      <c r="N2168" s="312"/>
      <c r="O2168" s="312"/>
      <c r="P2168" s="312"/>
      <c r="Q2168" s="312"/>
      <c r="R2168" s="312"/>
      <c r="S2168" s="312"/>
      <c r="T2168" s="312"/>
      <c r="U2168" s="312"/>
    </row>
    <row r="2169">
      <c r="A2169" s="312"/>
      <c r="B2169" s="312"/>
      <c r="C2169" s="567"/>
      <c r="D2169" s="312"/>
      <c r="E2169" s="511"/>
      <c r="F2169" s="312"/>
      <c r="G2169" s="312"/>
      <c r="H2169" s="312"/>
      <c r="I2169" s="567"/>
      <c r="J2169" s="312" t="b">
        <v>0</v>
      </c>
      <c r="K2169" s="312"/>
      <c r="L2169" s="312"/>
      <c r="M2169" s="511"/>
      <c r="N2169" s="312"/>
      <c r="O2169" s="312"/>
      <c r="P2169" s="312"/>
      <c r="Q2169" s="312"/>
      <c r="R2169" s="312"/>
      <c r="S2169" s="312"/>
      <c r="T2169" s="312"/>
      <c r="U2169" s="312"/>
    </row>
    <row r="2170">
      <c r="A2170" s="312"/>
      <c r="B2170" s="312"/>
      <c r="C2170" s="567"/>
      <c r="D2170" s="312"/>
      <c r="E2170" s="511"/>
      <c r="F2170" s="312"/>
      <c r="G2170" s="312"/>
      <c r="H2170" s="312"/>
      <c r="I2170" s="567"/>
      <c r="J2170" s="312" t="b">
        <v>0</v>
      </c>
      <c r="K2170" s="312"/>
      <c r="L2170" s="312"/>
      <c r="M2170" s="511"/>
      <c r="N2170" s="312"/>
      <c r="O2170" s="312"/>
      <c r="P2170" s="312"/>
      <c r="Q2170" s="312"/>
      <c r="R2170" s="312"/>
      <c r="S2170" s="312"/>
      <c r="T2170" s="312"/>
      <c r="U2170" s="312"/>
    </row>
    <row r="2171">
      <c r="A2171" s="312"/>
      <c r="B2171" s="312"/>
      <c r="C2171" s="567"/>
      <c r="D2171" s="312"/>
      <c r="E2171" s="511"/>
      <c r="F2171" s="312"/>
      <c r="G2171" s="312"/>
      <c r="H2171" s="312"/>
      <c r="I2171" s="567"/>
      <c r="J2171" s="312" t="b">
        <v>0</v>
      </c>
      <c r="K2171" s="312"/>
      <c r="L2171" s="312"/>
      <c r="M2171" s="511"/>
      <c r="N2171" s="312"/>
      <c r="O2171" s="312"/>
      <c r="P2171" s="312"/>
      <c r="Q2171" s="312"/>
      <c r="R2171" s="312"/>
      <c r="S2171" s="312"/>
      <c r="T2171" s="312"/>
      <c r="U2171" s="312"/>
    </row>
    <row r="2172">
      <c r="A2172" s="312"/>
      <c r="B2172" s="312"/>
      <c r="C2172" s="567"/>
      <c r="D2172" s="312"/>
      <c r="E2172" s="511"/>
      <c r="F2172" s="312"/>
      <c r="G2172" s="312"/>
      <c r="H2172" s="312"/>
      <c r="I2172" s="567"/>
      <c r="J2172" s="312" t="b">
        <v>0</v>
      </c>
      <c r="K2172" s="312"/>
      <c r="L2172" s="312"/>
      <c r="M2172" s="511"/>
      <c r="N2172" s="312"/>
      <c r="O2172" s="312"/>
      <c r="P2172" s="312"/>
      <c r="Q2172" s="312"/>
      <c r="R2172" s="312"/>
      <c r="S2172" s="312"/>
      <c r="T2172" s="312"/>
      <c r="U2172" s="312"/>
    </row>
    <row r="2173">
      <c r="A2173" s="312"/>
      <c r="B2173" s="312"/>
      <c r="C2173" s="567"/>
      <c r="D2173" s="312"/>
      <c r="E2173" s="511"/>
      <c r="F2173" s="312"/>
      <c r="G2173" s="312"/>
      <c r="H2173" s="312"/>
      <c r="I2173" s="567"/>
      <c r="J2173" s="312" t="b">
        <v>0</v>
      </c>
      <c r="K2173" s="312"/>
      <c r="L2173" s="312"/>
      <c r="M2173" s="511"/>
      <c r="N2173" s="312"/>
      <c r="O2173" s="312"/>
      <c r="P2173" s="312"/>
      <c r="Q2173" s="312"/>
      <c r="R2173" s="312"/>
      <c r="S2173" s="312"/>
      <c r="T2173" s="312"/>
      <c r="U2173" s="312"/>
    </row>
    <row r="2174">
      <c r="A2174" s="312"/>
      <c r="B2174" s="312"/>
      <c r="C2174" s="567"/>
      <c r="D2174" s="312"/>
      <c r="E2174" s="511"/>
      <c r="F2174" s="312"/>
      <c r="G2174" s="312"/>
      <c r="H2174" s="312"/>
      <c r="I2174" s="567"/>
      <c r="J2174" s="312" t="b">
        <v>0</v>
      </c>
      <c r="K2174" s="312"/>
      <c r="L2174" s="312"/>
      <c r="M2174" s="511"/>
      <c r="N2174" s="312"/>
      <c r="O2174" s="312"/>
      <c r="P2174" s="312"/>
      <c r="Q2174" s="312"/>
      <c r="R2174" s="312"/>
      <c r="S2174" s="312"/>
      <c r="T2174" s="312"/>
      <c r="U2174" s="312"/>
    </row>
    <row r="2175">
      <c r="A2175" s="312"/>
      <c r="B2175" s="312"/>
      <c r="C2175" s="567"/>
      <c r="D2175" s="312"/>
      <c r="E2175" s="511"/>
      <c r="F2175" s="312"/>
      <c r="G2175" s="312"/>
      <c r="H2175" s="312"/>
      <c r="I2175" s="567"/>
      <c r="J2175" s="312" t="b">
        <v>0</v>
      </c>
      <c r="K2175" s="312"/>
      <c r="L2175" s="312"/>
      <c r="M2175" s="511"/>
      <c r="N2175" s="312"/>
      <c r="O2175" s="312"/>
      <c r="P2175" s="312"/>
      <c r="Q2175" s="312"/>
      <c r="R2175" s="312"/>
      <c r="S2175" s="312"/>
      <c r="T2175" s="312"/>
      <c r="U2175" s="312"/>
    </row>
    <row r="2176">
      <c r="A2176" s="312"/>
      <c r="B2176" s="312"/>
      <c r="C2176" s="567"/>
      <c r="D2176" s="312"/>
      <c r="E2176" s="511"/>
      <c r="F2176" s="312"/>
      <c r="G2176" s="312"/>
      <c r="H2176" s="312"/>
      <c r="I2176" s="567"/>
      <c r="J2176" s="312" t="b">
        <v>0</v>
      </c>
      <c r="K2176" s="312"/>
      <c r="L2176" s="312"/>
      <c r="M2176" s="511"/>
      <c r="N2176" s="312"/>
      <c r="O2176" s="312"/>
      <c r="P2176" s="312"/>
      <c r="Q2176" s="312"/>
      <c r="R2176" s="312"/>
      <c r="S2176" s="312"/>
      <c r="T2176" s="312"/>
      <c r="U2176" s="312"/>
    </row>
    <row r="2177">
      <c r="A2177" s="312"/>
      <c r="B2177" s="312"/>
      <c r="C2177" s="567"/>
      <c r="D2177" s="312"/>
      <c r="E2177" s="511"/>
      <c r="F2177" s="312"/>
      <c r="G2177" s="312"/>
      <c r="H2177" s="312"/>
      <c r="I2177" s="567"/>
      <c r="J2177" s="312" t="b">
        <v>0</v>
      </c>
      <c r="K2177" s="312"/>
      <c r="L2177" s="312"/>
      <c r="M2177" s="511"/>
      <c r="N2177" s="312"/>
      <c r="O2177" s="312"/>
      <c r="P2177" s="312"/>
      <c r="Q2177" s="312"/>
      <c r="R2177" s="312"/>
      <c r="S2177" s="312"/>
      <c r="T2177" s="312"/>
      <c r="U2177" s="312"/>
    </row>
    <row r="2178">
      <c r="A2178" s="312"/>
      <c r="B2178" s="312"/>
      <c r="C2178" s="567"/>
      <c r="D2178" s="312"/>
      <c r="E2178" s="511"/>
      <c r="F2178" s="312"/>
      <c r="G2178" s="312"/>
      <c r="H2178" s="312"/>
      <c r="I2178" s="567"/>
      <c r="J2178" s="312" t="b">
        <v>0</v>
      </c>
      <c r="K2178" s="312"/>
      <c r="L2178" s="312"/>
      <c r="M2178" s="511"/>
      <c r="N2178" s="312"/>
      <c r="O2178" s="312"/>
      <c r="P2178" s="312"/>
      <c r="Q2178" s="312"/>
      <c r="R2178" s="312"/>
      <c r="S2178" s="312"/>
      <c r="T2178" s="312"/>
      <c r="U2178" s="312"/>
    </row>
    <row r="2179">
      <c r="A2179" s="312"/>
      <c r="B2179" s="312"/>
      <c r="C2179" s="567"/>
      <c r="D2179" s="312"/>
      <c r="E2179" s="511"/>
      <c r="F2179" s="312"/>
      <c r="G2179" s="312"/>
      <c r="H2179" s="312"/>
      <c r="I2179" s="567"/>
      <c r="J2179" s="312" t="b">
        <v>0</v>
      </c>
      <c r="K2179" s="312"/>
      <c r="L2179" s="312"/>
      <c r="M2179" s="511"/>
      <c r="N2179" s="312"/>
      <c r="O2179" s="312"/>
      <c r="P2179" s="312"/>
      <c r="Q2179" s="312"/>
      <c r="R2179" s="312"/>
      <c r="S2179" s="312"/>
      <c r="T2179" s="312"/>
      <c r="U2179" s="312"/>
    </row>
    <row r="2180">
      <c r="A2180" s="312"/>
      <c r="B2180" s="312"/>
      <c r="C2180" s="567"/>
      <c r="D2180" s="312"/>
      <c r="E2180" s="511"/>
      <c r="F2180" s="312"/>
      <c r="G2180" s="312"/>
      <c r="H2180" s="312"/>
      <c r="I2180" s="567"/>
      <c r="J2180" s="312" t="b">
        <v>0</v>
      </c>
      <c r="K2180" s="312"/>
      <c r="L2180" s="312"/>
      <c r="M2180" s="511"/>
      <c r="N2180" s="312"/>
      <c r="O2180" s="312"/>
      <c r="P2180" s="312"/>
      <c r="Q2180" s="312"/>
      <c r="R2180" s="312"/>
      <c r="S2180" s="312"/>
      <c r="T2180" s="312"/>
      <c r="U2180" s="312"/>
    </row>
    <row r="2181">
      <c r="A2181" s="312"/>
      <c r="B2181" s="312"/>
      <c r="C2181" s="567"/>
      <c r="D2181" s="312"/>
      <c r="E2181" s="511"/>
      <c r="F2181" s="312"/>
      <c r="G2181" s="312"/>
      <c r="H2181" s="312"/>
      <c r="I2181" s="567"/>
      <c r="J2181" s="312" t="b">
        <v>0</v>
      </c>
      <c r="K2181" s="312"/>
      <c r="L2181" s="312"/>
      <c r="M2181" s="511"/>
      <c r="N2181" s="312"/>
      <c r="O2181" s="312"/>
      <c r="P2181" s="312"/>
      <c r="Q2181" s="312"/>
      <c r="R2181" s="312"/>
      <c r="S2181" s="312"/>
      <c r="T2181" s="312"/>
      <c r="U2181" s="312"/>
    </row>
    <row r="2182">
      <c r="A2182" s="312"/>
      <c r="B2182" s="312"/>
      <c r="C2182" s="567"/>
      <c r="D2182" s="312"/>
      <c r="E2182" s="511"/>
      <c r="F2182" s="312"/>
      <c r="G2182" s="312"/>
      <c r="H2182" s="312"/>
      <c r="I2182" s="567"/>
      <c r="J2182" s="312" t="b">
        <v>0</v>
      </c>
      <c r="K2182" s="312"/>
      <c r="L2182" s="312"/>
      <c r="M2182" s="511"/>
      <c r="N2182" s="312"/>
      <c r="O2182" s="312"/>
      <c r="P2182" s="312"/>
      <c r="Q2182" s="312"/>
      <c r="R2182" s="312"/>
      <c r="S2182" s="312"/>
      <c r="T2182" s="312"/>
      <c r="U2182" s="312"/>
    </row>
    <row r="2183">
      <c r="A2183" s="312"/>
      <c r="B2183" s="312"/>
      <c r="C2183" s="567"/>
      <c r="D2183" s="312"/>
      <c r="E2183" s="511"/>
      <c r="F2183" s="312"/>
      <c r="G2183" s="312"/>
      <c r="H2183" s="312"/>
      <c r="I2183" s="567"/>
      <c r="J2183" s="312" t="b">
        <v>0</v>
      </c>
      <c r="K2183" s="312"/>
      <c r="L2183" s="312"/>
      <c r="M2183" s="511"/>
      <c r="N2183" s="312"/>
      <c r="O2183" s="312"/>
      <c r="P2183" s="312"/>
      <c r="Q2183" s="312"/>
      <c r="R2183" s="312"/>
      <c r="S2183" s="312"/>
      <c r="T2183" s="312"/>
      <c r="U2183" s="312"/>
    </row>
    <row r="2184">
      <c r="A2184" s="312"/>
      <c r="B2184" s="312"/>
      <c r="C2184" s="567"/>
      <c r="D2184" s="312"/>
      <c r="E2184" s="511"/>
      <c r="F2184" s="312"/>
      <c r="G2184" s="312"/>
      <c r="H2184" s="312"/>
      <c r="I2184" s="567"/>
      <c r="J2184" s="312" t="b">
        <v>0</v>
      </c>
      <c r="K2184" s="312"/>
      <c r="L2184" s="312"/>
      <c r="M2184" s="511"/>
      <c r="N2184" s="312"/>
      <c r="O2184" s="312"/>
      <c r="P2184" s="312"/>
      <c r="Q2184" s="312"/>
      <c r="R2184" s="312"/>
      <c r="S2184" s="312"/>
      <c r="T2184" s="312"/>
      <c r="U2184" s="312"/>
    </row>
    <row r="2185">
      <c r="A2185" s="312"/>
      <c r="B2185" s="312"/>
      <c r="C2185" s="567"/>
      <c r="D2185" s="312"/>
      <c r="E2185" s="511"/>
      <c r="F2185" s="312"/>
      <c r="G2185" s="312"/>
      <c r="H2185" s="312"/>
      <c r="I2185" s="567"/>
      <c r="J2185" s="312" t="b">
        <v>0</v>
      </c>
      <c r="K2185" s="312"/>
      <c r="L2185" s="312"/>
      <c r="M2185" s="511"/>
      <c r="N2185" s="312"/>
      <c r="O2185" s="312"/>
      <c r="P2185" s="312"/>
      <c r="Q2185" s="312"/>
      <c r="R2185" s="312"/>
      <c r="S2185" s="312"/>
      <c r="T2185" s="312"/>
      <c r="U2185" s="312"/>
    </row>
    <row r="2186">
      <c r="A2186" s="312"/>
      <c r="B2186" s="312"/>
      <c r="C2186" s="567"/>
      <c r="D2186" s="312"/>
      <c r="E2186" s="511"/>
      <c r="F2186" s="312"/>
      <c r="G2186" s="312"/>
      <c r="H2186" s="312"/>
      <c r="I2186" s="567"/>
      <c r="J2186" s="312" t="b">
        <v>0</v>
      </c>
      <c r="K2186" s="312"/>
      <c r="L2186" s="312"/>
      <c r="M2186" s="511"/>
      <c r="N2186" s="312"/>
      <c r="O2186" s="312"/>
      <c r="P2186" s="312"/>
      <c r="Q2186" s="312"/>
      <c r="R2186" s="312"/>
      <c r="S2186" s="312"/>
      <c r="T2186" s="312"/>
      <c r="U2186" s="312"/>
    </row>
    <row r="2187">
      <c r="A2187" s="312"/>
      <c r="B2187" s="312"/>
      <c r="C2187" s="567"/>
      <c r="D2187" s="312"/>
      <c r="E2187" s="511"/>
      <c r="F2187" s="312"/>
      <c r="G2187" s="312"/>
      <c r="H2187" s="312"/>
      <c r="I2187" s="567"/>
      <c r="J2187" s="312" t="b">
        <v>0</v>
      </c>
      <c r="K2187" s="312"/>
      <c r="L2187" s="312"/>
      <c r="M2187" s="511"/>
      <c r="N2187" s="312"/>
      <c r="O2187" s="312"/>
      <c r="P2187" s="312"/>
      <c r="Q2187" s="312"/>
      <c r="R2187" s="312"/>
      <c r="S2187" s="312"/>
      <c r="T2187" s="312"/>
      <c r="U2187" s="312"/>
    </row>
    <row r="2188">
      <c r="A2188" s="312"/>
      <c r="B2188" s="312"/>
      <c r="C2188" s="567"/>
      <c r="D2188" s="312"/>
      <c r="E2188" s="511"/>
      <c r="F2188" s="312"/>
      <c r="G2188" s="312"/>
      <c r="H2188" s="312"/>
      <c r="I2188" s="567"/>
      <c r="J2188" s="312" t="b">
        <v>0</v>
      </c>
      <c r="K2188" s="312"/>
      <c r="L2188" s="312"/>
      <c r="M2188" s="511"/>
      <c r="N2188" s="312"/>
      <c r="O2188" s="312"/>
      <c r="P2188" s="312"/>
      <c r="Q2188" s="312"/>
      <c r="R2188" s="312"/>
      <c r="S2188" s="312"/>
      <c r="T2188" s="312"/>
      <c r="U2188" s="312"/>
    </row>
    <row r="2189">
      <c r="A2189" s="312"/>
      <c r="B2189" s="312"/>
      <c r="C2189" s="567"/>
      <c r="D2189" s="312"/>
      <c r="E2189" s="511"/>
      <c r="F2189" s="312"/>
      <c r="G2189" s="312"/>
      <c r="H2189" s="312"/>
      <c r="I2189" s="567"/>
      <c r="J2189" s="312" t="b">
        <v>0</v>
      </c>
      <c r="K2189" s="312"/>
      <c r="L2189" s="312"/>
      <c r="M2189" s="511"/>
      <c r="N2189" s="312"/>
      <c r="O2189" s="312"/>
      <c r="P2189" s="312"/>
      <c r="Q2189" s="312"/>
      <c r="R2189" s="312"/>
      <c r="S2189" s="312"/>
      <c r="T2189" s="312"/>
      <c r="U2189" s="312"/>
    </row>
    <row r="2190">
      <c r="A2190" s="312"/>
      <c r="B2190" s="312"/>
      <c r="C2190" s="567"/>
      <c r="D2190" s="312"/>
      <c r="E2190" s="511"/>
      <c r="F2190" s="312"/>
      <c r="G2190" s="312"/>
      <c r="H2190" s="312"/>
      <c r="I2190" s="567"/>
      <c r="J2190" s="312" t="b">
        <v>0</v>
      </c>
      <c r="K2190" s="312"/>
      <c r="L2190" s="312"/>
      <c r="M2190" s="511"/>
      <c r="N2190" s="312"/>
      <c r="O2190" s="312"/>
      <c r="P2190" s="312"/>
      <c r="Q2190" s="312"/>
      <c r="R2190" s="312"/>
      <c r="S2190" s="312"/>
      <c r="T2190" s="312"/>
      <c r="U2190" s="312"/>
    </row>
    <row r="2191">
      <c r="A2191" s="312"/>
      <c r="B2191" s="312"/>
      <c r="C2191" s="567"/>
      <c r="D2191" s="312"/>
      <c r="E2191" s="511"/>
      <c r="F2191" s="312"/>
      <c r="G2191" s="312"/>
      <c r="H2191" s="312"/>
      <c r="I2191" s="567"/>
      <c r="J2191" s="312" t="b">
        <v>0</v>
      </c>
      <c r="K2191" s="312"/>
      <c r="L2191" s="312"/>
      <c r="M2191" s="511"/>
      <c r="N2191" s="312"/>
      <c r="O2191" s="312"/>
      <c r="P2191" s="312"/>
      <c r="Q2191" s="312"/>
      <c r="R2191" s="312"/>
      <c r="S2191" s="312"/>
      <c r="T2191" s="312"/>
      <c r="U2191" s="312"/>
    </row>
    <row r="2192">
      <c r="A2192" s="312"/>
      <c r="B2192" s="312"/>
      <c r="C2192" s="567"/>
      <c r="D2192" s="312"/>
      <c r="E2192" s="511"/>
      <c r="F2192" s="312"/>
      <c r="G2192" s="312"/>
      <c r="H2192" s="312"/>
      <c r="I2192" s="567"/>
      <c r="J2192" s="312" t="b">
        <v>0</v>
      </c>
      <c r="K2192" s="312"/>
      <c r="L2192" s="312"/>
      <c r="M2192" s="511"/>
      <c r="N2192" s="312"/>
      <c r="O2192" s="312"/>
      <c r="P2192" s="312"/>
      <c r="Q2192" s="312"/>
      <c r="R2192" s="312"/>
      <c r="S2192" s="312"/>
      <c r="T2192" s="312"/>
      <c r="U2192" s="312"/>
    </row>
    <row r="2193">
      <c r="A2193" s="312"/>
      <c r="B2193" s="312"/>
      <c r="C2193" s="567"/>
      <c r="D2193" s="312"/>
      <c r="E2193" s="511"/>
      <c r="F2193" s="312"/>
      <c r="G2193" s="312"/>
      <c r="H2193" s="312"/>
      <c r="I2193" s="567"/>
      <c r="J2193" s="312" t="b">
        <v>0</v>
      </c>
      <c r="K2193" s="312"/>
      <c r="L2193" s="312"/>
      <c r="M2193" s="511"/>
      <c r="N2193" s="312"/>
      <c r="O2193" s="312"/>
      <c r="P2193" s="312"/>
      <c r="Q2193" s="312"/>
      <c r="R2193" s="312"/>
      <c r="S2193" s="312"/>
      <c r="T2193" s="312"/>
      <c r="U2193" s="312"/>
    </row>
    <row r="2194">
      <c r="A2194" s="312"/>
      <c r="B2194" s="312"/>
      <c r="C2194" s="567"/>
      <c r="D2194" s="312"/>
      <c r="E2194" s="511"/>
      <c r="F2194" s="312"/>
      <c r="G2194" s="312"/>
      <c r="H2194" s="312"/>
      <c r="I2194" s="567"/>
      <c r="J2194" s="312" t="b">
        <v>0</v>
      </c>
      <c r="K2194" s="312"/>
      <c r="L2194" s="312"/>
      <c r="M2194" s="511"/>
      <c r="N2194" s="312"/>
      <c r="O2194" s="312"/>
      <c r="P2194" s="312"/>
      <c r="Q2194" s="312"/>
      <c r="R2194" s="312"/>
      <c r="S2194" s="312"/>
      <c r="T2194" s="312"/>
      <c r="U2194" s="312"/>
    </row>
    <row r="2195">
      <c r="A2195" s="312"/>
      <c r="B2195" s="312"/>
      <c r="C2195" s="567"/>
      <c r="D2195" s="312"/>
      <c r="E2195" s="511"/>
      <c r="F2195" s="312"/>
      <c r="G2195" s="312"/>
      <c r="H2195" s="312"/>
      <c r="I2195" s="567"/>
      <c r="J2195" s="312" t="b">
        <v>0</v>
      </c>
      <c r="K2195" s="312"/>
      <c r="L2195" s="312"/>
      <c r="M2195" s="511"/>
      <c r="N2195" s="312"/>
      <c r="O2195" s="312"/>
      <c r="P2195" s="312"/>
      <c r="Q2195" s="312"/>
      <c r="R2195" s="312"/>
      <c r="S2195" s="312"/>
      <c r="T2195" s="312"/>
      <c r="U2195" s="312"/>
    </row>
    <row r="2196">
      <c r="A2196" s="312"/>
      <c r="B2196" s="312"/>
      <c r="C2196" s="567"/>
      <c r="D2196" s="312"/>
      <c r="E2196" s="511"/>
      <c r="F2196" s="312"/>
      <c r="G2196" s="312"/>
      <c r="H2196" s="312"/>
      <c r="I2196" s="567"/>
      <c r="J2196" s="312" t="b">
        <v>0</v>
      </c>
      <c r="K2196" s="312"/>
      <c r="L2196" s="312"/>
      <c r="M2196" s="511"/>
      <c r="N2196" s="312"/>
      <c r="O2196" s="312"/>
      <c r="P2196" s="312"/>
      <c r="Q2196" s="312"/>
      <c r="R2196" s="312"/>
      <c r="S2196" s="312"/>
      <c r="T2196" s="312"/>
      <c r="U2196" s="312"/>
    </row>
    <row r="2197">
      <c r="A2197" s="312"/>
      <c r="B2197" s="312"/>
      <c r="C2197" s="567"/>
      <c r="D2197" s="312"/>
      <c r="E2197" s="511"/>
      <c r="F2197" s="312"/>
      <c r="G2197" s="312"/>
      <c r="H2197" s="312"/>
      <c r="I2197" s="567"/>
      <c r="J2197" s="312" t="b">
        <v>0</v>
      </c>
      <c r="K2197" s="312"/>
      <c r="L2197" s="312"/>
      <c r="M2197" s="511"/>
      <c r="N2197" s="312"/>
      <c r="O2197" s="312"/>
      <c r="P2197" s="312"/>
      <c r="Q2197" s="312"/>
      <c r="R2197" s="312"/>
      <c r="S2197" s="312"/>
      <c r="T2197" s="312"/>
      <c r="U2197" s="312"/>
    </row>
    <row r="2198">
      <c r="A2198" s="312"/>
      <c r="B2198" s="312"/>
      <c r="C2198" s="567"/>
      <c r="D2198" s="312"/>
      <c r="E2198" s="511"/>
      <c r="F2198" s="312"/>
      <c r="G2198" s="312"/>
      <c r="H2198" s="312"/>
      <c r="I2198" s="567"/>
      <c r="J2198" s="312" t="b">
        <v>0</v>
      </c>
      <c r="K2198" s="312"/>
      <c r="L2198" s="312"/>
      <c r="M2198" s="511"/>
      <c r="N2198" s="312"/>
      <c r="O2198" s="312"/>
      <c r="P2198" s="312"/>
      <c r="Q2198" s="312"/>
      <c r="R2198" s="312"/>
      <c r="S2198" s="312"/>
      <c r="T2198" s="312"/>
      <c r="U2198" s="312"/>
    </row>
    <row r="2199">
      <c r="A2199" s="312"/>
      <c r="B2199" s="312"/>
      <c r="C2199" s="567"/>
      <c r="D2199" s="312"/>
      <c r="E2199" s="511"/>
      <c r="F2199" s="312"/>
      <c r="G2199" s="312"/>
      <c r="H2199" s="312"/>
      <c r="I2199" s="567"/>
      <c r="J2199" s="312" t="b">
        <v>0</v>
      </c>
      <c r="K2199" s="312"/>
      <c r="L2199" s="312"/>
      <c r="M2199" s="511"/>
      <c r="N2199" s="312"/>
      <c r="O2199" s="312"/>
      <c r="P2199" s="312"/>
      <c r="Q2199" s="312"/>
      <c r="R2199" s="312"/>
      <c r="S2199" s="312"/>
      <c r="T2199" s="312"/>
      <c r="U2199" s="312"/>
    </row>
    <row r="2200">
      <c r="A2200" s="312"/>
      <c r="B2200" s="312"/>
      <c r="C2200" s="567"/>
      <c r="D2200" s="312"/>
      <c r="E2200" s="511"/>
      <c r="F2200" s="312"/>
      <c r="G2200" s="312"/>
      <c r="H2200" s="312"/>
      <c r="I2200" s="567"/>
      <c r="J2200" s="312" t="b">
        <v>0</v>
      </c>
      <c r="K2200" s="312"/>
      <c r="L2200" s="312"/>
      <c r="M2200" s="511"/>
      <c r="N2200" s="312"/>
      <c r="O2200" s="312"/>
      <c r="P2200" s="312"/>
      <c r="Q2200" s="312"/>
      <c r="R2200" s="312"/>
      <c r="S2200" s="312"/>
      <c r="T2200" s="312"/>
      <c r="U2200" s="312"/>
    </row>
    <row r="2201">
      <c r="A2201" s="312"/>
      <c r="B2201" s="312"/>
      <c r="C2201" s="567"/>
      <c r="D2201" s="312"/>
      <c r="E2201" s="511"/>
      <c r="F2201" s="312"/>
      <c r="G2201" s="312"/>
      <c r="H2201" s="312"/>
      <c r="I2201" s="567"/>
      <c r="J2201" s="312" t="b">
        <v>0</v>
      </c>
      <c r="K2201" s="312"/>
      <c r="L2201" s="312"/>
      <c r="M2201" s="511"/>
      <c r="N2201" s="312"/>
      <c r="O2201" s="312"/>
      <c r="P2201" s="312"/>
      <c r="Q2201" s="312"/>
      <c r="R2201" s="312"/>
      <c r="S2201" s="312"/>
      <c r="T2201" s="312"/>
      <c r="U2201" s="312"/>
    </row>
    <row r="2202">
      <c r="A2202" s="312"/>
      <c r="B2202" s="312"/>
      <c r="C2202" s="567"/>
      <c r="D2202" s="312"/>
      <c r="E2202" s="511"/>
      <c r="F2202" s="312"/>
      <c r="G2202" s="312"/>
      <c r="H2202" s="312"/>
      <c r="I2202" s="567"/>
      <c r="J2202" s="312" t="b">
        <v>0</v>
      </c>
      <c r="K2202" s="312"/>
      <c r="L2202" s="312"/>
      <c r="M2202" s="511"/>
      <c r="N2202" s="312"/>
      <c r="O2202" s="312"/>
      <c r="P2202" s="312"/>
      <c r="Q2202" s="312"/>
      <c r="R2202" s="312"/>
      <c r="S2202" s="312"/>
      <c r="T2202" s="312"/>
      <c r="U2202" s="312"/>
    </row>
    <row r="2203">
      <c r="A2203" s="312"/>
      <c r="B2203" s="312"/>
      <c r="C2203" s="567"/>
      <c r="D2203" s="312"/>
      <c r="E2203" s="511"/>
      <c r="F2203" s="312"/>
      <c r="G2203" s="312"/>
      <c r="H2203" s="312"/>
      <c r="I2203" s="567"/>
      <c r="J2203" s="312" t="b">
        <v>0</v>
      </c>
      <c r="K2203" s="312"/>
      <c r="L2203" s="312"/>
      <c r="M2203" s="511"/>
      <c r="N2203" s="312"/>
      <c r="O2203" s="312"/>
      <c r="P2203" s="312"/>
      <c r="Q2203" s="312"/>
      <c r="R2203" s="312"/>
      <c r="S2203" s="312"/>
      <c r="T2203" s="312"/>
      <c r="U2203" s="312"/>
    </row>
    <row r="2204">
      <c r="A2204" s="312"/>
      <c r="B2204" s="312"/>
      <c r="C2204" s="567"/>
      <c r="D2204" s="312"/>
      <c r="E2204" s="511"/>
      <c r="F2204" s="312"/>
      <c r="G2204" s="312"/>
      <c r="H2204" s="312"/>
      <c r="I2204" s="567"/>
      <c r="J2204" s="312" t="b">
        <v>0</v>
      </c>
      <c r="K2204" s="312"/>
      <c r="L2204" s="312"/>
      <c r="M2204" s="511"/>
      <c r="N2204" s="312"/>
      <c r="O2204" s="312"/>
      <c r="P2204" s="312"/>
      <c r="Q2204" s="312"/>
      <c r="R2204" s="312"/>
      <c r="S2204" s="312"/>
      <c r="T2204" s="312"/>
      <c r="U2204" s="312"/>
    </row>
    <row r="2205">
      <c r="A2205" s="312"/>
      <c r="B2205" s="312"/>
      <c r="C2205" s="567"/>
      <c r="D2205" s="312"/>
      <c r="E2205" s="511"/>
      <c r="F2205" s="312"/>
      <c r="G2205" s="312"/>
      <c r="H2205" s="312"/>
      <c r="I2205" s="567"/>
      <c r="J2205" s="312" t="b">
        <v>0</v>
      </c>
      <c r="K2205" s="312"/>
      <c r="L2205" s="312"/>
      <c r="M2205" s="511"/>
      <c r="N2205" s="312"/>
      <c r="O2205" s="312"/>
      <c r="P2205" s="312"/>
      <c r="Q2205" s="312"/>
      <c r="R2205" s="312"/>
      <c r="S2205" s="312"/>
      <c r="T2205" s="312"/>
      <c r="U2205" s="312"/>
    </row>
    <row r="2206">
      <c r="A2206" s="312"/>
      <c r="B2206" s="312"/>
      <c r="C2206" s="567"/>
      <c r="D2206" s="312"/>
      <c r="E2206" s="511"/>
      <c r="F2206" s="312"/>
      <c r="G2206" s="312"/>
      <c r="H2206" s="312"/>
      <c r="I2206" s="567"/>
      <c r="J2206" s="312" t="b">
        <v>0</v>
      </c>
      <c r="K2206" s="312"/>
      <c r="L2206" s="312"/>
      <c r="M2206" s="511"/>
      <c r="N2206" s="312"/>
      <c r="O2206" s="312"/>
      <c r="P2206" s="312"/>
      <c r="Q2206" s="312"/>
      <c r="R2206" s="312"/>
      <c r="S2206" s="312"/>
      <c r="T2206" s="312"/>
      <c r="U2206" s="312"/>
    </row>
    <row r="2207">
      <c r="A2207" s="312"/>
      <c r="B2207" s="312"/>
      <c r="C2207" s="567"/>
      <c r="D2207" s="312"/>
      <c r="E2207" s="511"/>
      <c r="F2207" s="312"/>
      <c r="G2207" s="312"/>
      <c r="H2207" s="312"/>
      <c r="I2207" s="567"/>
      <c r="J2207" s="312" t="b">
        <v>0</v>
      </c>
      <c r="K2207" s="312"/>
      <c r="L2207" s="312"/>
      <c r="M2207" s="511"/>
      <c r="N2207" s="312"/>
      <c r="O2207" s="312"/>
      <c r="P2207" s="312"/>
      <c r="Q2207" s="312"/>
      <c r="R2207" s="312"/>
      <c r="S2207" s="312"/>
      <c r="T2207" s="312"/>
      <c r="U2207" s="312"/>
    </row>
    <row r="2208">
      <c r="A2208" s="312"/>
      <c r="B2208" s="312"/>
      <c r="C2208" s="567"/>
      <c r="D2208" s="312"/>
      <c r="E2208" s="511"/>
      <c r="F2208" s="312"/>
      <c r="G2208" s="312"/>
      <c r="H2208" s="312"/>
      <c r="I2208" s="567"/>
      <c r="J2208" s="312" t="b">
        <v>0</v>
      </c>
      <c r="K2208" s="312"/>
      <c r="L2208" s="312"/>
      <c r="M2208" s="511"/>
      <c r="N2208" s="312"/>
      <c r="O2208" s="312"/>
      <c r="P2208" s="312"/>
      <c r="Q2208" s="312"/>
      <c r="R2208" s="312"/>
      <c r="S2208" s="312"/>
      <c r="T2208" s="312"/>
      <c r="U2208" s="312"/>
    </row>
    <row r="2209">
      <c r="A2209" s="312"/>
      <c r="B2209" s="312"/>
      <c r="C2209" s="567"/>
      <c r="D2209" s="312"/>
      <c r="E2209" s="511"/>
      <c r="F2209" s="312"/>
      <c r="G2209" s="312"/>
      <c r="H2209" s="312"/>
      <c r="I2209" s="567"/>
      <c r="J2209" s="312" t="b">
        <v>0</v>
      </c>
      <c r="K2209" s="312"/>
      <c r="L2209" s="312"/>
      <c r="M2209" s="511"/>
      <c r="N2209" s="312"/>
      <c r="O2209" s="312"/>
      <c r="P2209" s="312"/>
      <c r="Q2209" s="312"/>
      <c r="R2209" s="312"/>
      <c r="S2209" s="312"/>
      <c r="T2209" s="312"/>
      <c r="U2209" s="312"/>
    </row>
    <row r="2210">
      <c r="A2210" s="312"/>
      <c r="B2210" s="312"/>
      <c r="C2210" s="567"/>
      <c r="D2210" s="312"/>
      <c r="E2210" s="511"/>
      <c r="F2210" s="312"/>
      <c r="G2210" s="312"/>
      <c r="H2210" s="312"/>
      <c r="I2210" s="567"/>
      <c r="J2210" s="312" t="b">
        <v>0</v>
      </c>
      <c r="K2210" s="312"/>
      <c r="L2210" s="312"/>
      <c r="M2210" s="511"/>
      <c r="N2210" s="312"/>
      <c r="O2210" s="312"/>
      <c r="P2210" s="312"/>
      <c r="Q2210" s="312"/>
      <c r="R2210" s="312"/>
      <c r="S2210" s="312"/>
      <c r="T2210" s="312"/>
      <c r="U2210" s="312"/>
    </row>
    <row r="2211">
      <c r="A2211" s="312"/>
      <c r="B2211" s="312"/>
      <c r="C2211" s="567"/>
      <c r="D2211" s="312"/>
      <c r="E2211" s="511"/>
      <c r="F2211" s="312"/>
      <c r="G2211" s="312"/>
      <c r="H2211" s="312"/>
      <c r="I2211" s="567"/>
      <c r="J2211" s="312" t="b">
        <v>0</v>
      </c>
      <c r="K2211" s="312"/>
      <c r="L2211" s="312"/>
      <c r="M2211" s="511"/>
      <c r="N2211" s="312"/>
      <c r="O2211" s="312"/>
      <c r="P2211" s="312"/>
      <c r="Q2211" s="312"/>
      <c r="R2211" s="312"/>
      <c r="S2211" s="312"/>
      <c r="T2211" s="312"/>
      <c r="U2211" s="312"/>
    </row>
    <row r="2212">
      <c r="A2212" s="312"/>
      <c r="B2212" s="312"/>
      <c r="C2212" s="567"/>
      <c r="D2212" s="312"/>
      <c r="E2212" s="511"/>
      <c r="F2212" s="312"/>
      <c r="G2212" s="312"/>
      <c r="H2212" s="312"/>
      <c r="I2212" s="567"/>
      <c r="J2212" s="312" t="b">
        <v>0</v>
      </c>
      <c r="K2212" s="312"/>
      <c r="L2212" s="312"/>
      <c r="M2212" s="511"/>
      <c r="N2212" s="312"/>
      <c r="O2212" s="312"/>
      <c r="P2212" s="312"/>
      <c r="Q2212" s="312"/>
      <c r="R2212" s="312"/>
      <c r="S2212" s="312"/>
      <c r="T2212" s="312"/>
      <c r="U2212" s="312"/>
    </row>
    <row r="2213">
      <c r="A2213" s="312"/>
      <c r="B2213" s="312"/>
      <c r="C2213" s="567"/>
      <c r="D2213" s="312"/>
      <c r="E2213" s="511"/>
      <c r="F2213" s="312"/>
      <c r="G2213" s="312"/>
      <c r="H2213" s="312"/>
      <c r="I2213" s="567"/>
      <c r="J2213" s="312" t="b">
        <v>0</v>
      </c>
      <c r="K2213" s="312"/>
      <c r="L2213" s="312"/>
      <c r="M2213" s="511"/>
      <c r="N2213" s="312"/>
      <c r="O2213" s="312"/>
      <c r="P2213" s="312"/>
      <c r="Q2213" s="312"/>
      <c r="R2213" s="312"/>
      <c r="S2213" s="312"/>
      <c r="T2213" s="312"/>
      <c r="U2213" s="312"/>
    </row>
    <row r="2214">
      <c r="A2214" s="312"/>
      <c r="B2214" s="312"/>
      <c r="C2214" s="567"/>
      <c r="D2214" s="312"/>
      <c r="E2214" s="511"/>
      <c r="F2214" s="312"/>
      <c r="G2214" s="312"/>
      <c r="H2214" s="312"/>
      <c r="I2214" s="567"/>
      <c r="J2214" s="312" t="b">
        <v>0</v>
      </c>
      <c r="K2214" s="312"/>
      <c r="L2214" s="312"/>
      <c r="M2214" s="511"/>
      <c r="N2214" s="312"/>
      <c r="O2214" s="312"/>
      <c r="P2214" s="312"/>
      <c r="Q2214" s="312"/>
      <c r="R2214" s="312"/>
      <c r="S2214" s="312"/>
      <c r="T2214" s="312"/>
      <c r="U2214" s="312"/>
    </row>
    <row r="2215">
      <c r="A2215" s="312"/>
      <c r="B2215" s="312"/>
      <c r="C2215" s="567"/>
      <c r="D2215" s="312"/>
      <c r="E2215" s="511"/>
      <c r="F2215" s="312"/>
      <c r="G2215" s="312"/>
      <c r="H2215" s="312"/>
      <c r="I2215" s="567"/>
      <c r="J2215" s="312" t="b">
        <v>0</v>
      </c>
      <c r="K2215" s="312"/>
      <c r="L2215" s="312"/>
      <c r="M2215" s="511"/>
      <c r="N2215" s="312"/>
      <c r="O2215" s="312"/>
      <c r="P2215" s="312"/>
      <c r="Q2215" s="312"/>
      <c r="R2215" s="312"/>
      <c r="S2215" s="312"/>
      <c r="T2215" s="312"/>
      <c r="U2215" s="312"/>
    </row>
    <row r="2216">
      <c r="A2216" s="312"/>
      <c r="B2216" s="312"/>
      <c r="C2216" s="567"/>
      <c r="D2216" s="312"/>
      <c r="E2216" s="511"/>
      <c r="F2216" s="312"/>
      <c r="G2216" s="312"/>
      <c r="H2216" s="312"/>
      <c r="I2216" s="567"/>
      <c r="J2216" s="312" t="b">
        <v>0</v>
      </c>
      <c r="K2216" s="312"/>
      <c r="L2216" s="312"/>
      <c r="M2216" s="511"/>
      <c r="N2216" s="312"/>
      <c r="O2216" s="312"/>
      <c r="P2216" s="312"/>
      <c r="Q2216" s="312"/>
      <c r="R2216" s="312"/>
      <c r="S2216" s="312"/>
      <c r="T2216" s="312"/>
      <c r="U2216" s="312"/>
    </row>
    <row r="2217">
      <c r="A2217" s="312"/>
      <c r="B2217" s="312"/>
      <c r="C2217" s="567"/>
      <c r="D2217" s="312"/>
      <c r="E2217" s="511"/>
      <c r="F2217" s="312"/>
      <c r="G2217" s="312"/>
      <c r="H2217" s="312"/>
      <c r="I2217" s="567"/>
      <c r="J2217" s="312" t="b">
        <v>0</v>
      </c>
      <c r="K2217" s="312"/>
      <c r="L2217" s="312"/>
      <c r="M2217" s="511"/>
      <c r="N2217" s="312"/>
      <c r="O2217" s="312"/>
      <c r="P2217" s="312"/>
      <c r="Q2217" s="312"/>
      <c r="R2217" s="312"/>
      <c r="S2217" s="312"/>
      <c r="T2217" s="312"/>
      <c r="U2217" s="312"/>
    </row>
    <row r="2218">
      <c r="A2218" s="312"/>
      <c r="B2218" s="312"/>
      <c r="C2218" s="567"/>
      <c r="D2218" s="312"/>
      <c r="E2218" s="511"/>
      <c r="F2218" s="312"/>
      <c r="G2218" s="312"/>
      <c r="H2218" s="312"/>
      <c r="I2218" s="567"/>
      <c r="J2218" s="312" t="b">
        <v>0</v>
      </c>
      <c r="K2218" s="312"/>
      <c r="L2218" s="312"/>
      <c r="M2218" s="511"/>
      <c r="N2218" s="312"/>
      <c r="O2218" s="312"/>
      <c r="P2218" s="312"/>
      <c r="Q2218" s="312"/>
      <c r="R2218" s="312"/>
      <c r="S2218" s="312"/>
      <c r="T2218" s="312"/>
      <c r="U2218" s="312"/>
    </row>
    <row r="2219">
      <c r="A2219" s="312"/>
      <c r="B2219" s="312"/>
      <c r="C2219" s="567"/>
      <c r="D2219" s="312"/>
      <c r="E2219" s="511"/>
      <c r="F2219" s="312"/>
      <c r="G2219" s="312"/>
      <c r="H2219" s="312"/>
      <c r="I2219" s="567"/>
      <c r="J2219" s="312" t="b">
        <v>0</v>
      </c>
      <c r="K2219" s="312"/>
      <c r="L2219" s="312"/>
      <c r="M2219" s="511"/>
      <c r="N2219" s="312"/>
      <c r="O2219" s="312"/>
      <c r="P2219" s="312"/>
      <c r="Q2219" s="312"/>
      <c r="R2219" s="312"/>
      <c r="S2219" s="312"/>
      <c r="T2219" s="312"/>
      <c r="U2219" s="312"/>
    </row>
    <row r="2220">
      <c r="A2220" s="312"/>
      <c r="B2220" s="312"/>
      <c r="C2220" s="567"/>
      <c r="D2220" s="312"/>
      <c r="E2220" s="511"/>
      <c r="F2220" s="312"/>
      <c r="G2220" s="312"/>
      <c r="H2220" s="312"/>
      <c r="I2220" s="567"/>
      <c r="J2220" s="312" t="b">
        <v>0</v>
      </c>
      <c r="K2220" s="312"/>
      <c r="L2220" s="312"/>
      <c r="M2220" s="511"/>
      <c r="N2220" s="312"/>
      <c r="O2220" s="312"/>
      <c r="P2220" s="312"/>
      <c r="Q2220" s="312"/>
      <c r="R2220" s="312"/>
      <c r="S2220" s="312"/>
      <c r="T2220" s="312"/>
      <c r="U2220" s="312"/>
    </row>
    <row r="2221">
      <c r="A2221" s="312"/>
      <c r="B2221" s="312"/>
      <c r="C2221" s="567"/>
      <c r="D2221" s="312"/>
      <c r="E2221" s="511"/>
      <c r="F2221" s="312"/>
      <c r="G2221" s="312"/>
      <c r="H2221" s="312"/>
      <c r="I2221" s="567"/>
      <c r="J2221" s="312" t="b">
        <v>0</v>
      </c>
      <c r="K2221" s="312"/>
      <c r="L2221" s="312"/>
      <c r="M2221" s="511"/>
      <c r="N2221" s="312"/>
      <c r="O2221" s="312"/>
      <c r="P2221" s="312"/>
      <c r="Q2221" s="312"/>
      <c r="R2221" s="312"/>
      <c r="S2221" s="312"/>
      <c r="T2221" s="312"/>
      <c r="U2221" s="312"/>
    </row>
    <row r="2222">
      <c r="A2222" s="312"/>
      <c r="B2222" s="312"/>
      <c r="C2222" s="567"/>
      <c r="D2222" s="312"/>
      <c r="E2222" s="511"/>
      <c r="F2222" s="312"/>
      <c r="G2222" s="312"/>
      <c r="H2222" s="312"/>
      <c r="I2222" s="567"/>
      <c r="J2222" s="312" t="b">
        <v>0</v>
      </c>
      <c r="K2222" s="312"/>
      <c r="L2222" s="312"/>
      <c r="M2222" s="511"/>
      <c r="N2222" s="312"/>
      <c r="O2222" s="312"/>
      <c r="P2222" s="312"/>
      <c r="Q2222" s="312"/>
      <c r="R2222" s="312"/>
      <c r="S2222" s="312"/>
      <c r="T2222" s="312"/>
      <c r="U2222" s="312"/>
    </row>
    <row r="2223">
      <c r="A2223" s="312"/>
      <c r="B2223" s="312"/>
      <c r="C2223" s="567"/>
      <c r="D2223" s="312"/>
      <c r="E2223" s="511"/>
      <c r="F2223" s="312"/>
      <c r="G2223" s="312"/>
      <c r="H2223" s="312"/>
      <c r="I2223" s="567"/>
      <c r="J2223" s="312" t="b">
        <v>0</v>
      </c>
      <c r="K2223" s="312"/>
      <c r="L2223" s="312"/>
      <c r="M2223" s="511"/>
      <c r="N2223" s="312"/>
      <c r="O2223" s="312"/>
      <c r="P2223" s="312"/>
      <c r="Q2223" s="312"/>
      <c r="R2223" s="312"/>
      <c r="S2223" s="312"/>
      <c r="T2223" s="312"/>
      <c r="U2223" s="312"/>
    </row>
    <row r="2224">
      <c r="A2224" s="312"/>
      <c r="B2224" s="312"/>
      <c r="C2224" s="567"/>
      <c r="D2224" s="312"/>
      <c r="E2224" s="511"/>
      <c r="F2224" s="312"/>
      <c r="G2224" s="312"/>
      <c r="H2224" s="312"/>
      <c r="I2224" s="567"/>
      <c r="J2224" s="312" t="b">
        <v>0</v>
      </c>
      <c r="K2224" s="312"/>
      <c r="L2224" s="312"/>
      <c r="M2224" s="511"/>
      <c r="N2224" s="312"/>
      <c r="O2224" s="312"/>
      <c r="P2224" s="312"/>
      <c r="Q2224" s="312"/>
      <c r="R2224" s="312"/>
      <c r="S2224" s="312"/>
      <c r="T2224" s="312"/>
      <c r="U2224" s="312"/>
    </row>
    <row r="2225">
      <c r="A2225" s="312"/>
      <c r="B2225" s="312"/>
      <c r="C2225" s="567"/>
      <c r="D2225" s="312"/>
      <c r="E2225" s="511"/>
      <c r="F2225" s="312"/>
      <c r="G2225" s="312"/>
      <c r="H2225" s="312"/>
      <c r="I2225" s="567"/>
      <c r="J2225" s="312" t="b">
        <v>0</v>
      </c>
      <c r="K2225" s="312"/>
      <c r="L2225" s="312"/>
      <c r="M2225" s="511"/>
      <c r="N2225" s="312"/>
      <c r="O2225" s="312"/>
      <c r="P2225" s="312"/>
      <c r="Q2225" s="312"/>
      <c r="R2225" s="312"/>
      <c r="S2225" s="312"/>
      <c r="T2225" s="312"/>
      <c r="U2225" s="312"/>
    </row>
    <row r="2226">
      <c r="A2226" s="312"/>
      <c r="B2226" s="312"/>
      <c r="C2226" s="567"/>
      <c r="D2226" s="312"/>
      <c r="E2226" s="511"/>
      <c r="F2226" s="312"/>
      <c r="G2226" s="312"/>
      <c r="H2226" s="312"/>
      <c r="I2226" s="567"/>
      <c r="J2226" s="312" t="b">
        <v>0</v>
      </c>
      <c r="K2226" s="312"/>
      <c r="L2226" s="312"/>
      <c r="M2226" s="511"/>
      <c r="N2226" s="312"/>
      <c r="O2226" s="312"/>
      <c r="P2226" s="312"/>
      <c r="Q2226" s="312"/>
      <c r="R2226" s="312"/>
      <c r="S2226" s="312"/>
      <c r="T2226" s="312"/>
      <c r="U2226" s="312"/>
    </row>
    <row r="2227">
      <c r="A2227" s="312"/>
      <c r="B2227" s="312"/>
      <c r="C2227" s="567"/>
      <c r="D2227" s="312"/>
      <c r="E2227" s="511"/>
      <c r="F2227" s="312"/>
      <c r="G2227" s="312"/>
      <c r="H2227" s="312"/>
      <c r="I2227" s="567"/>
      <c r="J2227" s="312" t="b">
        <v>0</v>
      </c>
      <c r="K2227" s="312"/>
      <c r="L2227" s="312"/>
      <c r="M2227" s="511"/>
      <c r="N2227" s="312"/>
      <c r="O2227" s="312"/>
      <c r="P2227" s="312"/>
      <c r="Q2227" s="312"/>
      <c r="R2227" s="312"/>
      <c r="S2227" s="312"/>
      <c r="T2227" s="312"/>
      <c r="U2227" s="312"/>
    </row>
    <row r="2228">
      <c r="A2228" s="312"/>
      <c r="B2228" s="312"/>
      <c r="C2228" s="567"/>
      <c r="D2228" s="312"/>
      <c r="E2228" s="511"/>
      <c r="F2228" s="312"/>
      <c r="G2228" s="312"/>
      <c r="H2228" s="312"/>
      <c r="I2228" s="567"/>
      <c r="J2228" s="312" t="b">
        <v>0</v>
      </c>
      <c r="K2228" s="312"/>
      <c r="L2228" s="312"/>
      <c r="M2228" s="511"/>
      <c r="N2228" s="312"/>
      <c r="O2228" s="312"/>
      <c r="P2228" s="312"/>
      <c r="Q2228" s="312"/>
      <c r="R2228" s="312"/>
      <c r="S2228" s="312"/>
      <c r="T2228" s="312"/>
      <c r="U2228" s="312"/>
    </row>
    <row r="2229">
      <c r="A2229" s="312"/>
      <c r="B2229" s="312"/>
      <c r="C2229" s="567"/>
      <c r="D2229" s="312"/>
      <c r="E2229" s="511"/>
      <c r="F2229" s="312"/>
      <c r="G2229" s="312"/>
      <c r="H2229" s="312"/>
      <c r="I2229" s="567"/>
      <c r="J2229" s="312" t="b">
        <v>0</v>
      </c>
      <c r="K2229" s="312"/>
      <c r="L2229" s="312"/>
      <c r="M2229" s="511"/>
      <c r="N2229" s="312"/>
      <c r="O2229" s="312"/>
      <c r="P2229" s="312"/>
      <c r="Q2229" s="312"/>
      <c r="R2229" s="312"/>
      <c r="S2229" s="312"/>
      <c r="T2229" s="312"/>
      <c r="U2229" s="312"/>
    </row>
    <row r="2230">
      <c r="A2230" s="312"/>
      <c r="B2230" s="312"/>
      <c r="C2230" s="567"/>
      <c r="D2230" s="312"/>
      <c r="E2230" s="511"/>
      <c r="F2230" s="312"/>
      <c r="G2230" s="312"/>
      <c r="H2230" s="312"/>
      <c r="I2230" s="567"/>
      <c r="J2230" s="312" t="b">
        <v>0</v>
      </c>
      <c r="K2230" s="312"/>
      <c r="L2230" s="312"/>
      <c r="M2230" s="511"/>
      <c r="N2230" s="312"/>
      <c r="O2230" s="312"/>
      <c r="P2230" s="312"/>
      <c r="Q2230" s="312"/>
      <c r="R2230" s="312"/>
      <c r="S2230" s="312"/>
      <c r="T2230" s="312"/>
      <c r="U2230" s="312"/>
    </row>
    <row r="2231">
      <c r="A2231" s="312"/>
      <c r="B2231" s="312"/>
      <c r="C2231" s="567"/>
      <c r="D2231" s="312"/>
      <c r="E2231" s="511"/>
      <c r="F2231" s="312"/>
      <c r="G2231" s="312"/>
      <c r="H2231" s="312"/>
      <c r="I2231" s="567"/>
      <c r="J2231" s="312" t="b">
        <v>0</v>
      </c>
      <c r="K2231" s="312"/>
      <c r="L2231" s="312"/>
      <c r="M2231" s="511"/>
      <c r="N2231" s="312"/>
      <c r="O2231" s="312"/>
      <c r="P2231" s="312"/>
      <c r="Q2231" s="312"/>
      <c r="R2231" s="312"/>
      <c r="S2231" s="312"/>
      <c r="T2231" s="312"/>
      <c r="U2231" s="312"/>
    </row>
    <row r="2232">
      <c r="A2232" s="312"/>
      <c r="B2232" s="312"/>
      <c r="C2232" s="567"/>
      <c r="D2232" s="312"/>
      <c r="E2232" s="511"/>
      <c r="F2232" s="312"/>
      <c r="G2232" s="312"/>
      <c r="H2232" s="312"/>
      <c r="I2232" s="567"/>
      <c r="J2232" s="312" t="b">
        <v>0</v>
      </c>
      <c r="K2232" s="312"/>
      <c r="L2232" s="312"/>
      <c r="M2232" s="511"/>
      <c r="N2232" s="312"/>
      <c r="O2232" s="312"/>
      <c r="P2232" s="312"/>
      <c r="Q2232" s="312"/>
      <c r="R2232" s="312"/>
      <c r="S2232" s="312"/>
      <c r="T2232" s="312"/>
      <c r="U2232" s="312"/>
    </row>
    <row r="2233">
      <c r="A2233" s="312"/>
      <c r="B2233" s="312"/>
      <c r="C2233" s="567"/>
      <c r="D2233" s="312"/>
      <c r="E2233" s="511"/>
      <c r="F2233" s="312"/>
      <c r="G2233" s="312"/>
      <c r="H2233" s="312"/>
      <c r="I2233" s="567"/>
      <c r="J2233" s="312" t="b">
        <v>0</v>
      </c>
      <c r="K2233" s="312"/>
      <c r="L2233" s="312"/>
      <c r="M2233" s="511"/>
      <c r="N2233" s="312"/>
      <c r="O2233" s="312"/>
      <c r="P2233" s="312"/>
      <c r="Q2233" s="312"/>
      <c r="R2233" s="312"/>
      <c r="S2233" s="312"/>
      <c r="T2233" s="312"/>
      <c r="U2233" s="312"/>
    </row>
    <row r="2234">
      <c r="A2234" s="312"/>
      <c r="B2234" s="312"/>
      <c r="C2234" s="567"/>
      <c r="D2234" s="312"/>
      <c r="E2234" s="511"/>
      <c r="F2234" s="312"/>
      <c r="G2234" s="312"/>
      <c r="H2234" s="312"/>
      <c r="I2234" s="567"/>
      <c r="J2234" s="312" t="b">
        <v>0</v>
      </c>
      <c r="K2234" s="312"/>
      <c r="L2234" s="312"/>
      <c r="M2234" s="511"/>
      <c r="N2234" s="312"/>
      <c r="O2234" s="312"/>
      <c r="P2234" s="312"/>
      <c r="Q2234" s="312"/>
      <c r="R2234" s="312"/>
      <c r="S2234" s="312"/>
      <c r="T2234" s="312"/>
      <c r="U2234" s="312"/>
    </row>
    <row r="2235">
      <c r="A2235" s="312"/>
      <c r="B2235" s="312"/>
      <c r="C2235" s="567"/>
      <c r="D2235" s="312"/>
      <c r="E2235" s="511"/>
      <c r="F2235" s="312"/>
      <c r="G2235" s="312"/>
      <c r="H2235" s="312"/>
      <c r="I2235" s="567"/>
      <c r="J2235" s="312" t="b">
        <v>0</v>
      </c>
      <c r="K2235" s="312"/>
      <c r="L2235" s="312"/>
      <c r="M2235" s="511"/>
      <c r="N2235" s="312"/>
      <c r="O2235" s="312"/>
      <c r="P2235" s="312"/>
      <c r="Q2235" s="312"/>
      <c r="R2235" s="312"/>
      <c r="S2235" s="312"/>
      <c r="T2235" s="312"/>
      <c r="U2235" s="312"/>
    </row>
    <row r="2236">
      <c r="A2236" s="312"/>
      <c r="B2236" s="312"/>
      <c r="C2236" s="567"/>
      <c r="D2236" s="312"/>
      <c r="E2236" s="511"/>
      <c r="F2236" s="312"/>
      <c r="G2236" s="312"/>
      <c r="H2236" s="312"/>
      <c r="I2236" s="567"/>
      <c r="J2236" s="312" t="b">
        <v>0</v>
      </c>
      <c r="K2236" s="312"/>
      <c r="L2236" s="312"/>
      <c r="M2236" s="511"/>
      <c r="N2236" s="312"/>
      <c r="O2236" s="312"/>
      <c r="P2236" s="312"/>
      <c r="Q2236" s="312"/>
      <c r="R2236" s="312"/>
      <c r="S2236" s="312"/>
      <c r="T2236" s="312"/>
      <c r="U2236" s="312"/>
    </row>
    <row r="2237">
      <c r="A2237" s="312"/>
      <c r="B2237" s="312"/>
      <c r="C2237" s="567"/>
      <c r="D2237" s="312"/>
      <c r="E2237" s="511"/>
      <c r="F2237" s="312"/>
      <c r="G2237" s="312"/>
      <c r="H2237" s="312"/>
      <c r="I2237" s="567"/>
      <c r="J2237" s="312" t="b">
        <v>0</v>
      </c>
      <c r="K2237" s="312"/>
      <c r="L2237" s="312"/>
      <c r="M2237" s="511"/>
      <c r="N2237" s="312"/>
      <c r="O2237" s="312"/>
      <c r="P2237" s="312"/>
      <c r="Q2237" s="312"/>
      <c r="R2237" s="312"/>
      <c r="S2237" s="312"/>
      <c r="T2237" s="312"/>
      <c r="U2237" s="312"/>
    </row>
    <row r="2238">
      <c r="A2238" s="312"/>
      <c r="B2238" s="312"/>
      <c r="C2238" s="567"/>
      <c r="D2238" s="312"/>
      <c r="E2238" s="511"/>
      <c r="F2238" s="312"/>
      <c r="G2238" s="312"/>
      <c r="H2238" s="312"/>
      <c r="I2238" s="567"/>
      <c r="J2238" s="312" t="b">
        <v>0</v>
      </c>
      <c r="K2238" s="312"/>
      <c r="L2238" s="312"/>
      <c r="M2238" s="511"/>
      <c r="N2238" s="312"/>
      <c r="O2238" s="312"/>
      <c r="P2238" s="312"/>
      <c r="Q2238" s="312"/>
      <c r="R2238" s="312"/>
      <c r="S2238" s="312"/>
      <c r="T2238" s="312"/>
      <c r="U2238" s="312"/>
    </row>
    <row r="2239">
      <c r="A2239" s="312"/>
      <c r="B2239" s="312"/>
      <c r="C2239" s="567"/>
      <c r="D2239" s="312"/>
      <c r="E2239" s="511"/>
      <c r="F2239" s="312"/>
      <c r="G2239" s="312"/>
      <c r="H2239" s="312"/>
      <c r="I2239" s="567"/>
      <c r="J2239" s="312" t="b">
        <v>0</v>
      </c>
      <c r="K2239" s="312"/>
      <c r="L2239" s="312"/>
      <c r="M2239" s="511"/>
      <c r="N2239" s="312"/>
      <c r="O2239" s="312"/>
      <c r="P2239" s="312"/>
      <c r="Q2239" s="312"/>
      <c r="R2239" s="312"/>
      <c r="S2239" s="312"/>
      <c r="T2239" s="312"/>
      <c r="U2239" s="312"/>
    </row>
    <row r="2240">
      <c r="A2240" s="312"/>
      <c r="B2240" s="312"/>
      <c r="C2240" s="567"/>
      <c r="D2240" s="312"/>
      <c r="E2240" s="511"/>
      <c r="F2240" s="312"/>
      <c r="G2240" s="312"/>
      <c r="H2240" s="312"/>
      <c r="I2240" s="567"/>
      <c r="J2240" s="312" t="b">
        <v>0</v>
      </c>
      <c r="K2240" s="312"/>
      <c r="L2240" s="312"/>
      <c r="M2240" s="511"/>
      <c r="N2240" s="312"/>
      <c r="O2240" s="312"/>
      <c r="P2240" s="312"/>
      <c r="Q2240" s="312"/>
      <c r="R2240" s="312"/>
      <c r="S2240" s="312"/>
      <c r="T2240" s="312"/>
      <c r="U2240" s="312"/>
    </row>
    <row r="2241">
      <c r="A2241" s="312"/>
      <c r="B2241" s="312"/>
      <c r="C2241" s="567"/>
      <c r="D2241" s="312"/>
      <c r="E2241" s="511"/>
      <c r="F2241" s="312"/>
      <c r="G2241" s="312"/>
      <c r="H2241" s="312"/>
      <c r="I2241" s="567"/>
      <c r="J2241" s="312" t="b">
        <v>0</v>
      </c>
      <c r="K2241" s="312"/>
      <c r="L2241" s="312"/>
      <c r="M2241" s="511"/>
      <c r="N2241" s="312"/>
      <c r="O2241" s="312"/>
      <c r="P2241" s="312"/>
      <c r="Q2241" s="312"/>
      <c r="R2241" s="312"/>
      <c r="S2241" s="312"/>
      <c r="T2241" s="312"/>
      <c r="U2241" s="312"/>
    </row>
    <row r="2242">
      <c r="A2242" s="312"/>
      <c r="B2242" s="312"/>
      <c r="C2242" s="567"/>
      <c r="D2242" s="312"/>
      <c r="E2242" s="511"/>
      <c r="F2242" s="312"/>
      <c r="G2242" s="312"/>
      <c r="H2242" s="312"/>
      <c r="I2242" s="567"/>
      <c r="J2242" s="312" t="b">
        <v>0</v>
      </c>
      <c r="K2242" s="312"/>
      <c r="L2242" s="312"/>
      <c r="M2242" s="511"/>
      <c r="N2242" s="312"/>
      <c r="O2242" s="312"/>
      <c r="P2242" s="312"/>
      <c r="Q2242" s="312"/>
      <c r="R2242" s="312"/>
      <c r="S2242" s="312"/>
      <c r="T2242" s="312"/>
      <c r="U2242" s="312"/>
    </row>
    <row r="2243">
      <c r="A2243" s="312"/>
      <c r="B2243" s="312"/>
      <c r="C2243" s="567"/>
      <c r="D2243" s="312"/>
      <c r="E2243" s="511"/>
      <c r="F2243" s="312"/>
      <c r="G2243" s="312"/>
      <c r="H2243" s="312"/>
      <c r="I2243" s="567"/>
      <c r="J2243" s="312" t="b">
        <v>0</v>
      </c>
      <c r="K2243" s="312"/>
      <c r="L2243" s="312"/>
      <c r="M2243" s="511"/>
      <c r="N2243" s="312"/>
      <c r="O2243" s="312"/>
      <c r="P2243" s="312"/>
      <c r="Q2243" s="312"/>
      <c r="R2243" s="312"/>
      <c r="S2243" s="312"/>
      <c r="T2243" s="312"/>
      <c r="U2243" s="312"/>
    </row>
    <row r="2244">
      <c r="A2244" s="312"/>
      <c r="B2244" s="312"/>
      <c r="C2244" s="567"/>
      <c r="D2244" s="312"/>
      <c r="E2244" s="511"/>
      <c r="F2244" s="312"/>
      <c r="G2244" s="312"/>
      <c r="H2244" s="312"/>
      <c r="I2244" s="567"/>
      <c r="J2244" s="312" t="b">
        <v>0</v>
      </c>
      <c r="K2244" s="312"/>
      <c r="L2244" s="312"/>
      <c r="M2244" s="511"/>
      <c r="N2244" s="312"/>
      <c r="O2244" s="312"/>
      <c r="P2244" s="312"/>
      <c r="Q2244" s="312"/>
      <c r="R2244" s="312"/>
      <c r="S2244" s="312"/>
      <c r="T2244" s="312"/>
      <c r="U2244" s="312"/>
    </row>
    <row r="2245">
      <c r="A2245" s="312"/>
      <c r="B2245" s="312"/>
      <c r="C2245" s="567"/>
      <c r="D2245" s="312"/>
      <c r="E2245" s="511"/>
      <c r="F2245" s="312"/>
      <c r="G2245" s="312"/>
      <c r="H2245" s="312"/>
      <c r="I2245" s="567"/>
      <c r="J2245" s="312" t="b">
        <v>0</v>
      </c>
      <c r="K2245" s="312"/>
      <c r="L2245" s="312"/>
      <c r="M2245" s="511"/>
      <c r="N2245" s="312"/>
      <c r="O2245" s="312"/>
      <c r="P2245" s="312"/>
      <c r="Q2245" s="312"/>
      <c r="R2245" s="312"/>
      <c r="S2245" s="312"/>
      <c r="T2245" s="312"/>
      <c r="U2245" s="312"/>
    </row>
    <row r="2246">
      <c r="A2246" s="312"/>
      <c r="B2246" s="312"/>
      <c r="C2246" s="567"/>
      <c r="D2246" s="312"/>
      <c r="E2246" s="511"/>
      <c r="F2246" s="312"/>
      <c r="G2246" s="312"/>
      <c r="H2246" s="312"/>
      <c r="I2246" s="567"/>
      <c r="J2246" s="312" t="b">
        <v>0</v>
      </c>
      <c r="K2246" s="312"/>
      <c r="L2246" s="312"/>
      <c r="M2246" s="511"/>
      <c r="N2246" s="312"/>
      <c r="O2246" s="312"/>
      <c r="P2246" s="312"/>
      <c r="Q2246" s="312"/>
      <c r="R2246" s="312"/>
      <c r="S2246" s="312"/>
      <c r="T2246" s="312"/>
      <c r="U2246" s="312"/>
    </row>
    <row r="2247">
      <c r="A2247" s="312"/>
      <c r="B2247" s="312"/>
      <c r="C2247" s="567"/>
      <c r="D2247" s="312"/>
      <c r="E2247" s="511"/>
      <c r="F2247" s="312"/>
      <c r="G2247" s="312"/>
      <c r="H2247" s="312"/>
      <c r="I2247" s="567"/>
      <c r="J2247" s="312" t="b">
        <v>0</v>
      </c>
      <c r="K2247" s="312"/>
      <c r="L2247" s="312"/>
      <c r="M2247" s="511"/>
      <c r="N2247" s="312"/>
      <c r="O2247" s="312"/>
      <c r="P2247" s="312"/>
      <c r="Q2247" s="312"/>
      <c r="R2247" s="312"/>
      <c r="S2247" s="312"/>
      <c r="T2247" s="312"/>
      <c r="U2247" s="312"/>
    </row>
    <row r="2248">
      <c r="A2248" s="312"/>
      <c r="B2248" s="312"/>
      <c r="C2248" s="567"/>
      <c r="D2248" s="312"/>
      <c r="E2248" s="511"/>
      <c r="F2248" s="312"/>
      <c r="G2248" s="312"/>
      <c r="H2248" s="312"/>
      <c r="I2248" s="567"/>
      <c r="J2248" s="312" t="b">
        <v>0</v>
      </c>
      <c r="K2248" s="312"/>
      <c r="L2248" s="312"/>
      <c r="M2248" s="511"/>
      <c r="N2248" s="312"/>
      <c r="O2248" s="312"/>
      <c r="P2248" s="312"/>
      <c r="Q2248" s="312"/>
      <c r="R2248" s="312"/>
      <c r="S2248" s="312"/>
      <c r="T2248" s="312"/>
      <c r="U2248" s="312"/>
    </row>
    <row r="2249">
      <c r="A2249" s="312"/>
      <c r="B2249" s="312"/>
      <c r="C2249" s="567"/>
      <c r="D2249" s="312"/>
      <c r="E2249" s="511"/>
      <c r="F2249" s="312"/>
      <c r="G2249" s="312"/>
      <c r="H2249" s="312"/>
      <c r="I2249" s="567"/>
      <c r="J2249" s="312" t="b">
        <v>0</v>
      </c>
      <c r="K2249" s="312"/>
      <c r="L2249" s="312"/>
      <c r="M2249" s="511"/>
      <c r="N2249" s="312"/>
      <c r="O2249" s="312"/>
      <c r="P2249" s="312"/>
      <c r="Q2249" s="312"/>
      <c r="R2249" s="312"/>
      <c r="S2249" s="312"/>
      <c r="T2249" s="312"/>
      <c r="U2249" s="312"/>
    </row>
    <row r="2250">
      <c r="A2250" s="312"/>
      <c r="B2250" s="312"/>
      <c r="C2250" s="567"/>
      <c r="D2250" s="312"/>
      <c r="E2250" s="511"/>
      <c r="F2250" s="312"/>
      <c r="G2250" s="312"/>
      <c r="H2250" s="312"/>
      <c r="I2250" s="567"/>
      <c r="J2250" s="312" t="b">
        <v>0</v>
      </c>
      <c r="K2250" s="312"/>
      <c r="L2250" s="312"/>
      <c r="M2250" s="511"/>
      <c r="N2250" s="312"/>
      <c r="O2250" s="312"/>
      <c r="P2250" s="312"/>
      <c r="Q2250" s="312"/>
      <c r="R2250" s="312"/>
      <c r="S2250" s="312"/>
      <c r="T2250" s="312"/>
      <c r="U2250" s="312"/>
    </row>
    <row r="2251">
      <c r="A2251" s="312"/>
      <c r="B2251" s="312"/>
      <c r="C2251" s="567"/>
      <c r="D2251" s="312"/>
      <c r="E2251" s="511"/>
      <c r="F2251" s="312"/>
      <c r="G2251" s="312"/>
      <c r="H2251" s="312"/>
      <c r="I2251" s="567"/>
      <c r="J2251" s="312" t="b">
        <v>0</v>
      </c>
      <c r="K2251" s="312"/>
      <c r="L2251" s="312"/>
      <c r="M2251" s="511"/>
      <c r="N2251" s="312"/>
      <c r="O2251" s="312"/>
      <c r="P2251" s="312"/>
      <c r="Q2251" s="312"/>
      <c r="R2251" s="312"/>
      <c r="S2251" s="312"/>
      <c r="T2251" s="312"/>
      <c r="U2251" s="312"/>
    </row>
    <row r="2252">
      <c r="A2252" s="312"/>
      <c r="B2252" s="312"/>
      <c r="C2252" s="567"/>
      <c r="D2252" s="312"/>
      <c r="E2252" s="511"/>
      <c r="F2252" s="312"/>
      <c r="G2252" s="312"/>
      <c r="H2252" s="312"/>
      <c r="I2252" s="567"/>
      <c r="J2252" s="312" t="b">
        <v>0</v>
      </c>
      <c r="K2252" s="312"/>
      <c r="L2252" s="312"/>
      <c r="M2252" s="511"/>
      <c r="N2252" s="312"/>
      <c r="O2252" s="312"/>
      <c r="P2252" s="312"/>
      <c r="Q2252" s="312"/>
      <c r="R2252" s="312"/>
      <c r="S2252" s="312"/>
      <c r="T2252" s="312"/>
      <c r="U2252" s="312"/>
    </row>
    <row r="2253">
      <c r="A2253" s="312"/>
      <c r="B2253" s="312"/>
      <c r="C2253" s="567"/>
      <c r="D2253" s="312"/>
      <c r="E2253" s="511"/>
      <c r="F2253" s="312"/>
      <c r="G2253" s="312"/>
      <c r="H2253" s="312"/>
      <c r="I2253" s="567"/>
      <c r="J2253" s="312" t="b">
        <v>0</v>
      </c>
      <c r="K2253" s="312"/>
      <c r="L2253" s="312"/>
      <c r="M2253" s="511"/>
      <c r="N2253" s="312"/>
      <c r="O2253" s="312"/>
      <c r="P2253" s="312"/>
      <c r="Q2253" s="312"/>
      <c r="R2253" s="312"/>
      <c r="S2253" s="312"/>
      <c r="T2253" s="312"/>
      <c r="U2253" s="312"/>
    </row>
    <row r="2254">
      <c r="A2254" s="312"/>
      <c r="B2254" s="312"/>
      <c r="C2254" s="567"/>
      <c r="D2254" s="312"/>
      <c r="E2254" s="511"/>
      <c r="F2254" s="312"/>
      <c r="G2254" s="312"/>
      <c r="H2254" s="312"/>
      <c r="I2254" s="567"/>
      <c r="J2254" s="312" t="b">
        <v>0</v>
      </c>
      <c r="K2254" s="312"/>
      <c r="L2254" s="312"/>
      <c r="M2254" s="511"/>
      <c r="N2254" s="312"/>
      <c r="O2254" s="312"/>
      <c r="P2254" s="312"/>
      <c r="Q2254" s="312"/>
      <c r="R2254" s="312"/>
      <c r="S2254" s="312"/>
      <c r="T2254" s="312"/>
      <c r="U2254" s="312"/>
    </row>
    <row r="2255">
      <c r="A2255" s="312"/>
      <c r="B2255" s="312"/>
      <c r="C2255" s="567"/>
      <c r="D2255" s="312"/>
      <c r="E2255" s="511"/>
      <c r="F2255" s="312"/>
      <c r="G2255" s="312"/>
      <c r="H2255" s="312"/>
      <c r="I2255" s="567"/>
      <c r="J2255" s="312" t="b">
        <v>0</v>
      </c>
      <c r="K2255" s="312"/>
      <c r="L2255" s="312"/>
      <c r="M2255" s="511"/>
      <c r="N2255" s="312"/>
      <c r="O2255" s="312"/>
      <c r="P2255" s="312"/>
      <c r="Q2255" s="312"/>
      <c r="R2255" s="312"/>
      <c r="S2255" s="312"/>
      <c r="T2255" s="312"/>
      <c r="U2255" s="312"/>
    </row>
    <row r="2256">
      <c r="A2256" s="312"/>
      <c r="B2256" s="312"/>
      <c r="C2256" s="567"/>
      <c r="D2256" s="312"/>
      <c r="E2256" s="511"/>
      <c r="F2256" s="312"/>
      <c r="G2256" s="312"/>
      <c r="H2256" s="312"/>
      <c r="I2256" s="567"/>
      <c r="J2256" s="312" t="b">
        <v>0</v>
      </c>
      <c r="K2256" s="312"/>
      <c r="L2256" s="312"/>
      <c r="M2256" s="511"/>
      <c r="N2256" s="312"/>
      <c r="O2256" s="312"/>
      <c r="P2256" s="312"/>
      <c r="Q2256" s="312"/>
      <c r="R2256" s="312"/>
      <c r="S2256" s="312"/>
      <c r="T2256" s="312"/>
      <c r="U2256" s="312"/>
    </row>
    <row r="2257">
      <c r="A2257" s="312"/>
      <c r="B2257" s="312"/>
      <c r="C2257" s="567"/>
      <c r="D2257" s="312"/>
      <c r="E2257" s="511"/>
      <c r="F2257" s="312"/>
      <c r="G2257" s="312"/>
      <c r="H2257" s="312"/>
      <c r="I2257" s="567"/>
      <c r="J2257" s="312" t="b">
        <v>0</v>
      </c>
      <c r="K2257" s="312"/>
      <c r="L2257" s="312"/>
      <c r="M2257" s="511"/>
      <c r="N2257" s="312"/>
      <c r="O2257" s="312"/>
      <c r="P2257" s="312"/>
      <c r="Q2257" s="312"/>
      <c r="R2257" s="312"/>
      <c r="S2257" s="312"/>
      <c r="T2257" s="312"/>
      <c r="U2257" s="312"/>
    </row>
    <row r="2258">
      <c r="A2258" s="312"/>
      <c r="B2258" s="312"/>
      <c r="C2258" s="567"/>
      <c r="D2258" s="312"/>
      <c r="E2258" s="511"/>
      <c r="F2258" s="312"/>
      <c r="G2258" s="312"/>
      <c r="H2258" s="312"/>
      <c r="I2258" s="567"/>
      <c r="J2258" s="312" t="b">
        <v>0</v>
      </c>
      <c r="K2258" s="312"/>
      <c r="L2258" s="312"/>
      <c r="M2258" s="511"/>
      <c r="N2258" s="312"/>
      <c r="O2258" s="312"/>
      <c r="P2258" s="312"/>
      <c r="Q2258" s="312"/>
      <c r="R2258" s="312"/>
      <c r="S2258" s="312"/>
      <c r="T2258" s="312"/>
      <c r="U2258" s="312"/>
    </row>
    <row r="2259">
      <c r="A2259" s="312"/>
      <c r="B2259" s="312"/>
      <c r="C2259" s="567"/>
      <c r="D2259" s="312"/>
      <c r="E2259" s="511"/>
      <c r="F2259" s="312"/>
      <c r="G2259" s="312"/>
      <c r="H2259" s="312"/>
      <c r="I2259" s="567"/>
      <c r="J2259" s="312" t="b">
        <v>0</v>
      </c>
      <c r="K2259" s="312"/>
      <c r="L2259" s="312"/>
      <c r="M2259" s="511"/>
      <c r="N2259" s="312"/>
      <c r="O2259" s="312"/>
      <c r="P2259" s="312"/>
      <c r="Q2259" s="312"/>
      <c r="R2259" s="312"/>
      <c r="S2259" s="312"/>
      <c r="T2259" s="312"/>
      <c r="U2259" s="312"/>
    </row>
    <row r="2260">
      <c r="A2260" s="312"/>
      <c r="B2260" s="312"/>
      <c r="C2260" s="567"/>
      <c r="D2260" s="312"/>
      <c r="E2260" s="511"/>
      <c r="F2260" s="312"/>
      <c r="G2260" s="312"/>
      <c r="H2260" s="312"/>
      <c r="I2260" s="567"/>
      <c r="J2260" s="312" t="b">
        <v>0</v>
      </c>
      <c r="K2260" s="312"/>
      <c r="L2260" s="312"/>
      <c r="M2260" s="511"/>
      <c r="N2260" s="312"/>
      <c r="O2260" s="312"/>
      <c r="P2260" s="312"/>
      <c r="Q2260" s="312"/>
      <c r="R2260" s="312"/>
      <c r="S2260" s="312"/>
      <c r="T2260" s="312"/>
      <c r="U2260" s="312"/>
    </row>
    <row r="2261">
      <c r="A2261" s="312"/>
      <c r="B2261" s="312"/>
      <c r="C2261" s="567"/>
      <c r="D2261" s="312"/>
      <c r="E2261" s="511"/>
      <c r="F2261" s="312"/>
      <c r="G2261" s="312"/>
      <c r="H2261" s="312"/>
      <c r="I2261" s="567"/>
      <c r="J2261" s="312" t="b">
        <v>0</v>
      </c>
      <c r="K2261" s="312"/>
      <c r="L2261" s="312"/>
      <c r="M2261" s="511"/>
      <c r="N2261" s="312"/>
      <c r="O2261" s="312"/>
      <c r="P2261" s="312"/>
      <c r="Q2261" s="312"/>
      <c r="R2261" s="312"/>
      <c r="S2261" s="312"/>
      <c r="T2261" s="312"/>
      <c r="U2261" s="312"/>
    </row>
    <row r="2262">
      <c r="A2262" s="312"/>
      <c r="B2262" s="312"/>
      <c r="C2262" s="567"/>
      <c r="D2262" s="312"/>
      <c r="E2262" s="511"/>
      <c r="F2262" s="312"/>
      <c r="G2262" s="312"/>
      <c r="H2262" s="312"/>
      <c r="I2262" s="567"/>
      <c r="J2262" s="312" t="b">
        <v>0</v>
      </c>
      <c r="K2262" s="312"/>
      <c r="L2262" s="312"/>
      <c r="M2262" s="511"/>
      <c r="N2262" s="312"/>
      <c r="O2262" s="312"/>
      <c r="P2262" s="312"/>
      <c r="Q2262" s="312"/>
      <c r="R2262" s="312"/>
      <c r="S2262" s="312"/>
      <c r="T2262" s="312"/>
      <c r="U2262" s="312"/>
    </row>
    <row r="2263">
      <c r="A2263" s="312"/>
      <c r="B2263" s="312"/>
      <c r="C2263" s="567"/>
      <c r="D2263" s="312"/>
      <c r="E2263" s="511"/>
      <c r="F2263" s="312"/>
      <c r="G2263" s="312"/>
      <c r="H2263" s="312"/>
      <c r="I2263" s="567"/>
      <c r="J2263" s="312" t="b">
        <v>0</v>
      </c>
      <c r="K2263" s="312"/>
      <c r="L2263" s="312"/>
      <c r="M2263" s="511"/>
      <c r="N2263" s="312"/>
      <c r="O2263" s="312"/>
      <c r="P2263" s="312"/>
      <c r="Q2263" s="312"/>
      <c r="R2263" s="312"/>
      <c r="S2263" s="312"/>
      <c r="T2263" s="312"/>
      <c r="U2263" s="312"/>
    </row>
    <row r="2264">
      <c r="A2264" s="312"/>
      <c r="B2264" s="312"/>
      <c r="C2264" s="567"/>
      <c r="D2264" s="312"/>
      <c r="E2264" s="511"/>
      <c r="F2264" s="312"/>
      <c r="G2264" s="312"/>
      <c r="H2264" s="312"/>
      <c r="I2264" s="567"/>
      <c r="J2264" s="312" t="b">
        <v>0</v>
      </c>
      <c r="K2264" s="312"/>
      <c r="L2264" s="312"/>
      <c r="M2264" s="511"/>
      <c r="N2264" s="312"/>
      <c r="O2264" s="312"/>
      <c r="P2264" s="312"/>
      <c r="Q2264" s="312"/>
      <c r="R2264" s="312"/>
      <c r="S2264" s="312"/>
      <c r="T2264" s="312"/>
      <c r="U2264" s="312"/>
    </row>
    <row r="2265">
      <c r="A2265" s="312"/>
      <c r="B2265" s="312"/>
      <c r="C2265" s="567"/>
      <c r="D2265" s="312"/>
      <c r="E2265" s="511"/>
      <c r="F2265" s="312"/>
      <c r="G2265" s="312"/>
      <c r="H2265" s="312"/>
      <c r="I2265" s="567"/>
      <c r="J2265" s="312" t="b">
        <v>0</v>
      </c>
      <c r="K2265" s="312"/>
      <c r="L2265" s="312"/>
      <c r="M2265" s="511"/>
      <c r="N2265" s="312"/>
      <c r="O2265" s="312"/>
      <c r="P2265" s="312"/>
      <c r="Q2265" s="312"/>
      <c r="R2265" s="312"/>
      <c r="S2265" s="312"/>
      <c r="T2265" s="312"/>
      <c r="U2265" s="312"/>
    </row>
    <row r="2266">
      <c r="A2266" s="312"/>
      <c r="B2266" s="312"/>
      <c r="C2266" s="567"/>
      <c r="D2266" s="312"/>
      <c r="E2266" s="511"/>
      <c r="F2266" s="312"/>
      <c r="G2266" s="312"/>
      <c r="H2266" s="312"/>
      <c r="I2266" s="567"/>
      <c r="J2266" s="312" t="b">
        <v>0</v>
      </c>
      <c r="K2266" s="312"/>
      <c r="L2266" s="312"/>
      <c r="M2266" s="511"/>
      <c r="N2266" s="312"/>
      <c r="O2266" s="312"/>
      <c r="P2266" s="312"/>
      <c r="Q2266" s="312"/>
      <c r="R2266" s="312"/>
      <c r="S2266" s="312"/>
      <c r="T2266" s="312"/>
      <c r="U2266" s="312"/>
    </row>
    <row r="2267">
      <c r="A2267" s="312"/>
      <c r="B2267" s="312"/>
      <c r="C2267" s="567"/>
      <c r="D2267" s="312"/>
      <c r="E2267" s="511"/>
      <c r="F2267" s="312"/>
      <c r="G2267" s="312"/>
      <c r="H2267" s="312"/>
      <c r="I2267" s="567"/>
      <c r="J2267" s="312" t="b">
        <v>0</v>
      </c>
      <c r="K2267" s="312"/>
      <c r="L2267" s="312"/>
      <c r="M2267" s="511"/>
      <c r="N2267" s="312"/>
      <c r="O2267" s="312"/>
      <c r="P2267" s="312"/>
      <c r="Q2267" s="312"/>
      <c r="R2267" s="312"/>
      <c r="S2267" s="312"/>
      <c r="T2267" s="312"/>
      <c r="U2267" s="312"/>
    </row>
    <row r="2268">
      <c r="A2268" s="312"/>
      <c r="B2268" s="312"/>
      <c r="C2268" s="567"/>
      <c r="D2268" s="312"/>
      <c r="E2268" s="511"/>
      <c r="F2268" s="312"/>
      <c r="G2268" s="312"/>
      <c r="H2268" s="312"/>
      <c r="I2268" s="567"/>
      <c r="J2268" s="312" t="b">
        <v>0</v>
      </c>
      <c r="K2268" s="312"/>
      <c r="L2268" s="312"/>
      <c r="M2268" s="511"/>
      <c r="N2268" s="312"/>
      <c r="O2268" s="312"/>
      <c r="P2268" s="312"/>
      <c r="Q2268" s="312"/>
      <c r="R2268" s="312"/>
      <c r="S2268" s="312"/>
      <c r="T2268" s="312"/>
      <c r="U2268" s="312"/>
    </row>
    <row r="2269">
      <c r="A2269" s="312"/>
      <c r="B2269" s="312"/>
      <c r="C2269" s="567"/>
      <c r="D2269" s="312"/>
      <c r="E2269" s="511"/>
      <c r="F2269" s="312"/>
      <c r="G2269" s="312"/>
      <c r="H2269" s="312"/>
      <c r="I2269" s="567"/>
      <c r="J2269" s="312" t="b">
        <v>0</v>
      </c>
      <c r="K2269" s="312"/>
      <c r="L2269" s="312"/>
      <c r="M2269" s="511"/>
      <c r="N2269" s="312"/>
      <c r="O2269" s="312"/>
      <c r="P2269" s="312"/>
      <c r="Q2269" s="312"/>
      <c r="R2269" s="312"/>
      <c r="S2269" s="312"/>
      <c r="T2269" s="312"/>
      <c r="U2269" s="312"/>
    </row>
    <row r="2270">
      <c r="A2270" s="312"/>
      <c r="B2270" s="312"/>
      <c r="C2270" s="567"/>
      <c r="D2270" s="312"/>
      <c r="E2270" s="511"/>
      <c r="F2270" s="312"/>
      <c r="G2270" s="312"/>
      <c r="H2270" s="312"/>
      <c r="I2270" s="567"/>
      <c r="J2270" s="312" t="b">
        <v>0</v>
      </c>
      <c r="K2270" s="312"/>
      <c r="L2270" s="312"/>
      <c r="M2270" s="511"/>
      <c r="N2270" s="312"/>
      <c r="O2270" s="312"/>
      <c r="P2270" s="312"/>
      <c r="Q2270" s="312"/>
      <c r="R2270" s="312"/>
      <c r="S2270" s="312"/>
      <c r="T2270" s="312"/>
      <c r="U2270" s="312"/>
    </row>
    <row r="2271">
      <c r="A2271" s="312"/>
      <c r="B2271" s="312"/>
      <c r="C2271" s="567"/>
      <c r="D2271" s="312"/>
      <c r="E2271" s="511"/>
      <c r="F2271" s="312"/>
      <c r="G2271" s="312"/>
      <c r="H2271" s="312"/>
      <c r="I2271" s="567"/>
      <c r="J2271" s="312" t="b">
        <v>0</v>
      </c>
      <c r="K2271" s="312"/>
      <c r="L2271" s="312"/>
      <c r="M2271" s="511"/>
      <c r="N2271" s="312"/>
      <c r="O2271" s="312"/>
      <c r="P2271" s="312"/>
      <c r="Q2271" s="312"/>
      <c r="R2271" s="312"/>
      <c r="S2271" s="312"/>
      <c r="T2271" s="312"/>
      <c r="U2271" s="312"/>
    </row>
    <row r="2272">
      <c r="A2272" s="312"/>
      <c r="B2272" s="312"/>
      <c r="C2272" s="567"/>
      <c r="D2272" s="312"/>
      <c r="E2272" s="511"/>
      <c r="F2272" s="312"/>
      <c r="G2272" s="312"/>
      <c r="H2272" s="312"/>
      <c r="I2272" s="567"/>
      <c r="J2272" s="312" t="b">
        <v>0</v>
      </c>
      <c r="K2272" s="312"/>
      <c r="L2272" s="312"/>
      <c r="M2272" s="511"/>
      <c r="N2272" s="312"/>
      <c r="O2272" s="312"/>
      <c r="P2272" s="312"/>
      <c r="Q2272" s="312"/>
      <c r="R2272" s="312"/>
      <c r="S2272" s="312"/>
      <c r="T2272" s="312"/>
      <c r="U2272" s="312"/>
    </row>
    <row r="2273">
      <c r="A2273" s="312"/>
      <c r="B2273" s="312"/>
      <c r="C2273" s="567"/>
      <c r="D2273" s="312"/>
      <c r="E2273" s="511"/>
      <c r="F2273" s="312"/>
      <c r="G2273" s="312"/>
      <c r="H2273" s="312"/>
      <c r="I2273" s="567"/>
      <c r="J2273" s="312" t="b">
        <v>0</v>
      </c>
      <c r="K2273" s="312"/>
      <c r="L2273" s="312"/>
      <c r="M2273" s="511"/>
      <c r="N2273" s="312"/>
      <c r="O2273" s="312"/>
      <c r="P2273" s="312"/>
      <c r="Q2273" s="312"/>
      <c r="R2273" s="312"/>
      <c r="S2273" s="312"/>
      <c r="T2273" s="312"/>
      <c r="U2273" s="312"/>
    </row>
    <row r="2274">
      <c r="A2274" s="312"/>
      <c r="B2274" s="312"/>
      <c r="C2274" s="567"/>
      <c r="D2274" s="312"/>
      <c r="E2274" s="511"/>
      <c r="F2274" s="312"/>
      <c r="G2274" s="312"/>
      <c r="H2274" s="312"/>
      <c r="I2274" s="567"/>
      <c r="J2274" s="312" t="b">
        <v>0</v>
      </c>
      <c r="K2274" s="312"/>
      <c r="L2274" s="312"/>
      <c r="M2274" s="511"/>
      <c r="N2274" s="312"/>
      <c r="O2274" s="312"/>
      <c r="P2274" s="312"/>
      <c r="Q2274" s="312"/>
      <c r="R2274" s="312"/>
      <c r="S2274" s="312"/>
      <c r="T2274" s="312"/>
      <c r="U2274" s="312"/>
    </row>
    <row r="2275">
      <c r="A2275" s="312"/>
      <c r="B2275" s="312"/>
      <c r="C2275" s="567"/>
      <c r="D2275" s="312"/>
      <c r="E2275" s="511"/>
      <c r="F2275" s="312"/>
      <c r="G2275" s="312"/>
      <c r="H2275" s="312"/>
      <c r="I2275" s="567"/>
      <c r="J2275" s="312" t="b">
        <v>0</v>
      </c>
      <c r="K2275" s="312"/>
      <c r="L2275" s="312"/>
      <c r="M2275" s="511"/>
      <c r="N2275" s="312"/>
      <c r="O2275" s="312"/>
      <c r="P2275" s="312"/>
      <c r="Q2275" s="312"/>
      <c r="R2275" s="312"/>
      <c r="S2275" s="312"/>
      <c r="T2275" s="312"/>
      <c r="U2275" s="312"/>
    </row>
    <row r="2276">
      <c r="A2276" s="312"/>
      <c r="B2276" s="312"/>
      <c r="C2276" s="567"/>
      <c r="D2276" s="312"/>
      <c r="E2276" s="511"/>
      <c r="F2276" s="312"/>
      <c r="G2276" s="312"/>
      <c r="H2276" s="312"/>
      <c r="I2276" s="567"/>
      <c r="J2276" s="312" t="b">
        <v>0</v>
      </c>
      <c r="K2276" s="312"/>
      <c r="L2276" s="312"/>
      <c r="M2276" s="511"/>
      <c r="N2276" s="312"/>
      <c r="O2276" s="312"/>
      <c r="P2276" s="312"/>
      <c r="Q2276" s="312"/>
      <c r="R2276" s="312"/>
      <c r="S2276" s="312"/>
      <c r="T2276" s="312"/>
      <c r="U2276" s="312"/>
    </row>
    <row r="2277">
      <c r="A2277" s="312"/>
      <c r="B2277" s="312"/>
      <c r="C2277" s="567"/>
      <c r="D2277" s="312"/>
      <c r="E2277" s="511"/>
      <c r="F2277" s="312"/>
      <c r="G2277" s="312"/>
      <c r="H2277" s="312"/>
      <c r="I2277" s="567"/>
      <c r="J2277" s="312" t="b">
        <v>0</v>
      </c>
      <c r="K2277" s="312"/>
      <c r="L2277" s="312"/>
      <c r="M2277" s="511"/>
      <c r="N2277" s="312"/>
      <c r="O2277" s="312"/>
      <c r="P2277" s="312"/>
      <c r="Q2277" s="312"/>
      <c r="R2277" s="312"/>
      <c r="S2277" s="312"/>
      <c r="T2277" s="312"/>
      <c r="U2277" s="312"/>
    </row>
    <row r="2278">
      <c r="A2278" s="312"/>
      <c r="B2278" s="312"/>
      <c r="C2278" s="567"/>
      <c r="D2278" s="312"/>
      <c r="E2278" s="511"/>
      <c r="F2278" s="312"/>
      <c r="G2278" s="312"/>
      <c r="H2278" s="312"/>
      <c r="I2278" s="567"/>
      <c r="J2278" s="312" t="b">
        <v>0</v>
      </c>
      <c r="K2278" s="312"/>
      <c r="L2278" s="312"/>
      <c r="M2278" s="511"/>
      <c r="N2278" s="312"/>
      <c r="O2278" s="312"/>
      <c r="P2278" s="312"/>
      <c r="Q2278" s="312"/>
      <c r="R2278" s="312"/>
      <c r="S2278" s="312"/>
      <c r="T2278" s="312"/>
      <c r="U2278" s="312"/>
    </row>
    <row r="2279">
      <c r="A2279" s="312"/>
      <c r="B2279" s="312"/>
      <c r="C2279" s="567"/>
      <c r="D2279" s="312"/>
      <c r="E2279" s="511"/>
      <c r="F2279" s="312"/>
      <c r="G2279" s="312"/>
      <c r="H2279" s="312"/>
      <c r="I2279" s="567"/>
      <c r="J2279" s="312" t="b">
        <v>0</v>
      </c>
      <c r="K2279" s="312"/>
      <c r="L2279" s="312"/>
      <c r="M2279" s="511"/>
      <c r="N2279" s="312"/>
      <c r="O2279" s="312"/>
      <c r="P2279" s="312"/>
      <c r="Q2279" s="312"/>
      <c r="R2279" s="312"/>
      <c r="S2279" s="312"/>
      <c r="T2279" s="312"/>
      <c r="U2279" s="312"/>
    </row>
    <row r="2280">
      <c r="A2280" s="312"/>
      <c r="B2280" s="312"/>
      <c r="C2280" s="567"/>
      <c r="D2280" s="312"/>
      <c r="E2280" s="511"/>
      <c r="F2280" s="312"/>
      <c r="G2280" s="312"/>
      <c r="H2280" s="312"/>
      <c r="I2280" s="567"/>
      <c r="J2280" s="312" t="b">
        <v>0</v>
      </c>
      <c r="K2280" s="312"/>
      <c r="L2280" s="312"/>
      <c r="M2280" s="511"/>
      <c r="N2280" s="312"/>
      <c r="O2280" s="312"/>
      <c r="P2280" s="312"/>
      <c r="Q2280" s="312"/>
      <c r="R2280" s="312"/>
      <c r="S2280" s="312"/>
      <c r="T2280" s="312"/>
      <c r="U2280" s="312"/>
    </row>
    <row r="2281">
      <c r="A2281" s="312"/>
      <c r="B2281" s="312"/>
      <c r="C2281" s="567"/>
      <c r="D2281" s="312"/>
      <c r="E2281" s="511"/>
      <c r="F2281" s="312"/>
      <c r="G2281" s="312"/>
      <c r="H2281" s="312"/>
      <c r="I2281" s="567"/>
      <c r="J2281" s="312" t="b">
        <v>0</v>
      </c>
      <c r="K2281" s="312"/>
      <c r="L2281" s="312"/>
      <c r="M2281" s="511"/>
      <c r="N2281" s="312"/>
      <c r="O2281" s="312"/>
      <c r="P2281" s="312"/>
      <c r="Q2281" s="312"/>
      <c r="R2281" s="312"/>
      <c r="S2281" s="312"/>
      <c r="T2281" s="312"/>
      <c r="U2281" s="312"/>
    </row>
    <row r="2282">
      <c r="A2282" s="312"/>
      <c r="B2282" s="312"/>
      <c r="C2282" s="567"/>
      <c r="D2282" s="312"/>
      <c r="E2282" s="511"/>
      <c r="F2282" s="312"/>
      <c r="G2282" s="312"/>
      <c r="H2282" s="312"/>
      <c r="I2282" s="567"/>
      <c r="J2282" s="312" t="b">
        <v>0</v>
      </c>
      <c r="K2282" s="312"/>
      <c r="L2282" s="312"/>
      <c r="M2282" s="511"/>
      <c r="N2282" s="312"/>
      <c r="O2282" s="312"/>
      <c r="P2282" s="312"/>
      <c r="Q2282" s="312"/>
      <c r="R2282" s="312"/>
      <c r="S2282" s="312"/>
      <c r="T2282" s="312"/>
      <c r="U2282" s="312"/>
    </row>
    <row r="2283">
      <c r="A2283" s="312"/>
      <c r="B2283" s="312"/>
      <c r="C2283" s="567"/>
      <c r="D2283" s="312"/>
      <c r="E2283" s="511"/>
      <c r="F2283" s="312"/>
      <c r="G2283" s="312"/>
      <c r="H2283" s="312"/>
      <c r="I2283" s="567"/>
      <c r="J2283" s="312" t="b">
        <v>0</v>
      </c>
      <c r="K2283" s="312"/>
      <c r="L2283" s="312"/>
      <c r="M2283" s="511"/>
      <c r="N2283" s="312"/>
      <c r="O2283" s="312"/>
      <c r="P2283" s="312"/>
      <c r="Q2283" s="312"/>
      <c r="R2283" s="312"/>
      <c r="S2283" s="312"/>
      <c r="T2283" s="312"/>
      <c r="U2283" s="312"/>
    </row>
    <row r="2284">
      <c r="A2284" s="312"/>
      <c r="B2284" s="312"/>
      <c r="C2284" s="567"/>
      <c r="D2284" s="312"/>
      <c r="E2284" s="511"/>
      <c r="F2284" s="312"/>
      <c r="G2284" s="312"/>
      <c r="H2284" s="312"/>
      <c r="I2284" s="567"/>
      <c r="J2284" s="312" t="b">
        <v>0</v>
      </c>
      <c r="K2284" s="312"/>
      <c r="L2284" s="312"/>
      <c r="M2284" s="511"/>
      <c r="N2284" s="312"/>
      <c r="O2284" s="312"/>
      <c r="P2284" s="312"/>
      <c r="Q2284" s="312"/>
      <c r="R2284" s="312"/>
      <c r="S2284" s="312"/>
      <c r="T2284" s="312"/>
      <c r="U2284" s="312"/>
    </row>
    <row r="2285">
      <c r="A2285" s="312"/>
      <c r="B2285" s="312"/>
      <c r="C2285" s="567"/>
      <c r="D2285" s="312"/>
      <c r="E2285" s="511"/>
      <c r="F2285" s="312"/>
      <c r="G2285" s="312"/>
      <c r="H2285" s="312"/>
      <c r="I2285" s="567"/>
      <c r="J2285" s="312" t="b">
        <v>0</v>
      </c>
      <c r="K2285" s="312"/>
      <c r="L2285" s="312"/>
      <c r="M2285" s="511"/>
      <c r="N2285" s="312"/>
      <c r="O2285" s="312"/>
      <c r="P2285" s="312"/>
      <c r="Q2285" s="312"/>
      <c r="R2285" s="312"/>
      <c r="S2285" s="312"/>
      <c r="T2285" s="312"/>
      <c r="U2285" s="312"/>
    </row>
    <row r="2286">
      <c r="A2286" s="312"/>
      <c r="B2286" s="312"/>
      <c r="C2286" s="567"/>
      <c r="D2286" s="312"/>
      <c r="E2286" s="511"/>
      <c r="F2286" s="312"/>
      <c r="G2286" s="312"/>
      <c r="H2286" s="312"/>
      <c r="I2286" s="567"/>
      <c r="J2286" s="312" t="b">
        <v>0</v>
      </c>
      <c r="K2286" s="312"/>
      <c r="L2286" s="312"/>
      <c r="M2286" s="511"/>
      <c r="N2286" s="312"/>
      <c r="O2286" s="312"/>
      <c r="P2286" s="312"/>
      <c r="Q2286" s="312"/>
      <c r="R2286" s="312"/>
      <c r="S2286" s="312"/>
      <c r="T2286" s="312"/>
      <c r="U2286" s="312"/>
    </row>
    <row r="2287">
      <c r="A2287" s="312"/>
      <c r="B2287" s="312"/>
      <c r="C2287" s="567"/>
      <c r="D2287" s="312"/>
      <c r="E2287" s="511"/>
      <c r="F2287" s="312"/>
      <c r="G2287" s="312"/>
      <c r="H2287" s="312"/>
      <c r="I2287" s="567"/>
      <c r="J2287" s="312" t="b">
        <v>0</v>
      </c>
      <c r="K2287" s="312"/>
      <c r="L2287" s="312"/>
      <c r="M2287" s="511"/>
      <c r="N2287" s="312"/>
      <c r="O2287" s="312"/>
      <c r="P2287" s="312"/>
      <c r="Q2287" s="312"/>
      <c r="R2287" s="312"/>
      <c r="S2287" s="312"/>
      <c r="T2287" s="312"/>
      <c r="U2287" s="312"/>
    </row>
    <row r="2288">
      <c r="A2288" s="312"/>
      <c r="B2288" s="312"/>
      <c r="C2288" s="567"/>
      <c r="D2288" s="312"/>
      <c r="E2288" s="511"/>
      <c r="F2288" s="312"/>
      <c r="G2288" s="312"/>
      <c r="H2288" s="312"/>
      <c r="I2288" s="567"/>
      <c r="J2288" s="312" t="b">
        <v>0</v>
      </c>
      <c r="K2288" s="312"/>
      <c r="L2288" s="312"/>
      <c r="M2288" s="511"/>
      <c r="N2288" s="312"/>
      <c r="O2288" s="312"/>
      <c r="P2288" s="312"/>
      <c r="Q2288" s="312"/>
      <c r="R2288" s="312"/>
      <c r="S2288" s="312"/>
      <c r="T2288" s="312"/>
      <c r="U2288" s="312"/>
    </row>
    <row r="2289">
      <c r="A2289" s="312"/>
      <c r="B2289" s="312"/>
      <c r="C2289" s="567"/>
      <c r="D2289" s="312"/>
      <c r="E2289" s="511"/>
      <c r="F2289" s="312"/>
      <c r="G2289" s="312"/>
      <c r="H2289" s="312"/>
      <c r="I2289" s="567"/>
      <c r="J2289" s="312" t="b">
        <v>0</v>
      </c>
      <c r="K2289" s="312"/>
      <c r="L2289" s="312"/>
      <c r="M2289" s="511"/>
      <c r="N2289" s="312"/>
      <c r="O2289" s="312"/>
      <c r="P2289" s="312"/>
      <c r="Q2289" s="312"/>
      <c r="R2289" s="312"/>
      <c r="S2289" s="312"/>
      <c r="T2289" s="312"/>
      <c r="U2289" s="312"/>
    </row>
    <row r="2290">
      <c r="A2290" s="312"/>
      <c r="B2290" s="312"/>
      <c r="C2290" s="567"/>
      <c r="D2290" s="312"/>
      <c r="E2290" s="511"/>
      <c r="F2290" s="312"/>
      <c r="G2290" s="312"/>
      <c r="H2290" s="312"/>
      <c r="I2290" s="567"/>
      <c r="J2290" s="312" t="b">
        <v>0</v>
      </c>
      <c r="K2290" s="312"/>
      <c r="L2290" s="312"/>
      <c r="M2290" s="511"/>
      <c r="N2290" s="312"/>
      <c r="O2290" s="312"/>
      <c r="P2290" s="312"/>
      <c r="Q2290" s="312"/>
      <c r="R2290" s="312"/>
      <c r="S2290" s="312"/>
      <c r="T2290" s="312"/>
      <c r="U2290" s="312"/>
    </row>
    <row r="2291">
      <c r="A2291" s="312"/>
      <c r="B2291" s="312"/>
      <c r="C2291" s="567"/>
      <c r="D2291" s="312"/>
      <c r="E2291" s="511"/>
      <c r="F2291" s="312"/>
      <c r="G2291" s="312"/>
      <c r="H2291" s="312"/>
      <c r="I2291" s="567"/>
      <c r="J2291" s="312" t="b">
        <v>0</v>
      </c>
      <c r="K2291" s="312"/>
      <c r="L2291" s="312"/>
      <c r="M2291" s="511"/>
      <c r="N2291" s="312"/>
      <c r="O2291" s="312"/>
      <c r="P2291" s="312"/>
      <c r="Q2291" s="312"/>
      <c r="R2291" s="312"/>
      <c r="S2291" s="312"/>
      <c r="T2291" s="312"/>
      <c r="U2291" s="312"/>
    </row>
    <row r="2292">
      <c r="A2292" s="312"/>
      <c r="B2292" s="312"/>
      <c r="C2292" s="567"/>
      <c r="D2292" s="312"/>
      <c r="E2292" s="511"/>
      <c r="F2292" s="312"/>
      <c r="G2292" s="312"/>
      <c r="H2292" s="312"/>
      <c r="I2292" s="567"/>
      <c r="J2292" s="312" t="b">
        <v>0</v>
      </c>
      <c r="K2292" s="312"/>
      <c r="L2292" s="312"/>
      <c r="M2292" s="511"/>
      <c r="N2292" s="312"/>
      <c r="O2292" s="312"/>
      <c r="P2292" s="312"/>
      <c r="Q2292" s="312"/>
      <c r="R2292" s="312"/>
      <c r="S2292" s="312"/>
      <c r="T2292" s="312"/>
      <c r="U2292" s="312"/>
    </row>
    <row r="2293">
      <c r="A2293" s="312"/>
      <c r="B2293" s="312"/>
      <c r="C2293" s="567"/>
      <c r="D2293" s="312"/>
      <c r="E2293" s="511"/>
      <c r="F2293" s="312"/>
      <c r="G2293" s="312"/>
      <c r="H2293" s="312"/>
      <c r="I2293" s="567"/>
      <c r="J2293" s="312" t="b">
        <v>0</v>
      </c>
      <c r="K2293" s="312"/>
      <c r="L2293" s="312"/>
      <c r="M2293" s="511"/>
      <c r="N2293" s="312"/>
      <c r="O2293" s="312"/>
      <c r="P2293" s="312"/>
      <c r="Q2293" s="312"/>
      <c r="R2293" s="312"/>
      <c r="S2293" s="312"/>
      <c r="T2293" s="312"/>
      <c r="U2293" s="312"/>
    </row>
    <row r="2294">
      <c r="A2294" s="312"/>
      <c r="B2294" s="312"/>
      <c r="C2294" s="567"/>
      <c r="D2294" s="312"/>
      <c r="E2294" s="511"/>
      <c r="F2294" s="312"/>
      <c r="G2294" s="312"/>
      <c r="H2294" s="312"/>
      <c r="I2294" s="567"/>
      <c r="J2294" s="312" t="b">
        <v>0</v>
      </c>
      <c r="K2294" s="312"/>
      <c r="L2294" s="312"/>
      <c r="M2294" s="511"/>
      <c r="N2294" s="312"/>
      <c r="O2294" s="312"/>
      <c r="P2294" s="312"/>
      <c r="Q2294" s="312"/>
      <c r="R2294" s="312"/>
      <c r="S2294" s="312"/>
      <c r="T2294" s="312"/>
      <c r="U2294" s="312"/>
    </row>
    <row r="2295">
      <c r="A2295" s="312"/>
      <c r="B2295" s="312"/>
      <c r="C2295" s="567"/>
      <c r="D2295" s="312"/>
      <c r="E2295" s="511"/>
      <c r="F2295" s="312"/>
      <c r="G2295" s="312"/>
      <c r="H2295" s="312"/>
      <c r="I2295" s="567"/>
      <c r="J2295" s="312" t="b">
        <v>0</v>
      </c>
      <c r="K2295" s="312"/>
      <c r="L2295" s="312"/>
      <c r="M2295" s="511"/>
      <c r="N2295" s="312"/>
      <c r="O2295" s="312"/>
      <c r="P2295" s="312"/>
      <c r="Q2295" s="312"/>
      <c r="R2295" s="312"/>
      <c r="S2295" s="312"/>
      <c r="T2295" s="312"/>
      <c r="U2295" s="312"/>
    </row>
    <row r="2296">
      <c r="A2296" s="312"/>
      <c r="B2296" s="312"/>
      <c r="C2296" s="567"/>
      <c r="D2296" s="312"/>
      <c r="E2296" s="511"/>
      <c r="F2296" s="312"/>
      <c r="G2296" s="312"/>
      <c r="H2296" s="312"/>
      <c r="I2296" s="567"/>
      <c r="J2296" s="312" t="b">
        <v>0</v>
      </c>
      <c r="K2296" s="312"/>
      <c r="L2296" s="312"/>
      <c r="M2296" s="511"/>
      <c r="N2296" s="312"/>
      <c r="O2296" s="312"/>
      <c r="P2296" s="312"/>
      <c r="Q2296" s="312"/>
      <c r="R2296" s="312"/>
      <c r="S2296" s="312"/>
      <c r="T2296" s="312"/>
      <c r="U2296" s="312"/>
    </row>
    <row r="2297">
      <c r="A2297" s="312"/>
      <c r="B2297" s="312"/>
      <c r="C2297" s="567"/>
      <c r="D2297" s="312"/>
      <c r="E2297" s="511"/>
      <c r="F2297" s="312"/>
      <c r="G2297" s="312"/>
      <c r="H2297" s="312"/>
      <c r="I2297" s="567"/>
      <c r="J2297" s="312" t="b">
        <v>0</v>
      </c>
      <c r="K2297" s="312"/>
      <c r="L2297" s="312"/>
      <c r="M2297" s="511"/>
      <c r="N2297" s="312"/>
      <c r="O2297" s="312"/>
      <c r="P2297" s="312"/>
      <c r="Q2297" s="312"/>
      <c r="R2297" s="312"/>
      <c r="S2297" s="312"/>
      <c r="T2297" s="312"/>
      <c r="U2297" s="312"/>
    </row>
    <row r="2298">
      <c r="A2298" s="312"/>
      <c r="B2298" s="312"/>
      <c r="C2298" s="567"/>
      <c r="D2298" s="312"/>
      <c r="E2298" s="511"/>
      <c r="F2298" s="312"/>
      <c r="G2298" s="312"/>
      <c r="H2298" s="312"/>
      <c r="I2298" s="567"/>
      <c r="J2298" s="312" t="b">
        <v>0</v>
      </c>
      <c r="K2298" s="312"/>
      <c r="L2298" s="312"/>
      <c r="M2298" s="511"/>
      <c r="N2298" s="312"/>
      <c r="O2298" s="312"/>
      <c r="P2298" s="312"/>
      <c r="Q2298" s="312"/>
      <c r="R2298" s="312"/>
      <c r="S2298" s="312"/>
      <c r="T2298" s="312"/>
      <c r="U2298" s="312"/>
    </row>
    <row r="2299">
      <c r="A2299" s="312"/>
      <c r="B2299" s="312"/>
      <c r="C2299" s="567"/>
      <c r="D2299" s="312"/>
      <c r="E2299" s="511"/>
      <c r="F2299" s="312"/>
      <c r="G2299" s="312"/>
      <c r="H2299" s="312"/>
      <c r="I2299" s="567"/>
      <c r="J2299" s="312" t="b">
        <v>0</v>
      </c>
      <c r="K2299" s="312"/>
      <c r="L2299" s="312"/>
      <c r="M2299" s="511"/>
      <c r="N2299" s="312"/>
      <c r="O2299" s="312"/>
      <c r="P2299" s="312"/>
      <c r="Q2299" s="312"/>
      <c r="R2299" s="312"/>
      <c r="S2299" s="312"/>
      <c r="T2299" s="312"/>
      <c r="U2299" s="312"/>
    </row>
    <row r="2300">
      <c r="A2300" s="312"/>
      <c r="B2300" s="312"/>
      <c r="C2300" s="567"/>
      <c r="D2300" s="312"/>
      <c r="E2300" s="511"/>
      <c r="F2300" s="312"/>
      <c r="G2300" s="312"/>
      <c r="H2300" s="312"/>
      <c r="I2300" s="567"/>
      <c r="J2300" s="312" t="b">
        <v>0</v>
      </c>
      <c r="K2300" s="312"/>
      <c r="L2300" s="312"/>
      <c r="M2300" s="511"/>
      <c r="N2300" s="312"/>
      <c r="O2300" s="312"/>
      <c r="P2300" s="312"/>
      <c r="Q2300" s="312"/>
      <c r="R2300" s="312"/>
      <c r="S2300" s="312"/>
      <c r="T2300" s="312"/>
      <c r="U2300" s="312"/>
    </row>
    <row r="2301">
      <c r="A2301" s="312"/>
      <c r="B2301" s="312"/>
      <c r="C2301" s="567"/>
      <c r="D2301" s="312"/>
      <c r="E2301" s="511"/>
      <c r="F2301" s="312"/>
      <c r="G2301" s="312"/>
      <c r="H2301" s="312"/>
      <c r="I2301" s="567"/>
      <c r="J2301" s="312" t="b">
        <v>0</v>
      </c>
      <c r="K2301" s="312"/>
      <c r="L2301" s="312"/>
      <c r="M2301" s="511"/>
      <c r="N2301" s="312"/>
      <c r="O2301" s="312"/>
      <c r="P2301" s="312"/>
      <c r="Q2301" s="312"/>
      <c r="R2301" s="312"/>
      <c r="S2301" s="312"/>
      <c r="T2301" s="312"/>
      <c r="U2301" s="312"/>
    </row>
    <row r="2302">
      <c r="A2302" s="312"/>
      <c r="B2302" s="312"/>
      <c r="C2302" s="567"/>
      <c r="D2302" s="312"/>
      <c r="E2302" s="511"/>
      <c r="F2302" s="312"/>
      <c r="G2302" s="312"/>
      <c r="H2302" s="312"/>
      <c r="I2302" s="567"/>
      <c r="J2302" s="312" t="b">
        <v>0</v>
      </c>
      <c r="K2302" s="312"/>
      <c r="L2302" s="312"/>
      <c r="M2302" s="511"/>
      <c r="N2302" s="312"/>
      <c r="O2302" s="312"/>
      <c r="P2302" s="312"/>
      <c r="Q2302" s="312"/>
      <c r="R2302" s="312"/>
      <c r="S2302" s="312"/>
      <c r="T2302" s="312"/>
      <c r="U2302" s="312"/>
    </row>
    <row r="2303">
      <c r="A2303" s="312"/>
      <c r="B2303" s="312"/>
      <c r="C2303" s="567"/>
      <c r="D2303" s="312"/>
      <c r="E2303" s="511"/>
      <c r="F2303" s="312"/>
      <c r="G2303" s="312"/>
      <c r="H2303" s="312"/>
      <c r="I2303" s="567"/>
      <c r="J2303" s="312" t="b">
        <v>0</v>
      </c>
      <c r="K2303" s="312"/>
      <c r="L2303" s="312"/>
      <c r="M2303" s="511"/>
      <c r="N2303" s="312"/>
      <c r="O2303" s="312"/>
      <c r="P2303" s="312"/>
      <c r="Q2303" s="312"/>
      <c r="R2303" s="312"/>
      <c r="S2303" s="312"/>
      <c r="T2303" s="312"/>
      <c r="U2303" s="312"/>
    </row>
    <row r="2304">
      <c r="A2304" s="312"/>
      <c r="B2304" s="312"/>
      <c r="C2304" s="567"/>
      <c r="D2304" s="312"/>
      <c r="E2304" s="511"/>
      <c r="F2304" s="312"/>
      <c r="G2304" s="312"/>
      <c r="H2304" s="312"/>
      <c r="I2304" s="567"/>
      <c r="J2304" s="312" t="b">
        <v>0</v>
      </c>
      <c r="K2304" s="312"/>
      <c r="L2304" s="312"/>
      <c r="M2304" s="511"/>
      <c r="N2304" s="312"/>
      <c r="O2304" s="312"/>
      <c r="P2304" s="312"/>
      <c r="Q2304" s="312"/>
      <c r="R2304" s="312"/>
      <c r="S2304" s="312"/>
      <c r="T2304" s="312"/>
      <c r="U2304" s="312"/>
    </row>
    <row r="2305">
      <c r="A2305" s="312"/>
      <c r="B2305" s="312"/>
      <c r="C2305" s="567"/>
      <c r="D2305" s="312"/>
      <c r="E2305" s="511"/>
      <c r="F2305" s="312"/>
      <c r="G2305" s="312"/>
      <c r="H2305" s="312"/>
      <c r="I2305" s="567"/>
      <c r="J2305" s="312" t="b">
        <v>0</v>
      </c>
      <c r="K2305" s="312"/>
      <c r="L2305" s="312"/>
      <c r="M2305" s="511"/>
      <c r="N2305" s="312"/>
      <c r="O2305" s="312"/>
      <c r="P2305" s="312"/>
      <c r="Q2305" s="312"/>
      <c r="R2305" s="312"/>
      <c r="S2305" s="312"/>
      <c r="T2305" s="312"/>
      <c r="U2305" s="312"/>
    </row>
    <row r="2306">
      <c r="A2306" s="312"/>
      <c r="B2306" s="312"/>
      <c r="C2306" s="567"/>
      <c r="D2306" s="312"/>
      <c r="E2306" s="511"/>
      <c r="F2306" s="312"/>
      <c r="G2306" s="312"/>
      <c r="H2306" s="312"/>
      <c r="I2306" s="567"/>
      <c r="J2306" s="312" t="b">
        <v>0</v>
      </c>
      <c r="K2306" s="312"/>
      <c r="L2306" s="312"/>
      <c r="M2306" s="511"/>
      <c r="N2306" s="312"/>
      <c r="O2306" s="312"/>
      <c r="P2306" s="312"/>
      <c r="Q2306" s="312"/>
      <c r="R2306" s="312"/>
      <c r="S2306" s="312"/>
      <c r="T2306" s="312"/>
      <c r="U2306" s="312"/>
    </row>
    <row r="2307">
      <c r="A2307" s="312"/>
      <c r="B2307" s="312"/>
      <c r="C2307" s="567"/>
      <c r="D2307" s="312"/>
      <c r="E2307" s="511"/>
      <c r="F2307" s="312"/>
      <c r="G2307" s="312"/>
      <c r="H2307" s="312"/>
      <c r="I2307" s="567"/>
      <c r="J2307" s="312" t="b">
        <v>0</v>
      </c>
      <c r="K2307" s="312"/>
      <c r="L2307" s="312"/>
      <c r="M2307" s="511"/>
      <c r="N2307" s="312"/>
      <c r="O2307" s="312"/>
      <c r="P2307" s="312"/>
      <c r="Q2307" s="312"/>
      <c r="R2307" s="312"/>
      <c r="S2307" s="312"/>
      <c r="T2307" s="312"/>
      <c r="U2307" s="312"/>
    </row>
    <row r="2308">
      <c r="A2308" s="312"/>
      <c r="B2308" s="312"/>
      <c r="C2308" s="567"/>
      <c r="D2308" s="312"/>
      <c r="E2308" s="511"/>
      <c r="F2308" s="312"/>
      <c r="G2308" s="312"/>
      <c r="H2308" s="312"/>
      <c r="I2308" s="567"/>
      <c r="J2308" s="312" t="b">
        <v>0</v>
      </c>
      <c r="K2308" s="312"/>
      <c r="L2308" s="312"/>
      <c r="M2308" s="511"/>
      <c r="N2308" s="312"/>
      <c r="O2308" s="312"/>
      <c r="P2308" s="312"/>
      <c r="Q2308" s="312"/>
      <c r="R2308" s="312"/>
      <c r="S2308" s="312"/>
      <c r="T2308" s="312"/>
      <c r="U2308" s="312"/>
    </row>
    <row r="2309">
      <c r="A2309" s="312"/>
      <c r="B2309" s="312"/>
      <c r="C2309" s="567"/>
      <c r="D2309" s="312"/>
      <c r="E2309" s="511"/>
      <c r="F2309" s="312"/>
      <c r="G2309" s="312"/>
      <c r="H2309" s="312"/>
      <c r="I2309" s="567"/>
      <c r="J2309" s="312" t="b">
        <v>0</v>
      </c>
      <c r="K2309" s="312"/>
      <c r="L2309" s="312"/>
      <c r="M2309" s="511"/>
      <c r="N2309" s="312"/>
      <c r="O2309" s="312"/>
      <c r="P2309" s="312"/>
      <c r="Q2309" s="312"/>
      <c r="R2309" s="312"/>
      <c r="S2309" s="312"/>
      <c r="T2309" s="312"/>
      <c r="U2309" s="312"/>
    </row>
    <row r="2310">
      <c r="A2310" s="312"/>
      <c r="B2310" s="312"/>
      <c r="C2310" s="567"/>
      <c r="D2310" s="312"/>
      <c r="E2310" s="511"/>
      <c r="F2310" s="312"/>
      <c r="G2310" s="312"/>
      <c r="H2310" s="312"/>
      <c r="I2310" s="567"/>
      <c r="J2310" s="312" t="b">
        <v>0</v>
      </c>
      <c r="K2310" s="312"/>
      <c r="L2310" s="312"/>
      <c r="M2310" s="511"/>
      <c r="N2310" s="312"/>
      <c r="O2310" s="312"/>
      <c r="P2310" s="312"/>
      <c r="Q2310" s="312"/>
      <c r="R2310" s="312"/>
      <c r="S2310" s="312"/>
      <c r="T2310" s="312"/>
      <c r="U2310" s="312"/>
    </row>
    <row r="2311">
      <c r="A2311" s="312"/>
      <c r="B2311" s="312"/>
      <c r="C2311" s="567"/>
      <c r="D2311" s="312"/>
      <c r="E2311" s="511"/>
      <c r="F2311" s="312"/>
      <c r="G2311" s="312"/>
      <c r="H2311" s="312"/>
      <c r="I2311" s="567"/>
      <c r="J2311" s="312" t="b">
        <v>0</v>
      </c>
      <c r="K2311" s="312"/>
      <c r="L2311" s="312"/>
      <c r="M2311" s="511"/>
      <c r="N2311" s="312"/>
      <c r="O2311" s="312"/>
      <c r="P2311" s="312"/>
      <c r="Q2311" s="312"/>
      <c r="R2311" s="312"/>
      <c r="S2311" s="312"/>
      <c r="T2311" s="312"/>
      <c r="U2311" s="312"/>
    </row>
    <row r="2312">
      <c r="A2312" s="312"/>
      <c r="B2312" s="312"/>
      <c r="C2312" s="567"/>
      <c r="D2312" s="312"/>
      <c r="E2312" s="511"/>
      <c r="F2312" s="312"/>
      <c r="G2312" s="312"/>
      <c r="H2312" s="312"/>
      <c r="I2312" s="567"/>
      <c r="J2312" s="312" t="b">
        <v>0</v>
      </c>
      <c r="K2312" s="312"/>
      <c r="L2312" s="312"/>
      <c r="M2312" s="511"/>
      <c r="N2312" s="312"/>
      <c r="O2312" s="312"/>
      <c r="P2312" s="312"/>
      <c r="Q2312" s="312"/>
      <c r="R2312" s="312"/>
      <c r="S2312" s="312"/>
      <c r="T2312" s="312"/>
      <c r="U2312" s="312"/>
    </row>
    <row r="2313">
      <c r="A2313" s="312"/>
      <c r="B2313" s="312"/>
      <c r="C2313" s="567"/>
      <c r="D2313" s="312"/>
      <c r="E2313" s="511"/>
      <c r="F2313" s="312"/>
      <c r="G2313" s="312"/>
      <c r="H2313" s="312"/>
      <c r="I2313" s="567"/>
      <c r="J2313" s="312" t="b">
        <v>0</v>
      </c>
      <c r="K2313" s="312"/>
      <c r="L2313" s="312"/>
      <c r="M2313" s="511"/>
      <c r="N2313" s="312"/>
      <c r="O2313" s="312"/>
      <c r="P2313" s="312"/>
      <c r="Q2313" s="312"/>
      <c r="R2313" s="312"/>
      <c r="S2313" s="312"/>
      <c r="T2313" s="312"/>
      <c r="U2313" s="312"/>
    </row>
    <row r="2314">
      <c r="A2314" s="312"/>
      <c r="B2314" s="312"/>
      <c r="C2314" s="567"/>
      <c r="D2314" s="312"/>
      <c r="E2314" s="511"/>
      <c r="F2314" s="312"/>
      <c r="G2314" s="312"/>
      <c r="H2314" s="312"/>
      <c r="I2314" s="567"/>
      <c r="J2314" s="312" t="b">
        <v>0</v>
      </c>
      <c r="K2314" s="312"/>
      <c r="L2314" s="312"/>
      <c r="M2314" s="511"/>
      <c r="N2314" s="312"/>
      <c r="O2314" s="312"/>
      <c r="P2314" s="312"/>
      <c r="Q2314" s="312"/>
      <c r="R2314" s="312"/>
      <c r="S2314" s="312"/>
      <c r="T2314" s="312"/>
      <c r="U2314" s="312"/>
    </row>
    <row r="2315">
      <c r="A2315" s="312"/>
      <c r="B2315" s="312"/>
      <c r="C2315" s="567"/>
      <c r="D2315" s="312"/>
      <c r="E2315" s="511"/>
      <c r="F2315" s="312"/>
      <c r="G2315" s="312"/>
      <c r="H2315" s="312"/>
      <c r="I2315" s="567"/>
      <c r="J2315" s="312" t="b">
        <v>0</v>
      </c>
      <c r="K2315" s="312"/>
      <c r="L2315" s="312"/>
      <c r="M2315" s="511"/>
      <c r="N2315" s="312"/>
      <c r="O2315" s="312"/>
      <c r="P2315" s="312"/>
      <c r="Q2315" s="312"/>
      <c r="R2315" s="312"/>
      <c r="S2315" s="312"/>
      <c r="T2315" s="312"/>
      <c r="U2315" s="312"/>
    </row>
    <row r="2316">
      <c r="A2316" s="312"/>
      <c r="B2316" s="312"/>
      <c r="C2316" s="567"/>
      <c r="D2316" s="312"/>
      <c r="E2316" s="511"/>
      <c r="F2316" s="312"/>
      <c r="G2316" s="312"/>
      <c r="H2316" s="312"/>
      <c r="I2316" s="567"/>
      <c r="J2316" s="312" t="b">
        <v>0</v>
      </c>
      <c r="K2316" s="312"/>
      <c r="L2316" s="312"/>
      <c r="M2316" s="511"/>
      <c r="N2316" s="312"/>
      <c r="O2316" s="312"/>
      <c r="P2316" s="312"/>
      <c r="Q2316" s="312"/>
      <c r="R2316" s="312"/>
      <c r="S2316" s="312"/>
      <c r="T2316" s="312"/>
      <c r="U2316" s="312"/>
    </row>
    <row r="2317">
      <c r="A2317" s="312"/>
      <c r="B2317" s="312"/>
      <c r="C2317" s="567"/>
      <c r="D2317" s="312"/>
      <c r="E2317" s="511"/>
      <c r="F2317" s="312"/>
      <c r="G2317" s="312"/>
      <c r="H2317" s="312"/>
      <c r="I2317" s="567"/>
      <c r="J2317" s="312" t="b">
        <v>0</v>
      </c>
      <c r="K2317" s="312"/>
      <c r="L2317" s="312"/>
      <c r="M2317" s="511"/>
      <c r="N2317" s="312"/>
      <c r="O2317" s="312"/>
      <c r="P2317" s="312"/>
      <c r="Q2317" s="312"/>
      <c r="R2317" s="312"/>
      <c r="S2317" s="312"/>
      <c r="T2317" s="312"/>
      <c r="U2317" s="312"/>
    </row>
    <row r="2318">
      <c r="A2318" s="312"/>
      <c r="B2318" s="312"/>
      <c r="C2318" s="567"/>
      <c r="D2318" s="312"/>
      <c r="E2318" s="511"/>
      <c r="F2318" s="312"/>
      <c r="G2318" s="312"/>
      <c r="H2318" s="312"/>
      <c r="I2318" s="567"/>
      <c r="J2318" s="312" t="b">
        <v>0</v>
      </c>
      <c r="K2318" s="312"/>
      <c r="L2318" s="312"/>
      <c r="M2318" s="511"/>
      <c r="N2318" s="312"/>
      <c r="O2318" s="312"/>
      <c r="P2318" s="312"/>
      <c r="Q2318" s="312"/>
      <c r="R2318" s="312"/>
      <c r="S2318" s="312"/>
      <c r="T2318" s="312"/>
      <c r="U2318" s="312"/>
    </row>
    <row r="2319">
      <c r="A2319" s="312"/>
      <c r="B2319" s="312"/>
      <c r="C2319" s="567"/>
      <c r="D2319" s="312"/>
      <c r="E2319" s="511"/>
      <c r="F2319" s="312"/>
      <c r="G2319" s="312"/>
      <c r="H2319" s="312"/>
      <c r="I2319" s="567"/>
      <c r="J2319" s="312" t="b">
        <v>0</v>
      </c>
      <c r="K2319" s="312"/>
      <c r="L2319" s="312"/>
      <c r="M2319" s="511"/>
      <c r="N2319" s="312"/>
      <c r="O2319" s="312"/>
      <c r="P2319" s="312"/>
      <c r="Q2319" s="312"/>
      <c r="R2319" s="312"/>
      <c r="S2319" s="312"/>
      <c r="T2319" s="312"/>
      <c r="U2319" s="312"/>
    </row>
    <row r="2320">
      <c r="A2320" s="312"/>
      <c r="B2320" s="312"/>
      <c r="C2320" s="567"/>
      <c r="D2320" s="312"/>
      <c r="E2320" s="511"/>
      <c r="F2320" s="312"/>
      <c r="G2320" s="312"/>
      <c r="H2320" s="312"/>
      <c r="I2320" s="567"/>
      <c r="J2320" s="312" t="b">
        <v>0</v>
      </c>
      <c r="K2320" s="312"/>
      <c r="L2320" s="312"/>
      <c r="M2320" s="511"/>
      <c r="N2320" s="312"/>
      <c r="O2320" s="312"/>
      <c r="P2320" s="312"/>
      <c r="Q2320" s="312"/>
      <c r="R2320" s="312"/>
      <c r="S2320" s="312"/>
      <c r="T2320" s="312"/>
      <c r="U2320" s="312"/>
    </row>
    <row r="2321">
      <c r="A2321" s="312"/>
      <c r="B2321" s="312"/>
      <c r="C2321" s="567"/>
      <c r="D2321" s="312"/>
      <c r="E2321" s="511"/>
      <c r="F2321" s="312"/>
      <c r="G2321" s="312"/>
      <c r="H2321" s="312"/>
      <c r="I2321" s="567"/>
      <c r="J2321" s="312" t="b">
        <v>0</v>
      </c>
      <c r="K2321" s="312"/>
      <c r="L2321" s="312"/>
      <c r="M2321" s="511"/>
      <c r="N2321" s="312"/>
      <c r="O2321" s="312"/>
      <c r="P2321" s="312"/>
      <c r="Q2321" s="312"/>
      <c r="R2321" s="312"/>
      <c r="S2321" s="312"/>
      <c r="T2321" s="312"/>
      <c r="U2321" s="312"/>
    </row>
    <row r="2322">
      <c r="A2322" s="312"/>
      <c r="B2322" s="312"/>
      <c r="C2322" s="567"/>
      <c r="D2322" s="312"/>
      <c r="E2322" s="511"/>
      <c r="F2322" s="312"/>
      <c r="G2322" s="312"/>
      <c r="H2322" s="312"/>
      <c r="I2322" s="567"/>
      <c r="J2322" s="312" t="b">
        <v>0</v>
      </c>
      <c r="K2322" s="312"/>
      <c r="L2322" s="312"/>
      <c r="M2322" s="511"/>
      <c r="N2322" s="312"/>
      <c r="O2322" s="312"/>
      <c r="P2322" s="312"/>
      <c r="Q2322" s="312"/>
      <c r="R2322" s="312"/>
      <c r="S2322" s="312"/>
      <c r="T2322" s="312"/>
      <c r="U2322" s="312"/>
    </row>
    <row r="2323">
      <c r="A2323" s="312"/>
      <c r="B2323" s="312"/>
      <c r="C2323" s="567"/>
      <c r="D2323" s="312"/>
      <c r="E2323" s="511"/>
      <c r="F2323" s="312"/>
      <c r="G2323" s="312"/>
      <c r="H2323" s="312"/>
      <c r="I2323" s="567"/>
      <c r="J2323" s="312" t="b">
        <v>0</v>
      </c>
      <c r="K2323" s="312"/>
      <c r="L2323" s="312"/>
      <c r="M2323" s="511"/>
      <c r="N2323" s="312"/>
      <c r="O2323" s="312"/>
      <c r="P2323" s="312"/>
      <c r="Q2323" s="312"/>
      <c r="R2323" s="312"/>
      <c r="S2323" s="312"/>
      <c r="T2323" s="312"/>
      <c r="U2323" s="312"/>
    </row>
    <row r="2324">
      <c r="A2324" s="312"/>
      <c r="B2324" s="312"/>
      <c r="C2324" s="567"/>
      <c r="D2324" s="312"/>
      <c r="E2324" s="511"/>
      <c r="F2324" s="312"/>
      <c r="G2324" s="312"/>
      <c r="H2324" s="312"/>
      <c r="I2324" s="567"/>
      <c r="J2324" s="312" t="b">
        <v>0</v>
      </c>
      <c r="K2324" s="312"/>
      <c r="L2324" s="312"/>
      <c r="M2324" s="511"/>
      <c r="N2324" s="312"/>
      <c r="O2324" s="312"/>
      <c r="P2324" s="312"/>
      <c r="Q2324" s="312"/>
      <c r="R2324" s="312"/>
      <c r="S2324" s="312"/>
      <c r="T2324" s="312"/>
      <c r="U2324" s="312"/>
    </row>
    <row r="2325">
      <c r="A2325" s="312"/>
      <c r="B2325" s="312"/>
      <c r="C2325" s="567"/>
      <c r="D2325" s="312"/>
      <c r="E2325" s="511"/>
      <c r="F2325" s="312"/>
      <c r="G2325" s="312"/>
      <c r="H2325" s="312"/>
      <c r="I2325" s="567"/>
      <c r="J2325" s="312" t="b">
        <v>0</v>
      </c>
      <c r="K2325" s="312"/>
      <c r="L2325" s="312"/>
      <c r="M2325" s="511"/>
      <c r="N2325" s="312"/>
      <c r="O2325" s="312"/>
      <c r="P2325" s="312"/>
      <c r="Q2325" s="312"/>
      <c r="R2325" s="312"/>
      <c r="S2325" s="312"/>
      <c r="T2325" s="312"/>
      <c r="U2325" s="312"/>
    </row>
    <row r="2326">
      <c r="A2326" s="312"/>
      <c r="B2326" s="312"/>
      <c r="C2326" s="567"/>
      <c r="D2326" s="312"/>
      <c r="E2326" s="511"/>
      <c r="F2326" s="312"/>
      <c r="G2326" s="312"/>
      <c r="H2326" s="312"/>
      <c r="I2326" s="567"/>
      <c r="J2326" s="312" t="b">
        <v>0</v>
      </c>
      <c r="K2326" s="312"/>
      <c r="L2326" s="312"/>
      <c r="M2326" s="511"/>
      <c r="N2326" s="312"/>
      <c r="O2326" s="312"/>
      <c r="P2326" s="312"/>
      <c r="Q2326" s="312"/>
      <c r="R2326" s="312"/>
      <c r="S2326" s="312"/>
      <c r="T2326" s="312"/>
      <c r="U2326" s="312"/>
    </row>
    <row r="2327">
      <c r="A2327" s="312"/>
      <c r="B2327" s="312"/>
      <c r="C2327" s="567"/>
      <c r="D2327" s="312"/>
      <c r="E2327" s="511"/>
      <c r="F2327" s="312"/>
      <c r="G2327" s="312"/>
      <c r="H2327" s="312"/>
      <c r="I2327" s="567"/>
      <c r="J2327" s="312" t="b">
        <v>0</v>
      </c>
      <c r="K2327" s="312"/>
      <c r="L2327" s="312"/>
      <c r="M2327" s="511"/>
      <c r="N2327" s="312"/>
      <c r="O2327" s="312"/>
      <c r="P2327" s="312"/>
      <c r="Q2327" s="312"/>
      <c r="R2327" s="312"/>
      <c r="S2327" s="312"/>
      <c r="T2327" s="312"/>
      <c r="U2327" s="312"/>
    </row>
    <row r="2328">
      <c r="A2328" s="312"/>
      <c r="B2328" s="312"/>
      <c r="C2328" s="567"/>
      <c r="D2328" s="312"/>
      <c r="E2328" s="511"/>
      <c r="F2328" s="312"/>
      <c r="G2328" s="312"/>
      <c r="H2328" s="312"/>
      <c r="I2328" s="567"/>
      <c r="J2328" s="312" t="b">
        <v>0</v>
      </c>
      <c r="K2328" s="312"/>
      <c r="L2328" s="312"/>
      <c r="M2328" s="511"/>
      <c r="N2328" s="312"/>
      <c r="O2328" s="312"/>
      <c r="P2328" s="312"/>
      <c r="Q2328" s="312"/>
      <c r="R2328" s="312"/>
      <c r="S2328" s="312"/>
      <c r="T2328" s="312"/>
      <c r="U2328" s="312"/>
    </row>
    <row r="2329">
      <c r="A2329" s="312"/>
      <c r="B2329" s="312"/>
      <c r="C2329" s="567"/>
      <c r="D2329" s="312"/>
      <c r="E2329" s="511"/>
      <c r="F2329" s="312"/>
      <c r="G2329" s="312"/>
      <c r="H2329" s="312"/>
      <c r="I2329" s="567"/>
      <c r="J2329" s="312" t="b">
        <v>0</v>
      </c>
      <c r="K2329" s="312"/>
      <c r="L2329" s="312"/>
      <c r="M2329" s="511"/>
      <c r="N2329" s="312"/>
      <c r="O2329" s="312"/>
      <c r="P2329" s="312"/>
      <c r="Q2329" s="312"/>
      <c r="R2329" s="312"/>
      <c r="S2329" s="312"/>
      <c r="T2329" s="312"/>
      <c r="U2329" s="312"/>
    </row>
    <row r="2330">
      <c r="A2330" s="312"/>
      <c r="B2330" s="312"/>
      <c r="C2330" s="567"/>
      <c r="D2330" s="312"/>
      <c r="E2330" s="511"/>
      <c r="F2330" s="312"/>
      <c r="G2330" s="312"/>
      <c r="H2330" s="312"/>
      <c r="I2330" s="567"/>
      <c r="J2330" s="312" t="b">
        <v>0</v>
      </c>
      <c r="K2330" s="312"/>
      <c r="L2330" s="312"/>
      <c r="M2330" s="511"/>
      <c r="N2330" s="312"/>
      <c r="O2330" s="312"/>
      <c r="P2330" s="312"/>
      <c r="Q2330" s="312"/>
      <c r="R2330" s="312"/>
      <c r="S2330" s="312"/>
      <c r="T2330" s="312"/>
      <c r="U2330" s="312"/>
    </row>
    <row r="2331">
      <c r="A2331" s="312"/>
      <c r="B2331" s="312"/>
      <c r="C2331" s="567"/>
      <c r="D2331" s="312"/>
      <c r="E2331" s="511"/>
      <c r="F2331" s="312"/>
      <c r="G2331" s="312"/>
      <c r="H2331" s="312"/>
      <c r="I2331" s="567"/>
      <c r="J2331" s="312" t="b">
        <v>0</v>
      </c>
      <c r="K2331" s="312"/>
      <c r="L2331" s="312"/>
      <c r="M2331" s="511"/>
      <c r="N2331" s="312"/>
      <c r="O2331" s="312"/>
      <c r="P2331" s="312"/>
      <c r="Q2331" s="312"/>
      <c r="R2331" s="312"/>
      <c r="S2331" s="312"/>
      <c r="T2331" s="312"/>
      <c r="U2331" s="312"/>
    </row>
    <row r="2332">
      <c r="A2332" s="312"/>
      <c r="B2332" s="312"/>
      <c r="C2332" s="567"/>
      <c r="D2332" s="312"/>
      <c r="E2332" s="511"/>
      <c r="F2332" s="312"/>
      <c r="G2332" s="312"/>
      <c r="H2332" s="312"/>
      <c r="I2332" s="567"/>
      <c r="J2332" s="312" t="b">
        <v>0</v>
      </c>
      <c r="K2332" s="312"/>
      <c r="L2332" s="312"/>
      <c r="M2332" s="511"/>
      <c r="N2332" s="312"/>
      <c r="O2332" s="312"/>
      <c r="P2332" s="312"/>
      <c r="Q2332" s="312"/>
      <c r="R2332" s="312"/>
      <c r="S2332" s="312"/>
      <c r="T2332" s="312"/>
      <c r="U2332" s="312"/>
    </row>
    <row r="2333">
      <c r="A2333" s="312"/>
      <c r="B2333" s="312"/>
      <c r="C2333" s="567"/>
      <c r="D2333" s="312"/>
      <c r="E2333" s="511"/>
      <c r="F2333" s="312"/>
      <c r="G2333" s="312"/>
      <c r="H2333" s="312"/>
      <c r="I2333" s="567"/>
      <c r="J2333" s="312" t="b">
        <v>0</v>
      </c>
      <c r="K2333" s="312"/>
      <c r="L2333" s="312"/>
      <c r="M2333" s="511"/>
      <c r="N2333" s="312"/>
      <c r="O2333" s="312"/>
      <c r="P2333" s="312"/>
      <c r="Q2333" s="312"/>
      <c r="R2333" s="312"/>
      <c r="S2333" s="312"/>
      <c r="T2333" s="312"/>
      <c r="U2333" s="312"/>
    </row>
    <row r="2334">
      <c r="A2334" s="312"/>
      <c r="B2334" s="312"/>
      <c r="C2334" s="567"/>
      <c r="D2334" s="312"/>
      <c r="E2334" s="511"/>
      <c r="F2334" s="312"/>
      <c r="G2334" s="312"/>
      <c r="H2334" s="312"/>
      <c r="I2334" s="567"/>
      <c r="J2334" s="312" t="b">
        <v>0</v>
      </c>
      <c r="K2334" s="312"/>
      <c r="L2334" s="312"/>
      <c r="M2334" s="511"/>
      <c r="N2334" s="312"/>
      <c r="O2334" s="312"/>
      <c r="P2334" s="312"/>
      <c r="Q2334" s="312"/>
      <c r="R2334" s="312"/>
      <c r="S2334" s="312"/>
      <c r="T2334" s="312"/>
      <c r="U2334" s="312"/>
    </row>
    <row r="2335">
      <c r="A2335" s="312"/>
      <c r="B2335" s="312"/>
      <c r="C2335" s="567"/>
      <c r="D2335" s="312"/>
      <c r="E2335" s="511"/>
      <c r="F2335" s="312"/>
      <c r="G2335" s="312"/>
      <c r="H2335" s="312"/>
      <c r="I2335" s="567"/>
      <c r="J2335" s="312" t="b">
        <v>0</v>
      </c>
      <c r="K2335" s="312"/>
      <c r="L2335" s="312"/>
      <c r="M2335" s="511"/>
      <c r="N2335" s="312"/>
      <c r="O2335" s="312"/>
      <c r="P2335" s="312"/>
      <c r="Q2335" s="312"/>
      <c r="R2335" s="312"/>
      <c r="S2335" s="312"/>
      <c r="T2335" s="312"/>
      <c r="U2335" s="312"/>
    </row>
    <row r="2336">
      <c r="A2336" s="312"/>
      <c r="B2336" s="312"/>
      <c r="C2336" s="567"/>
      <c r="D2336" s="312"/>
      <c r="E2336" s="511"/>
      <c r="F2336" s="312"/>
      <c r="G2336" s="312"/>
      <c r="H2336" s="312"/>
      <c r="I2336" s="567"/>
      <c r="J2336" s="312" t="b">
        <v>0</v>
      </c>
      <c r="K2336" s="312"/>
      <c r="L2336" s="312"/>
      <c r="M2336" s="511"/>
      <c r="N2336" s="312"/>
      <c r="O2336" s="312"/>
      <c r="P2336" s="312"/>
      <c r="Q2336" s="312"/>
      <c r="R2336" s="312"/>
      <c r="S2336" s="312"/>
      <c r="T2336" s="312"/>
      <c r="U2336" s="312"/>
    </row>
    <row r="2337">
      <c r="A2337" s="312"/>
      <c r="B2337" s="312"/>
      <c r="C2337" s="567"/>
      <c r="D2337" s="312"/>
      <c r="E2337" s="511"/>
      <c r="F2337" s="312"/>
      <c r="G2337" s="312"/>
      <c r="H2337" s="312"/>
      <c r="I2337" s="567"/>
      <c r="J2337" s="312" t="b">
        <v>0</v>
      </c>
      <c r="K2337" s="312"/>
      <c r="L2337" s="312"/>
      <c r="M2337" s="511"/>
      <c r="N2337" s="312"/>
      <c r="O2337" s="312"/>
      <c r="P2337" s="312"/>
      <c r="Q2337" s="312"/>
      <c r="R2337" s="312"/>
      <c r="S2337" s="312"/>
      <c r="T2337" s="312"/>
      <c r="U2337" s="312"/>
    </row>
    <row r="2338">
      <c r="A2338" s="312"/>
      <c r="B2338" s="312"/>
      <c r="C2338" s="567"/>
      <c r="D2338" s="312"/>
      <c r="E2338" s="511"/>
      <c r="F2338" s="312"/>
      <c r="G2338" s="312"/>
      <c r="H2338" s="312"/>
      <c r="I2338" s="567"/>
      <c r="J2338" s="312" t="b">
        <v>0</v>
      </c>
      <c r="K2338" s="312"/>
      <c r="L2338" s="312"/>
      <c r="M2338" s="511"/>
      <c r="N2338" s="312"/>
      <c r="O2338" s="312"/>
      <c r="P2338" s="312"/>
      <c r="Q2338" s="312"/>
      <c r="R2338" s="312"/>
      <c r="S2338" s="312"/>
      <c r="T2338" s="312"/>
      <c r="U2338" s="312"/>
    </row>
    <row r="2339">
      <c r="A2339" s="312"/>
      <c r="B2339" s="312"/>
      <c r="C2339" s="567"/>
      <c r="D2339" s="312"/>
      <c r="E2339" s="511"/>
      <c r="F2339" s="312"/>
      <c r="G2339" s="312"/>
      <c r="H2339" s="312"/>
      <c r="I2339" s="567"/>
      <c r="J2339" s="312" t="b">
        <v>0</v>
      </c>
      <c r="K2339" s="312"/>
      <c r="L2339" s="312"/>
      <c r="M2339" s="511"/>
      <c r="N2339" s="312"/>
      <c r="O2339" s="312"/>
      <c r="P2339" s="312"/>
      <c r="Q2339" s="312"/>
      <c r="R2339" s="312"/>
      <c r="S2339" s="312"/>
      <c r="T2339" s="312"/>
      <c r="U2339" s="312"/>
    </row>
    <row r="2340">
      <c r="A2340" s="312"/>
      <c r="B2340" s="312"/>
      <c r="C2340" s="567"/>
      <c r="D2340" s="312"/>
      <c r="E2340" s="511"/>
      <c r="F2340" s="312"/>
      <c r="G2340" s="312"/>
      <c r="H2340" s="312"/>
      <c r="I2340" s="567"/>
      <c r="J2340" s="312" t="b">
        <v>0</v>
      </c>
      <c r="K2340" s="312"/>
      <c r="L2340" s="312"/>
      <c r="M2340" s="511"/>
      <c r="N2340" s="312"/>
      <c r="O2340" s="312"/>
      <c r="P2340" s="312"/>
      <c r="Q2340" s="312"/>
      <c r="R2340" s="312"/>
      <c r="S2340" s="312"/>
      <c r="T2340" s="312"/>
      <c r="U2340" s="312"/>
    </row>
    <row r="2341">
      <c r="A2341" s="312"/>
      <c r="B2341" s="312"/>
      <c r="C2341" s="567"/>
      <c r="D2341" s="312"/>
      <c r="E2341" s="511"/>
      <c r="F2341" s="312"/>
      <c r="G2341" s="312"/>
      <c r="H2341" s="312"/>
      <c r="I2341" s="567"/>
      <c r="J2341" s="312" t="b">
        <v>0</v>
      </c>
      <c r="K2341" s="312"/>
      <c r="L2341" s="312"/>
      <c r="M2341" s="511"/>
      <c r="N2341" s="312"/>
      <c r="O2341" s="312"/>
      <c r="P2341" s="312"/>
      <c r="Q2341" s="312"/>
      <c r="R2341" s="312"/>
      <c r="S2341" s="312"/>
      <c r="T2341" s="312"/>
      <c r="U2341" s="312"/>
    </row>
    <row r="2342">
      <c r="A2342" s="312"/>
      <c r="B2342" s="312"/>
      <c r="C2342" s="567"/>
      <c r="D2342" s="312"/>
      <c r="E2342" s="511"/>
      <c r="F2342" s="312"/>
      <c r="G2342" s="312"/>
      <c r="H2342" s="312"/>
      <c r="I2342" s="567"/>
      <c r="J2342" s="312" t="b">
        <v>0</v>
      </c>
      <c r="K2342" s="312"/>
      <c r="L2342" s="312"/>
      <c r="M2342" s="511"/>
      <c r="N2342" s="312"/>
      <c r="O2342" s="312"/>
      <c r="P2342" s="312"/>
      <c r="Q2342" s="312"/>
      <c r="R2342" s="312"/>
      <c r="S2342" s="312"/>
      <c r="T2342" s="312"/>
      <c r="U2342" s="312"/>
    </row>
    <row r="2343">
      <c r="A2343" s="312"/>
      <c r="B2343" s="312"/>
      <c r="C2343" s="567"/>
      <c r="D2343" s="312"/>
      <c r="E2343" s="511"/>
      <c r="F2343" s="312"/>
      <c r="G2343" s="312"/>
      <c r="H2343" s="312"/>
      <c r="I2343" s="567"/>
      <c r="J2343" s="312" t="b">
        <v>0</v>
      </c>
      <c r="K2343" s="312"/>
      <c r="L2343" s="312"/>
      <c r="M2343" s="511"/>
      <c r="N2343" s="312"/>
      <c r="O2343" s="312"/>
      <c r="P2343" s="312"/>
      <c r="Q2343" s="312"/>
      <c r="R2343" s="312"/>
      <c r="S2343" s="312"/>
      <c r="T2343" s="312"/>
      <c r="U2343" s="312"/>
    </row>
    <row r="2344">
      <c r="A2344" s="312"/>
      <c r="B2344" s="312"/>
      <c r="C2344" s="567"/>
      <c r="D2344" s="312"/>
      <c r="E2344" s="511"/>
      <c r="F2344" s="312"/>
      <c r="G2344" s="312"/>
      <c r="H2344" s="312"/>
      <c r="I2344" s="567"/>
      <c r="J2344" s="312" t="b">
        <v>0</v>
      </c>
      <c r="K2344" s="312"/>
      <c r="L2344" s="312"/>
      <c r="M2344" s="511"/>
      <c r="N2344" s="312"/>
      <c r="O2344" s="312"/>
      <c r="P2344" s="312"/>
      <c r="Q2344" s="312"/>
      <c r="R2344" s="312"/>
      <c r="S2344" s="312"/>
      <c r="T2344" s="312"/>
      <c r="U2344" s="312"/>
    </row>
    <row r="2345">
      <c r="A2345" s="312"/>
      <c r="B2345" s="312"/>
      <c r="C2345" s="567"/>
      <c r="D2345" s="312"/>
      <c r="E2345" s="511"/>
      <c r="F2345" s="312"/>
      <c r="G2345" s="312"/>
      <c r="H2345" s="312"/>
      <c r="I2345" s="567"/>
      <c r="J2345" s="312" t="b">
        <v>0</v>
      </c>
      <c r="K2345" s="312"/>
      <c r="L2345" s="312"/>
      <c r="M2345" s="511"/>
      <c r="N2345" s="312"/>
      <c r="O2345" s="312"/>
      <c r="P2345" s="312"/>
      <c r="Q2345" s="312"/>
      <c r="R2345" s="312"/>
      <c r="S2345" s="312"/>
      <c r="T2345" s="312"/>
      <c r="U2345" s="312"/>
    </row>
    <row r="2346">
      <c r="A2346" s="312"/>
      <c r="B2346" s="312"/>
      <c r="C2346" s="567"/>
      <c r="D2346" s="312"/>
      <c r="E2346" s="511"/>
      <c r="F2346" s="312"/>
      <c r="G2346" s="312"/>
      <c r="H2346" s="312"/>
      <c r="I2346" s="567"/>
      <c r="J2346" s="312" t="b">
        <v>0</v>
      </c>
      <c r="K2346" s="312"/>
      <c r="L2346" s="312"/>
      <c r="M2346" s="511"/>
      <c r="N2346" s="312"/>
      <c r="O2346" s="312"/>
      <c r="P2346" s="312"/>
      <c r="Q2346" s="312"/>
      <c r="R2346" s="312"/>
      <c r="S2346" s="312"/>
      <c r="T2346" s="312"/>
      <c r="U2346" s="312"/>
    </row>
    <row r="2347">
      <c r="A2347" s="312"/>
      <c r="B2347" s="312"/>
      <c r="C2347" s="567"/>
      <c r="D2347" s="312"/>
      <c r="E2347" s="511"/>
      <c r="F2347" s="312"/>
      <c r="G2347" s="312"/>
      <c r="H2347" s="312"/>
      <c r="I2347" s="567"/>
      <c r="J2347" s="312" t="b">
        <v>0</v>
      </c>
      <c r="K2347" s="312"/>
      <c r="L2347" s="312"/>
      <c r="M2347" s="511"/>
      <c r="N2347" s="312"/>
      <c r="O2347" s="312"/>
      <c r="P2347" s="312"/>
      <c r="Q2347" s="312"/>
      <c r="R2347" s="312"/>
      <c r="S2347" s="312"/>
      <c r="T2347" s="312"/>
      <c r="U2347" s="312"/>
    </row>
    <row r="2348">
      <c r="A2348" s="312"/>
      <c r="B2348" s="312"/>
      <c r="C2348" s="567"/>
      <c r="D2348" s="312"/>
      <c r="E2348" s="511"/>
      <c r="F2348" s="312"/>
      <c r="G2348" s="312"/>
      <c r="H2348" s="312"/>
      <c r="I2348" s="567"/>
      <c r="J2348" s="312" t="b">
        <v>0</v>
      </c>
      <c r="K2348" s="312"/>
      <c r="L2348" s="312"/>
      <c r="M2348" s="511"/>
      <c r="N2348" s="312"/>
      <c r="O2348" s="312"/>
      <c r="P2348" s="312"/>
      <c r="Q2348" s="312"/>
      <c r="R2348" s="312"/>
      <c r="S2348" s="312"/>
      <c r="T2348" s="312"/>
      <c r="U2348" s="312"/>
    </row>
    <row r="2349">
      <c r="A2349" s="312"/>
      <c r="B2349" s="312"/>
      <c r="C2349" s="567"/>
      <c r="D2349" s="312"/>
      <c r="E2349" s="511"/>
      <c r="F2349" s="312"/>
      <c r="G2349" s="312"/>
      <c r="H2349" s="312"/>
      <c r="I2349" s="567"/>
      <c r="J2349" s="312" t="b">
        <v>0</v>
      </c>
      <c r="K2349" s="312"/>
      <c r="L2349" s="312"/>
      <c r="M2349" s="511"/>
      <c r="N2349" s="312"/>
      <c r="O2349" s="312"/>
      <c r="P2349" s="312"/>
      <c r="Q2349" s="312"/>
      <c r="R2349" s="312"/>
      <c r="S2349" s="312"/>
      <c r="T2349" s="312"/>
      <c r="U2349" s="312"/>
    </row>
    <row r="2350">
      <c r="A2350" s="312"/>
      <c r="B2350" s="312"/>
      <c r="C2350" s="567"/>
      <c r="D2350" s="312"/>
      <c r="E2350" s="511"/>
      <c r="F2350" s="312"/>
      <c r="G2350" s="312"/>
      <c r="H2350" s="312"/>
      <c r="I2350" s="567"/>
      <c r="J2350" s="312" t="b">
        <v>0</v>
      </c>
      <c r="K2350" s="312"/>
      <c r="L2350" s="312"/>
      <c r="M2350" s="511"/>
      <c r="N2350" s="312"/>
      <c r="O2350" s="312"/>
      <c r="P2350" s="312"/>
      <c r="Q2350" s="312"/>
      <c r="R2350" s="312"/>
      <c r="S2350" s="312"/>
      <c r="T2350" s="312"/>
      <c r="U2350" s="312"/>
    </row>
    <row r="2351">
      <c r="A2351" s="312"/>
      <c r="B2351" s="312"/>
      <c r="C2351" s="567"/>
      <c r="D2351" s="312"/>
      <c r="E2351" s="511"/>
      <c r="F2351" s="312"/>
      <c r="G2351" s="312"/>
      <c r="H2351" s="312"/>
      <c r="I2351" s="567"/>
      <c r="J2351" s="312" t="b">
        <v>0</v>
      </c>
      <c r="K2351" s="312"/>
      <c r="L2351" s="312"/>
      <c r="M2351" s="511"/>
      <c r="N2351" s="312"/>
      <c r="O2351" s="312"/>
      <c r="P2351" s="312"/>
      <c r="Q2351" s="312"/>
      <c r="R2351" s="312"/>
      <c r="S2351" s="312"/>
      <c r="T2351" s="312"/>
      <c r="U2351" s="312"/>
    </row>
    <row r="2352">
      <c r="A2352" s="312"/>
      <c r="B2352" s="312"/>
      <c r="C2352" s="567"/>
      <c r="D2352" s="312"/>
      <c r="E2352" s="511"/>
      <c r="F2352" s="312"/>
      <c r="G2352" s="312"/>
      <c r="H2352" s="312"/>
      <c r="I2352" s="567"/>
      <c r="J2352" s="312" t="b">
        <v>0</v>
      </c>
      <c r="K2352" s="312"/>
      <c r="L2352" s="312"/>
      <c r="M2352" s="511"/>
      <c r="N2352" s="312"/>
      <c r="O2352" s="312"/>
      <c r="P2352" s="312"/>
      <c r="Q2352" s="312"/>
      <c r="R2352" s="312"/>
      <c r="S2352" s="312"/>
      <c r="T2352" s="312"/>
      <c r="U2352" s="312"/>
    </row>
    <row r="2353">
      <c r="A2353" s="312"/>
      <c r="B2353" s="312"/>
      <c r="C2353" s="567"/>
      <c r="D2353" s="312"/>
      <c r="E2353" s="511"/>
      <c r="F2353" s="312"/>
      <c r="G2353" s="312"/>
      <c r="H2353" s="312"/>
      <c r="I2353" s="567"/>
      <c r="J2353" s="312" t="b">
        <v>0</v>
      </c>
      <c r="K2353" s="312"/>
      <c r="L2353" s="312"/>
      <c r="M2353" s="511"/>
      <c r="N2353" s="312"/>
      <c r="O2353" s="312"/>
      <c r="P2353" s="312"/>
      <c r="Q2353" s="312"/>
      <c r="R2353" s="312"/>
      <c r="S2353" s="312"/>
      <c r="T2353" s="312"/>
      <c r="U2353" s="312"/>
    </row>
    <row r="2354">
      <c r="A2354" s="312"/>
      <c r="B2354" s="312"/>
      <c r="C2354" s="567"/>
      <c r="D2354" s="312"/>
      <c r="E2354" s="511"/>
      <c r="F2354" s="312"/>
      <c r="G2354" s="312"/>
      <c r="H2354" s="312"/>
      <c r="I2354" s="567"/>
      <c r="J2354" s="312" t="b">
        <v>0</v>
      </c>
      <c r="K2354" s="312"/>
      <c r="L2354" s="312"/>
      <c r="M2354" s="511"/>
      <c r="N2354" s="312"/>
      <c r="O2354" s="312"/>
      <c r="P2354" s="312"/>
      <c r="Q2354" s="312"/>
      <c r="R2354" s="312"/>
      <c r="S2354" s="312"/>
      <c r="T2354" s="312"/>
      <c r="U2354" s="312"/>
    </row>
    <row r="2355">
      <c r="A2355" s="312"/>
      <c r="B2355" s="312"/>
      <c r="C2355" s="567"/>
      <c r="D2355" s="312"/>
      <c r="E2355" s="511"/>
      <c r="F2355" s="312"/>
      <c r="G2355" s="312"/>
      <c r="H2355" s="312"/>
      <c r="I2355" s="567"/>
      <c r="J2355" s="312" t="b">
        <v>0</v>
      </c>
      <c r="K2355" s="312"/>
      <c r="L2355" s="312"/>
      <c r="M2355" s="511"/>
      <c r="N2355" s="312"/>
      <c r="O2355" s="312"/>
      <c r="P2355" s="312"/>
      <c r="Q2355" s="312"/>
      <c r="R2355" s="312"/>
      <c r="S2355" s="312"/>
      <c r="T2355" s="312"/>
      <c r="U2355" s="312"/>
    </row>
    <row r="2356">
      <c r="A2356" s="312"/>
      <c r="B2356" s="312"/>
      <c r="C2356" s="567"/>
      <c r="D2356" s="312"/>
      <c r="E2356" s="511"/>
      <c r="F2356" s="312"/>
      <c r="G2356" s="312"/>
      <c r="H2356" s="312"/>
      <c r="I2356" s="567"/>
      <c r="J2356" s="312" t="b">
        <v>0</v>
      </c>
      <c r="K2356" s="312"/>
      <c r="L2356" s="312"/>
      <c r="M2356" s="511"/>
      <c r="N2356" s="312"/>
      <c r="O2356" s="312"/>
      <c r="P2356" s="312"/>
      <c r="Q2356" s="312"/>
      <c r="R2356" s="312"/>
      <c r="S2356" s="312"/>
      <c r="T2356" s="312"/>
      <c r="U2356" s="312"/>
    </row>
    <row r="2357">
      <c r="A2357" s="312"/>
      <c r="B2357" s="312"/>
      <c r="C2357" s="567"/>
      <c r="D2357" s="312"/>
      <c r="E2357" s="511"/>
      <c r="F2357" s="312"/>
      <c r="G2357" s="312"/>
      <c r="H2357" s="312"/>
      <c r="I2357" s="567"/>
      <c r="J2357" s="312" t="b">
        <v>0</v>
      </c>
      <c r="K2357" s="312"/>
      <c r="L2357" s="312"/>
      <c r="M2357" s="511"/>
      <c r="N2357" s="312"/>
      <c r="O2357" s="312"/>
      <c r="P2357" s="312"/>
      <c r="Q2357" s="312"/>
      <c r="R2357" s="312"/>
      <c r="S2357" s="312"/>
      <c r="T2357" s="312"/>
      <c r="U2357" s="312"/>
    </row>
    <row r="2358">
      <c r="A2358" s="312"/>
      <c r="B2358" s="312"/>
      <c r="C2358" s="567"/>
      <c r="D2358" s="312"/>
      <c r="E2358" s="511"/>
      <c r="F2358" s="312"/>
      <c r="G2358" s="312"/>
      <c r="H2358" s="312"/>
      <c r="I2358" s="567"/>
      <c r="J2358" s="312" t="b">
        <v>0</v>
      </c>
      <c r="K2358" s="312"/>
      <c r="L2358" s="312"/>
      <c r="M2358" s="511"/>
      <c r="N2358" s="312"/>
      <c r="O2358" s="312"/>
      <c r="P2358" s="312"/>
      <c r="Q2358" s="312"/>
      <c r="R2358" s="312"/>
      <c r="S2358" s="312"/>
      <c r="T2358" s="312"/>
      <c r="U2358" s="312"/>
    </row>
    <row r="2359">
      <c r="A2359" s="312"/>
      <c r="B2359" s="312"/>
      <c r="C2359" s="567"/>
      <c r="D2359" s="312"/>
      <c r="E2359" s="511"/>
      <c r="F2359" s="312"/>
      <c r="G2359" s="312"/>
      <c r="H2359" s="312"/>
      <c r="I2359" s="567"/>
      <c r="J2359" s="312" t="b">
        <v>0</v>
      </c>
      <c r="K2359" s="312"/>
      <c r="L2359" s="312"/>
      <c r="M2359" s="511"/>
      <c r="N2359" s="312"/>
      <c r="O2359" s="312"/>
      <c r="P2359" s="312"/>
      <c r="Q2359" s="312"/>
      <c r="R2359" s="312"/>
      <c r="S2359" s="312"/>
      <c r="T2359" s="312"/>
      <c r="U2359" s="312"/>
    </row>
    <row r="2360">
      <c r="A2360" s="312"/>
      <c r="B2360" s="312"/>
      <c r="C2360" s="567"/>
      <c r="D2360" s="312"/>
      <c r="E2360" s="511"/>
      <c r="F2360" s="312"/>
      <c r="G2360" s="312"/>
      <c r="H2360" s="312"/>
      <c r="I2360" s="567"/>
      <c r="J2360" s="312" t="b">
        <v>0</v>
      </c>
      <c r="K2360" s="312"/>
      <c r="L2360" s="312"/>
      <c r="M2360" s="511"/>
      <c r="N2360" s="312"/>
      <c r="O2360" s="312"/>
      <c r="P2360" s="312"/>
      <c r="Q2360" s="312"/>
      <c r="R2360" s="312"/>
      <c r="S2360" s="312"/>
      <c r="T2360" s="312"/>
      <c r="U2360" s="312"/>
    </row>
    <row r="2361">
      <c r="A2361" s="312"/>
      <c r="B2361" s="312"/>
      <c r="C2361" s="567"/>
      <c r="D2361" s="312"/>
      <c r="E2361" s="511"/>
      <c r="F2361" s="312"/>
      <c r="G2361" s="312"/>
      <c r="H2361" s="312"/>
      <c r="I2361" s="567"/>
      <c r="J2361" s="312" t="b">
        <v>0</v>
      </c>
      <c r="K2361" s="312"/>
      <c r="L2361" s="312"/>
      <c r="M2361" s="511"/>
      <c r="N2361" s="312"/>
      <c r="O2361" s="312"/>
      <c r="P2361" s="312"/>
      <c r="Q2361" s="312"/>
      <c r="R2361" s="312"/>
      <c r="S2361" s="312"/>
      <c r="T2361" s="312"/>
      <c r="U2361" s="312"/>
    </row>
    <row r="2362">
      <c r="A2362" s="312"/>
      <c r="B2362" s="312"/>
      <c r="C2362" s="567"/>
      <c r="D2362" s="312"/>
      <c r="E2362" s="511"/>
      <c r="F2362" s="312"/>
      <c r="G2362" s="312"/>
      <c r="H2362" s="312"/>
      <c r="I2362" s="567"/>
      <c r="J2362" s="312" t="b">
        <v>0</v>
      </c>
      <c r="K2362" s="312"/>
      <c r="L2362" s="312"/>
      <c r="M2362" s="511"/>
      <c r="N2362" s="312"/>
      <c r="O2362" s="312"/>
      <c r="P2362" s="312"/>
      <c r="Q2362" s="312"/>
      <c r="R2362" s="312"/>
      <c r="S2362" s="312"/>
      <c r="T2362" s="312"/>
      <c r="U2362" s="312"/>
    </row>
    <row r="2363">
      <c r="A2363" s="312"/>
      <c r="B2363" s="312"/>
      <c r="C2363" s="567"/>
      <c r="D2363" s="312"/>
      <c r="E2363" s="511"/>
      <c r="F2363" s="312"/>
      <c r="G2363" s="312"/>
      <c r="H2363" s="312"/>
      <c r="I2363" s="567"/>
      <c r="J2363" s="312" t="b">
        <v>0</v>
      </c>
      <c r="K2363" s="312"/>
      <c r="L2363" s="312"/>
      <c r="M2363" s="511"/>
      <c r="N2363" s="312"/>
      <c r="O2363" s="312"/>
      <c r="P2363" s="312"/>
      <c r="Q2363" s="312"/>
      <c r="R2363" s="312"/>
      <c r="S2363" s="312"/>
      <c r="T2363" s="312"/>
      <c r="U2363" s="312"/>
    </row>
    <row r="2364">
      <c r="A2364" s="312"/>
      <c r="B2364" s="312"/>
      <c r="C2364" s="567"/>
      <c r="D2364" s="312"/>
      <c r="E2364" s="511"/>
      <c r="F2364" s="312"/>
      <c r="G2364" s="312"/>
      <c r="H2364" s="312"/>
      <c r="I2364" s="567"/>
      <c r="J2364" s="312" t="b">
        <v>0</v>
      </c>
      <c r="K2364" s="312"/>
      <c r="L2364" s="312"/>
      <c r="M2364" s="511"/>
      <c r="N2364" s="312"/>
      <c r="O2364" s="312"/>
      <c r="P2364" s="312"/>
      <c r="Q2364" s="312"/>
      <c r="R2364" s="312"/>
      <c r="S2364" s="312"/>
      <c r="T2364" s="312"/>
      <c r="U2364" s="312"/>
    </row>
    <row r="2365">
      <c r="A2365" s="312"/>
      <c r="B2365" s="312"/>
      <c r="C2365" s="567"/>
      <c r="D2365" s="312"/>
      <c r="E2365" s="511"/>
      <c r="F2365" s="312"/>
      <c r="G2365" s="312"/>
      <c r="H2365" s="312"/>
      <c r="I2365" s="567"/>
      <c r="J2365" s="312" t="b">
        <v>0</v>
      </c>
      <c r="K2365" s="312"/>
      <c r="L2365" s="312"/>
      <c r="M2365" s="511"/>
      <c r="N2365" s="312"/>
      <c r="O2365" s="312"/>
      <c r="P2365" s="312"/>
      <c r="Q2365" s="312"/>
      <c r="R2365" s="312"/>
      <c r="S2365" s="312"/>
      <c r="T2365" s="312"/>
      <c r="U2365" s="312"/>
    </row>
    <row r="2366">
      <c r="A2366" s="312"/>
      <c r="B2366" s="312"/>
      <c r="C2366" s="567"/>
      <c r="D2366" s="312"/>
      <c r="E2366" s="511"/>
      <c r="F2366" s="312"/>
      <c r="G2366" s="312"/>
      <c r="H2366" s="312"/>
      <c r="I2366" s="567"/>
      <c r="J2366" s="312" t="b">
        <v>0</v>
      </c>
      <c r="K2366" s="312"/>
      <c r="L2366" s="312"/>
      <c r="M2366" s="511"/>
      <c r="N2366" s="312"/>
      <c r="O2366" s="312"/>
      <c r="P2366" s="312"/>
      <c r="Q2366" s="312"/>
      <c r="R2366" s="312"/>
      <c r="S2366" s="312"/>
      <c r="T2366" s="312"/>
      <c r="U2366" s="312"/>
    </row>
    <row r="2367">
      <c r="A2367" s="312"/>
      <c r="B2367" s="312"/>
      <c r="C2367" s="567"/>
      <c r="D2367" s="312"/>
      <c r="E2367" s="511"/>
      <c r="F2367" s="312"/>
      <c r="G2367" s="312"/>
      <c r="H2367" s="312"/>
      <c r="I2367" s="567"/>
      <c r="J2367" s="312" t="b">
        <v>0</v>
      </c>
      <c r="K2367" s="312"/>
      <c r="L2367" s="312"/>
      <c r="M2367" s="511"/>
      <c r="N2367" s="312"/>
      <c r="O2367" s="312"/>
      <c r="P2367" s="312"/>
      <c r="Q2367" s="312"/>
      <c r="R2367" s="312"/>
      <c r="S2367" s="312"/>
      <c r="T2367" s="312"/>
      <c r="U2367" s="312"/>
    </row>
    <row r="2368">
      <c r="A2368" s="312"/>
      <c r="B2368" s="312"/>
      <c r="C2368" s="567"/>
      <c r="D2368" s="312"/>
      <c r="E2368" s="511"/>
      <c r="F2368" s="312"/>
      <c r="G2368" s="312"/>
      <c r="H2368" s="312"/>
      <c r="I2368" s="567"/>
      <c r="J2368" s="312" t="b">
        <v>0</v>
      </c>
      <c r="K2368" s="312"/>
      <c r="L2368" s="312"/>
      <c r="M2368" s="511"/>
      <c r="N2368" s="312"/>
      <c r="O2368" s="312"/>
      <c r="P2368" s="312"/>
      <c r="Q2368" s="312"/>
      <c r="R2368" s="312"/>
      <c r="S2368" s="312"/>
      <c r="T2368" s="312"/>
      <c r="U2368" s="312"/>
    </row>
    <row r="2369">
      <c r="A2369" s="312"/>
      <c r="B2369" s="312"/>
      <c r="C2369" s="567"/>
      <c r="D2369" s="312"/>
      <c r="E2369" s="511"/>
      <c r="F2369" s="312"/>
      <c r="G2369" s="312"/>
      <c r="H2369" s="312"/>
      <c r="I2369" s="567"/>
      <c r="J2369" s="312" t="b">
        <v>0</v>
      </c>
      <c r="K2369" s="312"/>
      <c r="L2369" s="312"/>
      <c r="M2369" s="511"/>
      <c r="N2369" s="312"/>
      <c r="O2369" s="312"/>
      <c r="P2369" s="312"/>
      <c r="Q2369" s="312"/>
      <c r="R2369" s="312"/>
      <c r="S2369" s="312"/>
      <c r="T2369" s="312"/>
      <c r="U2369" s="312"/>
    </row>
    <row r="2370">
      <c r="A2370" s="312"/>
      <c r="B2370" s="312"/>
      <c r="C2370" s="567"/>
      <c r="D2370" s="312"/>
      <c r="E2370" s="511"/>
      <c r="F2370" s="312"/>
      <c r="G2370" s="312"/>
      <c r="H2370" s="312"/>
      <c r="I2370" s="567"/>
      <c r="J2370" s="312" t="b">
        <v>0</v>
      </c>
      <c r="K2370" s="312"/>
      <c r="L2370" s="312"/>
      <c r="M2370" s="511"/>
      <c r="N2370" s="312"/>
      <c r="O2370" s="312"/>
      <c r="P2370" s="312"/>
      <c r="Q2370" s="312"/>
      <c r="R2370" s="312"/>
      <c r="S2370" s="312"/>
      <c r="T2370" s="312"/>
      <c r="U2370" s="312"/>
    </row>
    <row r="2371">
      <c r="A2371" s="312"/>
      <c r="B2371" s="312"/>
      <c r="C2371" s="567"/>
      <c r="D2371" s="312"/>
      <c r="E2371" s="511"/>
      <c r="F2371" s="312"/>
      <c r="G2371" s="312"/>
      <c r="H2371" s="312"/>
      <c r="I2371" s="567"/>
      <c r="J2371" s="312" t="b">
        <v>0</v>
      </c>
      <c r="K2371" s="312"/>
      <c r="L2371" s="312"/>
      <c r="M2371" s="511"/>
      <c r="N2371" s="312"/>
      <c r="O2371" s="312"/>
      <c r="P2371" s="312"/>
      <c r="Q2371" s="312"/>
      <c r="R2371" s="312"/>
      <c r="S2371" s="312"/>
      <c r="T2371" s="312"/>
      <c r="U2371" s="312"/>
    </row>
    <row r="2372">
      <c r="A2372" s="312"/>
      <c r="B2372" s="312"/>
      <c r="C2372" s="567"/>
      <c r="D2372" s="312"/>
      <c r="E2372" s="511"/>
      <c r="F2372" s="312"/>
      <c r="G2372" s="312"/>
      <c r="H2372" s="312"/>
      <c r="I2372" s="567"/>
      <c r="J2372" s="312" t="b">
        <v>0</v>
      </c>
      <c r="K2372" s="312"/>
      <c r="L2372" s="312"/>
      <c r="M2372" s="511"/>
      <c r="N2372" s="312"/>
      <c r="O2372" s="312"/>
      <c r="P2372" s="312"/>
      <c r="Q2372" s="312"/>
      <c r="R2372" s="312"/>
      <c r="S2372" s="312"/>
      <c r="T2372" s="312"/>
      <c r="U2372" s="312"/>
    </row>
    <row r="2373">
      <c r="A2373" s="312"/>
      <c r="B2373" s="312"/>
      <c r="C2373" s="567"/>
      <c r="D2373" s="312"/>
      <c r="E2373" s="511"/>
      <c r="F2373" s="312"/>
      <c r="G2373" s="312"/>
      <c r="H2373" s="312"/>
      <c r="I2373" s="567"/>
      <c r="J2373" s="312" t="b">
        <v>0</v>
      </c>
      <c r="K2373" s="312"/>
      <c r="L2373" s="312"/>
      <c r="M2373" s="511"/>
      <c r="N2373" s="312"/>
      <c r="O2373" s="312"/>
      <c r="P2373" s="312"/>
      <c r="Q2373" s="312"/>
      <c r="R2373" s="312"/>
      <c r="S2373" s="312"/>
      <c r="T2373" s="312"/>
      <c r="U2373" s="312"/>
    </row>
    <row r="2374">
      <c r="A2374" s="312"/>
      <c r="B2374" s="312"/>
      <c r="C2374" s="567"/>
      <c r="D2374" s="312"/>
      <c r="E2374" s="511"/>
      <c r="F2374" s="312"/>
      <c r="G2374" s="312"/>
      <c r="H2374" s="312"/>
      <c r="I2374" s="567"/>
      <c r="J2374" s="312" t="b">
        <v>0</v>
      </c>
      <c r="K2374" s="312"/>
      <c r="L2374" s="312"/>
      <c r="M2374" s="511"/>
      <c r="N2374" s="312"/>
      <c r="O2374" s="312"/>
      <c r="P2374" s="312"/>
      <c r="Q2374" s="312"/>
      <c r="R2374" s="312"/>
      <c r="S2374" s="312"/>
      <c r="T2374" s="312"/>
      <c r="U2374" s="312"/>
    </row>
    <row r="2375">
      <c r="A2375" s="312"/>
      <c r="B2375" s="312"/>
      <c r="C2375" s="567"/>
      <c r="D2375" s="312"/>
      <c r="E2375" s="511"/>
      <c r="F2375" s="312"/>
      <c r="G2375" s="312"/>
      <c r="H2375" s="312"/>
      <c r="I2375" s="567"/>
      <c r="J2375" s="312" t="b">
        <v>0</v>
      </c>
      <c r="K2375" s="312"/>
      <c r="L2375" s="312"/>
      <c r="M2375" s="511"/>
      <c r="N2375" s="312"/>
      <c r="O2375" s="312"/>
      <c r="P2375" s="312"/>
      <c r="Q2375" s="312"/>
      <c r="R2375" s="312"/>
      <c r="S2375" s="312"/>
      <c r="T2375" s="312"/>
      <c r="U2375" s="312"/>
    </row>
    <row r="2376">
      <c r="A2376" s="312"/>
      <c r="B2376" s="312"/>
      <c r="C2376" s="567"/>
      <c r="D2376" s="312"/>
      <c r="E2376" s="511"/>
      <c r="F2376" s="312"/>
      <c r="G2376" s="312"/>
      <c r="H2376" s="312"/>
      <c r="I2376" s="567"/>
      <c r="J2376" s="312" t="b">
        <v>0</v>
      </c>
      <c r="K2376" s="312"/>
      <c r="L2376" s="312"/>
      <c r="M2376" s="511"/>
      <c r="N2376" s="312"/>
      <c r="O2376" s="312"/>
      <c r="P2376" s="312"/>
      <c r="Q2376" s="312"/>
      <c r="R2376" s="312"/>
      <c r="S2376" s="312"/>
      <c r="T2376" s="312"/>
      <c r="U2376" s="312"/>
    </row>
    <row r="2377">
      <c r="A2377" s="312"/>
      <c r="B2377" s="312"/>
      <c r="C2377" s="567"/>
      <c r="D2377" s="312"/>
      <c r="E2377" s="511"/>
      <c r="F2377" s="312"/>
      <c r="G2377" s="312"/>
      <c r="H2377" s="312"/>
      <c r="I2377" s="567"/>
      <c r="J2377" s="312" t="b">
        <v>0</v>
      </c>
      <c r="K2377" s="312"/>
      <c r="L2377" s="312"/>
      <c r="M2377" s="511"/>
      <c r="N2377" s="312"/>
      <c r="O2377" s="312"/>
      <c r="P2377" s="312"/>
      <c r="Q2377" s="312"/>
      <c r="R2377" s="312"/>
      <c r="S2377" s="312"/>
      <c r="T2377" s="312"/>
      <c r="U2377" s="312"/>
    </row>
    <row r="2378">
      <c r="A2378" s="312"/>
      <c r="B2378" s="312"/>
      <c r="C2378" s="567"/>
      <c r="D2378" s="312"/>
      <c r="E2378" s="511"/>
      <c r="F2378" s="312"/>
      <c r="G2378" s="312"/>
      <c r="H2378" s="312"/>
      <c r="I2378" s="567"/>
      <c r="J2378" s="312" t="b">
        <v>0</v>
      </c>
      <c r="K2378" s="312"/>
      <c r="L2378" s="312"/>
      <c r="M2378" s="511"/>
      <c r="N2378" s="312"/>
      <c r="O2378" s="312"/>
      <c r="P2378" s="312"/>
      <c r="Q2378" s="312"/>
      <c r="R2378" s="312"/>
      <c r="S2378" s="312"/>
      <c r="T2378" s="312"/>
      <c r="U2378" s="312"/>
    </row>
    <row r="2379">
      <c r="A2379" s="312"/>
      <c r="B2379" s="312"/>
      <c r="C2379" s="567"/>
      <c r="D2379" s="312"/>
      <c r="E2379" s="511"/>
      <c r="F2379" s="312"/>
      <c r="G2379" s="312"/>
      <c r="H2379" s="312"/>
      <c r="I2379" s="567"/>
      <c r="J2379" s="312" t="b">
        <v>0</v>
      </c>
      <c r="K2379" s="312"/>
      <c r="L2379" s="312"/>
      <c r="M2379" s="511"/>
      <c r="N2379" s="312"/>
      <c r="O2379" s="312"/>
      <c r="P2379" s="312"/>
      <c r="Q2379" s="312"/>
      <c r="R2379" s="312"/>
      <c r="S2379" s="312"/>
      <c r="T2379" s="312"/>
      <c r="U2379" s="312"/>
    </row>
    <row r="2380">
      <c r="A2380" s="312"/>
      <c r="B2380" s="312"/>
      <c r="C2380" s="567"/>
      <c r="D2380" s="312"/>
      <c r="E2380" s="511"/>
      <c r="F2380" s="312"/>
      <c r="G2380" s="312"/>
      <c r="H2380" s="312"/>
      <c r="I2380" s="567"/>
      <c r="J2380" s="312" t="b">
        <v>0</v>
      </c>
      <c r="K2380" s="312"/>
      <c r="L2380" s="312"/>
      <c r="M2380" s="511"/>
      <c r="N2380" s="312"/>
      <c r="O2380" s="312"/>
      <c r="P2380" s="312"/>
      <c r="Q2380" s="312"/>
      <c r="R2380" s="312"/>
      <c r="S2380" s="312"/>
      <c r="T2380" s="312"/>
      <c r="U2380" s="312"/>
    </row>
    <row r="2381">
      <c r="A2381" s="312"/>
      <c r="B2381" s="312"/>
      <c r="C2381" s="567"/>
      <c r="D2381" s="312"/>
      <c r="E2381" s="511"/>
      <c r="F2381" s="312"/>
      <c r="G2381" s="312"/>
      <c r="H2381" s="312"/>
      <c r="I2381" s="567"/>
      <c r="J2381" s="312" t="b">
        <v>0</v>
      </c>
      <c r="K2381" s="312"/>
      <c r="L2381" s="312"/>
      <c r="M2381" s="511"/>
      <c r="N2381" s="312"/>
      <c r="O2381" s="312"/>
      <c r="P2381" s="312"/>
      <c r="Q2381" s="312"/>
      <c r="R2381" s="312"/>
      <c r="S2381" s="312"/>
      <c r="T2381" s="312"/>
      <c r="U2381" s="312"/>
    </row>
    <row r="2382">
      <c r="A2382" s="312"/>
      <c r="B2382" s="312"/>
      <c r="C2382" s="567"/>
      <c r="D2382" s="312"/>
      <c r="E2382" s="511"/>
      <c r="F2382" s="312"/>
      <c r="G2382" s="312"/>
      <c r="H2382" s="312"/>
      <c r="I2382" s="567"/>
      <c r="J2382" s="312" t="b">
        <v>0</v>
      </c>
      <c r="K2382" s="312"/>
      <c r="L2382" s="312"/>
      <c r="M2382" s="511"/>
      <c r="N2382" s="312"/>
      <c r="O2382" s="312"/>
      <c r="P2382" s="312"/>
      <c r="Q2382" s="312"/>
      <c r="R2382" s="312"/>
      <c r="S2382" s="312"/>
      <c r="T2382" s="312"/>
      <c r="U2382" s="312"/>
    </row>
    <row r="2383">
      <c r="A2383" s="312"/>
      <c r="B2383" s="312"/>
      <c r="C2383" s="567"/>
      <c r="D2383" s="312"/>
      <c r="E2383" s="511"/>
      <c r="F2383" s="312"/>
      <c r="G2383" s="312"/>
      <c r="H2383" s="312"/>
      <c r="I2383" s="567"/>
      <c r="J2383" s="312" t="b">
        <v>0</v>
      </c>
      <c r="K2383" s="312"/>
      <c r="L2383" s="312"/>
      <c r="M2383" s="511"/>
      <c r="N2383" s="312"/>
      <c r="O2383" s="312"/>
      <c r="P2383" s="312"/>
      <c r="Q2383" s="312"/>
      <c r="R2383" s="312"/>
      <c r="S2383" s="312"/>
      <c r="T2383" s="312"/>
      <c r="U2383" s="312"/>
    </row>
    <row r="2384">
      <c r="A2384" s="312"/>
      <c r="B2384" s="312"/>
      <c r="C2384" s="567"/>
      <c r="D2384" s="312"/>
      <c r="E2384" s="511"/>
      <c r="F2384" s="312"/>
      <c r="G2384" s="312"/>
      <c r="H2384" s="312"/>
      <c r="I2384" s="567"/>
      <c r="J2384" s="312" t="b">
        <v>0</v>
      </c>
      <c r="K2384" s="312"/>
      <c r="L2384" s="312"/>
      <c r="M2384" s="511"/>
      <c r="N2384" s="312"/>
      <c r="O2384" s="312"/>
      <c r="P2384" s="312"/>
      <c r="Q2384" s="312"/>
      <c r="R2384" s="312"/>
      <c r="S2384" s="312"/>
      <c r="T2384" s="312"/>
      <c r="U2384" s="312"/>
    </row>
    <row r="2385">
      <c r="A2385" s="312"/>
      <c r="B2385" s="312"/>
      <c r="C2385" s="567"/>
      <c r="D2385" s="312"/>
      <c r="E2385" s="511"/>
      <c r="F2385" s="312"/>
      <c r="G2385" s="312"/>
      <c r="H2385" s="312"/>
      <c r="I2385" s="567"/>
      <c r="J2385" s="312" t="b">
        <v>0</v>
      </c>
      <c r="K2385" s="312"/>
      <c r="L2385" s="312"/>
      <c r="M2385" s="511"/>
      <c r="N2385" s="312"/>
      <c r="O2385" s="312"/>
      <c r="P2385" s="312"/>
      <c r="Q2385" s="312"/>
      <c r="R2385" s="312"/>
      <c r="S2385" s="312"/>
      <c r="T2385" s="312"/>
      <c r="U2385" s="312"/>
    </row>
    <row r="2386">
      <c r="A2386" s="312"/>
      <c r="B2386" s="312"/>
      <c r="C2386" s="567"/>
      <c r="D2386" s="312"/>
      <c r="E2386" s="511"/>
      <c r="F2386" s="312"/>
      <c r="G2386" s="312"/>
      <c r="H2386" s="312"/>
      <c r="I2386" s="567"/>
      <c r="J2386" s="312" t="b">
        <v>0</v>
      </c>
      <c r="K2386" s="312"/>
      <c r="L2386" s="312"/>
      <c r="M2386" s="511"/>
      <c r="N2386" s="312"/>
      <c r="O2386" s="312"/>
      <c r="P2386" s="312"/>
      <c r="Q2386" s="312"/>
      <c r="R2386" s="312"/>
      <c r="S2386" s="312"/>
      <c r="T2386" s="312"/>
      <c r="U2386" s="312"/>
    </row>
    <row r="2387">
      <c r="A2387" s="312"/>
      <c r="B2387" s="312"/>
      <c r="C2387" s="567"/>
      <c r="D2387" s="312"/>
      <c r="E2387" s="511"/>
      <c r="F2387" s="312"/>
      <c r="G2387" s="312"/>
      <c r="H2387" s="312"/>
      <c r="I2387" s="567"/>
      <c r="J2387" s="312" t="b">
        <v>0</v>
      </c>
      <c r="K2387" s="312"/>
      <c r="L2387" s="312"/>
      <c r="M2387" s="511"/>
      <c r="N2387" s="312"/>
      <c r="O2387" s="312"/>
      <c r="P2387" s="312"/>
      <c r="Q2387" s="312"/>
      <c r="R2387" s="312"/>
      <c r="S2387" s="312"/>
      <c r="T2387" s="312"/>
      <c r="U2387" s="312"/>
    </row>
    <row r="2388">
      <c r="A2388" s="312"/>
      <c r="B2388" s="312"/>
      <c r="C2388" s="567"/>
      <c r="D2388" s="312"/>
      <c r="E2388" s="511"/>
      <c r="F2388" s="312"/>
      <c r="G2388" s="312"/>
      <c r="H2388" s="312"/>
      <c r="I2388" s="567"/>
      <c r="J2388" s="312" t="b">
        <v>0</v>
      </c>
      <c r="K2388" s="312"/>
      <c r="L2388" s="312"/>
      <c r="M2388" s="511"/>
      <c r="N2388" s="312"/>
      <c r="O2388" s="312"/>
      <c r="P2388" s="312"/>
      <c r="Q2388" s="312"/>
      <c r="R2388" s="312"/>
      <c r="S2388" s="312"/>
      <c r="T2388" s="312"/>
      <c r="U2388" s="312"/>
    </row>
    <row r="2389">
      <c r="A2389" s="312"/>
      <c r="B2389" s="312"/>
      <c r="C2389" s="567"/>
      <c r="D2389" s="312"/>
      <c r="E2389" s="511"/>
      <c r="F2389" s="312"/>
      <c r="G2389" s="312"/>
      <c r="H2389" s="312"/>
      <c r="I2389" s="567"/>
      <c r="J2389" s="312" t="b">
        <v>0</v>
      </c>
      <c r="K2389" s="312"/>
      <c r="L2389" s="312"/>
      <c r="M2389" s="511"/>
      <c r="N2389" s="312"/>
      <c r="O2389" s="312"/>
      <c r="P2389" s="312"/>
      <c r="Q2389" s="312"/>
      <c r="R2389" s="312"/>
      <c r="S2389" s="312"/>
      <c r="T2389" s="312"/>
      <c r="U2389" s="312"/>
    </row>
    <row r="2390">
      <c r="A2390" s="312"/>
      <c r="B2390" s="312"/>
      <c r="C2390" s="567"/>
      <c r="D2390" s="312"/>
      <c r="E2390" s="511"/>
      <c r="F2390" s="312"/>
      <c r="G2390" s="312"/>
      <c r="H2390" s="312"/>
      <c r="I2390" s="567"/>
      <c r="J2390" s="312" t="b">
        <v>0</v>
      </c>
      <c r="K2390" s="312"/>
      <c r="L2390" s="312"/>
      <c r="M2390" s="511"/>
      <c r="N2390" s="312"/>
      <c r="O2390" s="312"/>
      <c r="P2390" s="312"/>
      <c r="Q2390" s="312"/>
      <c r="R2390" s="312"/>
      <c r="S2390" s="312"/>
      <c r="T2390" s="312"/>
      <c r="U2390" s="312"/>
    </row>
    <row r="2391">
      <c r="A2391" s="312"/>
      <c r="B2391" s="312"/>
      <c r="C2391" s="567"/>
      <c r="D2391" s="312"/>
      <c r="E2391" s="511"/>
      <c r="F2391" s="312"/>
      <c r="G2391" s="312"/>
      <c r="H2391" s="312"/>
      <c r="I2391" s="567"/>
      <c r="J2391" s="312" t="b">
        <v>0</v>
      </c>
      <c r="K2391" s="312"/>
      <c r="L2391" s="312"/>
      <c r="M2391" s="511"/>
      <c r="N2391" s="312"/>
      <c r="O2391" s="312"/>
      <c r="P2391" s="312"/>
      <c r="Q2391" s="312"/>
      <c r="R2391" s="312"/>
      <c r="S2391" s="312"/>
      <c r="T2391" s="312"/>
      <c r="U2391" s="312"/>
    </row>
    <row r="2392">
      <c r="A2392" s="312"/>
      <c r="B2392" s="312"/>
      <c r="C2392" s="567"/>
      <c r="D2392" s="312"/>
      <c r="E2392" s="511"/>
      <c r="F2392" s="312"/>
      <c r="G2392" s="312"/>
      <c r="H2392" s="312"/>
      <c r="I2392" s="567"/>
      <c r="J2392" s="312" t="b">
        <v>0</v>
      </c>
      <c r="K2392" s="312"/>
      <c r="L2392" s="312"/>
      <c r="M2392" s="511"/>
      <c r="N2392" s="312"/>
      <c r="O2392" s="312"/>
      <c r="P2392" s="312"/>
      <c r="Q2392" s="312"/>
      <c r="R2392" s="312"/>
      <c r="S2392" s="312"/>
      <c r="T2392" s="312"/>
      <c r="U2392" s="312"/>
    </row>
    <row r="2393">
      <c r="A2393" s="312"/>
      <c r="B2393" s="312"/>
      <c r="C2393" s="567"/>
      <c r="D2393" s="312"/>
      <c r="E2393" s="511"/>
      <c r="F2393" s="312"/>
      <c r="G2393" s="312"/>
      <c r="H2393" s="312"/>
      <c r="I2393" s="567"/>
      <c r="J2393" s="312" t="b">
        <v>0</v>
      </c>
      <c r="K2393" s="312"/>
      <c r="L2393" s="312"/>
      <c r="M2393" s="511"/>
      <c r="N2393" s="312"/>
      <c r="O2393" s="312"/>
      <c r="P2393" s="312"/>
      <c r="Q2393" s="312"/>
      <c r="R2393" s="312"/>
      <c r="S2393" s="312"/>
      <c r="T2393" s="312"/>
      <c r="U2393" s="312"/>
    </row>
    <row r="2394">
      <c r="A2394" s="312"/>
      <c r="B2394" s="312"/>
      <c r="C2394" s="567"/>
      <c r="D2394" s="312"/>
      <c r="E2394" s="511"/>
      <c r="F2394" s="312"/>
      <c r="G2394" s="312"/>
      <c r="H2394" s="312"/>
      <c r="I2394" s="567"/>
      <c r="J2394" s="312" t="b">
        <v>0</v>
      </c>
      <c r="K2394" s="312"/>
      <c r="L2394" s="312"/>
      <c r="M2394" s="511"/>
      <c r="N2394" s="312"/>
      <c r="O2394" s="312"/>
      <c r="P2394" s="312"/>
      <c r="Q2394" s="312"/>
      <c r="R2394" s="312"/>
      <c r="S2394" s="312"/>
      <c r="T2394" s="312"/>
      <c r="U2394" s="312"/>
    </row>
    <row r="2395">
      <c r="A2395" s="312"/>
      <c r="B2395" s="312"/>
      <c r="C2395" s="567"/>
      <c r="D2395" s="312"/>
      <c r="E2395" s="511"/>
      <c r="F2395" s="312"/>
      <c r="G2395" s="312"/>
      <c r="H2395" s="312"/>
      <c r="I2395" s="567"/>
      <c r="J2395" s="312" t="b">
        <v>0</v>
      </c>
      <c r="K2395" s="312"/>
      <c r="L2395" s="312"/>
      <c r="M2395" s="511"/>
      <c r="N2395" s="312"/>
      <c r="O2395" s="312"/>
      <c r="P2395" s="312"/>
      <c r="Q2395" s="312"/>
      <c r="R2395" s="312"/>
      <c r="S2395" s="312"/>
      <c r="T2395" s="312"/>
      <c r="U2395" s="312"/>
    </row>
    <row r="2396">
      <c r="A2396" s="312"/>
      <c r="B2396" s="312"/>
      <c r="C2396" s="567"/>
      <c r="D2396" s="312"/>
      <c r="E2396" s="511"/>
      <c r="F2396" s="312"/>
      <c r="G2396" s="312"/>
      <c r="H2396" s="312"/>
      <c r="I2396" s="567"/>
      <c r="J2396" s="312" t="b">
        <v>0</v>
      </c>
      <c r="K2396" s="312"/>
      <c r="L2396" s="312"/>
      <c r="M2396" s="511"/>
      <c r="N2396" s="312"/>
      <c r="O2396" s="312"/>
      <c r="P2396" s="312"/>
      <c r="Q2396" s="312"/>
      <c r="R2396" s="312"/>
      <c r="S2396" s="312"/>
      <c r="T2396" s="312"/>
      <c r="U2396" s="312"/>
    </row>
    <row r="2397">
      <c r="A2397" s="312"/>
      <c r="B2397" s="312"/>
      <c r="C2397" s="567"/>
      <c r="D2397" s="312"/>
      <c r="E2397" s="511"/>
      <c r="F2397" s="312"/>
      <c r="G2397" s="312"/>
      <c r="H2397" s="312"/>
      <c r="I2397" s="567"/>
      <c r="J2397" s="312" t="b">
        <v>0</v>
      </c>
      <c r="K2397" s="312"/>
      <c r="L2397" s="312"/>
      <c r="M2397" s="511"/>
      <c r="N2397" s="312"/>
      <c r="O2397" s="312"/>
      <c r="P2397" s="312"/>
      <c r="Q2397" s="312"/>
      <c r="R2397" s="312"/>
      <c r="S2397" s="312"/>
      <c r="T2397" s="312"/>
      <c r="U2397" s="312"/>
    </row>
    <row r="2398">
      <c r="A2398" s="312"/>
      <c r="B2398" s="312"/>
      <c r="C2398" s="567"/>
      <c r="D2398" s="312"/>
      <c r="E2398" s="511"/>
      <c r="F2398" s="312"/>
      <c r="G2398" s="312"/>
      <c r="H2398" s="312"/>
      <c r="I2398" s="567"/>
      <c r="J2398" s="312" t="b">
        <v>0</v>
      </c>
      <c r="K2398" s="312"/>
      <c r="L2398" s="312"/>
      <c r="M2398" s="511"/>
      <c r="N2398" s="312"/>
      <c r="O2398" s="312"/>
      <c r="P2398" s="312"/>
      <c r="Q2398" s="312"/>
      <c r="R2398" s="312"/>
      <c r="S2398" s="312"/>
      <c r="T2398" s="312"/>
      <c r="U2398" s="312"/>
    </row>
    <row r="2399">
      <c r="A2399" s="312"/>
      <c r="B2399" s="312"/>
      <c r="C2399" s="567"/>
      <c r="D2399" s="312"/>
      <c r="E2399" s="511"/>
      <c r="F2399" s="312"/>
      <c r="G2399" s="312"/>
      <c r="H2399" s="312"/>
      <c r="I2399" s="567"/>
      <c r="J2399" s="312" t="b">
        <v>0</v>
      </c>
      <c r="K2399" s="312"/>
      <c r="L2399" s="312"/>
      <c r="M2399" s="511"/>
      <c r="N2399" s="312"/>
      <c r="O2399" s="312"/>
      <c r="P2399" s="312"/>
      <c r="Q2399" s="312"/>
      <c r="R2399" s="312"/>
      <c r="S2399" s="312"/>
      <c r="T2399" s="312"/>
      <c r="U2399" s="312"/>
    </row>
    <row r="2400">
      <c r="A2400" s="312"/>
      <c r="B2400" s="312"/>
      <c r="C2400" s="567"/>
      <c r="D2400" s="312"/>
      <c r="E2400" s="511"/>
      <c r="F2400" s="312"/>
      <c r="G2400" s="312"/>
      <c r="H2400" s="312"/>
      <c r="I2400" s="567"/>
      <c r="J2400" s="312" t="b">
        <v>0</v>
      </c>
      <c r="K2400" s="312"/>
      <c r="L2400" s="312"/>
      <c r="M2400" s="511"/>
      <c r="N2400" s="312"/>
      <c r="O2400" s="312"/>
      <c r="P2400" s="312"/>
      <c r="Q2400" s="312"/>
      <c r="R2400" s="312"/>
      <c r="S2400" s="312"/>
      <c r="T2400" s="312"/>
      <c r="U2400" s="312"/>
    </row>
    <row r="2401">
      <c r="A2401" s="312"/>
      <c r="B2401" s="312"/>
      <c r="C2401" s="567"/>
      <c r="D2401" s="312"/>
      <c r="E2401" s="511"/>
      <c r="F2401" s="312"/>
      <c r="G2401" s="312"/>
      <c r="H2401" s="312"/>
      <c r="I2401" s="567"/>
      <c r="J2401" s="312" t="b">
        <v>0</v>
      </c>
      <c r="K2401" s="312"/>
      <c r="L2401" s="312"/>
      <c r="M2401" s="511"/>
      <c r="N2401" s="312"/>
      <c r="O2401" s="312"/>
      <c r="P2401" s="312"/>
      <c r="Q2401" s="312"/>
      <c r="R2401" s="312"/>
      <c r="S2401" s="312"/>
      <c r="T2401" s="312"/>
      <c r="U2401" s="312"/>
    </row>
    <row r="2402">
      <c r="A2402" s="312"/>
      <c r="B2402" s="312"/>
      <c r="C2402" s="567"/>
      <c r="D2402" s="312"/>
      <c r="E2402" s="511"/>
      <c r="F2402" s="312"/>
      <c r="G2402" s="312"/>
      <c r="H2402" s="312"/>
      <c r="I2402" s="567"/>
      <c r="J2402" s="312" t="b">
        <v>0</v>
      </c>
      <c r="K2402" s="312"/>
      <c r="L2402" s="312"/>
      <c r="M2402" s="511"/>
      <c r="N2402" s="312"/>
      <c r="O2402" s="312"/>
      <c r="P2402" s="312"/>
      <c r="Q2402" s="312"/>
      <c r="R2402" s="312"/>
      <c r="S2402" s="312"/>
      <c r="T2402" s="312"/>
      <c r="U2402" s="312"/>
    </row>
    <row r="2403">
      <c r="A2403" s="312"/>
      <c r="B2403" s="312"/>
      <c r="C2403" s="567"/>
      <c r="D2403" s="312"/>
      <c r="E2403" s="511"/>
      <c r="F2403" s="312"/>
      <c r="G2403" s="312"/>
      <c r="H2403" s="312"/>
      <c r="I2403" s="567"/>
      <c r="J2403" s="312" t="b">
        <v>0</v>
      </c>
      <c r="K2403" s="312"/>
      <c r="L2403" s="312"/>
      <c r="M2403" s="511"/>
      <c r="N2403" s="312"/>
      <c r="O2403" s="312"/>
      <c r="P2403" s="312"/>
      <c r="Q2403" s="312"/>
      <c r="R2403" s="312"/>
      <c r="S2403" s="312"/>
      <c r="T2403" s="312"/>
      <c r="U2403" s="312"/>
    </row>
    <row r="2404">
      <c r="A2404" s="312"/>
      <c r="B2404" s="312"/>
      <c r="C2404" s="567"/>
      <c r="D2404" s="312"/>
      <c r="E2404" s="511"/>
      <c r="F2404" s="312"/>
      <c r="G2404" s="312"/>
      <c r="H2404" s="312"/>
      <c r="I2404" s="567"/>
      <c r="J2404" s="312" t="b">
        <v>0</v>
      </c>
      <c r="K2404" s="312"/>
      <c r="L2404" s="312"/>
      <c r="M2404" s="511"/>
      <c r="N2404" s="312"/>
      <c r="O2404" s="312"/>
      <c r="P2404" s="312"/>
      <c r="Q2404" s="312"/>
      <c r="R2404" s="312"/>
      <c r="S2404" s="312"/>
      <c r="T2404" s="312"/>
      <c r="U2404" s="312"/>
    </row>
    <row r="2405">
      <c r="A2405" s="312"/>
      <c r="B2405" s="312"/>
      <c r="C2405" s="567"/>
      <c r="D2405" s="312"/>
      <c r="E2405" s="511"/>
      <c r="F2405" s="312"/>
      <c r="G2405" s="312"/>
      <c r="H2405" s="312"/>
      <c r="I2405" s="567"/>
      <c r="J2405" s="312" t="b">
        <v>0</v>
      </c>
      <c r="K2405" s="312"/>
      <c r="L2405" s="312"/>
      <c r="M2405" s="511"/>
      <c r="N2405" s="312"/>
      <c r="O2405" s="312"/>
      <c r="P2405" s="312"/>
      <c r="Q2405" s="312"/>
      <c r="R2405" s="312"/>
      <c r="S2405" s="312"/>
      <c r="T2405" s="312"/>
      <c r="U2405" s="312"/>
    </row>
    <row r="2406">
      <c r="A2406" s="312"/>
      <c r="B2406" s="312"/>
      <c r="C2406" s="567"/>
      <c r="D2406" s="312"/>
      <c r="E2406" s="511"/>
      <c r="F2406" s="312"/>
      <c r="G2406" s="312"/>
      <c r="H2406" s="312"/>
      <c r="I2406" s="567"/>
      <c r="J2406" s="312" t="b">
        <v>0</v>
      </c>
      <c r="K2406" s="312"/>
      <c r="L2406" s="312"/>
      <c r="M2406" s="511"/>
      <c r="N2406" s="312"/>
      <c r="O2406" s="312"/>
      <c r="P2406" s="312"/>
      <c r="Q2406" s="312"/>
      <c r="R2406" s="312"/>
      <c r="S2406" s="312"/>
      <c r="T2406" s="312"/>
      <c r="U2406" s="312"/>
    </row>
    <row r="2407">
      <c r="A2407" s="312"/>
      <c r="B2407" s="312"/>
      <c r="C2407" s="567"/>
      <c r="D2407" s="312"/>
      <c r="E2407" s="511"/>
      <c r="F2407" s="312"/>
      <c r="G2407" s="312"/>
      <c r="H2407" s="312"/>
      <c r="I2407" s="567"/>
      <c r="J2407" s="312" t="b">
        <v>0</v>
      </c>
      <c r="K2407" s="312"/>
      <c r="L2407" s="312"/>
      <c r="M2407" s="511"/>
      <c r="N2407" s="312"/>
      <c r="O2407" s="312"/>
      <c r="P2407" s="312"/>
      <c r="Q2407" s="312"/>
      <c r="R2407" s="312"/>
      <c r="S2407" s="312"/>
      <c r="T2407" s="312"/>
      <c r="U2407" s="312"/>
    </row>
    <row r="2408">
      <c r="A2408" s="312"/>
      <c r="B2408" s="312"/>
      <c r="C2408" s="567"/>
      <c r="D2408" s="312"/>
      <c r="E2408" s="511"/>
      <c r="F2408" s="312"/>
      <c r="G2408" s="312"/>
      <c r="H2408" s="312"/>
      <c r="I2408" s="567"/>
      <c r="J2408" s="312" t="b">
        <v>0</v>
      </c>
      <c r="K2408" s="312"/>
      <c r="L2408" s="312"/>
      <c r="M2408" s="511"/>
      <c r="N2408" s="312"/>
      <c r="O2408" s="312"/>
      <c r="P2408" s="312"/>
      <c r="Q2408" s="312"/>
      <c r="R2408" s="312"/>
      <c r="S2408" s="312"/>
      <c r="T2408" s="312"/>
      <c r="U2408" s="312"/>
    </row>
    <row r="2409">
      <c r="A2409" s="312"/>
      <c r="B2409" s="312"/>
      <c r="C2409" s="567"/>
      <c r="D2409" s="312"/>
      <c r="E2409" s="511"/>
      <c r="F2409" s="312"/>
      <c r="G2409" s="312"/>
      <c r="H2409" s="312"/>
      <c r="I2409" s="567"/>
      <c r="J2409" s="312" t="b">
        <v>0</v>
      </c>
      <c r="K2409" s="312"/>
      <c r="L2409" s="312"/>
      <c r="M2409" s="511"/>
      <c r="N2409" s="312"/>
      <c r="O2409" s="312"/>
      <c r="P2409" s="312"/>
      <c r="Q2409" s="312"/>
      <c r="R2409" s="312"/>
      <c r="S2409" s="312"/>
      <c r="T2409" s="312"/>
      <c r="U2409" s="312"/>
    </row>
    <row r="2410">
      <c r="A2410" s="312"/>
      <c r="B2410" s="312"/>
      <c r="C2410" s="567"/>
      <c r="D2410" s="312"/>
      <c r="E2410" s="511"/>
      <c r="F2410" s="312"/>
      <c r="G2410" s="312"/>
      <c r="H2410" s="312"/>
      <c r="I2410" s="567"/>
      <c r="J2410" s="312" t="b">
        <v>0</v>
      </c>
      <c r="K2410" s="312"/>
      <c r="L2410" s="312"/>
      <c r="M2410" s="511"/>
      <c r="N2410" s="312"/>
      <c r="O2410" s="312"/>
      <c r="P2410" s="312"/>
      <c r="Q2410" s="312"/>
      <c r="R2410" s="312"/>
      <c r="S2410" s="312"/>
      <c r="T2410" s="312"/>
      <c r="U2410" s="312"/>
    </row>
    <row r="2411">
      <c r="A2411" s="312"/>
      <c r="B2411" s="312"/>
      <c r="C2411" s="567"/>
      <c r="D2411" s="312"/>
      <c r="E2411" s="511"/>
      <c r="F2411" s="312"/>
      <c r="G2411" s="312"/>
      <c r="H2411" s="312"/>
      <c r="I2411" s="567"/>
      <c r="J2411" s="312" t="b">
        <v>0</v>
      </c>
      <c r="K2411" s="312"/>
      <c r="L2411" s="312"/>
      <c r="M2411" s="511"/>
      <c r="N2411" s="312"/>
      <c r="O2411" s="312"/>
      <c r="P2411" s="312"/>
      <c r="Q2411" s="312"/>
      <c r="R2411" s="312"/>
      <c r="S2411" s="312"/>
      <c r="T2411" s="312"/>
      <c r="U2411" s="312"/>
    </row>
    <row r="2412">
      <c r="A2412" s="312"/>
      <c r="B2412" s="312"/>
      <c r="C2412" s="567"/>
      <c r="D2412" s="312"/>
      <c r="E2412" s="511"/>
      <c r="F2412" s="312"/>
      <c r="G2412" s="312"/>
      <c r="H2412" s="312"/>
      <c r="I2412" s="567"/>
      <c r="J2412" s="312" t="b">
        <v>0</v>
      </c>
      <c r="K2412" s="312"/>
      <c r="L2412" s="312"/>
      <c r="M2412" s="511"/>
      <c r="N2412" s="312"/>
      <c r="O2412" s="312"/>
      <c r="P2412" s="312"/>
      <c r="Q2412" s="312"/>
      <c r="R2412" s="312"/>
      <c r="S2412" s="312"/>
      <c r="T2412" s="312"/>
      <c r="U2412" s="312"/>
    </row>
    <row r="2413">
      <c r="A2413" s="312"/>
      <c r="B2413" s="312"/>
      <c r="C2413" s="567"/>
      <c r="D2413" s="312"/>
      <c r="E2413" s="511"/>
      <c r="F2413" s="312"/>
      <c r="G2413" s="312"/>
      <c r="H2413" s="312"/>
      <c r="I2413" s="567"/>
      <c r="J2413" s="312" t="b">
        <v>0</v>
      </c>
      <c r="K2413" s="312"/>
      <c r="L2413" s="312"/>
      <c r="M2413" s="511"/>
      <c r="N2413" s="312"/>
      <c r="O2413" s="312"/>
      <c r="P2413" s="312"/>
      <c r="Q2413" s="312"/>
      <c r="R2413" s="312"/>
      <c r="S2413" s="312"/>
      <c r="T2413" s="312"/>
      <c r="U2413" s="312"/>
    </row>
    <row r="2414">
      <c r="A2414" s="312"/>
      <c r="B2414" s="312"/>
      <c r="C2414" s="567"/>
      <c r="D2414" s="312"/>
      <c r="E2414" s="511"/>
      <c r="F2414" s="312"/>
      <c r="G2414" s="312"/>
      <c r="H2414" s="312"/>
      <c r="I2414" s="567"/>
      <c r="J2414" s="312" t="b">
        <v>0</v>
      </c>
      <c r="K2414" s="312"/>
      <c r="L2414" s="312"/>
      <c r="M2414" s="511"/>
      <c r="N2414" s="312"/>
      <c r="O2414" s="312"/>
      <c r="P2414" s="312"/>
      <c r="Q2414" s="312"/>
      <c r="R2414" s="312"/>
      <c r="S2414" s="312"/>
      <c r="T2414" s="312"/>
      <c r="U2414" s="312"/>
    </row>
    <row r="2415">
      <c r="A2415" s="312"/>
      <c r="B2415" s="312"/>
      <c r="C2415" s="567"/>
      <c r="D2415" s="312"/>
      <c r="E2415" s="511"/>
      <c r="F2415" s="312"/>
      <c r="G2415" s="312"/>
      <c r="H2415" s="312"/>
      <c r="I2415" s="567"/>
      <c r="J2415" s="312" t="b">
        <v>0</v>
      </c>
      <c r="K2415" s="312"/>
      <c r="L2415" s="312"/>
      <c r="M2415" s="511"/>
      <c r="N2415" s="312"/>
      <c r="O2415" s="312"/>
      <c r="P2415" s="312"/>
      <c r="Q2415" s="312"/>
      <c r="R2415" s="312"/>
      <c r="S2415" s="312"/>
      <c r="T2415" s="312"/>
      <c r="U2415" s="312"/>
    </row>
    <row r="2416">
      <c r="A2416" s="312"/>
      <c r="B2416" s="312"/>
      <c r="C2416" s="567"/>
      <c r="D2416" s="312"/>
      <c r="E2416" s="511"/>
      <c r="F2416" s="312"/>
      <c r="G2416" s="312"/>
      <c r="H2416" s="312"/>
      <c r="I2416" s="567"/>
      <c r="J2416" s="312" t="b">
        <v>0</v>
      </c>
      <c r="K2416" s="312"/>
      <c r="L2416" s="312"/>
      <c r="M2416" s="511"/>
      <c r="N2416" s="312"/>
      <c r="O2416" s="312"/>
      <c r="P2416" s="312"/>
      <c r="Q2416" s="312"/>
      <c r="R2416" s="312"/>
      <c r="S2416" s="312"/>
      <c r="T2416" s="312"/>
      <c r="U2416" s="312"/>
    </row>
    <row r="2417">
      <c r="A2417" s="312"/>
      <c r="B2417" s="312"/>
      <c r="C2417" s="567"/>
      <c r="D2417" s="312"/>
      <c r="E2417" s="511"/>
      <c r="F2417" s="312"/>
      <c r="G2417" s="312"/>
      <c r="H2417" s="312"/>
      <c r="I2417" s="567"/>
      <c r="J2417" s="312" t="b">
        <v>0</v>
      </c>
      <c r="K2417" s="312"/>
      <c r="L2417" s="312"/>
      <c r="M2417" s="511"/>
      <c r="N2417" s="312"/>
      <c r="O2417" s="312"/>
      <c r="P2417" s="312"/>
      <c r="Q2417" s="312"/>
      <c r="R2417" s="312"/>
      <c r="S2417" s="312"/>
      <c r="T2417" s="312"/>
      <c r="U2417" s="312"/>
    </row>
    <row r="2418">
      <c r="A2418" s="312"/>
      <c r="B2418" s="312"/>
      <c r="C2418" s="567"/>
      <c r="D2418" s="312"/>
      <c r="E2418" s="511"/>
      <c r="F2418" s="312"/>
      <c r="G2418" s="312"/>
      <c r="H2418" s="312"/>
      <c r="I2418" s="567"/>
      <c r="J2418" s="312" t="b">
        <v>0</v>
      </c>
      <c r="K2418" s="312"/>
      <c r="L2418" s="312"/>
      <c r="M2418" s="511"/>
      <c r="N2418" s="312"/>
      <c r="O2418" s="312"/>
      <c r="P2418" s="312"/>
      <c r="Q2418" s="312"/>
      <c r="R2418" s="312"/>
      <c r="S2418" s="312"/>
      <c r="T2418" s="312"/>
      <c r="U2418" s="312"/>
    </row>
    <row r="2419">
      <c r="A2419" s="312"/>
      <c r="B2419" s="312"/>
      <c r="C2419" s="567"/>
      <c r="D2419" s="312"/>
      <c r="E2419" s="511"/>
      <c r="F2419" s="312"/>
      <c r="G2419" s="312"/>
      <c r="H2419" s="312"/>
      <c r="I2419" s="567"/>
      <c r="J2419" s="312" t="b">
        <v>0</v>
      </c>
      <c r="K2419" s="312"/>
      <c r="L2419" s="312"/>
      <c r="M2419" s="511"/>
      <c r="N2419" s="312"/>
      <c r="O2419" s="312"/>
      <c r="P2419" s="312"/>
      <c r="Q2419" s="312"/>
      <c r="R2419" s="312"/>
      <c r="S2419" s="312"/>
      <c r="T2419" s="312"/>
      <c r="U2419" s="312"/>
    </row>
    <row r="2420">
      <c r="A2420" s="312"/>
      <c r="B2420" s="312"/>
      <c r="C2420" s="567"/>
      <c r="D2420" s="312"/>
      <c r="E2420" s="511"/>
      <c r="F2420" s="312"/>
      <c r="G2420" s="312"/>
      <c r="H2420" s="312"/>
      <c r="I2420" s="567"/>
      <c r="J2420" s="312" t="b">
        <v>0</v>
      </c>
      <c r="K2420" s="312"/>
      <c r="L2420" s="312"/>
      <c r="M2420" s="511"/>
      <c r="N2420" s="312"/>
      <c r="O2420" s="312"/>
      <c r="P2420" s="312"/>
      <c r="Q2420" s="312"/>
      <c r="R2420" s="312"/>
      <c r="S2420" s="312"/>
      <c r="T2420" s="312"/>
      <c r="U2420" s="312"/>
    </row>
    <row r="2421">
      <c r="A2421" s="312"/>
      <c r="B2421" s="312"/>
      <c r="C2421" s="567"/>
      <c r="D2421" s="312"/>
      <c r="E2421" s="511"/>
      <c r="F2421" s="312"/>
      <c r="G2421" s="312"/>
      <c r="H2421" s="312"/>
      <c r="I2421" s="567"/>
      <c r="J2421" s="312" t="b">
        <v>0</v>
      </c>
      <c r="K2421" s="312"/>
      <c r="L2421" s="312"/>
      <c r="M2421" s="511"/>
      <c r="N2421" s="312"/>
      <c r="O2421" s="312"/>
      <c r="P2421" s="312"/>
      <c r="Q2421" s="312"/>
      <c r="R2421" s="312"/>
      <c r="S2421" s="312"/>
      <c r="T2421" s="312"/>
      <c r="U2421" s="312"/>
    </row>
    <row r="2422">
      <c r="A2422" s="312"/>
      <c r="B2422" s="312"/>
      <c r="C2422" s="567"/>
      <c r="D2422" s="312"/>
      <c r="E2422" s="511"/>
      <c r="F2422" s="312"/>
      <c r="G2422" s="312"/>
      <c r="H2422" s="312"/>
      <c r="I2422" s="567"/>
      <c r="J2422" s="312" t="b">
        <v>0</v>
      </c>
      <c r="K2422" s="312"/>
      <c r="L2422" s="312"/>
      <c r="M2422" s="511"/>
      <c r="N2422" s="312"/>
      <c r="O2422" s="312"/>
      <c r="P2422" s="312"/>
      <c r="Q2422" s="312"/>
      <c r="R2422" s="312"/>
      <c r="S2422" s="312"/>
      <c r="T2422" s="312"/>
      <c r="U2422" s="312"/>
    </row>
    <row r="2423">
      <c r="A2423" s="312"/>
      <c r="B2423" s="312"/>
      <c r="C2423" s="567"/>
      <c r="D2423" s="312"/>
      <c r="E2423" s="511"/>
      <c r="F2423" s="312"/>
      <c r="G2423" s="312"/>
      <c r="H2423" s="312"/>
      <c r="I2423" s="567"/>
      <c r="J2423" s="312" t="b">
        <v>0</v>
      </c>
      <c r="K2423" s="312"/>
      <c r="L2423" s="312"/>
      <c r="M2423" s="511"/>
      <c r="N2423" s="312"/>
      <c r="O2423" s="312"/>
      <c r="P2423" s="312"/>
      <c r="Q2423" s="312"/>
      <c r="R2423" s="312"/>
      <c r="S2423" s="312"/>
      <c r="T2423" s="312"/>
      <c r="U2423" s="312"/>
    </row>
    <row r="2424">
      <c r="A2424" s="312"/>
      <c r="B2424" s="312"/>
      <c r="C2424" s="567"/>
      <c r="D2424" s="312"/>
      <c r="E2424" s="511"/>
      <c r="F2424" s="312"/>
      <c r="G2424" s="312"/>
      <c r="H2424" s="312"/>
      <c r="I2424" s="567"/>
      <c r="J2424" s="312" t="b">
        <v>0</v>
      </c>
      <c r="K2424" s="312"/>
      <c r="L2424" s="312"/>
      <c r="M2424" s="511"/>
      <c r="N2424" s="312"/>
      <c r="O2424" s="312"/>
      <c r="P2424" s="312"/>
      <c r="Q2424" s="312"/>
      <c r="R2424" s="312"/>
      <c r="S2424" s="312"/>
      <c r="T2424" s="312"/>
      <c r="U2424" s="312"/>
    </row>
    <row r="2425">
      <c r="A2425" s="312"/>
      <c r="B2425" s="312"/>
      <c r="C2425" s="567"/>
      <c r="D2425" s="312"/>
      <c r="E2425" s="511"/>
      <c r="F2425" s="312"/>
      <c r="G2425" s="312"/>
      <c r="H2425" s="312"/>
      <c r="I2425" s="567"/>
      <c r="J2425" s="312" t="b">
        <v>0</v>
      </c>
      <c r="K2425" s="312"/>
      <c r="L2425" s="312"/>
      <c r="M2425" s="511"/>
      <c r="N2425" s="312"/>
      <c r="O2425" s="312"/>
      <c r="P2425" s="312"/>
      <c r="Q2425" s="312"/>
      <c r="R2425" s="312"/>
      <c r="S2425" s="312"/>
      <c r="T2425" s="312"/>
      <c r="U2425" s="312"/>
    </row>
    <row r="2426">
      <c r="A2426" s="312"/>
      <c r="B2426" s="312"/>
      <c r="C2426" s="567"/>
      <c r="D2426" s="312"/>
      <c r="E2426" s="511"/>
      <c r="F2426" s="312"/>
      <c r="G2426" s="312"/>
      <c r="H2426" s="312"/>
      <c r="I2426" s="567"/>
      <c r="J2426" s="312" t="b">
        <v>0</v>
      </c>
      <c r="K2426" s="312"/>
      <c r="L2426" s="312"/>
      <c r="M2426" s="511"/>
      <c r="N2426" s="312"/>
      <c r="O2426" s="312"/>
      <c r="P2426" s="312"/>
      <c r="Q2426" s="312"/>
      <c r="R2426" s="312"/>
      <c r="S2426" s="312"/>
      <c r="T2426" s="312"/>
      <c r="U2426" s="312"/>
    </row>
    <row r="2427">
      <c r="A2427" s="312"/>
      <c r="B2427" s="312"/>
      <c r="C2427" s="567"/>
      <c r="D2427" s="312"/>
      <c r="E2427" s="511"/>
      <c r="F2427" s="312"/>
      <c r="G2427" s="312"/>
      <c r="H2427" s="312"/>
      <c r="I2427" s="567"/>
      <c r="J2427" s="312" t="b">
        <v>0</v>
      </c>
      <c r="K2427" s="312"/>
      <c r="L2427" s="312"/>
      <c r="M2427" s="511"/>
      <c r="N2427" s="312"/>
      <c r="O2427" s="312"/>
      <c r="P2427" s="312"/>
      <c r="Q2427" s="312"/>
      <c r="R2427" s="312"/>
      <c r="S2427" s="312"/>
      <c r="T2427" s="312"/>
      <c r="U2427" s="312"/>
    </row>
    <row r="2428">
      <c r="A2428" s="312"/>
      <c r="B2428" s="312"/>
      <c r="C2428" s="567"/>
      <c r="D2428" s="312"/>
      <c r="E2428" s="511"/>
      <c r="F2428" s="312"/>
      <c r="G2428" s="312"/>
      <c r="H2428" s="312"/>
      <c r="I2428" s="567"/>
      <c r="J2428" s="312" t="b">
        <v>0</v>
      </c>
      <c r="K2428" s="312"/>
      <c r="L2428" s="312"/>
      <c r="M2428" s="511"/>
      <c r="N2428" s="312"/>
      <c r="O2428" s="312"/>
      <c r="P2428" s="312"/>
      <c r="Q2428" s="312"/>
      <c r="R2428" s="312"/>
      <c r="S2428" s="312"/>
      <c r="T2428" s="312"/>
      <c r="U2428" s="312"/>
    </row>
    <row r="2429">
      <c r="A2429" s="312"/>
      <c r="B2429" s="312"/>
      <c r="C2429" s="567"/>
      <c r="D2429" s="312"/>
      <c r="E2429" s="511"/>
      <c r="F2429" s="312"/>
      <c r="G2429" s="312"/>
      <c r="H2429" s="312"/>
      <c r="I2429" s="567"/>
      <c r="J2429" s="312" t="b">
        <v>0</v>
      </c>
      <c r="K2429" s="312"/>
      <c r="L2429" s="312"/>
      <c r="M2429" s="511"/>
      <c r="N2429" s="312"/>
      <c r="O2429" s="312"/>
      <c r="P2429" s="312"/>
      <c r="Q2429" s="312"/>
      <c r="R2429" s="312"/>
      <c r="S2429" s="312"/>
      <c r="T2429" s="312"/>
      <c r="U2429" s="312"/>
    </row>
    <row r="2430">
      <c r="A2430" s="312"/>
      <c r="B2430" s="312"/>
      <c r="C2430" s="567"/>
      <c r="D2430" s="312"/>
      <c r="E2430" s="511"/>
      <c r="F2430" s="312"/>
      <c r="G2430" s="312"/>
      <c r="H2430" s="312"/>
      <c r="I2430" s="567"/>
      <c r="J2430" s="312" t="b">
        <v>0</v>
      </c>
      <c r="K2430" s="312"/>
      <c r="L2430" s="312"/>
      <c r="M2430" s="511"/>
      <c r="N2430" s="312"/>
      <c r="O2430" s="312"/>
      <c r="P2430" s="312"/>
      <c r="Q2430" s="312"/>
      <c r="R2430" s="312"/>
      <c r="S2430" s="312"/>
      <c r="T2430" s="312"/>
      <c r="U2430" s="312"/>
    </row>
    <row r="2431">
      <c r="A2431" s="312"/>
      <c r="B2431" s="312"/>
      <c r="C2431" s="567"/>
      <c r="D2431" s="312"/>
      <c r="E2431" s="511"/>
      <c r="F2431" s="312"/>
      <c r="G2431" s="312"/>
      <c r="H2431" s="312"/>
      <c r="I2431" s="567"/>
      <c r="J2431" s="312" t="b">
        <v>0</v>
      </c>
      <c r="K2431" s="312"/>
      <c r="L2431" s="312"/>
      <c r="M2431" s="511"/>
      <c r="N2431" s="312"/>
      <c r="O2431" s="312"/>
      <c r="P2431" s="312"/>
      <c r="Q2431" s="312"/>
      <c r="R2431" s="312"/>
      <c r="S2431" s="312"/>
      <c r="T2431" s="312"/>
      <c r="U2431" s="312"/>
    </row>
    <row r="2432">
      <c r="A2432" s="312"/>
      <c r="B2432" s="312"/>
      <c r="C2432" s="567"/>
      <c r="D2432" s="312"/>
      <c r="E2432" s="511"/>
      <c r="F2432" s="312"/>
      <c r="G2432" s="312"/>
      <c r="H2432" s="312"/>
      <c r="I2432" s="567"/>
      <c r="J2432" s="312" t="b">
        <v>0</v>
      </c>
      <c r="K2432" s="312"/>
      <c r="L2432" s="312"/>
      <c r="M2432" s="511"/>
      <c r="N2432" s="312"/>
      <c r="O2432" s="312"/>
      <c r="P2432" s="312"/>
      <c r="Q2432" s="312"/>
      <c r="R2432" s="312"/>
      <c r="S2432" s="312"/>
      <c r="T2432" s="312"/>
      <c r="U2432" s="312"/>
    </row>
    <row r="2433">
      <c r="A2433" s="312"/>
      <c r="B2433" s="312"/>
      <c r="C2433" s="567"/>
      <c r="D2433" s="312"/>
      <c r="E2433" s="511"/>
      <c r="F2433" s="312"/>
      <c r="G2433" s="312"/>
      <c r="H2433" s="312"/>
      <c r="I2433" s="567"/>
      <c r="J2433" s="312" t="b">
        <v>0</v>
      </c>
      <c r="K2433" s="312"/>
      <c r="L2433" s="312"/>
      <c r="M2433" s="511"/>
      <c r="N2433" s="312"/>
      <c r="O2433" s="312"/>
      <c r="P2433" s="312"/>
      <c r="Q2433" s="312"/>
      <c r="R2433" s="312"/>
      <c r="S2433" s="312"/>
      <c r="T2433" s="312"/>
      <c r="U2433" s="312"/>
    </row>
    <row r="2434">
      <c r="A2434" s="312"/>
      <c r="B2434" s="312"/>
      <c r="C2434" s="567"/>
      <c r="D2434" s="312"/>
      <c r="E2434" s="511"/>
      <c r="F2434" s="312"/>
      <c r="G2434" s="312"/>
      <c r="H2434" s="312"/>
      <c r="I2434" s="567"/>
      <c r="J2434" s="312" t="b">
        <v>0</v>
      </c>
      <c r="K2434" s="312"/>
      <c r="L2434" s="312"/>
      <c r="M2434" s="511"/>
      <c r="N2434" s="312"/>
      <c r="O2434" s="312"/>
      <c r="P2434" s="312"/>
      <c r="Q2434" s="312"/>
      <c r="R2434" s="312"/>
      <c r="S2434" s="312"/>
      <c r="T2434" s="312"/>
      <c r="U2434" s="312"/>
    </row>
    <row r="2435">
      <c r="A2435" s="312"/>
      <c r="B2435" s="312"/>
      <c r="C2435" s="567"/>
      <c r="D2435" s="312"/>
      <c r="E2435" s="511"/>
      <c r="F2435" s="312"/>
      <c r="G2435" s="312"/>
      <c r="H2435" s="312"/>
      <c r="I2435" s="567"/>
      <c r="J2435" s="312" t="b">
        <v>0</v>
      </c>
      <c r="K2435" s="312"/>
      <c r="L2435" s="312"/>
      <c r="M2435" s="511"/>
      <c r="N2435" s="312"/>
      <c r="O2435" s="312"/>
      <c r="P2435" s="312"/>
      <c r="Q2435" s="312"/>
      <c r="R2435" s="312"/>
      <c r="S2435" s="312"/>
      <c r="T2435" s="312"/>
      <c r="U2435" s="312"/>
    </row>
    <row r="2436">
      <c r="A2436" s="312"/>
      <c r="B2436" s="312"/>
      <c r="C2436" s="567"/>
      <c r="D2436" s="312"/>
      <c r="E2436" s="511"/>
      <c r="F2436" s="312"/>
      <c r="G2436" s="312"/>
      <c r="H2436" s="312"/>
      <c r="I2436" s="567"/>
      <c r="J2436" s="312" t="b">
        <v>0</v>
      </c>
      <c r="K2436" s="312"/>
      <c r="L2436" s="312"/>
      <c r="M2436" s="511"/>
      <c r="N2436" s="312"/>
      <c r="O2436" s="312"/>
      <c r="P2436" s="312"/>
      <c r="Q2436" s="312"/>
      <c r="R2436" s="312"/>
      <c r="S2436" s="312"/>
      <c r="T2436" s="312"/>
      <c r="U2436" s="312"/>
    </row>
    <row r="2437">
      <c r="A2437" s="312"/>
      <c r="B2437" s="312"/>
      <c r="C2437" s="567"/>
      <c r="D2437" s="312"/>
      <c r="E2437" s="511"/>
      <c r="F2437" s="312"/>
      <c r="G2437" s="312"/>
      <c r="H2437" s="312"/>
      <c r="I2437" s="567"/>
      <c r="J2437" s="312" t="b">
        <v>0</v>
      </c>
      <c r="K2437" s="312"/>
      <c r="L2437" s="312"/>
      <c r="M2437" s="511"/>
      <c r="N2437" s="312"/>
      <c r="O2437" s="312"/>
      <c r="P2437" s="312"/>
      <c r="Q2437" s="312"/>
      <c r="R2437" s="312"/>
      <c r="S2437" s="312"/>
      <c r="T2437" s="312"/>
      <c r="U2437" s="312"/>
    </row>
    <row r="2438">
      <c r="A2438" s="312"/>
      <c r="B2438" s="312"/>
      <c r="C2438" s="567"/>
      <c r="D2438" s="312"/>
      <c r="E2438" s="511"/>
      <c r="F2438" s="312"/>
      <c r="G2438" s="312"/>
      <c r="H2438" s="312"/>
      <c r="I2438" s="567"/>
      <c r="J2438" s="312" t="b">
        <v>0</v>
      </c>
      <c r="K2438" s="312"/>
      <c r="L2438" s="312"/>
      <c r="M2438" s="511"/>
      <c r="N2438" s="312"/>
      <c r="O2438" s="312"/>
      <c r="P2438" s="312"/>
      <c r="Q2438" s="312"/>
      <c r="R2438" s="312"/>
      <c r="S2438" s="312"/>
      <c r="T2438" s="312"/>
      <c r="U2438" s="312"/>
    </row>
    <row r="2439">
      <c r="A2439" s="312"/>
      <c r="B2439" s="312"/>
      <c r="C2439" s="567"/>
      <c r="D2439" s="312"/>
      <c r="E2439" s="511"/>
      <c r="F2439" s="312"/>
      <c r="G2439" s="312"/>
      <c r="H2439" s="312"/>
      <c r="I2439" s="567"/>
      <c r="J2439" s="312" t="b">
        <v>0</v>
      </c>
      <c r="K2439" s="312"/>
      <c r="L2439" s="312"/>
      <c r="M2439" s="511"/>
      <c r="N2439" s="312"/>
      <c r="O2439" s="312"/>
      <c r="P2439" s="312"/>
      <c r="Q2439" s="312"/>
      <c r="R2439" s="312"/>
      <c r="S2439" s="312"/>
      <c r="T2439" s="312"/>
      <c r="U2439" s="312"/>
    </row>
    <row r="2440">
      <c r="A2440" s="312"/>
      <c r="B2440" s="312"/>
      <c r="C2440" s="567"/>
      <c r="D2440" s="312"/>
      <c r="E2440" s="511"/>
      <c r="F2440" s="312"/>
      <c r="G2440" s="312"/>
      <c r="H2440" s="312"/>
      <c r="I2440" s="567"/>
      <c r="J2440" s="312" t="b">
        <v>0</v>
      </c>
      <c r="K2440" s="312"/>
      <c r="L2440" s="312"/>
      <c r="M2440" s="511"/>
      <c r="N2440" s="312"/>
      <c r="O2440" s="312"/>
      <c r="P2440" s="312"/>
      <c r="Q2440" s="312"/>
      <c r="R2440" s="312"/>
      <c r="S2440" s="312"/>
      <c r="T2440" s="312"/>
      <c r="U2440" s="312"/>
    </row>
    <row r="2441">
      <c r="A2441" s="312"/>
      <c r="B2441" s="312"/>
      <c r="C2441" s="567"/>
      <c r="D2441" s="312"/>
      <c r="E2441" s="511"/>
      <c r="F2441" s="312"/>
      <c r="G2441" s="312"/>
      <c r="H2441" s="312"/>
      <c r="I2441" s="567"/>
      <c r="J2441" s="312" t="b">
        <v>0</v>
      </c>
      <c r="K2441" s="312"/>
      <c r="L2441" s="312"/>
      <c r="M2441" s="511"/>
      <c r="N2441" s="312"/>
      <c r="O2441" s="312"/>
      <c r="P2441" s="312"/>
      <c r="Q2441" s="312"/>
      <c r="R2441" s="312"/>
      <c r="S2441" s="312"/>
      <c r="T2441" s="312"/>
      <c r="U2441" s="312"/>
    </row>
    <row r="2442">
      <c r="A2442" s="312"/>
      <c r="B2442" s="312"/>
      <c r="C2442" s="567"/>
      <c r="D2442" s="312"/>
      <c r="E2442" s="511"/>
      <c r="F2442" s="312"/>
      <c r="G2442" s="312"/>
      <c r="H2442" s="312"/>
      <c r="I2442" s="567"/>
      <c r="J2442" s="312" t="b">
        <v>0</v>
      </c>
      <c r="K2442" s="312"/>
      <c r="L2442" s="312"/>
      <c r="M2442" s="511"/>
      <c r="N2442" s="312"/>
      <c r="O2442" s="312"/>
      <c r="P2442" s="312"/>
      <c r="Q2442" s="312"/>
      <c r="R2442" s="312"/>
      <c r="S2442" s="312"/>
      <c r="T2442" s="312"/>
      <c r="U2442" s="312"/>
    </row>
    <row r="2443">
      <c r="A2443" s="312"/>
      <c r="B2443" s="312"/>
      <c r="C2443" s="567"/>
      <c r="D2443" s="312"/>
      <c r="E2443" s="511"/>
      <c r="F2443" s="312"/>
      <c r="G2443" s="312"/>
      <c r="H2443" s="312"/>
      <c r="I2443" s="567"/>
      <c r="J2443" s="312" t="b">
        <v>0</v>
      </c>
      <c r="K2443" s="312"/>
      <c r="L2443" s="312"/>
      <c r="M2443" s="511"/>
      <c r="N2443" s="312"/>
      <c r="O2443" s="312"/>
      <c r="P2443" s="312"/>
      <c r="Q2443" s="312"/>
      <c r="R2443" s="312"/>
      <c r="S2443" s="312"/>
      <c r="T2443" s="312"/>
      <c r="U2443" s="312"/>
    </row>
    <row r="2444">
      <c r="A2444" s="312"/>
      <c r="B2444" s="312"/>
      <c r="C2444" s="567"/>
      <c r="D2444" s="312"/>
      <c r="E2444" s="511"/>
      <c r="F2444" s="312"/>
      <c r="G2444" s="312"/>
      <c r="H2444" s="312"/>
      <c r="I2444" s="567"/>
      <c r="J2444" s="312" t="b">
        <v>0</v>
      </c>
      <c r="K2444" s="312"/>
      <c r="L2444" s="312"/>
      <c r="M2444" s="511"/>
      <c r="N2444" s="312"/>
      <c r="O2444" s="312"/>
      <c r="P2444" s="312"/>
      <c r="Q2444" s="312"/>
      <c r="R2444" s="312"/>
      <c r="S2444" s="312"/>
      <c r="T2444" s="312"/>
      <c r="U2444" s="312"/>
    </row>
    <row r="2445">
      <c r="A2445" s="312"/>
      <c r="B2445" s="312"/>
      <c r="C2445" s="567"/>
      <c r="D2445" s="312"/>
      <c r="E2445" s="511"/>
      <c r="F2445" s="312"/>
      <c r="G2445" s="312"/>
      <c r="H2445" s="312"/>
      <c r="I2445" s="567"/>
      <c r="J2445" s="312" t="b">
        <v>0</v>
      </c>
      <c r="K2445" s="312"/>
      <c r="L2445" s="312"/>
      <c r="M2445" s="511"/>
      <c r="N2445" s="312"/>
      <c r="O2445" s="312"/>
      <c r="P2445" s="312"/>
      <c r="Q2445" s="312"/>
      <c r="R2445" s="312"/>
      <c r="S2445" s="312"/>
      <c r="T2445" s="312"/>
      <c r="U2445" s="312"/>
    </row>
    <row r="2446">
      <c r="A2446" s="312"/>
      <c r="B2446" s="312"/>
      <c r="C2446" s="567"/>
      <c r="D2446" s="312"/>
      <c r="E2446" s="511"/>
      <c r="F2446" s="312"/>
      <c r="G2446" s="312"/>
      <c r="H2446" s="312"/>
      <c r="I2446" s="567"/>
      <c r="J2446" s="312" t="b">
        <v>0</v>
      </c>
      <c r="K2446" s="312"/>
      <c r="L2446" s="312"/>
      <c r="M2446" s="511"/>
      <c r="N2446" s="312"/>
      <c r="O2446" s="312"/>
      <c r="P2446" s="312"/>
      <c r="Q2446" s="312"/>
      <c r="R2446" s="312"/>
      <c r="S2446" s="312"/>
      <c r="T2446" s="312"/>
      <c r="U2446" s="312"/>
    </row>
    <row r="2447">
      <c r="A2447" s="312"/>
      <c r="B2447" s="312"/>
      <c r="C2447" s="567"/>
      <c r="D2447" s="312"/>
      <c r="E2447" s="511"/>
      <c r="F2447" s="312"/>
      <c r="G2447" s="312"/>
      <c r="H2447" s="312"/>
      <c r="I2447" s="567"/>
      <c r="J2447" s="312" t="b">
        <v>0</v>
      </c>
      <c r="K2447" s="312"/>
      <c r="L2447" s="312"/>
      <c r="M2447" s="511"/>
      <c r="N2447" s="312"/>
      <c r="O2447" s="312"/>
      <c r="P2447" s="312"/>
      <c r="Q2447" s="312"/>
      <c r="R2447" s="312"/>
      <c r="S2447" s="312"/>
      <c r="T2447" s="312"/>
      <c r="U2447" s="312"/>
    </row>
    <row r="2448">
      <c r="A2448" s="312"/>
      <c r="B2448" s="312"/>
      <c r="C2448" s="567"/>
      <c r="D2448" s="312"/>
      <c r="E2448" s="511"/>
      <c r="F2448" s="312"/>
      <c r="G2448" s="312"/>
      <c r="H2448" s="312"/>
      <c r="I2448" s="567"/>
      <c r="J2448" s="312" t="b">
        <v>0</v>
      </c>
      <c r="K2448" s="312"/>
      <c r="L2448" s="312"/>
      <c r="M2448" s="511"/>
      <c r="N2448" s="312"/>
      <c r="O2448" s="312"/>
      <c r="P2448" s="312"/>
      <c r="Q2448" s="312"/>
      <c r="R2448" s="312"/>
      <c r="S2448" s="312"/>
      <c r="T2448" s="312"/>
      <c r="U2448" s="312"/>
    </row>
    <row r="2449">
      <c r="A2449" s="312"/>
      <c r="B2449" s="312"/>
      <c r="C2449" s="567"/>
      <c r="D2449" s="312"/>
      <c r="E2449" s="511"/>
      <c r="F2449" s="312"/>
      <c r="G2449" s="312"/>
      <c r="H2449" s="312"/>
      <c r="I2449" s="567"/>
      <c r="J2449" s="312" t="b">
        <v>0</v>
      </c>
      <c r="K2449" s="312"/>
      <c r="L2449" s="312"/>
      <c r="M2449" s="511"/>
      <c r="N2449" s="312"/>
      <c r="O2449" s="312"/>
      <c r="P2449" s="312"/>
      <c r="Q2449" s="312"/>
      <c r="R2449" s="312"/>
      <c r="S2449" s="312"/>
      <c r="T2449" s="312"/>
      <c r="U2449" s="312"/>
    </row>
    <row r="2450">
      <c r="A2450" s="312"/>
      <c r="B2450" s="312"/>
      <c r="C2450" s="567"/>
      <c r="D2450" s="312"/>
      <c r="E2450" s="511"/>
      <c r="F2450" s="312"/>
      <c r="G2450" s="312"/>
      <c r="H2450" s="312"/>
      <c r="I2450" s="567"/>
      <c r="J2450" s="312" t="b">
        <v>0</v>
      </c>
      <c r="K2450" s="312"/>
      <c r="L2450" s="312"/>
      <c r="M2450" s="511"/>
      <c r="N2450" s="312"/>
      <c r="O2450" s="312"/>
      <c r="P2450" s="312"/>
      <c r="Q2450" s="312"/>
      <c r="R2450" s="312"/>
      <c r="S2450" s="312"/>
      <c r="T2450" s="312"/>
      <c r="U2450" s="312"/>
    </row>
    <row r="2451">
      <c r="A2451" s="312"/>
      <c r="B2451" s="312"/>
      <c r="C2451" s="567"/>
      <c r="D2451" s="312"/>
      <c r="E2451" s="511"/>
      <c r="F2451" s="312"/>
      <c r="G2451" s="312"/>
      <c r="H2451" s="312"/>
      <c r="I2451" s="567"/>
      <c r="J2451" s="312" t="b">
        <v>0</v>
      </c>
      <c r="K2451" s="312"/>
      <c r="L2451" s="312"/>
      <c r="M2451" s="511"/>
      <c r="N2451" s="312"/>
      <c r="O2451" s="312"/>
      <c r="P2451" s="312"/>
      <c r="Q2451" s="312"/>
      <c r="R2451" s="312"/>
      <c r="S2451" s="312"/>
      <c r="T2451" s="312"/>
      <c r="U2451" s="312"/>
    </row>
    <row r="2452">
      <c r="A2452" s="312"/>
      <c r="B2452" s="312"/>
      <c r="C2452" s="567"/>
      <c r="D2452" s="312"/>
      <c r="E2452" s="511"/>
      <c r="F2452" s="312"/>
      <c r="G2452" s="312"/>
      <c r="H2452" s="312"/>
      <c r="I2452" s="567"/>
      <c r="J2452" s="312" t="b">
        <v>0</v>
      </c>
      <c r="K2452" s="312"/>
      <c r="L2452" s="312"/>
      <c r="M2452" s="511"/>
      <c r="N2452" s="312"/>
      <c r="O2452" s="312"/>
      <c r="P2452" s="312"/>
      <c r="Q2452" s="312"/>
      <c r="R2452" s="312"/>
      <c r="S2452" s="312"/>
      <c r="T2452" s="312"/>
      <c r="U2452" s="312"/>
    </row>
    <row r="2453">
      <c r="A2453" s="312"/>
      <c r="B2453" s="312"/>
      <c r="C2453" s="567"/>
      <c r="D2453" s="312"/>
      <c r="E2453" s="511"/>
      <c r="F2453" s="312"/>
      <c r="G2453" s="312"/>
      <c r="H2453" s="312"/>
      <c r="I2453" s="567"/>
      <c r="J2453" s="312" t="b">
        <v>0</v>
      </c>
      <c r="K2453" s="312"/>
      <c r="L2453" s="312"/>
      <c r="M2453" s="511"/>
      <c r="N2453" s="312"/>
      <c r="O2453" s="312"/>
      <c r="P2453" s="312"/>
      <c r="Q2453" s="312"/>
      <c r="R2453" s="312"/>
      <c r="S2453" s="312"/>
      <c r="T2453" s="312"/>
      <c r="U2453" s="312"/>
    </row>
    <row r="2454">
      <c r="A2454" s="312"/>
      <c r="B2454" s="312"/>
      <c r="C2454" s="567"/>
      <c r="D2454" s="312"/>
      <c r="E2454" s="511"/>
      <c r="F2454" s="312"/>
      <c r="G2454" s="312"/>
      <c r="H2454" s="312"/>
      <c r="I2454" s="567"/>
      <c r="J2454" s="312" t="b">
        <v>0</v>
      </c>
      <c r="K2454" s="312"/>
      <c r="L2454" s="312"/>
      <c r="M2454" s="511"/>
      <c r="N2454" s="312"/>
      <c r="O2454" s="312"/>
      <c r="P2454" s="312"/>
      <c r="Q2454" s="312"/>
      <c r="R2454" s="312"/>
      <c r="S2454" s="312"/>
      <c r="T2454" s="312"/>
      <c r="U2454" s="312"/>
    </row>
    <row r="2455">
      <c r="A2455" s="312"/>
      <c r="B2455" s="312"/>
      <c r="C2455" s="567"/>
      <c r="D2455" s="312"/>
      <c r="E2455" s="511"/>
      <c r="F2455" s="312"/>
      <c r="G2455" s="312"/>
      <c r="H2455" s="312"/>
      <c r="I2455" s="567"/>
      <c r="J2455" s="312" t="b">
        <v>0</v>
      </c>
      <c r="K2455" s="312"/>
      <c r="L2455" s="312"/>
      <c r="M2455" s="511"/>
      <c r="N2455" s="312"/>
      <c r="O2455" s="312"/>
      <c r="P2455" s="312"/>
      <c r="Q2455" s="312"/>
      <c r="R2455" s="312"/>
      <c r="S2455" s="312"/>
      <c r="T2455" s="312"/>
      <c r="U2455" s="312"/>
    </row>
    <row r="2456">
      <c r="A2456" s="312"/>
      <c r="B2456" s="312"/>
      <c r="C2456" s="567"/>
      <c r="D2456" s="312"/>
      <c r="E2456" s="511"/>
      <c r="F2456" s="312"/>
      <c r="G2456" s="312"/>
      <c r="H2456" s="312"/>
      <c r="I2456" s="567"/>
      <c r="J2456" s="312" t="b">
        <v>0</v>
      </c>
      <c r="K2456" s="312"/>
      <c r="L2456" s="312"/>
      <c r="M2456" s="511"/>
      <c r="N2456" s="312"/>
      <c r="O2456" s="312"/>
      <c r="P2456" s="312"/>
      <c r="Q2456" s="312"/>
      <c r="R2456" s="312"/>
      <c r="S2456" s="312"/>
      <c r="T2456" s="312"/>
      <c r="U2456" s="312"/>
    </row>
    <row r="2457">
      <c r="A2457" s="312"/>
      <c r="B2457" s="312"/>
      <c r="C2457" s="567"/>
      <c r="D2457" s="312"/>
      <c r="E2457" s="511"/>
      <c r="F2457" s="312"/>
      <c r="G2457" s="312"/>
      <c r="H2457" s="312"/>
      <c r="I2457" s="567"/>
      <c r="J2457" s="312" t="b">
        <v>0</v>
      </c>
      <c r="K2457" s="312"/>
      <c r="L2457" s="312"/>
      <c r="M2457" s="511"/>
      <c r="N2457" s="312"/>
      <c r="O2457" s="312"/>
      <c r="P2457" s="312"/>
      <c r="Q2457" s="312"/>
      <c r="R2457" s="312"/>
      <c r="S2457" s="312"/>
      <c r="T2457" s="312"/>
      <c r="U2457" s="312"/>
    </row>
    <row r="2458">
      <c r="A2458" s="312"/>
      <c r="B2458" s="312"/>
      <c r="C2458" s="567"/>
      <c r="D2458" s="312"/>
      <c r="E2458" s="511"/>
      <c r="F2458" s="312"/>
      <c r="G2458" s="312"/>
      <c r="H2458" s="312"/>
      <c r="I2458" s="567"/>
      <c r="J2458" s="312" t="b">
        <v>0</v>
      </c>
      <c r="K2458" s="312"/>
      <c r="L2458" s="312"/>
      <c r="M2458" s="511"/>
      <c r="N2458" s="312"/>
      <c r="O2458" s="312"/>
      <c r="P2458" s="312"/>
      <c r="Q2458" s="312"/>
      <c r="R2458" s="312"/>
      <c r="S2458" s="312"/>
      <c r="T2458" s="312"/>
      <c r="U2458" s="312"/>
    </row>
    <row r="2459">
      <c r="A2459" s="312"/>
      <c r="B2459" s="312"/>
      <c r="C2459" s="567"/>
      <c r="D2459" s="312"/>
      <c r="E2459" s="511"/>
      <c r="F2459" s="312"/>
      <c r="G2459" s="312"/>
      <c r="H2459" s="312"/>
      <c r="I2459" s="567"/>
      <c r="J2459" s="312" t="b">
        <v>0</v>
      </c>
      <c r="K2459" s="312"/>
      <c r="L2459" s="312"/>
      <c r="M2459" s="511"/>
      <c r="N2459" s="312"/>
      <c r="O2459" s="312"/>
      <c r="P2459" s="312"/>
      <c r="Q2459" s="312"/>
      <c r="R2459" s="312"/>
      <c r="S2459" s="312"/>
      <c r="T2459" s="312"/>
      <c r="U2459" s="312"/>
    </row>
    <row r="2460">
      <c r="A2460" s="312"/>
      <c r="B2460" s="312"/>
      <c r="C2460" s="567"/>
      <c r="D2460" s="312"/>
      <c r="E2460" s="511"/>
      <c r="F2460" s="312"/>
      <c r="G2460" s="312"/>
      <c r="H2460" s="312"/>
      <c r="I2460" s="567"/>
      <c r="J2460" s="312" t="b">
        <v>0</v>
      </c>
      <c r="K2460" s="312"/>
      <c r="L2460" s="312"/>
      <c r="M2460" s="511"/>
      <c r="N2460" s="312"/>
      <c r="O2460" s="312"/>
      <c r="P2460" s="312"/>
      <c r="Q2460" s="312"/>
      <c r="R2460" s="312"/>
      <c r="S2460" s="312"/>
      <c r="T2460" s="312"/>
      <c r="U2460" s="312"/>
    </row>
    <row r="2461">
      <c r="A2461" s="312"/>
      <c r="B2461" s="312"/>
      <c r="C2461" s="567"/>
      <c r="D2461" s="312"/>
      <c r="E2461" s="511"/>
      <c r="F2461" s="312"/>
      <c r="G2461" s="312"/>
      <c r="H2461" s="312"/>
      <c r="I2461" s="567"/>
      <c r="J2461" s="312" t="b">
        <v>0</v>
      </c>
      <c r="K2461" s="312"/>
      <c r="L2461" s="312"/>
      <c r="M2461" s="511"/>
      <c r="N2461" s="312"/>
      <c r="O2461" s="312"/>
      <c r="P2461" s="312"/>
      <c r="Q2461" s="312"/>
      <c r="R2461" s="312"/>
      <c r="S2461" s="312"/>
      <c r="T2461" s="312"/>
      <c r="U2461" s="312"/>
    </row>
    <row r="2462">
      <c r="A2462" s="312"/>
      <c r="B2462" s="312"/>
      <c r="C2462" s="567"/>
      <c r="D2462" s="312"/>
      <c r="E2462" s="511"/>
      <c r="F2462" s="312"/>
      <c r="G2462" s="312"/>
      <c r="H2462" s="312"/>
      <c r="I2462" s="567"/>
      <c r="J2462" s="312" t="b">
        <v>0</v>
      </c>
      <c r="K2462" s="312"/>
      <c r="L2462" s="312"/>
      <c r="M2462" s="511"/>
      <c r="N2462" s="312"/>
      <c r="O2462" s="312"/>
      <c r="P2462" s="312"/>
      <c r="Q2462" s="312"/>
      <c r="R2462" s="312"/>
      <c r="S2462" s="312"/>
      <c r="T2462" s="312"/>
      <c r="U2462" s="312"/>
    </row>
    <row r="2463">
      <c r="A2463" s="312"/>
      <c r="B2463" s="312"/>
      <c r="C2463" s="567"/>
      <c r="D2463" s="312"/>
      <c r="E2463" s="511"/>
      <c r="F2463" s="312"/>
      <c r="G2463" s="312"/>
      <c r="H2463" s="312"/>
      <c r="I2463" s="567"/>
      <c r="J2463" s="312" t="b">
        <v>0</v>
      </c>
      <c r="K2463" s="312"/>
      <c r="L2463" s="312"/>
      <c r="M2463" s="511"/>
      <c r="N2463" s="312"/>
      <c r="O2463" s="312"/>
      <c r="P2463" s="312"/>
      <c r="Q2463" s="312"/>
      <c r="R2463" s="312"/>
      <c r="S2463" s="312"/>
      <c r="T2463" s="312"/>
      <c r="U2463" s="312"/>
    </row>
    <row r="2464">
      <c r="A2464" s="312"/>
      <c r="B2464" s="312"/>
      <c r="C2464" s="567"/>
      <c r="D2464" s="312"/>
      <c r="E2464" s="511"/>
      <c r="F2464" s="312"/>
      <c r="G2464" s="312"/>
      <c r="H2464" s="312"/>
      <c r="I2464" s="567"/>
      <c r="J2464" s="312" t="b">
        <v>0</v>
      </c>
      <c r="K2464" s="312"/>
      <c r="L2464" s="312"/>
      <c r="M2464" s="511"/>
      <c r="N2464" s="312"/>
      <c r="O2464" s="312"/>
      <c r="P2464" s="312"/>
      <c r="Q2464" s="312"/>
      <c r="R2464" s="312"/>
      <c r="S2464" s="312"/>
      <c r="T2464" s="312"/>
      <c r="U2464" s="312"/>
    </row>
    <row r="2465">
      <c r="A2465" s="312"/>
      <c r="B2465" s="312"/>
      <c r="C2465" s="567"/>
      <c r="D2465" s="312"/>
      <c r="E2465" s="511"/>
      <c r="F2465" s="312"/>
      <c r="G2465" s="312"/>
      <c r="H2465" s="312"/>
      <c r="I2465" s="567"/>
      <c r="J2465" s="312" t="b">
        <v>0</v>
      </c>
      <c r="K2465" s="312"/>
      <c r="L2465" s="312"/>
      <c r="M2465" s="511"/>
      <c r="N2465" s="312"/>
      <c r="O2465" s="312"/>
      <c r="P2465" s="312"/>
      <c r="Q2465" s="312"/>
      <c r="R2465" s="312"/>
      <c r="S2465" s="312"/>
      <c r="T2465" s="312"/>
      <c r="U2465" s="312"/>
    </row>
    <row r="2466">
      <c r="A2466" s="312"/>
      <c r="B2466" s="312"/>
      <c r="C2466" s="567"/>
      <c r="D2466" s="312"/>
      <c r="E2466" s="511"/>
      <c r="F2466" s="312"/>
      <c r="G2466" s="312"/>
      <c r="H2466" s="312"/>
      <c r="I2466" s="567"/>
      <c r="J2466" s="312" t="b">
        <v>0</v>
      </c>
      <c r="K2466" s="312"/>
      <c r="L2466" s="312"/>
      <c r="M2466" s="511"/>
      <c r="N2466" s="312"/>
      <c r="O2466" s="312"/>
      <c r="P2466" s="312"/>
      <c r="Q2466" s="312"/>
      <c r="R2466" s="312"/>
      <c r="S2466" s="312"/>
      <c r="T2466" s="312"/>
      <c r="U2466" s="312"/>
    </row>
    <row r="2467">
      <c r="A2467" s="312"/>
      <c r="B2467" s="312"/>
      <c r="C2467" s="567"/>
      <c r="D2467" s="312"/>
      <c r="E2467" s="511"/>
      <c r="F2467" s="312"/>
      <c r="G2467" s="312"/>
      <c r="H2467" s="312"/>
      <c r="I2467" s="567"/>
      <c r="J2467" s="312" t="b">
        <v>0</v>
      </c>
      <c r="K2467" s="312"/>
      <c r="L2467" s="312"/>
      <c r="M2467" s="511"/>
      <c r="N2467" s="312"/>
      <c r="O2467" s="312"/>
      <c r="P2467" s="312"/>
      <c r="Q2467" s="312"/>
      <c r="R2467" s="312"/>
      <c r="S2467" s="312"/>
      <c r="T2467" s="312"/>
      <c r="U2467" s="312"/>
    </row>
    <row r="2468">
      <c r="A2468" s="312"/>
      <c r="B2468" s="312"/>
      <c r="C2468" s="567"/>
      <c r="D2468" s="312"/>
      <c r="E2468" s="511"/>
      <c r="F2468" s="312"/>
      <c r="G2468" s="312"/>
      <c r="H2468" s="312"/>
      <c r="I2468" s="567"/>
      <c r="J2468" s="312" t="b">
        <v>0</v>
      </c>
      <c r="K2468" s="312"/>
      <c r="L2468" s="312"/>
      <c r="M2468" s="511"/>
      <c r="N2468" s="312"/>
      <c r="O2468" s="312"/>
      <c r="P2468" s="312"/>
      <c r="Q2468" s="312"/>
      <c r="R2468" s="312"/>
      <c r="S2468" s="312"/>
      <c r="T2468" s="312"/>
      <c r="U2468" s="312"/>
    </row>
    <row r="2469">
      <c r="A2469" s="312"/>
      <c r="B2469" s="312"/>
      <c r="C2469" s="567"/>
      <c r="D2469" s="312"/>
      <c r="E2469" s="511"/>
      <c r="F2469" s="312"/>
      <c r="G2469" s="312"/>
      <c r="H2469" s="312"/>
      <c r="I2469" s="567"/>
      <c r="J2469" s="312" t="b">
        <v>0</v>
      </c>
      <c r="K2469" s="312"/>
      <c r="L2469" s="312"/>
      <c r="M2469" s="511"/>
      <c r="N2469" s="312"/>
      <c r="O2469" s="312"/>
      <c r="P2469" s="312"/>
      <c r="Q2469" s="312"/>
      <c r="R2469" s="312"/>
      <c r="S2469" s="312"/>
      <c r="T2469" s="312"/>
      <c r="U2469" s="312"/>
    </row>
    <row r="2470">
      <c r="A2470" s="312"/>
      <c r="B2470" s="312"/>
      <c r="C2470" s="567"/>
      <c r="D2470" s="312"/>
      <c r="E2470" s="511"/>
      <c r="F2470" s="312"/>
      <c r="G2470" s="312"/>
      <c r="H2470" s="312"/>
      <c r="I2470" s="567"/>
      <c r="J2470" s="312" t="b">
        <v>0</v>
      </c>
      <c r="K2470" s="312"/>
      <c r="L2470" s="312"/>
      <c r="M2470" s="511"/>
      <c r="N2470" s="312"/>
      <c r="O2470" s="312"/>
      <c r="P2470" s="312"/>
      <c r="Q2470" s="312"/>
      <c r="R2470" s="312"/>
      <c r="S2470" s="312"/>
      <c r="T2470" s="312"/>
      <c r="U2470" s="312"/>
    </row>
    <row r="2471">
      <c r="A2471" s="312"/>
      <c r="B2471" s="312"/>
      <c r="C2471" s="567"/>
      <c r="D2471" s="312"/>
      <c r="E2471" s="511"/>
      <c r="F2471" s="312"/>
      <c r="G2471" s="312"/>
      <c r="H2471" s="312"/>
      <c r="I2471" s="567"/>
      <c r="J2471" s="312" t="b">
        <v>0</v>
      </c>
      <c r="K2471" s="312"/>
      <c r="L2471" s="312"/>
      <c r="M2471" s="511"/>
      <c r="N2471" s="312"/>
      <c r="O2471" s="312"/>
      <c r="P2471" s="312"/>
      <c r="Q2471" s="312"/>
      <c r="R2471" s="312"/>
      <c r="S2471" s="312"/>
      <c r="T2471" s="312"/>
      <c r="U2471" s="312"/>
    </row>
    <row r="2472">
      <c r="A2472" s="312"/>
      <c r="B2472" s="312"/>
      <c r="C2472" s="567"/>
      <c r="D2472" s="312"/>
      <c r="E2472" s="511"/>
      <c r="F2472" s="312"/>
      <c r="G2472" s="312"/>
      <c r="H2472" s="312"/>
      <c r="I2472" s="567"/>
      <c r="J2472" s="312" t="b">
        <v>0</v>
      </c>
      <c r="K2472" s="312"/>
      <c r="L2472" s="312"/>
      <c r="M2472" s="511"/>
      <c r="N2472" s="312"/>
      <c r="O2472" s="312"/>
      <c r="P2472" s="312"/>
      <c r="Q2472" s="312"/>
      <c r="R2472" s="312"/>
      <c r="S2472" s="312"/>
      <c r="T2472" s="312"/>
      <c r="U2472" s="312"/>
    </row>
    <row r="2473">
      <c r="A2473" s="312"/>
      <c r="B2473" s="312"/>
      <c r="C2473" s="567"/>
      <c r="D2473" s="312"/>
      <c r="E2473" s="511"/>
      <c r="F2473" s="312"/>
      <c r="G2473" s="312"/>
      <c r="H2473" s="312"/>
      <c r="I2473" s="567"/>
      <c r="J2473" s="312" t="b">
        <v>0</v>
      </c>
      <c r="K2473" s="312"/>
      <c r="L2473" s="312"/>
      <c r="M2473" s="511"/>
      <c r="N2473" s="312"/>
      <c r="O2473" s="312"/>
      <c r="P2473" s="312"/>
      <c r="Q2473" s="312"/>
      <c r="R2473" s="312"/>
      <c r="S2473" s="312"/>
      <c r="T2473" s="312"/>
      <c r="U2473" s="312"/>
    </row>
    <row r="2474">
      <c r="A2474" s="312"/>
      <c r="B2474" s="312"/>
      <c r="C2474" s="567"/>
      <c r="D2474" s="312"/>
      <c r="E2474" s="511"/>
      <c r="F2474" s="312"/>
      <c r="G2474" s="312"/>
      <c r="H2474" s="312"/>
      <c r="I2474" s="567"/>
      <c r="J2474" s="312" t="b">
        <v>0</v>
      </c>
      <c r="K2474" s="312"/>
      <c r="L2474" s="312"/>
      <c r="M2474" s="511"/>
      <c r="N2474" s="312"/>
      <c r="O2474" s="312"/>
      <c r="P2474" s="312"/>
      <c r="Q2474" s="312"/>
      <c r="R2474" s="312"/>
      <c r="S2474" s="312"/>
      <c r="T2474" s="312"/>
      <c r="U2474" s="312"/>
    </row>
    <row r="2475">
      <c r="A2475" s="312"/>
      <c r="B2475" s="312"/>
      <c r="C2475" s="567"/>
      <c r="D2475" s="312"/>
      <c r="E2475" s="511"/>
      <c r="F2475" s="312"/>
      <c r="G2475" s="312"/>
      <c r="H2475" s="312"/>
      <c r="I2475" s="567"/>
      <c r="J2475" s="312" t="b">
        <v>0</v>
      </c>
      <c r="K2475" s="312"/>
      <c r="L2475" s="312"/>
      <c r="M2475" s="511"/>
      <c r="N2475" s="312"/>
      <c r="O2475" s="312"/>
      <c r="P2475" s="312"/>
      <c r="Q2475" s="312"/>
      <c r="R2475" s="312"/>
      <c r="S2475" s="312"/>
      <c r="T2475" s="312"/>
      <c r="U2475" s="312"/>
    </row>
    <row r="2476">
      <c r="A2476" s="312"/>
      <c r="B2476" s="312"/>
      <c r="C2476" s="567"/>
      <c r="D2476" s="312"/>
      <c r="E2476" s="511"/>
      <c r="F2476" s="312"/>
      <c r="G2476" s="312"/>
      <c r="H2476" s="312"/>
      <c r="I2476" s="567"/>
      <c r="J2476" s="312" t="b">
        <v>0</v>
      </c>
      <c r="K2476" s="312"/>
      <c r="L2476" s="312"/>
      <c r="M2476" s="511"/>
      <c r="N2476" s="312"/>
      <c r="O2476" s="312"/>
      <c r="P2476" s="312"/>
      <c r="Q2476" s="312"/>
      <c r="R2476" s="312"/>
      <c r="S2476" s="312"/>
      <c r="T2476" s="312"/>
      <c r="U2476" s="312"/>
    </row>
    <row r="2477">
      <c r="A2477" s="312"/>
      <c r="B2477" s="312"/>
      <c r="C2477" s="567"/>
      <c r="D2477" s="312"/>
      <c r="E2477" s="511"/>
      <c r="F2477" s="312"/>
      <c r="G2477" s="312"/>
      <c r="H2477" s="312"/>
      <c r="I2477" s="567"/>
      <c r="J2477" s="312" t="b">
        <v>0</v>
      </c>
      <c r="K2477" s="312"/>
      <c r="L2477" s="312"/>
      <c r="M2477" s="511"/>
      <c r="N2477" s="312"/>
      <c r="O2477" s="312"/>
      <c r="P2477" s="312"/>
      <c r="Q2477" s="312"/>
      <c r="R2477" s="312"/>
      <c r="S2477" s="312"/>
      <c r="T2477" s="312"/>
      <c r="U2477" s="312"/>
    </row>
    <row r="2478">
      <c r="A2478" s="312"/>
      <c r="B2478" s="312"/>
      <c r="C2478" s="567"/>
      <c r="D2478" s="312"/>
      <c r="E2478" s="511"/>
      <c r="F2478" s="312"/>
      <c r="G2478" s="312"/>
      <c r="H2478" s="312"/>
      <c r="I2478" s="567"/>
      <c r="J2478" s="312" t="b">
        <v>0</v>
      </c>
      <c r="K2478" s="312"/>
      <c r="L2478" s="312"/>
      <c r="M2478" s="511"/>
      <c r="N2478" s="312"/>
      <c r="O2478" s="312"/>
      <c r="P2478" s="312"/>
      <c r="Q2478" s="312"/>
      <c r="R2478" s="312"/>
      <c r="S2478" s="312"/>
      <c r="T2478" s="312"/>
      <c r="U2478" s="312"/>
    </row>
    <row r="2479">
      <c r="A2479" s="312"/>
      <c r="B2479" s="312"/>
      <c r="C2479" s="567"/>
      <c r="D2479" s="312"/>
      <c r="E2479" s="511"/>
      <c r="F2479" s="312"/>
      <c r="G2479" s="312"/>
      <c r="H2479" s="312"/>
      <c r="I2479" s="567"/>
      <c r="J2479" s="312" t="b">
        <v>0</v>
      </c>
      <c r="K2479" s="312"/>
      <c r="L2479" s="312"/>
      <c r="M2479" s="511"/>
      <c r="N2479" s="312"/>
      <c r="O2479" s="312"/>
      <c r="P2479" s="312"/>
      <c r="Q2479" s="312"/>
      <c r="R2479" s="312"/>
      <c r="S2479" s="312"/>
      <c r="T2479" s="312"/>
      <c r="U2479" s="312"/>
    </row>
    <row r="2480">
      <c r="A2480" s="312"/>
      <c r="B2480" s="312"/>
      <c r="C2480" s="567"/>
      <c r="D2480" s="312"/>
      <c r="E2480" s="511"/>
      <c r="F2480" s="312"/>
      <c r="G2480" s="312"/>
      <c r="H2480" s="312"/>
      <c r="I2480" s="567"/>
      <c r="J2480" s="312" t="b">
        <v>0</v>
      </c>
      <c r="K2480" s="312"/>
      <c r="L2480" s="312"/>
      <c r="M2480" s="511"/>
      <c r="N2480" s="312"/>
      <c r="O2480" s="312"/>
      <c r="P2480" s="312"/>
      <c r="Q2480" s="312"/>
      <c r="R2480" s="312"/>
      <c r="S2480" s="312"/>
      <c r="T2480" s="312"/>
      <c r="U2480" s="312"/>
    </row>
    <row r="2481">
      <c r="A2481" s="312"/>
      <c r="B2481" s="312"/>
      <c r="C2481" s="567"/>
      <c r="D2481" s="312"/>
      <c r="E2481" s="511"/>
      <c r="F2481" s="312"/>
      <c r="G2481" s="312"/>
      <c r="H2481" s="312"/>
      <c r="I2481" s="567"/>
      <c r="J2481" s="312" t="b">
        <v>0</v>
      </c>
      <c r="K2481" s="312"/>
      <c r="L2481" s="312"/>
      <c r="M2481" s="511"/>
      <c r="N2481" s="312"/>
      <c r="O2481" s="312"/>
      <c r="P2481" s="312"/>
      <c r="Q2481" s="312"/>
      <c r="R2481" s="312"/>
      <c r="S2481" s="312"/>
      <c r="T2481" s="312"/>
      <c r="U2481" s="312"/>
    </row>
    <row r="2482">
      <c r="A2482" s="312"/>
      <c r="B2482" s="312"/>
      <c r="C2482" s="567"/>
      <c r="D2482" s="312"/>
      <c r="E2482" s="511"/>
      <c r="F2482" s="312"/>
      <c r="G2482" s="312"/>
      <c r="H2482" s="312"/>
      <c r="I2482" s="567"/>
      <c r="J2482" s="312" t="b">
        <v>0</v>
      </c>
      <c r="K2482" s="312"/>
      <c r="L2482" s="312"/>
      <c r="M2482" s="511"/>
      <c r="N2482" s="312"/>
      <c r="O2482" s="312"/>
      <c r="P2482" s="312"/>
      <c r="Q2482" s="312"/>
      <c r="R2482" s="312"/>
      <c r="S2482" s="312"/>
      <c r="T2482" s="312"/>
      <c r="U2482" s="312"/>
    </row>
    <row r="2483">
      <c r="A2483" s="312"/>
      <c r="B2483" s="312"/>
      <c r="C2483" s="567"/>
      <c r="D2483" s="312"/>
      <c r="E2483" s="511"/>
      <c r="F2483" s="312"/>
      <c r="G2483" s="312"/>
      <c r="H2483" s="312"/>
      <c r="I2483" s="567"/>
      <c r="J2483" s="312" t="b">
        <v>0</v>
      </c>
      <c r="K2483" s="312"/>
      <c r="L2483" s="312"/>
      <c r="M2483" s="511"/>
      <c r="N2483" s="312"/>
      <c r="O2483" s="312"/>
      <c r="P2483" s="312"/>
      <c r="Q2483" s="312"/>
      <c r="R2483" s="312"/>
      <c r="S2483" s="312"/>
      <c r="T2483" s="312"/>
      <c r="U2483" s="312"/>
    </row>
    <row r="2484">
      <c r="A2484" s="312"/>
      <c r="B2484" s="312"/>
      <c r="C2484" s="567"/>
      <c r="D2484" s="312"/>
      <c r="E2484" s="511"/>
      <c r="F2484" s="312"/>
      <c r="G2484" s="312"/>
      <c r="H2484" s="312"/>
      <c r="I2484" s="567"/>
      <c r="J2484" s="312" t="b">
        <v>0</v>
      </c>
      <c r="K2484" s="312"/>
      <c r="L2484" s="312"/>
      <c r="M2484" s="511"/>
      <c r="N2484" s="312"/>
      <c r="O2484" s="312"/>
      <c r="P2484" s="312"/>
      <c r="Q2484" s="312"/>
      <c r="R2484" s="312"/>
      <c r="S2484" s="312"/>
      <c r="T2484" s="312"/>
      <c r="U2484" s="312"/>
    </row>
    <row r="2485">
      <c r="A2485" s="312"/>
      <c r="B2485" s="312"/>
      <c r="C2485" s="567"/>
      <c r="D2485" s="312"/>
      <c r="E2485" s="511"/>
      <c r="F2485" s="312"/>
      <c r="G2485" s="312"/>
      <c r="H2485" s="312"/>
      <c r="I2485" s="567"/>
      <c r="J2485" s="312" t="b">
        <v>0</v>
      </c>
      <c r="K2485" s="312"/>
      <c r="L2485" s="312"/>
      <c r="M2485" s="511"/>
      <c r="N2485" s="312"/>
      <c r="O2485" s="312"/>
      <c r="P2485" s="312"/>
      <c r="Q2485" s="312"/>
      <c r="R2485" s="312"/>
      <c r="S2485" s="312"/>
      <c r="T2485" s="312"/>
      <c r="U2485" s="312"/>
    </row>
    <row r="2486">
      <c r="A2486" s="312"/>
      <c r="B2486" s="312"/>
      <c r="C2486" s="567"/>
      <c r="D2486" s="312"/>
      <c r="E2486" s="511"/>
      <c r="F2486" s="312"/>
      <c r="G2486" s="312"/>
      <c r="H2486" s="312"/>
      <c r="I2486" s="567"/>
      <c r="J2486" s="312" t="b">
        <v>0</v>
      </c>
      <c r="K2486" s="312"/>
      <c r="L2486" s="312"/>
      <c r="M2486" s="511"/>
      <c r="N2486" s="312"/>
      <c r="O2486" s="312"/>
      <c r="P2486" s="312"/>
      <c r="Q2486" s="312"/>
      <c r="R2486" s="312"/>
      <c r="S2486" s="312"/>
      <c r="T2486" s="312"/>
      <c r="U2486" s="312"/>
    </row>
    <row r="2487">
      <c r="A2487" s="312"/>
      <c r="B2487" s="312"/>
      <c r="C2487" s="567"/>
      <c r="D2487" s="312"/>
      <c r="E2487" s="511"/>
      <c r="F2487" s="312"/>
      <c r="G2487" s="312"/>
      <c r="H2487" s="312"/>
      <c r="I2487" s="567"/>
      <c r="J2487" s="312" t="b">
        <v>0</v>
      </c>
      <c r="K2487" s="312"/>
      <c r="L2487" s="312"/>
      <c r="M2487" s="511"/>
      <c r="N2487" s="312"/>
      <c r="O2487" s="312"/>
      <c r="P2487" s="312"/>
      <c r="Q2487" s="312"/>
      <c r="R2487" s="312"/>
      <c r="S2487" s="312"/>
      <c r="T2487" s="312"/>
      <c r="U2487" s="312"/>
    </row>
    <row r="2488">
      <c r="A2488" s="312"/>
      <c r="B2488" s="312"/>
      <c r="C2488" s="567"/>
      <c r="D2488" s="312"/>
      <c r="E2488" s="511"/>
      <c r="F2488" s="312"/>
      <c r="G2488" s="312"/>
      <c r="H2488" s="312"/>
      <c r="I2488" s="567"/>
      <c r="J2488" s="312" t="b">
        <v>0</v>
      </c>
      <c r="K2488" s="312"/>
      <c r="L2488" s="312"/>
      <c r="M2488" s="511"/>
      <c r="N2488" s="312"/>
      <c r="O2488" s="312"/>
      <c r="P2488" s="312"/>
      <c r="Q2488" s="312"/>
      <c r="R2488" s="312"/>
      <c r="S2488" s="312"/>
      <c r="T2488" s="312"/>
      <c r="U2488" s="312"/>
    </row>
    <row r="2489">
      <c r="A2489" s="312"/>
      <c r="B2489" s="312"/>
      <c r="C2489" s="567"/>
      <c r="D2489" s="312"/>
      <c r="E2489" s="511"/>
      <c r="F2489" s="312"/>
      <c r="G2489" s="312"/>
      <c r="H2489" s="312"/>
      <c r="I2489" s="567"/>
      <c r="J2489" s="312" t="b">
        <v>0</v>
      </c>
      <c r="K2489" s="312"/>
      <c r="L2489" s="312"/>
      <c r="M2489" s="511"/>
      <c r="N2489" s="312"/>
      <c r="O2489" s="312"/>
      <c r="P2489" s="312"/>
      <c r="Q2489" s="312"/>
      <c r="R2489" s="312"/>
      <c r="S2489" s="312"/>
      <c r="T2489" s="312"/>
      <c r="U2489" s="312"/>
    </row>
    <row r="2490">
      <c r="A2490" s="312"/>
      <c r="B2490" s="312"/>
      <c r="C2490" s="567"/>
      <c r="D2490" s="312"/>
      <c r="E2490" s="511"/>
      <c r="F2490" s="312"/>
      <c r="G2490" s="312"/>
      <c r="H2490" s="312"/>
      <c r="I2490" s="567"/>
      <c r="J2490" s="312" t="b">
        <v>0</v>
      </c>
      <c r="K2490" s="312"/>
      <c r="L2490" s="312"/>
      <c r="M2490" s="511"/>
      <c r="N2490" s="312"/>
      <c r="O2490" s="312"/>
      <c r="P2490" s="312"/>
      <c r="Q2490" s="312"/>
      <c r="R2490" s="312"/>
      <c r="S2490" s="312"/>
      <c r="T2490" s="312"/>
      <c r="U2490" s="312"/>
    </row>
    <row r="2491">
      <c r="A2491" s="312"/>
      <c r="B2491" s="312"/>
      <c r="C2491" s="567"/>
      <c r="D2491" s="312"/>
      <c r="E2491" s="511"/>
      <c r="F2491" s="312"/>
      <c r="G2491" s="312"/>
      <c r="H2491" s="312"/>
      <c r="I2491" s="567"/>
      <c r="J2491" s="312" t="b">
        <v>0</v>
      </c>
      <c r="K2491" s="312"/>
      <c r="L2491" s="312"/>
      <c r="M2491" s="511"/>
      <c r="N2491" s="312"/>
      <c r="O2491" s="312"/>
      <c r="P2491" s="312"/>
      <c r="Q2491" s="312"/>
      <c r="R2491" s="312"/>
      <c r="S2491" s="312"/>
      <c r="T2491" s="312"/>
      <c r="U2491" s="312"/>
    </row>
    <row r="2492">
      <c r="A2492" s="312"/>
      <c r="B2492" s="312"/>
      <c r="C2492" s="567"/>
      <c r="D2492" s="312"/>
      <c r="E2492" s="511"/>
      <c r="F2492" s="312"/>
      <c r="G2492" s="312"/>
      <c r="H2492" s="312"/>
      <c r="I2492" s="567"/>
      <c r="J2492" s="312" t="b">
        <v>0</v>
      </c>
      <c r="K2492" s="312"/>
      <c r="L2492" s="312"/>
      <c r="M2492" s="511"/>
      <c r="N2492" s="312"/>
      <c r="O2492" s="312"/>
      <c r="P2492" s="312"/>
      <c r="Q2492" s="312"/>
      <c r="R2492" s="312"/>
      <c r="S2492" s="312"/>
      <c r="T2492" s="312"/>
      <c r="U2492" s="312"/>
    </row>
    <row r="2493">
      <c r="A2493" s="312"/>
      <c r="B2493" s="312"/>
      <c r="C2493" s="567"/>
      <c r="D2493" s="312"/>
      <c r="E2493" s="511"/>
      <c r="F2493" s="312"/>
      <c r="G2493" s="312"/>
      <c r="H2493" s="312"/>
      <c r="I2493" s="567"/>
      <c r="J2493" s="312" t="b">
        <v>0</v>
      </c>
      <c r="K2493" s="312"/>
      <c r="L2493" s="312"/>
      <c r="M2493" s="511"/>
      <c r="N2493" s="312"/>
      <c r="O2493" s="312"/>
      <c r="P2493" s="312"/>
      <c r="Q2493" s="312"/>
      <c r="R2493" s="312"/>
      <c r="S2493" s="312"/>
      <c r="T2493" s="312"/>
      <c r="U2493" s="312"/>
    </row>
    <row r="2494">
      <c r="A2494" s="312"/>
      <c r="B2494" s="312"/>
      <c r="C2494" s="567"/>
      <c r="D2494" s="312"/>
      <c r="E2494" s="511"/>
      <c r="F2494" s="312"/>
      <c r="G2494" s="312"/>
      <c r="H2494" s="312"/>
      <c r="I2494" s="567"/>
      <c r="J2494" s="312" t="b">
        <v>0</v>
      </c>
      <c r="K2494" s="312"/>
      <c r="L2494" s="312"/>
      <c r="M2494" s="511"/>
      <c r="N2494" s="312"/>
      <c r="O2494" s="312"/>
      <c r="P2494" s="312"/>
      <c r="Q2494" s="312"/>
      <c r="R2494" s="312"/>
      <c r="S2494" s="312"/>
      <c r="T2494" s="312"/>
      <c r="U2494" s="312"/>
    </row>
    <row r="2495">
      <c r="A2495" s="312"/>
      <c r="B2495" s="312"/>
      <c r="C2495" s="567"/>
      <c r="D2495" s="312"/>
      <c r="E2495" s="511"/>
      <c r="F2495" s="312"/>
      <c r="G2495" s="312"/>
      <c r="H2495" s="312"/>
      <c r="I2495" s="567"/>
      <c r="J2495" s="312" t="b">
        <v>0</v>
      </c>
      <c r="K2495" s="312"/>
      <c r="L2495" s="312"/>
      <c r="M2495" s="511"/>
      <c r="N2495" s="312"/>
      <c r="O2495" s="312"/>
      <c r="P2495" s="312"/>
      <c r="Q2495" s="312"/>
      <c r="R2495" s="312"/>
      <c r="S2495" s="312"/>
      <c r="T2495" s="312"/>
      <c r="U2495" s="312"/>
    </row>
    <row r="2496">
      <c r="A2496" s="312"/>
      <c r="B2496" s="312"/>
      <c r="C2496" s="567"/>
      <c r="D2496" s="312"/>
      <c r="E2496" s="511"/>
      <c r="F2496" s="312"/>
      <c r="G2496" s="312"/>
      <c r="H2496" s="312"/>
      <c r="I2496" s="567"/>
      <c r="J2496" s="312" t="b">
        <v>0</v>
      </c>
      <c r="K2496" s="312"/>
      <c r="L2496" s="312"/>
      <c r="M2496" s="511"/>
      <c r="N2496" s="312"/>
      <c r="O2496" s="312"/>
      <c r="P2496" s="312"/>
      <c r="Q2496" s="312"/>
      <c r="R2496" s="312"/>
      <c r="S2496" s="312"/>
      <c r="T2496" s="312"/>
      <c r="U2496" s="312"/>
    </row>
    <row r="2497">
      <c r="A2497" s="312"/>
      <c r="B2497" s="312"/>
      <c r="C2497" s="567"/>
      <c r="D2497" s="312"/>
      <c r="E2497" s="511"/>
      <c r="F2497" s="312"/>
      <c r="G2497" s="312"/>
      <c r="H2497" s="312"/>
      <c r="I2497" s="567"/>
      <c r="J2497" s="312" t="b">
        <v>0</v>
      </c>
      <c r="K2497" s="312"/>
      <c r="L2497" s="312"/>
      <c r="M2497" s="511"/>
      <c r="N2497" s="312"/>
      <c r="O2497" s="312"/>
      <c r="P2497" s="312"/>
      <c r="Q2497" s="312"/>
      <c r="R2497" s="312"/>
      <c r="S2497" s="312"/>
      <c r="T2497" s="312"/>
      <c r="U2497" s="312"/>
    </row>
    <row r="2498">
      <c r="A2498" s="312"/>
      <c r="B2498" s="312"/>
      <c r="C2498" s="567"/>
      <c r="D2498" s="312"/>
      <c r="E2498" s="511"/>
      <c r="F2498" s="312"/>
      <c r="G2498" s="312"/>
      <c r="H2498" s="312"/>
      <c r="I2498" s="567"/>
      <c r="J2498" s="312" t="b">
        <v>0</v>
      </c>
      <c r="K2498" s="312"/>
      <c r="L2498" s="312"/>
      <c r="M2498" s="511"/>
      <c r="N2498" s="312"/>
      <c r="O2498" s="312"/>
      <c r="P2498" s="312"/>
      <c r="Q2498" s="312"/>
      <c r="R2498" s="312"/>
      <c r="S2498" s="312"/>
      <c r="T2498" s="312"/>
      <c r="U2498" s="312"/>
    </row>
    <row r="2499">
      <c r="A2499" s="312"/>
      <c r="B2499" s="312"/>
      <c r="C2499" s="567"/>
      <c r="D2499" s="312"/>
      <c r="E2499" s="511"/>
      <c r="F2499" s="312"/>
      <c r="G2499" s="312"/>
      <c r="H2499" s="312"/>
      <c r="I2499" s="567"/>
      <c r="J2499" s="312" t="b">
        <v>0</v>
      </c>
      <c r="K2499" s="312"/>
      <c r="L2499" s="312"/>
      <c r="M2499" s="511"/>
      <c r="N2499" s="312"/>
      <c r="O2499" s="312"/>
      <c r="P2499" s="312"/>
      <c r="Q2499" s="312"/>
      <c r="R2499" s="312"/>
      <c r="S2499" s="312"/>
      <c r="T2499" s="312"/>
      <c r="U2499" s="312"/>
    </row>
    <row r="2500">
      <c r="A2500" s="312"/>
      <c r="B2500" s="312"/>
      <c r="C2500" s="567"/>
      <c r="D2500" s="312"/>
      <c r="E2500" s="511"/>
      <c r="F2500" s="312"/>
      <c r="G2500" s="312"/>
      <c r="H2500" s="312"/>
      <c r="I2500" s="567"/>
      <c r="J2500" s="312" t="b">
        <v>0</v>
      </c>
      <c r="K2500" s="312"/>
      <c r="L2500" s="312"/>
      <c r="M2500" s="511"/>
      <c r="N2500" s="312"/>
      <c r="O2500" s="312"/>
      <c r="P2500" s="312"/>
      <c r="Q2500" s="312"/>
      <c r="R2500" s="312"/>
      <c r="S2500" s="312"/>
      <c r="T2500" s="312"/>
      <c r="U2500" s="312"/>
    </row>
    <row r="2501">
      <c r="A2501" s="312"/>
      <c r="B2501" s="312"/>
      <c r="C2501" s="567"/>
      <c r="D2501" s="312"/>
      <c r="E2501" s="511"/>
      <c r="F2501" s="312"/>
      <c r="G2501" s="312"/>
      <c r="H2501" s="312"/>
      <c r="I2501" s="567"/>
      <c r="J2501" s="312" t="b">
        <v>0</v>
      </c>
      <c r="K2501" s="312"/>
      <c r="L2501" s="312"/>
      <c r="M2501" s="511"/>
      <c r="N2501" s="312"/>
      <c r="O2501" s="312"/>
      <c r="P2501" s="312"/>
      <c r="Q2501" s="312"/>
      <c r="R2501" s="312"/>
      <c r="S2501" s="312"/>
      <c r="T2501" s="312"/>
      <c r="U2501" s="312"/>
    </row>
    <row r="2502">
      <c r="A2502" s="312"/>
      <c r="B2502" s="312"/>
      <c r="C2502" s="567"/>
      <c r="D2502" s="312"/>
      <c r="E2502" s="511"/>
      <c r="F2502" s="312"/>
      <c r="G2502" s="312"/>
      <c r="H2502" s="312"/>
      <c r="I2502" s="567"/>
      <c r="J2502" s="312" t="b">
        <v>0</v>
      </c>
      <c r="K2502" s="312"/>
      <c r="L2502" s="312"/>
      <c r="M2502" s="511"/>
      <c r="N2502" s="312"/>
      <c r="O2502" s="312"/>
      <c r="P2502" s="312"/>
      <c r="Q2502" s="312"/>
      <c r="R2502" s="312"/>
      <c r="S2502" s="312"/>
      <c r="T2502" s="312"/>
      <c r="U2502" s="312"/>
    </row>
    <row r="2503">
      <c r="A2503" s="312"/>
      <c r="B2503" s="312"/>
      <c r="C2503" s="567"/>
      <c r="D2503" s="312"/>
      <c r="E2503" s="511"/>
      <c r="F2503" s="312"/>
      <c r="G2503" s="312"/>
      <c r="H2503" s="312"/>
      <c r="I2503" s="567"/>
      <c r="J2503" s="312" t="b">
        <v>0</v>
      </c>
      <c r="K2503" s="312"/>
      <c r="L2503" s="312"/>
      <c r="M2503" s="511"/>
      <c r="N2503" s="312"/>
      <c r="O2503" s="312"/>
      <c r="P2503" s="312"/>
      <c r="Q2503" s="312"/>
      <c r="R2503" s="312"/>
      <c r="S2503" s="312"/>
      <c r="T2503" s="312"/>
      <c r="U2503" s="312"/>
    </row>
    <row r="2504">
      <c r="A2504" s="312"/>
      <c r="B2504" s="312"/>
      <c r="C2504" s="567"/>
      <c r="D2504" s="312"/>
      <c r="E2504" s="511"/>
      <c r="F2504" s="312"/>
      <c r="G2504" s="312"/>
      <c r="H2504" s="312"/>
      <c r="I2504" s="567"/>
      <c r="J2504" s="312" t="b">
        <v>0</v>
      </c>
      <c r="K2504" s="312"/>
      <c r="L2504" s="312"/>
      <c r="M2504" s="511"/>
      <c r="N2504" s="312"/>
      <c r="O2504" s="312"/>
      <c r="P2504" s="312"/>
      <c r="Q2504" s="312"/>
      <c r="R2504" s="312"/>
      <c r="S2504" s="312"/>
      <c r="T2504" s="312"/>
      <c r="U2504" s="312"/>
    </row>
    <row r="2505">
      <c r="A2505" s="312"/>
      <c r="B2505" s="312"/>
      <c r="C2505" s="567"/>
      <c r="D2505" s="312"/>
      <c r="E2505" s="511"/>
      <c r="F2505" s="312"/>
      <c r="G2505" s="312"/>
      <c r="H2505" s="312"/>
      <c r="I2505" s="567"/>
      <c r="J2505" s="312" t="b">
        <v>0</v>
      </c>
      <c r="K2505" s="312"/>
      <c r="L2505" s="312"/>
      <c r="M2505" s="511"/>
      <c r="N2505" s="312"/>
      <c r="O2505" s="312"/>
      <c r="P2505" s="312"/>
      <c r="Q2505" s="312"/>
      <c r="R2505" s="312"/>
      <c r="S2505" s="312"/>
      <c r="T2505" s="312"/>
      <c r="U2505" s="312"/>
    </row>
    <row r="2506">
      <c r="A2506" s="312"/>
      <c r="B2506" s="312"/>
      <c r="C2506" s="567"/>
      <c r="D2506" s="312"/>
      <c r="E2506" s="511"/>
      <c r="F2506" s="312"/>
      <c r="G2506" s="312"/>
      <c r="H2506" s="312"/>
      <c r="I2506" s="567"/>
      <c r="J2506" s="312" t="b">
        <v>0</v>
      </c>
      <c r="K2506" s="312"/>
      <c r="L2506" s="312"/>
      <c r="M2506" s="511"/>
      <c r="N2506" s="312"/>
      <c r="O2506" s="312"/>
      <c r="P2506" s="312"/>
      <c r="Q2506" s="312"/>
      <c r="R2506" s="312"/>
      <c r="S2506" s="312"/>
      <c r="T2506" s="312"/>
      <c r="U2506" s="312"/>
    </row>
    <row r="2507">
      <c r="A2507" s="312"/>
      <c r="B2507" s="312"/>
      <c r="C2507" s="567"/>
      <c r="D2507" s="312"/>
      <c r="E2507" s="511"/>
      <c r="F2507" s="312"/>
      <c r="G2507" s="312"/>
      <c r="H2507" s="312"/>
      <c r="I2507" s="567"/>
      <c r="J2507" s="312" t="b">
        <v>0</v>
      </c>
      <c r="K2507" s="312"/>
      <c r="L2507" s="312"/>
      <c r="M2507" s="511"/>
      <c r="N2507" s="312"/>
      <c r="O2507" s="312"/>
      <c r="P2507" s="312"/>
      <c r="Q2507" s="312"/>
      <c r="R2507" s="312"/>
      <c r="S2507" s="312"/>
      <c r="T2507" s="312"/>
      <c r="U2507" s="312"/>
    </row>
    <row r="2508">
      <c r="A2508" s="312"/>
      <c r="B2508" s="312"/>
      <c r="C2508" s="567"/>
      <c r="D2508" s="312"/>
      <c r="E2508" s="511"/>
      <c r="F2508" s="312"/>
      <c r="G2508" s="312"/>
      <c r="H2508" s="312"/>
      <c r="I2508" s="567"/>
      <c r="J2508" s="312" t="b">
        <v>0</v>
      </c>
      <c r="K2508" s="312"/>
      <c r="L2508" s="312"/>
      <c r="M2508" s="511"/>
      <c r="N2508" s="312"/>
      <c r="O2508" s="312"/>
      <c r="P2508" s="312"/>
      <c r="Q2508" s="312"/>
      <c r="R2508" s="312"/>
      <c r="S2508" s="312"/>
      <c r="T2508" s="312"/>
      <c r="U2508" s="312"/>
    </row>
    <row r="2509">
      <c r="A2509" s="312"/>
      <c r="B2509" s="312"/>
      <c r="C2509" s="567"/>
      <c r="D2509" s="312"/>
      <c r="E2509" s="511"/>
      <c r="F2509" s="312"/>
      <c r="G2509" s="312"/>
      <c r="H2509" s="312"/>
      <c r="I2509" s="567"/>
      <c r="J2509" s="312" t="b">
        <v>0</v>
      </c>
      <c r="K2509" s="312"/>
      <c r="L2509" s="312"/>
      <c r="M2509" s="511"/>
      <c r="N2509" s="312"/>
      <c r="O2509" s="312"/>
      <c r="P2509" s="312"/>
      <c r="Q2509" s="312"/>
      <c r="R2509" s="312"/>
      <c r="S2509" s="312"/>
      <c r="T2509" s="312"/>
      <c r="U2509" s="312"/>
    </row>
    <row r="2510">
      <c r="A2510" s="312"/>
      <c r="B2510" s="312"/>
      <c r="C2510" s="567"/>
      <c r="D2510" s="312"/>
      <c r="E2510" s="511"/>
      <c r="F2510" s="312"/>
      <c r="G2510" s="312"/>
      <c r="H2510" s="312"/>
      <c r="I2510" s="567"/>
      <c r="J2510" s="312" t="b">
        <v>0</v>
      </c>
      <c r="K2510" s="312"/>
      <c r="L2510" s="312"/>
      <c r="M2510" s="511"/>
      <c r="N2510" s="312"/>
      <c r="O2510" s="312"/>
      <c r="P2510" s="312"/>
      <c r="Q2510" s="312"/>
      <c r="R2510" s="312"/>
      <c r="S2510" s="312"/>
      <c r="T2510" s="312"/>
      <c r="U2510" s="312"/>
    </row>
    <row r="2511">
      <c r="A2511" s="312"/>
      <c r="B2511" s="312"/>
      <c r="C2511" s="567"/>
      <c r="D2511" s="312"/>
      <c r="E2511" s="511"/>
      <c r="F2511" s="312"/>
      <c r="G2511" s="312"/>
      <c r="H2511" s="312"/>
      <c r="I2511" s="567"/>
      <c r="J2511" s="312" t="b">
        <v>0</v>
      </c>
      <c r="K2511" s="312"/>
      <c r="L2511" s="312"/>
      <c r="M2511" s="511"/>
      <c r="N2511" s="312"/>
      <c r="O2511" s="312"/>
      <c r="P2511" s="312"/>
      <c r="Q2511" s="312"/>
      <c r="R2511" s="312"/>
      <c r="S2511" s="312"/>
      <c r="T2511" s="312"/>
      <c r="U2511" s="312"/>
    </row>
    <row r="2512">
      <c r="A2512" s="312"/>
      <c r="B2512" s="312"/>
      <c r="C2512" s="567"/>
      <c r="D2512" s="312"/>
      <c r="E2512" s="511"/>
      <c r="F2512" s="312"/>
      <c r="G2512" s="312"/>
      <c r="H2512" s="312"/>
      <c r="I2512" s="567"/>
      <c r="J2512" s="312" t="b">
        <v>0</v>
      </c>
      <c r="K2512" s="312"/>
      <c r="L2512" s="312"/>
      <c r="M2512" s="511"/>
      <c r="N2512" s="312"/>
      <c r="O2512" s="312"/>
      <c r="P2512" s="312"/>
      <c r="Q2512" s="312"/>
      <c r="R2512" s="312"/>
      <c r="S2512" s="312"/>
      <c r="T2512" s="312"/>
      <c r="U2512" s="312"/>
    </row>
    <row r="2513">
      <c r="A2513" s="312"/>
      <c r="B2513" s="312"/>
      <c r="C2513" s="567"/>
      <c r="D2513" s="312"/>
      <c r="E2513" s="511"/>
      <c r="F2513" s="312"/>
      <c r="G2513" s="312"/>
      <c r="H2513" s="312"/>
      <c r="I2513" s="567"/>
      <c r="J2513" s="312" t="b">
        <v>0</v>
      </c>
      <c r="K2513" s="312"/>
      <c r="L2513" s="312"/>
      <c r="M2513" s="511"/>
      <c r="N2513" s="312"/>
      <c r="O2513" s="312"/>
      <c r="P2513" s="312"/>
      <c r="Q2513" s="312"/>
      <c r="R2513" s="312"/>
      <c r="S2513" s="312"/>
      <c r="T2513" s="312"/>
      <c r="U2513" s="312"/>
    </row>
    <row r="2514">
      <c r="A2514" s="312"/>
      <c r="B2514" s="312"/>
      <c r="C2514" s="567"/>
      <c r="D2514" s="312"/>
      <c r="E2514" s="511"/>
      <c r="F2514" s="312"/>
      <c r="G2514" s="312"/>
      <c r="H2514" s="312"/>
      <c r="I2514" s="567"/>
      <c r="J2514" s="312" t="b">
        <v>0</v>
      </c>
      <c r="K2514" s="312"/>
      <c r="L2514" s="312"/>
      <c r="M2514" s="511"/>
      <c r="N2514" s="312"/>
      <c r="O2514" s="312"/>
      <c r="P2514" s="312"/>
      <c r="Q2514" s="312"/>
      <c r="R2514" s="312"/>
      <c r="S2514" s="312"/>
      <c r="T2514" s="312"/>
      <c r="U2514" s="312"/>
    </row>
    <row r="2515">
      <c r="A2515" s="312"/>
      <c r="B2515" s="312"/>
      <c r="C2515" s="567"/>
      <c r="D2515" s="312"/>
      <c r="E2515" s="511"/>
      <c r="F2515" s="312"/>
      <c r="G2515" s="312"/>
      <c r="H2515" s="312"/>
      <c r="I2515" s="567"/>
      <c r="J2515" s="312" t="b">
        <v>0</v>
      </c>
      <c r="K2515" s="312"/>
      <c r="L2515" s="312"/>
      <c r="M2515" s="511"/>
      <c r="N2515" s="312"/>
      <c r="O2515" s="312"/>
      <c r="P2515" s="312"/>
      <c r="Q2515" s="312"/>
      <c r="R2515" s="312"/>
      <c r="S2515" s="312"/>
      <c r="T2515" s="312"/>
      <c r="U2515" s="312"/>
    </row>
    <row r="2516">
      <c r="A2516" s="312"/>
      <c r="B2516" s="312"/>
      <c r="C2516" s="567"/>
      <c r="D2516" s="312"/>
      <c r="E2516" s="511"/>
      <c r="F2516" s="312"/>
      <c r="G2516" s="312"/>
      <c r="H2516" s="312"/>
      <c r="I2516" s="567"/>
      <c r="J2516" s="312" t="b">
        <v>0</v>
      </c>
      <c r="K2516" s="312"/>
      <c r="L2516" s="312"/>
      <c r="M2516" s="511"/>
      <c r="N2516" s="312"/>
      <c r="O2516" s="312"/>
      <c r="P2516" s="312"/>
      <c r="Q2516" s="312"/>
      <c r="R2516" s="312"/>
      <c r="S2516" s="312"/>
      <c r="T2516" s="312"/>
      <c r="U2516" s="312"/>
    </row>
    <row r="2517">
      <c r="A2517" s="312"/>
      <c r="B2517" s="312"/>
      <c r="C2517" s="567"/>
      <c r="D2517" s="312"/>
      <c r="E2517" s="511"/>
      <c r="F2517" s="312"/>
      <c r="G2517" s="312"/>
      <c r="H2517" s="312"/>
      <c r="I2517" s="567"/>
      <c r="J2517" s="312" t="b">
        <v>0</v>
      </c>
      <c r="K2517" s="312"/>
      <c r="L2517" s="312"/>
      <c r="M2517" s="511"/>
      <c r="N2517" s="312"/>
      <c r="O2517" s="312"/>
      <c r="P2517" s="312"/>
      <c r="Q2517" s="312"/>
      <c r="R2517" s="312"/>
      <c r="S2517" s="312"/>
      <c r="T2517" s="312"/>
      <c r="U2517" s="312"/>
    </row>
    <row r="2518">
      <c r="A2518" s="312"/>
      <c r="B2518" s="312"/>
      <c r="C2518" s="567"/>
      <c r="D2518" s="312"/>
      <c r="E2518" s="511"/>
      <c r="F2518" s="312"/>
      <c r="G2518" s="312"/>
      <c r="H2518" s="312"/>
      <c r="I2518" s="567"/>
      <c r="J2518" s="312" t="b">
        <v>0</v>
      </c>
      <c r="K2518" s="312"/>
      <c r="L2518" s="312"/>
      <c r="M2518" s="511"/>
      <c r="N2518" s="312"/>
      <c r="O2518" s="312"/>
      <c r="P2518" s="312"/>
      <c r="Q2518" s="312"/>
      <c r="R2518" s="312"/>
      <c r="S2518" s="312"/>
      <c r="T2518" s="312"/>
      <c r="U2518" s="312"/>
    </row>
    <row r="2519">
      <c r="A2519" s="312"/>
      <c r="B2519" s="312"/>
      <c r="C2519" s="567"/>
      <c r="D2519" s="312"/>
      <c r="E2519" s="511"/>
      <c r="F2519" s="312"/>
      <c r="G2519" s="312"/>
      <c r="H2519" s="312"/>
      <c r="I2519" s="567"/>
      <c r="J2519" s="312" t="b">
        <v>0</v>
      </c>
      <c r="K2519" s="312"/>
      <c r="L2519" s="312"/>
      <c r="M2519" s="511"/>
      <c r="N2519" s="312"/>
      <c r="O2519" s="312"/>
      <c r="P2519" s="312"/>
      <c r="Q2519" s="312"/>
      <c r="R2519" s="312"/>
      <c r="S2519" s="312"/>
      <c r="T2519" s="312"/>
      <c r="U2519" s="312"/>
    </row>
    <row r="2520">
      <c r="A2520" s="312"/>
      <c r="B2520" s="312"/>
      <c r="C2520" s="567"/>
      <c r="D2520" s="312"/>
      <c r="E2520" s="511"/>
      <c r="F2520" s="312"/>
      <c r="G2520" s="312"/>
      <c r="H2520" s="312"/>
      <c r="I2520" s="567"/>
      <c r="J2520" s="312" t="b">
        <v>0</v>
      </c>
      <c r="K2520" s="312"/>
      <c r="L2520" s="312"/>
      <c r="M2520" s="511"/>
      <c r="N2520" s="312"/>
      <c r="O2520" s="312"/>
      <c r="P2520" s="312"/>
      <c r="Q2520" s="312"/>
      <c r="R2520" s="312"/>
      <c r="S2520" s="312"/>
      <c r="T2520" s="312"/>
      <c r="U2520" s="312"/>
    </row>
    <row r="2521">
      <c r="A2521" s="312"/>
      <c r="B2521" s="312"/>
      <c r="C2521" s="567"/>
      <c r="D2521" s="312"/>
      <c r="E2521" s="511"/>
      <c r="F2521" s="312"/>
      <c r="G2521" s="312"/>
      <c r="H2521" s="312"/>
      <c r="I2521" s="567"/>
      <c r="J2521" s="312" t="b">
        <v>0</v>
      </c>
      <c r="K2521" s="312"/>
      <c r="L2521" s="312"/>
      <c r="M2521" s="511"/>
      <c r="N2521" s="312"/>
      <c r="O2521" s="312"/>
      <c r="P2521" s="312"/>
      <c r="Q2521" s="312"/>
      <c r="R2521" s="312"/>
      <c r="S2521" s="312"/>
      <c r="T2521" s="312"/>
      <c r="U2521" s="312"/>
    </row>
    <row r="2522">
      <c r="A2522" s="312"/>
      <c r="B2522" s="312"/>
      <c r="C2522" s="567"/>
      <c r="D2522" s="312"/>
      <c r="E2522" s="511"/>
      <c r="F2522" s="312"/>
      <c r="G2522" s="312"/>
      <c r="H2522" s="312"/>
      <c r="I2522" s="567"/>
      <c r="J2522" s="312" t="b">
        <v>0</v>
      </c>
      <c r="K2522" s="312"/>
      <c r="L2522" s="312"/>
      <c r="M2522" s="511"/>
      <c r="N2522" s="312"/>
      <c r="O2522" s="312"/>
      <c r="P2522" s="312"/>
      <c r="Q2522" s="312"/>
      <c r="R2522" s="312"/>
      <c r="S2522" s="312"/>
      <c r="T2522" s="312"/>
      <c r="U2522" s="312"/>
    </row>
    <row r="2523">
      <c r="A2523" s="312"/>
      <c r="B2523" s="312"/>
      <c r="C2523" s="567"/>
      <c r="D2523" s="312"/>
      <c r="E2523" s="511"/>
      <c r="F2523" s="312"/>
      <c r="G2523" s="312"/>
      <c r="H2523" s="312"/>
      <c r="I2523" s="567"/>
      <c r="J2523" s="312" t="b">
        <v>0</v>
      </c>
      <c r="K2523" s="312"/>
      <c r="L2523" s="312"/>
      <c r="M2523" s="511"/>
      <c r="N2523" s="312"/>
      <c r="O2523" s="312"/>
      <c r="P2523" s="312"/>
      <c r="Q2523" s="312"/>
      <c r="R2523" s="312"/>
      <c r="S2523" s="312"/>
      <c r="T2523" s="312"/>
      <c r="U2523" s="312"/>
    </row>
    <row r="2524">
      <c r="A2524" s="312"/>
      <c r="B2524" s="312"/>
      <c r="C2524" s="567"/>
      <c r="D2524" s="312"/>
      <c r="E2524" s="511"/>
      <c r="F2524" s="312"/>
      <c r="G2524" s="312"/>
      <c r="H2524" s="312"/>
      <c r="I2524" s="567"/>
      <c r="J2524" s="312" t="b">
        <v>0</v>
      </c>
      <c r="K2524" s="312"/>
      <c r="L2524" s="312"/>
      <c r="M2524" s="511"/>
      <c r="N2524" s="312"/>
      <c r="O2524" s="312"/>
      <c r="P2524" s="312"/>
      <c r="Q2524" s="312"/>
      <c r="R2524" s="312"/>
      <c r="S2524" s="312"/>
      <c r="T2524" s="312"/>
      <c r="U2524" s="312"/>
    </row>
    <row r="2525">
      <c r="A2525" s="312"/>
      <c r="B2525" s="312"/>
      <c r="C2525" s="567"/>
      <c r="D2525" s="312"/>
      <c r="E2525" s="511"/>
      <c r="F2525" s="312"/>
      <c r="G2525" s="312"/>
      <c r="H2525" s="312"/>
      <c r="I2525" s="567"/>
      <c r="J2525" s="312" t="b">
        <v>0</v>
      </c>
      <c r="K2525" s="312"/>
      <c r="L2525" s="312"/>
      <c r="M2525" s="511"/>
      <c r="N2525" s="312"/>
      <c r="O2525" s="312"/>
      <c r="P2525" s="312"/>
      <c r="Q2525" s="312"/>
      <c r="R2525" s="312"/>
      <c r="S2525" s="312"/>
      <c r="T2525" s="312"/>
      <c r="U2525" s="312"/>
    </row>
    <row r="2526">
      <c r="A2526" s="312"/>
      <c r="B2526" s="312"/>
      <c r="C2526" s="567"/>
      <c r="D2526" s="312"/>
      <c r="E2526" s="511"/>
      <c r="F2526" s="312"/>
      <c r="G2526" s="312"/>
      <c r="H2526" s="312"/>
      <c r="I2526" s="567"/>
      <c r="J2526" s="312" t="b">
        <v>0</v>
      </c>
      <c r="K2526" s="312"/>
      <c r="L2526" s="312"/>
      <c r="M2526" s="511"/>
      <c r="N2526" s="312"/>
      <c r="O2526" s="312"/>
      <c r="P2526" s="312"/>
      <c r="Q2526" s="312"/>
      <c r="R2526" s="312"/>
      <c r="S2526" s="312"/>
      <c r="T2526" s="312"/>
      <c r="U2526" s="312"/>
    </row>
    <row r="2527">
      <c r="A2527" s="312"/>
      <c r="B2527" s="312"/>
      <c r="C2527" s="567"/>
      <c r="D2527" s="312"/>
      <c r="E2527" s="511"/>
      <c r="F2527" s="312"/>
      <c r="G2527" s="312"/>
      <c r="H2527" s="312"/>
      <c r="I2527" s="567"/>
      <c r="J2527" s="312" t="b">
        <v>0</v>
      </c>
      <c r="K2527" s="312"/>
      <c r="L2527" s="312"/>
      <c r="M2527" s="511"/>
      <c r="N2527" s="312"/>
      <c r="O2527" s="312"/>
      <c r="P2527" s="312"/>
      <c r="Q2527" s="312"/>
      <c r="R2527" s="312"/>
      <c r="S2527" s="312"/>
      <c r="T2527" s="312"/>
      <c r="U2527" s="312"/>
    </row>
    <row r="2528">
      <c r="A2528" s="312"/>
      <c r="B2528" s="312"/>
      <c r="C2528" s="567"/>
      <c r="D2528" s="312"/>
      <c r="E2528" s="511"/>
      <c r="F2528" s="312"/>
      <c r="G2528" s="312"/>
      <c r="H2528" s="312"/>
      <c r="I2528" s="567"/>
      <c r="J2528" s="312" t="b">
        <v>0</v>
      </c>
      <c r="K2528" s="312"/>
      <c r="L2528" s="312"/>
      <c r="M2528" s="511"/>
      <c r="N2528" s="312"/>
      <c r="O2528" s="312"/>
      <c r="P2528" s="312"/>
      <c r="Q2528" s="312"/>
      <c r="R2528" s="312"/>
      <c r="S2528" s="312"/>
      <c r="T2528" s="312"/>
      <c r="U2528" s="312"/>
    </row>
    <row r="2529">
      <c r="A2529" s="312"/>
      <c r="B2529" s="312"/>
      <c r="C2529" s="567"/>
      <c r="D2529" s="312"/>
      <c r="E2529" s="511"/>
      <c r="F2529" s="312"/>
      <c r="G2529" s="312"/>
      <c r="H2529" s="312"/>
      <c r="I2529" s="567"/>
      <c r="J2529" s="312" t="b">
        <v>0</v>
      </c>
      <c r="K2529" s="312"/>
      <c r="L2529" s="312"/>
      <c r="M2529" s="511"/>
      <c r="N2529" s="312"/>
      <c r="O2529" s="312"/>
      <c r="P2529" s="312"/>
      <c r="Q2529" s="312"/>
      <c r="R2529" s="312"/>
      <c r="S2529" s="312"/>
      <c r="T2529" s="312"/>
      <c r="U2529" s="312"/>
    </row>
    <row r="2530">
      <c r="A2530" s="312"/>
      <c r="B2530" s="312"/>
      <c r="C2530" s="567"/>
      <c r="D2530" s="312"/>
      <c r="E2530" s="511"/>
      <c r="F2530" s="312"/>
      <c r="G2530" s="312"/>
      <c r="H2530" s="312"/>
      <c r="I2530" s="567"/>
      <c r="J2530" s="312" t="b">
        <v>0</v>
      </c>
      <c r="K2530" s="312"/>
      <c r="L2530" s="312"/>
      <c r="M2530" s="511"/>
      <c r="N2530" s="312"/>
      <c r="O2530" s="312"/>
      <c r="P2530" s="312"/>
      <c r="Q2530" s="312"/>
      <c r="R2530" s="312"/>
      <c r="S2530" s="312"/>
      <c r="T2530" s="312"/>
      <c r="U2530" s="312"/>
    </row>
    <row r="2531">
      <c r="A2531" s="312"/>
      <c r="B2531" s="312"/>
      <c r="C2531" s="567"/>
      <c r="D2531" s="312"/>
      <c r="E2531" s="511"/>
      <c r="F2531" s="312"/>
      <c r="G2531" s="312"/>
      <c r="H2531" s="312"/>
      <c r="I2531" s="567"/>
      <c r="J2531" s="312" t="b">
        <v>0</v>
      </c>
      <c r="K2531" s="312"/>
      <c r="L2531" s="312"/>
      <c r="M2531" s="511"/>
      <c r="N2531" s="312"/>
      <c r="O2531" s="312"/>
      <c r="P2531" s="312"/>
      <c r="Q2531" s="312"/>
      <c r="R2531" s="312"/>
      <c r="S2531" s="312"/>
      <c r="T2531" s="312"/>
      <c r="U2531" s="312"/>
    </row>
    <row r="2532">
      <c r="A2532" s="312"/>
      <c r="B2532" s="312"/>
      <c r="C2532" s="567"/>
      <c r="D2532" s="312"/>
      <c r="E2532" s="511"/>
      <c r="F2532" s="312"/>
      <c r="G2532" s="312"/>
      <c r="H2532" s="312"/>
      <c r="I2532" s="567"/>
      <c r="J2532" s="312" t="b">
        <v>0</v>
      </c>
      <c r="K2532" s="312"/>
      <c r="L2532" s="312"/>
      <c r="M2532" s="511"/>
      <c r="N2532" s="312"/>
      <c r="O2532" s="312"/>
      <c r="P2532" s="312"/>
      <c r="Q2532" s="312"/>
      <c r="R2532" s="312"/>
      <c r="S2532" s="312"/>
      <c r="T2532" s="312"/>
      <c r="U2532" s="312"/>
    </row>
    <row r="2533">
      <c r="A2533" s="312"/>
      <c r="B2533" s="312"/>
      <c r="C2533" s="567"/>
      <c r="D2533" s="312"/>
      <c r="E2533" s="511"/>
      <c r="F2533" s="312"/>
      <c r="G2533" s="312"/>
      <c r="H2533" s="312"/>
      <c r="I2533" s="567"/>
      <c r="J2533" s="312" t="b">
        <v>0</v>
      </c>
      <c r="K2533" s="312"/>
      <c r="L2533" s="312"/>
      <c r="M2533" s="511"/>
      <c r="N2533" s="312"/>
      <c r="O2533" s="312"/>
      <c r="P2533" s="312"/>
      <c r="Q2533" s="312"/>
      <c r="R2533" s="312"/>
      <c r="S2533" s="312"/>
      <c r="T2533" s="312"/>
      <c r="U2533" s="312"/>
    </row>
    <row r="2534">
      <c r="A2534" s="312"/>
      <c r="B2534" s="312"/>
      <c r="C2534" s="567"/>
      <c r="D2534" s="312"/>
      <c r="E2534" s="511"/>
      <c r="F2534" s="312"/>
      <c r="G2534" s="312"/>
      <c r="H2534" s="312"/>
      <c r="I2534" s="567"/>
      <c r="J2534" s="312" t="b">
        <v>0</v>
      </c>
      <c r="K2534" s="312"/>
      <c r="L2534" s="312"/>
      <c r="M2534" s="511"/>
      <c r="N2534" s="312"/>
      <c r="O2534" s="312"/>
      <c r="P2534" s="312"/>
      <c r="Q2534" s="312"/>
      <c r="R2534" s="312"/>
      <c r="S2534" s="312"/>
      <c r="T2534" s="312"/>
      <c r="U2534" s="312"/>
    </row>
    <row r="2535">
      <c r="A2535" s="312"/>
      <c r="B2535" s="312"/>
      <c r="C2535" s="567"/>
      <c r="D2535" s="312"/>
      <c r="E2535" s="511"/>
      <c r="F2535" s="312"/>
      <c r="G2535" s="312"/>
      <c r="H2535" s="312"/>
      <c r="I2535" s="567"/>
      <c r="J2535" s="312" t="b">
        <v>0</v>
      </c>
      <c r="K2535" s="312"/>
      <c r="L2535" s="312"/>
      <c r="M2535" s="511"/>
      <c r="N2535" s="312"/>
      <c r="O2535" s="312"/>
      <c r="P2535" s="312"/>
      <c r="Q2535" s="312"/>
      <c r="R2535" s="312"/>
      <c r="S2535" s="312"/>
      <c r="T2535" s="312"/>
      <c r="U2535" s="312"/>
    </row>
    <row r="2536">
      <c r="A2536" s="312"/>
      <c r="B2536" s="312"/>
      <c r="C2536" s="567"/>
      <c r="D2536" s="312"/>
      <c r="E2536" s="511"/>
      <c r="F2536" s="312"/>
      <c r="G2536" s="312"/>
      <c r="H2536" s="312"/>
      <c r="I2536" s="567"/>
      <c r="J2536" s="312" t="b">
        <v>0</v>
      </c>
      <c r="K2536" s="312"/>
      <c r="L2536" s="312"/>
      <c r="M2536" s="511"/>
      <c r="N2536" s="312"/>
      <c r="O2536" s="312"/>
      <c r="P2536" s="312"/>
      <c r="Q2536" s="312"/>
      <c r="R2536" s="312"/>
      <c r="S2536" s="312"/>
      <c r="T2536" s="312"/>
      <c r="U2536" s="312"/>
    </row>
    <row r="2537">
      <c r="A2537" s="312"/>
      <c r="B2537" s="312"/>
      <c r="C2537" s="567"/>
      <c r="D2537" s="312"/>
      <c r="E2537" s="511"/>
      <c r="F2537" s="312"/>
      <c r="G2537" s="312"/>
      <c r="H2537" s="312"/>
      <c r="I2537" s="567"/>
      <c r="J2537" s="312" t="b">
        <v>0</v>
      </c>
      <c r="K2537" s="312"/>
      <c r="L2537" s="312"/>
      <c r="M2537" s="511"/>
      <c r="N2537" s="312"/>
      <c r="O2537" s="312"/>
      <c r="P2537" s="312"/>
      <c r="Q2537" s="312"/>
      <c r="R2537" s="312"/>
      <c r="S2537" s="312"/>
      <c r="T2537" s="312"/>
      <c r="U2537" s="312"/>
    </row>
    <row r="2538">
      <c r="A2538" s="312"/>
      <c r="B2538" s="312"/>
      <c r="C2538" s="567"/>
      <c r="D2538" s="312"/>
      <c r="E2538" s="511"/>
      <c r="F2538" s="312"/>
      <c r="G2538" s="312"/>
      <c r="H2538" s="312"/>
      <c r="I2538" s="567"/>
      <c r="J2538" s="312" t="b">
        <v>0</v>
      </c>
      <c r="K2538" s="312"/>
      <c r="L2538" s="312"/>
      <c r="M2538" s="511"/>
      <c r="N2538" s="312"/>
      <c r="O2538" s="312"/>
      <c r="P2538" s="312"/>
      <c r="Q2538" s="312"/>
      <c r="R2538" s="312"/>
      <c r="S2538" s="312"/>
      <c r="T2538" s="312"/>
      <c r="U2538" s="312"/>
    </row>
    <row r="2539">
      <c r="A2539" s="312"/>
      <c r="B2539" s="312"/>
      <c r="C2539" s="567"/>
      <c r="D2539" s="312"/>
      <c r="E2539" s="511"/>
      <c r="F2539" s="312"/>
      <c r="G2539" s="312"/>
      <c r="H2539" s="312"/>
      <c r="I2539" s="567"/>
      <c r="J2539" s="312" t="b">
        <v>0</v>
      </c>
      <c r="K2539" s="312"/>
      <c r="L2539" s="312"/>
      <c r="M2539" s="511"/>
      <c r="N2539" s="312"/>
      <c r="O2539" s="312"/>
      <c r="P2539" s="312"/>
      <c r="Q2539" s="312"/>
      <c r="R2539" s="312"/>
      <c r="S2539" s="312"/>
      <c r="T2539" s="312"/>
      <c r="U2539" s="312"/>
    </row>
    <row r="2540">
      <c r="A2540" s="312"/>
      <c r="B2540" s="312"/>
      <c r="C2540" s="567"/>
      <c r="D2540" s="312"/>
      <c r="E2540" s="511"/>
      <c r="F2540" s="312"/>
      <c r="G2540" s="312"/>
      <c r="H2540" s="312"/>
      <c r="I2540" s="567"/>
      <c r="J2540" s="312" t="b">
        <v>0</v>
      </c>
      <c r="K2540" s="312"/>
      <c r="L2540" s="312"/>
      <c r="M2540" s="511"/>
      <c r="N2540" s="312"/>
      <c r="O2540" s="312"/>
      <c r="P2540" s="312"/>
      <c r="Q2540" s="312"/>
      <c r="R2540" s="312"/>
      <c r="S2540" s="312"/>
      <c r="T2540" s="312"/>
      <c r="U2540" s="312"/>
    </row>
    <row r="2541">
      <c r="A2541" s="312"/>
      <c r="B2541" s="312"/>
      <c r="C2541" s="567"/>
      <c r="D2541" s="312"/>
      <c r="E2541" s="511"/>
      <c r="F2541" s="312"/>
      <c r="G2541" s="312"/>
      <c r="H2541" s="312"/>
      <c r="I2541" s="567"/>
      <c r="J2541" s="312" t="b">
        <v>0</v>
      </c>
      <c r="K2541" s="312"/>
      <c r="L2541" s="312"/>
      <c r="M2541" s="511"/>
      <c r="N2541" s="312"/>
      <c r="O2541" s="312"/>
      <c r="P2541" s="312"/>
      <c r="Q2541" s="312"/>
      <c r="R2541" s="312"/>
      <c r="S2541" s="312"/>
      <c r="T2541" s="312"/>
      <c r="U2541" s="312"/>
    </row>
    <row r="2542">
      <c r="A2542" s="312"/>
      <c r="B2542" s="312"/>
      <c r="C2542" s="567"/>
      <c r="D2542" s="312"/>
      <c r="E2542" s="511"/>
      <c r="F2542" s="312"/>
      <c r="G2542" s="312"/>
      <c r="H2542" s="312"/>
      <c r="I2542" s="567"/>
      <c r="J2542" s="312" t="b">
        <v>0</v>
      </c>
      <c r="K2542" s="312"/>
      <c r="L2542" s="312"/>
      <c r="M2542" s="511"/>
      <c r="N2542" s="312"/>
      <c r="O2542" s="312"/>
      <c r="P2542" s="312"/>
      <c r="Q2542" s="312"/>
      <c r="R2542" s="312"/>
      <c r="S2542" s="312"/>
      <c r="T2542" s="312"/>
      <c r="U2542" s="312"/>
    </row>
    <row r="2543">
      <c r="A2543" s="312"/>
      <c r="B2543" s="312"/>
      <c r="C2543" s="567"/>
      <c r="D2543" s="312"/>
      <c r="E2543" s="511"/>
      <c r="F2543" s="312"/>
      <c r="G2543" s="312"/>
      <c r="H2543" s="312"/>
      <c r="I2543" s="567"/>
      <c r="J2543" s="312" t="b">
        <v>0</v>
      </c>
      <c r="K2543" s="312"/>
      <c r="L2543" s="312"/>
      <c r="M2543" s="511"/>
      <c r="N2543" s="312"/>
      <c r="O2543" s="312"/>
      <c r="P2543" s="312"/>
      <c r="Q2543" s="312"/>
      <c r="R2543" s="312"/>
      <c r="S2543" s="312"/>
      <c r="T2543" s="312"/>
      <c r="U2543" s="312"/>
    </row>
    <row r="2544">
      <c r="A2544" s="312"/>
      <c r="B2544" s="312"/>
      <c r="C2544" s="567"/>
      <c r="D2544" s="312"/>
      <c r="E2544" s="511"/>
      <c r="F2544" s="312"/>
      <c r="G2544" s="312"/>
      <c r="H2544" s="312"/>
      <c r="I2544" s="567"/>
      <c r="J2544" s="312" t="b">
        <v>0</v>
      </c>
      <c r="K2544" s="312"/>
      <c r="L2544" s="312"/>
      <c r="M2544" s="511"/>
      <c r="N2544" s="312"/>
      <c r="O2544" s="312"/>
      <c r="P2544" s="312"/>
      <c r="Q2544" s="312"/>
      <c r="R2544" s="312"/>
      <c r="S2544" s="312"/>
      <c r="T2544" s="312"/>
      <c r="U2544" s="312"/>
    </row>
    <row r="2545">
      <c r="A2545" s="312"/>
      <c r="B2545" s="312"/>
      <c r="C2545" s="567"/>
      <c r="D2545" s="312"/>
      <c r="E2545" s="511"/>
      <c r="F2545" s="312"/>
      <c r="G2545" s="312"/>
      <c r="H2545" s="312"/>
      <c r="I2545" s="567"/>
      <c r="J2545" s="312" t="b">
        <v>0</v>
      </c>
      <c r="K2545" s="312"/>
      <c r="L2545" s="312"/>
      <c r="M2545" s="511"/>
      <c r="N2545" s="312"/>
      <c r="O2545" s="312"/>
      <c r="P2545" s="312"/>
      <c r="Q2545" s="312"/>
      <c r="R2545" s="312"/>
      <c r="S2545" s="312"/>
      <c r="T2545" s="312"/>
      <c r="U2545" s="312"/>
    </row>
    <row r="2546">
      <c r="A2546" s="312"/>
      <c r="B2546" s="312"/>
      <c r="C2546" s="567"/>
      <c r="D2546" s="312"/>
      <c r="E2546" s="511"/>
      <c r="F2546" s="312"/>
      <c r="G2546" s="312"/>
      <c r="H2546" s="312"/>
      <c r="I2546" s="567"/>
      <c r="J2546" s="312" t="b">
        <v>0</v>
      </c>
      <c r="K2546" s="312"/>
      <c r="L2546" s="312"/>
      <c r="M2546" s="511"/>
      <c r="N2546" s="312"/>
      <c r="O2546" s="312"/>
      <c r="P2546" s="312"/>
      <c r="Q2546" s="312"/>
      <c r="R2546" s="312"/>
      <c r="S2546" s="312"/>
      <c r="T2546" s="312"/>
      <c r="U2546" s="312"/>
    </row>
    <row r="2547">
      <c r="A2547" s="312"/>
      <c r="B2547" s="312"/>
      <c r="C2547" s="567"/>
      <c r="D2547" s="312"/>
      <c r="E2547" s="511"/>
      <c r="F2547" s="312"/>
      <c r="G2547" s="312"/>
      <c r="H2547" s="312"/>
      <c r="I2547" s="567"/>
      <c r="J2547" s="312" t="b">
        <v>0</v>
      </c>
      <c r="K2547" s="312"/>
      <c r="L2547" s="312"/>
      <c r="M2547" s="511"/>
      <c r="N2547" s="312"/>
      <c r="O2547" s="312"/>
      <c r="P2547" s="312"/>
      <c r="Q2547" s="312"/>
      <c r="R2547" s="312"/>
      <c r="S2547" s="312"/>
      <c r="T2547" s="312"/>
      <c r="U2547" s="312"/>
    </row>
    <row r="2548">
      <c r="A2548" s="312"/>
      <c r="B2548" s="312"/>
      <c r="C2548" s="567"/>
      <c r="D2548" s="312"/>
      <c r="E2548" s="511"/>
      <c r="F2548" s="312"/>
      <c r="G2548" s="312"/>
      <c r="H2548" s="312"/>
      <c r="I2548" s="567"/>
      <c r="J2548" s="312" t="b">
        <v>0</v>
      </c>
      <c r="K2548" s="312"/>
      <c r="L2548" s="312"/>
      <c r="M2548" s="511"/>
      <c r="N2548" s="312"/>
      <c r="O2548" s="312"/>
      <c r="P2548" s="312"/>
      <c r="Q2548" s="312"/>
      <c r="R2548" s="312"/>
      <c r="S2548" s="312"/>
      <c r="T2548" s="312"/>
      <c r="U2548" s="312"/>
    </row>
    <row r="2549">
      <c r="A2549" s="312"/>
      <c r="B2549" s="312"/>
      <c r="C2549" s="567"/>
      <c r="D2549" s="312"/>
      <c r="E2549" s="511"/>
      <c r="F2549" s="312"/>
      <c r="G2549" s="312"/>
      <c r="H2549" s="312"/>
      <c r="I2549" s="567"/>
      <c r="J2549" s="312" t="b">
        <v>0</v>
      </c>
      <c r="K2549" s="312"/>
      <c r="L2549" s="312"/>
      <c r="M2549" s="511"/>
      <c r="N2549" s="312"/>
      <c r="O2549" s="312"/>
      <c r="P2549" s="312"/>
      <c r="Q2549" s="312"/>
      <c r="R2549" s="312"/>
      <c r="S2549" s="312"/>
      <c r="T2549" s="312"/>
      <c r="U2549" s="312"/>
    </row>
    <row r="2550">
      <c r="A2550" s="312"/>
      <c r="B2550" s="312"/>
      <c r="C2550" s="567"/>
      <c r="D2550" s="312"/>
      <c r="E2550" s="511"/>
      <c r="F2550" s="312"/>
      <c r="G2550" s="312"/>
      <c r="H2550" s="312"/>
      <c r="I2550" s="567"/>
      <c r="J2550" s="312" t="b">
        <v>0</v>
      </c>
      <c r="K2550" s="312"/>
      <c r="L2550" s="312"/>
      <c r="M2550" s="511"/>
      <c r="N2550" s="312"/>
      <c r="O2550" s="312"/>
      <c r="P2550" s="312"/>
      <c r="Q2550" s="312"/>
      <c r="R2550" s="312"/>
      <c r="S2550" s="312"/>
      <c r="T2550" s="312"/>
      <c r="U2550" s="312"/>
    </row>
    <row r="2551">
      <c r="A2551" s="312"/>
      <c r="B2551" s="312"/>
      <c r="C2551" s="567"/>
      <c r="D2551" s="312"/>
      <c r="E2551" s="511"/>
      <c r="F2551" s="312"/>
      <c r="G2551" s="312"/>
      <c r="H2551" s="312"/>
      <c r="I2551" s="567"/>
      <c r="J2551" s="312" t="b">
        <v>0</v>
      </c>
      <c r="K2551" s="312"/>
      <c r="L2551" s="312"/>
      <c r="M2551" s="511"/>
      <c r="N2551" s="312"/>
      <c r="O2551" s="312"/>
      <c r="P2551" s="312"/>
      <c r="Q2551" s="312"/>
      <c r="R2551" s="312"/>
      <c r="S2551" s="312"/>
      <c r="T2551" s="312"/>
      <c r="U2551" s="312"/>
    </row>
    <row r="2552">
      <c r="A2552" s="312"/>
      <c r="B2552" s="312"/>
      <c r="C2552" s="567"/>
      <c r="D2552" s="312"/>
      <c r="E2552" s="511"/>
      <c r="F2552" s="312"/>
      <c r="G2552" s="312"/>
      <c r="H2552" s="312"/>
      <c r="I2552" s="567"/>
      <c r="J2552" s="312" t="b">
        <v>0</v>
      </c>
      <c r="K2552" s="312"/>
      <c r="L2552" s="312"/>
      <c r="M2552" s="511"/>
      <c r="N2552" s="312"/>
      <c r="O2552" s="312"/>
      <c r="P2552" s="312"/>
      <c r="Q2552" s="312"/>
      <c r="R2552" s="312"/>
      <c r="S2552" s="312"/>
      <c r="T2552" s="312"/>
      <c r="U2552" s="312"/>
    </row>
    <row r="2553">
      <c r="A2553" s="312"/>
      <c r="B2553" s="312"/>
      <c r="C2553" s="567"/>
      <c r="D2553" s="312"/>
      <c r="E2553" s="511"/>
      <c r="F2553" s="312"/>
      <c r="G2553" s="312"/>
      <c r="H2553" s="312"/>
      <c r="I2553" s="567"/>
      <c r="J2553" s="312" t="b">
        <v>0</v>
      </c>
      <c r="K2553" s="312"/>
      <c r="L2553" s="312"/>
      <c r="M2553" s="511"/>
      <c r="N2553" s="312"/>
      <c r="O2553" s="312"/>
      <c r="P2553" s="312"/>
      <c r="Q2553" s="312"/>
      <c r="R2553" s="312"/>
      <c r="S2553" s="312"/>
      <c r="T2553" s="312"/>
      <c r="U2553" s="312"/>
    </row>
    <row r="2554">
      <c r="A2554" s="312"/>
      <c r="B2554" s="312"/>
      <c r="C2554" s="567"/>
      <c r="D2554" s="312"/>
      <c r="E2554" s="511"/>
      <c r="F2554" s="312"/>
      <c r="G2554" s="312"/>
      <c r="H2554" s="312"/>
      <c r="I2554" s="567"/>
      <c r="J2554" s="312" t="b">
        <v>0</v>
      </c>
      <c r="K2554" s="312"/>
      <c r="L2554" s="312"/>
      <c r="M2554" s="511"/>
      <c r="N2554" s="312"/>
      <c r="O2554" s="312"/>
      <c r="P2554" s="312"/>
      <c r="Q2554" s="312"/>
      <c r="R2554" s="312"/>
      <c r="S2554" s="312"/>
      <c r="T2554" s="312"/>
      <c r="U2554" s="312"/>
    </row>
    <row r="2555">
      <c r="A2555" s="312"/>
      <c r="B2555" s="312"/>
      <c r="C2555" s="567"/>
      <c r="D2555" s="312"/>
      <c r="E2555" s="511"/>
      <c r="F2555" s="312"/>
      <c r="G2555" s="312"/>
      <c r="H2555" s="312"/>
      <c r="I2555" s="567"/>
      <c r="J2555" s="312" t="b">
        <v>0</v>
      </c>
      <c r="K2555" s="312"/>
      <c r="L2555" s="312"/>
      <c r="M2555" s="511"/>
      <c r="N2555" s="312"/>
      <c r="O2555" s="312"/>
      <c r="P2555" s="312"/>
      <c r="Q2555" s="312"/>
      <c r="R2555" s="312"/>
      <c r="S2555" s="312"/>
      <c r="T2555" s="312"/>
      <c r="U2555" s="312"/>
    </row>
    <row r="2556">
      <c r="A2556" s="312"/>
      <c r="B2556" s="312"/>
      <c r="C2556" s="567"/>
      <c r="D2556" s="312"/>
      <c r="E2556" s="511"/>
      <c r="F2556" s="312"/>
      <c r="G2556" s="312"/>
      <c r="H2556" s="312"/>
      <c r="I2556" s="567"/>
      <c r="J2556" s="312" t="b">
        <v>0</v>
      </c>
      <c r="K2556" s="312"/>
      <c r="L2556" s="312"/>
      <c r="M2556" s="511"/>
      <c r="N2556" s="312"/>
      <c r="O2556" s="312"/>
      <c r="P2556" s="312"/>
      <c r="Q2556" s="312"/>
      <c r="R2556" s="312"/>
      <c r="S2556" s="312"/>
      <c r="T2556" s="312"/>
      <c r="U2556" s="312"/>
    </row>
    <row r="2557">
      <c r="A2557" s="312"/>
      <c r="B2557" s="312"/>
      <c r="C2557" s="567"/>
      <c r="D2557" s="312"/>
      <c r="E2557" s="511"/>
      <c r="F2557" s="312"/>
      <c r="G2557" s="312"/>
      <c r="H2557" s="312"/>
      <c r="I2557" s="567"/>
      <c r="J2557" s="312" t="b">
        <v>0</v>
      </c>
      <c r="K2557" s="312"/>
      <c r="L2557" s="312"/>
      <c r="M2557" s="511"/>
      <c r="N2557" s="312"/>
      <c r="O2557" s="312"/>
      <c r="P2557" s="312"/>
      <c r="Q2557" s="312"/>
      <c r="R2557" s="312"/>
      <c r="S2557" s="312"/>
      <c r="T2557" s="312"/>
      <c r="U2557" s="312"/>
    </row>
    <row r="2558">
      <c r="A2558" s="312"/>
      <c r="B2558" s="312"/>
      <c r="C2558" s="567"/>
      <c r="D2558" s="312"/>
      <c r="E2558" s="511"/>
      <c r="F2558" s="312"/>
      <c r="G2558" s="312"/>
      <c r="H2558" s="312"/>
      <c r="I2558" s="567"/>
      <c r="J2558" s="312" t="b">
        <v>0</v>
      </c>
      <c r="K2558" s="312"/>
      <c r="L2558" s="312"/>
      <c r="M2558" s="511"/>
      <c r="N2558" s="312"/>
      <c r="O2558" s="312"/>
      <c r="P2558" s="312"/>
      <c r="Q2558" s="312"/>
      <c r="R2558" s="312"/>
      <c r="S2558" s="312"/>
      <c r="T2558" s="312"/>
      <c r="U2558" s="312"/>
    </row>
    <row r="2559">
      <c r="A2559" s="312"/>
      <c r="B2559" s="312"/>
      <c r="C2559" s="567"/>
      <c r="D2559" s="312"/>
      <c r="E2559" s="511"/>
      <c r="F2559" s="312"/>
      <c r="G2559" s="312"/>
      <c r="H2559" s="312"/>
      <c r="I2559" s="567"/>
      <c r="J2559" s="312" t="b">
        <v>0</v>
      </c>
      <c r="K2559" s="312"/>
      <c r="L2559" s="312"/>
      <c r="M2559" s="511"/>
      <c r="N2559" s="312"/>
      <c r="O2559" s="312"/>
      <c r="P2559" s="312"/>
      <c r="Q2559" s="312"/>
      <c r="R2559" s="312"/>
      <c r="S2559" s="312"/>
      <c r="T2559" s="312"/>
      <c r="U2559" s="312"/>
    </row>
    <row r="2560">
      <c r="A2560" s="312"/>
      <c r="B2560" s="312"/>
      <c r="C2560" s="567"/>
      <c r="D2560" s="312"/>
      <c r="E2560" s="511"/>
      <c r="F2560" s="312"/>
      <c r="G2560" s="312"/>
      <c r="H2560" s="312"/>
      <c r="I2560" s="567"/>
      <c r="J2560" s="312" t="b">
        <v>0</v>
      </c>
      <c r="K2560" s="312"/>
      <c r="L2560" s="312"/>
      <c r="M2560" s="511"/>
      <c r="N2560" s="312"/>
      <c r="O2560" s="312"/>
      <c r="P2560" s="312"/>
      <c r="Q2560" s="312"/>
      <c r="R2560" s="312"/>
      <c r="S2560" s="312"/>
      <c r="T2560" s="312"/>
      <c r="U2560" s="312"/>
    </row>
    <row r="2561">
      <c r="A2561" s="312"/>
      <c r="B2561" s="312"/>
      <c r="C2561" s="567"/>
      <c r="D2561" s="312"/>
      <c r="E2561" s="511"/>
      <c r="F2561" s="312"/>
      <c r="G2561" s="312"/>
      <c r="H2561" s="312"/>
      <c r="I2561" s="567"/>
      <c r="J2561" s="312" t="b">
        <v>0</v>
      </c>
      <c r="K2561" s="312"/>
      <c r="L2561" s="312"/>
      <c r="M2561" s="511"/>
      <c r="N2561" s="312"/>
      <c r="O2561" s="312"/>
      <c r="P2561" s="312"/>
      <c r="Q2561" s="312"/>
      <c r="R2561" s="312"/>
      <c r="S2561" s="312"/>
      <c r="T2561" s="312"/>
      <c r="U2561" s="312"/>
    </row>
    <row r="2562">
      <c r="A2562" s="312"/>
      <c r="B2562" s="312"/>
      <c r="C2562" s="567"/>
      <c r="D2562" s="312"/>
      <c r="E2562" s="511"/>
      <c r="F2562" s="312"/>
      <c r="G2562" s="312"/>
      <c r="H2562" s="312"/>
      <c r="I2562" s="567"/>
      <c r="J2562" s="312" t="b">
        <v>0</v>
      </c>
      <c r="K2562" s="312"/>
      <c r="L2562" s="312"/>
      <c r="M2562" s="511"/>
      <c r="N2562" s="312"/>
      <c r="O2562" s="312"/>
      <c r="P2562" s="312"/>
      <c r="Q2562" s="312"/>
      <c r="R2562" s="312"/>
      <c r="S2562" s="312"/>
      <c r="T2562" s="312"/>
      <c r="U2562" s="312"/>
    </row>
    <row r="2563">
      <c r="A2563" s="312"/>
      <c r="B2563" s="312"/>
      <c r="C2563" s="567"/>
      <c r="D2563" s="312"/>
      <c r="E2563" s="511"/>
      <c r="F2563" s="312"/>
      <c r="G2563" s="312"/>
      <c r="H2563" s="312"/>
      <c r="I2563" s="567"/>
      <c r="J2563" s="312" t="b">
        <v>0</v>
      </c>
      <c r="K2563" s="312"/>
      <c r="L2563" s="312"/>
      <c r="M2563" s="511"/>
      <c r="N2563" s="312"/>
      <c r="O2563" s="312"/>
      <c r="P2563" s="312"/>
      <c r="Q2563" s="312"/>
      <c r="R2563" s="312"/>
      <c r="S2563" s="312"/>
      <c r="T2563" s="312"/>
      <c r="U2563" s="312"/>
    </row>
    <row r="2564">
      <c r="A2564" s="312"/>
      <c r="B2564" s="312"/>
      <c r="C2564" s="567"/>
      <c r="D2564" s="312"/>
      <c r="E2564" s="511"/>
      <c r="F2564" s="312"/>
      <c r="G2564" s="312"/>
      <c r="H2564" s="312"/>
      <c r="I2564" s="567"/>
      <c r="J2564" s="312" t="b">
        <v>0</v>
      </c>
      <c r="K2564" s="312"/>
      <c r="L2564" s="312"/>
      <c r="M2564" s="511"/>
      <c r="N2564" s="312"/>
      <c r="O2564" s="312"/>
      <c r="P2564" s="312"/>
      <c r="Q2564" s="312"/>
      <c r="R2564" s="312"/>
      <c r="S2564" s="312"/>
      <c r="T2564" s="312"/>
      <c r="U2564" s="312"/>
    </row>
    <row r="2565">
      <c r="A2565" s="312"/>
      <c r="B2565" s="312"/>
      <c r="C2565" s="567"/>
      <c r="D2565" s="312"/>
      <c r="E2565" s="511"/>
      <c r="F2565" s="312"/>
      <c r="G2565" s="312"/>
      <c r="H2565" s="312"/>
      <c r="I2565" s="567"/>
      <c r="J2565" s="312" t="b">
        <v>0</v>
      </c>
      <c r="K2565" s="312"/>
      <c r="L2565" s="312"/>
      <c r="M2565" s="511"/>
      <c r="N2565" s="312"/>
      <c r="O2565" s="312"/>
      <c r="P2565" s="312"/>
      <c r="Q2565" s="312"/>
      <c r="R2565" s="312"/>
      <c r="S2565" s="312"/>
      <c r="T2565" s="312"/>
      <c r="U2565" s="312"/>
    </row>
    <row r="2566">
      <c r="A2566" s="312"/>
      <c r="B2566" s="312"/>
      <c r="C2566" s="567"/>
      <c r="D2566" s="312"/>
      <c r="E2566" s="511"/>
      <c r="F2566" s="312"/>
      <c r="G2566" s="312"/>
      <c r="H2566" s="312"/>
      <c r="I2566" s="567"/>
      <c r="J2566" s="312" t="b">
        <v>0</v>
      </c>
      <c r="K2566" s="312"/>
      <c r="L2566" s="312"/>
      <c r="M2566" s="511"/>
      <c r="N2566" s="312"/>
      <c r="O2566" s="312"/>
      <c r="P2566" s="312"/>
      <c r="Q2566" s="312"/>
      <c r="R2566" s="312"/>
      <c r="S2566" s="312"/>
      <c r="T2566" s="312"/>
      <c r="U2566" s="312"/>
    </row>
    <row r="2567">
      <c r="A2567" s="312"/>
      <c r="B2567" s="312"/>
      <c r="C2567" s="567"/>
      <c r="D2567" s="312"/>
      <c r="E2567" s="511"/>
      <c r="F2567" s="312"/>
      <c r="G2567" s="312"/>
      <c r="H2567" s="312"/>
      <c r="I2567" s="567"/>
      <c r="J2567" s="312" t="b">
        <v>0</v>
      </c>
      <c r="K2567" s="312"/>
      <c r="L2567" s="312"/>
      <c r="M2567" s="511"/>
      <c r="N2567" s="312"/>
      <c r="O2567" s="312"/>
      <c r="P2567" s="312"/>
      <c r="Q2567" s="312"/>
      <c r="R2567" s="312"/>
      <c r="S2567" s="312"/>
      <c r="T2567" s="312"/>
      <c r="U2567" s="312"/>
    </row>
    <row r="2568">
      <c r="A2568" s="312"/>
      <c r="B2568" s="312"/>
      <c r="C2568" s="567"/>
      <c r="D2568" s="312"/>
      <c r="E2568" s="511"/>
      <c r="F2568" s="312"/>
      <c r="G2568" s="312"/>
      <c r="H2568" s="312"/>
      <c r="I2568" s="567"/>
      <c r="J2568" s="312" t="b">
        <v>0</v>
      </c>
      <c r="K2568" s="312"/>
      <c r="L2568" s="312"/>
      <c r="M2568" s="511"/>
      <c r="N2568" s="312"/>
      <c r="O2568" s="312"/>
      <c r="P2568" s="312"/>
      <c r="Q2568" s="312"/>
      <c r="R2568" s="312"/>
      <c r="S2568" s="312"/>
      <c r="T2568" s="312"/>
      <c r="U2568" s="312"/>
    </row>
    <row r="2569">
      <c r="A2569" s="312"/>
      <c r="B2569" s="312"/>
      <c r="C2569" s="567"/>
      <c r="D2569" s="312"/>
      <c r="E2569" s="511"/>
      <c r="F2569" s="312"/>
      <c r="G2569" s="312"/>
      <c r="H2569" s="312"/>
      <c r="I2569" s="567"/>
      <c r="J2569" s="312" t="b">
        <v>0</v>
      </c>
      <c r="K2569" s="312"/>
      <c r="L2569" s="312"/>
      <c r="M2569" s="511"/>
      <c r="N2569" s="312"/>
      <c r="O2569" s="312"/>
      <c r="P2569" s="312"/>
      <c r="Q2569" s="312"/>
      <c r="R2569" s="312"/>
      <c r="S2569" s="312"/>
      <c r="T2569" s="312"/>
      <c r="U2569" s="312"/>
    </row>
    <row r="2570">
      <c r="A2570" s="312"/>
      <c r="B2570" s="312"/>
      <c r="C2570" s="567"/>
      <c r="D2570" s="312"/>
      <c r="E2570" s="511"/>
      <c r="F2570" s="312"/>
      <c r="G2570" s="312"/>
      <c r="H2570" s="312"/>
      <c r="I2570" s="567"/>
      <c r="J2570" s="312" t="b">
        <v>0</v>
      </c>
      <c r="K2570" s="312"/>
      <c r="L2570" s="312"/>
      <c r="M2570" s="511"/>
      <c r="N2570" s="312"/>
      <c r="O2570" s="312"/>
      <c r="P2570" s="312"/>
      <c r="Q2570" s="312"/>
      <c r="R2570" s="312"/>
      <c r="S2570" s="312"/>
      <c r="T2570" s="312"/>
      <c r="U2570" s="312"/>
    </row>
    <row r="2571">
      <c r="A2571" s="312"/>
      <c r="B2571" s="312"/>
      <c r="C2571" s="567"/>
      <c r="D2571" s="312"/>
      <c r="E2571" s="511"/>
      <c r="F2571" s="312"/>
      <c r="G2571" s="312"/>
      <c r="H2571" s="312"/>
      <c r="I2571" s="567"/>
      <c r="J2571" s="312" t="b">
        <v>0</v>
      </c>
      <c r="K2571" s="312"/>
      <c r="L2571" s="312"/>
      <c r="M2571" s="511"/>
      <c r="N2571" s="312"/>
      <c r="O2571" s="312"/>
      <c r="P2571" s="312"/>
      <c r="Q2571" s="312"/>
      <c r="R2571" s="312"/>
      <c r="S2571" s="312"/>
      <c r="T2571" s="312"/>
      <c r="U2571" s="312"/>
    </row>
    <row r="2572">
      <c r="A2572" s="312"/>
      <c r="B2572" s="312"/>
      <c r="C2572" s="567"/>
      <c r="D2572" s="312"/>
      <c r="E2572" s="511"/>
      <c r="F2572" s="312"/>
      <c r="G2572" s="312"/>
      <c r="H2572" s="312"/>
      <c r="I2572" s="567"/>
      <c r="J2572" s="312" t="b">
        <v>0</v>
      </c>
      <c r="K2572" s="312"/>
      <c r="L2572" s="312"/>
      <c r="M2572" s="511"/>
      <c r="N2572" s="312"/>
      <c r="O2572" s="312"/>
      <c r="P2572" s="312"/>
      <c r="Q2572" s="312"/>
      <c r="R2572" s="312"/>
      <c r="S2572" s="312"/>
      <c r="T2572" s="312"/>
      <c r="U2572" s="312"/>
    </row>
    <row r="2573">
      <c r="A2573" s="312"/>
      <c r="B2573" s="312"/>
      <c r="C2573" s="567"/>
      <c r="D2573" s="312"/>
      <c r="E2573" s="511"/>
      <c r="F2573" s="312"/>
      <c r="G2573" s="312"/>
      <c r="H2573" s="312"/>
      <c r="I2573" s="567"/>
      <c r="J2573" s="312" t="b">
        <v>0</v>
      </c>
      <c r="K2573" s="312"/>
      <c r="L2573" s="312"/>
      <c r="M2573" s="511"/>
      <c r="N2573" s="312"/>
      <c r="O2573" s="312"/>
      <c r="P2573" s="312"/>
      <c r="Q2573" s="312"/>
      <c r="R2573" s="312"/>
      <c r="S2573" s="312"/>
      <c r="T2573" s="312"/>
      <c r="U2573" s="312"/>
    </row>
    <row r="2574">
      <c r="A2574" s="312"/>
      <c r="B2574" s="312"/>
      <c r="C2574" s="567"/>
      <c r="D2574" s="312"/>
      <c r="E2574" s="511"/>
      <c r="F2574" s="312"/>
      <c r="G2574" s="312"/>
      <c r="H2574" s="312"/>
      <c r="I2574" s="567"/>
      <c r="J2574" s="312" t="b">
        <v>0</v>
      </c>
      <c r="K2574" s="312"/>
      <c r="L2574" s="312"/>
      <c r="M2574" s="511"/>
      <c r="N2574" s="312"/>
      <c r="O2574" s="312"/>
      <c r="P2574" s="312"/>
      <c r="Q2574" s="312"/>
      <c r="R2574" s="312"/>
      <c r="S2574" s="312"/>
      <c r="T2574" s="312"/>
      <c r="U2574" s="312"/>
    </row>
    <row r="2575">
      <c r="A2575" s="312"/>
      <c r="B2575" s="312"/>
      <c r="C2575" s="567"/>
      <c r="D2575" s="312"/>
      <c r="E2575" s="511"/>
      <c r="F2575" s="312"/>
      <c r="G2575" s="312"/>
      <c r="H2575" s="312"/>
      <c r="I2575" s="567"/>
      <c r="J2575" s="312" t="b">
        <v>0</v>
      </c>
      <c r="K2575" s="312"/>
      <c r="L2575" s="312"/>
      <c r="M2575" s="511"/>
      <c r="N2575" s="312"/>
      <c r="O2575" s="312"/>
      <c r="P2575" s="312"/>
      <c r="Q2575" s="312"/>
      <c r="R2575" s="312"/>
      <c r="S2575" s="312"/>
      <c r="T2575" s="312"/>
      <c r="U2575" s="312"/>
    </row>
    <row r="2576">
      <c r="A2576" s="312"/>
      <c r="B2576" s="312"/>
      <c r="C2576" s="567"/>
      <c r="D2576" s="312"/>
      <c r="E2576" s="511"/>
      <c r="F2576" s="312"/>
      <c r="G2576" s="312"/>
      <c r="H2576" s="312"/>
      <c r="I2576" s="567"/>
      <c r="J2576" s="312" t="b">
        <v>0</v>
      </c>
      <c r="K2576" s="312"/>
      <c r="L2576" s="312"/>
      <c r="M2576" s="511"/>
      <c r="N2576" s="312"/>
      <c r="O2576" s="312"/>
      <c r="P2576" s="312"/>
      <c r="Q2576" s="312"/>
      <c r="R2576" s="312"/>
      <c r="S2576" s="312"/>
      <c r="T2576" s="312"/>
      <c r="U2576" s="312"/>
    </row>
    <row r="2577">
      <c r="A2577" s="312"/>
      <c r="B2577" s="312"/>
      <c r="C2577" s="567"/>
      <c r="D2577" s="312"/>
      <c r="E2577" s="511"/>
      <c r="F2577" s="312"/>
      <c r="G2577" s="312"/>
      <c r="H2577" s="312"/>
      <c r="I2577" s="567"/>
      <c r="J2577" s="312" t="b">
        <v>0</v>
      </c>
      <c r="K2577" s="312"/>
      <c r="L2577" s="312"/>
      <c r="M2577" s="511"/>
      <c r="N2577" s="312"/>
      <c r="O2577" s="312"/>
      <c r="P2577" s="312"/>
      <c r="Q2577" s="312"/>
      <c r="R2577" s="312"/>
      <c r="S2577" s="312"/>
      <c r="T2577" s="312"/>
      <c r="U2577" s="312"/>
    </row>
    <row r="2578">
      <c r="A2578" s="312"/>
      <c r="B2578" s="312"/>
      <c r="C2578" s="567"/>
      <c r="D2578" s="312"/>
      <c r="E2578" s="511"/>
      <c r="F2578" s="312"/>
      <c r="G2578" s="312"/>
      <c r="H2578" s="312"/>
      <c r="I2578" s="567"/>
      <c r="J2578" s="312" t="b">
        <v>0</v>
      </c>
      <c r="K2578" s="312"/>
      <c r="L2578" s="312"/>
      <c r="M2578" s="511"/>
      <c r="N2578" s="312"/>
      <c r="O2578" s="312"/>
      <c r="P2578" s="312"/>
      <c r="Q2578" s="312"/>
      <c r="R2578" s="312"/>
      <c r="S2578" s="312"/>
      <c r="T2578" s="312"/>
      <c r="U2578" s="312"/>
    </row>
    <row r="2579">
      <c r="A2579" s="312"/>
      <c r="B2579" s="312"/>
      <c r="C2579" s="567"/>
      <c r="D2579" s="312"/>
      <c r="E2579" s="511"/>
      <c r="F2579" s="312"/>
      <c r="G2579" s="312"/>
      <c r="H2579" s="312"/>
      <c r="I2579" s="567"/>
      <c r="J2579" s="312" t="b">
        <v>0</v>
      </c>
      <c r="K2579" s="312"/>
      <c r="L2579" s="312"/>
      <c r="M2579" s="511"/>
      <c r="N2579" s="312"/>
      <c r="O2579" s="312"/>
      <c r="P2579" s="312"/>
      <c r="Q2579" s="312"/>
      <c r="R2579" s="312"/>
      <c r="S2579" s="312"/>
      <c r="T2579" s="312"/>
      <c r="U2579" s="312"/>
    </row>
    <row r="2580">
      <c r="A2580" s="312"/>
      <c r="B2580" s="312"/>
      <c r="C2580" s="567"/>
      <c r="D2580" s="312"/>
      <c r="E2580" s="511"/>
      <c r="F2580" s="312"/>
      <c r="G2580" s="312"/>
      <c r="H2580" s="312"/>
      <c r="I2580" s="567"/>
      <c r="J2580" s="312" t="b">
        <v>0</v>
      </c>
      <c r="K2580" s="312"/>
      <c r="L2580" s="312"/>
      <c r="M2580" s="511"/>
      <c r="N2580" s="312"/>
      <c r="O2580" s="312"/>
      <c r="P2580" s="312"/>
      <c r="Q2580" s="312"/>
      <c r="R2580" s="312"/>
      <c r="S2580" s="312"/>
      <c r="T2580" s="312"/>
      <c r="U2580" s="312"/>
    </row>
    <row r="2581">
      <c r="A2581" s="312"/>
      <c r="B2581" s="312"/>
      <c r="C2581" s="567"/>
      <c r="D2581" s="312"/>
      <c r="E2581" s="511"/>
      <c r="F2581" s="312"/>
      <c r="G2581" s="312"/>
      <c r="H2581" s="312"/>
      <c r="I2581" s="567"/>
      <c r="J2581" s="312" t="b">
        <v>0</v>
      </c>
      <c r="K2581" s="312"/>
      <c r="L2581" s="312"/>
      <c r="M2581" s="511"/>
      <c r="N2581" s="312"/>
      <c r="O2581" s="312"/>
      <c r="P2581" s="312"/>
      <c r="Q2581" s="312"/>
      <c r="R2581" s="312"/>
      <c r="S2581" s="312"/>
      <c r="T2581" s="312"/>
      <c r="U2581" s="312"/>
    </row>
    <row r="2582">
      <c r="A2582" s="312"/>
      <c r="B2582" s="312"/>
      <c r="C2582" s="567"/>
      <c r="D2582" s="312"/>
      <c r="E2582" s="511"/>
      <c r="F2582" s="312"/>
      <c r="G2582" s="312"/>
      <c r="H2582" s="312"/>
      <c r="I2582" s="567"/>
      <c r="J2582" s="312" t="b">
        <v>0</v>
      </c>
      <c r="K2582" s="312"/>
      <c r="L2582" s="312"/>
      <c r="M2582" s="511"/>
      <c r="N2582" s="312"/>
      <c r="O2582" s="312"/>
      <c r="P2582" s="312"/>
      <c r="Q2582" s="312"/>
      <c r="R2582" s="312"/>
      <c r="S2582" s="312"/>
      <c r="T2582" s="312"/>
      <c r="U2582" s="312"/>
    </row>
    <row r="2583">
      <c r="A2583" s="312"/>
      <c r="B2583" s="312"/>
      <c r="C2583" s="567"/>
      <c r="D2583" s="312"/>
      <c r="E2583" s="511"/>
      <c r="F2583" s="312"/>
      <c r="G2583" s="312"/>
      <c r="H2583" s="312"/>
      <c r="I2583" s="567"/>
      <c r="J2583" s="312" t="b">
        <v>0</v>
      </c>
      <c r="K2583" s="312"/>
      <c r="L2583" s="312"/>
      <c r="M2583" s="511"/>
      <c r="N2583" s="312"/>
      <c r="O2583" s="312"/>
      <c r="P2583" s="312"/>
      <c r="Q2583" s="312"/>
      <c r="R2583" s="312"/>
      <c r="S2583" s="312"/>
      <c r="T2583" s="312"/>
      <c r="U2583" s="312"/>
    </row>
    <row r="2584">
      <c r="A2584" s="312"/>
      <c r="B2584" s="312"/>
      <c r="C2584" s="567"/>
      <c r="D2584" s="312"/>
      <c r="E2584" s="511"/>
      <c r="F2584" s="312"/>
      <c r="G2584" s="312"/>
      <c r="H2584" s="312"/>
      <c r="I2584" s="567"/>
      <c r="J2584" s="312" t="b">
        <v>0</v>
      </c>
      <c r="K2584" s="312"/>
      <c r="L2584" s="312"/>
      <c r="M2584" s="511"/>
      <c r="N2584" s="312"/>
      <c r="O2584" s="312"/>
      <c r="P2584" s="312"/>
      <c r="Q2584" s="312"/>
      <c r="R2584" s="312"/>
      <c r="S2584" s="312"/>
      <c r="T2584" s="312"/>
      <c r="U2584" s="312"/>
    </row>
    <row r="2585">
      <c r="A2585" s="312"/>
      <c r="B2585" s="312"/>
      <c r="C2585" s="567"/>
      <c r="D2585" s="312"/>
      <c r="E2585" s="511"/>
      <c r="F2585" s="312"/>
      <c r="G2585" s="312"/>
      <c r="H2585" s="312"/>
      <c r="I2585" s="567"/>
      <c r="J2585" s="312" t="b">
        <v>0</v>
      </c>
      <c r="K2585" s="312"/>
      <c r="L2585" s="312"/>
      <c r="M2585" s="511"/>
      <c r="N2585" s="312"/>
      <c r="O2585" s="312"/>
      <c r="P2585" s="312"/>
      <c r="Q2585" s="312"/>
      <c r="R2585" s="312"/>
      <c r="S2585" s="312"/>
      <c r="T2585" s="312"/>
      <c r="U2585" s="312"/>
    </row>
    <row r="2586">
      <c r="A2586" s="312"/>
      <c r="B2586" s="312"/>
      <c r="C2586" s="567"/>
      <c r="D2586" s="312"/>
      <c r="E2586" s="511"/>
      <c r="F2586" s="312"/>
      <c r="G2586" s="312"/>
      <c r="H2586" s="312"/>
      <c r="I2586" s="567"/>
      <c r="J2586" s="312" t="b">
        <v>0</v>
      </c>
      <c r="K2586" s="312"/>
      <c r="L2586" s="312"/>
      <c r="M2586" s="511"/>
      <c r="N2586" s="312"/>
      <c r="O2586" s="312"/>
      <c r="P2586" s="312"/>
      <c r="Q2586" s="312"/>
      <c r="R2586" s="312"/>
      <c r="S2586" s="312"/>
      <c r="T2586" s="312"/>
      <c r="U2586" s="312"/>
    </row>
    <row r="2587">
      <c r="A2587" s="312"/>
      <c r="B2587" s="312"/>
      <c r="C2587" s="567"/>
      <c r="D2587" s="312"/>
      <c r="E2587" s="511"/>
      <c r="F2587" s="312"/>
      <c r="G2587" s="312"/>
      <c r="H2587" s="312"/>
      <c r="I2587" s="567"/>
      <c r="J2587" s="312" t="b">
        <v>0</v>
      </c>
      <c r="K2587" s="312"/>
      <c r="L2587" s="312"/>
      <c r="M2587" s="511"/>
      <c r="N2587" s="312"/>
      <c r="O2587" s="312"/>
      <c r="P2587" s="312"/>
      <c r="Q2587" s="312"/>
      <c r="R2587" s="312"/>
      <c r="S2587" s="312"/>
      <c r="T2587" s="312"/>
      <c r="U2587" s="312"/>
    </row>
    <row r="2588">
      <c r="A2588" s="312"/>
      <c r="B2588" s="312"/>
      <c r="C2588" s="567"/>
      <c r="D2588" s="312"/>
      <c r="E2588" s="511"/>
      <c r="F2588" s="312"/>
      <c r="G2588" s="312"/>
      <c r="H2588" s="312"/>
      <c r="I2588" s="567"/>
      <c r="J2588" s="312" t="b">
        <v>0</v>
      </c>
      <c r="K2588" s="312"/>
      <c r="L2588" s="312"/>
      <c r="M2588" s="511"/>
      <c r="N2588" s="312"/>
      <c r="O2588" s="312"/>
      <c r="P2588" s="312"/>
      <c r="Q2588" s="312"/>
      <c r="R2588" s="312"/>
      <c r="S2588" s="312"/>
      <c r="T2588" s="312"/>
      <c r="U2588" s="312"/>
    </row>
    <row r="2589">
      <c r="A2589" s="312"/>
      <c r="B2589" s="312"/>
      <c r="C2589" s="567"/>
      <c r="D2589" s="312"/>
      <c r="E2589" s="511"/>
      <c r="F2589" s="312"/>
      <c r="G2589" s="312"/>
      <c r="H2589" s="312"/>
      <c r="I2589" s="567"/>
      <c r="J2589" s="312" t="b">
        <v>0</v>
      </c>
      <c r="K2589" s="312"/>
      <c r="L2589" s="312"/>
      <c r="M2589" s="511"/>
      <c r="N2589" s="312"/>
      <c r="O2589" s="312"/>
      <c r="P2589" s="312"/>
      <c r="Q2589" s="312"/>
      <c r="R2589" s="312"/>
      <c r="S2589" s="312"/>
      <c r="T2589" s="312"/>
      <c r="U2589" s="312"/>
    </row>
    <row r="2590">
      <c r="A2590" s="312"/>
      <c r="B2590" s="312"/>
      <c r="C2590" s="567"/>
      <c r="D2590" s="312"/>
      <c r="E2590" s="511"/>
      <c r="F2590" s="312"/>
      <c r="G2590" s="312"/>
      <c r="H2590" s="312"/>
      <c r="I2590" s="567"/>
      <c r="J2590" s="312" t="b">
        <v>0</v>
      </c>
      <c r="K2590" s="312"/>
      <c r="L2590" s="312"/>
      <c r="M2590" s="511"/>
      <c r="N2590" s="312"/>
      <c r="O2590" s="312"/>
      <c r="P2590" s="312"/>
      <c r="Q2590" s="312"/>
      <c r="R2590" s="312"/>
      <c r="S2590" s="312"/>
      <c r="T2590" s="312"/>
      <c r="U2590" s="312"/>
    </row>
    <row r="2591">
      <c r="A2591" s="312"/>
      <c r="B2591" s="312"/>
      <c r="C2591" s="567"/>
      <c r="D2591" s="312"/>
      <c r="E2591" s="511"/>
      <c r="F2591" s="312"/>
      <c r="G2591" s="312"/>
      <c r="H2591" s="312"/>
      <c r="I2591" s="567"/>
      <c r="J2591" s="312" t="b">
        <v>0</v>
      </c>
      <c r="K2591" s="312"/>
      <c r="L2591" s="312"/>
      <c r="M2591" s="511"/>
      <c r="N2591" s="312"/>
      <c r="O2591" s="312"/>
      <c r="P2591" s="312"/>
      <c r="Q2591" s="312"/>
      <c r="R2591" s="312"/>
      <c r="S2591" s="312"/>
      <c r="T2591" s="312"/>
      <c r="U2591" s="312"/>
    </row>
    <row r="2592">
      <c r="A2592" s="312"/>
      <c r="B2592" s="312"/>
      <c r="C2592" s="567"/>
      <c r="D2592" s="312"/>
      <c r="E2592" s="511"/>
      <c r="F2592" s="312"/>
      <c r="G2592" s="312"/>
      <c r="H2592" s="312"/>
      <c r="I2592" s="567"/>
      <c r="J2592" s="312" t="b">
        <v>0</v>
      </c>
      <c r="K2592" s="312"/>
      <c r="L2592" s="312"/>
      <c r="M2592" s="511"/>
      <c r="N2592" s="312"/>
      <c r="O2592" s="312"/>
      <c r="P2592" s="312"/>
      <c r="Q2592" s="312"/>
      <c r="R2592" s="312"/>
      <c r="S2592" s="312"/>
      <c r="T2592" s="312"/>
      <c r="U2592" s="312"/>
    </row>
    <row r="2593">
      <c r="A2593" s="312"/>
      <c r="B2593" s="312"/>
      <c r="C2593" s="567"/>
      <c r="D2593" s="312"/>
      <c r="E2593" s="511"/>
      <c r="F2593" s="312"/>
      <c r="G2593" s="312"/>
      <c r="H2593" s="312"/>
      <c r="I2593" s="567"/>
      <c r="J2593" s="312" t="b">
        <v>0</v>
      </c>
      <c r="K2593" s="312"/>
      <c r="L2593" s="312"/>
      <c r="M2593" s="511"/>
      <c r="N2593" s="312"/>
      <c r="O2593" s="312"/>
      <c r="P2593" s="312"/>
      <c r="Q2593" s="312"/>
      <c r="R2593" s="312"/>
      <c r="S2593" s="312"/>
      <c r="T2593" s="312"/>
      <c r="U2593" s="312"/>
    </row>
    <row r="2594">
      <c r="A2594" s="312"/>
      <c r="B2594" s="312"/>
      <c r="C2594" s="567"/>
      <c r="D2594" s="312"/>
      <c r="E2594" s="511"/>
      <c r="F2594" s="312"/>
      <c r="G2594" s="312"/>
      <c r="H2594" s="312"/>
      <c r="I2594" s="567"/>
      <c r="J2594" s="312" t="b">
        <v>0</v>
      </c>
      <c r="K2594" s="312"/>
      <c r="L2594" s="312"/>
      <c r="M2594" s="511"/>
      <c r="N2594" s="312"/>
      <c r="O2594" s="312"/>
      <c r="P2594" s="312"/>
      <c r="Q2594" s="312"/>
      <c r="R2594" s="312"/>
      <c r="S2594" s="312"/>
      <c r="T2594" s="312"/>
      <c r="U2594" s="312"/>
    </row>
    <row r="2595">
      <c r="A2595" s="312"/>
      <c r="B2595" s="312"/>
      <c r="C2595" s="567"/>
      <c r="D2595" s="312"/>
      <c r="E2595" s="511"/>
      <c r="F2595" s="312"/>
      <c r="G2595" s="312"/>
      <c r="H2595" s="312"/>
      <c r="I2595" s="567"/>
      <c r="J2595" s="312" t="b">
        <v>0</v>
      </c>
      <c r="K2595" s="312"/>
      <c r="L2595" s="312"/>
      <c r="M2595" s="511"/>
      <c r="N2595" s="312"/>
      <c r="O2595" s="312"/>
      <c r="P2595" s="312"/>
      <c r="Q2595" s="312"/>
      <c r="R2595" s="312"/>
      <c r="S2595" s="312"/>
      <c r="T2595" s="312"/>
      <c r="U2595" s="312"/>
    </row>
    <row r="2596">
      <c r="A2596" s="312"/>
      <c r="B2596" s="312"/>
      <c r="C2596" s="567"/>
      <c r="D2596" s="312"/>
      <c r="E2596" s="511"/>
      <c r="F2596" s="312"/>
      <c r="G2596" s="312"/>
      <c r="H2596" s="312"/>
      <c r="I2596" s="567"/>
      <c r="J2596" s="312" t="b">
        <v>0</v>
      </c>
      <c r="K2596" s="312"/>
      <c r="L2596" s="312"/>
      <c r="M2596" s="511"/>
      <c r="N2596" s="312"/>
      <c r="O2596" s="312"/>
      <c r="P2596" s="312"/>
      <c r="Q2596" s="312"/>
      <c r="R2596" s="312"/>
      <c r="S2596" s="312"/>
      <c r="T2596" s="312"/>
      <c r="U2596" s="312"/>
    </row>
    <row r="2597">
      <c r="A2597" s="312"/>
      <c r="B2597" s="312"/>
      <c r="C2597" s="567"/>
      <c r="D2597" s="312"/>
      <c r="E2597" s="511"/>
      <c r="F2597" s="312"/>
      <c r="G2597" s="312"/>
      <c r="H2597" s="312"/>
      <c r="I2597" s="567"/>
      <c r="J2597" s="312" t="b">
        <v>0</v>
      </c>
      <c r="K2597" s="312"/>
      <c r="L2597" s="312"/>
      <c r="M2597" s="511"/>
      <c r="N2597" s="312"/>
      <c r="O2597" s="312"/>
      <c r="P2597" s="312"/>
      <c r="Q2597" s="312"/>
      <c r="R2597" s="312"/>
      <c r="S2597" s="312"/>
      <c r="T2597" s="312"/>
      <c r="U2597" s="312"/>
    </row>
    <row r="2598">
      <c r="A2598" s="312"/>
      <c r="B2598" s="312"/>
      <c r="C2598" s="567"/>
      <c r="D2598" s="312"/>
      <c r="E2598" s="511"/>
      <c r="F2598" s="312"/>
      <c r="G2598" s="312"/>
      <c r="H2598" s="312"/>
      <c r="I2598" s="567"/>
      <c r="J2598" s="312" t="b">
        <v>0</v>
      </c>
      <c r="K2598" s="312"/>
      <c r="L2598" s="312"/>
      <c r="M2598" s="511"/>
      <c r="N2598" s="312"/>
      <c r="O2598" s="312"/>
      <c r="P2598" s="312"/>
      <c r="Q2598" s="312"/>
      <c r="R2598" s="312"/>
      <c r="S2598" s="312"/>
      <c r="T2598" s="312"/>
      <c r="U2598" s="312"/>
    </row>
    <row r="2599">
      <c r="A2599" s="312"/>
      <c r="B2599" s="312"/>
      <c r="C2599" s="567"/>
      <c r="D2599" s="312"/>
      <c r="E2599" s="511"/>
      <c r="F2599" s="312"/>
      <c r="G2599" s="312"/>
      <c r="H2599" s="312"/>
      <c r="I2599" s="567"/>
      <c r="J2599" s="312" t="b">
        <v>0</v>
      </c>
      <c r="K2599" s="312"/>
      <c r="L2599" s="312"/>
      <c r="M2599" s="511"/>
      <c r="N2599" s="312"/>
      <c r="O2599" s="312"/>
      <c r="P2599" s="312"/>
      <c r="Q2599" s="312"/>
      <c r="R2599" s="312"/>
      <c r="S2599" s="312"/>
      <c r="T2599" s="312"/>
      <c r="U2599" s="312"/>
    </row>
    <row r="2600">
      <c r="A2600" s="312"/>
      <c r="B2600" s="312"/>
      <c r="C2600" s="567"/>
      <c r="D2600" s="312"/>
      <c r="E2600" s="511"/>
      <c r="F2600" s="312"/>
      <c r="G2600" s="312"/>
      <c r="H2600" s="312"/>
      <c r="I2600" s="567"/>
      <c r="J2600" s="312" t="b">
        <v>0</v>
      </c>
      <c r="K2600" s="312"/>
      <c r="L2600" s="312"/>
      <c r="M2600" s="511"/>
      <c r="N2600" s="312"/>
      <c r="O2600" s="312"/>
      <c r="P2600" s="312"/>
      <c r="Q2600" s="312"/>
      <c r="R2600" s="312"/>
      <c r="S2600" s="312"/>
      <c r="T2600" s="312"/>
      <c r="U2600" s="312"/>
    </row>
    <row r="2601">
      <c r="A2601" s="312"/>
      <c r="B2601" s="312"/>
      <c r="C2601" s="567"/>
      <c r="D2601" s="312"/>
      <c r="E2601" s="511"/>
      <c r="F2601" s="312"/>
      <c r="G2601" s="312"/>
      <c r="H2601" s="312"/>
      <c r="I2601" s="567"/>
      <c r="J2601" s="312" t="b">
        <v>0</v>
      </c>
      <c r="K2601" s="312"/>
      <c r="L2601" s="312"/>
      <c r="M2601" s="511"/>
      <c r="N2601" s="312"/>
      <c r="O2601" s="312"/>
      <c r="P2601" s="312"/>
      <c r="Q2601" s="312"/>
      <c r="R2601" s="312"/>
      <c r="S2601" s="312"/>
      <c r="T2601" s="312"/>
      <c r="U2601" s="312"/>
    </row>
    <row r="2602">
      <c r="A2602" s="312"/>
      <c r="B2602" s="312"/>
      <c r="C2602" s="567"/>
      <c r="D2602" s="312"/>
      <c r="E2602" s="511"/>
      <c r="F2602" s="312"/>
      <c r="G2602" s="312"/>
      <c r="H2602" s="312"/>
      <c r="I2602" s="567"/>
      <c r="J2602" s="312" t="b">
        <v>0</v>
      </c>
      <c r="K2602" s="312"/>
      <c r="L2602" s="312"/>
      <c r="M2602" s="511"/>
      <c r="N2602" s="312"/>
      <c r="O2602" s="312"/>
      <c r="P2602" s="312"/>
      <c r="Q2602" s="312"/>
      <c r="R2602" s="312"/>
      <c r="S2602" s="312"/>
      <c r="T2602" s="312"/>
      <c r="U2602" s="312"/>
    </row>
    <row r="2603">
      <c r="A2603" s="312"/>
      <c r="B2603" s="312"/>
      <c r="C2603" s="567"/>
      <c r="D2603" s="312"/>
      <c r="E2603" s="511"/>
      <c r="F2603" s="312"/>
      <c r="G2603" s="312"/>
      <c r="H2603" s="312"/>
      <c r="I2603" s="567"/>
      <c r="J2603" s="312" t="b">
        <v>0</v>
      </c>
      <c r="K2603" s="312"/>
      <c r="L2603" s="312"/>
      <c r="M2603" s="511"/>
      <c r="N2603" s="312"/>
      <c r="O2603" s="312"/>
      <c r="P2603" s="312"/>
      <c r="Q2603" s="312"/>
      <c r="R2603" s="312"/>
      <c r="S2603" s="312"/>
      <c r="T2603" s="312"/>
      <c r="U2603" s="312"/>
    </row>
    <row r="2604">
      <c r="A2604" s="312"/>
      <c r="B2604" s="312"/>
      <c r="C2604" s="567"/>
      <c r="D2604" s="312"/>
      <c r="E2604" s="511"/>
      <c r="F2604" s="312"/>
      <c r="G2604" s="312"/>
      <c r="H2604" s="312"/>
      <c r="I2604" s="567"/>
      <c r="J2604" s="312" t="b">
        <v>0</v>
      </c>
      <c r="K2604" s="312"/>
      <c r="L2604" s="312"/>
      <c r="M2604" s="511"/>
      <c r="N2604" s="312"/>
      <c r="O2604" s="312"/>
      <c r="P2604" s="312"/>
      <c r="Q2604" s="312"/>
      <c r="R2604" s="312"/>
      <c r="S2604" s="312"/>
      <c r="T2604" s="312"/>
      <c r="U2604" s="312"/>
    </row>
    <row r="2605">
      <c r="A2605" s="312"/>
      <c r="B2605" s="312"/>
      <c r="C2605" s="567"/>
      <c r="D2605" s="312"/>
      <c r="E2605" s="511"/>
      <c r="F2605" s="312"/>
      <c r="G2605" s="312"/>
      <c r="H2605" s="312"/>
      <c r="I2605" s="567"/>
      <c r="J2605" s="312" t="b">
        <v>0</v>
      </c>
      <c r="K2605" s="312"/>
      <c r="L2605" s="312"/>
      <c r="M2605" s="511"/>
      <c r="N2605" s="312"/>
      <c r="O2605" s="312"/>
      <c r="P2605" s="312"/>
      <c r="Q2605" s="312"/>
      <c r="R2605" s="312"/>
      <c r="S2605" s="312"/>
      <c r="T2605" s="312"/>
      <c r="U2605" s="312"/>
    </row>
    <row r="2606">
      <c r="A2606" s="312"/>
      <c r="B2606" s="312"/>
      <c r="C2606" s="567"/>
      <c r="D2606" s="312"/>
      <c r="E2606" s="511"/>
      <c r="F2606" s="312"/>
      <c r="G2606" s="312"/>
      <c r="H2606" s="312"/>
      <c r="I2606" s="567"/>
      <c r="J2606" s="312" t="b">
        <v>0</v>
      </c>
      <c r="K2606" s="312"/>
      <c r="L2606" s="312"/>
      <c r="M2606" s="511"/>
      <c r="N2606" s="312"/>
      <c r="O2606" s="312"/>
      <c r="P2606" s="312"/>
      <c r="Q2606" s="312"/>
      <c r="R2606" s="312"/>
      <c r="S2606" s="312"/>
      <c r="T2606" s="312"/>
      <c r="U2606" s="312"/>
    </row>
    <row r="2607">
      <c r="A2607" s="312"/>
      <c r="B2607" s="312"/>
      <c r="C2607" s="567"/>
      <c r="D2607" s="312"/>
      <c r="E2607" s="511"/>
      <c r="F2607" s="312"/>
      <c r="G2607" s="312"/>
      <c r="H2607" s="312"/>
      <c r="I2607" s="567"/>
      <c r="J2607" s="312" t="b">
        <v>0</v>
      </c>
      <c r="K2607" s="312"/>
      <c r="L2607" s="312"/>
      <c r="M2607" s="511"/>
      <c r="N2607" s="312"/>
      <c r="O2607" s="312"/>
      <c r="P2607" s="312"/>
      <c r="Q2607" s="312"/>
      <c r="R2607" s="312"/>
      <c r="S2607" s="312"/>
      <c r="T2607" s="312"/>
      <c r="U2607" s="312"/>
    </row>
    <row r="2608">
      <c r="A2608" s="312"/>
      <c r="B2608" s="312"/>
      <c r="C2608" s="567"/>
      <c r="D2608" s="312"/>
      <c r="E2608" s="511"/>
      <c r="F2608" s="312"/>
      <c r="G2608" s="312"/>
      <c r="H2608" s="312"/>
      <c r="I2608" s="567"/>
      <c r="J2608" s="312" t="b">
        <v>0</v>
      </c>
      <c r="K2608" s="312"/>
      <c r="L2608" s="312"/>
      <c r="M2608" s="511"/>
      <c r="N2608" s="312"/>
      <c r="O2608" s="312"/>
      <c r="P2608" s="312"/>
      <c r="Q2608" s="312"/>
      <c r="R2608" s="312"/>
      <c r="S2608" s="312"/>
      <c r="T2608" s="312"/>
      <c r="U2608" s="312"/>
    </row>
    <row r="2609">
      <c r="A2609" s="312"/>
      <c r="B2609" s="312"/>
      <c r="C2609" s="567"/>
      <c r="D2609" s="312"/>
      <c r="E2609" s="511"/>
      <c r="F2609" s="312"/>
      <c r="G2609" s="312"/>
      <c r="H2609" s="312"/>
      <c r="I2609" s="567"/>
      <c r="J2609" s="312" t="b">
        <v>0</v>
      </c>
      <c r="K2609" s="312"/>
      <c r="L2609" s="312"/>
      <c r="M2609" s="511"/>
      <c r="N2609" s="312"/>
      <c r="O2609" s="312"/>
      <c r="P2609" s="312"/>
      <c r="Q2609" s="312"/>
      <c r="R2609" s="312"/>
      <c r="S2609" s="312"/>
      <c r="T2609" s="312"/>
      <c r="U2609" s="312"/>
    </row>
    <row r="2610">
      <c r="A2610" s="312"/>
      <c r="B2610" s="312"/>
      <c r="C2610" s="567"/>
      <c r="D2610" s="312"/>
      <c r="E2610" s="511"/>
      <c r="F2610" s="312"/>
      <c r="G2610" s="312"/>
      <c r="H2610" s="312"/>
      <c r="I2610" s="567"/>
      <c r="J2610" s="312" t="b">
        <v>0</v>
      </c>
      <c r="K2610" s="312"/>
      <c r="L2610" s="312"/>
      <c r="M2610" s="511"/>
      <c r="N2610" s="312"/>
      <c r="O2610" s="312"/>
      <c r="P2610" s="312"/>
      <c r="Q2610" s="312"/>
      <c r="R2610" s="312"/>
      <c r="S2610" s="312"/>
      <c r="T2610" s="312"/>
      <c r="U2610" s="312"/>
    </row>
    <row r="2611">
      <c r="A2611" s="312"/>
      <c r="B2611" s="312"/>
      <c r="C2611" s="567"/>
      <c r="D2611" s="312"/>
      <c r="E2611" s="511"/>
      <c r="F2611" s="312"/>
      <c r="G2611" s="312"/>
      <c r="H2611" s="312"/>
      <c r="I2611" s="567"/>
      <c r="J2611" s="312" t="b">
        <v>0</v>
      </c>
      <c r="K2611" s="312"/>
      <c r="L2611" s="312"/>
      <c r="M2611" s="511"/>
      <c r="N2611" s="312"/>
      <c r="O2611" s="312"/>
      <c r="P2611" s="312"/>
      <c r="Q2611" s="312"/>
      <c r="R2611" s="312"/>
      <c r="S2611" s="312"/>
      <c r="T2611" s="312"/>
      <c r="U2611" s="312"/>
    </row>
    <row r="2612">
      <c r="A2612" s="312"/>
      <c r="B2612" s="312"/>
      <c r="C2612" s="567"/>
      <c r="D2612" s="312"/>
      <c r="E2612" s="511"/>
      <c r="F2612" s="312"/>
      <c r="G2612" s="312"/>
      <c r="H2612" s="312"/>
      <c r="I2612" s="567"/>
      <c r="J2612" s="312" t="b">
        <v>0</v>
      </c>
      <c r="K2612" s="312"/>
      <c r="L2612" s="312"/>
      <c r="M2612" s="511"/>
      <c r="N2612" s="312"/>
      <c r="O2612" s="312"/>
      <c r="P2612" s="312"/>
      <c r="Q2612" s="312"/>
      <c r="R2612" s="312"/>
      <c r="S2612" s="312"/>
      <c r="T2612" s="312"/>
      <c r="U2612" s="312"/>
    </row>
    <row r="2613">
      <c r="A2613" s="312"/>
      <c r="B2613" s="312"/>
      <c r="C2613" s="567"/>
      <c r="D2613" s="312"/>
      <c r="E2613" s="511"/>
      <c r="F2613" s="312"/>
      <c r="G2613" s="312"/>
      <c r="H2613" s="312"/>
      <c r="I2613" s="567"/>
      <c r="J2613" s="312" t="b">
        <v>0</v>
      </c>
      <c r="K2613" s="312"/>
      <c r="L2613" s="312"/>
      <c r="M2613" s="511"/>
      <c r="N2613" s="312"/>
      <c r="O2613" s="312"/>
      <c r="P2613" s="312"/>
      <c r="Q2613" s="312"/>
      <c r="R2613" s="312"/>
      <c r="S2613" s="312"/>
      <c r="T2613" s="312"/>
      <c r="U2613" s="312"/>
    </row>
    <row r="2614">
      <c r="A2614" s="312"/>
      <c r="B2614" s="312"/>
      <c r="C2614" s="567"/>
      <c r="D2614" s="312"/>
      <c r="E2614" s="511"/>
      <c r="F2614" s="312"/>
      <c r="G2614" s="312"/>
      <c r="H2614" s="312"/>
      <c r="I2614" s="567"/>
      <c r="J2614" s="312" t="b">
        <v>0</v>
      </c>
      <c r="K2614" s="312"/>
      <c r="L2614" s="312"/>
      <c r="M2614" s="511"/>
      <c r="N2614" s="312"/>
      <c r="O2614" s="312"/>
      <c r="P2614" s="312"/>
      <c r="Q2614" s="312"/>
      <c r="R2614" s="312"/>
      <c r="S2614" s="312"/>
      <c r="T2614" s="312"/>
      <c r="U2614" s="312"/>
    </row>
    <row r="2615">
      <c r="A2615" s="312"/>
      <c r="B2615" s="312"/>
      <c r="C2615" s="567"/>
      <c r="D2615" s="312"/>
      <c r="E2615" s="511"/>
      <c r="F2615" s="312"/>
      <c r="G2615" s="312"/>
      <c r="H2615" s="312"/>
      <c r="I2615" s="567"/>
      <c r="J2615" s="312" t="b">
        <v>0</v>
      </c>
      <c r="K2615" s="312"/>
      <c r="L2615" s="312"/>
      <c r="M2615" s="511"/>
      <c r="N2615" s="312"/>
      <c r="O2615" s="312"/>
      <c r="P2615" s="312"/>
      <c r="Q2615" s="312"/>
      <c r="R2615" s="312"/>
      <c r="S2615" s="312"/>
      <c r="T2615" s="312"/>
      <c r="U2615" s="312"/>
    </row>
    <row r="2616">
      <c r="A2616" s="312"/>
      <c r="B2616" s="312"/>
      <c r="C2616" s="567"/>
      <c r="D2616" s="312"/>
      <c r="E2616" s="511"/>
      <c r="F2616" s="312"/>
      <c r="G2616" s="312"/>
      <c r="H2616" s="312"/>
      <c r="I2616" s="567"/>
      <c r="J2616" s="312" t="b">
        <v>0</v>
      </c>
      <c r="K2616" s="312"/>
      <c r="L2616" s="312"/>
      <c r="M2616" s="511"/>
      <c r="N2616" s="312"/>
      <c r="O2616" s="312"/>
      <c r="P2616" s="312"/>
      <c r="Q2616" s="312"/>
      <c r="R2616" s="312"/>
      <c r="S2616" s="312"/>
      <c r="T2616" s="312"/>
      <c r="U2616" s="312"/>
    </row>
    <row r="2617">
      <c r="A2617" s="312"/>
      <c r="B2617" s="312"/>
      <c r="C2617" s="567"/>
      <c r="D2617" s="312"/>
      <c r="E2617" s="511"/>
      <c r="F2617" s="312"/>
      <c r="G2617" s="312"/>
      <c r="H2617" s="312"/>
      <c r="I2617" s="567"/>
      <c r="J2617" s="312" t="b">
        <v>0</v>
      </c>
      <c r="K2617" s="312"/>
      <c r="L2617" s="312"/>
      <c r="M2617" s="511"/>
      <c r="N2617" s="312"/>
      <c r="O2617" s="312"/>
      <c r="P2617" s="312"/>
      <c r="Q2617" s="312"/>
      <c r="R2617" s="312"/>
      <c r="S2617" s="312"/>
      <c r="T2617" s="312"/>
      <c r="U2617" s="312"/>
    </row>
    <row r="2618">
      <c r="A2618" s="312"/>
      <c r="B2618" s="312"/>
      <c r="C2618" s="567"/>
      <c r="D2618" s="312"/>
      <c r="E2618" s="511"/>
      <c r="F2618" s="312"/>
      <c r="G2618" s="312"/>
      <c r="H2618" s="312"/>
      <c r="I2618" s="567"/>
      <c r="J2618" s="312" t="b">
        <v>0</v>
      </c>
      <c r="K2618" s="312"/>
      <c r="L2618" s="312"/>
      <c r="M2618" s="511"/>
      <c r="N2618" s="312"/>
      <c r="O2618" s="312"/>
      <c r="P2618" s="312"/>
      <c r="Q2618" s="312"/>
      <c r="R2618" s="312"/>
      <c r="S2618" s="312"/>
      <c r="T2618" s="312"/>
      <c r="U2618" s="312"/>
    </row>
    <row r="2619">
      <c r="A2619" s="312"/>
      <c r="B2619" s="312"/>
      <c r="C2619" s="567"/>
      <c r="D2619" s="312"/>
      <c r="E2619" s="511"/>
      <c r="F2619" s="312"/>
      <c r="G2619" s="312"/>
      <c r="H2619" s="312"/>
      <c r="I2619" s="567"/>
      <c r="J2619" s="312" t="b">
        <v>0</v>
      </c>
      <c r="K2619" s="312"/>
      <c r="L2619" s="312"/>
      <c r="M2619" s="511"/>
      <c r="N2619" s="312"/>
      <c r="O2619" s="312"/>
      <c r="P2619" s="312"/>
      <c r="Q2619" s="312"/>
      <c r="R2619" s="312"/>
      <c r="S2619" s="312"/>
      <c r="T2619" s="312"/>
      <c r="U2619" s="312"/>
    </row>
    <row r="2620">
      <c r="A2620" s="312"/>
      <c r="B2620" s="312"/>
      <c r="C2620" s="567"/>
      <c r="D2620" s="312"/>
      <c r="E2620" s="511"/>
      <c r="F2620" s="312"/>
      <c r="G2620" s="312"/>
      <c r="H2620" s="312"/>
      <c r="I2620" s="567"/>
      <c r="J2620" s="312" t="b">
        <v>0</v>
      </c>
      <c r="K2620" s="312"/>
      <c r="L2620" s="312"/>
      <c r="M2620" s="511"/>
      <c r="N2620" s="312"/>
      <c r="O2620" s="312"/>
      <c r="P2620" s="312"/>
      <c r="Q2620" s="312"/>
      <c r="R2620" s="312"/>
      <c r="S2620" s="312"/>
      <c r="T2620" s="312"/>
      <c r="U2620" s="312"/>
    </row>
    <row r="2621">
      <c r="A2621" s="312"/>
      <c r="B2621" s="312"/>
      <c r="C2621" s="567"/>
      <c r="D2621" s="312"/>
      <c r="E2621" s="511"/>
      <c r="F2621" s="312"/>
      <c r="G2621" s="312"/>
      <c r="H2621" s="312"/>
      <c r="I2621" s="567"/>
      <c r="J2621" s="312" t="b">
        <v>0</v>
      </c>
      <c r="K2621" s="312"/>
      <c r="L2621" s="312"/>
      <c r="M2621" s="511"/>
      <c r="N2621" s="312"/>
      <c r="O2621" s="312"/>
      <c r="P2621" s="312"/>
      <c r="Q2621" s="312"/>
      <c r="R2621" s="312"/>
      <c r="S2621" s="312"/>
      <c r="T2621" s="312"/>
      <c r="U2621" s="312"/>
    </row>
    <row r="2622">
      <c r="A2622" s="312"/>
      <c r="B2622" s="312"/>
      <c r="C2622" s="567"/>
      <c r="D2622" s="312"/>
      <c r="E2622" s="511"/>
      <c r="F2622" s="312"/>
      <c r="G2622" s="312"/>
      <c r="H2622" s="312"/>
      <c r="I2622" s="567"/>
      <c r="J2622" s="312" t="b">
        <v>0</v>
      </c>
      <c r="K2622" s="312"/>
      <c r="L2622" s="312"/>
      <c r="M2622" s="511"/>
      <c r="N2622" s="312"/>
      <c r="O2622" s="312"/>
      <c r="P2622" s="312"/>
      <c r="Q2622" s="312"/>
      <c r="R2622" s="312"/>
      <c r="S2622" s="312"/>
      <c r="T2622" s="312"/>
      <c r="U2622" s="312"/>
    </row>
    <row r="2623">
      <c r="A2623" s="312"/>
      <c r="B2623" s="312"/>
      <c r="C2623" s="567"/>
      <c r="D2623" s="312"/>
      <c r="E2623" s="511"/>
      <c r="F2623" s="312"/>
      <c r="G2623" s="312"/>
      <c r="H2623" s="312"/>
      <c r="I2623" s="567"/>
      <c r="J2623" s="312" t="b">
        <v>0</v>
      </c>
      <c r="K2623" s="312"/>
      <c r="L2623" s="312"/>
      <c r="M2623" s="511"/>
      <c r="N2623" s="312"/>
      <c r="O2623" s="312"/>
      <c r="P2623" s="312"/>
      <c r="Q2623" s="312"/>
      <c r="R2623" s="312"/>
      <c r="S2623" s="312"/>
      <c r="T2623" s="312"/>
      <c r="U2623" s="312"/>
    </row>
    <row r="2624">
      <c r="A2624" s="312"/>
      <c r="B2624" s="312"/>
      <c r="C2624" s="567"/>
      <c r="D2624" s="312"/>
      <c r="E2624" s="511"/>
      <c r="F2624" s="312"/>
      <c r="G2624" s="312"/>
      <c r="H2624" s="312"/>
      <c r="I2624" s="567"/>
      <c r="J2624" s="312" t="b">
        <v>0</v>
      </c>
      <c r="K2624" s="312"/>
      <c r="L2624" s="312"/>
      <c r="M2624" s="511"/>
      <c r="N2624" s="312"/>
      <c r="O2624" s="312"/>
      <c r="P2624" s="312"/>
      <c r="Q2624" s="312"/>
      <c r="R2624" s="312"/>
      <c r="S2624" s="312"/>
      <c r="T2624" s="312"/>
      <c r="U2624" s="312"/>
    </row>
    <row r="2625">
      <c r="A2625" s="312"/>
      <c r="B2625" s="312"/>
      <c r="C2625" s="567"/>
      <c r="D2625" s="312"/>
      <c r="E2625" s="511"/>
      <c r="F2625" s="312"/>
      <c r="G2625" s="312"/>
      <c r="H2625" s="312"/>
      <c r="I2625" s="567"/>
      <c r="J2625" s="312" t="b">
        <v>0</v>
      </c>
      <c r="K2625" s="312"/>
      <c r="L2625" s="312"/>
      <c r="M2625" s="511"/>
      <c r="N2625" s="312"/>
      <c r="O2625" s="312"/>
      <c r="P2625" s="312"/>
      <c r="Q2625" s="312"/>
      <c r="R2625" s="312"/>
      <c r="S2625" s="312"/>
      <c r="T2625" s="312"/>
      <c r="U2625" s="312"/>
    </row>
    <row r="2626">
      <c r="A2626" s="312"/>
      <c r="B2626" s="312"/>
      <c r="C2626" s="567"/>
      <c r="D2626" s="312"/>
      <c r="E2626" s="511"/>
      <c r="F2626" s="312"/>
      <c r="G2626" s="312"/>
      <c r="H2626" s="312"/>
      <c r="I2626" s="567"/>
      <c r="J2626" s="312" t="b">
        <v>0</v>
      </c>
      <c r="K2626" s="312"/>
      <c r="L2626" s="312"/>
      <c r="M2626" s="511"/>
      <c r="N2626" s="312"/>
      <c r="O2626" s="312"/>
      <c r="P2626" s="312"/>
      <c r="Q2626" s="312"/>
      <c r="R2626" s="312"/>
      <c r="S2626" s="312"/>
      <c r="T2626" s="312"/>
      <c r="U2626" s="312"/>
    </row>
    <row r="2627">
      <c r="A2627" s="312"/>
      <c r="B2627" s="312"/>
      <c r="C2627" s="567"/>
      <c r="D2627" s="312"/>
      <c r="E2627" s="511"/>
      <c r="F2627" s="312"/>
      <c r="G2627" s="312"/>
      <c r="H2627" s="312"/>
      <c r="I2627" s="567"/>
      <c r="J2627" s="312" t="b">
        <v>0</v>
      </c>
      <c r="K2627" s="312"/>
      <c r="L2627" s="312"/>
      <c r="M2627" s="511"/>
      <c r="N2627" s="312"/>
      <c r="O2627" s="312"/>
      <c r="P2627" s="312"/>
      <c r="Q2627" s="312"/>
      <c r="R2627" s="312"/>
      <c r="S2627" s="312"/>
      <c r="T2627" s="312"/>
      <c r="U2627" s="312"/>
    </row>
    <row r="2628">
      <c r="A2628" s="312"/>
      <c r="B2628" s="312"/>
      <c r="C2628" s="567"/>
      <c r="D2628" s="312"/>
      <c r="E2628" s="511"/>
      <c r="F2628" s="312"/>
      <c r="G2628" s="312"/>
      <c r="H2628" s="312"/>
      <c r="I2628" s="567"/>
      <c r="J2628" s="312" t="b">
        <v>0</v>
      </c>
      <c r="K2628" s="312"/>
      <c r="L2628" s="312"/>
      <c r="M2628" s="511"/>
      <c r="N2628" s="312"/>
      <c r="O2628" s="312"/>
      <c r="P2628" s="312"/>
      <c r="Q2628" s="312"/>
      <c r="R2628" s="312"/>
      <c r="S2628" s="312"/>
      <c r="T2628" s="312"/>
      <c r="U2628" s="312"/>
    </row>
    <row r="2629">
      <c r="A2629" s="312"/>
      <c r="B2629" s="312"/>
      <c r="C2629" s="567"/>
      <c r="D2629" s="312"/>
      <c r="E2629" s="511"/>
      <c r="F2629" s="312"/>
      <c r="G2629" s="312"/>
      <c r="H2629" s="312"/>
      <c r="I2629" s="567"/>
      <c r="J2629" s="312" t="b">
        <v>0</v>
      </c>
      <c r="K2629" s="312"/>
      <c r="L2629" s="312"/>
      <c r="M2629" s="511"/>
      <c r="N2629" s="312"/>
      <c r="O2629" s="312"/>
      <c r="P2629" s="312"/>
      <c r="Q2629" s="312"/>
      <c r="R2629" s="312"/>
      <c r="S2629" s="312"/>
      <c r="T2629" s="312"/>
      <c r="U2629" s="312"/>
    </row>
    <row r="2630">
      <c r="A2630" s="312"/>
      <c r="B2630" s="312"/>
      <c r="C2630" s="567"/>
      <c r="D2630" s="312"/>
      <c r="E2630" s="511"/>
      <c r="F2630" s="312"/>
      <c r="G2630" s="312"/>
      <c r="H2630" s="312"/>
      <c r="I2630" s="567"/>
      <c r="J2630" s="312" t="b">
        <v>0</v>
      </c>
      <c r="K2630" s="312"/>
      <c r="L2630" s="312"/>
      <c r="M2630" s="511"/>
      <c r="N2630" s="312"/>
      <c r="O2630" s="312"/>
      <c r="P2630" s="312"/>
      <c r="Q2630" s="312"/>
      <c r="R2630" s="312"/>
      <c r="S2630" s="312"/>
      <c r="T2630" s="312"/>
      <c r="U2630" s="312"/>
    </row>
    <row r="2631">
      <c r="A2631" s="312"/>
      <c r="B2631" s="312"/>
      <c r="C2631" s="567"/>
      <c r="D2631" s="312"/>
      <c r="E2631" s="511"/>
      <c r="F2631" s="312"/>
      <c r="G2631" s="312"/>
      <c r="H2631" s="312"/>
      <c r="I2631" s="567"/>
      <c r="J2631" s="312" t="b">
        <v>0</v>
      </c>
      <c r="K2631" s="312"/>
      <c r="L2631" s="312"/>
      <c r="M2631" s="511"/>
      <c r="N2631" s="312"/>
      <c r="O2631" s="312"/>
      <c r="P2631" s="312"/>
      <c r="Q2631" s="312"/>
      <c r="R2631" s="312"/>
      <c r="S2631" s="312"/>
      <c r="T2631" s="312"/>
      <c r="U2631" s="312"/>
    </row>
    <row r="2632">
      <c r="A2632" s="312"/>
      <c r="B2632" s="312"/>
      <c r="C2632" s="567"/>
      <c r="D2632" s="312"/>
      <c r="E2632" s="511"/>
      <c r="F2632" s="312"/>
      <c r="G2632" s="312"/>
      <c r="H2632" s="312"/>
      <c r="I2632" s="567"/>
      <c r="J2632" s="312" t="b">
        <v>0</v>
      </c>
      <c r="K2632" s="312"/>
      <c r="L2632" s="312"/>
      <c r="M2632" s="511"/>
      <c r="N2632" s="312"/>
      <c r="O2632" s="312"/>
      <c r="P2632" s="312"/>
      <c r="Q2632" s="312"/>
      <c r="R2632" s="312"/>
      <c r="S2632" s="312"/>
      <c r="T2632" s="312"/>
      <c r="U2632" s="312"/>
    </row>
    <row r="2633">
      <c r="A2633" s="312"/>
      <c r="B2633" s="312"/>
      <c r="C2633" s="567"/>
      <c r="D2633" s="312"/>
      <c r="E2633" s="511"/>
      <c r="F2633" s="312"/>
      <c r="G2633" s="312"/>
      <c r="H2633" s="312"/>
      <c r="I2633" s="567"/>
      <c r="J2633" s="312" t="b">
        <v>0</v>
      </c>
      <c r="K2633" s="312"/>
      <c r="L2633" s="312"/>
      <c r="M2633" s="511"/>
      <c r="N2633" s="312"/>
      <c r="O2633" s="312"/>
      <c r="P2633" s="312"/>
      <c r="Q2633" s="312"/>
      <c r="R2633" s="312"/>
      <c r="S2633" s="312"/>
      <c r="T2633" s="312"/>
      <c r="U2633" s="312"/>
    </row>
    <row r="2634">
      <c r="A2634" s="312"/>
      <c r="B2634" s="312"/>
      <c r="C2634" s="567"/>
      <c r="D2634" s="312"/>
      <c r="E2634" s="511"/>
      <c r="F2634" s="312"/>
      <c r="G2634" s="312"/>
      <c r="H2634" s="312"/>
      <c r="I2634" s="567"/>
      <c r="J2634" s="312" t="b">
        <v>0</v>
      </c>
      <c r="K2634" s="312"/>
      <c r="L2634" s="312"/>
      <c r="M2634" s="511"/>
      <c r="N2634" s="312"/>
      <c r="O2634" s="312"/>
      <c r="P2634" s="312"/>
      <c r="Q2634" s="312"/>
      <c r="R2634" s="312"/>
      <c r="S2634" s="312"/>
      <c r="T2634" s="312"/>
      <c r="U2634" s="312"/>
    </row>
    <row r="2635">
      <c r="A2635" s="312"/>
      <c r="B2635" s="312"/>
      <c r="C2635" s="567"/>
      <c r="D2635" s="312"/>
      <c r="E2635" s="511"/>
      <c r="F2635" s="312"/>
      <c r="G2635" s="312"/>
      <c r="H2635" s="312"/>
      <c r="I2635" s="567"/>
      <c r="J2635" s="312" t="b">
        <v>0</v>
      </c>
      <c r="K2635" s="312"/>
      <c r="L2635" s="312"/>
      <c r="M2635" s="511"/>
      <c r="N2635" s="312"/>
      <c r="O2635" s="312"/>
      <c r="P2635" s="312"/>
      <c r="Q2635" s="312"/>
      <c r="R2635" s="312"/>
      <c r="S2635" s="312"/>
      <c r="T2635" s="312"/>
      <c r="U2635" s="312"/>
    </row>
    <row r="2636">
      <c r="A2636" s="312"/>
      <c r="B2636" s="312"/>
      <c r="C2636" s="567"/>
      <c r="D2636" s="312"/>
      <c r="E2636" s="511"/>
      <c r="F2636" s="312"/>
      <c r="G2636" s="312"/>
      <c r="H2636" s="312"/>
      <c r="I2636" s="567"/>
      <c r="J2636" s="312" t="b">
        <v>0</v>
      </c>
      <c r="K2636" s="312"/>
      <c r="L2636" s="312"/>
      <c r="M2636" s="511"/>
      <c r="N2636" s="312"/>
      <c r="O2636" s="312"/>
      <c r="P2636" s="312"/>
      <c r="Q2636" s="312"/>
      <c r="R2636" s="312"/>
      <c r="S2636" s="312"/>
      <c r="T2636" s="312"/>
      <c r="U2636" s="312"/>
    </row>
    <row r="2637">
      <c r="A2637" s="312"/>
      <c r="B2637" s="312"/>
      <c r="C2637" s="567"/>
      <c r="D2637" s="312"/>
      <c r="E2637" s="511"/>
      <c r="F2637" s="312"/>
      <c r="G2637" s="312"/>
      <c r="H2637" s="312"/>
      <c r="I2637" s="567"/>
      <c r="J2637" s="312" t="b">
        <v>0</v>
      </c>
      <c r="K2637" s="312"/>
      <c r="L2637" s="312"/>
      <c r="M2637" s="511"/>
      <c r="N2637" s="312"/>
      <c r="O2637" s="312"/>
      <c r="P2637" s="312"/>
      <c r="Q2637" s="312"/>
      <c r="R2637" s="312"/>
      <c r="S2637" s="312"/>
      <c r="T2637" s="312"/>
      <c r="U2637" s="312"/>
    </row>
    <row r="2638">
      <c r="A2638" s="312"/>
      <c r="B2638" s="312"/>
      <c r="C2638" s="567"/>
      <c r="D2638" s="312"/>
      <c r="E2638" s="511"/>
      <c r="F2638" s="312"/>
      <c r="G2638" s="312"/>
      <c r="H2638" s="312"/>
      <c r="I2638" s="567"/>
      <c r="J2638" s="312" t="b">
        <v>0</v>
      </c>
      <c r="K2638" s="312"/>
      <c r="L2638" s="312"/>
      <c r="M2638" s="511"/>
      <c r="N2638" s="312"/>
      <c r="O2638" s="312"/>
      <c r="P2638" s="312"/>
      <c r="Q2638" s="312"/>
      <c r="R2638" s="312"/>
      <c r="S2638" s="312"/>
      <c r="T2638" s="312"/>
      <c r="U2638" s="312"/>
    </row>
    <row r="2639">
      <c r="A2639" s="312"/>
      <c r="B2639" s="312"/>
      <c r="C2639" s="567"/>
      <c r="D2639" s="312"/>
      <c r="E2639" s="511"/>
      <c r="F2639" s="312"/>
      <c r="G2639" s="312"/>
      <c r="H2639" s="312"/>
      <c r="I2639" s="567"/>
      <c r="J2639" s="312" t="b">
        <v>0</v>
      </c>
      <c r="K2639" s="312"/>
      <c r="L2639" s="312"/>
      <c r="M2639" s="511"/>
      <c r="N2639" s="312"/>
      <c r="O2639" s="312"/>
      <c r="P2639" s="312"/>
      <c r="Q2639" s="312"/>
      <c r="R2639" s="312"/>
      <c r="S2639" s="312"/>
      <c r="T2639" s="312"/>
      <c r="U2639" s="312"/>
    </row>
    <row r="2640">
      <c r="A2640" s="312"/>
      <c r="B2640" s="312"/>
      <c r="C2640" s="567"/>
      <c r="D2640" s="312"/>
      <c r="E2640" s="511"/>
      <c r="F2640" s="312"/>
      <c r="G2640" s="312"/>
      <c r="H2640" s="312"/>
      <c r="I2640" s="567"/>
      <c r="J2640" s="312" t="b">
        <v>0</v>
      </c>
      <c r="K2640" s="312"/>
      <c r="L2640" s="312"/>
      <c r="M2640" s="511"/>
      <c r="N2640" s="312"/>
      <c r="O2640" s="312"/>
      <c r="P2640" s="312"/>
      <c r="Q2640" s="312"/>
      <c r="R2640" s="312"/>
      <c r="S2640" s="312"/>
      <c r="T2640" s="312"/>
      <c r="U2640" s="312"/>
    </row>
    <row r="2641">
      <c r="A2641" s="312"/>
      <c r="B2641" s="312"/>
      <c r="C2641" s="567"/>
      <c r="D2641" s="312"/>
      <c r="E2641" s="511"/>
      <c r="F2641" s="312"/>
      <c r="G2641" s="312"/>
      <c r="H2641" s="312"/>
      <c r="I2641" s="567"/>
      <c r="J2641" s="312" t="b">
        <v>0</v>
      </c>
      <c r="K2641" s="312"/>
      <c r="L2641" s="312"/>
      <c r="M2641" s="511"/>
      <c r="N2641" s="312"/>
      <c r="O2641" s="312"/>
      <c r="P2641" s="312"/>
      <c r="Q2641" s="312"/>
      <c r="R2641" s="312"/>
      <c r="S2641" s="312"/>
      <c r="T2641" s="312"/>
      <c r="U2641" s="312"/>
    </row>
    <row r="2642">
      <c r="A2642" s="312"/>
      <c r="B2642" s="312"/>
      <c r="C2642" s="567"/>
      <c r="D2642" s="312"/>
      <c r="E2642" s="511"/>
      <c r="F2642" s="312"/>
      <c r="G2642" s="312"/>
      <c r="H2642" s="312"/>
      <c r="I2642" s="567"/>
      <c r="J2642" s="312" t="b">
        <v>0</v>
      </c>
      <c r="K2642" s="312"/>
      <c r="L2642" s="312"/>
      <c r="M2642" s="511"/>
      <c r="N2642" s="312"/>
      <c r="O2642" s="312"/>
      <c r="P2642" s="312"/>
      <c r="Q2642" s="312"/>
      <c r="R2642" s="312"/>
      <c r="S2642" s="312"/>
      <c r="T2642" s="312"/>
      <c r="U2642" s="312"/>
    </row>
    <row r="2643">
      <c r="A2643" s="312"/>
      <c r="B2643" s="312"/>
      <c r="C2643" s="567"/>
      <c r="D2643" s="312"/>
      <c r="E2643" s="511"/>
      <c r="F2643" s="312"/>
      <c r="G2643" s="312"/>
      <c r="H2643" s="312"/>
      <c r="I2643" s="567"/>
      <c r="J2643" s="312" t="b">
        <v>0</v>
      </c>
      <c r="K2643" s="312"/>
      <c r="L2643" s="312"/>
      <c r="M2643" s="511"/>
      <c r="N2643" s="312"/>
      <c r="O2643" s="312"/>
      <c r="P2643" s="312"/>
      <c r="Q2643" s="312"/>
      <c r="R2643" s="312"/>
      <c r="S2643" s="312"/>
      <c r="T2643" s="312"/>
      <c r="U2643" s="312"/>
    </row>
    <row r="2644">
      <c r="A2644" s="312"/>
      <c r="B2644" s="312"/>
      <c r="C2644" s="567"/>
      <c r="D2644" s="312"/>
      <c r="E2644" s="511"/>
      <c r="F2644" s="312"/>
      <c r="G2644" s="312"/>
      <c r="H2644" s="312"/>
      <c r="I2644" s="567"/>
      <c r="J2644" s="312" t="b">
        <v>0</v>
      </c>
      <c r="K2644" s="312"/>
      <c r="L2644" s="312"/>
      <c r="M2644" s="511"/>
      <c r="N2644" s="312"/>
      <c r="O2644" s="312"/>
      <c r="P2644" s="312"/>
      <c r="Q2644" s="312"/>
      <c r="R2644" s="312"/>
      <c r="S2644" s="312"/>
      <c r="T2644" s="312"/>
      <c r="U2644" s="312"/>
    </row>
    <row r="2645">
      <c r="A2645" s="312"/>
      <c r="B2645" s="312"/>
      <c r="C2645" s="567"/>
      <c r="D2645" s="312"/>
      <c r="E2645" s="511"/>
      <c r="F2645" s="312"/>
      <c r="G2645" s="312"/>
      <c r="H2645" s="312"/>
      <c r="I2645" s="567"/>
      <c r="J2645" s="312" t="b">
        <v>0</v>
      </c>
      <c r="K2645" s="312"/>
      <c r="L2645" s="312"/>
      <c r="M2645" s="511"/>
      <c r="N2645" s="312"/>
      <c r="O2645" s="312"/>
      <c r="P2645" s="312"/>
      <c r="Q2645" s="312"/>
      <c r="R2645" s="312"/>
      <c r="S2645" s="312"/>
      <c r="T2645" s="312"/>
      <c r="U2645" s="312"/>
    </row>
    <row r="2646">
      <c r="A2646" s="312"/>
      <c r="B2646" s="312"/>
      <c r="C2646" s="567"/>
      <c r="D2646" s="312"/>
      <c r="E2646" s="511"/>
      <c r="F2646" s="312"/>
      <c r="G2646" s="312"/>
      <c r="H2646" s="312"/>
      <c r="I2646" s="567"/>
      <c r="J2646" s="312" t="b">
        <v>0</v>
      </c>
      <c r="K2646" s="312"/>
      <c r="L2646" s="312"/>
      <c r="M2646" s="511"/>
      <c r="N2646" s="312"/>
      <c r="O2646" s="312"/>
      <c r="P2646" s="312"/>
      <c r="Q2646" s="312"/>
      <c r="R2646" s="312"/>
      <c r="S2646" s="312"/>
      <c r="T2646" s="312"/>
      <c r="U2646" s="312"/>
    </row>
    <row r="2647">
      <c r="A2647" s="312"/>
      <c r="B2647" s="312"/>
      <c r="C2647" s="567"/>
      <c r="D2647" s="312"/>
      <c r="E2647" s="511"/>
      <c r="F2647" s="312"/>
      <c r="G2647" s="312"/>
      <c r="H2647" s="312"/>
      <c r="I2647" s="567"/>
      <c r="J2647" s="312" t="b">
        <v>0</v>
      </c>
      <c r="K2647" s="312"/>
      <c r="L2647" s="312"/>
      <c r="M2647" s="511"/>
      <c r="N2647" s="312"/>
      <c r="O2647" s="312"/>
      <c r="P2647" s="312"/>
      <c r="Q2647" s="312"/>
      <c r="R2647" s="312"/>
      <c r="S2647" s="312"/>
      <c r="T2647" s="312"/>
      <c r="U2647" s="312"/>
    </row>
    <row r="2648">
      <c r="A2648" s="312"/>
      <c r="B2648" s="312"/>
      <c r="C2648" s="567"/>
      <c r="D2648" s="312"/>
      <c r="E2648" s="511"/>
      <c r="F2648" s="312"/>
      <c r="G2648" s="312"/>
      <c r="H2648" s="312"/>
      <c r="I2648" s="567"/>
      <c r="J2648" s="312" t="b">
        <v>0</v>
      </c>
      <c r="K2648" s="312"/>
      <c r="L2648" s="312"/>
      <c r="M2648" s="511"/>
      <c r="N2648" s="312"/>
      <c r="O2648" s="312"/>
      <c r="P2648" s="312"/>
      <c r="Q2648" s="312"/>
      <c r="R2648" s="312"/>
      <c r="S2648" s="312"/>
      <c r="T2648" s="312"/>
      <c r="U2648" s="312"/>
    </row>
    <row r="2649">
      <c r="A2649" s="312"/>
      <c r="B2649" s="312"/>
      <c r="C2649" s="567"/>
      <c r="D2649" s="312"/>
      <c r="E2649" s="511"/>
      <c r="F2649" s="312"/>
      <c r="G2649" s="312"/>
      <c r="H2649" s="312"/>
      <c r="I2649" s="567"/>
      <c r="J2649" s="312" t="b">
        <v>0</v>
      </c>
      <c r="K2649" s="312"/>
      <c r="L2649" s="312"/>
      <c r="M2649" s="511"/>
      <c r="N2649" s="312"/>
      <c r="O2649" s="312"/>
      <c r="P2649" s="312"/>
      <c r="Q2649" s="312"/>
      <c r="R2649" s="312"/>
      <c r="S2649" s="312"/>
      <c r="T2649" s="312"/>
      <c r="U2649" s="312"/>
    </row>
    <row r="2650">
      <c r="A2650" s="312"/>
      <c r="B2650" s="312"/>
      <c r="C2650" s="567"/>
      <c r="D2650" s="312"/>
      <c r="E2650" s="511"/>
      <c r="F2650" s="312"/>
      <c r="G2650" s="312"/>
      <c r="H2650" s="312"/>
      <c r="I2650" s="567"/>
      <c r="J2650" s="312" t="b">
        <v>0</v>
      </c>
      <c r="K2650" s="312"/>
      <c r="L2650" s="312"/>
      <c r="M2650" s="511"/>
      <c r="N2650" s="312"/>
      <c r="O2650" s="312"/>
      <c r="P2650" s="312"/>
      <c r="Q2650" s="312"/>
      <c r="R2650" s="312"/>
      <c r="S2650" s="312"/>
      <c r="T2650" s="312"/>
      <c r="U2650" s="312"/>
    </row>
    <row r="2651">
      <c r="A2651" s="312"/>
      <c r="B2651" s="312"/>
      <c r="C2651" s="567"/>
      <c r="D2651" s="312"/>
      <c r="E2651" s="511"/>
      <c r="F2651" s="312"/>
      <c r="G2651" s="312"/>
      <c r="H2651" s="312"/>
      <c r="I2651" s="567"/>
      <c r="J2651" s="312" t="b">
        <v>0</v>
      </c>
      <c r="K2651" s="312"/>
      <c r="L2651" s="312"/>
      <c r="M2651" s="511"/>
      <c r="N2651" s="312"/>
      <c r="O2651" s="312"/>
      <c r="P2651" s="312"/>
      <c r="Q2651" s="312"/>
      <c r="R2651" s="312"/>
      <c r="S2651" s="312"/>
      <c r="T2651" s="312"/>
      <c r="U2651" s="312"/>
    </row>
    <row r="2652">
      <c r="A2652" s="312"/>
      <c r="B2652" s="312"/>
      <c r="C2652" s="567"/>
      <c r="D2652" s="312"/>
      <c r="E2652" s="511"/>
      <c r="F2652" s="312"/>
      <c r="G2652" s="312"/>
      <c r="H2652" s="312"/>
      <c r="I2652" s="567"/>
      <c r="J2652" s="312" t="b">
        <v>0</v>
      </c>
      <c r="K2652" s="312"/>
      <c r="L2652" s="312"/>
      <c r="M2652" s="511"/>
      <c r="N2652" s="312"/>
      <c r="O2652" s="312"/>
      <c r="P2652" s="312"/>
      <c r="Q2652" s="312"/>
      <c r="R2652" s="312"/>
      <c r="S2652" s="312"/>
      <c r="T2652" s="312"/>
      <c r="U2652" s="312"/>
    </row>
    <row r="2653">
      <c r="A2653" s="312"/>
      <c r="B2653" s="312"/>
      <c r="C2653" s="567"/>
      <c r="D2653" s="312"/>
      <c r="E2653" s="511"/>
      <c r="F2653" s="312"/>
      <c r="G2653" s="312"/>
      <c r="H2653" s="312"/>
      <c r="I2653" s="567"/>
      <c r="J2653" s="312" t="b">
        <v>0</v>
      </c>
      <c r="K2653" s="312"/>
      <c r="L2653" s="312"/>
      <c r="M2653" s="511"/>
      <c r="N2653" s="312"/>
      <c r="O2653" s="312"/>
      <c r="P2653" s="312"/>
      <c r="Q2653" s="312"/>
      <c r="R2653" s="312"/>
      <c r="S2653" s="312"/>
      <c r="T2653" s="312"/>
      <c r="U2653" s="312"/>
    </row>
    <row r="2654">
      <c r="A2654" s="312"/>
      <c r="B2654" s="312"/>
      <c r="C2654" s="567"/>
      <c r="D2654" s="312"/>
      <c r="E2654" s="511"/>
      <c r="F2654" s="312"/>
      <c r="G2654" s="312"/>
      <c r="H2654" s="312"/>
      <c r="I2654" s="567"/>
      <c r="J2654" s="312" t="b">
        <v>0</v>
      </c>
      <c r="K2654" s="312"/>
      <c r="L2654" s="312"/>
      <c r="M2654" s="511"/>
      <c r="N2654" s="312"/>
      <c r="O2654" s="312"/>
      <c r="P2654" s="312"/>
      <c r="Q2654" s="312"/>
      <c r="R2654" s="312"/>
      <c r="S2654" s="312"/>
      <c r="T2654" s="312"/>
      <c r="U2654" s="312"/>
    </row>
    <row r="2655">
      <c r="A2655" s="312"/>
      <c r="B2655" s="312"/>
      <c r="C2655" s="567"/>
      <c r="D2655" s="312"/>
      <c r="E2655" s="511"/>
      <c r="F2655" s="312"/>
      <c r="G2655" s="312"/>
      <c r="H2655" s="312"/>
      <c r="I2655" s="567"/>
      <c r="J2655" s="312" t="b">
        <v>0</v>
      </c>
      <c r="K2655" s="312"/>
      <c r="L2655" s="312"/>
      <c r="M2655" s="511"/>
      <c r="N2655" s="312"/>
      <c r="O2655" s="312"/>
      <c r="P2655" s="312"/>
      <c r="Q2655" s="312"/>
      <c r="R2655" s="312"/>
      <c r="S2655" s="312"/>
      <c r="T2655" s="312"/>
      <c r="U2655" s="312"/>
    </row>
    <row r="2656">
      <c r="A2656" s="312"/>
      <c r="B2656" s="312"/>
      <c r="C2656" s="567"/>
      <c r="D2656" s="312"/>
      <c r="E2656" s="511"/>
      <c r="F2656" s="312"/>
      <c r="G2656" s="312"/>
      <c r="H2656" s="312"/>
      <c r="I2656" s="567"/>
      <c r="J2656" s="312" t="b">
        <v>0</v>
      </c>
      <c r="K2656" s="312"/>
      <c r="L2656" s="312"/>
      <c r="M2656" s="511"/>
      <c r="N2656" s="312"/>
      <c r="O2656" s="312"/>
      <c r="P2656" s="312"/>
      <c r="Q2656" s="312"/>
      <c r="R2656" s="312"/>
      <c r="S2656" s="312"/>
      <c r="T2656" s="312"/>
      <c r="U2656" s="312"/>
    </row>
    <row r="2657">
      <c r="A2657" s="312"/>
      <c r="B2657" s="312"/>
      <c r="C2657" s="567"/>
      <c r="D2657" s="312"/>
      <c r="E2657" s="511"/>
      <c r="F2657" s="312"/>
      <c r="G2657" s="312"/>
      <c r="H2657" s="312"/>
      <c r="I2657" s="567"/>
      <c r="J2657" s="312" t="b">
        <v>0</v>
      </c>
      <c r="K2657" s="312"/>
      <c r="L2657" s="312"/>
      <c r="M2657" s="511"/>
      <c r="N2657" s="312"/>
      <c r="O2657" s="312"/>
      <c r="P2657" s="312"/>
      <c r="Q2657" s="312"/>
      <c r="R2657" s="312"/>
      <c r="S2657" s="312"/>
      <c r="T2657" s="312"/>
      <c r="U2657" s="312"/>
    </row>
    <row r="2658">
      <c r="A2658" s="312"/>
      <c r="B2658" s="312"/>
      <c r="C2658" s="567"/>
      <c r="D2658" s="312"/>
      <c r="E2658" s="511"/>
      <c r="F2658" s="312"/>
      <c r="G2658" s="312"/>
      <c r="H2658" s="312"/>
      <c r="I2658" s="567"/>
      <c r="J2658" s="312" t="b">
        <v>0</v>
      </c>
      <c r="K2658" s="312"/>
      <c r="L2658" s="312"/>
      <c r="M2658" s="511"/>
      <c r="N2658" s="312"/>
      <c r="O2658" s="312"/>
      <c r="P2658" s="312"/>
      <c r="Q2658" s="312"/>
      <c r="R2658" s="312"/>
      <c r="S2658" s="312"/>
      <c r="T2658" s="312"/>
      <c r="U2658" s="312"/>
    </row>
    <row r="2659">
      <c r="A2659" s="312"/>
      <c r="B2659" s="312"/>
      <c r="C2659" s="567"/>
      <c r="D2659" s="312"/>
      <c r="E2659" s="511"/>
      <c r="F2659" s="312"/>
      <c r="G2659" s="312"/>
      <c r="H2659" s="312"/>
      <c r="I2659" s="567"/>
      <c r="J2659" s="312" t="b">
        <v>0</v>
      </c>
      <c r="K2659" s="312"/>
      <c r="L2659" s="312"/>
      <c r="M2659" s="511"/>
      <c r="N2659" s="312"/>
      <c r="O2659" s="312"/>
      <c r="P2659" s="312"/>
      <c r="Q2659" s="312"/>
      <c r="R2659" s="312"/>
      <c r="S2659" s="312"/>
      <c r="T2659" s="312"/>
      <c r="U2659" s="312"/>
    </row>
    <row r="2660">
      <c r="A2660" s="312"/>
      <c r="B2660" s="312"/>
      <c r="C2660" s="567"/>
      <c r="D2660" s="312"/>
      <c r="E2660" s="511"/>
      <c r="F2660" s="312"/>
      <c r="G2660" s="312"/>
      <c r="H2660" s="312"/>
      <c r="I2660" s="567"/>
      <c r="J2660" s="312" t="b">
        <v>0</v>
      </c>
      <c r="K2660" s="312"/>
      <c r="L2660" s="312"/>
      <c r="M2660" s="511"/>
      <c r="N2660" s="312"/>
      <c r="O2660" s="312"/>
      <c r="P2660" s="312"/>
      <c r="Q2660" s="312"/>
      <c r="R2660" s="312"/>
      <c r="S2660" s="312"/>
      <c r="T2660" s="312"/>
      <c r="U2660" s="312"/>
    </row>
    <row r="2661">
      <c r="A2661" s="312"/>
      <c r="B2661" s="312"/>
      <c r="C2661" s="567"/>
      <c r="D2661" s="312"/>
      <c r="E2661" s="511"/>
      <c r="F2661" s="312"/>
      <c r="G2661" s="312"/>
      <c r="H2661" s="312"/>
      <c r="I2661" s="567"/>
      <c r="J2661" s="312" t="b">
        <v>0</v>
      </c>
      <c r="K2661" s="312"/>
      <c r="L2661" s="312"/>
      <c r="M2661" s="511"/>
      <c r="N2661" s="312"/>
      <c r="O2661" s="312"/>
      <c r="P2661" s="312"/>
      <c r="Q2661" s="312"/>
      <c r="R2661" s="312"/>
      <c r="S2661" s="312"/>
      <c r="T2661" s="312"/>
      <c r="U2661" s="312"/>
    </row>
    <row r="2662">
      <c r="A2662" s="312"/>
      <c r="B2662" s="312"/>
      <c r="C2662" s="567"/>
      <c r="D2662" s="312"/>
      <c r="E2662" s="511"/>
      <c r="F2662" s="312"/>
      <c r="G2662" s="312"/>
      <c r="H2662" s="312"/>
      <c r="I2662" s="567"/>
      <c r="J2662" s="312" t="b">
        <v>0</v>
      </c>
      <c r="K2662" s="312"/>
      <c r="L2662" s="312"/>
      <c r="M2662" s="511"/>
      <c r="N2662" s="312"/>
      <c r="O2662" s="312"/>
      <c r="P2662" s="312"/>
      <c r="Q2662" s="312"/>
      <c r="R2662" s="312"/>
      <c r="S2662" s="312"/>
      <c r="T2662" s="312"/>
      <c r="U2662" s="312"/>
    </row>
    <row r="2663">
      <c r="A2663" s="312"/>
      <c r="B2663" s="312"/>
      <c r="C2663" s="567"/>
      <c r="D2663" s="312"/>
      <c r="E2663" s="511"/>
      <c r="F2663" s="312"/>
      <c r="G2663" s="312"/>
      <c r="H2663" s="312"/>
      <c r="I2663" s="567"/>
      <c r="J2663" s="312" t="b">
        <v>0</v>
      </c>
      <c r="K2663" s="312"/>
      <c r="L2663" s="312"/>
      <c r="M2663" s="511"/>
      <c r="N2663" s="312"/>
      <c r="O2663" s="312"/>
      <c r="P2663" s="312"/>
      <c r="Q2663" s="312"/>
      <c r="R2663" s="312"/>
      <c r="S2663" s="312"/>
      <c r="T2663" s="312"/>
      <c r="U2663" s="312"/>
    </row>
    <row r="2664">
      <c r="A2664" s="312"/>
      <c r="B2664" s="312"/>
      <c r="C2664" s="567"/>
      <c r="D2664" s="312"/>
      <c r="E2664" s="511"/>
      <c r="F2664" s="312"/>
      <c r="G2664" s="312"/>
      <c r="H2664" s="312"/>
      <c r="I2664" s="567"/>
      <c r="J2664" s="312" t="b">
        <v>0</v>
      </c>
      <c r="K2664" s="312"/>
      <c r="L2664" s="312"/>
      <c r="M2664" s="511"/>
      <c r="N2664" s="312"/>
      <c r="O2664" s="312"/>
      <c r="P2664" s="312"/>
      <c r="Q2664" s="312"/>
      <c r="R2664" s="312"/>
      <c r="S2664" s="312"/>
      <c r="T2664" s="312"/>
      <c r="U2664" s="312"/>
    </row>
    <row r="2665">
      <c r="A2665" s="312"/>
      <c r="B2665" s="312"/>
      <c r="C2665" s="567"/>
      <c r="D2665" s="312"/>
      <c r="E2665" s="511"/>
      <c r="F2665" s="312"/>
      <c r="G2665" s="312"/>
      <c r="H2665" s="312"/>
      <c r="I2665" s="567"/>
      <c r="J2665" s="312" t="b">
        <v>0</v>
      </c>
      <c r="K2665" s="312"/>
      <c r="L2665" s="312"/>
      <c r="M2665" s="511"/>
      <c r="N2665" s="312"/>
      <c r="O2665" s="312"/>
      <c r="P2665" s="312"/>
      <c r="Q2665" s="312"/>
      <c r="R2665" s="312"/>
      <c r="S2665" s="312"/>
      <c r="T2665" s="312"/>
      <c r="U2665" s="312"/>
    </row>
    <row r="2666">
      <c r="A2666" s="312"/>
      <c r="B2666" s="312"/>
      <c r="C2666" s="567"/>
      <c r="D2666" s="312"/>
      <c r="E2666" s="511"/>
      <c r="F2666" s="312"/>
      <c r="G2666" s="312"/>
      <c r="H2666" s="312"/>
      <c r="I2666" s="567"/>
      <c r="J2666" s="312" t="b">
        <v>0</v>
      </c>
      <c r="K2666" s="312"/>
      <c r="L2666" s="312"/>
      <c r="M2666" s="511"/>
      <c r="N2666" s="312"/>
      <c r="O2666" s="312"/>
      <c r="P2666" s="312"/>
      <c r="Q2666" s="312"/>
      <c r="R2666" s="312"/>
      <c r="S2666" s="312"/>
      <c r="T2666" s="312"/>
      <c r="U2666" s="312"/>
    </row>
    <row r="2667">
      <c r="A2667" s="312"/>
      <c r="B2667" s="312"/>
      <c r="C2667" s="567"/>
      <c r="D2667" s="312"/>
      <c r="E2667" s="511"/>
      <c r="F2667" s="312"/>
      <c r="G2667" s="312"/>
      <c r="H2667" s="312"/>
      <c r="I2667" s="567"/>
      <c r="J2667" s="312" t="b">
        <v>0</v>
      </c>
      <c r="K2667" s="312"/>
      <c r="L2667" s="312"/>
      <c r="M2667" s="511"/>
      <c r="N2667" s="312"/>
      <c r="O2667" s="312"/>
      <c r="P2667" s="312"/>
      <c r="Q2667" s="312"/>
      <c r="R2667" s="312"/>
      <c r="S2667" s="312"/>
      <c r="T2667" s="312"/>
      <c r="U2667" s="312"/>
    </row>
    <row r="2668">
      <c r="A2668" s="312"/>
      <c r="B2668" s="312"/>
      <c r="C2668" s="567"/>
      <c r="D2668" s="312"/>
      <c r="E2668" s="511"/>
      <c r="F2668" s="312"/>
      <c r="G2668" s="312"/>
      <c r="H2668" s="312"/>
      <c r="I2668" s="567"/>
      <c r="J2668" s="312" t="b">
        <v>0</v>
      </c>
      <c r="K2668" s="312"/>
      <c r="L2668" s="312"/>
      <c r="M2668" s="511"/>
      <c r="N2668" s="312"/>
      <c r="O2668" s="312"/>
      <c r="P2668" s="312"/>
      <c r="Q2668" s="312"/>
      <c r="R2668" s="312"/>
      <c r="S2668" s="312"/>
      <c r="T2668" s="312"/>
      <c r="U2668" s="312"/>
    </row>
    <row r="2669">
      <c r="A2669" s="312"/>
      <c r="B2669" s="312"/>
      <c r="C2669" s="567"/>
      <c r="D2669" s="312"/>
      <c r="E2669" s="511"/>
      <c r="F2669" s="312"/>
      <c r="G2669" s="312"/>
      <c r="H2669" s="312"/>
      <c r="I2669" s="567"/>
      <c r="J2669" s="312" t="b">
        <v>0</v>
      </c>
      <c r="K2669" s="312"/>
      <c r="L2669" s="312"/>
      <c r="M2669" s="511"/>
      <c r="N2669" s="312"/>
      <c r="O2669" s="312"/>
      <c r="P2669" s="312"/>
      <c r="Q2669" s="312"/>
      <c r="R2669" s="312"/>
      <c r="S2669" s="312"/>
      <c r="T2669" s="312"/>
      <c r="U2669" s="312"/>
    </row>
    <row r="2670">
      <c r="A2670" s="312"/>
      <c r="B2670" s="312"/>
      <c r="C2670" s="567"/>
      <c r="D2670" s="312"/>
      <c r="E2670" s="511"/>
      <c r="F2670" s="312"/>
      <c r="G2670" s="312"/>
      <c r="H2670" s="312"/>
      <c r="I2670" s="567"/>
      <c r="J2670" s="312" t="b">
        <v>0</v>
      </c>
      <c r="K2670" s="312"/>
      <c r="L2670" s="312"/>
      <c r="M2670" s="511"/>
      <c r="N2670" s="312"/>
      <c r="O2670" s="312"/>
      <c r="P2670" s="312"/>
      <c r="Q2670" s="312"/>
      <c r="R2670" s="312"/>
      <c r="S2670" s="312"/>
      <c r="T2670" s="312"/>
      <c r="U2670" s="312"/>
    </row>
    <row r="2671">
      <c r="A2671" s="312"/>
      <c r="B2671" s="312"/>
      <c r="C2671" s="567"/>
      <c r="D2671" s="312"/>
      <c r="E2671" s="511"/>
      <c r="F2671" s="312"/>
      <c r="G2671" s="312"/>
      <c r="H2671" s="312"/>
      <c r="I2671" s="567"/>
      <c r="J2671" s="312" t="b">
        <v>0</v>
      </c>
      <c r="K2671" s="312"/>
      <c r="L2671" s="312"/>
      <c r="M2671" s="511"/>
      <c r="N2671" s="312"/>
      <c r="O2671" s="312"/>
      <c r="P2671" s="312"/>
      <c r="Q2671" s="312"/>
      <c r="R2671" s="312"/>
      <c r="S2671" s="312"/>
      <c r="T2671" s="312"/>
      <c r="U2671" s="312"/>
    </row>
    <row r="2672">
      <c r="A2672" s="312"/>
      <c r="B2672" s="312"/>
      <c r="C2672" s="567"/>
      <c r="D2672" s="312"/>
      <c r="E2672" s="511"/>
      <c r="F2672" s="312"/>
      <c r="G2672" s="312"/>
      <c r="H2672" s="312"/>
      <c r="I2672" s="567"/>
      <c r="J2672" s="312" t="b">
        <v>0</v>
      </c>
      <c r="K2672" s="312"/>
      <c r="L2672" s="312"/>
      <c r="M2672" s="511"/>
      <c r="N2672" s="312"/>
      <c r="O2672" s="312"/>
      <c r="P2672" s="312"/>
      <c r="Q2672" s="312"/>
      <c r="R2672" s="312"/>
      <c r="S2672" s="312"/>
      <c r="T2672" s="312"/>
      <c r="U2672" s="312"/>
    </row>
    <row r="2673">
      <c r="A2673" s="312"/>
      <c r="B2673" s="312"/>
      <c r="C2673" s="567"/>
      <c r="D2673" s="312"/>
      <c r="E2673" s="511"/>
      <c r="F2673" s="312"/>
      <c r="G2673" s="312"/>
      <c r="H2673" s="312"/>
      <c r="I2673" s="567"/>
      <c r="J2673" s="312" t="b">
        <v>0</v>
      </c>
      <c r="K2673" s="312"/>
      <c r="L2673" s="312"/>
      <c r="M2673" s="511"/>
      <c r="N2673" s="312"/>
      <c r="O2673" s="312"/>
      <c r="P2673" s="312"/>
      <c r="Q2673" s="312"/>
      <c r="R2673" s="312"/>
      <c r="S2673" s="312"/>
      <c r="T2673" s="312"/>
      <c r="U2673" s="312"/>
    </row>
    <row r="2674">
      <c r="A2674" s="312"/>
      <c r="B2674" s="312"/>
      <c r="C2674" s="567"/>
      <c r="D2674" s="312"/>
      <c r="E2674" s="511"/>
      <c r="F2674" s="312"/>
      <c r="G2674" s="312"/>
      <c r="H2674" s="312"/>
      <c r="I2674" s="567"/>
      <c r="J2674" s="312" t="b">
        <v>0</v>
      </c>
      <c r="K2674" s="312"/>
      <c r="L2674" s="312"/>
      <c r="M2674" s="511"/>
      <c r="N2674" s="312"/>
      <c r="O2674" s="312"/>
      <c r="P2674" s="312"/>
      <c r="Q2674" s="312"/>
      <c r="R2674" s="312"/>
      <c r="S2674" s="312"/>
      <c r="T2674" s="312"/>
      <c r="U2674" s="312"/>
    </row>
    <row r="2675">
      <c r="A2675" s="312"/>
      <c r="B2675" s="312"/>
      <c r="C2675" s="567"/>
      <c r="D2675" s="312"/>
      <c r="E2675" s="511"/>
      <c r="F2675" s="312"/>
      <c r="G2675" s="312"/>
      <c r="H2675" s="312"/>
      <c r="I2675" s="567"/>
      <c r="J2675" s="312" t="b">
        <v>0</v>
      </c>
      <c r="K2675" s="312"/>
      <c r="L2675" s="312"/>
      <c r="M2675" s="511"/>
      <c r="N2675" s="312"/>
      <c r="O2675" s="312"/>
      <c r="P2675" s="312"/>
      <c r="Q2675" s="312"/>
      <c r="R2675" s="312"/>
      <c r="S2675" s="312"/>
      <c r="T2675" s="312"/>
      <c r="U2675" s="312"/>
    </row>
    <row r="2676">
      <c r="A2676" s="312"/>
      <c r="B2676" s="312"/>
      <c r="C2676" s="567"/>
      <c r="D2676" s="312"/>
      <c r="E2676" s="511"/>
      <c r="F2676" s="312"/>
      <c r="G2676" s="312"/>
      <c r="H2676" s="312"/>
      <c r="I2676" s="567"/>
      <c r="J2676" s="312" t="b">
        <v>0</v>
      </c>
      <c r="K2676" s="312"/>
      <c r="L2676" s="312"/>
      <c r="M2676" s="511"/>
      <c r="N2676" s="312"/>
      <c r="O2676" s="312"/>
      <c r="P2676" s="312"/>
      <c r="Q2676" s="312"/>
      <c r="R2676" s="312"/>
      <c r="S2676" s="312"/>
      <c r="T2676" s="312"/>
      <c r="U2676" s="312"/>
    </row>
    <row r="2677">
      <c r="A2677" s="312"/>
      <c r="B2677" s="312"/>
      <c r="C2677" s="567"/>
      <c r="D2677" s="312"/>
      <c r="E2677" s="511"/>
      <c r="F2677" s="312"/>
      <c r="G2677" s="312"/>
      <c r="H2677" s="312"/>
      <c r="I2677" s="567"/>
      <c r="J2677" s="312" t="b">
        <v>0</v>
      </c>
      <c r="K2677" s="312"/>
      <c r="L2677" s="312"/>
      <c r="M2677" s="511"/>
      <c r="N2677" s="312"/>
      <c r="O2677" s="312"/>
      <c r="P2677" s="312"/>
      <c r="Q2677" s="312"/>
      <c r="R2677" s="312"/>
      <c r="S2677" s="312"/>
      <c r="T2677" s="312"/>
      <c r="U2677" s="312"/>
    </row>
    <row r="2678">
      <c r="A2678" s="312"/>
      <c r="B2678" s="312"/>
      <c r="C2678" s="567"/>
      <c r="D2678" s="312"/>
      <c r="E2678" s="511"/>
      <c r="F2678" s="312"/>
      <c r="G2678" s="312"/>
      <c r="H2678" s="312"/>
      <c r="I2678" s="567"/>
      <c r="J2678" s="312" t="b">
        <v>0</v>
      </c>
      <c r="K2678" s="312"/>
      <c r="L2678" s="312"/>
      <c r="M2678" s="511"/>
      <c r="N2678" s="312"/>
      <c r="O2678" s="312"/>
      <c r="P2678" s="312"/>
      <c r="Q2678" s="312"/>
      <c r="R2678" s="312"/>
      <c r="S2678" s="312"/>
      <c r="T2678" s="312"/>
      <c r="U2678" s="312"/>
    </row>
    <row r="2679">
      <c r="A2679" s="312"/>
      <c r="B2679" s="312"/>
      <c r="C2679" s="567"/>
      <c r="D2679" s="312"/>
      <c r="E2679" s="511"/>
      <c r="F2679" s="312"/>
      <c r="G2679" s="312"/>
      <c r="H2679" s="312"/>
      <c r="I2679" s="567"/>
      <c r="J2679" s="312" t="b">
        <v>0</v>
      </c>
      <c r="K2679" s="312"/>
      <c r="L2679" s="312"/>
      <c r="M2679" s="511"/>
      <c r="N2679" s="312"/>
      <c r="O2679" s="312"/>
      <c r="P2679" s="312"/>
      <c r="Q2679" s="312"/>
      <c r="R2679" s="312"/>
      <c r="S2679" s="312"/>
      <c r="T2679" s="312"/>
      <c r="U2679" s="312"/>
    </row>
    <row r="2680">
      <c r="A2680" s="312"/>
      <c r="B2680" s="312"/>
      <c r="C2680" s="567"/>
      <c r="D2680" s="312"/>
      <c r="E2680" s="511"/>
      <c r="F2680" s="312"/>
      <c r="G2680" s="312"/>
      <c r="H2680" s="312"/>
      <c r="I2680" s="567"/>
      <c r="J2680" s="312" t="b">
        <v>0</v>
      </c>
      <c r="K2680" s="312"/>
      <c r="L2680" s="312"/>
      <c r="M2680" s="511"/>
      <c r="N2680" s="312"/>
      <c r="O2680" s="312"/>
      <c r="P2680" s="312"/>
      <c r="Q2680" s="312"/>
      <c r="R2680" s="312"/>
      <c r="S2680" s="312"/>
      <c r="T2680" s="312"/>
      <c r="U2680" s="312"/>
    </row>
    <row r="2681">
      <c r="A2681" s="312"/>
      <c r="B2681" s="312"/>
      <c r="C2681" s="567"/>
      <c r="D2681" s="312"/>
      <c r="E2681" s="511"/>
      <c r="F2681" s="312"/>
      <c r="G2681" s="312"/>
      <c r="H2681" s="312"/>
      <c r="I2681" s="567"/>
      <c r="J2681" s="312" t="b">
        <v>0</v>
      </c>
      <c r="K2681" s="312"/>
      <c r="L2681" s="312"/>
      <c r="M2681" s="511"/>
      <c r="N2681" s="312"/>
      <c r="O2681" s="312"/>
      <c r="P2681" s="312"/>
      <c r="Q2681" s="312"/>
      <c r="R2681" s="312"/>
      <c r="S2681" s="312"/>
      <c r="T2681" s="312"/>
      <c r="U2681" s="312"/>
    </row>
    <row r="2682">
      <c r="A2682" s="312"/>
      <c r="B2682" s="312"/>
      <c r="C2682" s="567"/>
      <c r="D2682" s="312"/>
      <c r="E2682" s="511"/>
      <c r="F2682" s="312"/>
      <c r="G2682" s="312"/>
      <c r="H2682" s="312"/>
      <c r="I2682" s="567"/>
      <c r="J2682" s="312" t="b">
        <v>0</v>
      </c>
      <c r="K2682" s="312"/>
      <c r="L2682" s="312"/>
      <c r="M2682" s="511"/>
      <c r="N2682" s="312"/>
      <c r="O2682" s="312"/>
      <c r="P2682" s="312"/>
      <c r="Q2682" s="312"/>
      <c r="R2682" s="312"/>
      <c r="S2682" s="312"/>
      <c r="T2682" s="312"/>
      <c r="U2682" s="312"/>
    </row>
    <row r="2683">
      <c r="A2683" s="312"/>
      <c r="B2683" s="312"/>
      <c r="C2683" s="567"/>
      <c r="D2683" s="312"/>
      <c r="E2683" s="511"/>
      <c r="F2683" s="312"/>
      <c r="G2683" s="312"/>
      <c r="H2683" s="312"/>
      <c r="I2683" s="567"/>
      <c r="J2683" s="312" t="b">
        <v>0</v>
      </c>
      <c r="K2683" s="312"/>
      <c r="L2683" s="312"/>
      <c r="M2683" s="511"/>
      <c r="N2683" s="312"/>
      <c r="O2683" s="312"/>
      <c r="P2683" s="312"/>
      <c r="Q2683" s="312"/>
      <c r="R2683" s="312"/>
      <c r="S2683" s="312"/>
      <c r="T2683" s="312"/>
      <c r="U2683" s="312"/>
    </row>
    <row r="2684">
      <c r="A2684" s="312"/>
      <c r="B2684" s="312"/>
      <c r="C2684" s="567"/>
      <c r="D2684" s="312"/>
      <c r="E2684" s="511"/>
      <c r="F2684" s="312"/>
      <c r="G2684" s="312"/>
      <c r="H2684" s="312"/>
      <c r="I2684" s="567"/>
      <c r="J2684" s="312" t="b">
        <v>0</v>
      </c>
      <c r="K2684" s="312"/>
      <c r="L2684" s="312"/>
      <c r="M2684" s="511"/>
      <c r="N2684" s="312"/>
      <c r="O2684" s="312"/>
      <c r="P2684" s="312"/>
      <c r="Q2684" s="312"/>
      <c r="R2684" s="312"/>
      <c r="S2684" s="312"/>
      <c r="T2684" s="312"/>
      <c r="U2684" s="312"/>
    </row>
    <row r="2685">
      <c r="A2685" s="312"/>
      <c r="B2685" s="312"/>
      <c r="C2685" s="567"/>
      <c r="D2685" s="312"/>
      <c r="E2685" s="511"/>
      <c r="F2685" s="312"/>
      <c r="G2685" s="312"/>
      <c r="H2685" s="312"/>
      <c r="I2685" s="567"/>
      <c r="J2685" s="312" t="b">
        <v>0</v>
      </c>
      <c r="K2685" s="312"/>
      <c r="L2685" s="312"/>
      <c r="M2685" s="511"/>
      <c r="N2685" s="312"/>
      <c r="O2685" s="312"/>
      <c r="P2685" s="312"/>
      <c r="Q2685" s="312"/>
      <c r="R2685" s="312"/>
      <c r="S2685" s="312"/>
      <c r="T2685" s="312"/>
      <c r="U2685" s="312"/>
    </row>
    <row r="2686">
      <c r="A2686" s="312"/>
      <c r="B2686" s="312"/>
      <c r="C2686" s="567"/>
      <c r="D2686" s="312"/>
      <c r="E2686" s="511"/>
      <c r="F2686" s="312"/>
      <c r="G2686" s="312"/>
      <c r="H2686" s="312"/>
      <c r="I2686" s="567"/>
      <c r="J2686" s="312" t="b">
        <v>0</v>
      </c>
      <c r="K2686" s="312"/>
      <c r="L2686" s="312"/>
      <c r="M2686" s="511"/>
      <c r="N2686" s="312"/>
      <c r="O2686" s="312"/>
      <c r="P2686" s="312"/>
      <c r="Q2686" s="312"/>
      <c r="R2686" s="312"/>
      <c r="S2686" s="312"/>
      <c r="T2686" s="312"/>
      <c r="U2686" s="312"/>
    </row>
    <row r="2687">
      <c r="A2687" s="312"/>
      <c r="B2687" s="312"/>
      <c r="C2687" s="567"/>
      <c r="D2687" s="312"/>
      <c r="E2687" s="511"/>
      <c r="F2687" s="312"/>
      <c r="G2687" s="312"/>
      <c r="H2687" s="312"/>
      <c r="I2687" s="567"/>
      <c r="J2687" s="312" t="b">
        <v>0</v>
      </c>
      <c r="K2687" s="312"/>
      <c r="L2687" s="312"/>
      <c r="M2687" s="511"/>
      <c r="N2687" s="312"/>
      <c r="O2687" s="312"/>
      <c r="P2687" s="312"/>
      <c r="Q2687" s="312"/>
      <c r="R2687" s="312"/>
      <c r="S2687" s="312"/>
      <c r="T2687" s="312"/>
      <c r="U2687" s="312"/>
    </row>
    <row r="2688">
      <c r="A2688" s="312"/>
      <c r="B2688" s="312"/>
      <c r="C2688" s="567"/>
      <c r="D2688" s="312"/>
      <c r="E2688" s="511"/>
      <c r="F2688" s="312"/>
      <c r="G2688" s="312"/>
      <c r="H2688" s="312"/>
      <c r="I2688" s="567"/>
      <c r="J2688" s="312" t="b">
        <v>0</v>
      </c>
      <c r="K2688" s="312"/>
      <c r="L2688" s="312"/>
      <c r="M2688" s="511"/>
      <c r="N2688" s="312"/>
      <c r="O2688" s="312"/>
      <c r="P2688" s="312"/>
      <c r="Q2688" s="312"/>
      <c r="R2688" s="312"/>
      <c r="S2688" s="312"/>
      <c r="T2688" s="312"/>
      <c r="U2688" s="312"/>
    </row>
    <row r="2689">
      <c r="A2689" s="312"/>
      <c r="B2689" s="312"/>
      <c r="C2689" s="567"/>
      <c r="D2689" s="312"/>
      <c r="E2689" s="511"/>
      <c r="F2689" s="312"/>
      <c r="G2689" s="312"/>
      <c r="H2689" s="312"/>
      <c r="I2689" s="567"/>
      <c r="J2689" s="312" t="b">
        <v>0</v>
      </c>
      <c r="K2689" s="312"/>
      <c r="L2689" s="312"/>
      <c r="M2689" s="511"/>
      <c r="N2689" s="312"/>
      <c r="O2689" s="312"/>
      <c r="P2689" s="312"/>
      <c r="Q2689" s="312"/>
      <c r="R2689" s="312"/>
      <c r="S2689" s="312"/>
      <c r="T2689" s="312"/>
      <c r="U2689" s="312"/>
    </row>
    <row r="2690">
      <c r="A2690" s="312"/>
      <c r="B2690" s="312"/>
      <c r="C2690" s="567"/>
      <c r="D2690" s="312"/>
      <c r="E2690" s="511"/>
      <c r="F2690" s="312"/>
      <c r="G2690" s="312"/>
      <c r="H2690" s="312"/>
      <c r="I2690" s="567"/>
      <c r="J2690" s="312" t="b">
        <v>0</v>
      </c>
      <c r="K2690" s="312"/>
      <c r="L2690" s="312"/>
      <c r="M2690" s="511"/>
      <c r="N2690" s="312"/>
      <c r="O2690" s="312"/>
      <c r="P2690" s="312"/>
      <c r="Q2690" s="312"/>
      <c r="R2690" s="312"/>
      <c r="S2690" s="312"/>
      <c r="T2690" s="312"/>
      <c r="U2690" s="312"/>
    </row>
    <row r="2691">
      <c r="A2691" s="312"/>
      <c r="B2691" s="312"/>
      <c r="C2691" s="567"/>
      <c r="D2691" s="312"/>
      <c r="E2691" s="511"/>
      <c r="F2691" s="312"/>
      <c r="G2691" s="312"/>
      <c r="H2691" s="312"/>
      <c r="I2691" s="567"/>
      <c r="J2691" s="312" t="b">
        <v>0</v>
      </c>
      <c r="K2691" s="312"/>
      <c r="L2691" s="312"/>
      <c r="M2691" s="511"/>
      <c r="N2691" s="312"/>
      <c r="O2691" s="312"/>
      <c r="P2691" s="312"/>
      <c r="Q2691" s="312"/>
      <c r="R2691" s="312"/>
      <c r="S2691" s="312"/>
      <c r="T2691" s="312"/>
      <c r="U2691" s="312"/>
    </row>
    <row r="2692">
      <c r="A2692" s="312"/>
      <c r="B2692" s="312"/>
      <c r="C2692" s="567"/>
      <c r="D2692" s="312"/>
      <c r="E2692" s="511"/>
      <c r="F2692" s="312"/>
      <c r="G2692" s="312"/>
      <c r="H2692" s="312"/>
      <c r="I2692" s="567"/>
      <c r="J2692" s="312" t="b">
        <v>0</v>
      </c>
      <c r="K2692" s="312"/>
      <c r="L2692" s="312"/>
      <c r="M2692" s="511"/>
      <c r="N2692" s="312"/>
      <c r="O2692" s="312"/>
      <c r="P2692" s="312"/>
      <c r="Q2692" s="312"/>
      <c r="R2692" s="312"/>
      <c r="S2692" s="312"/>
      <c r="T2692" s="312"/>
      <c r="U2692" s="312"/>
    </row>
    <row r="2693">
      <c r="A2693" s="312"/>
      <c r="B2693" s="312"/>
      <c r="C2693" s="567"/>
      <c r="D2693" s="312"/>
      <c r="E2693" s="511"/>
      <c r="F2693" s="312"/>
      <c r="G2693" s="312"/>
      <c r="H2693" s="312"/>
      <c r="I2693" s="567"/>
      <c r="J2693" s="312" t="b">
        <v>0</v>
      </c>
      <c r="K2693" s="312"/>
      <c r="L2693" s="312"/>
      <c r="M2693" s="511"/>
      <c r="N2693" s="312"/>
      <c r="O2693" s="312"/>
      <c r="P2693" s="312"/>
      <c r="Q2693" s="312"/>
      <c r="R2693" s="312"/>
      <c r="S2693" s="312"/>
      <c r="T2693" s="312"/>
      <c r="U2693" s="312"/>
    </row>
    <row r="2694">
      <c r="A2694" s="312"/>
      <c r="B2694" s="312"/>
      <c r="C2694" s="567"/>
      <c r="D2694" s="312"/>
      <c r="E2694" s="511"/>
      <c r="F2694" s="312"/>
      <c r="G2694" s="312"/>
      <c r="H2694" s="312"/>
      <c r="I2694" s="567"/>
      <c r="J2694" s="312" t="b">
        <v>0</v>
      </c>
      <c r="K2694" s="312"/>
      <c r="L2694" s="312"/>
      <c r="M2694" s="511"/>
      <c r="N2694" s="312"/>
      <c r="O2694" s="312"/>
      <c r="P2694" s="312"/>
      <c r="Q2694" s="312"/>
      <c r="R2694" s="312"/>
      <c r="S2694" s="312"/>
      <c r="T2694" s="312"/>
      <c r="U2694" s="312"/>
    </row>
    <row r="2695">
      <c r="A2695" s="312"/>
      <c r="B2695" s="312"/>
      <c r="C2695" s="567"/>
      <c r="D2695" s="312"/>
      <c r="E2695" s="511"/>
      <c r="F2695" s="312"/>
      <c r="G2695" s="312"/>
      <c r="H2695" s="312"/>
      <c r="I2695" s="567"/>
      <c r="J2695" s="312" t="b">
        <v>0</v>
      </c>
      <c r="K2695" s="312"/>
      <c r="L2695" s="312"/>
      <c r="M2695" s="511"/>
      <c r="N2695" s="312"/>
      <c r="O2695" s="312"/>
      <c r="P2695" s="312"/>
      <c r="Q2695" s="312"/>
      <c r="R2695" s="312"/>
      <c r="S2695" s="312"/>
      <c r="T2695" s="312"/>
      <c r="U2695" s="312"/>
    </row>
    <row r="2696">
      <c r="A2696" s="312"/>
      <c r="B2696" s="312"/>
      <c r="C2696" s="567"/>
      <c r="D2696" s="312"/>
      <c r="E2696" s="511"/>
      <c r="F2696" s="312"/>
      <c r="G2696" s="312"/>
      <c r="H2696" s="312"/>
      <c r="I2696" s="567"/>
      <c r="J2696" s="312" t="b">
        <v>0</v>
      </c>
      <c r="K2696" s="312"/>
      <c r="L2696" s="312"/>
      <c r="M2696" s="511"/>
      <c r="N2696" s="312"/>
      <c r="O2696" s="312"/>
      <c r="P2696" s="312"/>
      <c r="Q2696" s="312"/>
      <c r="R2696" s="312"/>
      <c r="S2696" s="312"/>
      <c r="T2696" s="312"/>
      <c r="U2696" s="312"/>
    </row>
    <row r="2697">
      <c r="A2697" s="312"/>
      <c r="B2697" s="312"/>
      <c r="C2697" s="567"/>
      <c r="D2697" s="312"/>
      <c r="E2697" s="511"/>
      <c r="F2697" s="312"/>
      <c r="G2697" s="312"/>
      <c r="H2697" s="312"/>
      <c r="I2697" s="567"/>
      <c r="J2697" s="312" t="b">
        <v>0</v>
      </c>
      <c r="K2697" s="312"/>
      <c r="L2697" s="312"/>
      <c r="M2697" s="511"/>
      <c r="N2697" s="312"/>
      <c r="O2697" s="312"/>
      <c r="P2697" s="312"/>
      <c r="Q2697" s="312"/>
      <c r="R2697" s="312"/>
      <c r="S2697" s="312"/>
      <c r="T2697" s="312"/>
      <c r="U2697" s="312"/>
    </row>
    <row r="2698">
      <c r="A2698" s="312"/>
      <c r="B2698" s="312"/>
      <c r="C2698" s="567"/>
      <c r="D2698" s="312"/>
      <c r="E2698" s="511"/>
      <c r="F2698" s="312"/>
      <c r="G2698" s="312"/>
      <c r="H2698" s="312"/>
      <c r="I2698" s="567"/>
      <c r="J2698" s="312" t="b">
        <v>0</v>
      </c>
      <c r="K2698" s="312"/>
      <c r="L2698" s="312"/>
      <c r="M2698" s="511"/>
      <c r="N2698" s="312"/>
      <c r="O2698" s="312"/>
      <c r="P2698" s="312"/>
      <c r="Q2698" s="312"/>
      <c r="R2698" s="312"/>
      <c r="S2698" s="312"/>
      <c r="T2698" s="312"/>
      <c r="U2698" s="312"/>
    </row>
    <row r="2699">
      <c r="A2699" s="312"/>
      <c r="B2699" s="312"/>
      <c r="C2699" s="567"/>
      <c r="D2699" s="312"/>
      <c r="E2699" s="511"/>
      <c r="F2699" s="312"/>
      <c r="G2699" s="312"/>
      <c r="H2699" s="312"/>
      <c r="I2699" s="567"/>
      <c r="J2699" s="312" t="b">
        <v>0</v>
      </c>
      <c r="K2699" s="312"/>
      <c r="L2699" s="312"/>
      <c r="M2699" s="511"/>
      <c r="N2699" s="312"/>
      <c r="O2699" s="312"/>
      <c r="P2699" s="312"/>
      <c r="Q2699" s="312"/>
      <c r="R2699" s="312"/>
      <c r="S2699" s="312"/>
      <c r="T2699" s="312"/>
      <c r="U2699" s="312"/>
    </row>
    <row r="2700">
      <c r="A2700" s="312"/>
      <c r="B2700" s="312"/>
      <c r="C2700" s="567"/>
      <c r="D2700" s="312"/>
      <c r="E2700" s="511"/>
      <c r="F2700" s="312"/>
      <c r="G2700" s="312"/>
      <c r="H2700" s="312"/>
      <c r="I2700" s="567"/>
      <c r="J2700" s="312" t="b">
        <v>0</v>
      </c>
      <c r="K2700" s="312"/>
      <c r="L2700" s="312"/>
      <c r="M2700" s="511"/>
      <c r="N2700" s="312"/>
      <c r="O2700" s="312"/>
      <c r="P2700" s="312"/>
      <c r="Q2700" s="312"/>
      <c r="R2700" s="312"/>
      <c r="S2700" s="312"/>
      <c r="T2700" s="312"/>
      <c r="U2700" s="312"/>
    </row>
    <row r="2701">
      <c r="A2701" s="312"/>
      <c r="B2701" s="312"/>
      <c r="C2701" s="567"/>
      <c r="D2701" s="312"/>
      <c r="E2701" s="511"/>
      <c r="F2701" s="312"/>
      <c r="G2701" s="312"/>
      <c r="H2701" s="312"/>
      <c r="I2701" s="567"/>
      <c r="J2701" s="312" t="b">
        <v>0</v>
      </c>
      <c r="K2701" s="312"/>
      <c r="L2701" s="312"/>
      <c r="M2701" s="511"/>
      <c r="N2701" s="312"/>
      <c r="O2701" s="312"/>
      <c r="P2701" s="312"/>
      <c r="Q2701" s="312"/>
      <c r="R2701" s="312"/>
      <c r="S2701" s="312"/>
      <c r="T2701" s="312"/>
      <c r="U2701" s="312"/>
    </row>
    <row r="2702">
      <c r="A2702" s="312"/>
      <c r="B2702" s="312"/>
      <c r="C2702" s="567"/>
      <c r="D2702" s="312"/>
      <c r="E2702" s="511"/>
      <c r="F2702" s="312"/>
      <c r="G2702" s="312"/>
      <c r="H2702" s="312"/>
      <c r="I2702" s="567"/>
      <c r="J2702" s="312" t="b">
        <v>0</v>
      </c>
      <c r="K2702" s="312"/>
      <c r="L2702" s="312"/>
      <c r="M2702" s="511"/>
      <c r="N2702" s="312"/>
      <c r="O2702" s="312"/>
      <c r="P2702" s="312"/>
      <c r="Q2702" s="312"/>
      <c r="R2702" s="312"/>
      <c r="S2702" s="312"/>
      <c r="T2702" s="312"/>
      <c r="U2702" s="312"/>
    </row>
    <row r="2703">
      <c r="A2703" s="312"/>
      <c r="B2703" s="312"/>
      <c r="C2703" s="567"/>
      <c r="D2703" s="312"/>
      <c r="E2703" s="511"/>
      <c r="F2703" s="312"/>
      <c r="G2703" s="312"/>
      <c r="H2703" s="312"/>
      <c r="I2703" s="567"/>
      <c r="J2703" s="312" t="b">
        <v>0</v>
      </c>
      <c r="K2703" s="312"/>
      <c r="L2703" s="312"/>
      <c r="M2703" s="511"/>
      <c r="N2703" s="312"/>
      <c r="O2703" s="312"/>
      <c r="P2703" s="312"/>
      <c r="Q2703" s="312"/>
      <c r="R2703" s="312"/>
      <c r="S2703" s="312"/>
      <c r="T2703" s="312"/>
      <c r="U2703" s="312"/>
    </row>
    <row r="2704">
      <c r="A2704" s="312"/>
      <c r="B2704" s="312"/>
      <c r="C2704" s="567"/>
      <c r="D2704" s="312"/>
      <c r="E2704" s="511"/>
      <c r="F2704" s="312"/>
      <c r="G2704" s="312"/>
      <c r="H2704" s="312"/>
      <c r="I2704" s="567"/>
      <c r="J2704" s="312" t="b">
        <v>0</v>
      </c>
      <c r="K2704" s="312"/>
      <c r="L2704" s="312"/>
      <c r="M2704" s="511"/>
      <c r="N2704" s="312"/>
      <c r="O2704" s="312"/>
      <c r="P2704" s="312"/>
      <c r="Q2704" s="312"/>
      <c r="R2704" s="312"/>
      <c r="S2704" s="312"/>
      <c r="T2704" s="312"/>
      <c r="U2704" s="312"/>
    </row>
    <row r="2705">
      <c r="A2705" s="312"/>
      <c r="B2705" s="312"/>
      <c r="C2705" s="567"/>
      <c r="D2705" s="312"/>
      <c r="E2705" s="511"/>
      <c r="F2705" s="312"/>
      <c r="G2705" s="312"/>
      <c r="H2705" s="312"/>
      <c r="I2705" s="567"/>
      <c r="J2705" s="312" t="b">
        <v>0</v>
      </c>
      <c r="K2705" s="312"/>
      <c r="L2705" s="312"/>
      <c r="M2705" s="511"/>
      <c r="N2705" s="312"/>
      <c r="O2705" s="312"/>
      <c r="P2705" s="312"/>
      <c r="Q2705" s="312"/>
      <c r="R2705" s="312"/>
      <c r="S2705" s="312"/>
      <c r="T2705" s="312"/>
      <c r="U2705" s="312"/>
    </row>
    <row r="2706">
      <c r="A2706" s="312"/>
      <c r="B2706" s="312"/>
      <c r="C2706" s="567"/>
      <c r="D2706" s="312"/>
      <c r="E2706" s="511"/>
      <c r="F2706" s="312"/>
      <c r="G2706" s="312"/>
      <c r="H2706" s="312"/>
      <c r="I2706" s="567"/>
      <c r="J2706" s="312" t="b">
        <v>0</v>
      </c>
      <c r="K2706" s="312"/>
      <c r="L2706" s="312"/>
      <c r="M2706" s="511"/>
      <c r="N2706" s="312"/>
      <c r="O2706" s="312"/>
      <c r="P2706" s="312"/>
      <c r="Q2706" s="312"/>
      <c r="R2706" s="312"/>
      <c r="S2706" s="312"/>
      <c r="T2706" s="312"/>
      <c r="U2706" s="312"/>
    </row>
    <row r="2707">
      <c r="A2707" s="312"/>
      <c r="B2707" s="312"/>
      <c r="C2707" s="567"/>
      <c r="D2707" s="312"/>
      <c r="E2707" s="511"/>
      <c r="F2707" s="312"/>
      <c r="G2707" s="312"/>
      <c r="H2707" s="312"/>
      <c r="I2707" s="567"/>
      <c r="J2707" s="312" t="b">
        <v>0</v>
      </c>
      <c r="K2707" s="312"/>
      <c r="L2707" s="312"/>
      <c r="M2707" s="511"/>
      <c r="N2707" s="312"/>
      <c r="O2707" s="312"/>
      <c r="P2707" s="312"/>
      <c r="Q2707" s="312"/>
      <c r="R2707" s="312"/>
      <c r="S2707" s="312"/>
      <c r="T2707" s="312"/>
      <c r="U2707" s="312"/>
    </row>
    <row r="2708">
      <c r="A2708" s="312"/>
      <c r="B2708" s="312"/>
      <c r="C2708" s="567"/>
      <c r="D2708" s="312"/>
      <c r="E2708" s="511"/>
      <c r="F2708" s="312"/>
      <c r="G2708" s="312"/>
      <c r="H2708" s="312"/>
      <c r="I2708" s="567"/>
      <c r="J2708" s="312" t="b">
        <v>0</v>
      </c>
      <c r="K2708" s="312"/>
      <c r="L2708" s="312"/>
      <c r="M2708" s="511"/>
      <c r="N2708" s="312"/>
      <c r="O2708" s="312"/>
      <c r="P2708" s="312"/>
      <c r="Q2708" s="312"/>
      <c r="R2708" s="312"/>
      <c r="S2708" s="312"/>
      <c r="T2708" s="312"/>
      <c r="U2708" s="312"/>
    </row>
    <row r="2709">
      <c r="A2709" s="312"/>
      <c r="B2709" s="312"/>
      <c r="C2709" s="567"/>
      <c r="D2709" s="312"/>
      <c r="E2709" s="511"/>
      <c r="F2709" s="312"/>
      <c r="G2709" s="312"/>
      <c r="H2709" s="312"/>
      <c r="I2709" s="567"/>
      <c r="J2709" s="312" t="b">
        <v>0</v>
      </c>
      <c r="K2709" s="312"/>
      <c r="L2709" s="312"/>
      <c r="M2709" s="511"/>
      <c r="N2709" s="312"/>
      <c r="O2709" s="312"/>
      <c r="P2709" s="312"/>
      <c r="Q2709" s="312"/>
      <c r="R2709" s="312"/>
      <c r="S2709" s="312"/>
      <c r="T2709" s="312"/>
      <c r="U2709" s="312"/>
    </row>
    <row r="2710">
      <c r="A2710" s="312"/>
      <c r="B2710" s="312"/>
      <c r="C2710" s="567"/>
      <c r="D2710" s="312"/>
      <c r="E2710" s="511"/>
      <c r="F2710" s="312"/>
      <c r="G2710" s="312"/>
      <c r="H2710" s="312"/>
      <c r="I2710" s="567"/>
      <c r="J2710" s="312" t="b">
        <v>0</v>
      </c>
      <c r="K2710" s="312"/>
      <c r="L2710" s="312"/>
      <c r="M2710" s="511"/>
      <c r="N2710" s="312"/>
      <c r="O2710" s="312"/>
      <c r="P2710" s="312"/>
      <c r="Q2710" s="312"/>
      <c r="R2710" s="312"/>
      <c r="S2710" s="312"/>
      <c r="T2710" s="312"/>
      <c r="U2710" s="312"/>
    </row>
    <row r="2711">
      <c r="A2711" s="312"/>
      <c r="B2711" s="312"/>
      <c r="C2711" s="567"/>
      <c r="D2711" s="312"/>
      <c r="E2711" s="511"/>
      <c r="F2711" s="312"/>
      <c r="G2711" s="312"/>
      <c r="H2711" s="312"/>
      <c r="I2711" s="567"/>
      <c r="J2711" s="312" t="b">
        <v>0</v>
      </c>
      <c r="K2711" s="312"/>
      <c r="L2711" s="312"/>
      <c r="M2711" s="511"/>
      <c r="N2711" s="312"/>
      <c r="O2711" s="312"/>
      <c r="P2711" s="312"/>
      <c r="Q2711" s="312"/>
      <c r="R2711" s="312"/>
      <c r="S2711" s="312"/>
      <c r="T2711" s="312"/>
      <c r="U2711" s="312"/>
    </row>
    <row r="2712">
      <c r="A2712" s="312"/>
      <c r="B2712" s="312"/>
      <c r="C2712" s="567"/>
      <c r="D2712" s="312"/>
      <c r="E2712" s="511"/>
      <c r="F2712" s="312"/>
      <c r="G2712" s="312"/>
      <c r="H2712" s="312"/>
      <c r="I2712" s="567"/>
      <c r="J2712" s="312" t="b">
        <v>0</v>
      </c>
      <c r="K2712" s="312"/>
      <c r="L2712" s="312"/>
      <c r="M2712" s="511"/>
      <c r="N2712" s="312"/>
      <c r="O2712" s="312"/>
      <c r="P2712" s="312"/>
      <c r="Q2712" s="312"/>
      <c r="R2712" s="312"/>
      <c r="S2712" s="312"/>
      <c r="T2712" s="312"/>
      <c r="U2712" s="312"/>
    </row>
    <row r="2713">
      <c r="A2713" s="312"/>
      <c r="B2713" s="312"/>
      <c r="C2713" s="567"/>
      <c r="D2713" s="312"/>
      <c r="E2713" s="511"/>
      <c r="F2713" s="312"/>
      <c r="G2713" s="312"/>
      <c r="H2713" s="312"/>
      <c r="I2713" s="567"/>
      <c r="J2713" s="312" t="b">
        <v>0</v>
      </c>
      <c r="K2713" s="312"/>
      <c r="L2713" s="312"/>
      <c r="M2713" s="511"/>
      <c r="N2713" s="312"/>
      <c r="O2713" s="312"/>
      <c r="P2713" s="312"/>
      <c r="Q2713" s="312"/>
      <c r="R2713" s="312"/>
      <c r="S2713" s="312"/>
      <c r="T2713" s="312"/>
      <c r="U2713" s="312"/>
    </row>
    <row r="2714">
      <c r="A2714" s="312"/>
      <c r="B2714" s="312"/>
      <c r="C2714" s="567"/>
      <c r="D2714" s="312"/>
      <c r="E2714" s="511"/>
      <c r="F2714" s="312"/>
      <c r="G2714" s="312"/>
      <c r="H2714" s="312"/>
      <c r="I2714" s="567"/>
      <c r="J2714" s="312" t="b">
        <v>0</v>
      </c>
      <c r="K2714" s="312"/>
      <c r="L2714" s="312"/>
      <c r="M2714" s="511"/>
      <c r="N2714" s="312"/>
      <c r="O2714" s="312"/>
      <c r="P2714" s="312"/>
      <c r="Q2714" s="312"/>
      <c r="R2714" s="312"/>
      <c r="S2714" s="312"/>
      <c r="T2714" s="312"/>
      <c r="U2714" s="312"/>
    </row>
    <row r="2715">
      <c r="A2715" s="312"/>
      <c r="B2715" s="312"/>
      <c r="C2715" s="567"/>
      <c r="D2715" s="312"/>
      <c r="E2715" s="511"/>
      <c r="F2715" s="312"/>
      <c r="G2715" s="312"/>
      <c r="H2715" s="312"/>
      <c r="I2715" s="567"/>
      <c r="J2715" s="312" t="b">
        <v>0</v>
      </c>
      <c r="K2715" s="312"/>
      <c r="L2715" s="312"/>
      <c r="M2715" s="511"/>
      <c r="N2715" s="312"/>
      <c r="O2715" s="312"/>
      <c r="P2715" s="312"/>
      <c r="Q2715" s="312"/>
      <c r="R2715" s="312"/>
      <c r="S2715" s="312"/>
      <c r="T2715" s="312"/>
      <c r="U2715" s="312"/>
    </row>
    <row r="2716">
      <c r="A2716" s="312"/>
      <c r="B2716" s="312"/>
      <c r="C2716" s="567"/>
      <c r="D2716" s="312"/>
      <c r="E2716" s="511"/>
      <c r="F2716" s="312"/>
      <c r="G2716" s="312"/>
      <c r="H2716" s="312"/>
      <c r="I2716" s="567"/>
      <c r="J2716" s="312" t="b">
        <v>0</v>
      </c>
      <c r="K2716" s="312"/>
      <c r="L2716" s="312"/>
      <c r="M2716" s="511"/>
      <c r="N2716" s="312"/>
      <c r="O2716" s="312"/>
      <c r="P2716" s="312"/>
      <c r="Q2716" s="312"/>
      <c r="R2716" s="312"/>
      <c r="S2716" s="312"/>
      <c r="T2716" s="312"/>
      <c r="U2716" s="312"/>
    </row>
    <row r="2717">
      <c r="A2717" s="312"/>
      <c r="B2717" s="312"/>
      <c r="C2717" s="567"/>
      <c r="D2717" s="312"/>
      <c r="E2717" s="511"/>
      <c r="F2717" s="312"/>
      <c r="G2717" s="312"/>
      <c r="H2717" s="312"/>
      <c r="I2717" s="567"/>
      <c r="J2717" s="312" t="b">
        <v>0</v>
      </c>
      <c r="K2717" s="312"/>
      <c r="L2717" s="312"/>
      <c r="M2717" s="511"/>
      <c r="N2717" s="312"/>
      <c r="O2717" s="312"/>
      <c r="P2717" s="312"/>
      <c r="Q2717" s="312"/>
      <c r="R2717" s="312"/>
      <c r="S2717" s="312"/>
      <c r="T2717" s="312"/>
      <c r="U2717" s="312"/>
    </row>
    <row r="2718">
      <c r="A2718" s="312"/>
      <c r="B2718" s="312"/>
      <c r="C2718" s="567"/>
      <c r="D2718" s="312"/>
      <c r="E2718" s="511"/>
      <c r="F2718" s="312"/>
      <c r="G2718" s="312"/>
      <c r="H2718" s="312"/>
      <c r="I2718" s="567"/>
      <c r="J2718" s="312" t="b">
        <v>0</v>
      </c>
      <c r="K2718" s="312"/>
      <c r="L2718" s="312"/>
      <c r="M2718" s="511"/>
      <c r="N2718" s="312"/>
      <c r="O2718" s="312"/>
      <c r="P2718" s="312"/>
      <c r="Q2718" s="312"/>
      <c r="R2718" s="312"/>
      <c r="S2718" s="312"/>
      <c r="T2718" s="312"/>
      <c r="U2718" s="312"/>
    </row>
    <row r="2719">
      <c r="A2719" s="312"/>
      <c r="B2719" s="312"/>
      <c r="C2719" s="567"/>
      <c r="D2719" s="312"/>
      <c r="E2719" s="511"/>
      <c r="F2719" s="312"/>
      <c r="G2719" s="312"/>
      <c r="H2719" s="312"/>
      <c r="I2719" s="567"/>
      <c r="J2719" s="312" t="b">
        <v>0</v>
      </c>
      <c r="K2719" s="312"/>
      <c r="L2719" s="312"/>
      <c r="M2719" s="511"/>
      <c r="N2719" s="312"/>
      <c r="O2719" s="312"/>
      <c r="P2719" s="312"/>
      <c r="Q2719" s="312"/>
      <c r="R2719" s="312"/>
      <c r="S2719" s="312"/>
      <c r="T2719" s="312"/>
      <c r="U2719" s="312"/>
    </row>
    <row r="2720">
      <c r="A2720" s="312"/>
      <c r="B2720" s="312"/>
      <c r="C2720" s="567"/>
      <c r="D2720" s="312"/>
      <c r="E2720" s="511"/>
      <c r="F2720" s="312"/>
      <c r="G2720" s="312"/>
      <c r="H2720" s="312"/>
      <c r="I2720" s="567"/>
      <c r="J2720" s="312" t="b">
        <v>0</v>
      </c>
      <c r="K2720" s="312"/>
      <c r="L2720" s="312"/>
      <c r="M2720" s="511"/>
      <c r="N2720" s="312"/>
      <c r="O2720" s="312"/>
      <c r="P2720" s="312"/>
      <c r="Q2720" s="312"/>
      <c r="R2720" s="312"/>
      <c r="S2720" s="312"/>
      <c r="T2720" s="312"/>
      <c r="U2720" s="312"/>
    </row>
    <row r="2721">
      <c r="A2721" s="312"/>
      <c r="B2721" s="312"/>
      <c r="C2721" s="567"/>
      <c r="D2721" s="312"/>
      <c r="E2721" s="511"/>
      <c r="F2721" s="312"/>
      <c r="G2721" s="312"/>
      <c r="H2721" s="312"/>
      <c r="I2721" s="567"/>
      <c r="J2721" s="312" t="b">
        <v>0</v>
      </c>
      <c r="K2721" s="312"/>
      <c r="L2721" s="312"/>
      <c r="M2721" s="511"/>
      <c r="N2721" s="312"/>
      <c r="O2721" s="312"/>
      <c r="P2721" s="312"/>
      <c r="Q2721" s="312"/>
      <c r="R2721" s="312"/>
      <c r="S2721" s="312"/>
      <c r="T2721" s="312"/>
      <c r="U2721" s="312"/>
    </row>
    <row r="2722">
      <c r="A2722" s="312"/>
      <c r="B2722" s="312"/>
      <c r="C2722" s="567"/>
      <c r="D2722" s="312"/>
      <c r="E2722" s="511"/>
      <c r="F2722" s="312"/>
      <c r="G2722" s="312"/>
      <c r="H2722" s="312"/>
      <c r="I2722" s="567"/>
      <c r="J2722" s="312" t="b">
        <v>0</v>
      </c>
      <c r="K2722" s="312"/>
      <c r="L2722" s="312"/>
      <c r="M2722" s="511"/>
      <c r="N2722" s="312"/>
      <c r="O2722" s="312"/>
      <c r="P2722" s="312"/>
      <c r="Q2722" s="312"/>
      <c r="R2722" s="312"/>
      <c r="S2722" s="312"/>
      <c r="T2722" s="312"/>
      <c r="U2722" s="312"/>
    </row>
    <row r="2723">
      <c r="A2723" s="312"/>
      <c r="B2723" s="312"/>
      <c r="C2723" s="567"/>
      <c r="D2723" s="312"/>
      <c r="E2723" s="511"/>
      <c r="F2723" s="312"/>
      <c r="G2723" s="312"/>
      <c r="H2723" s="312"/>
      <c r="I2723" s="567"/>
      <c r="J2723" s="312" t="b">
        <v>0</v>
      </c>
      <c r="K2723" s="312"/>
      <c r="L2723" s="312"/>
      <c r="M2723" s="511"/>
      <c r="N2723" s="312"/>
      <c r="O2723" s="312"/>
      <c r="P2723" s="312"/>
      <c r="Q2723" s="312"/>
      <c r="R2723" s="312"/>
      <c r="S2723" s="312"/>
      <c r="T2723" s="312"/>
      <c r="U2723" s="312"/>
    </row>
    <row r="2724">
      <c r="A2724" s="312"/>
      <c r="B2724" s="312"/>
      <c r="C2724" s="567"/>
      <c r="D2724" s="312"/>
      <c r="E2724" s="511"/>
      <c r="F2724" s="312"/>
      <c r="G2724" s="312"/>
      <c r="H2724" s="312"/>
      <c r="I2724" s="567"/>
      <c r="J2724" s="312" t="b">
        <v>0</v>
      </c>
      <c r="K2724" s="312"/>
      <c r="L2724" s="312"/>
      <c r="M2724" s="511"/>
      <c r="N2724" s="312"/>
      <c r="O2724" s="312"/>
      <c r="P2724" s="312"/>
      <c r="Q2724" s="312"/>
      <c r="R2724" s="312"/>
      <c r="S2724" s="312"/>
      <c r="T2724" s="312"/>
      <c r="U2724" s="312"/>
    </row>
    <row r="2725">
      <c r="A2725" s="312"/>
      <c r="B2725" s="312"/>
      <c r="C2725" s="567"/>
      <c r="D2725" s="312"/>
      <c r="E2725" s="511"/>
      <c r="F2725" s="312"/>
      <c r="G2725" s="312"/>
      <c r="H2725" s="312"/>
      <c r="I2725" s="567"/>
      <c r="J2725" s="312" t="b">
        <v>0</v>
      </c>
      <c r="K2725" s="312"/>
      <c r="L2725" s="312"/>
      <c r="M2725" s="511"/>
      <c r="N2725" s="312"/>
      <c r="O2725" s="312"/>
      <c r="P2725" s="312"/>
      <c r="Q2725" s="312"/>
      <c r="R2725" s="312"/>
      <c r="S2725" s="312"/>
      <c r="T2725" s="312"/>
      <c r="U2725" s="312"/>
    </row>
    <row r="2726">
      <c r="A2726" s="312"/>
      <c r="B2726" s="312"/>
      <c r="C2726" s="567"/>
      <c r="D2726" s="312"/>
      <c r="E2726" s="511"/>
      <c r="F2726" s="312"/>
      <c r="G2726" s="312"/>
      <c r="H2726" s="312"/>
      <c r="I2726" s="567"/>
      <c r="J2726" s="312" t="b">
        <v>0</v>
      </c>
      <c r="K2726" s="312"/>
      <c r="L2726" s="312"/>
      <c r="M2726" s="511"/>
      <c r="N2726" s="312"/>
      <c r="O2726" s="312"/>
      <c r="P2726" s="312"/>
      <c r="Q2726" s="312"/>
      <c r="R2726" s="312"/>
      <c r="S2726" s="312"/>
      <c r="T2726" s="312"/>
      <c r="U2726" s="312"/>
    </row>
    <row r="2727">
      <c r="A2727" s="312"/>
      <c r="B2727" s="312"/>
      <c r="C2727" s="567"/>
      <c r="D2727" s="312"/>
      <c r="E2727" s="511"/>
      <c r="F2727" s="312"/>
      <c r="G2727" s="312"/>
      <c r="H2727" s="312"/>
      <c r="I2727" s="567"/>
      <c r="J2727" s="312" t="b">
        <v>0</v>
      </c>
      <c r="K2727" s="312"/>
      <c r="L2727" s="312"/>
      <c r="M2727" s="511"/>
      <c r="N2727" s="312"/>
      <c r="O2727" s="312"/>
      <c r="P2727" s="312"/>
      <c r="Q2727" s="312"/>
      <c r="R2727" s="312"/>
      <c r="S2727" s="312"/>
      <c r="T2727" s="312"/>
      <c r="U2727" s="312"/>
    </row>
    <row r="2728">
      <c r="A2728" s="312"/>
      <c r="B2728" s="312"/>
      <c r="C2728" s="567"/>
      <c r="D2728" s="312"/>
      <c r="E2728" s="511"/>
      <c r="F2728" s="312"/>
      <c r="G2728" s="312"/>
      <c r="H2728" s="312"/>
      <c r="I2728" s="567"/>
      <c r="J2728" s="312" t="b">
        <v>0</v>
      </c>
      <c r="K2728" s="312"/>
      <c r="L2728" s="312"/>
      <c r="M2728" s="511"/>
      <c r="N2728" s="312"/>
      <c r="O2728" s="312"/>
      <c r="P2728" s="312"/>
      <c r="Q2728" s="312"/>
      <c r="R2728" s="312"/>
      <c r="S2728" s="312"/>
      <c r="T2728" s="312"/>
      <c r="U2728" s="312"/>
    </row>
    <row r="2729">
      <c r="A2729" s="312"/>
      <c r="B2729" s="312"/>
      <c r="C2729" s="567"/>
      <c r="D2729" s="312"/>
      <c r="E2729" s="511"/>
      <c r="F2729" s="312"/>
      <c r="G2729" s="312"/>
      <c r="H2729" s="312"/>
      <c r="I2729" s="567"/>
      <c r="J2729" s="312" t="b">
        <v>0</v>
      </c>
      <c r="K2729" s="312"/>
      <c r="L2729" s="312"/>
      <c r="M2729" s="511"/>
      <c r="N2729" s="312"/>
      <c r="O2729" s="312"/>
      <c r="P2729" s="312"/>
      <c r="Q2729" s="312"/>
      <c r="R2729" s="312"/>
      <c r="S2729" s="312"/>
      <c r="T2729" s="312"/>
      <c r="U2729" s="312"/>
    </row>
    <row r="2730">
      <c r="A2730" s="312"/>
      <c r="B2730" s="312"/>
      <c r="C2730" s="567"/>
      <c r="D2730" s="312"/>
      <c r="E2730" s="511"/>
      <c r="F2730" s="312"/>
      <c r="G2730" s="312"/>
      <c r="H2730" s="312"/>
      <c r="I2730" s="567"/>
      <c r="J2730" s="312" t="b">
        <v>0</v>
      </c>
      <c r="K2730" s="312"/>
      <c r="L2730" s="312"/>
      <c r="M2730" s="511"/>
      <c r="N2730" s="312"/>
      <c r="O2730" s="312"/>
      <c r="P2730" s="312"/>
      <c r="Q2730" s="312"/>
      <c r="R2730" s="312"/>
      <c r="S2730" s="312"/>
      <c r="T2730" s="312"/>
      <c r="U2730" s="312"/>
    </row>
    <row r="2731">
      <c r="A2731" s="312"/>
      <c r="B2731" s="312"/>
      <c r="C2731" s="567"/>
      <c r="D2731" s="312"/>
      <c r="E2731" s="511"/>
      <c r="F2731" s="312"/>
      <c r="G2731" s="312"/>
      <c r="H2731" s="312"/>
      <c r="I2731" s="567"/>
      <c r="J2731" s="312" t="b">
        <v>0</v>
      </c>
      <c r="K2731" s="312"/>
      <c r="L2731" s="312"/>
      <c r="M2731" s="511"/>
      <c r="N2731" s="312"/>
      <c r="O2731" s="312"/>
      <c r="P2731" s="312"/>
      <c r="Q2731" s="312"/>
      <c r="R2731" s="312"/>
      <c r="S2731" s="312"/>
      <c r="T2731" s="312"/>
      <c r="U2731" s="312"/>
    </row>
    <row r="2732">
      <c r="A2732" s="312"/>
      <c r="B2732" s="312"/>
      <c r="C2732" s="567"/>
      <c r="D2732" s="312"/>
      <c r="E2732" s="511"/>
      <c r="F2732" s="312"/>
      <c r="G2732" s="312"/>
      <c r="H2732" s="312"/>
      <c r="I2732" s="567"/>
      <c r="J2732" s="312" t="b">
        <v>0</v>
      </c>
      <c r="K2732" s="312"/>
      <c r="L2732" s="312"/>
      <c r="M2732" s="511"/>
      <c r="N2732" s="312"/>
      <c r="O2732" s="312"/>
      <c r="P2732" s="312"/>
      <c r="Q2732" s="312"/>
      <c r="R2732" s="312"/>
      <c r="S2732" s="312"/>
      <c r="T2732" s="312"/>
      <c r="U2732" s="312"/>
    </row>
    <row r="2733">
      <c r="A2733" s="312"/>
      <c r="B2733" s="312"/>
      <c r="C2733" s="567"/>
      <c r="D2733" s="312"/>
      <c r="E2733" s="511"/>
      <c r="F2733" s="312"/>
      <c r="G2733" s="312"/>
      <c r="H2733" s="312"/>
      <c r="I2733" s="567"/>
      <c r="J2733" s="312" t="b">
        <v>0</v>
      </c>
      <c r="K2733" s="312"/>
      <c r="L2733" s="312"/>
      <c r="M2733" s="511"/>
      <c r="N2733" s="312"/>
      <c r="O2733" s="312"/>
      <c r="P2733" s="312"/>
      <c r="Q2733" s="312"/>
      <c r="R2733" s="312"/>
      <c r="S2733" s="312"/>
      <c r="T2733" s="312"/>
      <c r="U2733" s="312"/>
    </row>
    <row r="2734">
      <c r="A2734" s="312"/>
      <c r="B2734" s="312"/>
      <c r="C2734" s="567"/>
      <c r="D2734" s="312"/>
      <c r="E2734" s="511"/>
      <c r="F2734" s="312"/>
      <c r="G2734" s="312"/>
      <c r="H2734" s="312"/>
      <c r="I2734" s="567"/>
      <c r="J2734" s="312" t="b">
        <v>0</v>
      </c>
      <c r="K2734" s="312"/>
      <c r="L2734" s="312"/>
      <c r="M2734" s="511"/>
      <c r="N2734" s="312"/>
      <c r="O2734" s="312"/>
      <c r="P2734" s="312"/>
      <c r="Q2734" s="312"/>
      <c r="R2734" s="312"/>
      <c r="S2734" s="312"/>
      <c r="T2734" s="312"/>
      <c r="U2734" s="312"/>
    </row>
    <row r="2735">
      <c r="A2735" s="312"/>
      <c r="B2735" s="312"/>
      <c r="C2735" s="567"/>
      <c r="D2735" s="312"/>
      <c r="E2735" s="511"/>
      <c r="F2735" s="312"/>
      <c r="G2735" s="312"/>
      <c r="H2735" s="312"/>
      <c r="I2735" s="567"/>
      <c r="J2735" s="312" t="b">
        <v>0</v>
      </c>
      <c r="K2735" s="312"/>
      <c r="L2735" s="312"/>
      <c r="M2735" s="511"/>
      <c r="N2735" s="312"/>
      <c r="O2735" s="312"/>
      <c r="P2735" s="312"/>
      <c r="Q2735" s="312"/>
      <c r="R2735" s="312"/>
      <c r="S2735" s="312"/>
      <c r="T2735" s="312"/>
      <c r="U2735" s="312"/>
    </row>
    <row r="2736">
      <c r="A2736" s="312"/>
      <c r="B2736" s="312"/>
      <c r="C2736" s="567"/>
      <c r="D2736" s="312"/>
      <c r="E2736" s="511"/>
      <c r="F2736" s="312"/>
      <c r="G2736" s="312"/>
      <c r="H2736" s="312"/>
      <c r="I2736" s="567"/>
      <c r="J2736" s="312" t="b">
        <v>0</v>
      </c>
      <c r="K2736" s="312"/>
      <c r="L2736" s="312"/>
      <c r="M2736" s="511"/>
      <c r="N2736" s="312"/>
      <c r="O2736" s="312"/>
      <c r="P2736" s="312"/>
      <c r="Q2736" s="312"/>
      <c r="R2736" s="312"/>
      <c r="S2736" s="312"/>
      <c r="T2736" s="312"/>
      <c r="U2736" s="312"/>
    </row>
    <row r="2737">
      <c r="A2737" s="312"/>
      <c r="B2737" s="312"/>
      <c r="C2737" s="567"/>
      <c r="D2737" s="312"/>
      <c r="E2737" s="511"/>
      <c r="F2737" s="312"/>
      <c r="G2737" s="312"/>
      <c r="H2737" s="312"/>
      <c r="I2737" s="567"/>
      <c r="J2737" s="312" t="b">
        <v>0</v>
      </c>
      <c r="K2737" s="312"/>
      <c r="L2737" s="312"/>
      <c r="M2737" s="511"/>
      <c r="N2737" s="312"/>
      <c r="O2737" s="312"/>
      <c r="P2737" s="312"/>
      <c r="Q2737" s="312"/>
      <c r="R2737" s="312"/>
      <c r="S2737" s="312"/>
      <c r="T2737" s="312"/>
      <c r="U2737" s="312"/>
    </row>
    <row r="2738">
      <c r="A2738" s="312"/>
      <c r="B2738" s="312"/>
      <c r="C2738" s="567"/>
      <c r="D2738" s="312"/>
      <c r="E2738" s="511"/>
      <c r="F2738" s="312"/>
      <c r="G2738" s="312"/>
      <c r="H2738" s="312"/>
      <c r="I2738" s="567"/>
      <c r="J2738" s="312" t="b">
        <v>0</v>
      </c>
      <c r="K2738" s="312"/>
      <c r="L2738" s="312"/>
      <c r="M2738" s="511"/>
      <c r="N2738" s="312"/>
      <c r="O2738" s="312"/>
      <c r="P2738" s="312"/>
      <c r="Q2738" s="312"/>
      <c r="R2738" s="312"/>
      <c r="S2738" s="312"/>
      <c r="T2738" s="312"/>
      <c r="U2738" s="312"/>
    </row>
    <row r="2739">
      <c r="A2739" s="312"/>
      <c r="B2739" s="312"/>
      <c r="C2739" s="567"/>
      <c r="D2739" s="312"/>
      <c r="E2739" s="511"/>
      <c r="F2739" s="312"/>
      <c r="G2739" s="312"/>
      <c r="H2739" s="312"/>
      <c r="I2739" s="567"/>
      <c r="J2739" s="312" t="b">
        <v>0</v>
      </c>
      <c r="K2739" s="312"/>
      <c r="L2739" s="312"/>
      <c r="M2739" s="511"/>
      <c r="N2739" s="312"/>
      <c r="O2739" s="312"/>
      <c r="P2739" s="312"/>
      <c r="Q2739" s="312"/>
      <c r="R2739" s="312"/>
      <c r="S2739" s="312"/>
      <c r="T2739" s="312"/>
      <c r="U2739" s="312"/>
    </row>
    <row r="2740">
      <c r="A2740" s="312"/>
      <c r="B2740" s="312"/>
      <c r="C2740" s="567"/>
      <c r="D2740" s="312"/>
      <c r="E2740" s="511"/>
      <c r="F2740" s="312"/>
      <c r="G2740" s="312"/>
      <c r="H2740" s="312"/>
      <c r="I2740" s="567"/>
      <c r="J2740" s="312" t="b">
        <v>0</v>
      </c>
      <c r="K2740" s="312"/>
      <c r="L2740" s="312"/>
      <c r="M2740" s="511"/>
      <c r="N2740" s="312"/>
      <c r="O2740" s="312"/>
      <c r="P2740" s="312"/>
      <c r="Q2740" s="312"/>
      <c r="R2740" s="312"/>
      <c r="S2740" s="312"/>
      <c r="T2740" s="312"/>
      <c r="U2740" s="312"/>
    </row>
    <row r="2741">
      <c r="A2741" s="312"/>
      <c r="B2741" s="312"/>
      <c r="C2741" s="567"/>
      <c r="D2741" s="312"/>
      <c r="E2741" s="511"/>
      <c r="F2741" s="312"/>
      <c r="G2741" s="312"/>
      <c r="H2741" s="312"/>
      <c r="I2741" s="567"/>
      <c r="J2741" s="312" t="b">
        <v>0</v>
      </c>
      <c r="K2741" s="312"/>
      <c r="L2741" s="312"/>
      <c r="M2741" s="511"/>
      <c r="N2741" s="312"/>
      <c r="O2741" s="312"/>
      <c r="P2741" s="312"/>
      <c r="Q2741" s="312"/>
      <c r="R2741" s="312"/>
      <c r="S2741" s="312"/>
      <c r="T2741" s="312"/>
      <c r="U2741" s="312"/>
    </row>
    <row r="2742">
      <c r="A2742" s="312"/>
      <c r="B2742" s="312"/>
      <c r="C2742" s="567"/>
      <c r="D2742" s="312"/>
      <c r="E2742" s="511"/>
      <c r="F2742" s="312"/>
      <c r="G2742" s="312"/>
      <c r="H2742" s="312"/>
      <c r="I2742" s="567"/>
      <c r="J2742" s="312" t="b">
        <v>0</v>
      </c>
      <c r="K2742" s="312"/>
      <c r="L2742" s="312"/>
      <c r="M2742" s="511"/>
      <c r="N2742" s="312"/>
      <c r="O2742" s="312"/>
      <c r="P2742" s="312"/>
      <c r="Q2742" s="312"/>
      <c r="R2742" s="312"/>
      <c r="S2742" s="312"/>
      <c r="T2742" s="312"/>
      <c r="U2742" s="312"/>
    </row>
    <row r="2743">
      <c r="A2743" s="312"/>
      <c r="B2743" s="312"/>
      <c r="C2743" s="567"/>
      <c r="D2743" s="312"/>
      <c r="E2743" s="511"/>
      <c r="F2743" s="312"/>
      <c r="G2743" s="312"/>
      <c r="H2743" s="312"/>
      <c r="I2743" s="567"/>
      <c r="J2743" s="312" t="b">
        <v>0</v>
      </c>
      <c r="K2743" s="312"/>
      <c r="L2743" s="312"/>
      <c r="M2743" s="511"/>
      <c r="N2743" s="312"/>
      <c r="O2743" s="312"/>
      <c r="P2743" s="312"/>
      <c r="Q2743" s="312"/>
      <c r="R2743" s="312"/>
      <c r="S2743" s="312"/>
      <c r="T2743" s="312"/>
      <c r="U2743" s="312"/>
    </row>
    <row r="2744">
      <c r="A2744" s="312"/>
      <c r="B2744" s="312"/>
      <c r="C2744" s="567"/>
      <c r="D2744" s="312"/>
      <c r="E2744" s="511"/>
      <c r="F2744" s="312"/>
      <c r="G2744" s="312"/>
      <c r="H2744" s="312"/>
      <c r="I2744" s="567"/>
      <c r="J2744" s="312" t="b">
        <v>0</v>
      </c>
      <c r="K2744" s="312"/>
      <c r="L2744" s="312"/>
      <c r="M2744" s="511"/>
      <c r="N2744" s="312"/>
      <c r="O2744" s="312"/>
      <c r="P2744" s="312"/>
      <c r="Q2744" s="312"/>
      <c r="R2744" s="312"/>
      <c r="S2744" s="312"/>
      <c r="T2744" s="312"/>
      <c r="U2744" s="312"/>
    </row>
    <row r="2745">
      <c r="A2745" s="312"/>
      <c r="B2745" s="312"/>
      <c r="C2745" s="567"/>
      <c r="D2745" s="312"/>
      <c r="E2745" s="511"/>
      <c r="F2745" s="312"/>
      <c r="G2745" s="312"/>
      <c r="H2745" s="312"/>
      <c r="I2745" s="567"/>
      <c r="J2745" s="312" t="b">
        <v>0</v>
      </c>
      <c r="K2745" s="312"/>
      <c r="L2745" s="312"/>
      <c r="M2745" s="511"/>
      <c r="N2745" s="312"/>
      <c r="O2745" s="312"/>
      <c r="P2745" s="312"/>
      <c r="Q2745" s="312"/>
      <c r="R2745" s="312"/>
      <c r="S2745" s="312"/>
      <c r="T2745" s="312"/>
      <c r="U2745" s="312"/>
    </row>
    <row r="2746">
      <c r="A2746" s="312"/>
      <c r="B2746" s="312"/>
      <c r="C2746" s="567"/>
      <c r="D2746" s="312"/>
      <c r="E2746" s="511"/>
      <c r="F2746" s="312"/>
      <c r="G2746" s="312"/>
      <c r="H2746" s="312"/>
      <c r="I2746" s="567"/>
      <c r="J2746" s="312" t="b">
        <v>0</v>
      </c>
      <c r="K2746" s="312"/>
      <c r="L2746" s="312"/>
      <c r="M2746" s="511"/>
      <c r="N2746" s="312"/>
      <c r="O2746" s="312"/>
      <c r="P2746" s="312"/>
      <c r="Q2746" s="312"/>
      <c r="R2746" s="312"/>
      <c r="S2746" s="312"/>
      <c r="T2746" s="312"/>
      <c r="U2746" s="312"/>
    </row>
    <row r="2747">
      <c r="A2747" s="312"/>
      <c r="B2747" s="312"/>
      <c r="C2747" s="567"/>
      <c r="D2747" s="312"/>
      <c r="E2747" s="511"/>
      <c r="F2747" s="312"/>
      <c r="G2747" s="312"/>
      <c r="H2747" s="312"/>
      <c r="I2747" s="567"/>
      <c r="J2747" s="312" t="b">
        <v>0</v>
      </c>
      <c r="K2747" s="312"/>
      <c r="L2747" s="312"/>
      <c r="M2747" s="511"/>
      <c r="N2747" s="312"/>
      <c r="O2747" s="312"/>
      <c r="P2747" s="312"/>
      <c r="Q2747" s="312"/>
      <c r="R2747" s="312"/>
      <c r="S2747" s="312"/>
      <c r="T2747" s="312"/>
      <c r="U2747" s="312"/>
    </row>
    <row r="2748">
      <c r="A2748" s="312"/>
      <c r="B2748" s="312"/>
      <c r="C2748" s="567"/>
      <c r="D2748" s="312"/>
      <c r="E2748" s="511"/>
      <c r="F2748" s="312"/>
      <c r="G2748" s="312"/>
      <c r="H2748" s="312"/>
      <c r="I2748" s="567"/>
      <c r="J2748" s="312" t="b">
        <v>0</v>
      </c>
      <c r="K2748" s="312"/>
      <c r="L2748" s="312"/>
      <c r="M2748" s="511"/>
      <c r="N2748" s="312"/>
      <c r="O2748" s="312"/>
      <c r="P2748" s="312"/>
      <c r="Q2748" s="312"/>
      <c r="R2748" s="312"/>
      <c r="S2748" s="312"/>
      <c r="T2748" s="312"/>
      <c r="U2748" s="312"/>
    </row>
    <row r="2749">
      <c r="A2749" s="312"/>
      <c r="B2749" s="312"/>
      <c r="C2749" s="567"/>
      <c r="D2749" s="312"/>
      <c r="E2749" s="511"/>
      <c r="F2749" s="312"/>
      <c r="G2749" s="312"/>
      <c r="H2749" s="312"/>
      <c r="I2749" s="567"/>
      <c r="J2749" s="312" t="b">
        <v>0</v>
      </c>
      <c r="K2749" s="312"/>
      <c r="L2749" s="312"/>
      <c r="M2749" s="511"/>
      <c r="N2749" s="312"/>
      <c r="O2749" s="312"/>
      <c r="P2749" s="312"/>
      <c r="Q2749" s="312"/>
      <c r="R2749" s="312"/>
      <c r="S2749" s="312"/>
      <c r="T2749" s="312"/>
      <c r="U2749" s="312"/>
    </row>
    <row r="2750">
      <c r="A2750" s="312"/>
      <c r="B2750" s="312"/>
      <c r="C2750" s="567"/>
      <c r="D2750" s="312"/>
      <c r="E2750" s="511"/>
      <c r="F2750" s="312"/>
      <c r="G2750" s="312"/>
      <c r="H2750" s="312"/>
      <c r="I2750" s="567"/>
      <c r="J2750" s="312" t="b">
        <v>0</v>
      </c>
      <c r="K2750" s="312"/>
      <c r="L2750" s="312"/>
      <c r="M2750" s="511"/>
      <c r="N2750" s="312"/>
      <c r="O2750" s="312"/>
      <c r="P2750" s="312"/>
      <c r="Q2750" s="312"/>
      <c r="R2750" s="312"/>
      <c r="S2750" s="312"/>
      <c r="T2750" s="312"/>
      <c r="U2750" s="312"/>
    </row>
    <row r="2751">
      <c r="A2751" s="312"/>
      <c r="B2751" s="312"/>
      <c r="C2751" s="567"/>
      <c r="D2751" s="312"/>
      <c r="E2751" s="511"/>
      <c r="F2751" s="312"/>
      <c r="G2751" s="312"/>
      <c r="H2751" s="312"/>
      <c r="I2751" s="567"/>
      <c r="J2751" s="312" t="b">
        <v>0</v>
      </c>
      <c r="K2751" s="312"/>
      <c r="L2751" s="312"/>
      <c r="M2751" s="511"/>
      <c r="N2751" s="312"/>
      <c r="O2751" s="312"/>
      <c r="P2751" s="312"/>
      <c r="Q2751" s="312"/>
      <c r="R2751" s="312"/>
      <c r="S2751" s="312"/>
      <c r="T2751" s="312"/>
      <c r="U2751" s="312"/>
    </row>
    <row r="2752">
      <c r="A2752" s="312"/>
      <c r="B2752" s="312"/>
      <c r="C2752" s="567"/>
      <c r="D2752" s="312"/>
      <c r="E2752" s="511"/>
      <c r="F2752" s="312"/>
      <c r="G2752" s="312"/>
      <c r="H2752" s="312"/>
      <c r="I2752" s="567"/>
      <c r="J2752" s="312" t="b">
        <v>0</v>
      </c>
      <c r="K2752" s="312"/>
      <c r="L2752" s="312"/>
      <c r="M2752" s="511"/>
      <c r="N2752" s="312"/>
      <c r="O2752" s="312"/>
      <c r="P2752" s="312"/>
      <c r="Q2752" s="312"/>
      <c r="R2752" s="312"/>
      <c r="S2752" s="312"/>
      <c r="T2752" s="312"/>
      <c r="U2752" s="312"/>
    </row>
    <row r="2753">
      <c r="A2753" s="312"/>
      <c r="B2753" s="312"/>
      <c r="C2753" s="567"/>
      <c r="D2753" s="312"/>
      <c r="E2753" s="511"/>
      <c r="F2753" s="312"/>
      <c r="G2753" s="312"/>
      <c r="H2753" s="312"/>
      <c r="I2753" s="567"/>
      <c r="J2753" s="312" t="b">
        <v>0</v>
      </c>
      <c r="K2753" s="312"/>
      <c r="L2753" s="312"/>
      <c r="M2753" s="511"/>
      <c r="N2753" s="312"/>
      <c r="O2753" s="312"/>
      <c r="P2753" s="312"/>
      <c r="Q2753" s="312"/>
      <c r="R2753" s="312"/>
      <c r="S2753" s="312"/>
      <c r="T2753" s="312"/>
      <c r="U2753" s="312"/>
    </row>
    <row r="2754">
      <c r="A2754" s="312"/>
      <c r="B2754" s="312"/>
      <c r="C2754" s="567"/>
      <c r="D2754" s="312"/>
      <c r="E2754" s="511"/>
      <c r="F2754" s="312"/>
      <c r="G2754" s="312"/>
      <c r="H2754" s="312"/>
      <c r="I2754" s="567"/>
      <c r="J2754" s="312" t="b">
        <v>0</v>
      </c>
      <c r="K2754" s="312"/>
      <c r="L2754" s="312"/>
      <c r="M2754" s="511"/>
      <c r="N2754" s="312"/>
      <c r="O2754" s="312"/>
      <c r="P2754" s="312"/>
      <c r="Q2754" s="312"/>
      <c r="R2754" s="312"/>
      <c r="S2754" s="312"/>
      <c r="T2754" s="312"/>
      <c r="U2754" s="312"/>
    </row>
    <row r="2755">
      <c r="A2755" s="312"/>
      <c r="B2755" s="312"/>
      <c r="C2755" s="567"/>
      <c r="D2755" s="312"/>
      <c r="E2755" s="511"/>
      <c r="F2755" s="312"/>
      <c r="G2755" s="312"/>
      <c r="H2755" s="312"/>
      <c r="I2755" s="567"/>
      <c r="J2755" s="312" t="b">
        <v>0</v>
      </c>
      <c r="K2755" s="312"/>
      <c r="L2755" s="312"/>
      <c r="M2755" s="511"/>
      <c r="N2755" s="312"/>
      <c r="O2755" s="312"/>
      <c r="P2755" s="312"/>
      <c r="Q2755" s="312"/>
      <c r="R2755" s="312"/>
      <c r="S2755" s="312"/>
      <c r="T2755" s="312"/>
      <c r="U2755" s="312"/>
    </row>
    <row r="2756">
      <c r="A2756" s="312"/>
      <c r="B2756" s="312"/>
      <c r="C2756" s="567"/>
      <c r="D2756" s="312"/>
      <c r="E2756" s="511"/>
      <c r="F2756" s="312"/>
      <c r="G2756" s="312"/>
      <c r="H2756" s="312"/>
      <c r="I2756" s="567"/>
      <c r="J2756" s="312" t="b">
        <v>0</v>
      </c>
      <c r="K2756" s="312"/>
      <c r="L2756" s="312"/>
      <c r="M2756" s="511"/>
      <c r="N2756" s="312"/>
      <c r="O2756" s="312"/>
      <c r="P2756" s="312"/>
      <c r="Q2756" s="312"/>
      <c r="R2756" s="312"/>
      <c r="S2756" s="312"/>
      <c r="T2756" s="312"/>
      <c r="U2756" s="312"/>
    </row>
    <row r="2757">
      <c r="A2757" s="312"/>
      <c r="B2757" s="312"/>
      <c r="C2757" s="567"/>
      <c r="D2757" s="312"/>
      <c r="E2757" s="511"/>
      <c r="F2757" s="312"/>
      <c r="G2757" s="312"/>
      <c r="H2757" s="312"/>
      <c r="I2757" s="567"/>
      <c r="J2757" s="312" t="b">
        <v>0</v>
      </c>
      <c r="K2757" s="312"/>
      <c r="L2757" s="312"/>
      <c r="M2757" s="511"/>
      <c r="N2757" s="312"/>
      <c r="O2757" s="312"/>
      <c r="P2757" s="312"/>
      <c r="Q2757" s="312"/>
      <c r="R2757" s="312"/>
      <c r="S2757" s="312"/>
      <c r="T2757" s="312"/>
      <c r="U2757" s="312"/>
    </row>
    <row r="2758">
      <c r="A2758" s="312"/>
      <c r="B2758" s="312"/>
      <c r="C2758" s="567"/>
      <c r="D2758" s="312"/>
      <c r="E2758" s="511"/>
      <c r="F2758" s="312"/>
      <c r="G2758" s="312"/>
      <c r="H2758" s="312"/>
      <c r="I2758" s="567"/>
      <c r="J2758" s="312" t="b">
        <v>0</v>
      </c>
      <c r="K2758" s="312"/>
      <c r="L2758" s="312"/>
      <c r="M2758" s="511"/>
      <c r="N2758" s="312"/>
      <c r="O2758" s="312"/>
      <c r="P2758" s="312"/>
      <c r="Q2758" s="312"/>
      <c r="R2758" s="312"/>
      <c r="S2758" s="312"/>
      <c r="T2758" s="312"/>
      <c r="U2758" s="312"/>
    </row>
    <row r="2759">
      <c r="A2759" s="312"/>
      <c r="B2759" s="312"/>
      <c r="C2759" s="567"/>
      <c r="D2759" s="312"/>
      <c r="E2759" s="511"/>
      <c r="F2759" s="312"/>
      <c r="G2759" s="312"/>
      <c r="H2759" s="312"/>
      <c r="I2759" s="567"/>
      <c r="J2759" s="312" t="b">
        <v>0</v>
      </c>
      <c r="K2759" s="312"/>
      <c r="L2759" s="312"/>
      <c r="M2759" s="511"/>
      <c r="N2759" s="312"/>
      <c r="O2759" s="312"/>
      <c r="P2759" s="312"/>
      <c r="Q2759" s="312"/>
      <c r="R2759" s="312"/>
      <c r="S2759" s="312"/>
      <c r="T2759" s="312"/>
      <c r="U2759" s="312"/>
    </row>
    <row r="2760">
      <c r="A2760" s="312"/>
      <c r="B2760" s="312"/>
      <c r="C2760" s="567"/>
      <c r="D2760" s="312"/>
      <c r="E2760" s="511"/>
      <c r="F2760" s="312"/>
      <c r="G2760" s="312"/>
      <c r="H2760" s="312"/>
      <c r="I2760" s="567"/>
      <c r="J2760" s="312" t="b">
        <v>0</v>
      </c>
      <c r="K2760" s="312"/>
      <c r="L2760" s="312"/>
      <c r="M2760" s="511"/>
      <c r="N2760" s="312"/>
      <c r="O2760" s="312"/>
      <c r="P2760" s="312"/>
      <c r="Q2760" s="312"/>
      <c r="R2760" s="312"/>
      <c r="S2760" s="312"/>
      <c r="T2760" s="312"/>
      <c r="U2760" s="312"/>
    </row>
    <row r="2761">
      <c r="A2761" s="312"/>
      <c r="B2761" s="312"/>
      <c r="C2761" s="567"/>
      <c r="D2761" s="312"/>
      <c r="E2761" s="511"/>
      <c r="F2761" s="312"/>
      <c r="G2761" s="312"/>
      <c r="H2761" s="312"/>
      <c r="I2761" s="567"/>
      <c r="J2761" s="312" t="b">
        <v>0</v>
      </c>
      <c r="K2761" s="312"/>
      <c r="L2761" s="312"/>
      <c r="M2761" s="511"/>
      <c r="N2761" s="312"/>
      <c r="O2761" s="312"/>
      <c r="P2761" s="312"/>
      <c r="Q2761" s="312"/>
      <c r="R2761" s="312"/>
      <c r="S2761" s="312"/>
      <c r="T2761" s="312"/>
      <c r="U2761" s="312"/>
    </row>
    <row r="2762">
      <c r="A2762" s="312"/>
      <c r="B2762" s="312"/>
      <c r="C2762" s="567"/>
      <c r="D2762" s="312"/>
      <c r="E2762" s="511"/>
      <c r="F2762" s="312"/>
      <c r="G2762" s="312"/>
      <c r="H2762" s="312"/>
      <c r="I2762" s="567"/>
      <c r="J2762" s="312" t="b">
        <v>0</v>
      </c>
      <c r="K2762" s="312"/>
      <c r="L2762" s="312"/>
      <c r="M2762" s="511"/>
      <c r="N2762" s="312"/>
      <c r="O2762" s="312"/>
      <c r="P2762" s="312"/>
      <c r="Q2762" s="312"/>
      <c r="R2762" s="312"/>
      <c r="S2762" s="312"/>
      <c r="T2762" s="312"/>
      <c r="U2762" s="312"/>
    </row>
    <row r="2763">
      <c r="A2763" s="312"/>
      <c r="B2763" s="312"/>
      <c r="C2763" s="567"/>
      <c r="D2763" s="312"/>
      <c r="E2763" s="511"/>
      <c r="F2763" s="312"/>
      <c r="G2763" s="312"/>
      <c r="H2763" s="312"/>
      <c r="I2763" s="567"/>
      <c r="J2763" s="312" t="b">
        <v>0</v>
      </c>
      <c r="K2763" s="312"/>
      <c r="L2763" s="312"/>
      <c r="M2763" s="511"/>
      <c r="N2763" s="312"/>
      <c r="O2763" s="312"/>
      <c r="P2763" s="312"/>
      <c r="Q2763" s="312"/>
      <c r="R2763" s="312"/>
      <c r="S2763" s="312"/>
      <c r="T2763" s="312"/>
      <c r="U2763" s="312"/>
    </row>
    <row r="2764">
      <c r="A2764" s="312"/>
      <c r="B2764" s="312"/>
      <c r="C2764" s="567"/>
      <c r="D2764" s="312"/>
      <c r="E2764" s="511"/>
      <c r="F2764" s="312"/>
      <c r="G2764" s="312"/>
      <c r="H2764" s="312"/>
      <c r="I2764" s="567"/>
      <c r="J2764" s="312" t="b">
        <v>0</v>
      </c>
      <c r="K2764" s="312"/>
      <c r="L2764" s="312"/>
      <c r="M2764" s="511"/>
      <c r="N2764" s="312"/>
      <c r="O2764" s="312"/>
      <c r="P2764" s="312"/>
      <c r="Q2764" s="312"/>
      <c r="R2764" s="312"/>
      <c r="S2764" s="312"/>
      <c r="T2764" s="312"/>
      <c r="U2764" s="312"/>
    </row>
    <row r="2765">
      <c r="A2765" s="312"/>
      <c r="B2765" s="312"/>
      <c r="C2765" s="567"/>
      <c r="D2765" s="312"/>
      <c r="E2765" s="511"/>
      <c r="F2765" s="312"/>
      <c r="G2765" s="312"/>
      <c r="H2765" s="312"/>
      <c r="I2765" s="567"/>
      <c r="J2765" s="312" t="b">
        <v>0</v>
      </c>
      <c r="K2765" s="312"/>
      <c r="L2765" s="312"/>
      <c r="M2765" s="511"/>
      <c r="N2765" s="312"/>
      <c r="O2765" s="312"/>
      <c r="P2765" s="312"/>
      <c r="Q2765" s="312"/>
      <c r="R2765" s="312"/>
      <c r="S2765" s="312"/>
      <c r="T2765" s="312"/>
      <c r="U2765" s="312"/>
    </row>
    <row r="2766">
      <c r="A2766" s="312"/>
      <c r="B2766" s="312"/>
      <c r="C2766" s="567"/>
      <c r="D2766" s="312"/>
      <c r="E2766" s="511"/>
      <c r="F2766" s="312"/>
      <c r="G2766" s="312"/>
      <c r="H2766" s="312"/>
      <c r="I2766" s="567"/>
      <c r="J2766" s="312" t="b">
        <v>0</v>
      </c>
      <c r="K2766" s="312"/>
      <c r="L2766" s="312"/>
      <c r="M2766" s="511"/>
      <c r="N2766" s="312"/>
      <c r="O2766" s="312"/>
      <c r="P2766" s="312"/>
      <c r="Q2766" s="312"/>
      <c r="R2766" s="312"/>
      <c r="S2766" s="312"/>
      <c r="T2766" s="312"/>
      <c r="U2766" s="312"/>
    </row>
    <row r="2767">
      <c r="A2767" s="312"/>
      <c r="B2767" s="312"/>
      <c r="C2767" s="567"/>
      <c r="D2767" s="312"/>
      <c r="E2767" s="511"/>
      <c r="F2767" s="312"/>
      <c r="G2767" s="312"/>
      <c r="H2767" s="312"/>
      <c r="I2767" s="567"/>
      <c r="J2767" s="312" t="b">
        <v>0</v>
      </c>
      <c r="K2767" s="312"/>
      <c r="L2767" s="312"/>
      <c r="M2767" s="511"/>
      <c r="N2767" s="312"/>
      <c r="O2767" s="312"/>
      <c r="P2767" s="312"/>
      <c r="Q2767" s="312"/>
      <c r="R2767" s="312"/>
      <c r="S2767" s="312"/>
      <c r="T2767" s="312"/>
      <c r="U2767" s="312"/>
    </row>
    <row r="2768">
      <c r="A2768" s="312"/>
      <c r="B2768" s="312"/>
      <c r="C2768" s="567"/>
      <c r="D2768" s="312"/>
      <c r="E2768" s="511"/>
      <c r="F2768" s="312"/>
      <c r="G2768" s="312"/>
      <c r="H2768" s="312"/>
      <c r="I2768" s="567"/>
      <c r="J2768" s="312" t="b">
        <v>0</v>
      </c>
      <c r="K2768" s="312"/>
      <c r="L2768" s="312"/>
      <c r="M2768" s="511"/>
      <c r="N2768" s="312"/>
      <c r="O2768" s="312"/>
      <c r="P2768" s="312"/>
      <c r="Q2768" s="312"/>
      <c r="R2768" s="312"/>
      <c r="S2768" s="312"/>
      <c r="T2768" s="312"/>
      <c r="U2768" s="312"/>
    </row>
    <row r="2769">
      <c r="A2769" s="312"/>
      <c r="B2769" s="312"/>
      <c r="C2769" s="567"/>
      <c r="D2769" s="312"/>
      <c r="E2769" s="511"/>
      <c r="F2769" s="312"/>
      <c r="G2769" s="312"/>
      <c r="H2769" s="312"/>
      <c r="I2769" s="567"/>
      <c r="J2769" s="312" t="b">
        <v>0</v>
      </c>
      <c r="K2769" s="312"/>
      <c r="L2769" s="312"/>
      <c r="M2769" s="511"/>
      <c r="N2769" s="312"/>
      <c r="O2769" s="312"/>
      <c r="P2769" s="312"/>
      <c r="Q2769" s="312"/>
      <c r="R2769" s="312"/>
      <c r="S2769" s="312"/>
      <c r="T2769" s="312"/>
      <c r="U2769" s="312"/>
    </row>
    <row r="2770">
      <c r="A2770" s="312"/>
      <c r="B2770" s="312"/>
      <c r="C2770" s="567"/>
      <c r="D2770" s="312"/>
      <c r="E2770" s="511"/>
      <c r="F2770" s="312"/>
      <c r="G2770" s="312"/>
      <c r="H2770" s="312"/>
      <c r="I2770" s="567"/>
      <c r="J2770" s="312" t="b">
        <v>0</v>
      </c>
      <c r="K2770" s="312"/>
      <c r="L2770" s="312"/>
      <c r="M2770" s="511"/>
      <c r="N2770" s="312"/>
      <c r="O2770" s="312"/>
      <c r="P2770" s="312"/>
      <c r="Q2770" s="312"/>
      <c r="R2770" s="312"/>
      <c r="S2770" s="312"/>
      <c r="T2770" s="312"/>
      <c r="U2770" s="312"/>
    </row>
    <row r="2771">
      <c r="A2771" s="312"/>
      <c r="B2771" s="312"/>
      <c r="C2771" s="567"/>
      <c r="D2771" s="312"/>
      <c r="E2771" s="511"/>
      <c r="F2771" s="312"/>
      <c r="G2771" s="312"/>
      <c r="H2771" s="312"/>
      <c r="I2771" s="567"/>
      <c r="J2771" s="312" t="b">
        <v>0</v>
      </c>
      <c r="K2771" s="312"/>
      <c r="L2771" s="312"/>
      <c r="M2771" s="511"/>
      <c r="N2771" s="312"/>
      <c r="O2771" s="312"/>
      <c r="P2771" s="312"/>
      <c r="Q2771" s="312"/>
      <c r="R2771" s="312"/>
      <c r="S2771" s="312"/>
      <c r="T2771" s="312"/>
      <c r="U2771" s="312"/>
    </row>
    <row r="2772">
      <c r="A2772" s="312"/>
      <c r="B2772" s="312"/>
      <c r="C2772" s="567"/>
      <c r="D2772" s="312"/>
      <c r="E2772" s="511"/>
      <c r="F2772" s="312"/>
      <c r="G2772" s="312"/>
      <c r="H2772" s="312"/>
      <c r="I2772" s="567"/>
      <c r="J2772" s="312" t="b">
        <v>0</v>
      </c>
      <c r="K2772" s="312"/>
      <c r="L2772" s="312"/>
      <c r="M2772" s="511"/>
      <c r="N2772" s="312"/>
      <c r="O2772" s="312"/>
      <c r="P2772" s="312"/>
      <c r="Q2772" s="312"/>
      <c r="R2772" s="312"/>
      <c r="S2772" s="312"/>
      <c r="T2772" s="312"/>
      <c r="U2772" s="312"/>
    </row>
    <row r="2773">
      <c r="A2773" s="312"/>
      <c r="B2773" s="312"/>
      <c r="C2773" s="567"/>
      <c r="D2773" s="312"/>
      <c r="E2773" s="511"/>
      <c r="F2773" s="312"/>
      <c r="G2773" s="312"/>
      <c r="H2773" s="312"/>
      <c r="I2773" s="567"/>
      <c r="J2773" s="312" t="b">
        <v>0</v>
      </c>
      <c r="K2773" s="312"/>
      <c r="L2773" s="312"/>
      <c r="M2773" s="511"/>
      <c r="N2773" s="312"/>
      <c r="O2773" s="312"/>
      <c r="P2773" s="312"/>
      <c r="Q2773" s="312"/>
      <c r="R2773" s="312"/>
      <c r="S2773" s="312"/>
      <c r="T2773" s="312"/>
      <c r="U2773" s="312"/>
    </row>
    <row r="2774">
      <c r="A2774" s="312"/>
      <c r="B2774" s="312"/>
      <c r="C2774" s="567"/>
      <c r="D2774" s="312"/>
      <c r="E2774" s="511"/>
      <c r="F2774" s="312"/>
      <c r="G2774" s="312"/>
      <c r="H2774" s="312"/>
      <c r="I2774" s="567"/>
      <c r="J2774" s="312" t="b">
        <v>0</v>
      </c>
      <c r="K2774" s="312"/>
      <c r="L2774" s="312"/>
      <c r="M2774" s="511"/>
      <c r="N2774" s="312"/>
      <c r="O2774" s="312"/>
      <c r="P2774" s="312"/>
      <c r="Q2774" s="312"/>
      <c r="R2774" s="312"/>
      <c r="S2774" s="312"/>
      <c r="T2774" s="312"/>
      <c r="U2774" s="312"/>
    </row>
    <row r="2775">
      <c r="A2775" s="312"/>
      <c r="B2775" s="312"/>
      <c r="C2775" s="567"/>
      <c r="D2775" s="312"/>
      <c r="E2775" s="511"/>
      <c r="F2775" s="312"/>
      <c r="G2775" s="312"/>
      <c r="H2775" s="312"/>
      <c r="I2775" s="567"/>
      <c r="J2775" s="312" t="b">
        <v>0</v>
      </c>
      <c r="K2775" s="312"/>
      <c r="L2775" s="312"/>
      <c r="M2775" s="511"/>
      <c r="N2775" s="312"/>
      <c r="O2775" s="312"/>
      <c r="P2775" s="312"/>
      <c r="Q2775" s="312"/>
      <c r="R2775" s="312"/>
      <c r="S2775" s="312"/>
      <c r="T2775" s="312"/>
      <c r="U2775" s="312"/>
    </row>
    <row r="2776">
      <c r="A2776" s="312"/>
      <c r="B2776" s="312"/>
      <c r="C2776" s="567"/>
      <c r="D2776" s="312"/>
      <c r="E2776" s="511"/>
      <c r="F2776" s="312"/>
      <c r="G2776" s="312"/>
      <c r="H2776" s="312"/>
      <c r="I2776" s="567"/>
      <c r="J2776" s="312" t="b">
        <v>0</v>
      </c>
      <c r="K2776" s="312"/>
      <c r="L2776" s="312"/>
      <c r="M2776" s="511"/>
      <c r="N2776" s="312"/>
      <c r="O2776" s="312"/>
      <c r="P2776" s="312"/>
      <c r="Q2776" s="312"/>
      <c r="R2776" s="312"/>
      <c r="S2776" s="312"/>
      <c r="T2776" s="312"/>
      <c r="U2776" s="312"/>
    </row>
    <row r="2777">
      <c r="A2777" s="312"/>
      <c r="B2777" s="312"/>
      <c r="C2777" s="567"/>
      <c r="D2777" s="312"/>
      <c r="E2777" s="511"/>
      <c r="F2777" s="312"/>
      <c r="G2777" s="312"/>
      <c r="H2777" s="312"/>
      <c r="I2777" s="567"/>
      <c r="J2777" s="312" t="b">
        <v>0</v>
      </c>
      <c r="K2777" s="312"/>
      <c r="L2777" s="312"/>
      <c r="M2777" s="511"/>
      <c r="N2777" s="312"/>
      <c r="O2777" s="312"/>
      <c r="P2777" s="312"/>
      <c r="Q2777" s="312"/>
      <c r="R2777" s="312"/>
      <c r="S2777" s="312"/>
      <c r="T2777" s="312"/>
      <c r="U2777" s="312"/>
    </row>
    <row r="2778">
      <c r="A2778" s="312"/>
      <c r="B2778" s="312"/>
      <c r="C2778" s="567"/>
      <c r="D2778" s="312"/>
      <c r="E2778" s="511"/>
      <c r="F2778" s="312"/>
      <c r="G2778" s="312"/>
      <c r="H2778" s="312"/>
      <c r="I2778" s="567"/>
      <c r="J2778" s="312" t="b">
        <v>0</v>
      </c>
      <c r="K2778" s="312"/>
      <c r="L2778" s="312"/>
      <c r="M2778" s="511"/>
      <c r="N2778" s="312"/>
      <c r="O2778" s="312"/>
      <c r="P2778" s="312"/>
      <c r="Q2778" s="312"/>
      <c r="R2778" s="312"/>
      <c r="S2778" s="312"/>
      <c r="T2778" s="312"/>
      <c r="U2778" s="312"/>
    </row>
    <row r="2779">
      <c r="A2779" s="312"/>
      <c r="B2779" s="312"/>
      <c r="C2779" s="567"/>
      <c r="D2779" s="312"/>
      <c r="E2779" s="511"/>
      <c r="F2779" s="312"/>
      <c r="G2779" s="312"/>
      <c r="H2779" s="312"/>
      <c r="I2779" s="567"/>
      <c r="J2779" s="312" t="b">
        <v>0</v>
      </c>
      <c r="K2779" s="312"/>
      <c r="L2779" s="312"/>
      <c r="M2779" s="511"/>
      <c r="N2779" s="312"/>
      <c r="O2779" s="312"/>
      <c r="P2779" s="312"/>
      <c r="Q2779" s="312"/>
      <c r="R2779" s="312"/>
      <c r="S2779" s="312"/>
      <c r="T2779" s="312"/>
      <c r="U2779" s="312"/>
    </row>
    <row r="2780">
      <c r="A2780" s="312"/>
      <c r="B2780" s="312"/>
      <c r="C2780" s="567"/>
      <c r="D2780" s="312"/>
      <c r="E2780" s="511"/>
      <c r="F2780" s="312"/>
      <c r="G2780" s="312"/>
      <c r="H2780" s="312"/>
      <c r="I2780" s="567"/>
      <c r="J2780" s="312" t="b">
        <v>0</v>
      </c>
      <c r="K2780" s="312"/>
      <c r="L2780" s="312"/>
      <c r="M2780" s="511"/>
      <c r="N2780" s="312"/>
      <c r="O2780" s="312"/>
      <c r="P2780" s="312"/>
      <c r="Q2780" s="312"/>
      <c r="R2780" s="312"/>
      <c r="S2780" s="312"/>
      <c r="T2780" s="312"/>
      <c r="U2780" s="312"/>
    </row>
    <row r="2781">
      <c r="A2781" s="312"/>
      <c r="B2781" s="312"/>
      <c r="C2781" s="567"/>
      <c r="D2781" s="312"/>
      <c r="E2781" s="511"/>
      <c r="F2781" s="312"/>
      <c r="G2781" s="312"/>
      <c r="H2781" s="312"/>
      <c r="I2781" s="567"/>
      <c r="J2781" s="312" t="b">
        <v>0</v>
      </c>
      <c r="K2781" s="312"/>
      <c r="L2781" s="312"/>
      <c r="M2781" s="511"/>
      <c r="N2781" s="312"/>
      <c r="O2781" s="312"/>
      <c r="P2781" s="312"/>
      <c r="Q2781" s="312"/>
      <c r="R2781" s="312"/>
      <c r="S2781" s="312"/>
      <c r="T2781" s="312"/>
      <c r="U2781" s="312"/>
    </row>
    <row r="2782">
      <c r="A2782" s="312"/>
      <c r="B2782" s="312"/>
      <c r="C2782" s="567"/>
      <c r="D2782" s="312"/>
      <c r="E2782" s="511"/>
      <c r="F2782" s="312"/>
      <c r="G2782" s="312"/>
      <c r="H2782" s="312"/>
      <c r="I2782" s="567"/>
      <c r="J2782" s="312" t="b">
        <v>0</v>
      </c>
      <c r="K2782" s="312"/>
      <c r="L2782" s="312"/>
      <c r="M2782" s="511"/>
      <c r="N2782" s="312"/>
      <c r="O2782" s="312"/>
      <c r="P2782" s="312"/>
      <c r="Q2782" s="312"/>
      <c r="R2782" s="312"/>
      <c r="S2782" s="312"/>
      <c r="T2782" s="312"/>
      <c r="U2782" s="312"/>
    </row>
    <row r="2783">
      <c r="A2783" s="312"/>
      <c r="B2783" s="312"/>
      <c r="C2783" s="567"/>
      <c r="D2783" s="312"/>
      <c r="E2783" s="511"/>
      <c r="F2783" s="312"/>
      <c r="G2783" s="312"/>
      <c r="H2783" s="312"/>
      <c r="I2783" s="567"/>
      <c r="J2783" s="312" t="b">
        <v>0</v>
      </c>
      <c r="K2783" s="312"/>
      <c r="L2783" s="312"/>
      <c r="M2783" s="511"/>
      <c r="N2783" s="312"/>
      <c r="O2783" s="312"/>
      <c r="P2783" s="312"/>
      <c r="Q2783" s="312"/>
      <c r="R2783" s="312"/>
      <c r="S2783" s="312"/>
      <c r="T2783" s="312"/>
      <c r="U2783" s="312"/>
    </row>
    <row r="2784">
      <c r="A2784" s="312"/>
      <c r="B2784" s="312"/>
      <c r="C2784" s="567"/>
      <c r="D2784" s="312"/>
      <c r="E2784" s="511"/>
      <c r="F2784" s="312"/>
      <c r="G2784" s="312"/>
      <c r="H2784" s="312"/>
      <c r="I2784" s="567"/>
      <c r="J2784" s="312" t="b">
        <v>0</v>
      </c>
      <c r="K2784" s="312"/>
      <c r="L2784" s="312"/>
      <c r="M2784" s="511"/>
      <c r="N2784" s="312"/>
      <c r="O2784" s="312"/>
      <c r="P2784" s="312"/>
      <c r="Q2784" s="312"/>
      <c r="R2784" s="312"/>
      <c r="S2784" s="312"/>
      <c r="T2784" s="312"/>
      <c r="U2784" s="312"/>
    </row>
    <row r="2785">
      <c r="A2785" s="312"/>
      <c r="B2785" s="312"/>
      <c r="C2785" s="567"/>
      <c r="D2785" s="312"/>
      <c r="E2785" s="511"/>
      <c r="F2785" s="312"/>
      <c r="G2785" s="312"/>
      <c r="H2785" s="312"/>
      <c r="I2785" s="567"/>
      <c r="J2785" s="312" t="b">
        <v>0</v>
      </c>
      <c r="K2785" s="312"/>
      <c r="L2785" s="312"/>
      <c r="M2785" s="511"/>
      <c r="N2785" s="312"/>
      <c r="O2785" s="312"/>
      <c r="P2785" s="312"/>
      <c r="Q2785" s="312"/>
      <c r="R2785" s="312"/>
      <c r="S2785" s="312"/>
      <c r="T2785" s="312"/>
      <c r="U2785" s="312"/>
    </row>
    <row r="2786">
      <c r="A2786" s="312"/>
      <c r="B2786" s="312"/>
      <c r="C2786" s="567"/>
      <c r="D2786" s="312"/>
      <c r="E2786" s="511"/>
      <c r="F2786" s="312"/>
      <c r="G2786" s="312"/>
      <c r="H2786" s="312"/>
      <c r="I2786" s="567"/>
      <c r="J2786" s="312" t="b">
        <v>0</v>
      </c>
      <c r="K2786" s="312"/>
      <c r="L2786" s="312"/>
      <c r="M2786" s="511"/>
      <c r="N2786" s="312"/>
      <c r="O2786" s="312"/>
      <c r="P2786" s="312"/>
      <c r="Q2786" s="312"/>
      <c r="R2786" s="312"/>
      <c r="S2786" s="312"/>
      <c r="T2786" s="312"/>
      <c r="U2786" s="312"/>
    </row>
    <row r="2787">
      <c r="A2787" s="312"/>
      <c r="B2787" s="312"/>
      <c r="C2787" s="567"/>
      <c r="D2787" s="312"/>
      <c r="E2787" s="511"/>
      <c r="F2787" s="312"/>
      <c r="G2787" s="312"/>
      <c r="H2787" s="312"/>
      <c r="I2787" s="567"/>
      <c r="J2787" s="312" t="b">
        <v>0</v>
      </c>
      <c r="K2787" s="312"/>
      <c r="L2787" s="312"/>
      <c r="M2787" s="511"/>
      <c r="N2787" s="312"/>
      <c r="O2787" s="312"/>
      <c r="P2787" s="312"/>
      <c r="Q2787" s="312"/>
      <c r="R2787" s="312"/>
      <c r="S2787" s="312"/>
      <c r="T2787" s="312"/>
      <c r="U2787" s="312"/>
    </row>
    <row r="2788">
      <c r="A2788" s="312"/>
      <c r="B2788" s="312"/>
      <c r="C2788" s="567"/>
      <c r="D2788" s="312"/>
      <c r="E2788" s="511"/>
      <c r="F2788" s="312"/>
      <c r="G2788" s="312"/>
      <c r="H2788" s="312"/>
      <c r="I2788" s="567"/>
      <c r="J2788" s="312" t="b">
        <v>0</v>
      </c>
      <c r="K2788" s="312"/>
      <c r="L2788" s="312"/>
      <c r="M2788" s="511"/>
      <c r="N2788" s="312"/>
      <c r="O2788" s="312"/>
      <c r="P2788" s="312"/>
      <c r="Q2788" s="312"/>
      <c r="R2788" s="312"/>
      <c r="S2788" s="312"/>
      <c r="T2788" s="312"/>
      <c r="U2788" s="312"/>
    </row>
    <row r="2789">
      <c r="A2789" s="312"/>
      <c r="B2789" s="312"/>
      <c r="C2789" s="567"/>
      <c r="D2789" s="312"/>
      <c r="E2789" s="511"/>
      <c r="F2789" s="312"/>
      <c r="G2789" s="312"/>
      <c r="H2789" s="312"/>
      <c r="I2789" s="567"/>
      <c r="J2789" s="312" t="b">
        <v>0</v>
      </c>
      <c r="K2789" s="312"/>
      <c r="L2789" s="312"/>
      <c r="M2789" s="511"/>
      <c r="N2789" s="312"/>
      <c r="O2789" s="312"/>
      <c r="P2789" s="312"/>
      <c r="Q2789" s="312"/>
      <c r="R2789" s="312"/>
      <c r="S2789" s="312"/>
      <c r="T2789" s="312"/>
      <c r="U2789" s="312"/>
    </row>
    <row r="2790">
      <c r="A2790" s="312"/>
      <c r="B2790" s="312"/>
      <c r="C2790" s="567"/>
      <c r="D2790" s="312"/>
      <c r="E2790" s="511"/>
      <c r="F2790" s="312"/>
      <c r="G2790" s="312"/>
      <c r="H2790" s="312"/>
      <c r="I2790" s="567"/>
      <c r="J2790" s="312" t="b">
        <v>0</v>
      </c>
      <c r="K2790" s="312"/>
      <c r="L2790" s="312"/>
      <c r="M2790" s="511"/>
      <c r="N2790" s="312"/>
      <c r="O2790" s="312"/>
      <c r="P2790" s="312"/>
      <c r="Q2790" s="312"/>
      <c r="R2790" s="312"/>
      <c r="S2790" s="312"/>
      <c r="T2790" s="312"/>
      <c r="U2790" s="312"/>
    </row>
    <row r="2791">
      <c r="A2791" s="312"/>
      <c r="B2791" s="312"/>
      <c r="C2791" s="567"/>
      <c r="D2791" s="312"/>
      <c r="E2791" s="511"/>
      <c r="F2791" s="312"/>
      <c r="G2791" s="312"/>
      <c r="H2791" s="312"/>
      <c r="I2791" s="567"/>
      <c r="J2791" s="312" t="b">
        <v>0</v>
      </c>
      <c r="K2791" s="312"/>
      <c r="L2791" s="312"/>
      <c r="M2791" s="511"/>
      <c r="N2791" s="312"/>
      <c r="O2791" s="312"/>
      <c r="P2791" s="312"/>
      <c r="Q2791" s="312"/>
      <c r="R2791" s="312"/>
      <c r="S2791" s="312"/>
      <c r="T2791" s="312"/>
      <c r="U2791" s="312"/>
    </row>
    <row r="2792">
      <c r="A2792" s="312"/>
      <c r="B2792" s="312"/>
      <c r="C2792" s="567"/>
      <c r="D2792" s="312"/>
      <c r="E2792" s="511"/>
      <c r="F2792" s="312"/>
      <c r="G2792" s="312"/>
      <c r="H2792" s="312"/>
      <c r="I2792" s="567"/>
      <c r="J2792" s="312" t="b">
        <v>0</v>
      </c>
      <c r="K2792" s="312"/>
      <c r="L2792" s="312"/>
      <c r="M2792" s="511"/>
      <c r="N2792" s="312"/>
      <c r="O2792" s="312"/>
      <c r="P2792" s="312"/>
      <c r="Q2792" s="312"/>
      <c r="R2792" s="312"/>
      <c r="S2792" s="312"/>
      <c r="T2792" s="312"/>
      <c r="U2792" s="312"/>
    </row>
    <row r="2793">
      <c r="A2793" s="312"/>
      <c r="B2793" s="312"/>
      <c r="C2793" s="567"/>
      <c r="D2793" s="312"/>
      <c r="E2793" s="511"/>
      <c r="F2793" s="312"/>
      <c r="G2793" s="312"/>
      <c r="H2793" s="312"/>
      <c r="I2793" s="567"/>
      <c r="J2793" s="312" t="b">
        <v>0</v>
      </c>
      <c r="K2793" s="312"/>
      <c r="L2793" s="312"/>
      <c r="M2793" s="511"/>
      <c r="N2793" s="312"/>
      <c r="O2793" s="312"/>
      <c r="P2793" s="312"/>
      <c r="Q2793" s="312"/>
      <c r="R2793" s="312"/>
      <c r="S2793" s="312"/>
      <c r="T2793" s="312"/>
      <c r="U2793" s="312"/>
    </row>
    <row r="2794">
      <c r="A2794" s="312"/>
      <c r="B2794" s="312"/>
      <c r="C2794" s="567"/>
      <c r="D2794" s="312"/>
      <c r="E2794" s="511"/>
      <c r="F2794" s="312"/>
      <c r="G2794" s="312"/>
      <c r="H2794" s="312"/>
      <c r="I2794" s="567"/>
      <c r="J2794" s="312" t="b">
        <v>0</v>
      </c>
      <c r="K2794" s="312"/>
      <c r="L2794" s="312"/>
      <c r="M2794" s="511"/>
      <c r="N2794" s="312"/>
      <c r="O2794" s="312"/>
      <c r="P2794" s="312"/>
      <c r="Q2794" s="312"/>
      <c r="R2794" s="312"/>
      <c r="S2794" s="312"/>
      <c r="T2794" s="312"/>
      <c r="U2794" s="312"/>
    </row>
    <row r="2795">
      <c r="A2795" s="312"/>
      <c r="B2795" s="312"/>
      <c r="C2795" s="567"/>
      <c r="D2795" s="312"/>
      <c r="E2795" s="511"/>
      <c r="F2795" s="312"/>
      <c r="G2795" s="312"/>
      <c r="H2795" s="312"/>
      <c r="I2795" s="567"/>
      <c r="J2795" s="312" t="b">
        <v>0</v>
      </c>
      <c r="K2795" s="312"/>
      <c r="L2795" s="312"/>
      <c r="M2795" s="511"/>
      <c r="N2795" s="312"/>
      <c r="O2795" s="312"/>
      <c r="P2795" s="312"/>
      <c r="Q2795" s="312"/>
      <c r="R2795" s="312"/>
      <c r="S2795" s="312"/>
      <c r="T2795" s="312"/>
      <c r="U2795" s="312"/>
    </row>
    <row r="2796">
      <c r="A2796" s="312"/>
      <c r="B2796" s="312"/>
      <c r="C2796" s="567"/>
      <c r="D2796" s="312"/>
      <c r="E2796" s="511"/>
      <c r="F2796" s="312"/>
      <c r="G2796" s="312"/>
      <c r="H2796" s="312"/>
      <c r="I2796" s="567"/>
      <c r="J2796" s="312" t="b">
        <v>0</v>
      </c>
      <c r="K2796" s="312"/>
      <c r="L2796" s="312"/>
      <c r="M2796" s="511"/>
      <c r="N2796" s="312"/>
      <c r="O2796" s="312"/>
      <c r="P2796" s="312"/>
      <c r="Q2796" s="312"/>
      <c r="R2796" s="312"/>
      <c r="S2796" s="312"/>
      <c r="T2796" s="312"/>
      <c r="U2796" s="312"/>
    </row>
    <row r="2797">
      <c r="A2797" s="312"/>
      <c r="B2797" s="312"/>
      <c r="C2797" s="567"/>
      <c r="D2797" s="312"/>
      <c r="E2797" s="511"/>
      <c r="F2797" s="312"/>
      <c r="G2797" s="312"/>
      <c r="H2797" s="312"/>
      <c r="I2797" s="567"/>
      <c r="J2797" s="312" t="b">
        <v>0</v>
      </c>
      <c r="K2797" s="312"/>
      <c r="L2797" s="312"/>
      <c r="M2797" s="511"/>
      <c r="N2797" s="312"/>
      <c r="O2797" s="312"/>
      <c r="P2797" s="312"/>
      <c r="Q2797" s="312"/>
      <c r="R2797" s="312"/>
      <c r="S2797" s="312"/>
      <c r="T2797" s="312"/>
      <c r="U2797" s="312"/>
    </row>
    <row r="2798">
      <c r="A2798" s="312"/>
      <c r="B2798" s="312"/>
      <c r="C2798" s="567"/>
      <c r="D2798" s="312"/>
      <c r="E2798" s="511"/>
      <c r="F2798" s="312"/>
      <c r="G2798" s="312"/>
      <c r="H2798" s="312"/>
      <c r="I2798" s="567"/>
      <c r="J2798" s="312" t="b">
        <v>0</v>
      </c>
      <c r="K2798" s="312"/>
      <c r="L2798" s="312"/>
      <c r="M2798" s="511"/>
      <c r="N2798" s="312"/>
      <c r="O2798" s="312"/>
      <c r="P2798" s="312"/>
      <c r="Q2798" s="312"/>
      <c r="R2798" s="312"/>
      <c r="S2798" s="312"/>
      <c r="T2798" s="312"/>
      <c r="U2798" s="312"/>
    </row>
    <row r="2799">
      <c r="A2799" s="312"/>
      <c r="B2799" s="312"/>
      <c r="C2799" s="567"/>
      <c r="D2799" s="312"/>
      <c r="E2799" s="511"/>
      <c r="F2799" s="312"/>
      <c r="G2799" s="312"/>
      <c r="H2799" s="312"/>
      <c r="I2799" s="567"/>
      <c r="J2799" s="312" t="b">
        <v>0</v>
      </c>
      <c r="K2799" s="312"/>
      <c r="L2799" s="312"/>
      <c r="M2799" s="511"/>
      <c r="N2799" s="312"/>
      <c r="O2799" s="312"/>
      <c r="P2799" s="312"/>
      <c r="Q2799" s="312"/>
      <c r="R2799" s="312"/>
      <c r="S2799" s="312"/>
      <c r="T2799" s="312"/>
      <c r="U2799" s="312"/>
    </row>
    <row r="2800">
      <c r="A2800" s="312"/>
      <c r="B2800" s="312"/>
      <c r="C2800" s="567"/>
      <c r="D2800" s="312"/>
      <c r="E2800" s="511"/>
      <c r="F2800" s="312"/>
      <c r="G2800" s="312"/>
      <c r="H2800" s="312"/>
      <c r="I2800" s="567"/>
      <c r="J2800" s="312" t="b">
        <v>0</v>
      </c>
      <c r="K2800" s="312"/>
      <c r="L2800" s="312"/>
      <c r="M2800" s="511"/>
      <c r="N2800" s="312"/>
      <c r="O2800" s="312"/>
      <c r="P2800" s="312"/>
      <c r="Q2800" s="312"/>
      <c r="R2800" s="312"/>
      <c r="S2800" s="312"/>
      <c r="T2800" s="312"/>
      <c r="U2800" s="312"/>
    </row>
    <row r="2801">
      <c r="A2801" s="312"/>
      <c r="B2801" s="312"/>
      <c r="C2801" s="567"/>
      <c r="D2801" s="312"/>
      <c r="E2801" s="511"/>
      <c r="F2801" s="312"/>
      <c r="G2801" s="312"/>
      <c r="H2801" s="312"/>
      <c r="I2801" s="567"/>
      <c r="J2801" s="312" t="b">
        <v>0</v>
      </c>
      <c r="K2801" s="312"/>
      <c r="L2801" s="312"/>
      <c r="M2801" s="511"/>
      <c r="N2801" s="312"/>
      <c r="O2801" s="312"/>
      <c r="P2801" s="312"/>
      <c r="Q2801" s="312"/>
      <c r="R2801" s="312"/>
      <c r="S2801" s="312"/>
      <c r="T2801" s="312"/>
      <c r="U2801" s="312"/>
    </row>
    <row r="2802">
      <c r="A2802" s="312"/>
      <c r="B2802" s="312"/>
      <c r="C2802" s="567"/>
      <c r="D2802" s="312"/>
      <c r="E2802" s="511"/>
      <c r="F2802" s="312"/>
      <c r="G2802" s="312"/>
      <c r="H2802" s="312"/>
      <c r="I2802" s="567"/>
      <c r="J2802" s="312" t="b">
        <v>0</v>
      </c>
      <c r="K2802" s="312"/>
      <c r="L2802" s="312"/>
      <c r="M2802" s="511"/>
      <c r="N2802" s="312"/>
      <c r="O2802" s="312"/>
      <c r="P2802" s="312"/>
      <c r="Q2802" s="312"/>
      <c r="R2802" s="312"/>
      <c r="S2802" s="312"/>
      <c r="T2802" s="312"/>
      <c r="U2802" s="312"/>
    </row>
    <row r="2803">
      <c r="A2803" s="312"/>
      <c r="B2803" s="312"/>
      <c r="C2803" s="567"/>
      <c r="D2803" s="312"/>
      <c r="E2803" s="511"/>
      <c r="F2803" s="312"/>
      <c r="G2803" s="312"/>
      <c r="H2803" s="312"/>
      <c r="I2803" s="567"/>
      <c r="J2803" s="312" t="b">
        <v>0</v>
      </c>
      <c r="K2803" s="312"/>
      <c r="L2803" s="312"/>
      <c r="M2803" s="511"/>
      <c r="N2803" s="312"/>
      <c r="O2803" s="312"/>
      <c r="P2803" s="312"/>
      <c r="Q2803" s="312"/>
      <c r="R2803" s="312"/>
      <c r="S2803" s="312"/>
      <c r="T2803" s="312"/>
      <c r="U2803" s="312"/>
    </row>
    <row r="2804">
      <c r="A2804" s="312"/>
      <c r="B2804" s="312"/>
      <c r="C2804" s="567"/>
      <c r="D2804" s="312"/>
      <c r="E2804" s="511"/>
      <c r="F2804" s="312"/>
      <c r="G2804" s="312"/>
      <c r="H2804" s="312"/>
      <c r="I2804" s="567"/>
      <c r="J2804" s="312" t="b">
        <v>0</v>
      </c>
      <c r="K2804" s="312"/>
      <c r="L2804" s="312"/>
      <c r="M2804" s="511"/>
      <c r="N2804" s="312"/>
      <c r="O2804" s="312"/>
      <c r="P2804" s="312"/>
      <c r="Q2804" s="312"/>
      <c r="R2804" s="312"/>
      <c r="S2804" s="312"/>
      <c r="T2804" s="312"/>
      <c r="U2804" s="312"/>
    </row>
    <row r="2805">
      <c r="A2805" s="312"/>
      <c r="B2805" s="312"/>
      <c r="C2805" s="567"/>
      <c r="D2805" s="312"/>
      <c r="E2805" s="511"/>
      <c r="F2805" s="312"/>
      <c r="G2805" s="312"/>
      <c r="H2805" s="312"/>
      <c r="I2805" s="567"/>
      <c r="J2805" s="312" t="b">
        <v>0</v>
      </c>
      <c r="K2805" s="312"/>
      <c r="L2805" s="312"/>
      <c r="M2805" s="511"/>
      <c r="N2805" s="312"/>
      <c r="O2805" s="312"/>
      <c r="P2805" s="312"/>
      <c r="Q2805" s="312"/>
      <c r="R2805" s="312"/>
      <c r="S2805" s="312"/>
      <c r="T2805" s="312"/>
      <c r="U2805" s="312"/>
    </row>
    <row r="2806">
      <c r="A2806" s="312"/>
      <c r="B2806" s="312"/>
      <c r="C2806" s="567"/>
      <c r="D2806" s="312"/>
      <c r="E2806" s="511"/>
      <c r="F2806" s="312"/>
      <c r="G2806" s="312"/>
      <c r="H2806" s="312"/>
      <c r="I2806" s="567"/>
      <c r="J2806" s="312" t="b">
        <v>0</v>
      </c>
      <c r="K2806" s="312"/>
      <c r="L2806" s="312"/>
      <c r="M2806" s="511"/>
      <c r="N2806" s="312"/>
      <c r="O2806" s="312"/>
      <c r="P2806" s="312"/>
      <c r="Q2806" s="312"/>
      <c r="R2806" s="312"/>
      <c r="S2806" s="312"/>
      <c r="T2806" s="312"/>
      <c r="U2806" s="312"/>
    </row>
    <row r="2807">
      <c r="A2807" s="312"/>
      <c r="B2807" s="312"/>
      <c r="C2807" s="567"/>
      <c r="D2807" s="312"/>
      <c r="E2807" s="511"/>
      <c r="F2807" s="312"/>
      <c r="G2807" s="312"/>
      <c r="H2807" s="312"/>
      <c r="I2807" s="567"/>
      <c r="J2807" s="312" t="b">
        <v>0</v>
      </c>
      <c r="K2807" s="312"/>
      <c r="L2807" s="312"/>
      <c r="M2807" s="511"/>
      <c r="N2807" s="312"/>
      <c r="O2807" s="312"/>
      <c r="P2807" s="312"/>
      <c r="Q2807" s="312"/>
      <c r="R2807" s="312"/>
      <c r="S2807" s="312"/>
      <c r="T2807" s="312"/>
      <c r="U2807" s="312"/>
    </row>
    <row r="2808">
      <c r="A2808" s="312"/>
      <c r="B2808" s="312"/>
      <c r="C2808" s="567"/>
      <c r="D2808" s="312"/>
      <c r="E2808" s="511"/>
      <c r="F2808" s="312"/>
      <c r="G2808" s="312"/>
      <c r="H2808" s="312"/>
      <c r="I2808" s="567"/>
      <c r="J2808" s="312" t="b">
        <v>0</v>
      </c>
      <c r="K2808" s="312"/>
      <c r="L2808" s="312"/>
      <c r="M2808" s="511"/>
      <c r="N2808" s="312"/>
      <c r="O2808" s="312"/>
      <c r="P2808" s="312"/>
      <c r="Q2808" s="312"/>
      <c r="R2808" s="312"/>
      <c r="S2808" s="312"/>
      <c r="T2808" s="312"/>
      <c r="U2808" s="312"/>
    </row>
    <row r="2809">
      <c r="A2809" s="312"/>
      <c r="B2809" s="312"/>
      <c r="C2809" s="567"/>
      <c r="D2809" s="312"/>
      <c r="E2809" s="511"/>
      <c r="F2809" s="312"/>
      <c r="G2809" s="312"/>
      <c r="H2809" s="312"/>
      <c r="I2809" s="567"/>
      <c r="J2809" s="312" t="b">
        <v>0</v>
      </c>
      <c r="K2809" s="312"/>
      <c r="L2809" s="312"/>
      <c r="M2809" s="511"/>
      <c r="N2809" s="312"/>
      <c r="O2809" s="312"/>
      <c r="P2809" s="312"/>
      <c r="Q2809" s="312"/>
      <c r="R2809" s="312"/>
      <c r="S2809" s="312"/>
      <c r="T2809" s="312"/>
      <c r="U2809" s="312"/>
    </row>
    <row r="2810">
      <c r="A2810" s="312"/>
      <c r="B2810" s="312"/>
      <c r="C2810" s="567"/>
      <c r="D2810" s="312"/>
      <c r="E2810" s="511"/>
      <c r="F2810" s="312"/>
      <c r="G2810" s="312"/>
      <c r="H2810" s="312"/>
      <c r="I2810" s="567"/>
      <c r="J2810" s="312" t="b">
        <v>0</v>
      </c>
      <c r="K2810" s="312"/>
      <c r="L2810" s="312"/>
      <c r="M2810" s="511"/>
      <c r="N2810" s="312"/>
      <c r="O2810" s="312"/>
      <c r="P2810" s="312"/>
      <c r="Q2810" s="312"/>
      <c r="R2810" s="312"/>
      <c r="S2810" s="312"/>
      <c r="T2810" s="312"/>
      <c r="U2810" s="312"/>
    </row>
    <row r="2811">
      <c r="A2811" s="312"/>
      <c r="B2811" s="312"/>
      <c r="C2811" s="567"/>
      <c r="D2811" s="312"/>
      <c r="E2811" s="511"/>
      <c r="F2811" s="312"/>
      <c r="G2811" s="312"/>
      <c r="H2811" s="312"/>
      <c r="I2811" s="567"/>
      <c r="J2811" s="312" t="b">
        <v>0</v>
      </c>
      <c r="K2811" s="312"/>
      <c r="L2811" s="312"/>
      <c r="M2811" s="511"/>
      <c r="N2811" s="312"/>
      <c r="O2811" s="312"/>
      <c r="P2811" s="312"/>
      <c r="Q2811" s="312"/>
      <c r="R2811" s="312"/>
      <c r="S2811" s="312"/>
      <c r="T2811" s="312"/>
      <c r="U2811" s="312"/>
    </row>
    <row r="2812">
      <c r="A2812" s="312"/>
      <c r="B2812" s="312"/>
      <c r="C2812" s="567"/>
      <c r="D2812" s="312"/>
      <c r="E2812" s="511"/>
      <c r="F2812" s="312"/>
      <c r="G2812" s="312"/>
      <c r="H2812" s="312"/>
      <c r="I2812" s="567"/>
      <c r="J2812" s="312" t="b">
        <v>0</v>
      </c>
      <c r="K2812" s="312"/>
      <c r="L2812" s="312"/>
      <c r="M2812" s="511"/>
      <c r="N2812" s="312"/>
      <c r="O2812" s="312"/>
      <c r="P2812" s="312"/>
      <c r="Q2812" s="312"/>
      <c r="R2812" s="312"/>
      <c r="S2812" s="312"/>
      <c r="T2812" s="312"/>
      <c r="U2812" s="312"/>
    </row>
    <row r="2813">
      <c r="A2813" s="312"/>
      <c r="B2813" s="312"/>
      <c r="C2813" s="567"/>
      <c r="D2813" s="312"/>
      <c r="E2813" s="511"/>
      <c r="F2813" s="312"/>
      <c r="G2813" s="312"/>
      <c r="H2813" s="312"/>
      <c r="I2813" s="567"/>
      <c r="J2813" s="312" t="b">
        <v>0</v>
      </c>
      <c r="K2813" s="312"/>
      <c r="L2813" s="312"/>
      <c r="M2813" s="511"/>
      <c r="N2813" s="312"/>
      <c r="O2813" s="312"/>
      <c r="P2813" s="312"/>
      <c r="Q2813" s="312"/>
      <c r="R2813" s="312"/>
      <c r="S2813" s="312"/>
      <c r="T2813" s="312"/>
      <c r="U2813" s="312"/>
    </row>
    <row r="2814">
      <c r="A2814" s="312"/>
      <c r="B2814" s="312"/>
      <c r="C2814" s="567"/>
      <c r="D2814" s="312"/>
      <c r="E2814" s="511"/>
      <c r="F2814" s="312"/>
      <c r="G2814" s="312"/>
      <c r="H2814" s="312"/>
      <c r="I2814" s="567"/>
      <c r="J2814" s="312" t="b">
        <v>0</v>
      </c>
      <c r="K2814" s="312"/>
      <c r="L2814" s="312"/>
      <c r="M2814" s="511"/>
      <c r="N2814" s="312"/>
      <c r="O2814" s="312"/>
      <c r="P2814" s="312"/>
      <c r="Q2814" s="312"/>
      <c r="R2814" s="312"/>
      <c r="S2814" s="312"/>
      <c r="T2814" s="312"/>
      <c r="U2814" s="312"/>
    </row>
    <row r="2815">
      <c r="A2815" s="312"/>
      <c r="B2815" s="312"/>
      <c r="C2815" s="567"/>
      <c r="D2815" s="312"/>
      <c r="E2815" s="511"/>
      <c r="F2815" s="312"/>
      <c r="G2815" s="312"/>
      <c r="H2815" s="312"/>
      <c r="I2815" s="567"/>
      <c r="J2815" s="312" t="b">
        <v>0</v>
      </c>
      <c r="K2815" s="312"/>
      <c r="L2815" s="312"/>
      <c r="M2815" s="511"/>
      <c r="N2815" s="312"/>
      <c r="O2815" s="312"/>
      <c r="P2815" s="312"/>
      <c r="Q2815" s="312"/>
      <c r="R2815" s="312"/>
      <c r="S2815" s="312"/>
      <c r="T2815" s="312"/>
      <c r="U2815" s="312"/>
    </row>
    <row r="2816">
      <c r="A2816" s="312"/>
      <c r="B2816" s="312"/>
      <c r="C2816" s="567"/>
      <c r="D2816" s="312"/>
      <c r="E2816" s="511"/>
      <c r="F2816" s="312"/>
      <c r="G2816" s="312"/>
      <c r="H2816" s="312"/>
      <c r="I2816" s="567"/>
      <c r="J2816" s="312" t="b">
        <v>0</v>
      </c>
      <c r="K2816" s="312"/>
      <c r="L2816" s="312"/>
      <c r="M2816" s="511"/>
      <c r="N2816" s="312"/>
      <c r="O2816" s="312"/>
      <c r="P2816" s="312"/>
      <c r="Q2816" s="312"/>
      <c r="R2816" s="312"/>
      <c r="S2816" s="312"/>
      <c r="T2816" s="312"/>
      <c r="U2816" s="312"/>
    </row>
    <row r="2817">
      <c r="A2817" s="312"/>
      <c r="B2817" s="312"/>
      <c r="C2817" s="567"/>
      <c r="D2817" s="312"/>
      <c r="E2817" s="511"/>
      <c r="F2817" s="312"/>
      <c r="G2817" s="312"/>
      <c r="H2817" s="312"/>
      <c r="I2817" s="567"/>
      <c r="J2817" s="312" t="b">
        <v>0</v>
      </c>
      <c r="K2817" s="312"/>
      <c r="L2817" s="312"/>
      <c r="M2817" s="511"/>
      <c r="N2817" s="312"/>
      <c r="O2817" s="312"/>
      <c r="P2817" s="312"/>
      <c r="Q2817" s="312"/>
      <c r="R2817" s="312"/>
      <c r="S2817" s="312"/>
      <c r="T2817" s="312"/>
      <c r="U2817" s="312"/>
    </row>
    <row r="2818">
      <c r="A2818" s="312"/>
      <c r="B2818" s="312"/>
      <c r="C2818" s="567"/>
      <c r="D2818" s="312"/>
      <c r="E2818" s="511"/>
      <c r="F2818" s="312"/>
      <c r="G2818" s="312"/>
      <c r="H2818" s="312"/>
      <c r="I2818" s="567"/>
      <c r="J2818" s="312" t="b">
        <v>0</v>
      </c>
      <c r="K2818" s="312"/>
      <c r="L2818" s="312"/>
      <c r="M2818" s="511"/>
      <c r="N2818" s="312"/>
      <c r="O2818" s="312"/>
      <c r="P2818" s="312"/>
      <c r="Q2818" s="312"/>
      <c r="R2818" s="312"/>
      <c r="S2818" s="312"/>
      <c r="T2818" s="312"/>
      <c r="U2818" s="312"/>
    </row>
    <row r="2819">
      <c r="A2819" s="312"/>
      <c r="B2819" s="312"/>
      <c r="C2819" s="567"/>
      <c r="D2819" s="312"/>
      <c r="E2819" s="511"/>
      <c r="F2819" s="312"/>
      <c r="G2819" s="312"/>
      <c r="H2819" s="312"/>
      <c r="I2819" s="567"/>
      <c r="J2819" s="312" t="b">
        <v>0</v>
      </c>
      <c r="K2819" s="312"/>
      <c r="L2819" s="312"/>
      <c r="M2819" s="511"/>
      <c r="N2819" s="312"/>
      <c r="O2819" s="312"/>
      <c r="P2819" s="312"/>
      <c r="Q2819" s="312"/>
      <c r="R2819" s="312"/>
      <c r="S2819" s="312"/>
      <c r="T2819" s="312"/>
      <c r="U2819" s="312"/>
    </row>
    <row r="2820">
      <c r="A2820" s="312"/>
      <c r="B2820" s="312"/>
      <c r="C2820" s="567"/>
      <c r="D2820" s="312"/>
      <c r="E2820" s="511"/>
      <c r="F2820" s="312"/>
      <c r="G2820" s="312"/>
      <c r="H2820" s="312"/>
      <c r="I2820" s="567"/>
      <c r="J2820" s="312" t="b">
        <v>0</v>
      </c>
      <c r="K2820" s="312"/>
      <c r="L2820" s="312"/>
      <c r="M2820" s="511"/>
      <c r="N2820" s="312"/>
      <c r="O2820" s="312"/>
      <c r="P2820" s="312"/>
      <c r="Q2820" s="312"/>
      <c r="R2820" s="312"/>
      <c r="S2820" s="312"/>
      <c r="T2820" s="312"/>
      <c r="U2820" s="312"/>
    </row>
    <row r="2821">
      <c r="A2821" s="312"/>
      <c r="B2821" s="312"/>
      <c r="C2821" s="567"/>
      <c r="D2821" s="312"/>
      <c r="E2821" s="511"/>
      <c r="F2821" s="312"/>
      <c r="G2821" s="312"/>
      <c r="H2821" s="312"/>
      <c r="I2821" s="567"/>
      <c r="J2821" s="312" t="b">
        <v>0</v>
      </c>
      <c r="K2821" s="312"/>
      <c r="L2821" s="312"/>
      <c r="M2821" s="511"/>
      <c r="N2821" s="312"/>
      <c r="O2821" s="312"/>
      <c r="P2821" s="312"/>
      <c r="Q2821" s="312"/>
      <c r="R2821" s="312"/>
      <c r="S2821" s="312"/>
      <c r="T2821" s="312"/>
      <c r="U2821" s="312"/>
    </row>
    <row r="2822">
      <c r="A2822" s="312"/>
      <c r="B2822" s="312"/>
      <c r="C2822" s="567"/>
      <c r="D2822" s="312"/>
      <c r="E2822" s="511"/>
      <c r="F2822" s="312"/>
      <c r="G2822" s="312"/>
      <c r="H2822" s="312"/>
      <c r="I2822" s="567"/>
      <c r="J2822" s="312" t="b">
        <v>0</v>
      </c>
      <c r="K2822" s="312"/>
      <c r="L2822" s="312"/>
      <c r="M2822" s="511"/>
      <c r="N2822" s="312"/>
      <c r="O2822" s="312"/>
      <c r="P2822" s="312"/>
      <c r="Q2822" s="312"/>
      <c r="R2822" s="312"/>
      <c r="S2822" s="312"/>
      <c r="T2822" s="312"/>
      <c r="U2822" s="312"/>
    </row>
    <row r="2823">
      <c r="A2823" s="312"/>
      <c r="B2823" s="312"/>
      <c r="C2823" s="567"/>
      <c r="D2823" s="312"/>
      <c r="E2823" s="511"/>
      <c r="F2823" s="312"/>
      <c r="G2823" s="312"/>
      <c r="H2823" s="312"/>
      <c r="I2823" s="567"/>
      <c r="J2823" s="312" t="b">
        <v>0</v>
      </c>
      <c r="K2823" s="312"/>
      <c r="L2823" s="312"/>
      <c r="M2823" s="511"/>
      <c r="N2823" s="312"/>
      <c r="O2823" s="312"/>
      <c r="P2823" s="312"/>
      <c r="Q2823" s="312"/>
      <c r="R2823" s="312"/>
      <c r="S2823" s="312"/>
      <c r="T2823" s="312"/>
      <c r="U2823" s="312"/>
    </row>
    <row r="2824">
      <c r="A2824" s="312"/>
      <c r="B2824" s="312"/>
      <c r="C2824" s="567"/>
      <c r="D2824" s="312"/>
      <c r="E2824" s="511"/>
      <c r="F2824" s="312"/>
      <c r="G2824" s="312"/>
      <c r="H2824" s="312"/>
      <c r="I2824" s="567"/>
      <c r="J2824" s="312" t="b">
        <v>0</v>
      </c>
      <c r="K2824" s="312"/>
      <c r="L2824" s="312"/>
      <c r="M2824" s="511"/>
      <c r="N2824" s="312"/>
      <c r="O2824" s="312"/>
      <c r="P2824" s="312"/>
      <c r="Q2824" s="312"/>
      <c r="R2824" s="312"/>
      <c r="S2824" s="312"/>
      <c r="T2824" s="312"/>
      <c r="U2824" s="312"/>
    </row>
    <row r="2825">
      <c r="A2825" s="312"/>
      <c r="B2825" s="312"/>
      <c r="C2825" s="567"/>
      <c r="D2825" s="312"/>
      <c r="E2825" s="511"/>
      <c r="F2825" s="312"/>
      <c r="G2825" s="312"/>
      <c r="H2825" s="312"/>
      <c r="I2825" s="567"/>
      <c r="J2825" s="312" t="b">
        <v>0</v>
      </c>
      <c r="K2825" s="312"/>
      <c r="L2825" s="312"/>
      <c r="M2825" s="511"/>
      <c r="N2825" s="312"/>
      <c r="O2825" s="312"/>
      <c r="P2825" s="312"/>
      <c r="Q2825" s="312"/>
      <c r="R2825" s="312"/>
      <c r="S2825" s="312"/>
      <c r="T2825" s="312"/>
      <c r="U2825" s="312"/>
    </row>
    <row r="2826">
      <c r="A2826" s="312"/>
      <c r="B2826" s="312"/>
      <c r="C2826" s="567"/>
      <c r="D2826" s="312"/>
      <c r="E2826" s="511"/>
      <c r="F2826" s="312"/>
      <c r="G2826" s="312"/>
      <c r="H2826" s="312"/>
      <c r="I2826" s="567"/>
      <c r="J2826" s="312" t="b">
        <v>0</v>
      </c>
      <c r="K2826" s="312"/>
      <c r="L2826" s="312"/>
      <c r="M2826" s="511"/>
      <c r="N2826" s="312"/>
      <c r="O2826" s="312"/>
      <c r="P2826" s="312"/>
      <c r="Q2826" s="312"/>
      <c r="R2826" s="312"/>
      <c r="S2826" s="312"/>
      <c r="T2826" s="312"/>
      <c r="U2826" s="312"/>
    </row>
    <row r="2827">
      <c r="A2827" s="312"/>
      <c r="B2827" s="312"/>
      <c r="C2827" s="567"/>
      <c r="D2827" s="312"/>
      <c r="E2827" s="511"/>
      <c r="F2827" s="312"/>
      <c r="G2827" s="312"/>
      <c r="H2827" s="312"/>
      <c r="I2827" s="567"/>
      <c r="J2827" s="312" t="b">
        <v>0</v>
      </c>
      <c r="K2827" s="312"/>
      <c r="L2827" s="312"/>
      <c r="M2827" s="511"/>
      <c r="N2827" s="312"/>
      <c r="O2827" s="312"/>
      <c r="P2827" s="312"/>
      <c r="Q2827" s="312"/>
      <c r="R2827" s="312"/>
      <c r="S2827" s="312"/>
      <c r="T2827" s="312"/>
      <c r="U2827" s="312"/>
    </row>
    <row r="2828">
      <c r="A2828" s="312"/>
      <c r="B2828" s="312"/>
      <c r="C2828" s="567"/>
      <c r="D2828" s="312"/>
      <c r="E2828" s="511"/>
      <c r="F2828" s="312"/>
      <c r="G2828" s="312"/>
      <c r="H2828" s="312"/>
      <c r="I2828" s="567"/>
      <c r="J2828" s="312" t="b">
        <v>0</v>
      </c>
      <c r="K2828" s="312"/>
      <c r="L2828" s="312"/>
      <c r="M2828" s="511"/>
      <c r="N2828" s="312"/>
      <c r="O2828" s="312"/>
      <c r="P2828" s="312"/>
      <c r="Q2828" s="312"/>
      <c r="R2828" s="312"/>
      <c r="S2828" s="312"/>
      <c r="T2828" s="312"/>
      <c r="U2828" s="312"/>
    </row>
    <row r="2829">
      <c r="A2829" s="312"/>
      <c r="B2829" s="312"/>
      <c r="C2829" s="567"/>
      <c r="D2829" s="312"/>
      <c r="E2829" s="511"/>
      <c r="F2829" s="312"/>
      <c r="G2829" s="312"/>
      <c r="H2829" s="312"/>
      <c r="I2829" s="567"/>
      <c r="J2829" s="312" t="b">
        <v>0</v>
      </c>
      <c r="K2829" s="312"/>
      <c r="L2829" s="312"/>
      <c r="M2829" s="511"/>
      <c r="N2829" s="312"/>
      <c r="O2829" s="312"/>
      <c r="P2829" s="312"/>
      <c r="Q2829" s="312"/>
      <c r="R2829" s="312"/>
      <c r="S2829" s="312"/>
      <c r="T2829" s="312"/>
      <c r="U2829" s="312"/>
    </row>
    <row r="2830">
      <c r="A2830" s="312"/>
      <c r="B2830" s="312"/>
      <c r="C2830" s="567"/>
      <c r="D2830" s="312"/>
      <c r="E2830" s="511"/>
      <c r="F2830" s="312"/>
      <c r="G2830" s="312"/>
      <c r="H2830" s="312"/>
      <c r="I2830" s="567"/>
      <c r="J2830" s="312" t="b">
        <v>0</v>
      </c>
      <c r="K2830" s="312"/>
      <c r="L2830" s="312"/>
      <c r="M2830" s="511"/>
      <c r="N2830" s="312"/>
      <c r="O2830" s="312"/>
      <c r="P2830" s="312"/>
      <c r="Q2830" s="312"/>
      <c r="R2830" s="312"/>
      <c r="S2830" s="312"/>
      <c r="T2830" s="312"/>
      <c r="U2830" s="312"/>
    </row>
    <row r="2831">
      <c r="A2831" s="312"/>
      <c r="B2831" s="312"/>
      <c r="C2831" s="567"/>
      <c r="D2831" s="312"/>
      <c r="E2831" s="511"/>
      <c r="F2831" s="312"/>
      <c r="G2831" s="312"/>
      <c r="H2831" s="312"/>
      <c r="I2831" s="567"/>
      <c r="J2831" s="312" t="b">
        <v>0</v>
      </c>
      <c r="K2831" s="312"/>
      <c r="L2831" s="312"/>
      <c r="M2831" s="511"/>
      <c r="N2831" s="312"/>
      <c r="O2831" s="312"/>
      <c r="P2831" s="312"/>
      <c r="Q2831" s="312"/>
      <c r="R2831" s="312"/>
      <c r="S2831" s="312"/>
      <c r="T2831" s="312"/>
      <c r="U2831" s="312"/>
    </row>
    <row r="2832">
      <c r="A2832" s="312"/>
      <c r="B2832" s="312"/>
      <c r="C2832" s="567"/>
      <c r="D2832" s="312"/>
      <c r="E2832" s="511"/>
      <c r="F2832" s="312"/>
      <c r="G2832" s="312"/>
      <c r="H2832" s="312"/>
      <c r="I2832" s="567"/>
      <c r="J2832" s="312" t="b">
        <v>0</v>
      </c>
      <c r="K2832" s="312"/>
      <c r="L2832" s="312"/>
      <c r="M2832" s="511"/>
      <c r="N2832" s="312"/>
      <c r="O2832" s="312"/>
      <c r="P2832" s="312"/>
      <c r="Q2832" s="312"/>
      <c r="R2832" s="312"/>
      <c r="S2832" s="312"/>
      <c r="T2832" s="312"/>
      <c r="U2832" s="312"/>
    </row>
    <row r="2833">
      <c r="A2833" s="312"/>
      <c r="B2833" s="312"/>
      <c r="C2833" s="567"/>
      <c r="D2833" s="312"/>
      <c r="E2833" s="511"/>
      <c r="F2833" s="312"/>
      <c r="G2833" s="312"/>
      <c r="H2833" s="312"/>
      <c r="I2833" s="567"/>
      <c r="J2833" s="312" t="b">
        <v>0</v>
      </c>
      <c r="K2833" s="312"/>
      <c r="L2833" s="312"/>
      <c r="M2833" s="511"/>
      <c r="N2833" s="312"/>
      <c r="O2833" s="312"/>
      <c r="P2833" s="312"/>
      <c r="Q2833" s="312"/>
      <c r="R2833" s="312"/>
      <c r="S2833" s="312"/>
      <c r="T2833" s="312"/>
      <c r="U2833" s="312"/>
    </row>
    <row r="2834">
      <c r="A2834" s="312"/>
      <c r="B2834" s="312"/>
      <c r="C2834" s="567"/>
      <c r="D2834" s="312"/>
      <c r="E2834" s="511"/>
      <c r="F2834" s="312"/>
      <c r="G2834" s="312"/>
      <c r="H2834" s="312"/>
      <c r="I2834" s="567"/>
      <c r="J2834" s="312" t="b">
        <v>0</v>
      </c>
      <c r="K2834" s="312"/>
      <c r="L2834" s="312"/>
      <c r="M2834" s="511"/>
      <c r="N2834" s="312"/>
      <c r="O2834" s="312"/>
      <c r="P2834" s="312"/>
      <c r="Q2834" s="312"/>
      <c r="R2834" s="312"/>
      <c r="S2834" s="312"/>
      <c r="T2834" s="312"/>
      <c r="U2834" s="312"/>
    </row>
    <row r="2835">
      <c r="A2835" s="312"/>
      <c r="B2835" s="312"/>
      <c r="C2835" s="567"/>
      <c r="D2835" s="312"/>
      <c r="E2835" s="511"/>
      <c r="F2835" s="312"/>
      <c r="G2835" s="312"/>
      <c r="H2835" s="312"/>
      <c r="I2835" s="567"/>
      <c r="J2835" s="312" t="b">
        <v>0</v>
      </c>
      <c r="K2835" s="312"/>
      <c r="L2835" s="312"/>
      <c r="M2835" s="511"/>
      <c r="N2835" s="312"/>
      <c r="O2835" s="312"/>
      <c r="P2835" s="312"/>
      <c r="Q2835" s="312"/>
      <c r="R2835" s="312"/>
      <c r="S2835" s="312"/>
      <c r="T2835" s="312"/>
      <c r="U2835" s="312"/>
    </row>
    <row r="2836">
      <c r="A2836" s="312"/>
      <c r="B2836" s="312"/>
      <c r="C2836" s="567"/>
      <c r="D2836" s="312"/>
      <c r="E2836" s="511"/>
      <c r="F2836" s="312"/>
      <c r="G2836" s="312"/>
      <c r="H2836" s="312"/>
      <c r="I2836" s="567"/>
      <c r="J2836" s="312" t="b">
        <v>0</v>
      </c>
      <c r="K2836" s="312"/>
      <c r="L2836" s="312"/>
      <c r="M2836" s="511"/>
      <c r="N2836" s="312"/>
      <c r="O2836" s="312"/>
      <c r="P2836" s="312"/>
      <c r="Q2836" s="312"/>
      <c r="R2836" s="312"/>
      <c r="S2836" s="312"/>
      <c r="T2836" s="312"/>
      <c r="U2836" s="312"/>
    </row>
    <row r="2837">
      <c r="A2837" s="312"/>
      <c r="B2837" s="312"/>
      <c r="C2837" s="567"/>
      <c r="D2837" s="312"/>
      <c r="E2837" s="511"/>
      <c r="F2837" s="312"/>
      <c r="G2837" s="312"/>
      <c r="H2837" s="312"/>
      <c r="I2837" s="567"/>
      <c r="J2837" s="312" t="b">
        <v>0</v>
      </c>
      <c r="K2837" s="312"/>
      <c r="L2837" s="312"/>
      <c r="M2837" s="511"/>
      <c r="N2837" s="312"/>
      <c r="O2837" s="312"/>
      <c r="P2837" s="312"/>
      <c r="Q2837" s="312"/>
      <c r="R2837" s="312"/>
      <c r="S2837" s="312"/>
      <c r="T2837" s="312"/>
      <c r="U2837" s="312"/>
    </row>
    <row r="2838">
      <c r="A2838" s="312"/>
      <c r="B2838" s="312"/>
      <c r="C2838" s="567"/>
      <c r="D2838" s="312"/>
      <c r="E2838" s="511"/>
      <c r="F2838" s="312"/>
      <c r="G2838" s="312"/>
      <c r="H2838" s="312"/>
      <c r="I2838" s="567"/>
      <c r="J2838" s="312" t="b">
        <v>0</v>
      </c>
      <c r="K2838" s="312"/>
      <c r="L2838" s="312"/>
      <c r="M2838" s="511"/>
      <c r="N2838" s="312"/>
      <c r="O2838" s="312"/>
      <c r="P2838" s="312"/>
      <c r="Q2838" s="312"/>
      <c r="R2838" s="312"/>
      <c r="S2838" s="312"/>
      <c r="T2838" s="312"/>
      <c r="U2838" s="312"/>
    </row>
    <row r="2839">
      <c r="A2839" s="312"/>
      <c r="B2839" s="312"/>
      <c r="C2839" s="567"/>
      <c r="D2839" s="312"/>
      <c r="E2839" s="511"/>
      <c r="F2839" s="312"/>
      <c r="G2839" s="312"/>
      <c r="H2839" s="312"/>
      <c r="I2839" s="567"/>
      <c r="J2839" s="312" t="b">
        <v>0</v>
      </c>
      <c r="K2839" s="312"/>
      <c r="L2839" s="312"/>
      <c r="M2839" s="511"/>
      <c r="N2839" s="312"/>
      <c r="O2839" s="312"/>
      <c r="P2839" s="312"/>
      <c r="Q2839" s="312"/>
      <c r="R2839" s="312"/>
      <c r="S2839" s="312"/>
      <c r="T2839" s="312"/>
      <c r="U2839" s="312"/>
    </row>
    <row r="2840">
      <c r="A2840" s="312"/>
      <c r="B2840" s="312"/>
      <c r="C2840" s="567"/>
      <c r="D2840" s="312"/>
      <c r="E2840" s="511"/>
      <c r="F2840" s="312"/>
      <c r="G2840" s="312"/>
      <c r="H2840" s="312"/>
      <c r="I2840" s="567"/>
      <c r="J2840" s="312" t="b">
        <v>0</v>
      </c>
      <c r="K2840" s="312"/>
      <c r="L2840" s="312"/>
      <c r="M2840" s="511"/>
      <c r="N2840" s="312"/>
      <c r="O2840" s="312"/>
      <c r="P2840" s="312"/>
      <c r="Q2840" s="312"/>
      <c r="R2840" s="312"/>
      <c r="S2840" s="312"/>
      <c r="T2840" s="312"/>
      <c r="U2840" s="312"/>
    </row>
    <row r="2841">
      <c r="A2841" s="312"/>
      <c r="B2841" s="312"/>
      <c r="C2841" s="567"/>
      <c r="D2841" s="312"/>
      <c r="E2841" s="511"/>
      <c r="F2841" s="312"/>
      <c r="G2841" s="312"/>
      <c r="H2841" s="312"/>
      <c r="I2841" s="567"/>
      <c r="J2841" s="312" t="b">
        <v>0</v>
      </c>
      <c r="K2841" s="312"/>
      <c r="L2841" s="312"/>
      <c r="M2841" s="511"/>
      <c r="N2841" s="312"/>
      <c r="O2841" s="312"/>
      <c r="P2841" s="312"/>
      <c r="Q2841" s="312"/>
      <c r="R2841" s="312"/>
      <c r="S2841" s="312"/>
      <c r="T2841" s="312"/>
      <c r="U2841" s="312"/>
    </row>
    <row r="2842">
      <c r="A2842" s="312"/>
      <c r="B2842" s="312"/>
      <c r="C2842" s="567"/>
      <c r="D2842" s="312"/>
      <c r="E2842" s="511"/>
      <c r="F2842" s="312"/>
      <c r="G2842" s="312"/>
      <c r="H2842" s="312"/>
      <c r="I2842" s="567"/>
      <c r="J2842" s="312" t="b">
        <v>0</v>
      </c>
      <c r="K2842" s="312"/>
      <c r="L2842" s="312"/>
      <c r="M2842" s="511"/>
      <c r="N2842" s="312"/>
      <c r="O2842" s="312"/>
      <c r="P2842" s="312"/>
      <c r="Q2842" s="312"/>
      <c r="R2842" s="312"/>
      <c r="S2842" s="312"/>
      <c r="T2842" s="312"/>
      <c r="U2842" s="312"/>
    </row>
    <row r="2843">
      <c r="A2843" s="312"/>
      <c r="B2843" s="312"/>
      <c r="C2843" s="567"/>
      <c r="D2843" s="312"/>
      <c r="E2843" s="511"/>
      <c r="F2843" s="312"/>
      <c r="G2843" s="312"/>
      <c r="H2843" s="312"/>
      <c r="I2843" s="567"/>
      <c r="J2843" s="312" t="b">
        <v>0</v>
      </c>
      <c r="K2843" s="312"/>
      <c r="L2843" s="312"/>
      <c r="M2843" s="511"/>
      <c r="N2843" s="312"/>
      <c r="O2843" s="312"/>
      <c r="P2843" s="312"/>
      <c r="Q2843" s="312"/>
      <c r="R2843" s="312"/>
      <c r="S2843" s="312"/>
      <c r="T2843" s="312"/>
      <c r="U2843" s="312"/>
    </row>
    <row r="2844">
      <c r="A2844" s="312"/>
      <c r="B2844" s="312"/>
      <c r="C2844" s="567"/>
      <c r="D2844" s="312"/>
      <c r="E2844" s="511"/>
      <c r="F2844" s="312"/>
      <c r="G2844" s="312"/>
      <c r="H2844" s="312"/>
      <c r="I2844" s="567"/>
      <c r="J2844" s="312" t="b">
        <v>0</v>
      </c>
      <c r="K2844" s="312"/>
      <c r="L2844" s="312"/>
      <c r="M2844" s="511"/>
      <c r="N2844" s="312"/>
      <c r="O2844" s="312"/>
      <c r="P2844" s="312"/>
      <c r="Q2844" s="312"/>
      <c r="R2844" s="312"/>
      <c r="S2844" s="312"/>
      <c r="T2844" s="312"/>
      <c r="U2844" s="312"/>
    </row>
    <row r="2845">
      <c r="A2845" s="312"/>
      <c r="B2845" s="312"/>
      <c r="C2845" s="567"/>
      <c r="D2845" s="312"/>
      <c r="E2845" s="511"/>
      <c r="F2845" s="312"/>
      <c r="G2845" s="312"/>
      <c r="H2845" s="312"/>
      <c r="I2845" s="567"/>
      <c r="J2845" s="312" t="b">
        <v>0</v>
      </c>
      <c r="K2845" s="312"/>
      <c r="L2845" s="312"/>
      <c r="M2845" s="511"/>
      <c r="N2845" s="312"/>
      <c r="O2845" s="312"/>
      <c r="P2845" s="312"/>
      <c r="Q2845" s="312"/>
      <c r="R2845" s="312"/>
      <c r="S2845" s="312"/>
      <c r="T2845" s="312"/>
      <c r="U2845" s="312"/>
    </row>
    <row r="2846">
      <c r="A2846" s="312"/>
      <c r="B2846" s="312"/>
      <c r="C2846" s="567"/>
      <c r="D2846" s="312"/>
      <c r="E2846" s="511"/>
      <c r="F2846" s="312"/>
      <c r="G2846" s="312"/>
      <c r="H2846" s="312"/>
      <c r="I2846" s="567"/>
      <c r="J2846" s="312" t="b">
        <v>0</v>
      </c>
      <c r="K2846" s="312"/>
      <c r="L2846" s="312"/>
      <c r="M2846" s="511"/>
      <c r="N2846" s="312"/>
      <c r="O2846" s="312"/>
      <c r="P2846" s="312"/>
      <c r="Q2846" s="312"/>
      <c r="R2846" s="312"/>
      <c r="S2846" s="312"/>
      <c r="T2846" s="312"/>
      <c r="U2846" s="312"/>
    </row>
    <row r="2847">
      <c r="A2847" s="312"/>
      <c r="B2847" s="312"/>
      <c r="C2847" s="567"/>
      <c r="D2847" s="312"/>
      <c r="E2847" s="511"/>
      <c r="F2847" s="312"/>
      <c r="G2847" s="312"/>
      <c r="H2847" s="312"/>
      <c r="I2847" s="567"/>
      <c r="J2847" s="312" t="b">
        <v>0</v>
      </c>
      <c r="K2847" s="312"/>
      <c r="L2847" s="312"/>
      <c r="M2847" s="511"/>
      <c r="N2847" s="312"/>
      <c r="O2847" s="312"/>
      <c r="P2847" s="312"/>
      <c r="Q2847" s="312"/>
      <c r="R2847" s="312"/>
      <c r="S2847" s="312"/>
      <c r="T2847" s="312"/>
      <c r="U2847" s="312"/>
    </row>
    <row r="2848">
      <c r="A2848" s="312"/>
      <c r="B2848" s="312"/>
      <c r="C2848" s="567"/>
      <c r="D2848" s="312"/>
      <c r="E2848" s="511"/>
      <c r="F2848" s="312"/>
      <c r="G2848" s="312"/>
      <c r="H2848" s="312"/>
      <c r="I2848" s="567"/>
      <c r="J2848" s="312" t="b">
        <v>0</v>
      </c>
      <c r="K2848" s="312"/>
      <c r="L2848" s="312"/>
      <c r="M2848" s="511"/>
      <c r="N2848" s="312"/>
      <c r="O2848" s="312"/>
      <c r="P2848" s="312"/>
      <c r="Q2848" s="312"/>
      <c r="R2848" s="312"/>
      <c r="S2848" s="312"/>
      <c r="T2848" s="312"/>
      <c r="U2848" s="312"/>
    </row>
    <row r="2849">
      <c r="A2849" s="312"/>
      <c r="B2849" s="312"/>
      <c r="C2849" s="567"/>
      <c r="D2849" s="312"/>
      <c r="E2849" s="511"/>
      <c r="F2849" s="312"/>
      <c r="G2849" s="312"/>
      <c r="H2849" s="312"/>
      <c r="I2849" s="567"/>
      <c r="J2849" s="312" t="b">
        <v>0</v>
      </c>
      <c r="K2849" s="312"/>
      <c r="L2849" s="312"/>
      <c r="M2849" s="511"/>
      <c r="N2849" s="312"/>
      <c r="O2849" s="312"/>
      <c r="P2849" s="312"/>
      <c r="Q2849" s="312"/>
      <c r="R2849" s="312"/>
      <c r="S2849" s="312"/>
      <c r="T2849" s="312"/>
      <c r="U2849" s="312"/>
    </row>
    <row r="2850">
      <c r="A2850" s="312"/>
      <c r="B2850" s="312"/>
      <c r="C2850" s="567"/>
      <c r="D2850" s="312"/>
      <c r="E2850" s="511"/>
      <c r="F2850" s="312"/>
      <c r="G2850" s="312"/>
      <c r="H2850" s="312"/>
      <c r="I2850" s="567"/>
      <c r="J2850" s="312" t="b">
        <v>0</v>
      </c>
      <c r="K2850" s="312"/>
      <c r="L2850" s="312"/>
      <c r="M2850" s="511"/>
      <c r="N2850" s="312"/>
      <c r="O2850" s="312"/>
      <c r="P2850" s="312"/>
      <c r="Q2850" s="312"/>
      <c r="R2850" s="312"/>
      <c r="S2850" s="312"/>
      <c r="T2850" s="312"/>
      <c r="U2850" s="312"/>
    </row>
    <row r="2851">
      <c r="A2851" s="312"/>
      <c r="B2851" s="312"/>
      <c r="C2851" s="567"/>
      <c r="D2851" s="312"/>
      <c r="E2851" s="511"/>
      <c r="F2851" s="312"/>
      <c r="G2851" s="312"/>
      <c r="H2851" s="312"/>
      <c r="I2851" s="567"/>
      <c r="J2851" s="312" t="b">
        <v>0</v>
      </c>
      <c r="K2851" s="312"/>
      <c r="L2851" s="312"/>
      <c r="M2851" s="511"/>
      <c r="N2851" s="312"/>
      <c r="O2851" s="312"/>
      <c r="P2851" s="312"/>
      <c r="Q2851" s="312"/>
      <c r="R2851" s="312"/>
      <c r="S2851" s="312"/>
      <c r="T2851" s="312"/>
      <c r="U2851" s="312"/>
    </row>
    <row r="2852">
      <c r="A2852" s="312"/>
      <c r="B2852" s="312"/>
      <c r="C2852" s="567"/>
      <c r="D2852" s="312"/>
      <c r="E2852" s="511"/>
      <c r="F2852" s="312"/>
      <c r="G2852" s="312"/>
      <c r="H2852" s="312"/>
      <c r="I2852" s="567"/>
      <c r="J2852" s="312" t="b">
        <v>0</v>
      </c>
      <c r="K2852" s="312"/>
      <c r="L2852" s="312"/>
      <c r="M2852" s="511"/>
      <c r="N2852" s="312"/>
      <c r="O2852" s="312"/>
      <c r="P2852" s="312"/>
      <c r="Q2852" s="312"/>
      <c r="R2852" s="312"/>
      <c r="S2852" s="312"/>
      <c r="T2852" s="312"/>
      <c r="U2852" s="312"/>
    </row>
    <row r="2853">
      <c r="A2853" s="312"/>
      <c r="B2853" s="312"/>
      <c r="C2853" s="567"/>
      <c r="D2853" s="312"/>
      <c r="E2853" s="511"/>
      <c r="F2853" s="312"/>
      <c r="G2853" s="312"/>
      <c r="H2853" s="312"/>
      <c r="I2853" s="567"/>
      <c r="J2853" s="312" t="b">
        <v>0</v>
      </c>
      <c r="K2853" s="312"/>
      <c r="L2853" s="312"/>
      <c r="M2853" s="511"/>
      <c r="N2853" s="312"/>
      <c r="O2853" s="312"/>
      <c r="P2853" s="312"/>
      <c r="Q2853" s="312"/>
      <c r="R2853" s="312"/>
      <c r="S2853" s="312"/>
      <c r="T2853" s="312"/>
      <c r="U2853" s="312"/>
    </row>
    <row r="2854">
      <c r="A2854" s="312"/>
      <c r="B2854" s="312"/>
      <c r="C2854" s="567"/>
      <c r="D2854" s="312"/>
      <c r="E2854" s="511"/>
      <c r="F2854" s="312"/>
      <c r="G2854" s="312"/>
      <c r="H2854" s="312"/>
      <c r="I2854" s="567"/>
      <c r="J2854" s="312" t="b">
        <v>0</v>
      </c>
      <c r="K2854" s="312"/>
      <c r="L2854" s="312"/>
      <c r="M2854" s="511"/>
      <c r="N2854" s="312"/>
      <c r="O2854" s="312"/>
      <c r="P2854" s="312"/>
      <c r="Q2854" s="312"/>
      <c r="R2854" s="312"/>
      <c r="S2854" s="312"/>
      <c r="T2854" s="312"/>
      <c r="U2854" s="312"/>
    </row>
    <row r="2855">
      <c r="A2855" s="312"/>
      <c r="B2855" s="312"/>
      <c r="C2855" s="567"/>
      <c r="D2855" s="312"/>
      <c r="E2855" s="511"/>
      <c r="F2855" s="312"/>
      <c r="G2855" s="312"/>
      <c r="H2855" s="312"/>
      <c r="I2855" s="567"/>
      <c r="J2855" s="312" t="b">
        <v>0</v>
      </c>
      <c r="K2855" s="312"/>
      <c r="L2855" s="312"/>
      <c r="M2855" s="511"/>
      <c r="N2855" s="312"/>
      <c r="O2855" s="312"/>
      <c r="P2855" s="312"/>
      <c r="Q2855" s="312"/>
      <c r="R2855" s="312"/>
      <c r="S2855" s="312"/>
      <c r="T2855" s="312"/>
      <c r="U2855" s="312"/>
    </row>
    <row r="2856">
      <c r="A2856" s="312"/>
      <c r="B2856" s="312"/>
      <c r="C2856" s="567"/>
      <c r="D2856" s="312"/>
      <c r="E2856" s="511"/>
      <c r="F2856" s="312"/>
      <c r="G2856" s="312"/>
      <c r="H2856" s="312"/>
      <c r="I2856" s="567"/>
      <c r="J2856" s="312" t="b">
        <v>0</v>
      </c>
      <c r="K2856" s="312"/>
      <c r="L2856" s="312"/>
      <c r="M2856" s="511"/>
      <c r="N2856" s="312"/>
      <c r="O2856" s="312"/>
      <c r="P2856" s="312"/>
      <c r="Q2856" s="312"/>
      <c r="R2856" s="312"/>
      <c r="S2856" s="312"/>
      <c r="T2856" s="312"/>
      <c r="U2856" s="312"/>
    </row>
    <row r="2857">
      <c r="A2857" s="312"/>
      <c r="B2857" s="312"/>
      <c r="C2857" s="567"/>
      <c r="D2857" s="312"/>
      <c r="E2857" s="511"/>
      <c r="F2857" s="312"/>
      <c r="G2857" s="312"/>
      <c r="H2857" s="312"/>
      <c r="I2857" s="567"/>
      <c r="J2857" s="312" t="b">
        <v>0</v>
      </c>
      <c r="K2857" s="312"/>
      <c r="L2857" s="312"/>
      <c r="M2857" s="511"/>
      <c r="N2857" s="312"/>
      <c r="O2857" s="312"/>
      <c r="P2857" s="312"/>
      <c r="Q2857" s="312"/>
      <c r="R2857" s="312"/>
      <c r="S2857" s="312"/>
      <c r="T2857" s="312"/>
      <c r="U2857" s="312"/>
    </row>
    <row r="2858">
      <c r="A2858" s="312"/>
      <c r="B2858" s="312"/>
      <c r="C2858" s="567"/>
      <c r="D2858" s="312"/>
      <c r="E2858" s="511"/>
      <c r="F2858" s="312"/>
      <c r="G2858" s="312"/>
      <c r="H2858" s="312"/>
      <c r="I2858" s="567"/>
      <c r="J2858" s="312" t="b">
        <v>0</v>
      </c>
      <c r="K2858" s="312"/>
      <c r="L2858" s="312"/>
      <c r="M2858" s="511"/>
      <c r="N2858" s="312"/>
      <c r="O2858" s="312"/>
      <c r="P2858" s="312"/>
      <c r="Q2858" s="312"/>
      <c r="R2858" s="312"/>
      <c r="S2858" s="312"/>
      <c r="T2858" s="312"/>
      <c r="U2858" s="312"/>
    </row>
    <row r="2859">
      <c r="A2859" s="312"/>
      <c r="B2859" s="312"/>
      <c r="C2859" s="567"/>
      <c r="D2859" s="312"/>
      <c r="E2859" s="511"/>
      <c r="F2859" s="312"/>
      <c r="G2859" s="312"/>
      <c r="H2859" s="312"/>
      <c r="I2859" s="567"/>
      <c r="J2859" s="312" t="b">
        <v>0</v>
      </c>
      <c r="K2859" s="312"/>
      <c r="L2859" s="312"/>
      <c r="M2859" s="511"/>
      <c r="N2859" s="312"/>
      <c r="O2859" s="312"/>
      <c r="P2859" s="312"/>
      <c r="Q2859" s="312"/>
      <c r="R2859" s="312"/>
      <c r="S2859" s="312"/>
      <c r="T2859" s="312"/>
      <c r="U2859" s="312"/>
    </row>
    <row r="2860">
      <c r="A2860" s="312"/>
      <c r="B2860" s="312"/>
      <c r="C2860" s="567"/>
      <c r="D2860" s="312"/>
      <c r="E2860" s="511"/>
      <c r="F2860" s="312"/>
      <c r="G2860" s="312"/>
      <c r="H2860" s="312"/>
      <c r="I2860" s="567"/>
      <c r="J2860" s="312" t="b">
        <v>0</v>
      </c>
      <c r="K2860" s="312"/>
      <c r="L2860" s="312"/>
      <c r="M2860" s="511"/>
      <c r="N2860" s="312"/>
      <c r="O2860" s="312"/>
      <c r="P2860" s="312"/>
      <c r="Q2860" s="312"/>
      <c r="R2860" s="312"/>
      <c r="S2860" s="312"/>
      <c r="T2860" s="312"/>
      <c r="U2860" s="312"/>
    </row>
    <row r="2861">
      <c r="A2861" s="312"/>
      <c r="B2861" s="312"/>
      <c r="C2861" s="567"/>
      <c r="D2861" s="312"/>
      <c r="E2861" s="511"/>
      <c r="F2861" s="312"/>
      <c r="G2861" s="312"/>
      <c r="H2861" s="312"/>
      <c r="I2861" s="567"/>
      <c r="J2861" s="312" t="b">
        <v>0</v>
      </c>
      <c r="K2861" s="312"/>
      <c r="L2861" s="312"/>
      <c r="M2861" s="511"/>
      <c r="N2861" s="312"/>
      <c r="O2861" s="312"/>
      <c r="P2861" s="312"/>
      <c r="Q2861" s="312"/>
      <c r="R2861" s="312"/>
      <c r="S2861" s="312"/>
      <c r="T2861" s="312"/>
      <c r="U2861" s="312"/>
    </row>
    <row r="2862">
      <c r="A2862" s="312"/>
      <c r="B2862" s="312"/>
      <c r="C2862" s="567"/>
      <c r="D2862" s="312"/>
      <c r="E2862" s="511"/>
      <c r="F2862" s="312"/>
      <c r="G2862" s="312"/>
      <c r="H2862" s="312"/>
      <c r="I2862" s="567"/>
      <c r="J2862" s="312" t="b">
        <v>0</v>
      </c>
      <c r="K2862" s="312"/>
      <c r="L2862" s="312"/>
      <c r="M2862" s="511"/>
      <c r="N2862" s="312"/>
      <c r="O2862" s="312"/>
      <c r="P2862" s="312"/>
      <c r="Q2862" s="312"/>
      <c r="R2862" s="312"/>
      <c r="S2862" s="312"/>
      <c r="T2862" s="312"/>
      <c r="U2862" s="312"/>
    </row>
    <row r="2863">
      <c r="A2863" s="312"/>
      <c r="B2863" s="312"/>
      <c r="C2863" s="567"/>
      <c r="D2863" s="312"/>
      <c r="E2863" s="511"/>
      <c r="F2863" s="312"/>
      <c r="G2863" s="312"/>
      <c r="H2863" s="312"/>
      <c r="I2863" s="567"/>
      <c r="J2863" s="312" t="b">
        <v>0</v>
      </c>
      <c r="K2863" s="312"/>
      <c r="L2863" s="312"/>
      <c r="M2863" s="511"/>
      <c r="N2863" s="312"/>
      <c r="O2863" s="312"/>
      <c r="P2863" s="312"/>
      <c r="Q2863" s="312"/>
      <c r="R2863" s="312"/>
      <c r="S2863" s="312"/>
      <c r="T2863" s="312"/>
      <c r="U2863" s="312"/>
    </row>
    <row r="2864">
      <c r="A2864" s="312"/>
      <c r="B2864" s="312"/>
      <c r="C2864" s="567"/>
      <c r="D2864" s="312"/>
      <c r="E2864" s="511"/>
      <c r="F2864" s="312"/>
      <c r="G2864" s="312"/>
      <c r="H2864" s="312"/>
      <c r="I2864" s="567"/>
      <c r="J2864" s="312" t="b">
        <v>0</v>
      </c>
      <c r="K2864" s="312"/>
      <c r="L2864" s="312"/>
      <c r="M2864" s="511"/>
      <c r="N2864" s="312"/>
      <c r="O2864" s="312"/>
      <c r="P2864" s="312"/>
      <c r="Q2864" s="312"/>
      <c r="R2864" s="312"/>
      <c r="S2864" s="312"/>
      <c r="T2864" s="312"/>
      <c r="U2864" s="312"/>
    </row>
    <row r="2865">
      <c r="A2865" s="312"/>
      <c r="B2865" s="312"/>
      <c r="C2865" s="567"/>
      <c r="D2865" s="312"/>
      <c r="E2865" s="511"/>
      <c r="F2865" s="312"/>
      <c r="G2865" s="312"/>
      <c r="H2865" s="312"/>
      <c r="I2865" s="567"/>
      <c r="J2865" s="312" t="b">
        <v>0</v>
      </c>
      <c r="K2865" s="312"/>
      <c r="L2865" s="312"/>
      <c r="M2865" s="511"/>
      <c r="N2865" s="312"/>
      <c r="O2865" s="312"/>
      <c r="P2865" s="312"/>
      <c r="Q2865" s="312"/>
      <c r="R2865" s="312"/>
      <c r="S2865" s="312"/>
      <c r="T2865" s="312"/>
      <c r="U2865" s="312"/>
    </row>
    <row r="2866">
      <c r="A2866" s="312"/>
      <c r="B2866" s="312"/>
      <c r="C2866" s="567"/>
      <c r="D2866" s="312"/>
      <c r="E2866" s="511"/>
      <c r="F2866" s="312"/>
      <c r="G2866" s="312"/>
      <c r="H2866" s="312"/>
      <c r="I2866" s="567"/>
      <c r="J2866" s="312" t="b">
        <v>0</v>
      </c>
      <c r="K2866" s="312"/>
      <c r="L2866" s="312"/>
      <c r="M2866" s="511"/>
      <c r="N2866" s="312"/>
      <c r="O2866" s="312"/>
      <c r="P2866" s="312"/>
      <c r="Q2866" s="312"/>
      <c r="R2866" s="312"/>
      <c r="S2866" s="312"/>
      <c r="T2866" s="312"/>
      <c r="U2866" s="312"/>
    </row>
    <row r="2867">
      <c r="A2867" s="312"/>
      <c r="B2867" s="312"/>
      <c r="C2867" s="567"/>
      <c r="D2867" s="312"/>
      <c r="E2867" s="511"/>
      <c r="F2867" s="312"/>
      <c r="G2867" s="312"/>
      <c r="H2867" s="312"/>
      <c r="I2867" s="567"/>
      <c r="J2867" s="312" t="b">
        <v>0</v>
      </c>
      <c r="K2867" s="312"/>
      <c r="L2867" s="312"/>
      <c r="M2867" s="511"/>
      <c r="N2867" s="312"/>
      <c r="O2867" s="312"/>
      <c r="P2867" s="312"/>
      <c r="Q2867" s="312"/>
      <c r="R2867" s="312"/>
      <c r="S2867" s="312"/>
      <c r="T2867" s="312"/>
      <c r="U2867" s="312"/>
    </row>
    <row r="2868">
      <c r="A2868" s="312"/>
      <c r="B2868" s="312"/>
      <c r="C2868" s="567"/>
      <c r="D2868" s="312"/>
      <c r="E2868" s="511"/>
      <c r="F2868" s="312"/>
      <c r="G2868" s="312"/>
      <c r="H2868" s="312"/>
      <c r="I2868" s="567"/>
      <c r="J2868" s="312" t="b">
        <v>0</v>
      </c>
      <c r="K2868" s="312"/>
      <c r="L2868" s="312"/>
      <c r="M2868" s="511"/>
      <c r="N2868" s="312"/>
      <c r="O2868" s="312"/>
      <c r="P2868" s="312"/>
      <c r="Q2868" s="312"/>
      <c r="R2868" s="312"/>
      <c r="S2868" s="312"/>
      <c r="T2868" s="312"/>
      <c r="U2868" s="312"/>
    </row>
    <row r="2869">
      <c r="A2869" s="312"/>
      <c r="B2869" s="312"/>
      <c r="C2869" s="567"/>
      <c r="D2869" s="312"/>
      <c r="E2869" s="511"/>
      <c r="F2869" s="312"/>
      <c r="G2869" s="312"/>
      <c r="H2869" s="312"/>
      <c r="I2869" s="567"/>
      <c r="J2869" s="312" t="b">
        <v>0</v>
      </c>
      <c r="K2869" s="312"/>
      <c r="L2869" s="312"/>
      <c r="M2869" s="511"/>
      <c r="N2869" s="312"/>
      <c r="O2869" s="312"/>
      <c r="P2869" s="312"/>
      <c r="Q2869" s="312"/>
      <c r="R2869" s="312"/>
      <c r="S2869" s="312"/>
      <c r="T2869" s="312"/>
      <c r="U2869" s="312"/>
    </row>
    <row r="2870">
      <c r="A2870" s="312"/>
      <c r="B2870" s="312"/>
      <c r="C2870" s="567"/>
      <c r="D2870" s="312"/>
      <c r="E2870" s="511"/>
      <c r="F2870" s="312"/>
      <c r="G2870" s="312"/>
      <c r="H2870" s="312"/>
      <c r="I2870" s="567"/>
      <c r="J2870" s="312" t="b">
        <v>0</v>
      </c>
      <c r="K2870" s="312"/>
      <c r="L2870" s="312"/>
      <c r="M2870" s="511"/>
      <c r="N2870" s="312"/>
      <c r="O2870" s="312"/>
      <c r="P2870" s="312"/>
      <c r="Q2870" s="312"/>
      <c r="R2870" s="312"/>
      <c r="S2870" s="312"/>
      <c r="T2870" s="312"/>
      <c r="U2870" s="312"/>
    </row>
    <row r="2871">
      <c r="A2871" s="312"/>
      <c r="B2871" s="312"/>
      <c r="C2871" s="567"/>
      <c r="D2871" s="312"/>
      <c r="E2871" s="511"/>
      <c r="F2871" s="312"/>
      <c r="G2871" s="312"/>
      <c r="H2871" s="312"/>
      <c r="I2871" s="567"/>
      <c r="J2871" s="312" t="b">
        <v>0</v>
      </c>
      <c r="K2871" s="312"/>
      <c r="L2871" s="312"/>
      <c r="M2871" s="511"/>
      <c r="N2871" s="312"/>
      <c r="O2871" s="312"/>
      <c r="P2871" s="312"/>
      <c r="Q2871" s="312"/>
      <c r="R2871" s="312"/>
      <c r="S2871" s="312"/>
      <c r="T2871" s="312"/>
      <c r="U2871" s="312"/>
    </row>
    <row r="2872">
      <c r="A2872" s="312"/>
      <c r="B2872" s="312"/>
      <c r="C2872" s="567"/>
      <c r="D2872" s="312"/>
      <c r="E2872" s="511"/>
      <c r="F2872" s="312"/>
      <c r="G2872" s="312"/>
      <c r="H2872" s="312"/>
      <c r="I2872" s="567"/>
      <c r="J2872" s="312" t="b">
        <v>0</v>
      </c>
      <c r="K2872" s="312"/>
      <c r="L2872" s="312"/>
      <c r="M2872" s="511"/>
      <c r="N2872" s="312"/>
      <c r="O2872" s="312"/>
      <c r="P2872" s="312"/>
      <c r="Q2872" s="312"/>
      <c r="R2872" s="312"/>
      <c r="S2872" s="312"/>
      <c r="T2872" s="312"/>
      <c r="U2872" s="312"/>
    </row>
    <row r="2873">
      <c r="A2873" s="312"/>
      <c r="B2873" s="312"/>
      <c r="C2873" s="567"/>
      <c r="D2873" s="312"/>
      <c r="E2873" s="511"/>
      <c r="F2873" s="312"/>
      <c r="G2873" s="312"/>
      <c r="H2873" s="312"/>
      <c r="I2873" s="567"/>
      <c r="J2873" s="312" t="b">
        <v>0</v>
      </c>
      <c r="K2873" s="312"/>
      <c r="L2873" s="312"/>
      <c r="M2873" s="511"/>
      <c r="N2873" s="312"/>
      <c r="O2873" s="312"/>
      <c r="P2873" s="312"/>
      <c r="Q2873" s="312"/>
      <c r="R2873" s="312"/>
      <c r="S2873" s="312"/>
      <c r="T2873" s="312"/>
      <c r="U2873" s="312"/>
    </row>
    <row r="2874">
      <c r="A2874" s="312"/>
      <c r="B2874" s="312"/>
      <c r="C2874" s="567"/>
      <c r="D2874" s="312"/>
      <c r="E2874" s="511"/>
      <c r="F2874" s="312"/>
      <c r="G2874" s="312"/>
      <c r="H2874" s="312"/>
      <c r="I2874" s="567"/>
      <c r="J2874" s="312" t="b">
        <v>0</v>
      </c>
      <c r="K2874" s="312"/>
      <c r="L2874" s="312"/>
      <c r="M2874" s="511"/>
      <c r="N2874" s="312"/>
      <c r="O2874" s="312"/>
      <c r="P2874" s="312"/>
      <c r="Q2874" s="312"/>
      <c r="R2874" s="312"/>
      <c r="S2874" s="312"/>
      <c r="T2874" s="312"/>
      <c r="U2874" s="312"/>
    </row>
    <row r="2875">
      <c r="A2875" s="312"/>
      <c r="B2875" s="312"/>
      <c r="C2875" s="567"/>
      <c r="D2875" s="312"/>
      <c r="E2875" s="511"/>
      <c r="F2875" s="312"/>
      <c r="G2875" s="312"/>
      <c r="H2875" s="312"/>
      <c r="I2875" s="567"/>
      <c r="J2875" s="312" t="b">
        <v>0</v>
      </c>
      <c r="K2875" s="312"/>
      <c r="L2875" s="312"/>
      <c r="M2875" s="511"/>
      <c r="N2875" s="312"/>
      <c r="O2875" s="312"/>
      <c r="P2875" s="312"/>
      <c r="Q2875" s="312"/>
      <c r="R2875" s="312"/>
      <c r="S2875" s="312"/>
      <c r="T2875" s="312"/>
      <c r="U2875" s="312"/>
    </row>
    <row r="2876">
      <c r="A2876" s="312"/>
      <c r="B2876" s="312"/>
      <c r="C2876" s="567"/>
      <c r="D2876" s="312"/>
      <c r="E2876" s="511"/>
      <c r="F2876" s="312"/>
      <c r="G2876" s="312"/>
      <c r="H2876" s="312"/>
      <c r="I2876" s="567"/>
      <c r="J2876" s="312" t="b">
        <v>0</v>
      </c>
      <c r="K2876" s="312"/>
      <c r="L2876" s="312"/>
      <c r="M2876" s="511"/>
      <c r="N2876" s="312"/>
      <c r="O2876" s="312"/>
      <c r="P2876" s="312"/>
      <c r="Q2876" s="312"/>
      <c r="R2876" s="312"/>
      <c r="S2876" s="312"/>
      <c r="T2876" s="312"/>
      <c r="U2876" s="312"/>
    </row>
    <row r="2877">
      <c r="A2877" s="312"/>
      <c r="B2877" s="312"/>
      <c r="C2877" s="567"/>
      <c r="D2877" s="312"/>
      <c r="E2877" s="511"/>
      <c r="F2877" s="312"/>
      <c r="G2877" s="312"/>
      <c r="H2877" s="312"/>
      <c r="I2877" s="567"/>
      <c r="J2877" s="312" t="b">
        <v>0</v>
      </c>
      <c r="K2877" s="312"/>
      <c r="L2877" s="312"/>
      <c r="M2877" s="511"/>
      <c r="N2877" s="312"/>
      <c r="O2877" s="312"/>
      <c r="P2877" s="312"/>
      <c r="Q2877" s="312"/>
      <c r="R2877" s="312"/>
      <c r="S2877" s="312"/>
      <c r="T2877" s="312"/>
      <c r="U2877" s="312"/>
    </row>
    <row r="2878">
      <c r="A2878" s="312"/>
      <c r="B2878" s="312"/>
      <c r="C2878" s="567"/>
      <c r="D2878" s="312"/>
      <c r="E2878" s="511"/>
      <c r="F2878" s="312"/>
      <c r="G2878" s="312"/>
      <c r="H2878" s="312"/>
      <c r="I2878" s="567"/>
      <c r="J2878" s="312" t="b">
        <v>0</v>
      </c>
      <c r="K2878" s="312"/>
      <c r="L2878" s="312"/>
      <c r="M2878" s="511"/>
      <c r="N2878" s="312"/>
      <c r="O2878" s="312"/>
      <c r="P2878" s="312"/>
      <c r="Q2878" s="312"/>
      <c r="R2878" s="312"/>
      <c r="S2878" s="312"/>
      <c r="T2878" s="312"/>
      <c r="U2878" s="312"/>
    </row>
    <row r="2879">
      <c r="A2879" s="312"/>
      <c r="B2879" s="312"/>
      <c r="C2879" s="567"/>
      <c r="D2879" s="312"/>
      <c r="E2879" s="511"/>
      <c r="F2879" s="312"/>
      <c r="G2879" s="312"/>
      <c r="H2879" s="312"/>
      <c r="I2879" s="567"/>
      <c r="J2879" s="312" t="b">
        <v>0</v>
      </c>
      <c r="K2879" s="312"/>
      <c r="L2879" s="312"/>
      <c r="M2879" s="511"/>
      <c r="N2879" s="312"/>
      <c r="O2879" s="312"/>
      <c r="P2879" s="312"/>
      <c r="Q2879" s="312"/>
      <c r="R2879" s="312"/>
      <c r="S2879" s="312"/>
      <c r="T2879" s="312"/>
      <c r="U2879" s="312"/>
    </row>
    <row r="2880">
      <c r="A2880" s="312"/>
      <c r="B2880" s="312"/>
      <c r="C2880" s="567"/>
      <c r="D2880" s="312"/>
      <c r="E2880" s="511"/>
      <c r="F2880" s="312"/>
      <c r="G2880" s="312"/>
      <c r="H2880" s="312"/>
      <c r="I2880" s="567"/>
      <c r="J2880" s="312" t="b">
        <v>0</v>
      </c>
      <c r="K2880" s="312"/>
      <c r="L2880" s="312"/>
      <c r="M2880" s="511"/>
      <c r="N2880" s="312"/>
      <c r="O2880" s="312"/>
      <c r="P2880" s="312"/>
      <c r="Q2880" s="312"/>
      <c r="R2880" s="312"/>
      <c r="S2880" s="312"/>
      <c r="T2880" s="312"/>
      <c r="U2880" s="312"/>
    </row>
    <row r="2881">
      <c r="A2881" s="312"/>
      <c r="B2881" s="312"/>
      <c r="C2881" s="567"/>
      <c r="D2881" s="312"/>
      <c r="E2881" s="511"/>
      <c r="F2881" s="312"/>
      <c r="G2881" s="312"/>
      <c r="H2881" s="312"/>
      <c r="I2881" s="567"/>
      <c r="J2881" s="312" t="b">
        <v>0</v>
      </c>
      <c r="K2881" s="312"/>
      <c r="L2881" s="312"/>
      <c r="M2881" s="511"/>
      <c r="N2881" s="312"/>
      <c r="O2881" s="312"/>
      <c r="P2881" s="312"/>
      <c r="Q2881" s="312"/>
      <c r="R2881" s="312"/>
      <c r="S2881" s="312"/>
      <c r="T2881" s="312"/>
      <c r="U2881" s="312"/>
    </row>
    <row r="2882">
      <c r="A2882" s="312"/>
      <c r="B2882" s="312"/>
      <c r="C2882" s="567"/>
      <c r="D2882" s="312"/>
      <c r="E2882" s="511"/>
      <c r="F2882" s="312"/>
      <c r="G2882" s="312"/>
      <c r="H2882" s="312"/>
      <c r="I2882" s="567"/>
      <c r="J2882" s="312" t="b">
        <v>0</v>
      </c>
      <c r="K2882" s="312"/>
      <c r="L2882" s="312"/>
      <c r="M2882" s="511"/>
      <c r="N2882" s="312"/>
      <c r="O2882" s="312"/>
      <c r="P2882" s="312"/>
      <c r="Q2882" s="312"/>
      <c r="R2882" s="312"/>
      <c r="S2882" s="312"/>
      <c r="T2882" s="312"/>
      <c r="U2882" s="312"/>
    </row>
    <row r="2883">
      <c r="A2883" s="312"/>
      <c r="B2883" s="312"/>
      <c r="C2883" s="567"/>
      <c r="D2883" s="312"/>
      <c r="E2883" s="511"/>
      <c r="F2883" s="312"/>
      <c r="G2883" s="312"/>
      <c r="H2883" s="312"/>
      <c r="I2883" s="567"/>
      <c r="J2883" s="312" t="b">
        <v>0</v>
      </c>
      <c r="K2883" s="312"/>
      <c r="L2883" s="312"/>
      <c r="M2883" s="511"/>
      <c r="N2883" s="312"/>
      <c r="O2883" s="312"/>
      <c r="P2883" s="312"/>
      <c r="Q2883" s="312"/>
      <c r="R2883" s="312"/>
      <c r="S2883" s="312"/>
      <c r="T2883" s="312"/>
      <c r="U2883" s="312"/>
    </row>
    <row r="2884">
      <c r="A2884" s="312"/>
      <c r="B2884" s="312"/>
      <c r="C2884" s="567"/>
      <c r="D2884" s="312"/>
      <c r="E2884" s="511"/>
      <c r="F2884" s="312"/>
      <c r="G2884" s="312"/>
      <c r="H2884" s="312"/>
      <c r="I2884" s="567"/>
      <c r="J2884" s="312" t="b">
        <v>0</v>
      </c>
      <c r="K2884" s="312"/>
      <c r="L2884" s="312"/>
      <c r="M2884" s="511"/>
      <c r="N2884" s="312"/>
      <c r="O2884" s="312"/>
      <c r="P2884" s="312"/>
      <c r="Q2884" s="312"/>
      <c r="R2884" s="312"/>
      <c r="S2884" s="312"/>
      <c r="T2884" s="312"/>
      <c r="U2884" s="312"/>
    </row>
    <row r="2885">
      <c r="A2885" s="312"/>
      <c r="B2885" s="312"/>
      <c r="C2885" s="567"/>
      <c r="D2885" s="312"/>
      <c r="E2885" s="511"/>
      <c r="F2885" s="312"/>
      <c r="G2885" s="312"/>
      <c r="H2885" s="312"/>
      <c r="I2885" s="567"/>
      <c r="J2885" s="312" t="b">
        <v>0</v>
      </c>
      <c r="K2885" s="312"/>
      <c r="L2885" s="312"/>
      <c r="M2885" s="511"/>
      <c r="N2885" s="312"/>
      <c r="O2885" s="312"/>
      <c r="P2885" s="312"/>
      <c r="Q2885" s="312"/>
      <c r="R2885" s="312"/>
      <c r="S2885" s="312"/>
      <c r="T2885" s="312"/>
      <c r="U2885" s="312"/>
    </row>
    <row r="2886">
      <c r="A2886" s="312"/>
      <c r="B2886" s="312"/>
      <c r="C2886" s="567"/>
      <c r="D2886" s="312"/>
      <c r="E2886" s="511"/>
      <c r="F2886" s="312"/>
      <c r="G2886" s="312"/>
      <c r="H2886" s="312"/>
      <c r="I2886" s="567"/>
      <c r="J2886" s="312" t="b">
        <v>0</v>
      </c>
      <c r="K2886" s="312"/>
      <c r="L2886" s="312"/>
      <c r="M2886" s="511"/>
      <c r="N2886" s="312"/>
      <c r="O2886" s="312"/>
      <c r="P2886" s="312"/>
      <c r="Q2886" s="312"/>
      <c r="R2886" s="312"/>
      <c r="S2886" s="312"/>
      <c r="T2886" s="312"/>
      <c r="U2886" s="312"/>
    </row>
    <row r="2887">
      <c r="A2887" s="312"/>
      <c r="B2887" s="312"/>
      <c r="C2887" s="567"/>
      <c r="D2887" s="312"/>
      <c r="E2887" s="511"/>
      <c r="F2887" s="312"/>
      <c r="G2887" s="312"/>
      <c r="H2887" s="312"/>
      <c r="I2887" s="567"/>
      <c r="J2887" s="312" t="b">
        <v>0</v>
      </c>
      <c r="K2887" s="312"/>
      <c r="L2887" s="312"/>
      <c r="M2887" s="511"/>
      <c r="N2887" s="312"/>
      <c r="O2887" s="312"/>
      <c r="P2887" s="312"/>
      <c r="Q2887" s="312"/>
      <c r="R2887" s="312"/>
      <c r="S2887" s="312"/>
      <c r="T2887" s="312"/>
      <c r="U2887" s="312"/>
    </row>
    <row r="2888">
      <c r="A2888" s="312"/>
      <c r="B2888" s="312"/>
      <c r="C2888" s="567"/>
      <c r="D2888" s="312"/>
      <c r="E2888" s="511"/>
      <c r="F2888" s="312"/>
      <c r="G2888" s="312"/>
      <c r="H2888" s="312"/>
      <c r="I2888" s="567"/>
      <c r="J2888" s="312" t="b">
        <v>0</v>
      </c>
      <c r="K2888" s="312"/>
      <c r="L2888" s="312"/>
      <c r="M2888" s="511"/>
      <c r="N2888" s="312"/>
      <c r="O2888" s="312"/>
      <c r="P2888" s="312"/>
      <c r="Q2888" s="312"/>
      <c r="R2888" s="312"/>
      <c r="S2888" s="312"/>
      <c r="T2888" s="312"/>
      <c r="U2888" s="312"/>
    </row>
    <row r="2889">
      <c r="A2889" s="312"/>
      <c r="B2889" s="312"/>
      <c r="C2889" s="567"/>
      <c r="D2889" s="312"/>
      <c r="E2889" s="511"/>
      <c r="F2889" s="312"/>
      <c r="G2889" s="312"/>
      <c r="H2889" s="312"/>
      <c r="I2889" s="567"/>
      <c r="J2889" s="312" t="b">
        <v>0</v>
      </c>
      <c r="K2889" s="312"/>
      <c r="L2889" s="312"/>
      <c r="M2889" s="511"/>
      <c r="N2889" s="312"/>
      <c r="O2889" s="312"/>
      <c r="P2889" s="312"/>
      <c r="Q2889" s="312"/>
      <c r="R2889" s="312"/>
      <c r="S2889" s="312"/>
      <c r="T2889" s="312"/>
      <c r="U2889" s="312"/>
    </row>
    <row r="2890">
      <c r="A2890" s="312"/>
      <c r="B2890" s="312"/>
      <c r="C2890" s="567"/>
      <c r="D2890" s="312"/>
      <c r="E2890" s="511"/>
      <c r="F2890" s="312"/>
      <c r="G2890" s="312"/>
      <c r="H2890" s="312"/>
      <c r="I2890" s="567"/>
      <c r="J2890" s="312" t="b">
        <v>0</v>
      </c>
      <c r="K2890" s="312"/>
      <c r="L2890" s="312"/>
      <c r="M2890" s="511"/>
      <c r="N2890" s="312"/>
      <c r="O2890" s="312"/>
      <c r="P2890" s="312"/>
      <c r="Q2890" s="312"/>
      <c r="R2890" s="312"/>
      <c r="S2890" s="312"/>
      <c r="T2890" s="312"/>
      <c r="U2890" s="312"/>
    </row>
    <row r="2891">
      <c r="A2891" s="312"/>
      <c r="B2891" s="312"/>
      <c r="C2891" s="567"/>
      <c r="D2891" s="312"/>
      <c r="E2891" s="511"/>
      <c r="F2891" s="312"/>
      <c r="G2891" s="312"/>
      <c r="H2891" s="312"/>
      <c r="I2891" s="567"/>
      <c r="J2891" s="312" t="b">
        <v>0</v>
      </c>
      <c r="K2891" s="312"/>
      <c r="L2891" s="312"/>
      <c r="M2891" s="511"/>
      <c r="N2891" s="312"/>
      <c r="O2891" s="312"/>
      <c r="P2891" s="312"/>
      <c r="Q2891" s="312"/>
      <c r="R2891" s="312"/>
      <c r="S2891" s="312"/>
      <c r="T2891" s="312"/>
      <c r="U2891" s="312"/>
    </row>
    <row r="2892">
      <c r="A2892" s="312"/>
      <c r="B2892" s="312"/>
      <c r="C2892" s="567"/>
      <c r="D2892" s="312"/>
      <c r="E2892" s="511"/>
      <c r="F2892" s="312"/>
      <c r="G2892" s="312"/>
      <c r="H2892" s="312"/>
      <c r="I2892" s="567"/>
      <c r="J2892" s="312" t="b">
        <v>0</v>
      </c>
      <c r="K2892" s="312"/>
      <c r="L2892" s="312"/>
      <c r="M2892" s="511"/>
      <c r="N2892" s="312"/>
      <c r="O2892" s="312"/>
      <c r="P2892" s="312"/>
      <c r="Q2892" s="312"/>
      <c r="R2892" s="312"/>
      <c r="S2892" s="312"/>
      <c r="T2892" s="312"/>
      <c r="U2892" s="312"/>
    </row>
    <row r="2893">
      <c r="A2893" s="312"/>
      <c r="B2893" s="312"/>
      <c r="C2893" s="567"/>
      <c r="D2893" s="312"/>
      <c r="E2893" s="511"/>
      <c r="F2893" s="312"/>
      <c r="G2893" s="312"/>
      <c r="H2893" s="312"/>
      <c r="I2893" s="567"/>
      <c r="J2893" s="312" t="b">
        <v>0</v>
      </c>
      <c r="K2893" s="312"/>
      <c r="L2893" s="312"/>
      <c r="M2893" s="511"/>
      <c r="N2893" s="312"/>
      <c r="O2893" s="312"/>
      <c r="P2893" s="312"/>
      <c r="Q2893" s="312"/>
      <c r="R2893" s="312"/>
      <c r="S2893" s="312"/>
      <c r="T2893" s="312"/>
      <c r="U2893" s="312"/>
    </row>
    <row r="2894">
      <c r="A2894" s="312"/>
      <c r="B2894" s="312"/>
      <c r="C2894" s="567"/>
      <c r="D2894" s="312"/>
      <c r="E2894" s="511"/>
      <c r="F2894" s="312"/>
      <c r="G2894" s="312"/>
      <c r="H2894" s="312"/>
      <c r="I2894" s="567"/>
      <c r="J2894" s="312" t="b">
        <v>0</v>
      </c>
      <c r="K2894" s="312"/>
      <c r="L2894" s="312"/>
      <c r="M2894" s="511"/>
      <c r="N2894" s="312"/>
      <c r="O2894" s="312"/>
      <c r="P2894" s="312"/>
      <c r="Q2894" s="312"/>
      <c r="R2894" s="312"/>
      <c r="S2894" s="312"/>
      <c r="T2894" s="312"/>
      <c r="U2894" s="312"/>
    </row>
    <row r="2895">
      <c r="A2895" s="312"/>
      <c r="B2895" s="312"/>
      <c r="C2895" s="567"/>
      <c r="D2895" s="312"/>
      <c r="E2895" s="511"/>
      <c r="F2895" s="312"/>
      <c r="G2895" s="312"/>
      <c r="H2895" s="312"/>
      <c r="I2895" s="567"/>
      <c r="J2895" s="312" t="b">
        <v>0</v>
      </c>
      <c r="K2895" s="312"/>
      <c r="L2895" s="312"/>
      <c r="M2895" s="511"/>
      <c r="N2895" s="312"/>
      <c r="O2895" s="312"/>
      <c r="P2895" s="312"/>
      <c r="Q2895" s="312"/>
      <c r="R2895" s="312"/>
      <c r="S2895" s="312"/>
      <c r="T2895" s="312"/>
      <c r="U2895" s="312"/>
    </row>
    <row r="2896">
      <c r="A2896" s="312"/>
      <c r="B2896" s="312"/>
      <c r="C2896" s="567"/>
      <c r="D2896" s="312"/>
      <c r="E2896" s="511"/>
      <c r="F2896" s="312"/>
      <c r="G2896" s="312"/>
      <c r="H2896" s="312"/>
      <c r="I2896" s="567"/>
      <c r="J2896" s="312" t="b">
        <v>0</v>
      </c>
      <c r="K2896" s="312"/>
      <c r="L2896" s="312"/>
      <c r="M2896" s="511"/>
      <c r="N2896" s="312"/>
      <c r="O2896" s="312"/>
      <c r="P2896" s="312"/>
      <c r="Q2896" s="312"/>
      <c r="R2896" s="312"/>
      <c r="S2896" s="312"/>
      <c r="T2896" s="312"/>
      <c r="U2896" s="312"/>
    </row>
    <row r="2897">
      <c r="A2897" s="312"/>
      <c r="B2897" s="312"/>
      <c r="C2897" s="567"/>
      <c r="D2897" s="312"/>
      <c r="E2897" s="511"/>
      <c r="F2897" s="312"/>
      <c r="G2897" s="312"/>
      <c r="H2897" s="312"/>
      <c r="I2897" s="567"/>
      <c r="J2897" s="312" t="b">
        <v>0</v>
      </c>
      <c r="K2897" s="312"/>
      <c r="L2897" s="312"/>
      <c r="M2897" s="511"/>
      <c r="N2897" s="312"/>
      <c r="O2897" s="312"/>
      <c r="P2897" s="312"/>
      <c r="Q2897" s="312"/>
      <c r="R2897" s="312"/>
      <c r="S2897" s="312"/>
      <c r="T2897" s="312"/>
      <c r="U2897" s="312"/>
    </row>
    <row r="2898">
      <c r="A2898" s="312"/>
      <c r="B2898" s="312"/>
      <c r="C2898" s="567"/>
      <c r="D2898" s="312"/>
      <c r="E2898" s="511"/>
      <c r="F2898" s="312"/>
      <c r="G2898" s="312"/>
      <c r="H2898" s="312"/>
      <c r="I2898" s="567"/>
      <c r="J2898" s="312" t="b">
        <v>0</v>
      </c>
      <c r="K2898" s="312"/>
      <c r="L2898" s="312"/>
      <c r="M2898" s="511"/>
      <c r="N2898" s="312"/>
      <c r="O2898" s="312"/>
      <c r="P2898" s="312"/>
      <c r="Q2898" s="312"/>
      <c r="R2898" s="312"/>
      <c r="S2898" s="312"/>
      <c r="T2898" s="312"/>
      <c r="U2898" s="312"/>
    </row>
    <row r="2899">
      <c r="A2899" s="312"/>
      <c r="B2899" s="312"/>
      <c r="C2899" s="567"/>
      <c r="D2899" s="312"/>
      <c r="E2899" s="511"/>
      <c r="F2899" s="312"/>
      <c r="G2899" s="312"/>
      <c r="H2899" s="312"/>
      <c r="I2899" s="567"/>
      <c r="J2899" s="312" t="b">
        <v>0</v>
      </c>
      <c r="K2899" s="312"/>
      <c r="L2899" s="312"/>
      <c r="M2899" s="511"/>
      <c r="N2899" s="312"/>
      <c r="O2899" s="312"/>
      <c r="P2899" s="312"/>
      <c r="Q2899" s="312"/>
      <c r="R2899" s="312"/>
      <c r="S2899" s="312"/>
      <c r="T2899" s="312"/>
      <c r="U2899" s="312"/>
    </row>
    <row r="2900">
      <c r="A2900" s="312"/>
      <c r="B2900" s="312"/>
      <c r="C2900" s="567"/>
      <c r="D2900" s="312"/>
      <c r="E2900" s="511"/>
      <c r="F2900" s="312"/>
      <c r="G2900" s="312"/>
      <c r="H2900" s="312"/>
      <c r="I2900" s="567"/>
      <c r="J2900" s="312" t="b">
        <v>0</v>
      </c>
      <c r="K2900" s="312"/>
      <c r="L2900" s="312"/>
      <c r="M2900" s="511"/>
      <c r="N2900" s="312"/>
      <c r="O2900" s="312"/>
      <c r="P2900" s="312"/>
      <c r="Q2900" s="312"/>
      <c r="R2900" s="312"/>
      <c r="S2900" s="312"/>
      <c r="T2900" s="312"/>
      <c r="U2900" s="312"/>
    </row>
    <row r="2901">
      <c r="A2901" s="312"/>
      <c r="B2901" s="312"/>
      <c r="C2901" s="567"/>
      <c r="D2901" s="312"/>
      <c r="E2901" s="511"/>
      <c r="F2901" s="312"/>
      <c r="G2901" s="312"/>
      <c r="H2901" s="312"/>
      <c r="I2901" s="567"/>
      <c r="J2901" s="312" t="b">
        <v>0</v>
      </c>
      <c r="K2901" s="312"/>
      <c r="L2901" s="312"/>
      <c r="M2901" s="511"/>
      <c r="N2901" s="312"/>
      <c r="O2901" s="312"/>
      <c r="P2901" s="312"/>
      <c r="Q2901" s="312"/>
      <c r="R2901" s="312"/>
      <c r="S2901" s="312"/>
      <c r="T2901" s="312"/>
      <c r="U2901" s="312"/>
    </row>
    <row r="2902">
      <c r="A2902" s="312"/>
      <c r="B2902" s="312"/>
      <c r="C2902" s="567"/>
      <c r="D2902" s="312"/>
      <c r="E2902" s="511"/>
      <c r="F2902" s="312"/>
      <c r="G2902" s="312"/>
      <c r="H2902" s="312"/>
      <c r="I2902" s="567"/>
      <c r="J2902" s="312" t="b">
        <v>0</v>
      </c>
      <c r="K2902" s="312"/>
      <c r="L2902" s="312"/>
      <c r="M2902" s="511"/>
      <c r="N2902" s="312"/>
      <c r="O2902" s="312"/>
      <c r="P2902" s="312"/>
      <c r="Q2902" s="312"/>
      <c r="R2902" s="312"/>
      <c r="S2902" s="312"/>
      <c r="T2902" s="312"/>
      <c r="U2902" s="312"/>
    </row>
    <row r="2903">
      <c r="A2903" s="312"/>
      <c r="B2903" s="312"/>
      <c r="C2903" s="567"/>
      <c r="D2903" s="312"/>
      <c r="E2903" s="511"/>
      <c r="F2903" s="312"/>
      <c r="G2903" s="312"/>
      <c r="H2903" s="312"/>
      <c r="I2903" s="567"/>
      <c r="J2903" s="312" t="b">
        <v>0</v>
      </c>
      <c r="K2903" s="312"/>
      <c r="L2903" s="312"/>
      <c r="M2903" s="511"/>
      <c r="N2903" s="312"/>
      <c r="O2903" s="312"/>
      <c r="P2903" s="312"/>
      <c r="Q2903" s="312"/>
      <c r="R2903" s="312"/>
      <c r="S2903" s="312"/>
      <c r="T2903" s="312"/>
      <c r="U2903" s="312"/>
    </row>
    <row r="2904">
      <c r="A2904" s="312"/>
      <c r="B2904" s="312"/>
      <c r="C2904" s="567"/>
      <c r="D2904" s="312"/>
      <c r="E2904" s="511"/>
      <c r="F2904" s="312"/>
      <c r="G2904" s="312"/>
      <c r="H2904" s="312"/>
      <c r="I2904" s="567"/>
      <c r="J2904" s="312" t="b">
        <v>0</v>
      </c>
      <c r="K2904" s="312"/>
      <c r="L2904" s="312"/>
      <c r="M2904" s="511"/>
      <c r="N2904" s="312"/>
      <c r="O2904" s="312"/>
      <c r="P2904" s="312"/>
      <c r="Q2904" s="312"/>
      <c r="R2904" s="312"/>
      <c r="S2904" s="312"/>
      <c r="T2904" s="312"/>
      <c r="U2904" s="312"/>
    </row>
    <row r="2905">
      <c r="A2905" s="312"/>
      <c r="B2905" s="312"/>
      <c r="C2905" s="567"/>
      <c r="D2905" s="312"/>
      <c r="E2905" s="511"/>
      <c r="F2905" s="312"/>
      <c r="G2905" s="312"/>
      <c r="H2905" s="312"/>
      <c r="I2905" s="567"/>
      <c r="J2905" s="312" t="b">
        <v>0</v>
      </c>
      <c r="K2905" s="312"/>
      <c r="L2905" s="312"/>
      <c r="M2905" s="511"/>
      <c r="N2905" s="312"/>
      <c r="O2905" s="312"/>
      <c r="P2905" s="312"/>
      <c r="Q2905" s="312"/>
      <c r="R2905" s="312"/>
      <c r="S2905" s="312"/>
      <c r="T2905" s="312"/>
      <c r="U2905" s="312"/>
    </row>
    <row r="2906">
      <c r="A2906" s="312"/>
      <c r="B2906" s="312"/>
      <c r="C2906" s="567"/>
      <c r="D2906" s="312"/>
      <c r="E2906" s="511"/>
      <c r="F2906" s="312"/>
      <c r="G2906" s="312"/>
      <c r="H2906" s="312"/>
      <c r="I2906" s="567"/>
      <c r="J2906" s="312" t="b">
        <v>0</v>
      </c>
      <c r="K2906" s="312"/>
      <c r="L2906" s="312"/>
      <c r="M2906" s="511"/>
      <c r="N2906" s="312"/>
      <c r="O2906" s="312"/>
      <c r="P2906" s="312"/>
      <c r="Q2906" s="312"/>
      <c r="R2906" s="312"/>
      <c r="S2906" s="312"/>
      <c r="T2906" s="312"/>
      <c r="U2906" s="312"/>
    </row>
    <row r="2907">
      <c r="A2907" s="312"/>
      <c r="B2907" s="312"/>
      <c r="C2907" s="567"/>
      <c r="D2907" s="312"/>
      <c r="E2907" s="511"/>
      <c r="F2907" s="312"/>
      <c r="G2907" s="312"/>
      <c r="H2907" s="312"/>
      <c r="I2907" s="567"/>
      <c r="J2907" s="312" t="b">
        <v>0</v>
      </c>
      <c r="K2907" s="312"/>
      <c r="L2907" s="312"/>
      <c r="M2907" s="511"/>
      <c r="N2907" s="312"/>
      <c r="O2907" s="312"/>
      <c r="P2907" s="312"/>
      <c r="Q2907" s="312"/>
      <c r="R2907" s="312"/>
      <c r="S2907" s="312"/>
      <c r="T2907" s="312"/>
      <c r="U2907" s="312"/>
    </row>
    <row r="2908">
      <c r="A2908" s="312"/>
      <c r="B2908" s="312"/>
      <c r="C2908" s="567"/>
      <c r="D2908" s="312"/>
      <c r="E2908" s="511"/>
      <c r="F2908" s="312"/>
      <c r="G2908" s="312"/>
      <c r="H2908" s="312"/>
      <c r="I2908" s="567"/>
      <c r="J2908" s="312" t="b">
        <v>0</v>
      </c>
      <c r="K2908" s="312"/>
      <c r="L2908" s="312"/>
      <c r="M2908" s="511"/>
      <c r="N2908" s="312"/>
      <c r="O2908" s="312"/>
      <c r="P2908" s="312"/>
      <c r="Q2908" s="312"/>
      <c r="R2908" s="312"/>
      <c r="S2908" s="312"/>
      <c r="T2908" s="312"/>
      <c r="U2908" s="312"/>
    </row>
    <row r="2909">
      <c r="A2909" s="312"/>
      <c r="B2909" s="312"/>
      <c r="C2909" s="567"/>
      <c r="D2909" s="312"/>
      <c r="E2909" s="511"/>
      <c r="F2909" s="312"/>
      <c r="G2909" s="312"/>
      <c r="H2909" s="312"/>
      <c r="I2909" s="567"/>
      <c r="J2909" s="312" t="b">
        <v>0</v>
      </c>
      <c r="K2909" s="312"/>
      <c r="L2909" s="312"/>
      <c r="M2909" s="511"/>
      <c r="N2909" s="312"/>
      <c r="O2909" s="312"/>
      <c r="P2909" s="312"/>
      <c r="Q2909" s="312"/>
      <c r="R2909" s="312"/>
      <c r="S2909" s="312"/>
      <c r="T2909" s="312"/>
      <c r="U2909" s="312"/>
    </row>
    <row r="2910">
      <c r="A2910" s="312"/>
      <c r="B2910" s="312"/>
      <c r="C2910" s="567"/>
      <c r="D2910" s="312"/>
      <c r="E2910" s="511"/>
      <c r="F2910" s="312"/>
      <c r="G2910" s="312"/>
      <c r="H2910" s="312"/>
      <c r="I2910" s="567"/>
      <c r="J2910" s="312" t="b">
        <v>0</v>
      </c>
      <c r="K2910" s="312"/>
      <c r="L2910" s="312"/>
      <c r="M2910" s="511"/>
      <c r="N2910" s="312"/>
      <c r="O2910" s="312"/>
      <c r="P2910" s="312"/>
      <c r="Q2910" s="312"/>
      <c r="R2910" s="312"/>
      <c r="S2910" s="312"/>
      <c r="T2910" s="312"/>
      <c r="U2910" s="312"/>
    </row>
    <row r="2911">
      <c r="A2911" s="312"/>
      <c r="B2911" s="312"/>
      <c r="C2911" s="567"/>
      <c r="D2911" s="312"/>
      <c r="E2911" s="511"/>
      <c r="F2911" s="312"/>
      <c r="G2911" s="312"/>
      <c r="H2911" s="312"/>
      <c r="I2911" s="567"/>
      <c r="J2911" s="312" t="b">
        <v>0</v>
      </c>
      <c r="K2911" s="312"/>
      <c r="L2911" s="312"/>
      <c r="M2911" s="511"/>
      <c r="N2911" s="312"/>
      <c r="O2911" s="312"/>
      <c r="P2911" s="312"/>
      <c r="Q2911" s="312"/>
      <c r="R2911" s="312"/>
      <c r="S2911" s="312"/>
      <c r="T2911" s="312"/>
      <c r="U2911" s="312"/>
    </row>
    <row r="2912">
      <c r="A2912" s="312"/>
      <c r="B2912" s="312"/>
      <c r="C2912" s="567"/>
      <c r="D2912" s="312"/>
      <c r="E2912" s="511"/>
      <c r="F2912" s="312"/>
      <c r="G2912" s="312"/>
      <c r="H2912" s="312"/>
      <c r="I2912" s="567"/>
      <c r="J2912" s="312" t="b">
        <v>0</v>
      </c>
      <c r="K2912" s="312"/>
      <c r="L2912" s="312"/>
      <c r="M2912" s="511"/>
      <c r="N2912" s="312"/>
      <c r="O2912" s="312"/>
      <c r="P2912" s="312"/>
      <c r="Q2912" s="312"/>
      <c r="R2912" s="312"/>
      <c r="S2912" s="312"/>
      <c r="T2912" s="312"/>
      <c r="U2912" s="312"/>
    </row>
    <row r="2913">
      <c r="A2913" s="312"/>
      <c r="B2913" s="312"/>
      <c r="C2913" s="567"/>
      <c r="D2913" s="312"/>
      <c r="E2913" s="511"/>
      <c r="F2913" s="312"/>
      <c r="G2913" s="312"/>
      <c r="H2913" s="312"/>
      <c r="I2913" s="567"/>
      <c r="J2913" s="312" t="b">
        <v>0</v>
      </c>
      <c r="K2913" s="312"/>
      <c r="L2913" s="312"/>
      <c r="M2913" s="511"/>
      <c r="N2913" s="312"/>
      <c r="O2913" s="312"/>
      <c r="P2913" s="312"/>
      <c r="Q2913" s="312"/>
      <c r="R2913" s="312"/>
      <c r="S2913" s="312"/>
      <c r="T2913" s="312"/>
      <c r="U2913" s="312"/>
    </row>
    <row r="2914">
      <c r="A2914" s="312"/>
      <c r="B2914" s="312"/>
      <c r="C2914" s="567"/>
      <c r="D2914" s="312"/>
      <c r="E2914" s="511"/>
      <c r="F2914" s="312"/>
      <c r="G2914" s="312"/>
      <c r="H2914" s="312"/>
      <c r="I2914" s="567"/>
      <c r="J2914" s="312" t="b">
        <v>0</v>
      </c>
      <c r="K2914" s="312"/>
      <c r="L2914" s="312"/>
      <c r="M2914" s="511"/>
      <c r="N2914" s="312"/>
      <c r="O2914" s="312"/>
      <c r="P2914" s="312"/>
      <c r="Q2914" s="312"/>
      <c r="R2914" s="312"/>
      <c r="S2914" s="312"/>
      <c r="T2914" s="312"/>
      <c r="U2914" s="312"/>
    </row>
    <row r="2915">
      <c r="A2915" s="312"/>
      <c r="B2915" s="312"/>
      <c r="C2915" s="567"/>
      <c r="D2915" s="312"/>
      <c r="E2915" s="511"/>
      <c r="F2915" s="312"/>
      <c r="G2915" s="312"/>
      <c r="H2915" s="312"/>
      <c r="I2915" s="567"/>
      <c r="J2915" s="312" t="b">
        <v>0</v>
      </c>
      <c r="K2915" s="312"/>
      <c r="L2915" s="312"/>
      <c r="M2915" s="511"/>
      <c r="N2915" s="312"/>
      <c r="O2915" s="312"/>
      <c r="P2915" s="312"/>
      <c r="Q2915" s="312"/>
      <c r="R2915" s="312"/>
      <c r="S2915" s="312"/>
      <c r="T2915" s="312"/>
      <c r="U2915" s="312"/>
    </row>
    <row r="2916">
      <c r="A2916" s="312"/>
      <c r="B2916" s="312"/>
      <c r="C2916" s="567"/>
      <c r="D2916" s="312"/>
      <c r="E2916" s="511"/>
      <c r="F2916" s="312"/>
      <c r="G2916" s="312"/>
      <c r="H2916" s="312"/>
      <c r="I2916" s="567"/>
      <c r="J2916" s="312" t="b">
        <v>0</v>
      </c>
      <c r="K2916" s="312"/>
      <c r="L2916" s="312"/>
      <c r="M2916" s="511"/>
      <c r="N2916" s="312"/>
      <c r="O2916" s="312"/>
      <c r="P2916" s="312"/>
      <c r="Q2916" s="312"/>
      <c r="R2916" s="312"/>
      <c r="S2916" s="312"/>
      <c r="T2916" s="312"/>
      <c r="U2916" s="312"/>
    </row>
    <row r="2917">
      <c r="A2917" s="312"/>
      <c r="B2917" s="312"/>
      <c r="C2917" s="567"/>
      <c r="D2917" s="312"/>
      <c r="E2917" s="511"/>
      <c r="F2917" s="312"/>
      <c r="G2917" s="312"/>
      <c r="H2917" s="312"/>
      <c r="I2917" s="567"/>
      <c r="J2917" s="312" t="b">
        <v>0</v>
      </c>
      <c r="K2917" s="312"/>
      <c r="L2917" s="312"/>
      <c r="M2917" s="511"/>
      <c r="N2917" s="312"/>
      <c r="O2917" s="312"/>
      <c r="P2917" s="312"/>
      <c r="Q2917" s="312"/>
      <c r="R2917" s="312"/>
      <c r="S2917" s="312"/>
      <c r="T2917" s="312"/>
      <c r="U2917" s="312"/>
    </row>
    <row r="2918">
      <c r="A2918" s="312"/>
      <c r="B2918" s="312"/>
      <c r="C2918" s="567"/>
      <c r="D2918" s="312"/>
      <c r="E2918" s="511"/>
      <c r="F2918" s="312"/>
      <c r="G2918" s="312"/>
      <c r="H2918" s="312"/>
      <c r="I2918" s="567"/>
      <c r="J2918" s="312" t="b">
        <v>0</v>
      </c>
      <c r="K2918" s="312"/>
      <c r="L2918" s="312"/>
      <c r="M2918" s="511"/>
      <c r="N2918" s="312"/>
      <c r="O2918" s="312"/>
      <c r="P2918" s="312"/>
      <c r="Q2918" s="312"/>
      <c r="R2918" s="312"/>
      <c r="S2918" s="312"/>
      <c r="T2918" s="312"/>
      <c r="U2918" s="312"/>
    </row>
    <row r="2919">
      <c r="A2919" s="312"/>
      <c r="B2919" s="312"/>
      <c r="C2919" s="567"/>
      <c r="D2919" s="312"/>
      <c r="E2919" s="511"/>
      <c r="F2919" s="312"/>
      <c r="G2919" s="312"/>
      <c r="H2919" s="312"/>
      <c r="I2919" s="567"/>
      <c r="J2919" s="312" t="b">
        <v>0</v>
      </c>
      <c r="K2919" s="312"/>
      <c r="L2919" s="312"/>
      <c r="M2919" s="511"/>
      <c r="N2919" s="312"/>
      <c r="O2919" s="312"/>
      <c r="P2919" s="312"/>
      <c r="Q2919" s="312"/>
      <c r="R2919" s="312"/>
      <c r="S2919" s="312"/>
      <c r="T2919" s="312"/>
      <c r="U2919" s="312"/>
    </row>
    <row r="2920">
      <c r="A2920" s="312"/>
      <c r="B2920" s="312"/>
      <c r="C2920" s="567"/>
      <c r="D2920" s="312"/>
      <c r="E2920" s="511"/>
      <c r="F2920" s="312"/>
      <c r="G2920" s="312"/>
      <c r="H2920" s="312"/>
      <c r="I2920" s="567"/>
      <c r="J2920" s="312" t="b">
        <v>0</v>
      </c>
      <c r="K2920" s="312"/>
      <c r="L2920" s="312"/>
      <c r="M2920" s="511"/>
      <c r="N2920" s="312"/>
      <c r="O2920" s="312"/>
      <c r="P2920" s="312"/>
      <c r="Q2920" s="312"/>
      <c r="R2920" s="312"/>
      <c r="S2920" s="312"/>
      <c r="T2920" s="312"/>
      <c r="U2920" s="312"/>
    </row>
    <row r="2921">
      <c r="A2921" s="312"/>
      <c r="B2921" s="312"/>
      <c r="C2921" s="567"/>
      <c r="D2921" s="312"/>
      <c r="E2921" s="511"/>
      <c r="F2921" s="312"/>
      <c r="G2921" s="312"/>
      <c r="H2921" s="312"/>
      <c r="I2921" s="567"/>
      <c r="J2921" s="312" t="b">
        <v>0</v>
      </c>
      <c r="K2921" s="312"/>
      <c r="L2921" s="312"/>
      <c r="M2921" s="511"/>
      <c r="N2921" s="312"/>
      <c r="O2921" s="312"/>
      <c r="P2921" s="312"/>
      <c r="Q2921" s="312"/>
      <c r="R2921" s="312"/>
      <c r="S2921" s="312"/>
      <c r="T2921" s="312"/>
      <c r="U2921" s="312"/>
    </row>
    <row r="2922">
      <c r="A2922" s="312"/>
      <c r="B2922" s="312"/>
      <c r="C2922" s="567"/>
      <c r="D2922" s="312"/>
      <c r="E2922" s="511"/>
      <c r="F2922" s="312"/>
      <c r="G2922" s="312"/>
      <c r="H2922" s="312"/>
      <c r="I2922" s="567"/>
      <c r="J2922" s="312" t="b">
        <v>0</v>
      </c>
      <c r="K2922" s="312"/>
      <c r="L2922" s="312"/>
      <c r="M2922" s="511"/>
      <c r="N2922" s="312"/>
      <c r="O2922" s="312"/>
      <c r="P2922" s="312"/>
      <c r="Q2922" s="312"/>
      <c r="R2922" s="312"/>
      <c r="S2922" s="312"/>
      <c r="T2922" s="312"/>
      <c r="U2922" s="312"/>
    </row>
    <row r="2923">
      <c r="A2923" s="312"/>
      <c r="B2923" s="312"/>
      <c r="C2923" s="567"/>
      <c r="D2923" s="312"/>
      <c r="E2923" s="511"/>
      <c r="F2923" s="312"/>
      <c r="G2923" s="312"/>
      <c r="H2923" s="312"/>
      <c r="I2923" s="567"/>
      <c r="J2923" s="312" t="b">
        <v>0</v>
      </c>
      <c r="K2923" s="312"/>
      <c r="L2923" s="312"/>
      <c r="M2923" s="511"/>
      <c r="N2923" s="312"/>
      <c r="O2923" s="312"/>
      <c r="P2923" s="312"/>
      <c r="Q2923" s="312"/>
      <c r="R2923" s="312"/>
      <c r="S2923" s="312"/>
      <c r="T2923" s="312"/>
      <c r="U2923" s="312"/>
    </row>
    <row r="2924">
      <c r="A2924" s="312"/>
      <c r="B2924" s="312"/>
      <c r="C2924" s="567"/>
      <c r="D2924" s="312"/>
      <c r="E2924" s="511"/>
      <c r="F2924" s="312"/>
      <c r="G2924" s="312"/>
      <c r="H2924" s="312"/>
      <c r="I2924" s="567"/>
      <c r="J2924" s="312" t="b">
        <v>0</v>
      </c>
      <c r="K2924" s="312"/>
      <c r="L2924" s="312"/>
      <c r="M2924" s="511"/>
      <c r="N2924" s="312"/>
      <c r="O2924" s="312"/>
      <c r="P2924" s="312"/>
      <c r="Q2924" s="312"/>
      <c r="R2924" s="312"/>
      <c r="S2924" s="312"/>
      <c r="T2924" s="312"/>
      <c r="U2924" s="312"/>
    </row>
    <row r="2925">
      <c r="A2925" s="312"/>
      <c r="B2925" s="312"/>
      <c r="C2925" s="567"/>
      <c r="D2925" s="312"/>
      <c r="E2925" s="511"/>
      <c r="F2925" s="312"/>
      <c r="G2925" s="312"/>
      <c r="H2925" s="312"/>
      <c r="I2925" s="567"/>
      <c r="J2925" s="312" t="b">
        <v>0</v>
      </c>
      <c r="K2925" s="312"/>
      <c r="L2925" s="312"/>
      <c r="M2925" s="511"/>
      <c r="N2925" s="312"/>
      <c r="O2925" s="312"/>
      <c r="P2925" s="312"/>
      <c r="Q2925" s="312"/>
      <c r="R2925" s="312"/>
      <c r="S2925" s="312"/>
      <c r="T2925" s="312"/>
      <c r="U2925" s="312"/>
    </row>
    <row r="2926">
      <c r="A2926" s="312"/>
      <c r="B2926" s="312"/>
      <c r="C2926" s="567"/>
      <c r="D2926" s="312"/>
      <c r="E2926" s="511"/>
      <c r="F2926" s="312"/>
      <c r="G2926" s="312"/>
      <c r="H2926" s="312"/>
      <c r="I2926" s="567"/>
      <c r="J2926" s="312" t="b">
        <v>0</v>
      </c>
      <c r="K2926" s="312"/>
      <c r="L2926" s="312"/>
      <c r="M2926" s="511"/>
      <c r="N2926" s="312"/>
      <c r="O2926" s="312"/>
      <c r="P2926" s="312"/>
      <c r="Q2926" s="312"/>
      <c r="R2926" s="312"/>
      <c r="S2926" s="312"/>
      <c r="T2926" s="312"/>
      <c r="U2926" s="312"/>
    </row>
    <row r="2927">
      <c r="A2927" s="312"/>
      <c r="B2927" s="312"/>
      <c r="C2927" s="567"/>
      <c r="D2927" s="312"/>
      <c r="E2927" s="511"/>
      <c r="F2927" s="312"/>
      <c r="G2927" s="312"/>
      <c r="H2927" s="312"/>
      <c r="I2927" s="567"/>
      <c r="J2927" s="312" t="b">
        <v>0</v>
      </c>
      <c r="K2927" s="312"/>
      <c r="L2927" s="312"/>
      <c r="M2927" s="511"/>
      <c r="N2927" s="312"/>
      <c r="O2927" s="312"/>
      <c r="P2927" s="312"/>
      <c r="Q2927" s="312"/>
      <c r="R2927" s="312"/>
      <c r="S2927" s="312"/>
      <c r="T2927" s="312"/>
      <c r="U2927" s="312"/>
    </row>
    <row r="2928">
      <c r="A2928" s="312"/>
      <c r="B2928" s="312"/>
      <c r="C2928" s="567"/>
      <c r="D2928" s="312"/>
      <c r="E2928" s="511"/>
      <c r="F2928" s="312"/>
      <c r="G2928" s="312"/>
      <c r="H2928" s="312"/>
      <c r="I2928" s="567"/>
      <c r="J2928" s="312" t="b">
        <v>0</v>
      </c>
      <c r="K2928" s="312"/>
      <c r="L2928" s="312"/>
      <c r="M2928" s="511"/>
      <c r="N2928" s="312"/>
      <c r="O2928" s="312"/>
      <c r="P2928" s="312"/>
      <c r="Q2928" s="312"/>
      <c r="R2928" s="312"/>
      <c r="S2928" s="312"/>
      <c r="T2928" s="312"/>
      <c r="U2928" s="312"/>
    </row>
    <row r="2929">
      <c r="A2929" s="312"/>
      <c r="B2929" s="312"/>
      <c r="C2929" s="567"/>
      <c r="D2929" s="312"/>
      <c r="E2929" s="511"/>
      <c r="F2929" s="312"/>
      <c r="G2929" s="312"/>
      <c r="H2929" s="312"/>
      <c r="I2929" s="567"/>
      <c r="J2929" s="312" t="b">
        <v>0</v>
      </c>
      <c r="K2929" s="312"/>
      <c r="L2929" s="312"/>
      <c r="M2929" s="511"/>
      <c r="N2929" s="312"/>
      <c r="O2929" s="312"/>
      <c r="P2929" s="312"/>
      <c r="Q2929" s="312"/>
      <c r="R2929" s="312"/>
      <c r="S2929" s="312"/>
      <c r="T2929" s="312"/>
      <c r="U2929" s="312"/>
    </row>
    <row r="2930">
      <c r="A2930" s="312"/>
      <c r="B2930" s="312"/>
      <c r="C2930" s="567"/>
      <c r="D2930" s="312"/>
      <c r="E2930" s="511"/>
      <c r="F2930" s="312"/>
      <c r="G2930" s="312"/>
      <c r="H2930" s="312"/>
      <c r="I2930" s="567"/>
      <c r="J2930" s="312" t="b">
        <v>0</v>
      </c>
      <c r="K2930" s="312"/>
      <c r="L2930" s="312"/>
      <c r="M2930" s="511"/>
      <c r="N2930" s="312"/>
      <c r="O2930" s="312"/>
      <c r="P2930" s="312"/>
      <c r="Q2930" s="312"/>
      <c r="R2930" s="312"/>
      <c r="S2930" s="312"/>
      <c r="T2930" s="312"/>
      <c r="U2930" s="312"/>
    </row>
    <row r="2931">
      <c r="A2931" s="312"/>
      <c r="B2931" s="312"/>
      <c r="C2931" s="567"/>
      <c r="D2931" s="312"/>
      <c r="E2931" s="511"/>
      <c r="F2931" s="312"/>
      <c r="G2931" s="312"/>
      <c r="H2931" s="312"/>
      <c r="I2931" s="567"/>
      <c r="J2931" s="312" t="b">
        <v>0</v>
      </c>
      <c r="K2931" s="312"/>
      <c r="L2931" s="312"/>
      <c r="M2931" s="511"/>
      <c r="N2931" s="312"/>
      <c r="O2931" s="312"/>
      <c r="P2931" s="312"/>
      <c r="Q2931" s="312"/>
      <c r="R2931" s="312"/>
      <c r="S2931" s="312"/>
      <c r="T2931" s="312"/>
      <c r="U2931" s="312"/>
    </row>
    <row r="2932">
      <c r="A2932" s="312"/>
      <c r="B2932" s="312"/>
      <c r="C2932" s="567"/>
      <c r="D2932" s="312"/>
      <c r="E2932" s="511"/>
      <c r="F2932" s="312"/>
      <c r="G2932" s="312"/>
      <c r="H2932" s="312"/>
      <c r="I2932" s="567"/>
      <c r="J2932" s="312" t="b">
        <v>0</v>
      </c>
      <c r="K2932" s="312"/>
      <c r="L2932" s="312"/>
      <c r="M2932" s="511"/>
      <c r="N2932" s="312"/>
      <c r="O2932" s="312"/>
      <c r="P2932" s="312"/>
      <c r="Q2932" s="312"/>
      <c r="R2932" s="312"/>
      <c r="S2932" s="312"/>
      <c r="T2932" s="312"/>
      <c r="U2932" s="312"/>
    </row>
    <row r="2933">
      <c r="A2933" s="312"/>
      <c r="B2933" s="312"/>
      <c r="C2933" s="567"/>
      <c r="D2933" s="312"/>
      <c r="E2933" s="511"/>
      <c r="F2933" s="312"/>
      <c r="G2933" s="312"/>
      <c r="H2933" s="312"/>
      <c r="I2933" s="567"/>
      <c r="J2933" s="312" t="b">
        <v>0</v>
      </c>
      <c r="K2933" s="312"/>
      <c r="L2933" s="312"/>
      <c r="M2933" s="511"/>
      <c r="N2933" s="312"/>
      <c r="O2933" s="312"/>
      <c r="P2933" s="312"/>
      <c r="Q2933" s="312"/>
      <c r="R2933" s="312"/>
      <c r="S2933" s="312"/>
      <c r="T2933" s="312"/>
      <c r="U2933" s="312"/>
    </row>
    <row r="2934">
      <c r="A2934" s="312"/>
      <c r="B2934" s="312"/>
      <c r="C2934" s="567"/>
      <c r="D2934" s="312"/>
      <c r="E2934" s="511"/>
      <c r="F2934" s="312"/>
      <c r="G2934" s="312"/>
      <c r="H2934" s="312"/>
      <c r="I2934" s="567"/>
      <c r="J2934" s="312" t="b">
        <v>0</v>
      </c>
      <c r="K2934" s="312"/>
      <c r="L2934" s="312"/>
      <c r="M2934" s="511"/>
      <c r="N2934" s="312"/>
      <c r="O2934" s="312"/>
      <c r="P2934" s="312"/>
      <c r="Q2934" s="312"/>
      <c r="R2934" s="312"/>
      <c r="S2934" s="312"/>
      <c r="T2934" s="312"/>
      <c r="U2934" s="312"/>
    </row>
    <row r="2935">
      <c r="A2935" s="312"/>
      <c r="B2935" s="312"/>
      <c r="C2935" s="567"/>
      <c r="D2935" s="312"/>
      <c r="E2935" s="511"/>
      <c r="F2935" s="312"/>
      <c r="G2935" s="312"/>
      <c r="H2935" s="312"/>
      <c r="I2935" s="567"/>
      <c r="J2935" s="312" t="b">
        <v>0</v>
      </c>
      <c r="K2935" s="312"/>
      <c r="L2935" s="312"/>
      <c r="M2935" s="511"/>
      <c r="N2935" s="312"/>
      <c r="O2935" s="312"/>
      <c r="P2935" s="312"/>
      <c r="Q2935" s="312"/>
      <c r="R2935" s="312"/>
      <c r="S2935" s="312"/>
      <c r="T2935" s="312"/>
      <c r="U2935" s="312"/>
    </row>
    <row r="2936">
      <c r="A2936" s="312"/>
      <c r="B2936" s="312"/>
      <c r="C2936" s="567"/>
      <c r="D2936" s="312"/>
      <c r="E2936" s="511"/>
      <c r="F2936" s="312"/>
      <c r="G2936" s="312"/>
      <c r="H2936" s="312"/>
      <c r="I2936" s="567"/>
      <c r="J2936" s="312" t="b">
        <v>0</v>
      </c>
      <c r="K2936" s="312"/>
      <c r="L2936" s="312"/>
      <c r="M2936" s="511"/>
      <c r="N2936" s="312"/>
      <c r="O2936" s="312"/>
      <c r="P2936" s="312"/>
      <c r="Q2936" s="312"/>
      <c r="R2936" s="312"/>
      <c r="S2936" s="312"/>
      <c r="T2936" s="312"/>
      <c r="U2936" s="312"/>
    </row>
    <row r="2937">
      <c r="A2937" s="312"/>
      <c r="B2937" s="312"/>
      <c r="C2937" s="567"/>
      <c r="D2937" s="312"/>
      <c r="E2937" s="511"/>
      <c r="F2937" s="312"/>
      <c r="G2937" s="312"/>
      <c r="H2937" s="312"/>
      <c r="I2937" s="567"/>
      <c r="J2937" s="312" t="b">
        <v>0</v>
      </c>
      <c r="K2937" s="312"/>
      <c r="L2937" s="312"/>
      <c r="M2937" s="511"/>
      <c r="N2937" s="312"/>
      <c r="O2937" s="312"/>
      <c r="P2937" s="312"/>
      <c r="Q2937" s="312"/>
      <c r="R2937" s="312"/>
      <c r="S2937" s="312"/>
      <c r="T2937" s="312"/>
      <c r="U2937" s="312"/>
    </row>
    <row r="2938">
      <c r="A2938" s="312"/>
      <c r="B2938" s="312"/>
      <c r="C2938" s="567"/>
      <c r="D2938" s="312"/>
      <c r="E2938" s="511"/>
      <c r="F2938" s="312"/>
      <c r="G2938" s="312"/>
      <c r="H2938" s="312"/>
      <c r="I2938" s="567"/>
      <c r="J2938" s="312" t="b">
        <v>0</v>
      </c>
      <c r="K2938" s="312"/>
      <c r="L2938" s="312"/>
      <c r="M2938" s="511"/>
      <c r="N2938" s="312"/>
      <c r="O2938" s="312"/>
      <c r="P2938" s="312"/>
      <c r="Q2938" s="312"/>
      <c r="R2938" s="312"/>
      <c r="S2938" s="312"/>
      <c r="T2938" s="312"/>
      <c r="U2938" s="312"/>
    </row>
    <row r="2939">
      <c r="A2939" s="312"/>
      <c r="B2939" s="312"/>
      <c r="C2939" s="567"/>
      <c r="D2939" s="312"/>
      <c r="E2939" s="511"/>
      <c r="F2939" s="312"/>
      <c r="G2939" s="312"/>
      <c r="H2939" s="312"/>
      <c r="I2939" s="567"/>
      <c r="J2939" s="312" t="b">
        <v>0</v>
      </c>
      <c r="K2939" s="312"/>
      <c r="L2939" s="312"/>
      <c r="M2939" s="511"/>
      <c r="N2939" s="312"/>
      <c r="O2939" s="312"/>
      <c r="P2939" s="312"/>
      <c r="Q2939" s="312"/>
      <c r="R2939" s="312"/>
      <c r="S2939" s="312"/>
      <c r="T2939" s="312"/>
      <c r="U2939" s="312"/>
    </row>
    <row r="2940">
      <c r="A2940" s="312"/>
      <c r="B2940" s="312"/>
      <c r="C2940" s="567"/>
      <c r="D2940" s="312"/>
      <c r="E2940" s="511"/>
      <c r="F2940" s="312"/>
      <c r="G2940" s="312"/>
      <c r="H2940" s="312"/>
      <c r="I2940" s="567"/>
      <c r="J2940" s="312" t="b">
        <v>0</v>
      </c>
      <c r="K2940" s="312"/>
      <c r="L2940" s="312"/>
      <c r="M2940" s="511"/>
      <c r="N2940" s="312"/>
      <c r="O2940" s="312"/>
      <c r="P2940" s="312"/>
      <c r="Q2940" s="312"/>
      <c r="R2940" s="312"/>
      <c r="S2940" s="312"/>
      <c r="T2940" s="312"/>
      <c r="U2940" s="312"/>
    </row>
    <row r="2941">
      <c r="A2941" s="312"/>
      <c r="B2941" s="312"/>
      <c r="C2941" s="567"/>
      <c r="D2941" s="312"/>
      <c r="E2941" s="511"/>
      <c r="F2941" s="312"/>
      <c r="G2941" s="312"/>
      <c r="H2941" s="312"/>
      <c r="I2941" s="567"/>
      <c r="J2941" s="312" t="b">
        <v>0</v>
      </c>
      <c r="K2941" s="312"/>
      <c r="L2941" s="312"/>
      <c r="M2941" s="511"/>
      <c r="N2941" s="312"/>
      <c r="O2941" s="312"/>
      <c r="P2941" s="312"/>
      <c r="Q2941" s="312"/>
      <c r="R2941" s="312"/>
      <c r="S2941" s="312"/>
      <c r="T2941" s="312"/>
      <c r="U2941" s="312"/>
    </row>
    <row r="2942">
      <c r="A2942" s="312"/>
      <c r="B2942" s="312"/>
      <c r="C2942" s="567"/>
      <c r="D2942" s="312"/>
      <c r="E2942" s="511"/>
      <c r="F2942" s="312"/>
      <c r="G2942" s="312"/>
      <c r="H2942" s="312"/>
      <c r="I2942" s="567"/>
      <c r="J2942" s="312" t="b">
        <v>0</v>
      </c>
      <c r="K2942" s="312"/>
      <c r="L2942" s="312"/>
      <c r="M2942" s="511"/>
      <c r="N2942" s="312"/>
      <c r="O2942" s="312"/>
      <c r="P2942" s="312"/>
      <c r="Q2942" s="312"/>
      <c r="R2942" s="312"/>
      <c r="S2942" s="312"/>
      <c r="T2942" s="312"/>
      <c r="U2942" s="312"/>
    </row>
    <row r="2943">
      <c r="A2943" s="312"/>
      <c r="B2943" s="312"/>
      <c r="C2943" s="567"/>
      <c r="D2943" s="312"/>
      <c r="E2943" s="511"/>
      <c r="F2943" s="312"/>
      <c r="G2943" s="312"/>
      <c r="H2943" s="312"/>
      <c r="I2943" s="567"/>
      <c r="J2943" s="312" t="b">
        <v>0</v>
      </c>
      <c r="K2943" s="312"/>
      <c r="L2943" s="312"/>
      <c r="M2943" s="511"/>
      <c r="N2943" s="312"/>
      <c r="O2943" s="312"/>
      <c r="P2943" s="312"/>
      <c r="Q2943" s="312"/>
      <c r="R2943" s="312"/>
      <c r="S2943" s="312"/>
      <c r="T2943" s="312"/>
      <c r="U2943" s="312"/>
    </row>
    <row r="2944">
      <c r="A2944" s="312"/>
      <c r="B2944" s="312"/>
      <c r="C2944" s="567"/>
      <c r="D2944" s="312"/>
      <c r="E2944" s="511"/>
      <c r="F2944" s="312"/>
      <c r="G2944" s="312"/>
      <c r="H2944" s="312"/>
      <c r="I2944" s="567"/>
      <c r="J2944" s="312" t="b">
        <v>0</v>
      </c>
      <c r="K2944" s="312"/>
      <c r="L2944" s="312"/>
      <c r="M2944" s="511"/>
      <c r="N2944" s="312"/>
      <c r="O2944" s="312"/>
      <c r="P2944" s="312"/>
      <c r="Q2944" s="312"/>
      <c r="R2944" s="312"/>
      <c r="S2944" s="312"/>
      <c r="T2944" s="312"/>
      <c r="U2944" s="312"/>
    </row>
    <row r="2945">
      <c r="A2945" s="312"/>
      <c r="B2945" s="312"/>
      <c r="C2945" s="567"/>
      <c r="D2945" s="312"/>
      <c r="E2945" s="511"/>
      <c r="F2945" s="312"/>
      <c r="G2945" s="312"/>
      <c r="H2945" s="312"/>
      <c r="I2945" s="567"/>
      <c r="J2945" s="312" t="b">
        <v>0</v>
      </c>
      <c r="K2945" s="312"/>
      <c r="L2945" s="312"/>
      <c r="M2945" s="511"/>
      <c r="N2945" s="312"/>
      <c r="O2945" s="312"/>
      <c r="P2945" s="312"/>
      <c r="Q2945" s="312"/>
      <c r="R2945" s="312"/>
      <c r="S2945" s="312"/>
      <c r="T2945" s="312"/>
      <c r="U2945" s="312"/>
    </row>
    <row r="2946">
      <c r="A2946" s="312"/>
      <c r="B2946" s="312"/>
      <c r="C2946" s="567"/>
      <c r="D2946" s="312"/>
      <c r="E2946" s="511"/>
      <c r="F2946" s="312"/>
      <c r="G2946" s="312"/>
      <c r="H2946" s="312"/>
      <c r="I2946" s="567"/>
      <c r="J2946" s="312" t="b">
        <v>0</v>
      </c>
      <c r="K2946" s="312"/>
      <c r="L2946" s="312"/>
      <c r="M2946" s="511"/>
      <c r="N2946" s="312"/>
      <c r="O2946" s="312"/>
      <c r="P2946" s="312"/>
      <c r="Q2946" s="312"/>
      <c r="R2946" s="312"/>
      <c r="S2946" s="312"/>
      <c r="T2946" s="312"/>
      <c r="U2946" s="312"/>
    </row>
    <row r="2947">
      <c r="A2947" s="312"/>
      <c r="B2947" s="312"/>
      <c r="C2947" s="567"/>
      <c r="D2947" s="312"/>
      <c r="E2947" s="511"/>
      <c r="F2947" s="312"/>
      <c r="G2947" s="312"/>
      <c r="H2947" s="312"/>
      <c r="I2947" s="567"/>
      <c r="J2947" s="312" t="b">
        <v>0</v>
      </c>
      <c r="K2947" s="312"/>
      <c r="L2947" s="312"/>
      <c r="M2947" s="511"/>
      <c r="N2947" s="312"/>
      <c r="O2947" s="312"/>
      <c r="P2947" s="312"/>
      <c r="Q2947" s="312"/>
      <c r="R2947" s="312"/>
      <c r="S2947" s="312"/>
      <c r="T2947" s="312"/>
      <c r="U2947" s="312"/>
    </row>
    <row r="2948">
      <c r="A2948" s="312"/>
      <c r="B2948" s="312"/>
      <c r="C2948" s="567"/>
      <c r="D2948" s="312"/>
      <c r="E2948" s="511"/>
      <c r="F2948" s="312"/>
      <c r="G2948" s="312"/>
      <c r="H2948" s="312"/>
      <c r="I2948" s="567"/>
      <c r="J2948" s="312" t="b">
        <v>0</v>
      </c>
      <c r="K2948" s="312"/>
      <c r="L2948" s="312"/>
      <c r="M2948" s="511"/>
      <c r="N2948" s="312"/>
      <c r="O2948" s="312"/>
      <c r="P2948" s="312"/>
      <c r="Q2948" s="312"/>
      <c r="R2948" s="312"/>
      <c r="S2948" s="312"/>
      <c r="T2948" s="312"/>
      <c r="U2948" s="312"/>
    </row>
    <row r="2949">
      <c r="A2949" s="312"/>
      <c r="B2949" s="312"/>
      <c r="C2949" s="567"/>
      <c r="D2949" s="312"/>
      <c r="E2949" s="511"/>
      <c r="F2949" s="312"/>
      <c r="G2949" s="312"/>
      <c r="H2949" s="312"/>
      <c r="I2949" s="567"/>
      <c r="J2949" s="312" t="b">
        <v>0</v>
      </c>
      <c r="K2949" s="312"/>
      <c r="L2949" s="312"/>
      <c r="M2949" s="511"/>
      <c r="N2949" s="312"/>
      <c r="O2949" s="312"/>
      <c r="P2949" s="312"/>
      <c r="Q2949" s="312"/>
      <c r="R2949" s="312"/>
      <c r="S2949" s="312"/>
      <c r="T2949" s="312"/>
      <c r="U2949" s="312"/>
    </row>
    <row r="2950">
      <c r="A2950" s="312"/>
      <c r="B2950" s="312"/>
      <c r="C2950" s="567"/>
      <c r="D2950" s="312"/>
      <c r="E2950" s="511"/>
      <c r="F2950" s="312"/>
      <c r="G2950" s="312"/>
      <c r="H2950" s="312"/>
      <c r="I2950" s="567"/>
      <c r="J2950" s="312" t="b">
        <v>0</v>
      </c>
      <c r="K2950" s="312"/>
      <c r="L2950" s="312"/>
      <c r="M2950" s="511"/>
      <c r="N2950" s="312"/>
      <c r="O2950" s="312"/>
      <c r="P2950" s="312"/>
      <c r="Q2950" s="312"/>
      <c r="R2950" s="312"/>
      <c r="S2950" s="312"/>
      <c r="T2950" s="312"/>
      <c r="U2950" s="312"/>
    </row>
    <row r="2951">
      <c r="A2951" s="312"/>
      <c r="B2951" s="312"/>
      <c r="C2951" s="567"/>
      <c r="D2951" s="312"/>
      <c r="E2951" s="511"/>
      <c r="F2951" s="312"/>
      <c r="G2951" s="312"/>
      <c r="H2951" s="312"/>
      <c r="I2951" s="567"/>
      <c r="J2951" s="312" t="b">
        <v>0</v>
      </c>
      <c r="K2951" s="312"/>
      <c r="L2951" s="312"/>
      <c r="M2951" s="511"/>
      <c r="N2951" s="312"/>
      <c r="O2951" s="312"/>
      <c r="P2951" s="312"/>
      <c r="Q2951" s="312"/>
      <c r="R2951" s="312"/>
      <c r="S2951" s="312"/>
      <c r="T2951" s="312"/>
      <c r="U2951" s="312"/>
    </row>
    <row r="2952">
      <c r="A2952" s="312"/>
      <c r="B2952" s="312"/>
      <c r="C2952" s="567"/>
      <c r="D2952" s="312"/>
      <c r="E2952" s="511"/>
      <c r="F2952" s="312"/>
      <c r="G2952" s="312"/>
      <c r="H2952" s="312"/>
      <c r="I2952" s="567"/>
      <c r="J2952" s="312" t="b">
        <v>0</v>
      </c>
      <c r="K2952" s="312"/>
      <c r="L2952" s="312"/>
      <c r="M2952" s="511"/>
      <c r="N2952" s="312"/>
      <c r="O2952" s="312"/>
      <c r="P2952" s="312"/>
      <c r="Q2952" s="312"/>
      <c r="R2952" s="312"/>
      <c r="S2952" s="312"/>
      <c r="T2952" s="312"/>
      <c r="U2952" s="312"/>
    </row>
    <row r="2953">
      <c r="A2953" s="312"/>
      <c r="B2953" s="312"/>
      <c r="C2953" s="567"/>
      <c r="D2953" s="312"/>
      <c r="E2953" s="511"/>
      <c r="F2953" s="312"/>
      <c r="G2953" s="312"/>
      <c r="H2953" s="312"/>
      <c r="I2953" s="567"/>
      <c r="J2953" s="312" t="b">
        <v>0</v>
      </c>
      <c r="K2953" s="312"/>
      <c r="L2953" s="312"/>
      <c r="M2953" s="511"/>
      <c r="N2953" s="312"/>
      <c r="O2953" s="312"/>
      <c r="P2953" s="312"/>
      <c r="Q2953" s="312"/>
      <c r="R2953" s="312"/>
      <c r="S2953" s="312"/>
      <c r="T2953" s="312"/>
      <c r="U2953" s="312"/>
    </row>
    <row r="2954">
      <c r="A2954" s="312"/>
      <c r="B2954" s="312"/>
      <c r="C2954" s="567"/>
      <c r="D2954" s="312"/>
      <c r="E2954" s="511"/>
      <c r="F2954" s="312"/>
      <c r="G2954" s="312"/>
      <c r="H2954" s="312"/>
      <c r="I2954" s="567"/>
      <c r="J2954" s="312" t="b">
        <v>0</v>
      </c>
      <c r="K2954" s="312"/>
      <c r="L2954" s="312"/>
      <c r="M2954" s="511"/>
      <c r="N2954" s="312"/>
      <c r="O2954" s="312"/>
      <c r="P2954" s="312"/>
      <c r="Q2954" s="312"/>
      <c r="R2954" s="312"/>
      <c r="S2954" s="312"/>
      <c r="T2954" s="312"/>
      <c r="U2954" s="312"/>
    </row>
    <row r="2955">
      <c r="A2955" s="312"/>
      <c r="B2955" s="312"/>
      <c r="C2955" s="567"/>
      <c r="D2955" s="312"/>
      <c r="E2955" s="511"/>
      <c r="F2955" s="312"/>
      <c r="G2955" s="312"/>
      <c r="H2955" s="312"/>
      <c r="I2955" s="567"/>
      <c r="J2955" s="312" t="b">
        <v>0</v>
      </c>
      <c r="K2955" s="312"/>
      <c r="L2955" s="312"/>
      <c r="M2955" s="511"/>
      <c r="N2955" s="312"/>
      <c r="O2955" s="312"/>
      <c r="P2955" s="312"/>
      <c r="Q2955" s="312"/>
      <c r="R2955" s="312"/>
      <c r="S2955" s="312"/>
      <c r="T2955" s="312"/>
      <c r="U2955" s="312"/>
    </row>
    <row r="2956">
      <c r="A2956" s="312"/>
      <c r="B2956" s="312"/>
      <c r="C2956" s="567"/>
      <c r="D2956" s="312"/>
      <c r="E2956" s="511"/>
      <c r="F2956" s="312"/>
      <c r="G2956" s="312"/>
      <c r="H2956" s="312"/>
      <c r="I2956" s="567"/>
      <c r="J2956" s="312" t="b">
        <v>0</v>
      </c>
      <c r="K2956" s="312"/>
      <c r="L2956" s="312"/>
      <c r="M2956" s="511"/>
      <c r="N2956" s="312"/>
      <c r="O2956" s="312"/>
      <c r="P2956" s="312"/>
      <c r="Q2956" s="312"/>
      <c r="R2956" s="312"/>
      <c r="S2956" s="312"/>
      <c r="T2956" s="312"/>
      <c r="U2956" s="312"/>
    </row>
    <row r="2957">
      <c r="A2957" s="312"/>
      <c r="B2957" s="312"/>
      <c r="C2957" s="567"/>
      <c r="D2957" s="312"/>
      <c r="E2957" s="511"/>
      <c r="F2957" s="312"/>
      <c r="G2957" s="312"/>
      <c r="H2957" s="312"/>
      <c r="I2957" s="567"/>
      <c r="J2957" s="312" t="b">
        <v>0</v>
      </c>
      <c r="K2957" s="312"/>
      <c r="L2957" s="312"/>
      <c r="M2957" s="511"/>
      <c r="N2957" s="312"/>
      <c r="O2957" s="312"/>
      <c r="P2957" s="312"/>
      <c r="Q2957" s="312"/>
      <c r="R2957" s="312"/>
      <c r="S2957" s="312"/>
      <c r="T2957" s="312"/>
      <c r="U2957" s="312"/>
    </row>
    <row r="2958">
      <c r="A2958" s="312"/>
      <c r="B2958" s="312"/>
      <c r="C2958" s="567"/>
      <c r="D2958" s="312"/>
      <c r="E2958" s="511"/>
      <c r="F2958" s="312"/>
      <c r="G2958" s="312"/>
      <c r="H2958" s="312"/>
      <c r="I2958" s="567"/>
      <c r="J2958" s="312" t="b">
        <v>0</v>
      </c>
      <c r="K2958" s="312"/>
      <c r="L2958" s="312"/>
      <c r="M2958" s="511"/>
      <c r="N2958" s="312"/>
      <c r="O2958" s="312"/>
      <c r="P2958" s="312"/>
      <c r="Q2958" s="312"/>
      <c r="R2958" s="312"/>
      <c r="S2958" s="312"/>
      <c r="T2958" s="312"/>
      <c r="U2958" s="312"/>
    </row>
    <row r="2959">
      <c r="A2959" s="312"/>
      <c r="B2959" s="312"/>
      <c r="C2959" s="567"/>
      <c r="D2959" s="312"/>
      <c r="E2959" s="511"/>
      <c r="F2959" s="312"/>
      <c r="G2959" s="312"/>
      <c r="H2959" s="312"/>
      <c r="I2959" s="567"/>
      <c r="J2959" s="312" t="b">
        <v>0</v>
      </c>
      <c r="K2959" s="312"/>
      <c r="L2959" s="312"/>
      <c r="M2959" s="511"/>
      <c r="N2959" s="312"/>
      <c r="O2959" s="312"/>
      <c r="P2959" s="312"/>
      <c r="Q2959" s="312"/>
      <c r="R2959" s="312"/>
      <c r="S2959" s="312"/>
      <c r="T2959" s="312"/>
      <c r="U2959" s="312"/>
    </row>
    <row r="2960">
      <c r="A2960" s="312"/>
      <c r="B2960" s="312"/>
      <c r="C2960" s="567"/>
      <c r="D2960" s="312"/>
      <c r="E2960" s="511"/>
      <c r="F2960" s="312"/>
      <c r="G2960" s="312"/>
      <c r="H2960" s="312"/>
      <c r="I2960" s="567"/>
      <c r="J2960" s="312" t="b">
        <v>0</v>
      </c>
      <c r="K2960" s="312"/>
      <c r="L2960" s="312"/>
      <c r="M2960" s="511"/>
      <c r="N2960" s="312"/>
      <c r="O2960" s="312"/>
      <c r="P2960" s="312"/>
      <c r="Q2960" s="312"/>
      <c r="R2960" s="312"/>
      <c r="S2960" s="312"/>
      <c r="T2960" s="312"/>
      <c r="U2960" s="312"/>
    </row>
    <row r="2961">
      <c r="A2961" s="312"/>
      <c r="B2961" s="312"/>
      <c r="C2961" s="567"/>
      <c r="D2961" s="312"/>
      <c r="E2961" s="511"/>
      <c r="F2961" s="312"/>
      <c r="G2961" s="312"/>
      <c r="H2961" s="312"/>
      <c r="I2961" s="567"/>
      <c r="J2961" s="312" t="b">
        <v>0</v>
      </c>
      <c r="K2961" s="312"/>
      <c r="L2961" s="312"/>
      <c r="M2961" s="511"/>
      <c r="N2961" s="312"/>
      <c r="O2961" s="312"/>
      <c r="P2961" s="312"/>
      <c r="Q2961" s="312"/>
      <c r="R2961" s="312"/>
      <c r="S2961" s="312"/>
      <c r="T2961" s="312"/>
      <c r="U2961" s="312"/>
    </row>
    <row r="2962">
      <c r="A2962" s="312"/>
      <c r="B2962" s="312"/>
      <c r="C2962" s="567"/>
      <c r="D2962" s="312"/>
      <c r="E2962" s="511"/>
      <c r="F2962" s="312"/>
      <c r="G2962" s="312"/>
      <c r="H2962" s="312"/>
      <c r="I2962" s="567"/>
      <c r="J2962" s="312" t="b">
        <v>0</v>
      </c>
      <c r="K2962" s="312"/>
      <c r="L2962" s="312"/>
      <c r="M2962" s="511"/>
      <c r="N2962" s="312"/>
      <c r="O2962" s="312"/>
      <c r="P2962" s="312"/>
      <c r="Q2962" s="312"/>
      <c r="R2962" s="312"/>
      <c r="S2962" s="312"/>
      <c r="T2962" s="312"/>
      <c r="U2962" s="312"/>
    </row>
    <row r="2963">
      <c r="A2963" s="312"/>
      <c r="B2963" s="312"/>
      <c r="C2963" s="567"/>
      <c r="D2963" s="312"/>
      <c r="E2963" s="511"/>
      <c r="F2963" s="312"/>
      <c r="G2963" s="312"/>
      <c r="H2963" s="312"/>
      <c r="I2963" s="567"/>
      <c r="J2963" s="312" t="b">
        <v>0</v>
      </c>
      <c r="K2963" s="312"/>
      <c r="L2963" s="312"/>
      <c r="M2963" s="511"/>
      <c r="N2963" s="312"/>
      <c r="O2963" s="312"/>
      <c r="P2963" s="312"/>
      <c r="Q2963" s="312"/>
      <c r="R2963" s="312"/>
      <c r="S2963" s="312"/>
      <c r="T2963" s="312"/>
      <c r="U2963" s="312"/>
    </row>
    <row r="2964">
      <c r="A2964" s="312"/>
      <c r="B2964" s="312"/>
      <c r="C2964" s="567"/>
      <c r="D2964" s="312"/>
      <c r="E2964" s="511"/>
      <c r="F2964" s="312"/>
      <c r="G2964" s="312"/>
      <c r="H2964" s="312"/>
      <c r="I2964" s="567"/>
      <c r="J2964" s="312" t="b">
        <v>0</v>
      </c>
      <c r="K2964" s="312"/>
      <c r="L2964" s="312"/>
      <c r="M2964" s="511"/>
      <c r="N2964" s="312"/>
      <c r="O2964" s="312"/>
      <c r="P2964" s="312"/>
      <c r="Q2964" s="312"/>
      <c r="R2964" s="312"/>
      <c r="S2964" s="312"/>
      <c r="T2964" s="312"/>
      <c r="U2964" s="312"/>
    </row>
    <row r="2965">
      <c r="A2965" s="312"/>
      <c r="B2965" s="312"/>
      <c r="C2965" s="567"/>
      <c r="D2965" s="312"/>
      <c r="E2965" s="511"/>
      <c r="F2965" s="312"/>
      <c r="G2965" s="312"/>
      <c r="H2965" s="312"/>
      <c r="I2965" s="567"/>
      <c r="J2965" s="312" t="b">
        <v>0</v>
      </c>
      <c r="K2965" s="312"/>
      <c r="L2965" s="312"/>
      <c r="M2965" s="511"/>
      <c r="N2965" s="312"/>
      <c r="O2965" s="312"/>
      <c r="P2965" s="312"/>
      <c r="Q2965" s="312"/>
      <c r="R2965" s="312"/>
      <c r="S2965" s="312"/>
      <c r="T2965" s="312"/>
      <c r="U2965" s="312"/>
    </row>
    <row r="2966">
      <c r="A2966" s="312"/>
      <c r="B2966" s="312"/>
      <c r="C2966" s="567"/>
      <c r="D2966" s="312"/>
      <c r="E2966" s="511"/>
      <c r="F2966" s="312"/>
      <c r="G2966" s="312"/>
      <c r="H2966" s="312"/>
      <c r="I2966" s="567"/>
      <c r="J2966" s="312" t="b">
        <v>0</v>
      </c>
      <c r="K2966" s="312"/>
      <c r="L2966" s="312"/>
      <c r="M2966" s="511"/>
      <c r="N2966" s="312"/>
      <c r="O2966" s="312"/>
      <c r="P2966" s="312"/>
      <c r="Q2966" s="312"/>
      <c r="R2966" s="312"/>
      <c r="S2966" s="312"/>
      <c r="T2966" s="312"/>
      <c r="U2966" s="312"/>
    </row>
    <row r="2967">
      <c r="A2967" s="312"/>
      <c r="B2967" s="312"/>
      <c r="C2967" s="567"/>
      <c r="D2967" s="312"/>
      <c r="E2967" s="511"/>
      <c r="F2967" s="312"/>
      <c r="G2967" s="312"/>
      <c r="H2967" s="312"/>
      <c r="I2967" s="567"/>
      <c r="J2967" s="312" t="b">
        <v>0</v>
      </c>
      <c r="K2967" s="312"/>
      <c r="L2967" s="312"/>
      <c r="M2967" s="511"/>
      <c r="N2967" s="312"/>
      <c r="O2967" s="312"/>
      <c r="P2967" s="312"/>
      <c r="Q2967" s="312"/>
      <c r="R2967" s="312"/>
      <c r="S2967" s="312"/>
      <c r="T2967" s="312"/>
      <c r="U2967" s="312"/>
    </row>
    <row r="2968">
      <c r="A2968" s="312"/>
      <c r="B2968" s="312"/>
      <c r="C2968" s="567"/>
      <c r="D2968" s="312"/>
      <c r="E2968" s="511"/>
      <c r="F2968" s="312"/>
      <c r="G2968" s="312"/>
      <c r="H2968" s="312"/>
      <c r="I2968" s="567"/>
      <c r="J2968" s="312" t="b">
        <v>0</v>
      </c>
      <c r="K2968" s="312"/>
      <c r="L2968" s="312"/>
      <c r="M2968" s="511"/>
      <c r="N2968" s="312"/>
      <c r="O2968" s="312"/>
      <c r="P2968" s="312"/>
      <c r="Q2968" s="312"/>
      <c r="R2968" s="312"/>
      <c r="S2968" s="312"/>
      <c r="T2968" s="312"/>
      <c r="U2968" s="312"/>
    </row>
    <row r="2969">
      <c r="A2969" s="312"/>
      <c r="B2969" s="312"/>
      <c r="C2969" s="567"/>
      <c r="D2969" s="312"/>
      <c r="E2969" s="511"/>
      <c r="F2969" s="312"/>
      <c r="G2969" s="312"/>
      <c r="H2969" s="312"/>
      <c r="I2969" s="567"/>
      <c r="J2969" s="312" t="b">
        <v>0</v>
      </c>
      <c r="K2969" s="312"/>
      <c r="L2969" s="312"/>
      <c r="M2969" s="511"/>
      <c r="N2969" s="312"/>
      <c r="O2969" s="312"/>
      <c r="P2969" s="312"/>
      <c r="Q2969" s="312"/>
      <c r="R2969" s="312"/>
      <c r="S2969" s="312"/>
      <c r="T2969" s="312"/>
      <c r="U2969" s="312"/>
    </row>
    <row r="2970">
      <c r="A2970" s="312"/>
      <c r="B2970" s="312"/>
      <c r="C2970" s="567"/>
      <c r="D2970" s="312"/>
      <c r="E2970" s="511"/>
      <c r="F2970" s="312"/>
      <c r="G2970" s="312"/>
      <c r="H2970" s="312"/>
      <c r="I2970" s="567"/>
      <c r="J2970" s="312" t="b">
        <v>0</v>
      </c>
      <c r="K2970" s="312"/>
      <c r="L2970" s="312"/>
      <c r="M2970" s="511"/>
      <c r="N2970" s="312"/>
      <c r="O2970" s="312"/>
      <c r="P2970" s="312"/>
      <c r="Q2970" s="312"/>
      <c r="R2970" s="312"/>
      <c r="S2970" s="312"/>
      <c r="T2970" s="312"/>
      <c r="U2970" s="312"/>
    </row>
    <row r="2971">
      <c r="A2971" s="312"/>
      <c r="B2971" s="312"/>
      <c r="C2971" s="567"/>
      <c r="D2971" s="312"/>
      <c r="E2971" s="511"/>
      <c r="F2971" s="312"/>
      <c r="G2971" s="312"/>
      <c r="H2971" s="312"/>
      <c r="I2971" s="567"/>
      <c r="J2971" s="312" t="b">
        <v>0</v>
      </c>
      <c r="K2971" s="312"/>
      <c r="L2971" s="312"/>
      <c r="M2971" s="511"/>
      <c r="N2971" s="312"/>
      <c r="O2971" s="312"/>
      <c r="P2971" s="312"/>
      <c r="Q2971" s="312"/>
      <c r="R2971" s="312"/>
      <c r="S2971" s="312"/>
      <c r="T2971" s="312"/>
      <c r="U2971" s="312"/>
    </row>
    <row r="2972">
      <c r="A2972" s="312"/>
      <c r="B2972" s="312"/>
      <c r="C2972" s="567"/>
      <c r="D2972" s="312"/>
      <c r="E2972" s="511"/>
      <c r="F2972" s="312"/>
      <c r="G2972" s="312"/>
      <c r="H2972" s="312"/>
      <c r="I2972" s="567"/>
      <c r="J2972" s="312" t="b">
        <v>0</v>
      </c>
      <c r="K2972" s="312"/>
      <c r="L2972" s="312"/>
      <c r="M2972" s="511"/>
      <c r="N2972" s="312"/>
      <c r="O2972" s="312"/>
      <c r="P2972" s="312"/>
      <c r="Q2972" s="312"/>
      <c r="R2972" s="312"/>
      <c r="S2972" s="312"/>
      <c r="T2972" s="312"/>
      <c r="U2972" s="312"/>
    </row>
    <row r="2973">
      <c r="A2973" s="312"/>
      <c r="B2973" s="312"/>
      <c r="C2973" s="567"/>
      <c r="D2973" s="312"/>
      <c r="E2973" s="511"/>
      <c r="F2973" s="312"/>
      <c r="G2973" s="312"/>
      <c r="H2973" s="312"/>
      <c r="I2973" s="567"/>
      <c r="J2973" s="312" t="b">
        <v>0</v>
      </c>
      <c r="K2973" s="312"/>
      <c r="L2973" s="312"/>
      <c r="M2973" s="511"/>
      <c r="N2973" s="312"/>
      <c r="O2973" s="312"/>
      <c r="P2973" s="312"/>
      <c r="Q2973" s="312"/>
      <c r="R2973" s="312"/>
      <c r="S2973" s="312"/>
      <c r="T2973" s="312"/>
      <c r="U2973" s="312"/>
    </row>
    <row r="2974">
      <c r="A2974" s="312"/>
      <c r="B2974" s="312"/>
      <c r="C2974" s="567"/>
      <c r="D2974" s="312"/>
      <c r="E2974" s="511"/>
      <c r="F2974" s="312"/>
      <c r="G2974" s="312"/>
      <c r="H2974" s="312"/>
      <c r="I2974" s="567"/>
      <c r="J2974" s="312" t="b">
        <v>0</v>
      </c>
      <c r="K2974" s="312"/>
      <c r="L2974" s="312"/>
      <c r="M2974" s="511"/>
      <c r="N2974" s="312"/>
      <c r="O2974" s="312"/>
      <c r="P2974" s="312"/>
      <c r="Q2974" s="312"/>
      <c r="R2974" s="312"/>
      <c r="S2974" s="312"/>
      <c r="T2974" s="312"/>
      <c r="U2974" s="312"/>
    </row>
    <row r="2975">
      <c r="A2975" s="312"/>
      <c r="B2975" s="312"/>
      <c r="C2975" s="567"/>
      <c r="D2975" s="312"/>
      <c r="E2975" s="511"/>
      <c r="F2975" s="312"/>
      <c r="G2975" s="312"/>
      <c r="H2975" s="312"/>
      <c r="I2975" s="567"/>
      <c r="J2975" s="312" t="b">
        <v>0</v>
      </c>
      <c r="K2975" s="312"/>
      <c r="L2975" s="312"/>
      <c r="M2975" s="511"/>
      <c r="N2975" s="312"/>
      <c r="O2975" s="312"/>
      <c r="P2975" s="312"/>
      <c r="Q2975" s="312"/>
      <c r="R2975" s="312"/>
      <c r="S2975" s="312"/>
      <c r="T2975" s="312"/>
      <c r="U2975" s="312"/>
    </row>
    <row r="2976">
      <c r="A2976" s="312"/>
      <c r="B2976" s="312"/>
      <c r="C2976" s="567"/>
      <c r="D2976" s="312"/>
      <c r="E2976" s="511"/>
      <c r="F2976" s="312"/>
      <c r="G2976" s="312"/>
      <c r="H2976" s="312"/>
      <c r="I2976" s="567"/>
      <c r="J2976" s="312" t="b">
        <v>0</v>
      </c>
      <c r="K2976" s="312"/>
      <c r="L2976" s="312"/>
      <c r="M2976" s="511"/>
      <c r="N2976" s="312"/>
      <c r="O2976" s="312"/>
      <c r="P2976" s="312"/>
      <c r="Q2976" s="312"/>
      <c r="R2976" s="312"/>
      <c r="S2976" s="312"/>
      <c r="T2976" s="312"/>
      <c r="U2976" s="312"/>
    </row>
    <row r="2977">
      <c r="A2977" s="312"/>
      <c r="B2977" s="312"/>
      <c r="C2977" s="567"/>
      <c r="D2977" s="312"/>
      <c r="E2977" s="511"/>
      <c r="F2977" s="312"/>
      <c r="G2977" s="312"/>
      <c r="H2977" s="312"/>
      <c r="I2977" s="567"/>
      <c r="J2977" s="312" t="b">
        <v>0</v>
      </c>
      <c r="K2977" s="312"/>
      <c r="L2977" s="312"/>
      <c r="M2977" s="511"/>
      <c r="N2977" s="312"/>
      <c r="O2977" s="312"/>
      <c r="P2977" s="312"/>
      <c r="Q2977" s="312"/>
      <c r="R2977" s="312"/>
      <c r="S2977" s="312"/>
      <c r="T2977" s="312"/>
      <c r="U2977" s="312"/>
    </row>
    <row r="2978">
      <c r="A2978" s="312"/>
      <c r="B2978" s="312"/>
      <c r="C2978" s="567"/>
      <c r="D2978" s="312"/>
      <c r="E2978" s="511"/>
      <c r="F2978" s="312"/>
      <c r="G2978" s="312"/>
      <c r="H2978" s="312"/>
      <c r="I2978" s="567"/>
      <c r="J2978" s="312" t="b">
        <v>0</v>
      </c>
      <c r="K2978" s="312"/>
      <c r="L2978" s="312"/>
      <c r="M2978" s="511"/>
      <c r="N2978" s="312"/>
      <c r="O2978" s="312"/>
      <c r="P2978" s="312"/>
      <c r="Q2978" s="312"/>
      <c r="R2978" s="312"/>
      <c r="S2978" s="312"/>
      <c r="T2978" s="312"/>
      <c r="U2978" s="312"/>
    </row>
    <row r="2979">
      <c r="A2979" s="312"/>
      <c r="B2979" s="312"/>
      <c r="C2979" s="567"/>
      <c r="D2979" s="312"/>
      <c r="E2979" s="511"/>
      <c r="F2979" s="312"/>
      <c r="G2979" s="312"/>
      <c r="H2979" s="312"/>
      <c r="I2979" s="567"/>
      <c r="J2979" s="312" t="b">
        <v>0</v>
      </c>
      <c r="K2979" s="312"/>
      <c r="L2979" s="312"/>
      <c r="M2979" s="511"/>
      <c r="N2979" s="312"/>
      <c r="O2979" s="312"/>
      <c r="P2979" s="312"/>
      <c r="Q2979" s="312"/>
      <c r="R2979" s="312"/>
      <c r="S2979" s="312"/>
      <c r="T2979" s="312"/>
      <c r="U2979" s="312"/>
    </row>
    <row r="2980">
      <c r="A2980" s="312"/>
      <c r="B2980" s="312"/>
      <c r="C2980" s="567"/>
      <c r="D2980" s="312"/>
      <c r="E2980" s="511"/>
      <c r="F2980" s="312"/>
      <c r="G2980" s="312"/>
      <c r="H2980" s="312"/>
      <c r="I2980" s="567"/>
      <c r="J2980" s="312" t="b">
        <v>0</v>
      </c>
      <c r="K2980" s="312"/>
      <c r="L2980" s="312"/>
      <c r="M2980" s="511"/>
      <c r="N2980" s="312"/>
      <c r="O2980" s="312"/>
      <c r="P2980" s="312"/>
      <c r="Q2980" s="312"/>
      <c r="R2980" s="312"/>
      <c r="S2980" s="312"/>
      <c r="T2980" s="312"/>
      <c r="U2980" s="312"/>
    </row>
    <row r="2981">
      <c r="A2981" s="312"/>
      <c r="B2981" s="312"/>
      <c r="C2981" s="567"/>
      <c r="D2981" s="312"/>
      <c r="E2981" s="511"/>
      <c r="F2981" s="312"/>
      <c r="G2981" s="312"/>
      <c r="H2981" s="312"/>
      <c r="I2981" s="567"/>
      <c r="J2981" s="312" t="b">
        <v>0</v>
      </c>
      <c r="K2981" s="312"/>
      <c r="L2981" s="312"/>
      <c r="M2981" s="511"/>
      <c r="N2981" s="312"/>
      <c r="O2981" s="312"/>
      <c r="P2981" s="312"/>
      <c r="Q2981" s="312"/>
      <c r="R2981" s="312"/>
      <c r="S2981" s="312"/>
      <c r="T2981" s="312"/>
      <c r="U2981" s="312"/>
    </row>
    <row r="2982">
      <c r="A2982" s="312"/>
      <c r="B2982" s="312"/>
      <c r="C2982" s="567"/>
      <c r="D2982" s="312"/>
      <c r="E2982" s="511"/>
      <c r="F2982" s="312"/>
      <c r="G2982" s="312"/>
      <c r="H2982" s="312"/>
      <c r="I2982" s="567"/>
      <c r="J2982" s="312" t="b">
        <v>0</v>
      </c>
      <c r="K2982" s="312"/>
      <c r="L2982" s="312"/>
      <c r="M2982" s="511"/>
      <c r="N2982" s="312"/>
      <c r="O2982" s="312"/>
      <c r="P2982" s="312"/>
      <c r="Q2982" s="312"/>
      <c r="R2982" s="312"/>
      <c r="S2982" s="312"/>
      <c r="T2982" s="312"/>
      <c r="U2982" s="312"/>
    </row>
    <row r="2983">
      <c r="A2983" s="312"/>
      <c r="B2983" s="312"/>
      <c r="C2983" s="567"/>
      <c r="D2983" s="312"/>
      <c r="E2983" s="511"/>
      <c r="F2983" s="312"/>
      <c r="G2983" s="312"/>
      <c r="H2983" s="312"/>
      <c r="I2983" s="567"/>
      <c r="J2983" s="312" t="b">
        <v>0</v>
      </c>
      <c r="K2983" s="312"/>
      <c r="L2983" s="312"/>
      <c r="M2983" s="511"/>
      <c r="N2983" s="312"/>
      <c r="O2983" s="312"/>
      <c r="P2983" s="312"/>
      <c r="Q2983" s="312"/>
      <c r="R2983" s="312"/>
      <c r="S2983" s="312"/>
      <c r="T2983" s="312"/>
      <c r="U2983" s="312"/>
    </row>
    <row r="2984">
      <c r="A2984" s="312"/>
      <c r="B2984" s="312"/>
      <c r="C2984" s="567"/>
      <c r="D2984" s="312"/>
      <c r="E2984" s="511"/>
      <c r="F2984" s="312"/>
      <c r="G2984" s="312"/>
      <c r="H2984" s="312"/>
      <c r="I2984" s="567"/>
      <c r="J2984" s="312" t="b">
        <v>0</v>
      </c>
      <c r="K2984" s="312"/>
      <c r="L2984" s="312"/>
      <c r="M2984" s="511"/>
      <c r="N2984" s="312"/>
      <c r="O2984" s="312"/>
      <c r="P2984" s="312"/>
      <c r="Q2984" s="312"/>
      <c r="R2984" s="312"/>
      <c r="S2984" s="312"/>
      <c r="T2984" s="312"/>
      <c r="U2984" s="312"/>
    </row>
    <row r="2985">
      <c r="A2985" s="312"/>
      <c r="B2985" s="312"/>
      <c r="C2985" s="567"/>
      <c r="D2985" s="312"/>
      <c r="E2985" s="511"/>
      <c r="F2985" s="312"/>
      <c r="G2985" s="312"/>
      <c r="H2985" s="312"/>
      <c r="I2985" s="567"/>
      <c r="J2985" s="312" t="b">
        <v>0</v>
      </c>
      <c r="K2985" s="312"/>
      <c r="L2985" s="312"/>
      <c r="M2985" s="511"/>
      <c r="N2985" s="312"/>
      <c r="O2985" s="312"/>
      <c r="P2985" s="312"/>
      <c r="Q2985" s="312"/>
      <c r="R2985" s="312"/>
      <c r="S2985" s="312"/>
      <c r="T2985" s="312"/>
      <c r="U2985" s="312"/>
    </row>
    <row r="2986">
      <c r="A2986" s="312"/>
      <c r="B2986" s="312"/>
      <c r="C2986" s="567"/>
      <c r="D2986" s="312"/>
      <c r="E2986" s="511"/>
      <c r="F2986" s="312"/>
      <c r="G2986" s="312"/>
      <c r="H2986" s="312"/>
      <c r="I2986" s="567"/>
      <c r="J2986" s="312" t="b">
        <v>0</v>
      </c>
      <c r="K2986" s="312"/>
      <c r="L2986" s="312"/>
      <c r="M2986" s="511"/>
      <c r="N2986" s="312"/>
      <c r="O2986" s="312"/>
      <c r="P2986" s="312"/>
      <c r="Q2986" s="312"/>
      <c r="R2986" s="312"/>
      <c r="S2986" s="312"/>
      <c r="T2986" s="312"/>
      <c r="U2986" s="312"/>
    </row>
    <row r="2987">
      <c r="A2987" s="312"/>
      <c r="B2987" s="312"/>
      <c r="C2987" s="567"/>
      <c r="D2987" s="312"/>
      <c r="E2987" s="511"/>
      <c r="F2987" s="312"/>
      <c r="G2987" s="312"/>
      <c r="H2987" s="312"/>
      <c r="I2987" s="567"/>
      <c r="J2987" s="312" t="b">
        <v>0</v>
      </c>
      <c r="K2987" s="312"/>
      <c r="L2987" s="312"/>
      <c r="M2987" s="511"/>
      <c r="N2987" s="312"/>
      <c r="O2987" s="312"/>
      <c r="P2987" s="312"/>
      <c r="Q2987" s="312"/>
      <c r="R2987" s="312"/>
      <c r="S2987" s="312"/>
      <c r="T2987" s="312"/>
      <c r="U2987" s="312"/>
    </row>
    <row r="2988">
      <c r="A2988" s="312"/>
      <c r="B2988" s="312"/>
      <c r="C2988" s="567"/>
      <c r="D2988" s="312"/>
      <c r="E2988" s="511"/>
      <c r="F2988" s="312"/>
      <c r="G2988" s="312"/>
      <c r="H2988" s="312"/>
      <c r="I2988" s="567"/>
      <c r="J2988" s="312" t="b">
        <v>0</v>
      </c>
      <c r="K2988" s="312"/>
      <c r="L2988" s="312"/>
      <c r="M2988" s="511"/>
      <c r="N2988" s="312"/>
      <c r="O2988" s="312"/>
      <c r="P2988" s="312"/>
      <c r="Q2988" s="312"/>
      <c r="R2988" s="312"/>
      <c r="S2988" s="312"/>
      <c r="T2988" s="312"/>
      <c r="U2988" s="312"/>
    </row>
    <row r="2989">
      <c r="A2989" s="312"/>
      <c r="B2989" s="312"/>
      <c r="C2989" s="567"/>
      <c r="D2989" s="312"/>
      <c r="E2989" s="511"/>
      <c r="F2989" s="312"/>
      <c r="G2989" s="312"/>
      <c r="H2989" s="312"/>
      <c r="I2989" s="567"/>
      <c r="J2989" s="312" t="b">
        <v>0</v>
      </c>
      <c r="K2989" s="312"/>
      <c r="L2989" s="312"/>
      <c r="M2989" s="511"/>
      <c r="N2989" s="312"/>
      <c r="O2989" s="312"/>
      <c r="P2989" s="312"/>
      <c r="Q2989" s="312"/>
      <c r="R2989" s="312"/>
      <c r="S2989" s="312"/>
      <c r="T2989" s="312"/>
      <c r="U2989" s="312"/>
    </row>
    <row r="2990">
      <c r="A2990" s="312"/>
      <c r="B2990" s="312"/>
      <c r="C2990" s="567"/>
      <c r="D2990" s="312"/>
      <c r="E2990" s="511"/>
      <c r="F2990" s="312"/>
      <c r="G2990" s="312"/>
      <c r="H2990" s="312"/>
      <c r="I2990" s="567"/>
      <c r="J2990" s="312" t="b">
        <v>0</v>
      </c>
      <c r="K2990" s="312"/>
      <c r="L2990" s="312"/>
      <c r="M2990" s="511"/>
      <c r="N2990" s="312"/>
      <c r="O2990" s="312"/>
      <c r="P2990" s="312"/>
      <c r="Q2990" s="312"/>
      <c r="R2990" s="312"/>
      <c r="S2990" s="312"/>
      <c r="T2990" s="312"/>
      <c r="U2990" s="312"/>
    </row>
    <row r="2991">
      <c r="A2991" s="312"/>
      <c r="B2991" s="312"/>
      <c r="C2991" s="567"/>
      <c r="D2991" s="312"/>
      <c r="E2991" s="511"/>
      <c r="F2991" s="312"/>
      <c r="G2991" s="312"/>
      <c r="H2991" s="312"/>
      <c r="I2991" s="567"/>
      <c r="J2991" s="312" t="b">
        <v>0</v>
      </c>
      <c r="K2991" s="312"/>
      <c r="L2991" s="312"/>
      <c r="M2991" s="511"/>
      <c r="N2991" s="312"/>
      <c r="O2991" s="312"/>
      <c r="P2991" s="312"/>
      <c r="Q2991" s="312"/>
      <c r="R2991" s="312"/>
      <c r="S2991" s="312"/>
      <c r="T2991" s="312"/>
      <c r="U2991" s="312"/>
    </row>
    <row r="2992">
      <c r="A2992" s="312"/>
      <c r="B2992" s="312"/>
      <c r="C2992" s="567"/>
      <c r="D2992" s="312"/>
      <c r="E2992" s="511"/>
      <c r="F2992" s="312"/>
      <c r="G2992" s="312"/>
      <c r="H2992" s="312"/>
      <c r="I2992" s="567"/>
      <c r="J2992" s="312" t="b">
        <v>0</v>
      </c>
      <c r="K2992" s="312"/>
      <c r="L2992" s="312"/>
      <c r="M2992" s="511"/>
      <c r="N2992" s="312"/>
      <c r="O2992" s="312"/>
      <c r="P2992" s="312"/>
      <c r="Q2992" s="312"/>
      <c r="R2992" s="312"/>
      <c r="S2992" s="312"/>
      <c r="T2992" s="312"/>
      <c r="U2992" s="312"/>
    </row>
    <row r="2993">
      <c r="A2993" s="312"/>
      <c r="B2993" s="312"/>
      <c r="C2993" s="567"/>
      <c r="D2993" s="312"/>
      <c r="E2993" s="511"/>
      <c r="F2993" s="312"/>
      <c r="G2993" s="312"/>
      <c r="H2993" s="312"/>
      <c r="I2993" s="567"/>
      <c r="J2993" s="312" t="b">
        <v>0</v>
      </c>
      <c r="K2993" s="312"/>
      <c r="L2993" s="312"/>
      <c r="M2993" s="511"/>
      <c r="N2993" s="312"/>
      <c r="O2993" s="312"/>
      <c r="P2993" s="312"/>
      <c r="Q2993" s="312"/>
      <c r="R2993" s="312"/>
      <c r="S2993" s="312"/>
      <c r="T2993" s="312"/>
      <c r="U2993" s="312"/>
    </row>
    <row r="2994">
      <c r="A2994" s="312"/>
      <c r="B2994" s="312"/>
      <c r="C2994" s="567"/>
      <c r="D2994" s="312"/>
      <c r="E2994" s="511"/>
      <c r="F2994" s="312"/>
      <c r="G2994" s="312"/>
      <c r="H2994" s="312"/>
      <c r="I2994" s="567"/>
      <c r="J2994" s="312" t="b">
        <v>0</v>
      </c>
      <c r="K2994" s="312"/>
      <c r="L2994" s="312"/>
      <c r="M2994" s="511"/>
      <c r="N2994" s="312"/>
      <c r="O2994" s="312"/>
      <c r="P2994" s="312"/>
      <c r="Q2994" s="312"/>
      <c r="R2994" s="312"/>
      <c r="S2994" s="312"/>
      <c r="T2994" s="312"/>
      <c r="U2994" s="312"/>
    </row>
    <row r="2995">
      <c r="A2995" s="312"/>
      <c r="B2995" s="312"/>
      <c r="C2995" s="567"/>
      <c r="D2995" s="312"/>
      <c r="E2995" s="511"/>
      <c r="F2995" s="312"/>
      <c r="G2995" s="312"/>
      <c r="H2995" s="312"/>
      <c r="I2995" s="567"/>
      <c r="J2995" s="312" t="b">
        <v>0</v>
      </c>
      <c r="K2995" s="312"/>
      <c r="L2995" s="312"/>
      <c r="M2995" s="511"/>
      <c r="N2995" s="312"/>
      <c r="O2995" s="312"/>
      <c r="P2995" s="312"/>
      <c r="Q2995" s="312"/>
      <c r="R2995" s="312"/>
      <c r="S2995" s="312"/>
      <c r="T2995" s="312"/>
      <c r="U2995" s="312"/>
    </row>
    <row r="2996">
      <c r="A2996" s="312"/>
      <c r="B2996" s="312"/>
      <c r="C2996" s="567"/>
      <c r="D2996" s="312"/>
      <c r="E2996" s="511"/>
      <c r="F2996" s="312"/>
      <c r="G2996" s="312"/>
      <c r="H2996" s="312"/>
      <c r="I2996" s="567"/>
      <c r="J2996" s="312" t="b">
        <v>0</v>
      </c>
      <c r="K2996" s="312"/>
      <c r="L2996" s="312"/>
      <c r="M2996" s="511"/>
      <c r="N2996" s="312"/>
      <c r="O2996" s="312"/>
      <c r="P2996" s="312"/>
      <c r="Q2996" s="312"/>
      <c r="R2996" s="312"/>
      <c r="S2996" s="312"/>
      <c r="T2996" s="312"/>
      <c r="U2996" s="312"/>
    </row>
    <row r="2997">
      <c r="A2997" s="312"/>
      <c r="B2997" s="312"/>
      <c r="C2997" s="567"/>
      <c r="D2997" s="312"/>
      <c r="E2997" s="511"/>
      <c r="F2997" s="312"/>
      <c r="G2997" s="312"/>
      <c r="H2997" s="312"/>
      <c r="I2997" s="567"/>
      <c r="J2997" s="312" t="b">
        <v>0</v>
      </c>
      <c r="K2997" s="312"/>
      <c r="L2997" s="312"/>
      <c r="M2997" s="511"/>
      <c r="N2997" s="312"/>
      <c r="O2997" s="312"/>
      <c r="P2997" s="312"/>
      <c r="Q2997" s="312"/>
      <c r="R2997" s="312"/>
      <c r="S2997" s="312"/>
      <c r="T2997" s="312"/>
      <c r="U2997" s="312"/>
    </row>
    <row r="2998">
      <c r="A2998" s="312"/>
      <c r="B2998" s="312"/>
      <c r="C2998" s="567"/>
      <c r="D2998" s="312"/>
      <c r="E2998" s="511"/>
      <c r="F2998" s="312"/>
      <c r="G2998" s="312"/>
      <c r="H2998" s="312"/>
      <c r="I2998" s="567"/>
      <c r="J2998" s="312" t="b">
        <v>0</v>
      </c>
      <c r="K2998" s="312"/>
      <c r="L2998" s="312"/>
      <c r="M2998" s="511"/>
      <c r="N2998" s="312"/>
      <c r="O2998" s="312"/>
      <c r="P2998" s="312"/>
      <c r="Q2998" s="312"/>
      <c r="R2998" s="312"/>
      <c r="S2998" s="312"/>
      <c r="T2998" s="312"/>
      <c r="U2998" s="312"/>
    </row>
    <row r="2999">
      <c r="A2999" s="312"/>
      <c r="B2999" s="312"/>
      <c r="C2999" s="567"/>
      <c r="D2999" s="312"/>
      <c r="E2999" s="511"/>
      <c r="F2999" s="312"/>
      <c r="G2999" s="312"/>
      <c r="H2999" s="312"/>
      <c r="I2999" s="567"/>
      <c r="J2999" s="312" t="b">
        <v>0</v>
      </c>
      <c r="K2999" s="312"/>
      <c r="L2999" s="312"/>
      <c r="M2999" s="511"/>
      <c r="N2999" s="312"/>
      <c r="O2999" s="312"/>
      <c r="P2999" s="312"/>
      <c r="Q2999" s="312"/>
      <c r="R2999" s="312"/>
      <c r="S2999" s="312"/>
      <c r="T2999" s="312"/>
      <c r="U2999" s="312"/>
    </row>
    <row r="3000">
      <c r="A3000" s="312"/>
      <c r="B3000" s="312"/>
      <c r="C3000" s="567"/>
      <c r="D3000" s="312"/>
      <c r="E3000" s="511"/>
      <c r="F3000" s="312"/>
      <c r="G3000" s="312"/>
      <c r="H3000" s="312"/>
      <c r="I3000" s="567"/>
      <c r="J3000" s="312" t="b">
        <v>0</v>
      </c>
      <c r="K3000" s="312"/>
      <c r="L3000" s="312"/>
      <c r="M3000" s="511"/>
      <c r="N3000" s="312"/>
      <c r="O3000" s="312"/>
      <c r="P3000" s="312"/>
      <c r="Q3000" s="312"/>
      <c r="R3000" s="312"/>
      <c r="S3000" s="312"/>
      <c r="T3000" s="312"/>
      <c r="U3000" s="312"/>
    </row>
    <row r="3001">
      <c r="A3001" s="312"/>
      <c r="B3001" s="312"/>
      <c r="C3001" s="567"/>
      <c r="D3001" s="312"/>
      <c r="E3001" s="511"/>
      <c r="F3001" s="312"/>
      <c r="G3001" s="312"/>
      <c r="H3001" s="312"/>
      <c r="I3001" s="567"/>
      <c r="J3001" s="312" t="b">
        <v>0</v>
      </c>
      <c r="K3001" s="312"/>
      <c r="L3001" s="312"/>
      <c r="M3001" s="511"/>
      <c r="N3001" s="312"/>
      <c r="O3001" s="312"/>
      <c r="P3001" s="312"/>
      <c r="Q3001" s="312"/>
      <c r="R3001" s="312"/>
      <c r="S3001" s="312"/>
      <c r="T3001" s="312"/>
      <c r="U3001" s="312"/>
    </row>
    <row r="3002">
      <c r="A3002" s="312"/>
      <c r="B3002" s="312"/>
      <c r="C3002" s="567"/>
      <c r="D3002" s="312"/>
      <c r="E3002" s="511"/>
      <c r="F3002" s="312"/>
      <c r="G3002" s="312"/>
      <c r="H3002" s="312"/>
      <c r="I3002" s="567"/>
      <c r="J3002" s="312" t="b">
        <v>0</v>
      </c>
      <c r="K3002" s="312"/>
      <c r="L3002" s="312"/>
      <c r="M3002" s="511"/>
      <c r="N3002" s="312"/>
      <c r="O3002" s="312"/>
      <c r="P3002" s="312"/>
      <c r="Q3002" s="312"/>
      <c r="R3002" s="312"/>
      <c r="S3002" s="312"/>
      <c r="T3002" s="312"/>
      <c r="U3002" s="312"/>
    </row>
    <row r="3003">
      <c r="A3003" s="312"/>
      <c r="B3003" s="312"/>
      <c r="C3003" s="567"/>
      <c r="D3003" s="312"/>
      <c r="E3003" s="511"/>
      <c r="F3003" s="312"/>
      <c r="G3003" s="312"/>
      <c r="H3003" s="312"/>
      <c r="I3003" s="567"/>
      <c r="J3003" s="312" t="b">
        <v>0</v>
      </c>
      <c r="K3003" s="312"/>
      <c r="L3003" s="312"/>
      <c r="M3003" s="511"/>
      <c r="N3003" s="312"/>
      <c r="O3003" s="312"/>
      <c r="P3003" s="312"/>
      <c r="Q3003" s="312"/>
      <c r="R3003" s="312"/>
      <c r="S3003" s="312"/>
      <c r="T3003" s="312"/>
      <c r="U3003" s="312"/>
    </row>
    <row r="3004">
      <c r="A3004" s="312"/>
      <c r="B3004" s="312"/>
      <c r="C3004" s="567"/>
      <c r="D3004" s="312"/>
      <c r="E3004" s="511"/>
      <c r="F3004" s="312"/>
      <c r="G3004" s="312"/>
      <c r="H3004" s="312"/>
      <c r="I3004" s="567"/>
      <c r="J3004" s="312" t="b">
        <v>0</v>
      </c>
      <c r="K3004" s="312"/>
      <c r="L3004" s="312"/>
      <c r="M3004" s="511"/>
      <c r="N3004" s="312"/>
      <c r="O3004" s="312"/>
      <c r="P3004" s="312"/>
      <c r="Q3004" s="312"/>
      <c r="R3004" s="312"/>
      <c r="S3004" s="312"/>
      <c r="T3004" s="312"/>
      <c r="U3004" s="312"/>
    </row>
    <row r="3005">
      <c r="A3005" s="312"/>
      <c r="B3005" s="312"/>
      <c r="C3005" s="567"/>
      <c r="D3005" s="312"/>
      <c r="E3005" s="511"/>
      <c r="F3005" s="312"/>
      <c r="G3005" s="312"/>
      <c r="H3005" s="312"/>
      <c r="I3005" s="567"/>
      <c r="J3005" s="312" t="b">
        <v>0</v>
      </c>
      <c r="K3005" s="312"/>
      <c r="L3005" s="312"/>
      <c r="M3005" s="511"/>
      <c r="N3005" s="312"/>
      <c r="O3005" s="312"/>
      <c r="P3005" s="312"/>
      <c r="Q3005" s="312"/>
      <c r="R3005" s="312"/>
      <c r="S3005" s="312"/>
      <c r="T3005" s="312"/>
      <c r="U3005" s="312"/>
    </row>
    <row r="3006">
      <c r="A3006" s="312"/>
      <c r="B3006" s="312"/>
      <c r="C3006" s="567"/>
      <c r="D3006" s="312"/>
      <c r="E3006" s="511"/>
      <c r="F3006" s="312"/>
      <c r="G3006" s="312"/>
      <c r="H3006" s="312"/>
      <c r="I3006" s="567"/>
      <c r="J3006" s="312" t="b">
        <v>0</v>
      </c>
      <c r="K3006" s="312"/>
      <c r="L3006" s="312"/>
      <c r="M3006" s="511"/>
      <c r="N3006" s="312"/>
      <c r="O3006" s="312"/>
      <c r="P3006" s="312"/>
      <c r="Q3006" s="312"/>
      <c r="R3006" s="312"/>
      <c r="S3006" s="312"/>
      <c r="T3006" s="312"/>
      <c r="U3006" s="312"/>
    </row>
    <row r="3007">
      <c r="A3007" s="312"/>
      <c r="B3007" s="312"/>
      <c r="C3007" s="567"/>
      <c r="D3007" s="312"/>
      <c r="E3007" s="511"/>
      <c r="F3007" s="312"/>
      <c r="G3007" s="312"/>
      <c r="H3007" s="312"/>
      <c r="I3007" s="567"/>
      <c r="J3007" s="312" t="b">
        <v>0</v>
      </c>
      <c r="K3007" s="312"/>
      <c r="L3007" s="312"/>
      <c r="M3007" s="511"/>
      <c r="N3007" s="312"/>
      <c r="O3007" s="312"/>
      <c r="P3007" s="312"/>
      <c r="Q3007" s="312"/>
      <c r="R3007" s="312"/>
      <c r="S3007" s="312"/>
      <c r="T3007" s="312"/>
      <c r="U3007" s="312"/>
    </row>
    <row r="3008">
      <c r="A3008" s="312"/>
      <c r="B3008" s="312"/>
      <c r="C3008" s="567"/>
      <c r="D3008" s="312"/>
      <c r="E3008" s="511"/>
      <c r="F3008" s="312"/>
      <c r="G3008" s="312"/>
      <c r="H3008" s="312"/>
      <c r="I3008" s="567"/>
      <c r="J3008" s="312" t="b">
        <v>0</v>
      </c>
      <c r="K3008" s="312"/>
      <c r="L3008" s="312"/>
      <c r="M3008" s="511"/>
      <c r="N3008" s="312"/>
      <c r="O3008" s="312"/>
      <c r="P3008" s="312"/>
      <c r="Q3008" s="312"/>
      <c r="R3008" s="312"/>
      <c r="S3008" s="312"/>
      <c r="T3008" s="312"/>
      <c r="U3008" s="312"/>
    </row>
    <row r="3009">
      <c r="A3009" s="312"/>
      <c r="B3009" s="312"/>
      <c r="C3009" s="567"/>
      <c r="D3009" s="312"/>
      <c r="E3009" s="511"/>
      <c r="F3009" s="312"/>
      <c r="G3009" s="312"/>
      <c r="H3009" s="312"/>
      <c r="I3009" s="567"/>
      <c r="J3009" s="312" t="b">
        <v>0</v>
      </c>
      <c r="K3009" s="312"/>
      <c r="L3009" s="312"/>
      <c r="M3009" s="511"/>
      <c r="N3009" s="312"/>
      <c r="O3009" s="312"/>
      <c r="P3009" s="312"/>
      <c r="Q3009" s="312"/>
      <c r="R3009" s="312"/>
      <c r="S3009" s="312"/>
      <c r="T3009" s="312"/>
      <c r="U3009" s="312"/>
    </row>
    <row r="3010">
      <c r="A3010" s="312"/>
      <c r="B3010" s="312"/>
      <c r="C3010" s="567"/>
      <c r="D3010" s="312"/>
      <c r="E3010" s="511"/>
      <c r="F3010" s="312"/>
      <c r="G3010" s="312"/>
      <c r="H3010" s="312"/>
      <c r="I3010" s="567"/>
      <c r="J3010" s="312" t="b">
        <v>0</v>
      </c>
      <c r="K3010" s="312"/>
      <c r="L3010" s="312"/>
      <c r="M3010" s="511"/>
      <c r="N3010" s="312"/>
      <c r="O3010" s="312"/>
      <c r="P3010" s="312"/>
      <c r="Q3010" s="312"/>
      <c r="R3010" s="312"/>
      <c r="S3010" s="312"/>
      <c r="T3010" s="312"/>
      <c r="U3010" s="312"/>
    </row>
    <row r="3011">
      <c r="A3011" s="312"/>
      <c r="B3011" s="312"/>
      <c r="C3011" s="567"/>
      <c r="D3011" s="312"/>
      <c r="E3011" s="511"/>
      <c r="F3011" s="312"/>
      <c r="G3011" s="312"/>
      <c r="H3011" s="312"/>
      <c r="I3011" s="567"/>
      <c r="J3011" s="312" t="b">
        <v>0</v>
      </c>
      <c r="K3011" s="312"/>
      <c r="L3011" s="312"/>
      <c r="M3011" s="511"/>
      <c r="N3011" s="312"/>
      <c r="O3011" s="312"/>
      <c r="P3011" s="312"/>
      <c r="Q3011" s="312"/>
      <c r="R3011" s="312"/>
      <c r="S3011" s="312"/>
      <c r="T3011" s="312"/>
      <c r="U3011" s="312"/>
    </row>
    <row r="3012">
      <c r="A3012" s="312"/>
      <c r="B3012" s="312"/>
      <c r="C3012" s="567"/>
      <c r="D3012" s="312"/>
      <c r="E3012" s="511"/>
      <c r="F3012" s="312"/>
      <c r="G3012" s="312"/>
      <c r="H3012" s="312"/>
      <c r="I3012" s="567"/>
      <c r="J3012" s="312" t="b">
        <v>0</v>
      </c>
      <c r="K3012" s="312"/>
      <c r="L3012" s="312"/>
      <c r="M3012" s="511"/>
      <c r="N3012" s="312"/>
      <c r="O3012" s="312"/>
      <c r="P3012" s="312"/>
      <c r="Q3012" s="312"/>
      <c r="R3012" s="312"/>
      <c r="S3012" s="312"/>
      <c r="T3012" s="312"/>
      <c r="U3012" s="312"/>
    </row>
    <row r="3013">
      <c r="A3013" s="312"/>
      <c r="B3013" s="312"/>
      <c r="C3013" s="567"/>
      <c r="D3013" s="312"/>
      <c r="E3013" s="511"/>
      <c r="F3013" s="312"/>
      <c r="G3013" s="312"/>
      <c r="H3013" s="312"/>
      <c r="I3013" s="567"/>
      <c r="J3013" s="312" t="b">
        <v>0</v>
      </c>
      <c r="K3013" s="312"/>
      <c r="L3013" s="312"/>
      <c r="M3013" s="511"/>
      <c r="N3013" s="312"/>
      <c r="O3013" s="312"/>
      <c r="P3013" s="312"/>
      <c r="Q3013" s="312"/>
      <c r="R3013" s="312"/>
      <c r="S3013" s="312"/>
      <c r="T3013" s="312"/>
      <c r="U3013" s="312"/>
    </row>
    <row r="3014">
      <c r="A3014" s="312"/>
      <c r="B3014" s="312"/>
      <c r="C3014" s="567"/>
      <c r="D3014" s="312"/>
      <c r="E3014" s="511"/>
      <c r="F3014" s="312"/>
      <c r="G3014" s="312"/>
      <c r="H3014" s="312"/>
      <c r="I3014" s="567"/>
      <c r="J3014" s="312" t="b">
        <v>0</v>
      </c>
      <c r="K3014" s="312"/>
      <c r="L3014" s="312"/>
      <c r="M3014" s="511"/>
      <c r="N3014" s="312"/>
      <c r="O3014" s="312"/>
      <c r="P3014" s="312"/>
      <c r="Q3014" s="312"/>
      <c r="R3014" s="312"/>
      <c r="S3014" s="312"/>
      <c r="T3014" s="312"/>
      <c r="U3014" s="312"/>
    </row>
    <row r="3015">
      <c r="A3015" s="312"/>
      <c r="B3015" s="312"/>
      <c r="C3015" s="567"/>
      <c r="D3015" s="312"/>
      <c r="E3015" s="511"/>
      <c r="F3015" s="312"/>
      <c r="G3015" s="312"/>
      <c r="H3015" s="312"/>
      <c r="I3015" s="567"/>
      <c r="J3015" s="312" t="b">
        <v>0</v>
      </c>
      <c r="K3015" s="312"/>
      <c r="L3015" s="312"/>
      <c r="M3015" s="511"/>
      <c r="N3015" s="312"/>
      <c r="O3015" s="312"/>
      <c r="P3015" s="312"/>
      <c r="Q3015" s="312"/>
      <c r="R3015" s="312"/>
      <c r="S3015" s="312"/>
      <c r="T3015" s="312"/>
      <c r="U3015" s="312"/>
    </row>
    <row r="3016">
      <c r="A3016" s="312"/>
      <c r="B3016" s="312"/>
      <c r="C3016" s="567"/>
      <c r="D3016" s="312"/>
      <c r="E3016" s="511"/>
      <c r="F3016" s="312"/>
      <c r="G3016" s="312"/>
      <c r="H3016" s="312"/>
      <c r="I3016" s="567"/>
      <c r="J3016" s="312" t="b">
        <v>0</v>
      </c>
      <c r="K3016" s="312"/>
      <c r="L3016" s="312"/>
      <c r="M3016" s="511"/>
      <c r="N3016" s="312"/>
      <c r="O3016" s="312"/>
      <c r="P3016" s="312"/>
      <c r="Q3016" s="312"/>
      <c r="R3016" s="312"/>
      <c r="S3016" s="312"/>
      <c r="T3016" s="312"/>
      <c r="U3016" s="312"/>
    </row>
    <row r="3017">
      <c r="A3017" s="312"/>
      <c r="B3017" s="312"/>
      <c r="C3017" s="567"/>
      <c r="D3017" s="312"/>
      <c r="E3017" s="511"/>
      <c r="F3017" s="312"/>
      <c r="G3017" s="312"/>
      <c r="H3017" s="312"/>
      <c r="I3017" s="567"/>
      <c r="J3017" s="312" t="b">
        <v>0</v>
      </c>
      <c r="K3017" s="312"/>
      <c r="L3017" s="312"/>
      <c r="M3017" s="511"/>
      <c r="N3017" s="312"/>
      <c r="O3017" s="312"/>
      <c r="P3017" s="312"/>
      <c r="Q3017" s="312"/>
      <c r="R3017" s="312"/>
      <c r="S3017" s="312"/>
      <c r="T3017" s="312"/>
      <c r="U3017" s="312"/>
    </row>
    <row r="3018">
      <c r="A3018" s="312"/>
      <c r="B3018" s="312"/>
      <c r="C3018" s="567"/>
      <c r="D3018" s="312"/>
      <c r="E3018" s="511"/>
      <c r="F3018" s="312"/>
      <c r="G3018" s="312"/>
      <c r="H3018" s="312"/>
      <c r="I3018" s="567"/>
      <c r="J3018" s="312" t="b">
        <v>0</v>
      </c>
      <c r="K3018" s="312"/>
      <c r="L3018" s="312"/>
      <c r="M3018" s="511"/>
      <c r="N3018" s="312"/>
      <c r="O3018" s="312"/>
      <c r="P3018" s="312"/>
      <c r="Q3018" s="312"/>
      <c r="R3018" s="312"/>
      <c r="S3018" s="312"/>
      <c r="T3018" s="312"/>
      <c r="U3018" s="312"/>
    </row>
    <row r="3019">
      <c r="A3019" s="312"/>
      <c r="B3019" s="312"/>
      <c r="C3019" s="567"/>
      <c r="D3019" s="312"/>
      <c r="E3019" s="511"/>
      <c r="F3019" s="312"/>
      <c r="G3019" s="312"/>
      <c r="H3019" s="312"/>
      <c r="I3019" s="567"/>
      <c r="J3019" s="312" t="b">
        <v>0</v>
      </c>
      <c r="K3019" s="312"/>
      <c r="L3019" s="312"/>
      <c r="M3019" s="511"/>
      <c r="N3019" s="312"/>
      <c r="O3019" s="312"/>
      <c r="P3019" s="312"/>
      <c r="Q3019" s="312"/>
      <c r="R3019" s="312"/>
      <c r="S3019" s="312"/>
      <c r="T3019" s="312"/>
      <c r="U3019" s="312"/>
    </row>
    <row r="3020">
      <c r="A3020" s="312"/>
      <c r="B3020" s="312"/>
      <c r="C3020" s="567"/>
      <c r="D3020" s="312"/>
      <c r="E3020" s="511"/>
      <c r="F3020" s="312"/>
      <c r="G3020" s="312"/>
      <c r="H3020" s="312"/>
      <c r="I3020" s="567"/>
      <c r="J3020" s="312" t="b">
        <v>0</v>
      </c>
      <c r="K3020" s="312"/>
      <c r="L3020" s="312"/>
      <c r="M3020" s="511"/>
      <c r="N3020" s="312"/>
      <c r="O3020" s="312"/>
      <c r="P3020" s="312"/>
      <c r="Q3020" s="312"/>
      <c r="R3020" s="312"/>
      <c r="S3020" s="312"/>
      <c r="T3020" s="312"/>
      <c r="U3020" s="312"/>
    </row>
    <row r="3021">
      <c r="A3021" s="312"/>
      <c r="B3021" s="312"/>
      <c r="C3021" s="567"/>
      <c r="D3021" s="312"/>
      <c r="E3021" s="511"/>
      <c r="F3021" s="312"/>
      <c r="G3021" s="312"/>
      <c r="H3021" s="312"/>
      <c r="I3021" s="567"/>
      <c r="J3021" s="312" t="b">
        <v>0</v>
      </c>
      <c r="K3021" s="312"/>
      <c r="L3021" s="312"/>
      <c r="M3021" s="511"/>
      <c r="N3021" s="312"/>
      <c r="O3021" s="312"/>
      <c r="P3021" s="312"/>
      <c r="Q3021" s="312"/>
      <c r="R3021" s="312"/>
      <c r="S3021" s="312"/>
      <c r="T3021" s="312"/>
      <c r="U3021" s="312"/>
    </row>
    <row r="3022">
      <c r="A3022" s="312"/>
      <c r="B3022" s="312"/>
      <c r="C3022" s="567"/>
      <c r="D3022" s="312"/>
      <c r="E3022" s="511"/>
      <c r="F3022" s="312"/>
      <c r="G3022" s="312"/>
      <c r="H3022" s="312"/>
      <c r="I3022" s="567"/>
      <c r="J3022" s="312" t="b">
        <v>0</v>
      </c>
      <c r="K3022" s="312"/>
      <c r="L3022" s="312"/>
      <c r="M3022" s="511"/>
      <c r="N3022" s="312"/>
      <c r="O3022" s="312"/>
      <c r="P3022" s="312"/>
      <c r="Q3022" s="312"/>
      <c r="R3022" s="312"/>
      <c r="S3022" s="312"/>
      <c r="T3022" s="312"/>
      <c r="U3022" s="312"/>
    </row>
    <row r="3023">
      <c r="A3023" s="312"/>
      <c r="B3023" s="312"/>
      <c r="C3023" s="567"/>
      <c r="D3023" s="312"/>
      <c r="E3023" s="511"/>
      <c r="F3023" s="312"/>
      <c r="G3023" s="312"/>
      <c r="H3023" s="312"/>
      <c r="I3023" s="567"/>
      <c r="J3023" s="312" t="b">
        <v>0</v>
      </c>
      <c r="K3023" s="312"/>
      <c r="L3023" s="312"/>
      <c r="M3023" s="511"/>
      <c r="N3023" s="312"/>
      <c r="O3023" s="312"/>
      <c r="P3023" s="312"/>
      <c r="Q3023" s="312"/>
      <c r="R3023" s="312"/>
      <c r="S3023" s="312"/>
      <c r="T3023" s="312"/>
      <c r="U3023" s="312"/>
    </row>
    <row r="3024">
      <c r="A3024" s="312"/>
      <c r="B3024" s="312"/>
      <c r="C3024" s="567"/>
      <c r="D3024" s="312"/>
      <c r="E3024" s="511"/>
      <c r="F3024" s="312"/>
      <c r="G3024" s="312"/>
      <c r="H3024" s="312"/>
      <c r="I3024" s="567"/>
      <c r="J3024" s="312" t="b">
        <v>0</v>
      </c>
      <c r="K3024" s="312"/>
      <c r="L3024" s="312"/>
      <c r="M3024" s="511"/>
      <c r="N3024" s="312"/>
      <c r="O3024" s="312"/>
      <c r="P3024" s="312"/>
      <c r="Q3024" s="312"/>
      <c r="R3024" s="312"/>
      <c r="S3024" s="312"/>
      <c r="T3024" s="312"/>
      <c r="U3024" s="312"/>
    </row>
    <row r="3025">
      <c r="A3025" s="312"/>
      <c r="B3025" s="312"/>
      <c r="C3025" s="567"/>
      <c r="D3025" s="312"/>
      <c r="E3025" s="511"/>
      <c r="F3025" s="312"/>
      <c r="G3025" s="312"/>
      <c r="H3025" s="312"/>
      <c r="I3025" s="567"/>
      <c r="J3025" s="312" t="b">
        <v>0</v>
      </c>
      <c r="K3025" s="312"/>
      <c r="L3025" s="312"/>
      <c r="M3025" s="511"/>
      <c r="N3025" s="312"/>
      <c r="O3025" s="312"/>
      <c r="P3025" s="312"/>
      <c r="Q3025" s="312"/>
      <c r="R3025" s="312"/>
      <c r="S3025" s="312"/>
      <c r="T3025" s="312"/>
      <c r="U3025" s="312"/>
    </row>
    <row r="3026">
      <c r="A3026" s="312"/>
      <c r="B3026" s="312"/>
      <c r="C3026" s="567"/>
      <c r="D3026" s="312"/>
      <c r="E3026" s="511"/>
      <c r="F3026" s="312"/>
      <c r="G3026" s="312"/>
      <c r="H3026" s="312"/>
      <c r="I3026" s="567"/>
      <c r="J3026" s="312" t="b">
        <v>0</v>
      </c>
      <c r="K3026" s="312"/>
      <c r="L3026" s="312"/>
      <c r="M3026" s="511"/>
      <c r="N3026" s="312"/>
      <c r="O3026" s="312"/>
      <c r="P3026" s="312"/>
      <c r="Q3026" s="312"/>
      <c r="R3026" s="312"/>
      <c r="S3026" s="312"/>
      <c r="T3026" s="312"/>
      <c r="U3026" s="312"/>
    </row>
    <row r="3027">
      <c r="A3027" s="312"/>
      <c r="B3027" s="312"/>
      <c r="C3027" s="567"/>
      <c r="D3027" s="312"/>
      <c r="E3027" s="511"/>
      <c r="F3027" s="312"/>
      <c r="G3027" s="312"/>
      <c r="H3027" s="312"/>
      <c r="I3027" s="567"/>
      <c r="J3027" s="312" t="b">
        <v>0</v>
      </c>
      <c r="K3027" s="312"/>
      <c r="L3027" s="312"/>
      <c r="M3027" s="511"/>
      <c r="N3027" s="312"/>
      <c r="O3027" s="312"/>
      <c r="P3027" s="312"/>
      <c r="Q3027" s="312"/>
      <c r="R3027" s="312"/>
      <c r="S3027" s="312"/>
      <c r="T3027" s="312"/>
      <c r="U3027" s="312"/>
    </row>
    <row r="3028">
      <c r="A3028" s="312"/>
      <c r="B3028" s="312"/>
      <c r="C3028" s="567"/>
      <c r="D3028" s="312"/>
      <c r="E3028" s="511"/>
      <c r="F3028" s="312"/>
      <c r="G3028" s="312"/>
      <c r="H3028" s="312"/>
      <c r="I3028" s="567"/>
      <c r="J3028" s="312" t="b">
        <v>0</v>
      </c>
      <c r="K3028" s="312"/>
      <c r="L3028" s="312"/>
      <c r="M3028" s="511"/>
      <c r="N3028" s="312"/>
      <c r="O3028" s="312"/>
      <c r="P3028" s="312"/>
      <c r="Q3028" s="312"/>
      <c r="R3028" s="312"/>
      <c r="S3028" s="312"/>
      <c r="T3028" s="312"/>
      <c r="U3028" s="312"/>
    </row>
    <row r="3029">
      <c r="A3029" s="312"/>
      <c r="B3029" s="312"/>
      <c r="C3029" s="567"/>
      <c r="D3029" s="312"/>
      <c r="E3029" s="511"/>
      <c r="F3029" s="312"/>
      <c r="G3029" s="312"/>
      <c r="H3029" s="312"/>
      <c r="I3029" s="567"/>
      <c r="J3029" s="312" t="b">
        <v>0</v>
      </c>
      <c r="K3029" s="312"/>
      <c r="L3029" s="312"/>
      <c r="M3029" s="511"/>
      <c r="N3029" s="312"/>
      <c r="O3029" s="312"/>
      <c r="P3029" s="312"/>
      <c r="Q3029" s="312"/>
      <c r="R3029" s="312"/>
      <c r="S3029" s="312"/>
      <c r="T3029" s="312"/>
      <c r="U3029" s="312"/>
    </row>
    <row r="3030">
      <c r="A3030" s="312"/>
      <c r="B3030" s="312"/>
      <c r="C3030" s="567"/>
      <c r="D3030" s="312"/>
      <c r="E3030" s="511"/>
      <c r="F3030" s="312"/>
      <c r="G3030" s="312"/>
      <c r="H3030" s="312"/>
      <c r="I3030" s="567"/>
      <c r="J3030" s="312" t="b">
        <v>0</v>
      </c>
      <c r="K3030" s="312"/>
      <c r="L3030" s="312"/>
      <c r="M3030" s="511"/>
      <c r="N3030" s="312"/>
      <c r="O3030" s="312"/>
      <c r="P3030" s="312"/>
      <c r="Q3030" s="312"/>
      <c r="R3030" s="312"/>
      <c r="S3030" s="312"/>
      <c r="T3030" s="312"/>
      <c r="U3030" s="312"/>
    </row>
    <row r="3031">
      <c r="A3031" s="312"/>
      <c r="B3031" s="312"/>
      <c r="C3031" s="567"/>
      <c r="D3031" s="312"/>
      <c r="E3031" s="511"/>
      <c r="F3031" s="312"/>
      <c r="G3031" s="312"/>
      <c r="H3031" s="312"/>
      <c r="I3031" s="567"/>
      <c r="J3031" s="312" t="b">
        <v>0</v>
      </c>
      <c r="K3031" s="312"/>
      <c r="L3031" s="312"/>
      <c r="M3031" s="511"/>
      <c r="N3031" s="312"/>
      <c r="O3031" s="312"/>
      <c r="P3031" s="312"/>
      <c r="Q3031" s="312"/>
      <c r="R3031" s="312"/>
      <c r="S3031" s="312"/>
      <c r="T3031" s="312"/>
      <c r="U3031" s="312"/>
    </row>
    <row r="3032">
      <c r="A3032" s="312"/>
      <c r="B3032" s="312"/>
      <c r="C3032" s="567"/>
      <c r="D3032" s="312"/>
      <c r="E3032" s="511"/>
      <c r="F3032" s="312"/>
      <c r="G3032" s="312"/>
      <c r="H3032" s="312"/>
      <c r="I3032" s="567"/>
      <c r="J3032" s="312" t="b">
        <v>0</v>
      </c>
      <c r="K3032" s="312"/>
      <c r="L3032" s="312"/>
      <c r="M3032" s="511"/>
      <c r="N3032" s="312"/>
      <c r="O3032" s="312"/>
      <c r="P3032" s="312"/>
      <c r="Q3032" s="312"/>
      <c r="R3032" s="312"/>
      <c r="S3032" s="312"/>
      <c r="T3032" s="312"/>
      <c r="U3032" s="312"/>
    </row>
    <row r="3033">
      <c r="A3033" s="312"/>
      <c r="B3033" s="312"/>
      <c r="C3033" s="567"/>
      <c r="D3033" s="312"/>
      <c r="E3033" s="511"/>
      <c r="F3033" s="312"/>
      <c r="G3033" s="312"/>
      <c r="H3033" s="312"/>
      <c r="I3033" s="567"/>
      <c r="J3033" s="312" t="b">
        <v>0</v>
      </c>
      <c r="K3033" s="312"/>
      <c r="L3033" s="312"/>
      <c r="M3033" s="511"/>
      <c r="N3033" s="312"/>
      <c r="O3033" s="312"/>
      <c r="P3033" s="312"/>
      <c r="Q3033" s="312"/>
      <c r="R3033" s="312"/>
      <c r="S3033" s="312"/>
      <c r="T3033" s="312"/>
      <c r="U3033" s="312"/>
    </row>
    <row r="3034">
      <c r="A3034" s="312"/>
      <c r="B3034" s="312"/>
      <c r="C3034" s="567"/>
      <c r="D3034" s="312"/>
      <c r="E3034" s="511"/>
      <c r="F3034" s="312"/>
      <c r="G3034" s="312"/>
      <c r="H3034" s="312"/>
      <c r="I3034" s="567"/>
      <c r="J3034" s="312" t="b">
        <v>0</v>
      </c>
      <c r="K3034" s="312"/>
      <c r="L3034" s="312"/>
      <c r="M3034" s="511"/>
      <c r="N3034" s="312"/>
      <c r="O3034" s="312"/>
      <c r="P3034" s="312"/>
      <c r="Q3034" s="312"/>
      <c r="R3034" s="312"/>
      <c r="S3034" s="312"/>
      <c r="T3034" s="312"/>
      <c r="U3034" s="312"/>
    </row>
    <row r="3035">
      <c r="A3035" s="312"/>
      <c r="B3035" s="312"/>
      <c r="C3035" s="567"/>
      <c r="D3035" s="312"/>
      <c r="E3035" s="511"/>
      <c r="F3035" s="312"/>
      <c r="G3035" s="312"/>
      <c r="H3035" s="312"/>
      <c r="I3035" s="567"/>
      <c r="J3035" s="312" t="b">
        <v>0</v>
      </c>
      <c r="K3035" s="312"/>
      <c r="L3035" s="312"/>
      <c r="M3035" s="511"/>
      <c r="N3035" s="312"/>
      <c r="O3035" s="312"/>
      <c r="P3035" s="312"/>
      <c r="Q3035" s="312"/>
      <c r="R3035" s="312"/>
      <c r="S3035" s="312"/>
      <c r="T3035" s="312"/>
      <c r="U3035" s="312"/>
    </row>
    <row r="3036">
      <c r="A3036" s="312"/>
      <c r="B3036" s="312"/>
      <c r="C3036" s="567"/>
      <c r="D3036" s="312"/>
      <c r="E3036" s="511"/>
      <c r="F3036" s="312"/>
      <c r="G3036" s="312"/>
      <c r="H3036" s="312"/>
      <c r="I3036" s="567"/>
      <c r="J3036" s="312" t="b">
        <v>0</v>
      </c>
      <c r="K3036" s="312"/>
      <c r="L3036" s="312"/>
      <c r="M3036" s="511"/>
      <c r="N3036" s="312"/>
      <c r="O3036" s="312"/>
      <c r="P3036" s="312"/>
      <c r="Q3036" s="312"/>
      <c r="R3036" s="312"/>
      <c r="S3036" s="312"/>
      <c r="T3036" s="312"/>
      <c r="U3036" s="312"/>
    </row>
    <row r="3037">
      <c r="A3037" s="312"/>
      <c r="B3037" s="312"/>
      <c r="C3037" s="567"/>
      <c r="D3037" s="312"/>
      <c r="E3037" s="511"/>
      <c r="F3037" s="312"/>
      <c r="G3037" s="312"/>
      <c r="H3037" s="312"/>
      <c r="I3037" s="567"/>
      <c r="J3037" s="312" t="b">
        <v>0</v>
      </c>
      <c r="K3037" s="312"/>
      <c r="L3037" s="312"/>
      <c r="M3037" s="511"/>
      <c r="N3037" s="312"/>
      <c r="O3037" s="312"/>
      <c r="P3037" s="312"/>
      <c r="Q3037" s="312"/>
      <c r="R3037" s="312"/>
      <c r="S3037" s="312"/>
      <c r="T3037" s="312"/>
      <c r="U3037" s="312"/>
    </row>
    <row r="3038">
      <c r="A3038" s="312"/>
      <c r="B3038" s="312"/>
      <c r="C3038" s="567"/>
      <c r="D3038" s="312"/>
      <c r="E3038" s="511"/>
      <c r="F3038" s="312"/>
      <c r="G3038" s="312"/>
      <c r="H3038" s="312"/>
      <c r="I3038" s="567"/>
      <c r="J3038" s="312" t="b">
        <v>0</v>
      </c>
      <c r="K3038" s="312"/>
      <c r="L3038" s="312"/>
      <c r="M3038" s="511"/>
      <c r="N3038" s="312"/>
      <c r="O3038" s="312"/>
      <c r="P3038" s="312"/>
      <c r="Q3038" s="312"/>
      <c r="R3038" s="312"/>
      <c r="S3038" s="312"/>
      <c r="T3038" s="312"/>
      <c r="U3038" s="312"/>
    </row>
    <row r="3039">
      <c r="A3039" s="312"/>
      <c r="B3039" s="312"/>
      <c r="C3039" s="567"/>
      <c r="D3039" s="312"/>
      <c r="E3039" s="511"/>
      <c r="F3039" s="312"/>
      <c r="G3039" s="312"/>
      <c r="H3039" s="312"/>
      <c r="I3039" s="567"/>
      <c r="J3039" s="312" t="b">
        <v>0</v>
      </c>
      <c r="K3039" s="312"/>
      <c r="L3039" s="312"/>
      <c r="M3039" s="511"/>
      <c r="N3039" s="312"/>
      <c r="O3039" s="312"/>
      <c r="P3039" s="312"/>
      <c r="Q3039" s="312"/>
      <c r="R3039" s="312"/>
      <c r="S3039" s="312"/>
      <c r="T3039" s="312"/>
      <c r="U3039" s="312"/>
    </row>
    <row r="3040">
      <c r="A3040" s="312"/>
      <c r="B3040" s="312"/>
      <c r="C3040" s="567"/>
      <c r="D3040" s="312"/>
      <c r="E3040" s="511"/>
      <c r="F3040" s="312"/>
      <c r="G3040" s="312"/>
      <c r="H3040" s="312"/>
      <c r="I3040" s="567"/>
      <c r="J3040" s="312" t="b">
        <v>0</v>
      </c>
      <c r="K3040" s="312"/>
      <c r="L3040" s="312"/>
      <c r="M3040" s="511"/>
      <c r="N3040" s="312"/>
      <c r="O3040" s="312"/>
      <c r="P3040" s="312"/>
      <c r="Q3040" s="312"/>
      <c r="R3040" s="312"/>
      <c r="S3040" s="312"/>
      <c r="T3040" s="312"/>
      <c r="U3040" s="312"/>
    </row>
    <row r="3041">
      <c r="A3041" s="312"/>
      <c r="B3041" s="312"/>
      <c r="C3041" s="567"/>
      <c r="D3041" s="312"/>
      <c r="E3041" s="511"/>
      <c r="F3041" s="312"/>
      <c r="G3041" s="312"/>
      <c r="H3041" s="312"/>
      <c r="I3041" s="567"/>
      <c r="J3041" s="312" t="b">
        <v>0</v>
      </c>
      <c r="K3041" s="312"/>
      <c r="L3041" s="312"/>
      <c r="M3041" s="511"/>
      <c r="N3041" s="312"/>
      <c r="O3041" s="312"/>
      <c r="P3041" s="312"/>
      <c r="Q3041" s="312"/>
      <c r="R3041" s="312"/>
      <c r="S3041" s="312"/>
      <c r="T3041" s="312"/>
      <c r="U3041" s="312"/>
    </row>
    <row r="3042">
      <c r="A3042" s="312"/>
      <c r="B3042" s="312"/>
      <c r="C3042" s="567"/>
      <c r="D3042" s="312"/>
      <c r="E3042" s="511"/>
      <c r="F3042" s="312"/>
      <c r="G3042" s="312"/>
      <c r="H3042" s="312"/>
      <c r="I3042" s="567"/>
      <c r="J3042" s="312" t="b">
        <v>0</v>
      </c>
      <c r="K3042" s="312"/>
      <c r="L3042" s="312"/>
      <c r="M3042" s="511"/>
      <c r="N3042" s="312"/>
      <c r="O3042" s="312"/>
      <c r="P3042" s="312"/>
      <c r="Q3042" s="312"/>
      <c r="R3042" s="312"/>
      <c r="S3042" s="312"/>
      <c r="T3042" s="312"/>
      <c r="U3042" s="312"/>
    </row>
    <row r="3043">
      <c r="A3043" s="312"/>
      <c r="B3043" s="312"/>
      <c r="C3043" s="567"/>
      <c r="D3043" s="312"/>
      <c r="E3043" s="511"/>
      <c r="F3043" s="312"/>
      <c r="G3043" s="312"/>
      <c r="H3043" s="312"/>
      <c r="I3043" s="567"/>
      <c r="J3043" s="312" t="b">
        <v>0</v>
      </c>
      <c r="K3043" s="312"/>
      <c r="L3043" s="312"/>
      <c r="M3043" s="511"/>
      <c r="N3043" s="312"/>
      <c r="O3043" s="312"/>
      <c r="P3043" s="312"/>
      <c r="Q3043" s="312"/>
      <c r="R3043" s="312"/>
      <c r="S3043" s="312"/>
      <c r="T3043" s="312"/>
      <c r="U3043" s="312"/>
    </row>
    <row r="3044">
      <c r="A3044" s="312"/>
      <c r="B3044" s="312"/>
      <c r="C3044" s="567"/>
      <c r="D3044" s="312"/>
      <c r="E3044" s="511"/>
      <c r="F3044" s="312"/>
      <c r="G3044" s="312"/>
      <c r="H3044" s="312"/>
      <c r="I3044" s="567"/>
      <c r="J3044" s="312" t="b">
        <v>0</v>
      </c>
      <c r="K3044" s="312"/>
      <c r="L3044" s="312"/>
      <c r="M3044" s="511"/>
      <c r="N3044" s="312"/>
      <c r="O3044" s="312"/>
      <c r="P3044" s="312"/>
      <c r="Q3044" s="312"/>
      <c r="R3044" s="312"/>
      <c r="S3044" s="312"/>
      <c r="T3044" s="312"/>
      <c r="U3044" s="312"/>
    </row>
    <row r="3045">
      <c r="A3045" s="312"/>
      <c r="B3045" s="312"/>
      <c r="C3045" s="567"/>
      <c r="D3045" s="312"/>
      <c r="E3045" s="511"/>
      <c r="F3045" s="312"/>
      <c r="G3045" s="312"/>
      <c r="H3045" s="312"/>
      <c r="I3045" s="567"/>
      <c r="J3045" s="312" t="b">
        <v>0</v>
      </c>
      <c r="K3045" s="312"/>
      <c r="L3045" s="312"/>
      <c r="M3045" s="511"/>
      <c r="N3045" s="312"/>
      <c r="O3045" s="312"/>
      <c r="P3045" s="312"/>
      <c r="Q3045" s="312"/>
      <c r="R3045" s="312"/>
      <c r="S3045" s="312"/>
      <c r="T3045" s="312"/>
      <c r="U3045" s="312"/>
    </row>
    <row r="3046">
      <c r="A3046" s="312"/>
      <c r="B3046" s="312"/>
      <c r="C3046" s="567"/>
      <c r="D3046" s="312"/>
      <c r="E3046" s="511"/>
      <c r="F3046" s="312"/>
      <c r="G3046" s="312"/>
      <c r="H3046" s="312"/>
      <c r="I3046" s="567"/>
      <c r="J3046" s="312" t="b">
        <v>0</v>
      </c>
      <c r="K3046" s="312"/>
      <c r="L3046" s="312"/>
      <c r="M3046" s="511"/>
      <c r="N3046" s="312"/>
      <c r="O3046" s="312"/>
      <c r="P3046" s="312"/>
      <c r="Q3046" s="312"/>
      <c r="R3046" s="312"/>
      <c r="S3046" s="312"/>
      <c r="T3046" s="312"/>
      <c r="U3046" s="312"/>
    </row>
    <row r="3047">
      <c r="A3047" s="312"/>
      <c r="B3047" s="312"/>
      <c r="C3047" s="567"/>
      <c r="D3047" s="312"/>
      <c r="E3047" s="511"/>
      <c r="F3047" s="312"/>
      <c r="G3047" s="312"/>
      <c r="H3047" s="312"/>
      <c r="I3047" s="567"/>
      <c r="J3047" s="312" t="b">
        <v>0</v>
      </c>
      <c r="K3047" s="312"/>
      <c r="L3047" s="312"/>
      <c r="M3047" s="511"/>
      <c r="N3047" s="312"/>
      <c r="O3047" s="312"/>
      <c r="P3047" s="312"/>
      <c r="Q3047" s="312"/>
      <c r="R3047" s="312"/>
      <c r="S3047" s="312"/>
      <c r="T3047" s="312"/>
      <c r="U3047" s="312"/>
    </row>
    <row r="3048">
      <c r="A3048" s="312"/>
      <c r="B3048" s="312"/>
      <c r="C3048" s="567"/>
      <c r="D3048" s="312"/>
      <c r="E3048" s="511"/>
      <c r="F3048" s="312"/>
      <c r="G3048" s="312"/>
      <c r="H3048" s="312"/>
      <c r="I3048" s="567"/>
      <c r="J3048" s="312" t="b">
        <v>0</v>
      </c>
      <c r="K3048" s="312"/>
      <c r="L3048" s="312"/>
      <c r="M3048" s="511"/>
      <c r="N3048" s="312"/>
      <c r="O3048" s="312"/>
      <c r="P3048" s="312"/>
      <c r="Q3048" s="312"/>
      <c r="R3048" s="312"/>
      <c r="S3048" s="312"/>
      <c r="T3048" s="312"/>
      <c r="U3048" s="312"/>
    </row>
    <row r="3049">
      <c r="A3049" s="312"/>
      <c r="B3049" s="312"/>
      <c r="C3049" s="567"/>
      <c r="D3049" s="312"/>
      <c r="E3049" s="511"/>
      <c r="F3049" s="312"/>
      <c r="G3049" s="312"/>
      <c r="H3049" s="312"/>
      <c r="I3049" s="567"/>
      <c r="J3049" s="312" t="b">
        <v>0</v>
      </c>
      <c r="K3049" s="312"/>
      <c r="L3049" s="312"/>
      <c r="M3049" s="511"/>
      <c r="N3049" s="312"/>
      <c r="O3049" s="312"/>
      <c r="P3049" s="312"/>
      <c r="Q3049" s="312"/>
      <c r="R3049" s="312"/>
      <c r="S3049" s="312"/>
      <c r="T3049" s="312"/>
      <c r="U3049" s="312"/>
    </row>
    <row r="3050">
      <c r="A3050" s="312"/>
      <c r="B3050" s="312"/>
      <c r="C3050" s="567"/>
      <c r="D3050" s="312"/>
      <c r="E3050" s="511"/>
      <c r="F3050" s="312"/>
      <c r="G3050" s="312"/>
      <c r="H3050" s="312"/>
      <c r="I3050" s="567"/>
      <c r="J3050" s="312" t="b">
        <v>0</v>
      </c>
      <c r="K3050" s="312"/>
      <c r="L3050" s="312"/>
      <c r="M3050" s="511"/>
      <c r="N3050" s="312"/>
      <c r="O3050" s="312"/>
      <c r="P3050" s="312"/>
      <c r="Q3050" s="312"/>
      <c r="R3050" s="312"/>
      <c r="S3050" s="312"/>
      <c r="T3050" s="312"/>
      <c r="U3050" s="312"/>
    </row>
    <row r="3051">
      <c r="A3051" s="312"/>
      <c r="B3051" s="312"/>
      <c r="C3051" s="567"/>
      <c r="D3051" s="312"/>
      <c r="E3051" s="511"/>
      <c r="F3051" s="312"/>
      <c r="G3051" s="312"/>
      <c r="H3051" s="312"/>
      <c r="I3051" s="567"/>
      <c r="J3051" s="312" t="b">
        <v>0</v>
      </c>
      <c r="K3051" s="312"/>
      <c r="L3051" s="312"/>
      <c r="M3051" s="511"/>
      <c r="N3051" s="312"/>
      <c r="O3051" s="312"/>
      <c r="P3051" s="312"/>
      <c r="Q3051" s="312"/>
      <c r="R3051" s="312"/>
      <c r="S3051" s="312"/>
      <c r="T3051" s="312"/>
      <c r="U3051" s="312"/>
    </row>
    <row r="3052">
      <c r="A3052" s="312"/>
      <c r="B3052" s="312"/>
      <c r="C3052" s="567"/>
      <c r="D3052" s="312"/>
      <c r="E3052" s="511"/>
      <c r="F3052" s="312"/>
      <c r="G3052" s="312"/>
      <c r="H3052" s="312"/>
      <c r="I3052" s="567"/>
      <c r="J3052" s="312" t="b">
        <v>0</v>
      </c>
      <c r="K3052" s="312"/>
      <c r="L3052" s="312"/>
      <c r="M3052" s="511"/>
      <c r="N3052" s="312"/>
      <c r="O3052" s="312"/>
      <c r="P3052" s="312"/>
      <c r="Q3052" s="312"/>
      <c r="R3052" s="312"/>
      <c r="S3052" s="312"/>
      <c r="T3052" s="312"/>
      <c r="U3052" s="312"/>
    </row>
    <row r="3053">
      <c r="A3053" s="312"/>
      <c r="B3053" s="312"/>
      <c r="C3053" s="567"/>
      <c r="D3053" s="312"/>
      <c r="E3053" s="511"/>
      <c r="F3053" s="312"/>
      <c r="G3053" s="312"/>
      <c r="H3053" s="312"/>
      <c r="I3053" s="567"/>
      <c r="J3053" s="312" t="b">
        <v>0</v>
      </c>
      <c r="K3053" s="312"/>
      <c r="L3053" s="312"/>
      <c r="M3053" s="511"/>
      <c r="N3053" s="312"/>
      <c r="O3053" s="312"/>
      <c r="P3053" s="312"/>
      <c r="Q3053" s="312"/>
      <c r="R3053" s="312"/>
      <c r="S3053" s="312"/>
      <c r="T3053" s="312"/>
      <c r="U3053" s="312"/>
    </row>
    <row r="3054">
      <c r="A3054" s="312"/>
      <c r="B3054" s="312"/>
      <c r="C3054" s="567"/>
      <c r="D3054" s="312"/>
      <c r="E3054" s="511"/>
      <c r="F3054" s="312"/>
      <c r="G3054" s="312"/>
      <c r="H3054" s="312"/>
      <c r="I3054" s="567"/>
      <c r="J3054" s="312" t="b">
        <v>0</v>
      </c>
      <c r="K3054" s="312"/>
      <c r="L3054" s="312"/>
      <c r="M3054" s="511"/>
      <c r="N3054" s="312"/>
      <c r="O3054" s="312"/>
      <c r="P3054" s="312"/>
      <c r="Q3054" s="312"/>
      <c r="R3054" s="312"/>
      <c r="S3054" s="312"/>
      <c r="T3054" s="312"/>
      <c r="U3054" s="312"/>
    </row>
    <row r="3055">
      <c r="A3055" s="312"/>
      <c r="B3055" s="312"/>
      <c r="C3055" s="567"/>
      <c r="D3055" s="312"/>
      <c r="E3055" s="511"/>
      <c r="F3055" s="312"/>
      <c r="G3055" s="312"/>
      <c r="H3055" s="312"/>
      <c r="I3055" s="567"/>
      <c r="J3055" s="312" t="b">
        <v>0</v>
      </c>
      <c r="K3055" s="312"/>
      <c r="L3055" s="312"/>
      <c r="M3055" s="511"/>
      <c r="N3055" s="312"/>
      <c r="O3055" s="312"/>
      <c r="P3055" s="312"/>
      <c r="Q3055" s="312"/>
      <c r="R3055" s="312"/>
      <c r="S3055" s="312"/>
      <c r="T3055" s="312"/>
      <c r="U3055" s="312"/>
    </row>
    <row r="3056">
      <c r="A3056" s="312"/>
      <c r="B3056" s="312"/>
      <c r="C3056" s="567"/>
      <c r="D3056" s="312"/>
      <c r="E3056" s="511"/>
      <c r="F3056" s="312"/>
      <c r="G3056" s="312"/>
      <c r="H3056" s="312"/>
      <c r="I3056" s="567"/>
      <c r="J3056" s="312" t="b">
        <v>0</v>
      </c>
      <c r="K3056" s="312"/>
      <c r="L3056" s="312"/>
      <c r="M3056" s="511"/>
      <c r="N3056" s="312"/>
      <c r="O3056" s="312"/>
      <c r="P3056" s="312"/>
      <c r="Q3056" s="312"/>
      <c r="R3056" s="312"/>
      <c r="S3056" s="312"/>
      <c r="T3056" s="312"/>
      <c r="U3056" s="312"/>
    </row>
    <row r="3057">
      <c r="A3057" s="312"/>
      <c r="B3057" s="312"/>
      <c r="C3057" s="567"/>
      <c r="D3057" s="312"/>
      <c r="E3057" s="511"/>
      <c r="F3057" s="312"/>
      <c r="G3057" s="312"/>
      <c r="H3057" s="312"/>
      <c r="I3057" s="567"/>
      <c r="J3057" s="312" t="b">
        <v>0</v>
      </c>
      <c r="K3057" s="312"/>
      <c r="L3057" s="312"/>
      <c r="M3057" s="511"/>
      <c r="N3057" s="312"/>
      <c r="O3057" s="312"/>
      <c r="P3057" s="312"/>
      <c r="Q3057" s="312"/>
      <c r="R3057" s="312"/>
      <c r="S3057" s="312"/>
      <c r="T3057" s="312"/>
      <c r="U3057" s="312"/>
    </row>
    <row r="3058">
      <c r="A3058" s="312"/>
      <c r="B3058" s="312"/>
      <c r="C3058" s="567"/>
      <c r="D3058" s="312"/>
      <c r="E3058" s="511"/>
      <c r="F3058" s="312"/>
      <c r="G3058" s="312"/>
      <c r="H3058" s="312"/>
      <c r="I3058" s="567"/>
      <c r="J3058" s="312" t="b">
        <v>0</v>
      </c>
      <c r="K3058" s="312"/>
      <c r="L3058" s="312"/>
      <c r="M3058" s="511"/>
      <c r="N3058" s="312"/>
      <c r="O3058" s="312"/>
      <c r="P3058" s="312"/>
      <c r="Q3058" s="312"/>
      <c r="R3058" s="312"/>
      <c r="S3058" s="312"/>
      <c r="T3058" s="312"/>
      <c r="U3058" s="312"/>
    </row>
    <row r="3059">
      <c r="A3059" s="312"/>
      <c r="B3059" s="312"/>
      <c r="C3059" s="567"/>
      <c r="D3059" s="312"/>
      <c r="E3059" s="511"/>
      <c r="F3059" s="312"/>
      <c r="G3059" s="312"/>
      <c r="H3059" s="312"/>
      <c r="I3059" s="567"/>
      <c r="J3059" s="312" t="b">
        <v>0</v>
      </c>
      <c r="K3059" s="312"/>
      <c r="L3059" s="312"/>
      <c r="M3059" s="511"/>
      <c r="N3059" s="312"/>
      <c r="O3059" s="312"/>
      <c r="P3059" s="312"/>
      <c r="Q3059" s="312"/>
      <c r="R3059" s="312"/>
      <c r="S3059" s="312"/>
      <c r="T3059" s="312"/>
      <c r="U3059" s="312"/>
    </row>
    <row r="3060">
      <c r="A3060" s="312"/>
      <c r="B3060" s="312"/>
      <c r="C3060" s="567"/>
      <c r="D3060" s="312"/>
      <c r="E3060" s="511"/>
      <c r="F3060" s="312"/>
      <c r="G3060" s="312"/>
      <c r="H3060" s="312"/>
      <c r="I3060" s="567"/>
      <c r="J3060" s="312" t="b">
        <v>0</v>
      </c>
      <c r="K3060" s="312"/>
      <c r="L3060" s="312"/>
      <c r="M3060" s="511"/>
      <c r="N3060" s="312"/>
      <c r="O3060" s="312"/>
      <c r="P3060" s="312"/>
      <c r="Q3060" s="312"/>
      <c r="R3060" s="312"/>
      <c r="S3060" s="312"/>
      <c r="T3060" s="312"/>
      <c r="U3060" s="312"/>
    </row>
    <row r="3061">
      <c r="A3061" s="312"/>
      <c r="B3061" s="312"/>
      <c r="C3061" s="567"/>
      <c r="D3061" s="312"/>
      <c r="E3061" s="511"/>
      <c r="F3061" s="312"/>
      <c r="G3061" s="312"/>
      <c r="H3061" s="312"/>
      <c r="I3061" s="567"/>
      <c r="J3061" s="312" t="b">
        <v>0</v>
      </c>
      <c r="K3061" s="312"/>
      <c r="L3061" s="312"/>
      <c r="M3061" s="511"/>
      <c r="N3061" s="312"/>
      <c r="O3061" s="312"/>
      <c r="P3061" s="312"/>
      <c r="Q3061" s="312"/>
      <c r="R3061" s="312"/>
      <c r="S3061" s="312"/>
      <c r="T3061" s="312"/>
      <c r="U3061" s="312"/>
    </row>
    <row r="3062">
      <c r="A3062" s="312"/>
      <c r="B3062" s="312"/>
      <c r="C3062" s="567"/>
      <c r="D3062" s="312"/>
      <c r="E3062" s="511"/>
      <c r="F3062" s="312"/>
      <c r="G3062" s="312"/>
      <c r="H3062" s="312"/>
      <c r="I3062" s="567"/>
      <c r="J3062" s="312" t="b">
        <v>0</v>
      </c>
      <c r="K3062" s="312"/>
      <c r="L3062" s="312"/>
      <c r="M3062" s="511"/>
      <c r="N3062" s="312"/>
      <c r="O3062" s="312"/>
      <c r="P3062" s="312"/>
      <c r="Q3062" s="312"/>
      <c r="R3062" s="312"/>
      <c r="S3062" s="312"/>
      <c r="T3062" s="312"/>
      <c r="U3062" s="312"/>
    </row>
    <row r="3063">
      <c r="A3063" s="312"/>
      <c r="B3063" s="312"/>
      <c r="C3063" s="567"/>
      <c r="D3063" s="312"/>
      <c r="E3063" s="511"/>
      <c r="F3063" s="312"/>
      <c r="G3063" s="312"/>
      <c r="H3063" s="312"/>
      <c r="I3063" s="567"/>
      <c r="J3063" s="312" t="b">
        <v>0</v>
      </c>
      <c r="K3063" s="312"/>
      <c r="L3063" s="312"/>
      <c r="M3063" s="511"/>
      <c r="N3063" s="312"/>
      <c r="O3063" s="312"/>
      <c r="P3063" s="312"/>
      <c r="Q3063" s="312"/>
      <c r="R3063" s="312"/>
      <c r="S3063" s="312"/>
      <c r="T3063" s="312"/>
      <c r="U3063" s="312"/>
    </row>
    <row r="3064">
      <c r="A3064" s="312"/>
      <c r="B3064" s="312"/>
      <c r="C3064" s="567"/>
      <c r="D3064" s="312"/>
      <c r="E3064" s="511"/>
      <c r="F3064" s="312"/>
      <c r="G3064" s="312"/>
      <c r="H3064" s="312"/>
      <c r="I3064" s="567"/>
      <c r="J3064" s="312" t="b">
        <v>0</v>
      </c>
      <c r="K3064" s="312"/>
      <c r="L3064" s="312"/>
      <c r="M3064" s="511"/>
      <c r="N3064" s="312"/>
      <c r="O3064" s="312"/>
      <c r="P3064" s="312"/>
      <c r="Q3064" s="312"/>
      <c r="R3064" s="312"/>
      <c r="S3064" s="312"/>
      <c r="T3064" s="312"/>
      <c r="U3064" s="312"/>
    </row>
    <row r="3065">
      <c r="A3065" s="312"/>
      <c r="B3065" s="312"/>
      <c r="C3065" s="567"/>
      <c r="D3065" s="312"/>
      <c r="E3065" s="511"/>
      <c r="F3065" s="312"/>
      <c r="G3065" s="312"/>
      <c r="H3065" s="312"/>
      <c r="I3065" s="567"/>
      <c r="J3065" s="312" t="b">
        <v>0</v>
      </c>
      <c r="K3065" s="312"/>
      <c r="L3065" s="312"/>
      <c r="M3065" s="511"/>
      <c r="N3065" s="312"/>
      <c r="O3065" s="312"/>
      <c r="P3065" s="312"/>
      <c r="Q3065" s="312"/>
      <c r="R3065" s="312"/>
      <c r="S3065" s="312"/>
      <c r="T3065" s="312"/>
      <c r="U3065" s="312"/>
    </row>
    <row r="3066">
      <c r="A3066" s="312"/>
      <c r="B3066" s="312"/>
      <c r="C3066" s="567"/>
      <c r="D3066" s="312"/>
      <c r="E3066" s="511"/>
      <c r="F3066" s="312"/>
      <c r="G3066" s="312"/>
      <c r="H3066" s="312"/>
      <c r="I3066" s="567"/>
      <c r="J3066" s="312" t="b">
        <v>0</v>
      </c>
      <c r="K3066" s="312"/>
      <c r="L3066" s="312"/>
      <c r="M3066" s="511"/>
      <c r="N3066" s="312"/>
      <c r="O3066" s="312"/>
      <c r="P3066" s="312"/>
      <c r="Q3066" s="312"/>
      <c r="R3066" s="312"/>
      <c r="S3066" s="312"/>
      <c r="T3066" s="312"/>
      <c r="U3066" s="312"/>
    </row>
    <row r="3067">
      <c r="A3067" s="312"/>
      <c r="B3067" s="312"/>
      <c r="C3067" s="567"/>
      <c r="D3067" s="312"/>
      <c r="E3067" s="511"/>
      <c r="F3067" s="312"/>
      <c r="G3067" s="312"/>
      <c r="H3067" s="312"/>
      <c r="I3067" s="567"/>
      <c r="J3067" s="312" t="b">
        <v>0</v>
      </c>
      <c r="K3067" s="312"/>
      <c r="L3067" s="312"/>
      <c r="M3067" s="511"/>
      <c r="N3067" s="312"/>
      <c r="O3067" s="312"/>
      <c r="P3067" s="312"/>
      <c r="Q3067" s="312"/>
      <c r="R3067" s="312"/>
      <c r="S3067" s="312"/>
      <c r="T3067" s="312"/>
      <c r="U3067" s="312"/>
    </row>
    <row r="3068">
      <c r="A3068" s="312"/>
      <c r="B3068" s="312"/>
      <c r="C3068" s="567"/>
      <c r="D3068" s="312"/>
      <c r="E3068" s="511"/>
      <c r="F3068" s="312"/>
      <c r="G3068" s="312"/>
      <c r="H3068" s="312"/>
      <c r="I3068" s="567"/>
      <c r="J3068" s="312" t="b">
        <v>0</v>
      </c>
      <c r="K3068" s="312"/>
      <c r="L3068" s="312"/>
      <c r="M3068" s="511"/>
      <c r="N3068" s="312"/>
      <c r="O3068" s="312"/>
      <c r="P3068" s="312"/>
      <c r="Q3068" s="312"/>
      <c r="R3068" s="312"/>
      <c r="S3068" s="312"/>
      <c r="T3068" s="312"/>
      <c r="U3068" s="312"/>
    </row>
    <row r="3069">
      <c r="A3069" s="312"/>
      <c r="B3069" s="312"/>
      <c r="C3069" s="567"/>
      <c r="D3069" s="312"/>
      <c r="E3069" s="511"/>
      <c r="F3069" s="312"/>
      <c r="G3069" s="312"/>
      <c r="H3069" s="312"/>
      <c r="I3069" s="567"/>
      <c r="J3069" s="312" t="b">
        <v>0</v>
      </c>
      <c r="K3069" s="312"/>
      <c r="L3069" s="312"/>
      <c r="M3069" s="511"/>
      <c r="N3069" s="312"/>
      <c r="O3069" s="312"/>
      <c r="P3069" s="312"/>
      <c r="Q3069" s="312"/>
      <c r="R3069" s="312"/>
      <c r="S3069" s="312"/>
      <c r="T3069" s="312"/>
      <c r="U3069" s="312"/>
    </row>
    <row r="3070">
      <c r="A3070" s="312"/>
      <c r="B3070" s="312"/>
      <c r="C3070" s="567"/>
      <c r="D3070" s="312"/>
      <c r="E3070" s="511"/>
      <c r="F3070" s="312"/>
      <c r="G3070" s="312"/>
      <c r="H3070" s="312"/>
      <c r="I3070" s="567"/>
      <c r="J3070" s="312" t="b">
        <v>0</v>
      </c>
      <c r="K3070" s="312"/>
      <c r="L3070" s="312"/>
      <c r="M3070" s="511"/>
      <c r="N3070" s="312"/>
      <c r="O3070" s="312"/>
      <c r="P3070" s="312"/>
      <c r="Q3070" s="312"/>
      <c r="R3070" s="312"/>
      <c r="S3070" s="312"/>
      <c r="T3070" s="312"/>
      <c r="U3070" s="312"/>
    </row>
    <row r="3071">
      <c r="A3071" s="312"/>
      <c r="B3071" s="312"/>
      <c r="C3071" s="567"/>
      <c r="D3071" s="312"/>
      <c r="E3071" s="511"/>
      <c r="F3071" s="312"/>
      <c r="G3071" s="312"/>
      <c r="H3071" s="312"/>
      <c r="I3071" s="567"/>
      <c r="J3071" s="312" t="b">
        <v>0</v>
      </c>
      <c r="K3071" s="312"/>
      <c r="L3071" s="312"/>
      <c r="M3071" s="511"/>
      <c r="N3071" s="312"/>
      <c r="O3071" s="312"/>
      <c r="P3071" s="312"/>
      <c r="Q3071" s="312"/>
      <c r="R3071" s="312"/>
      <c r="S3071" s="312"/>
      <c r="T3071" s="312"/>
      <c r="U3071" s="312"/>
    </row>
    <row r="3072">
      <c r="A3072" s="312"/>
      <c r="B3072" s="312"/>
      <c r="C3072" s="567"/>
      <c r="D3072" s="312"/>
      <c r="E3072" s="511"/>
      <c r="F3072" s="312"/>
      <c r="G3072" s="312"/>
      <c r="H3072" s="312"/>
      <c r="I3072" s="567"/>
      <c r="J3072" s="312" t="b">
        <v>0</v>
      </c>
      <c r="K3072" s="312"/>
      <c r="L3072" s="312"/>
      <c r="M3072" s="511"/>
      <c r="N3072" s="312"/>
      <c r="O3072" s="312"/>
      <c r="P3072" s="312"/>
      <c r="Q3072" s="312"/>
      <c r="R3072" s="312"/>
      <c r="S3072" s="312"/>
      <c r="T3072" s="312"/>
      <c r="U3072" s="312"/>
    </row>
    <row r="3073">
      <c r="A3073" s="312"/>
      <c r="B3073" s="312"/>
      <c r="C3073" s="567"/>
      <c r="D3073" s="312"/>
      <c r="E3073" s="511"/>
      <c r="F3073" s="312"/>
      <c r="G3073" s="312"/>
      <c r="H3073" s="312"/>
      <c r="I3073" s="567"/>
      <c r="J3073" s="312" t="b">
        <v>0</v>
      </c>
      <c r="K3073" s="312"/>
      <c r="L3073" s="312"/>
      <c r="M3073" s="511"/>
      <c r="N3073" s="312"/>
      <c r="O3073" s="312"/>
      <c r="P3073" s="312"/>
      <c r="Q3073" s="312"/>
      <c r="R3073" s="312"/>
      <c r="S3073" s="312"/>
      <c r="T3073" s="312"/>
      <c r="U3073" s="312"/>
    </row>
    <row r="3074">
      <c r="A3074" s="312"/>
      <c r="B3074" s="312"/>
      <c r="C3074" s="567"/>
      <c r="D3074" s="312"/>
      <c r="E3074" s="511"/>
      <c r="F3074" s="312"/>
      <c r="G3074" s="312"/>
      <c r="H3074" s="312"/>
      <c r="I3074" s="567"/>
      <c r="J3074" s="312" t="b">
        <v>0</v>
      </c>
      <c r="K3074" s="312"/>
      <c r="L3074" s="312"/>
      <c r="M3074" s="511"/>
      <c r="N3074" s="312"/>
      <c r="O3074" s="312"/>
      <c r="P3074" s="312"/>
      <c r="Q3074" s="312"/>
      <c r="R3074" s="312"/>
      <c r="S3074" s="312"/>
      <c r="T3074" s="312"/>
      <c r="U3074" s="312"/>
    </row>
    <row r="3075">
      <c r="A3075" s="312"/>
      <c r="B3075" s="312"/>
      <c r="C3075" s="567"/>
      <c r="D3075" s="312"/>
      <c r="E3075" s="511"/>
      <c r="F3075" s="312"/>
      <c r="G3075" s="312"/>
      <c r="H3075" s="312"/>
      <c r="I3075" s="567"/>
      <c r="J3075" s="312" t="b">
        <v>0</v>
      </c>
      <c r="K3075" s="312"/>
      <c r="L3075" s="312"/>
      <c r="M3075" s="511"/>
      <c r="N3075" s="312"/>
      <c r="O3075" s="312"/>
      <c r="P3075" s="312"/>
      <c r="Q3075" s="312"/>
      <c r="R3075" s="312"/>
      <c r="S3075" s="312"/>
      <c r="T3075" s="312"/>
      <c r="U3075" s="312"/>
    </row>
    <row r="3076">
      <c r="A3076" s="312"/>
      <c r="B3076" s="312"/>
      <c r="C3076" s="567"/>
      <c r="D3076" s="312"/>
      <c r="E3076" s="511"/>
      <c r="F3076" s="312"/>
      <c r="G3076" s="312"/>
      <c r="H3076" s="312"/>
      <c r="I3076" s="567"/>
      <c r="J3076" s="312" t="b">
        <v>0</v>
      </c>
      <c r="K3076" s="312"/>
      <c r="L3076" s="312"/>
      <c r="M3076" s="511"/>
      <c r="N3076" s="312"/>
      <c r="O3076" s="312"/>
      <c r="P3076" s="312"/>
      <c r="Q3076" s="312"/>
      <c r="R3076" s="312"/>
      <c r="S3076" s="312"/>
      <c r="T3076" s="312"/>
      <c r="U3076" s="312"/>
    </row>
    <row r="3077">
      <c r="A3077" s="312"/>
      <c r="B3077" s="312"/>
      <c r="C3077" s="567"/>
      <c r="D3077" s="312"/>
      <c r="E3077" s="511"/>
      <c r="F3077" s="312"/>
      <c r="G3077" s="312"/>
      <c r="H3077" s="312"/>
      <c r="I3077" s="567"/>
      <c r="J3077" s="312" t="b">
        <v>0</v>
      </c>
      <c r="K3077" s="312"/>
      <c r="L3077" s="312"/>
      <c r="M3077" s="511"/>
      <c r="N3077" s="312"/>
      <c r="O3077" s="312"/>
      <c r="P3077" s="312"/>
      <c r="Q3077" s="312"/>
      <c r="R3077" s="312"/>
      <c r="S3077" s="312"/>
      <c r="T3077" s="312"/>
      <c r="U3077" s="312"/>
    </row>
    <row r="3078">
      <c r="A3078" s="312"/>
      <c r="B3078" s="312"/>
      <c r="C3078" s="567"/>
      <c r="D3078" s="312"/>
      <c r="E3078" s="511"/>
      <c r="F3078" s="312"/>
      <c r="G3078" s="312"/>
      <c r="H3078" s="312"/>
      <c r="I3078" s="567"/>
      <c r="J3078" s="312" t="b">
        <v>0</v>
      </c>
      <c r="K3078" s="312"/>
      <c r="L3078" s="312"/>
      <c r="M3078" s="511"/>
      <c r="N3078" s="312"/>
      <c r="O3078" s="312"/>
      <c r="P3078" s="312"/>
      <c r="Q3078" s="312"/>
      <c r="R3078" s="312"/>
      <c r="S3078" s="312"/>
      <c r="T3078" s="312"/>
      <c r="U3078" s="312"/>
    </row>
    <row r="3079">
      <c r="A3079" s="312"/>
      <c r="B3079" s="312"/>
      <c r="C3079" s="567"/>
      <c r="D3079" s="312"/>
      <c r="E3079" s="511"/>
      <c r="F3079" s="312"/>
      <c r="G3079" s="312"/>
      <c r="H3079" s="312"/>
      <c r="I3079" s="567"/>
      <c r="J3079" s="312" t="b">
        <v>0</v>
      </c>
      <c r="K3079" s="312"/>
      <c r="L3079" s="312"/>
      <c r="M3079" s="511"/>
      <c r="N3079" s="312"/>
      <c r="O3079" s="312"/>
      <c r="P3079" s="312"/>
      <c r="Q3079" s="312"/>
      <c r="R3079" s="312"/>
      <c r="S3079" s="312"/>
      <c r="T3079" s="312"/>
      <c r="U3079" s="312"/>
    </row>
    <row r="3080">
      <c r="A3080" s="312"/>
      <c r="B3080" s="312"/>
      <c r="C3080" s="567"/>
      <c r="D3080" s="312"/>
      <c r="E3080" s="511"/>
      <c r="F3080" s="312"/>
      <c r="G3080" s="312"/>
      <c r="H3080" s="312"/>
      <c r="I3080" s="567"/>
      <c r="J3080" s="312" t="b">
        <v>0</v>
      </c>
      <c r="K3080" s="312"/>
      <c r="L3080" s="312"/>
      <c r="M3080" s="511"/>
      <c r="N3080" s="312"/>
      <c r="O3080" s="312"/>
      <c r="P3080" s="312"/>
      <c r="Q3080" s="312"/>
      <c r="R3080" s="312"/>
      <c r="S3080" s="312"/>
      <c r="T3080" s="312"/>
      <c r="U3080" s="312"/>
    </row>
    <row r="3081">
      <c r="A3081" s="312"/>
      <c r="B3081" s="312"/>
      <c r="C3081" s="567"/>
      <c r="D3081" s="312"/>
      <c r="E3081" s="511"/>
      <c r="F3081" s="312"/>
      <c r="G3081" s="312"/>
      <c r="H3081" s="312"/>
      <c r="I3081" s="567"/>
      <c r="J3081" s="312" t="b">
        <v>0</v>
      </c>
      <c r="K3081" s="312"/>
      <c r="L3081" s="312"/>
      <c r="M3081" s="511"/>
      <c r="N3081" s="312"/>
      <c r="O3081" s="312"/>
      <c r="P3081" s="312"/>
      <c r="Q3081" s="312"/>
      <c r="R3081" s="312"/>
      <c r="S3081" s="312"/>
      <c r="T3081" s="312"/>
      <c r="U3081" s="312"/>
    </row>
    <row r="3082">
      <c r="A3082" s="312"/>
      <c r="B3082" s="312"/>
      <c r="C3082" s="567"/>
      <c r="D3082" s="312"/>
      <c r="E3082" s="511"/>
      <c r="F3082" s="312"/>
      <c r="G3082" s="312"/>
      <c r="H3082" s="312"/>
      <c r="I3082" s="567"/>
      <c r="J3082" s="312" t="b">
        <v>0</v>
      </c>
      <c r="K3082" s="312"/>
      <c r="L3082" s="312"/>
      <c r="M3082" s="511"/>
      <c r="N3082" s="312"/>
      <c r="O3082" s="312"/>
      <c r="P3082" s="312"/>
      <c r="Q3082" s="312"/>
      <c r="R3082" s="312"/>
      <c r="S3082" s="312"/>
      <c r="T3082" s="312"/>
      <c r="U3082" s="312"/>
    </row>
    <row r="3083">
      <c r="A3083" s="312"/>
      <c r="B3083" s="312"/>
      <c r="C3083" s="567"/>
      <c r="D3083" s="312"/>
      <c r="E3083" s="511"/>
      <c r="F3083" s="312"/>
      <c r="G3083" s="312"/>
      <c r="H3083" s="312"/>
      <c r="I3083" s="567"/>
      <c r="J3083" s="312" t="b">
        <v>0</v>
      </c>
      <c r="K3083" s="312"/>
      <c r="L3083" s="312"/>
      <c r="M3083" s="511"/>
      <c r="N3083" s="312"/>
      <c r="O3083" s="312"/>
      <c r="P3083" s="312"/>
      <c r="Q3083" s="312"/>
      <c r="R3083" s="312"/>
      <c r="S3083" s="312"/>
      <c r="T3083" s="312"/>
      <c r="U3083" s="312"/>
    </row>
    <row r="3084">
      <c r="A3084" s="312"/>
      <c r="B3084" s="312"/>
      <c r="C3084" s="567"/>
      <c r="D3084" s="312"/>
      <c r="E3084" s="511"/>
      <c r="F3084" s="312"/>
      <c r="G3084" s="312"/>
      <c r="H3084" s="312"/>
      <c r="I3084" s="567"/>
      <c r="J3084" s="312" t="b">
        <v>0</v>
      </c>
      <c r="K3084" s="312"/>
      <c r="L3084" s="312"/>
      <c r="M3084" s="511"/>
      <c r="N3084" s="312"/>
      <c r="O3084" s="312"/>
      <c r="P3084" s="312"/>
      <c r="Q3084" s="312"/>
      <c r="R3084" s="312"/>
      <c r="S3084" s="312"/>
      <c r="T3084" s="312"/>
      <c r="U3084" s="312"/>
    </row>
    <row r="3085">
      <c r="A3085" s="312"/>
      <c r="B3085" s="312"/>
      <c r="C3085" s="567"/>
      <c r="D3085" s="312"/>
      <c r="E3085" s="511"/>
      <c r="F3085" s="312"/>
      <c r="G3085" s="312"/>
      <c r="H3085" s="312"/>
      <c r="I3085" s="567"/>
      <c r="J3085" s="312" t="b">
        <v>0</v>
      </c>
      <c r="K3085" s="312"/>
      <c r="L3085" s="312"/>
      <c r="M3085" s="511"/>
      <c r="N3085" s="312"/>
      <c r="O3085" s="312"/>
      <c r="P3085" s="312"/>
      <c r="Q3085" s="312"/>
      <c r="R3085" s="312"/>
      <c r="S3085" s="312"/>
      <c r="T3085" s="312"/>
      <c r="U3085" s="312"/>
    </row>
    <row r="3086">
      <c r="A3086" s="312"/>
      <c r="B3086" s="312"/>
      <c r="C3086" s="567"/>
      <c r="D3086" s="312"/>
      <c r="E3086" s="511"/>
      <c r="F3086" s="312"/>
      <c r="G3086" s="312"/>
      <c r="H3086" s="312"/>
      <c r="I3086" s="567"/>
      <c r="J3086" s="312" t="b">
        <v>0</v>
      </c>
      <c r="K3086" s="312"/>
      <c r="L3086" s="312"/>
      <c r="M3086" s="511"/>
      <c r="N3086" s="312"/>
      <c r="O3086" s="312"/>
      <c r="P3086" s="312"/>
      <c r="Q3086" s="312"/>
      <c r="R3086" s="312"/>
      <c r="S3086" s="312"/>
      <c r="T3086" s="312"/>
      <c r="U3086" s="312"/>
    </row>
    <row r="3087">
      <c r="A3087" s="312"/>
      <c r="B3087" s="312"/>
      <c r="C3087" s="567"/>
      <c r="D3087" s="312"/>
      <c r="E3087" s="511"/>
      <c r="F3087" s="312"/>
      <c r="G3087" s="312"/>
      <c r="H3087" s="312"/>
      <c r="I3087" s="567"/>
      <c r="J3087" s="312" t="b">
        <v>0</v>
      </c>
      <c r="K3087" s="312"/>
      <c r="L3087" s="312"/>
      <c r="M3087" s="511"/>
      <c r="N3087" s="312"/>
      <c r="O3087" s="312"/>
      <c r="P3087" s="312"/>
      <c r="Q3087" s="312"/>
      <c r="R3087" s="312"/>
      <c r="S3087" s="312"/>
      <c r="T3087" s="312"/>
      <c r="U3087" s="312"/>
    </row>
    <row r="3088">
      <c r="A3088" s="312"/>
      <c r="B3088" s="312"/>
      <c r="C3088" s="567"/>
      <c r="D3088" s="312"/>
      <c r="E3088" s="511"/>
      <c r="F3088" s="312"/>
      <c r="G3088" s="312"/>
      <c r="H3088" s="312"/>
      <c r="I3088" s="567"/>
      <c r="J3088" s="312" t="b">
        <v>0</v>
      </c>
      <c r="K3088" s="312"/>
      <c r="L3088" s="312"/>
      <c r="M3088" s="511"/>
      <c r="N3088" s="312"/>
      <c r="O3088" s="312"/>
      <c r="P3088" s="312"/>
      <c r="Q3088" s="312"/>
      <c r="R3088" s="312"/>
      <c r="S3088" s="312"/>
      <c r="T3088" s="312"/>
      <c r="U3088" s="312"/>
    </row>
    <row r="3089">
      <c r="A3089" s="312"/>
      <c r="B3089" s="312"/>
      <c r="C3089" s="567"/>
      <c r="D3089" s="312"/>
      <c r="E3089" s="511"/>
      <c r="F3089" s="312"/>
      <c r="G3089" s="312"/>
      <c r="H3089" s="312"/>
      <c r="I3089" s="567"/>
      <c r="J3089" s="312" t="b">
        <v>0</v>
      </c>
      <c r="K3089" s="312"/>
      <c r="L3089" s="312"/>
      <c r="M3089" s="511"/>
      <c r="N3089" s="312"/>
      <c r="O3089" s="312"/>
      <c r="P3089" s="312"/>
      <c r="Q3089" s="312"/>
      <c r="R3089" s="312"/>
      <c r="S3089" s="312"/>
      <c r="T3089" s="312"/>
      <c r="U3089" s="312"/>
    </row>
    <row r="3090">
      <c r="A3090" s="312"/>
      <c r="B3090" s="312"/>
      <c r="C3090" s="567"/>
      <c r="D3090" s="312"/>
      <c r="E3090" s="511"/>
      <c r="F3090" s="312"/>
      <c r="G3090" s="312"/>
      <c r="H3090" s="312"/>
      <c r="I3090" s="567"/>
      <c r="J3090" s="312" t="b">
        <v>0</v>
      </c>
      <c r="K3090" s="312"/>
      <c r="L3090" s="312"/>
      <c r="M3090" s="511"/>
      <c r="N3090" s="312"/>
      <c r="O3090" s="312"/>
      <c r="P3090" s="312"/>
      <c r="Q3090" s="312"/>
      <c r="R3090" s="312"/>
      <c r="S3090" s="312"/>
      <c r="T3090" s="312"/>
      <c r="U3090" s="312"/>
    </row>
    <row r="3091">
      <c r="A3091" s="312"/>
      <c r="B3091" s="312"/>
      <c r="C3091" s="567"/>
      <c r="D3091" s="312"/>
      <c r="E3091" s="511"/>
      <c r="F3091" s="312"/>
      <c r="G3091" s="312"/>
      <c r="H3091" s="312"/>
      <c r="I3091" s="567"/>
      <c r="J3091" s="312" t="b">
        <v>0</v>
      </c>
      <c r="K3091" s="312"/>
      <c r="L3091" s="312"/>
      <c r="M3091" s="511"/>
      <c r="N3091" s="312"/>
      <c r="O3091" s="312"/>
      <c r="P3091" s="312"/>
      <c r="Q3091" s="312"/>
      <c r="R3091" s="312"/>
      <c r="S3091" s="312"/>
      <c r="T3091" s="312"/>
      <c r="U3091" s="312"/>
    </row>
    <row r="3092">
      <c r="A3092" s="312"/>
      <c r="B3092" s="312"/>
      <c r="C3092" s="567"/>
      <c r="D3092" s="312"/>
      <c r="E3092" s="511"/>
      <c r="F3092" s="312"/>
      <c r="G3092" s="312"/>
      <c r="H3092" s="312"/>
      <c r="I3092" s="567"/>
      <c r="J3092" s="312" t="b">
        <v>0</v>
      </c>
      <c r="K3092" s="312"/>
      <c r="L3092" s="312"/>
      <c r="M3092" s="511"/>
      <c r="N3092" s="312"/>
      <c r="O3092" s="312"/>
      <c r="P3092" s="312"/>
      <c r="Q3092" s="312"/>
      <c r="R3092" s="312"/>
      <c r="S3092" s="312"/>
      <c r="T3092" s="312"/>
      <c r="U3092" s="312"/>
    </row>
    <row r="3093">
      <c r="A3093" s="312"/>
      <c r="B3093" s="312"/>
      <c r="C3093" s="567"/>
      <c r="D3093" s="312"/>
      <c r="E3093" s="511"/>
      <c r="F3093" s="312"/>
      <c r="G3093" s="312"/>
      <c r="H3093" s="312"/>
      <c r="I3093" s="567"/>
      <c r="J3093" s="312" t="b">
        <v>0</v>
      </c>
      <c r="K3093" s="312"/>
      <c r="L3093" s="312"/>
      <c r="M3093" s="511"/>
      <c r="N3093" s="312"/>
      <c r="O3093" s="312"/>
      <c r="P3093" s="312"/>
      <c r="Q3093" s="312"/>
      <c r="R3093" s="312"/>
      <c r="S3093" s="312"/>
      <c r="T3093" s="312"/>
      <c r="U3093" s="312"/>
    </row>
    <row r="3094">
      <c r="A3094" s="312"/>
      <c r="B3094" s="312"/>
      <c r="C3094" s="567"/>
      <c r="D3094" s="312"/>
      <c r="E3094" s="511"/>
      <c r="F3094" s="312"/>
      <c r="G3094" s="312"/>
      <c r="H3094" s="312"/>
      <c r="I3094" s="567"/>
      <c r="J3094" s="312" t="b">
        <v>0</v>
      </c>
      <c r="K3094" s="312"/>
      <c r="L3094" s="312"/>
      <c r="M3094" s="511"/>
      <c r="N3094" s="312"/>
      <c r="O3094" s="312"/>
      <c r="P3094" s="312"/>
      <c r="Q3094" s="312"/>
      <c r="R3094" s="312"/>
      <c r="S3094" s="312"/>
      <c r="T3094" s="312"/>
      <c r="U3094" s="312"/>
    </row>
    <row r="3095">
      <c r="A3095" s="312"/>
      <c r="B3095" s="312"/>
      <c r="C3095" s="567"/>
      <c r="D3095" s="312"/>
      <c r="E3095" s="511"/>
      <c r="F3095" s="312"/>
      <c r="G3095" s="312"/>
      <c r="H3095" s="312"/>
      <c r="I3095" s="567"/>
      <c r="J3095" s="312" t="b">
        <v>0</v>
      </c>
      <c r="K3095" s="312"/>
      <c r="L3095" s="312"/>
      <c r="M3095" s="511"/>
      <c r="N3095" s="312"/>
      <c r="O3095" s="312"/>
      <c r="P3095" s="312"/>
      <c r="Q3095" s="312"/>
      <c r="R3095" s="312"/>
      <c r="S3095" s="312"/>
      <c r="T3095" s="312"/>
      <c r="U3095" s="312"/>
    </row>
    <row r="3096">
      <c r="A3096" s="312"/>
      <c r="B3096" s="312"/>
      <c r="C3096" s="567"/>
      <c r="D3096" s="312"/>
      <c r="E3096" s="511"/>
      <c r="F3096" s="312"/>
      <c r="G3096" s="312"/>
      <c r="H3096" s="312"/>
      <c r="I3096" s="567"/>
      <c r="J3096" s="312" t="b">
        <v>0</v>
      </c>
      <c r="K3096" s="312"/>
      <c r="L3096" s="312"/>
      <c r="M3096" s="511"/>
      <c r="N3096" s="312"/>
      <c r="O3096" s="312"/>
      <c r="P3096" s="312"/>
      <c r="Q3096" s="312"/>
      <c r="R3096" s="312"/>
      <c r="S3096" s="312"/>
      <c r="T3096" s="312"/>
      <c r="U3096" s="312"/>
    </row>
    <row r="3097">
      <c r="A3097" s="312"/>
      <c r="B3097" s="312"/>
      <c r="C3097" s="567"/>
      <c r="D3097" s="312"/>
      <c r="E3097" s="511"/>
      <c r="F3097" s="312"/>
      <c r="G3097" s="312"/>
      <c r="H3097" s="312"/>
      <c r="I3097" s="567"/>
      <c r="J3097" s="312" t="b">
        <v>0</v>
      </c>
      <c r="K3097" s="312"/>
      <c r="L3097" s="312"/>
      <c r="M3097" s="511"/>
      <c r="N3097" s="312"/>
      <c r="O3097" s="312"/>
      <c r="P3097" s="312"/>
      <c r="Q3097" s="312"/>
      <c r="R3097" s="312"/>
      <c r="S3097" s="312"/>
      <c r="T3097" s="312"/>
      <c r="U3097" s="312"/>
    </row>
    <row r="3098">
      <c r="A3098" s="312"/>
      <c r="B3098" s="312"/>
      <c r="C3098" s="567"/>
      <c r="D3098" s="312"/>
      <c r="E3098" s="511"/>
      <c r="F3098" s="312"/>
      <c r="G3098" s="312"/>
      <c r="H3098" s="312"/>
      <c r="I3098" s="567"/>
      <c r="J3098" s="312" t="b">
        <v>0</v>
      </c>
      <c r="K3098" s="312"/>
      <c r="L3098" s="312"/>
      <c r="M3098" s="511"/>
      <c r="N3098" s="312"/>
      <c r="O3098" s="312"/>
      <c r="P3098" s="312"/>
      <c r="Q3098" s="312"/>
      <c r="R3098" s="312"/>
      <c r="S3098" s="312"/>
      <c r="T3098" s="312"/>
      <c r="U3098" s="312"/>
    </row>
    <row r="3099">
      <c r="A3099" s="312"/>
      <c r="B3099" s="312"/>
      <c r="C3099" s="567"/>
      <c r="D3099" s="312"/>
      <c r="E3099" s="511"/>
      <c r="F3099" s="312"/>
      <c r="G3099" s="312"/>
      <c r="H3099" s="312"/>
      <c r="I3099" s="567"/>
      <c r="J3099" s="312" t="b">
        <v>0</v>
      </c>
      <c r="K3099" s="312"/>
      <c r="L3099" s="312"/>
      <c r="M3099" s="511"/>
      <c r="N3099" s="312"/>
      <c r="O3099" s="312"/>
      <c r="P3099" s="312"/>
      <c r="Q3099" s="312"/>
      <c r="R3099" s="312"/>
      <c r="S3099" s="312"/>
      <c r="T3099" s="312"/>
      <c r="U3099" s="312"/>
    </row>
    <row r="3100">
      <c r="A3100" s="312"/>
      <c r="B3100" s="312"/>
      <c r="C3100" s="567"/>
      <c r="D3100" s="312"/>
      <c r="E3100" s="511"/>
      <c r="F3100" s="312"/>
      <c r="G3100" s="312"/>
      <c r="H3100" s="312"/>
      <c r="I3100" s="567"/>
      <c r="J3100" s="312" t="b">
        <v>0</v>
      </c>
      <c r="K3100" s="312"/>
      <c r="L3100" s="312"/>
      <c r="M3100" s="511"/>
      <c r="N3100" s="312"/>
      <c r="O3100" s="312"/>
      <c r="P3100" s="312"/>
      <c r="Q3100" s="312"/>
      <c r="R3100" s="312"/>
      <c r="S3100" s="312"/>
      <c r="T3100" s="312"/>
      <c r="U3100" s="312"/>
    </row>
    <row r="3101">
      <c r="A3101" s="312"/>
      <c r="B3101" s="312"/>
      <c r="C3101" s="567"/>
      <c r="D3101" s="312"/>
      <c r="E3101" s="511"/>
      <c r="F3101" s="312"/>
      <c r="G3101" s="312"/>
      <c r="H3101" s="312"/>
      <c r="I3101" s="567"/>
      <c r="J3101" s="312" t="b">
        <v>0</v>
      </c>
      <c r="K3101" s="312"/>
      <c r="L3101" s="312"/>
      <c r="M3101" s="511"/>
      <c r="N3101" s="312"/>
      <c r="O3101" s="312"/>
      <c r="P3101" s="312"/>
      <c r="Q3101" s="312"/>
      <c r="R3101" s="312"/>
      <c r="S3101" s="312"/>
      <c r="T3101" s="312"/>
      <c r="U3101" s="312"/>
    </row>
    <row r="3102">
      <c r="A3102" s="312"/>
      <c r="B3102" s="312"/>
      <c r="C3102" s="567"/>
      <c r="D3102" s="312"/>
      <c r="E3102" s="511"/>
      <c r="F3102" s="312"/>
      <c r="G3102" s="312"/>
      <c r="H3102" s="312"/>
      <c r="I3102" s="567"/>
      <c r="J3102" s="312" t="b">
        <v>0</v>
      </c>
      <c r="K3102" s="312"/>
      <c r="L3102" s="312"/>
      <c r="M3102" s="511"/>
      <c r="N3102" s="312"/>
      <c r="O3102" s="312"/>
      <c r="P3102" s="312"/>
      <c r="Q3102" s="312"/>
      <c r="R3102" s="312"/>
      <c r="S3102" s="312"/>
      <c r="T3102" s="312"/>
      <c r="U3102" s="312"/>
    </row>
    <row r="3103">
      <c r="A3103" s="312"/>
      <c r="B3103" s="312"/>
      <c r="C3103" s="567"/>
      <c r="D3103" s="312"/>
      <c r="E3103" s="511"/>
      <c r="F3103" s="312"/>
      <c r="G3103" s="312"/>
      <c r="H3103" s="312"/>
      <c r="I3103" s="567"/>
      <c r="J3103" s="312" t="b">
        <v>0</v>
      </c>
      <c r="K3103" s="312"/>
      <c r="L3103" s="312"/>
      <c r="M3103" s="511"/>
      <c r="N3103" s="312"/>
      <c r="O3103" s="312"/>
      <c r="P3103" s="312"/>
      <c r="Q3103" s="312"/>
      <c r="R3103" s="312"/>
      <c r="S3103" s="312"/>
      <c r="T3103" s="312"/>
      <c r="U3103" s="312"/>
    </row>
    <row r="3104">
      <c r="A3104" s="312"/>
      <c r="B3104" s="312"/>
      <c r="C3104" s="567"/>
      <c r="D3104" s="312"/>
      <c r="E3104" s="511"/>
      <c r="F3104" s="312"/>
      <c r="G3104" s="312"/>
      <c r="H3104" s="312"/>
      <c r="I3104" s="567"/>
      <c r="J3104" s="312" t="b">
        <v>0</v>
      </c>
      <c r="K3104" s="312"/>
      <c r="L3104" s="312"/>
      <c r="M3104" s="511"/>
      <c r="N3104" s="312"/>
      <c r="O3104" s="312"/>
      <c r="P3104" s="312"/>
      <c r="Q3104" s="312"/>
      <c r="R3104" s="312"/>
      <c r="S3104" s="312"/>
      <c r="T3104" s="312"/>
      <c r="U3104" s="312"/>
    </row>
    <row r="3105">
      <c r="A3105" s="312"/>
      <c r="B3105" s="312"/>
      <c r="C3105" s="567"/>
      <c r="D3105" s="312"/>
      <c r="E3105" s="511"/>
      <c r="F3105" s="312"/>
      <c r="G3105" s="312"/>
      <c r="H3105" s="312"/>
      <c r="I3105" s="567"/>
      <c r="J3105" s="312" t="b">
        <v>0</v>
      </c>
      <c r="K3105" s="312"/>
      <c r="L3105" s="312"/>
      <c r="M3105" s="511"/>
      <c r="N3105" s="312"/>
      <c r="O3105" s="312"/>
      <c r="P3105" s="312"/>
      <c r="Q3105" s="312"/>
      <c r="R3105" s="312"/>
      <c r="S3105" s="312"/>
      <c r="T3105" s="312"/>
      <c r="U3105" s="312"/>
    </row>
    <row r="3106">
      <c r="A3106" s="312"/>
      <c r="B3106" s="312"/>
      <c r="C3106" s="567"/>
      <c r="D3106" s="312"/>
      <c r="E3106" s="511"/>
      <c r="F3106" s="312"/>
      <c r="G3106" s="312"/>
      <c r="H3106" s="312"/>
      <c r="I3106" s="567"/>
      <c r="J3106" s="312" t="b">
        <v>0</v>
      </c>
      <c r="K3106" s="312"/>
      <c r="L3106" s="312"/>
      <c r="M3106" s="511"/>
      <c r="N3106" s="312"/>
      <c r="O3106" s="312"/>
      <c r="P3106" s="312"/>
      <c r="Q3106" s="312"/>
      <c r="R3106" s="312"/>
      <c r="S3106" s="312"/>
      <c r="T3106" s="312"/>
      <c r="U3106" s="312"/>
    </row>
    <row r="3107">
      <c r="A3107" s="312"/>
      <c r="B3107" s="312"/>
      <c r="C3107" s="567"/>
      <c r="D3107" s="312"/>
      <c r="E3107" s="511"/>
      <c r="F3107" s="312"/>
      <c r="G3107" s="312"/>
      <c r="H3107" s="312"/>
      <c r="I3107" s="567"/>
      <c r="J3107" s="312" t="b">
        <v>0</v>
      </c>
      <c r="K3107" s="312"/>
      <c r="L3107" s="312"/>
      <c r="M3107" s="511"/>
      <c r="N3107" s="312"/>
      <c r="O3107" s="312"/>
      <c r="P3107" s="312"/>
      <c r="Q3107" s="312"/>
      <c r="R3107" s="312"/>
      <c r="S3107" s="312"/>
      <c r="T3107" s="312"/>
      <c r="U3107" s="312"/>
    </row>
    <row r="3108">
      <c r="A3108" s="312"/>
      <c r="B3108" s="312"/>
      <c r="C3108" s="567"/>
      <c r="D3108" s="312"/>
      <c r="E3108" s="511"/>
      <c r="F3108" s="312"/>
      <c r="G3108" s="312"/>
      <c r="H3108" s="312"/>
      <c r="I3108" s="567"/>
      <c r="J3108" s="312" t="b">
        <v>0</v>
      </c>
      <c r="K3108" s="312"/>
      <c r="L3108" s="312"/>
      <c r="M3108" s="511"/>
      <c r="N3108" s="312"/>
      <c r="O3108" s="312"/>
      <c r="P3108" s="312"/>
      <c r="Q3108" s="312"/>
      <c r="R3108" s="312"/>
      <c r="S3108" s="312"/>
      <c r="T3108" s="312"/>
      <c r="U3108" s="312"/>
    </row>
    <row r="3109">
      <c r="A3109" s="312"/>
      <c r="B3109" s="312"/>
      <c r="C3109" s="567"/>
      <c r="D3109" s="312"/>
      <c r="E3109" s="511"/>
      <c r="F3109" s="312"/>
      <c r="G3109" s="312"/>
      <c r="H3109" s="312"/>
      <c r="I3109" s="567"/>
      <c r="J3109" s="312" t="b">
        <v>0</v>
      </c>
      <c r="K3109" s="312"/>
      <c r="L3109" s="312"/>
      <c r="M3109" s="511"/>
      <c r="N3109" s="312"/>
      <c r="O3109" s="312"/>
      <c r="P3109" s="312"/>
      <c r="Q3109" s="312"/>
      <c r="R3109" s="312"/>
      <c r="S3109" s="312"/>
      <c r="T3109" s="312"/>
      <c r="U3109" s="312"/>
    </row>
    <row r="3110">
      <c r="A3110" s="312"/>
      <c r="B3110" s="312"/>
      <c r="C3110" s="567"/>
      <c r="D3110" s="312"/>
      <c r="E3110" s="511"/>
      <c r="F3110" s="312"/>
      <c r="G3110" s="312"/>
      <c r="H3110" s="312"/>
      <c r="I3110" s="567"/>
      <c r="J3110" s="312" t="b">
        <v>0</v>
      </c>
      <c r="K3110" s="312"/>
      <c r="L3110" s="312"/>
      <c r="M3110" s="511"/>
      <c r="N3110" s="312"/>
      <c r="O3110" s="312"/>
      <c r="P3110" s="312"/>
      <c r="Q3110" s="312"/>
      <c r="R3110" s="312"/>
      <c r="S3110" s="312"/>
      <c r="T3110" s="312"/>
      <c r="U3110" s="312"/>
    </row>
    <row r="3111">
      <c r="A3111" s="312"/>
      <c r="B3111" s="312"/>
      <c r="C3111" s="567"/>
      <c r="D3111" s="312"/>
      <c r="E3111" s="511"/>
      <c r="F3111" s="312"/>
      <c r="G3111" s="312"/>
      <c r="H3111" s="312"/>
      <c r="I3111" s="567"/>
      <c r="J3111" s="312" t="b">
        <v>0</v>
      </c>
      <c r="K3111" s="312"/>
      <c r="L3111" s="312"/>
      <c r="M3111" s="511"/>
      <c r="N3111" s="312"/>
      <c r="O3111" s="312"/>
      <c r="P3111" s="312"/>
      <c r="Q3111" s="312"/>
      <c r="R3111" s="312"/>
      <c r="S3111" s="312"/>
      <c r="T3111" s="312"/>
      <c r="U3111" s="312"/>
    </row>
    <row r="3112">
      <c r="A3112" s="312"/>
      <c r="B3112" s="312"/>
      <c r="C3112" s="567"/>
      <c r="D3112" s="312"/>
      <c r="E3112" s="511"/>
      <c r="F3112" s="312"/>
      <c r="G3112" s="312"/>
      <c r="H3112" s="312"/>
      <c r="I3112" s="567"/>
      <c r="J3112" s="312" t="b">
        <v>0</v>
      </c>
      <c r="K3112" s="312"/>
      <c r="L3112" s="312"/>
      <c r="M3112" s="511"/>
      <c r="N3112" s="312"/>
      <c r="O3112" s="312"/>
      <c r="P3112" s="312"/>
      <c r="Q3112" s="312"/>
      <c r="R3112" s="312"/>
      <c r="S3112" s="312"/>
      <c r="T3112" s="312"/>
      <c r="U3112" s="312"/>
    </row>
    <row r="3113">
      <c r="A3113" s="312"/>
      <c r="B3113" s="312"/>
      <c r="C3113" s="567"/>
      <c r="D3113" s="312"/>
      <c r="E3113" s="511"/>
      <c r="F3113" s="312"/>
      <c r="G3113" s="312"/>
      <c r="H3113" s="312"/>
      <c r="I3113" s="567"/>
      <c r="J3113" s="312" t="b">
        <v>0</v>
      </c>
      <c r="K3113" s="312"/>
      <c r="L3113" s="312"/>
      <c r="M3113" s="511"/>
      <c r="N3113" s="312"/>
      <c r="O3113" s="312"/>
      <c r="P3113" s="312"/>
      <c r="Q3113" s="312"/>
      <c r="R3113" s="312"/>
      <c r="S3113" s="312"/>
      <c r="T3113" s="312"/>
      <c r="U3113" s="312"/>
    </row>
    <row r="3114">
      <c r="A3114" s="312"/>
      <c r="B3114" s="312"/>
      <c r="C3114" s="567"/>
      <c r="D3114" s="312"/>
      <c r="E3114" s="511"/>
      <c r="F3114" s="312"/>
      <c r="G3114" s="312"/>
      <c r="H3114" s="312"/>
      <c r="I3114" s="567"/>
      <c r="J3114" s="312" t="b">
        <v>0</v>
      </c>
      <c r="K3114" s="312"/>
      <c r="L3114" s="312"/>
      <c r="M3114" s="511"/>
      <c r="N3114" s="312"/>
      <c r="O3114" s="312"/>
      <c r="P3114" s="312"/>
      <c r="Q3114" s="312"/>
      <c r="R3114" s="312"/>
      <c r="S3114" s="312"/>
      <c r="T3114" s="312"/>
      <c r="U3114" s="312"/>
    </row>
    <row r="3115">
      <c r="A3115" s="312"/>
      <c r="B3115" s="312"/>
      <c r="C3115" s="567"/>
      <c r="D3115" s="312"/>
      <c r="E3115" s="511"/>
      <c r="F3115" s="312"/>
      <c r="G3115" s="312"/>
      <c r="H3115" s="312"/>
      <c r="I3115" s="567"/>
      <c r="J3115" s="312" t="b">
        <v>0</v>
      </c>
      <c r="K3115" s="312"/>
      <c r="L3115" s="312"/>
      <c r="M3115" s="511"/>
      <c r="N3115" s="312"/>
      <c r="O3115" s="312"/>
      <c r="P3115" s="312"/>
      <c r="Q3115" s="312"/>
      <c r="R3115" s="312"/>
      <c r="S3115" s="312"/>
      <c r="T3115" s="312"/>
      <c r="U3115" s="312"/>
    </row>
    <row r="3116">
      <c r="A3116" s="312"/>
      <c r="B3116" s="312"/>
      <c r="C3116" s="567"/>
      <c r="D3116" s="312"/>
      <c r="E3116" s="511"/>
      <c r="F3116" s="312"/>
      <c r="G3116" s="312"/>
      <c r="H3116" s="312"/>
      <c r="I3116" s="567"/>
      <c r="J3116" s="312" t="b">
        <v>0</v>
      </c>
      <c r="K3116" s="312"/>
      <c r="L3116" s="312"/>
      <c r="M3116" s="511"/>
      <c r="N3116" s="312"/>
      <c r="O3116" s="312"/>
      <c r="P3116" s="312"/>
      <c r="Q3116" s="312"/>
      <c r="R3116" s="312"/>
      <c r="S3116" s="312"/>
      <c r="T3116" s="312"/>
      <c r="U3116" s="312"/>
    </row>
    <row r="3117">
      <c r="A3117" s="312"/>
      <c r="B3117" s="312"/>
      <c r="C3117" s="567"/>
      <c r="D3117" s="312"/>
      <c r="E3117" s="511"/>
      <c r="F3117" s="312"/>
      <c r="G3117" s="312"/>
      <c r="H3117" s="312"/>
      <c r="I3117" s="567"/>
      <c r="J3117" s="312" t="b">
        <v>0</v>
      </c>
      <c r="K3117" s="312"/>
      <c r="L3117" s="312"/>
      <c r="M3117" s="511"/>
      <c r="N3117" s="312"/>
      <c r="O3117" s="312"/>
      <c r="P3117" s="312"/>
      <c r="Q3117" s="312"/>
      <c r="R3117" s="312"/>
      <c r="S3117" s="312"/>
      <c r="T3117" s="312"/>
      <c r="U3117" s="312"/>
    </row>
    <row r="3118">
      <c r="A3118" s="312"/>
      <c r="B3118" s="312"/>
      <c r="C3118" s="567"/>
      <c r="D3118" s="312"/>
      <c r="E3118" s="511"/>
      <c r="F3118" s="312"/>
      <c r="G3118" s="312"/>
      <c r="H3118" s="312"/>
      <c r="I3118" s="567"/>
      <c r="J3118" s="312" t="b">
        <v>0</v>
      </c>
      <c r="K3118" s="312"/>
      <c r="L3118" s="312"/>
      <c r="M3118" s="511"/>
      <c r="N3118" s="312"/>
      <c r="O3118" s="312"/>
      <c r="P3118" s="312"/>
      <c r="Q3118" s="312"/>
      <c r="R3118" s="312"/>
      <c r="S3118" s="312"/>
      <c r="T3118" s="312"/>
      <c r="U3118" s="312"/>
    </row>
    <row r="3119">
      <c r="A3119" s="312"/>
      <c r="B3119" s="312"/>
      <c r="C3119" s="567"/>
      <c r="D3119" s="312"/>
      <c r="E3119" s="511"/>
      <c r="F3119" s="312"/>
      <c r="G3119" s="312"/>
      <c r="H3119" s="312"/>
      <c r="I3119" s="567"/>
      <c r="J3119" s="312" t="b">
        <v>0</v>
      </c>
      <c r="K3119" s="312"/>
      <c r="L3119" s="312"/>
      <c r="M3119" s="511"/>
      <c r="N3119" s="312"/>
      <c r="O3119" s="312"/>
      <c r="P3119" s="312"/>
      <c r="Q3119" s="312"/>
      <c r="R3119" s="312"/>
      <c r="S3119" s="312"/>
      <c r="T3119" s="312"/>
      <c r="U3119" s="312"/>
    </row>
    <row r="3120">
      <c r="A3120" s="312"/>
      <c r="B3120" s="312"/>
      <c r="C3120" s="567"/>
      <c r="D3120" s="312"/>
      <c r="E3120" s="511"/>
      <c r="F3120" s="312"/>
      <c r="G3120" s="312"/>
      <c r="H3120" s="312"/>
      <c r="I3120" s="567"/>
      <c r="J3120" s="312" t="b">
        <v>0</v>
      </c>
      <c r="K3120" s="312"/>
      <c r="L3120" s="312"/>
      <c r="M3120" s="511"/>
      <c r="N3120" s="312"/>
      <c r="O3120" s="312"/>
      <c r="P3120" s="312"/>
      <c r="Q3120" s="312"/>
      <c r="R3120" s="312"/>
      <c r="S3120" s="312"/>
      <c r="T3120" s="312"/>
      <c r="U3120" s="312"/>
    </row>
    <row r="3121">
      <c r="A3121" s="312"/>
      <c r="B3121" s="312"/>
      <c r="C3121" s="567"/>
      <c r="D3121" s="312"/>
      <c r="E3121" s="511"/>
      <c r="F3121" s="312"/>
      <c r="G3121" s="312"/>
      <c r="H3121" s="312"/>
      <c r="I3121" s="567"/>
      <c r="J3121" s="312" t="b">
        <v>0</v>
      </c>
      <c r="K3121" s="312"/>
      <c r="L3121" s="312"/>
      <c r="M3121" s="511"/>
      <c r="N3121" s="312"/>
      <c r="O3121" s="312"/>
      <c r="P3121" s="312"/>
      <c r="Q3121" s="312"/>
      <c r="R3121" s="312"/>
      <c r="S3121" s="312"/>
      <c r="T3121" s="312"/>
      <c r="U3121" s="312"/>
    </row>
    <row r="3122">
      <c r="A3122" s="312"/>
      <c r="B3122" s="312"/>
      <c r="C3122" s="567"/>
      <c r="D3122" s="312"/>
      <c r="E3122" s="511"/>
      <c r="F3122" s="312"/>
      <c r="G3122" s="312"/>
      <c r="H3122" s="312"/>
      <c r="I3122" s="567"/>
      <c r="J3122" s="312" t="b">
        <v>0</v>
      </c>
      <c r="K3122" s="312"/>
      <c r="L3122" s="312"/>
      <c r="M3122" s="511"/>
      <c r="N3122" s="312"/>
      <c r="O3122" s="312"/>
      <c r="P3122" s="312"/>
      <c r="Q3122" s="312"/>
      <c r="R3122" s="312"/>
      <c r="S3122" s="312"/>
      <c r="T3122" s="312"/>
      <c r="U3122" s="312"/>
    </row>
    <row r="3123">
      <c r="A3123" s="312"/>
      <c r="B3123" s="312"/>
      <c r="C3123" s="567"/>
      <c r="D3123" s="312"/>
      <c r="E3123" s="511"/>
      <c r="F3123" s="312"/>
      <c r="G3123" s="312"/>
      <c r="H3123" s="312"/>
      <c r="I3123" s="567"/>
      <c r="J3123" s="312" t="b">
        <v>0</v>
      </c>
      <c r="K3123" s="312"/>
      <c r="L3123" s="312"/>
      <c r="M3123" s="511"/>
      <c r="N3123" s="312"/>
      <c r="O3123" s="312"/>
      <c r="P3123" s="312"/>
      <c r="Q3123" s="312"/>
      <c r="R3123" s="312"/>
      <c r="S3123" s="312"/>
      <c r="T3123" s="312"/>
      <c r="U3123" s="312"/>
    </row>
    <row r="3124">
      <c r="A3124" s="312"/>
      <c r="B3124" s="312"/>
      <c r="C3124" s="567"/>
      <c r="D3124" s="312"/>
      <c r="E3124" s="511"/>
      <c r="F3124" s="312"/>
      <c r="G3124" s="312"/>
      <c r="H3124" s="312"/>
      <c r="I3124" s="567"/>
      <c r="J3124" s="312" t="b">
        <v>0</v>
      </c>
      <c r="K3124" s="312"/>
      <c r="L3124" s="312"/>
      <c r="M3124" s="511"/>
      <c r="N3124" s="312"/>
      <c r="O3124" s="312"/>
      <c r="P3124" s="312"/>
      <c r="Q3124" s="312"/>
      <c r="R3124" s="312"/>
      <c r="S3124" s="312"/>
      <c r="T3124" s="312"/>
      <c r="U3124" s="312"/>
    </row>
    <row r="3125">
      <c r="A3125" s="312"/>
      <c r="B3125" s="312"/>
      <c r="C3125" s="567"/>
      <c r="D3125" s="312"/>
      <c r="E3125" s="511"/>
      <c r="F3125" s="312"/>
      <c r="G3125" s="312"/>
      <c r="H3125" s="312"/>
      <c r="I3125" s="567"/>
      <c r="J3125" s="312" t="b">
        <v>0</v>
      </c>
      <c r="K3125" s="312"/>
      <c r="L3125" s="312"/>
      <c r="M3125" s="511"/>
      <c r="N3125" s="312"/>
      <c r="O3125" s="312"/>
      <c r="P3125" s="312"/>
      <c r="Q3125" s="312"/>
      <c r="R3125" s="312"/>
      <c r="S3125" s="312"/>
      <c r="T3125" s="312"/>
      <c r="U3125" s="312"/>
    </row>
    <row r="3126">
      <c r="A3126" s="312"/>
      <c r="B3126" s="312"/>
      <c r="C3126" s="567"/>
      <c r="D3126" s="312"/>
      <c r="E3126" s="511"/>
      <c r="F3126" s="312"/>
      <c r="G3126" s="312"/>
      <c r="H3126" s="312"/>
      <c r="I3126" s="567"/>
      <c r="J3126" s="312" t="b">
        <v>0</v>
      </c>
      <c r="K3126" s="312"/>
      <c r="L3126" s="312"/>
      <c r="M3126" s="511"/>
      <c r="N3126" s="312"/>
      <c r="O3126" s="312"/>
      <c r="P3126" s="312"/>
      <c r="Q3126" s="312"/>
      <c r="R3126" s="312"/>
      <c r="S3126" s="312"/>
      <c r="T3126" s="312"/>
      <c r="U3126" s="312"/>
    </row>
    <row r="3127">
      <c r="A3127" s="312"/>
      <c r="B3127" s="312"/>
      <c r="C3127" s="567"/>
      <c r="D3127" s="312"/>
      <c r="E3127" s="511"/>
      <c r="F3127" s="312"/>
      <c r="G3127" s="312"/>
      <c r="H3127" s="312"/>
      <c r="I3127" s="567"/>
      <c r="J3127" s="312" t="b">
        <v>0</v>
      </c>
      <c r="K3127" s="312"/>
      <c r="L3127" s="312"/>
      <c r="M3127" s="511"/>
      <c r="N3127" s="312"/>
      <c r="O3127" s="312"/>
      <c r="P3127" s="312"/>
      <c r="Q3127" s="312"/>
      <c r="R3127" s="312"/>
      <c r="S3127" s="312"/>
      <c r="T3127" s="312"/>
      <c r="U3127" s="312"/>
    </row>
    <row r="3128">
      <c r="A3128" s="312"/>
      <c r="B3128" s="312"/>
      <c r="C3128" s="567"/>
      <c r="D3128" s="312"/>
      <c r="E3128" s="511"/>
      <c r="F3128" s="312"/>
      <c r="G3128" s="312"/>
      <c r="H3128" s="312"/>
      <c r="I3128" s="567"/>
      <c r="J3128" s="312" t="b">
        <v>0</v>
      </c>
      <c r="K3128" s="312"/>
      <c r="L3128" s="312"/>
      <c r="M3128" s="511"/>
      <c r="N3128" s="312"/>
      <c r="O3128" s="312"/>
      <c r="P3128" s="312"/>
      <c r="Q3128" s="312"/>
      <c r="R3128" s="312"/>
      <c r="S3128" s="312"/>
      <c r="T3128" s="312"/>
      <c r="U3128" s="312"/>
    </row>
    <row r="3129">
      <c r="A3129" s="312"/>
      <c r="B3129" s="312"/>
      <c r="C3129" s="567"/>
      <c r="D3129" s="312"/>
      <c r="E3129" s="511"/>
      <c r="F3129" s="312"/>
      <c r="G3129" s="312"/>
      <c r="H3129" s="312"/>
      <c r="I3129" s="567"/>
      <c r="J3129" s="312" t="b">
        <v>0</v>
      </c>
      <c r="K3129" s="312"/>
      <c r="L3129" s="312"/>
      <c r="M3129" s="511"/>
      <c r="N3129" s="312"/>
      <c r="O3129" s="312"/>
      <c r="P3129" s="312"/>
      <c r="Q3129" s="312"/>
      <c r="R3129" s="312"/>
      <c r="S3129" s="312"/>
      <c r="T3129" s="312"/>
      <c r="U3129" s="312"/>
    </row>
    <row r="3130">
      <c r="A3130" s="312"/>
      <c r="B3130" s="312"/>
      <c r="C3130" s="567"/>
      <c r="D3130" s="312"/>
      <c r="E3130" s="511"/>
      <c r="F3130" s="312"/>
      <c r="G3130" s="312"/>
      <c r="H3130" s="312"/>
      <c r="I3130" s="567"/>
      <c r="J3130" s="312" t="b">
        <v>0</v>
      </c>
      <c r="K3130" s="312"/>
      <c r="L3130" s="312"/>
      <c r="M3130" s="511"/>
      <c r="N3130" s="312"/>
      <c r="O3130" s="312"/>
      <c r="P3130" s="312"/>
      <c r="Q3130" s="312"/>
      <c r="R3130" s="312"/>
      <c r="S3130" s="312"/>
      <c r="T3130" s="312"/>
      <c r="U3130" s="312"/>
    </row>
    <row r="3131">
      <c r="A3131" s="312"/>
      <c r="B3131" s="312"/>
      <c r="C3131" s="567"/>
      <c r="D3131" s="312"/>
      <c r="E3131" s="511"/>
      <c r="F3131" s="312"/>
      <c r="G3131" s="312"/>
      <c r="H3131" s="312"/>
      <c r="I3131" s="567"/>
      <c r="J3131" s="312" t="b">
        <v>0</v>
      </c>
      <c r="K3131" s="312"/>
      <c r="L3131" s="312"/>
      <c r="M3131" s="511"/>
      <c r="N3131" s="312"/>
      <c r="O3131" s="312"/>
      <c r="P3131" s="312"/>
      <c r="Q3131" s="312"/>
      <c r="R3131" s="312"/>
      <c r="S3131" s="312"/>
      <c r="T3131" s="312"/>
      <c r="U3131" s="312"/>
    </row>
    <row r="3132">
      <c r="A3132" s="312"/>
      <c r="B3132" s="312"/>
      <c r="C3132" s="567"/>
      <c r="D3132" s="312"/>
      <c r="E3132" s="511"/>
      <c r="F3132" s="312"/>
      <c r="G3132" s="312"/>
      <c r="H3132" s="312"/>
      <c r="I3132" s="567"/>
      <c r="J3132" s="312" t="b">
        <v>0</v>
      </c>
      <c r="K3132" s="312"/>
      <c r="L3132" s="312"/>
      <c r="M3132" s="511"/>
      <c r="N3132" s="312"/>
      <c r="O3132" s="312"/>
      <c r="P3132" s="312"/>
      <c r="Q3132" s="312"/>
      <c r="R3132" s="312"/>
      <c r="S3132" s="312"/>
      <c r="T3132" s="312"/>
      <c r="U3132" s="312"/>
    </row>
    <row r="3133">
      <c r="A3133" s="312"/>
      <c r="B3133" s="312"/>
      <c r="C3133" s="567"/>
      <c r="D3133" s="312"/>
      <c r="E3133" s="511"/>
      <c r="F3133" s="312"/>
      <c r="G3133" s="312"/>
      <c r="H3133" s="312"/>
      <c r="I3133" s="567"/>
      <c r="J3133" s="312" t="b">
        <v>0</v>
      </c>
      <c r="K3133" s="312"/>
      <c r="L3133" s="312"/>
      <c r="M3133" s="511"/>
      <c r="N3133" s="312"/>
      <c r="O3133" s="312"/>
      <c r="P3133" s="312"/>
      <c r="Q3133" s="312"/>
      <c r="R3133" s="312"/>
      <c r="S3133" s="312"/>
      <c r="T3133" s="312"/>
      <c r="U3133" s="312"/>
    </row>
    <row r="3134">
      <c r="A3134" s="312"/>
      <c r="B3134" s="312"/>
      <c r="C3134" s="567"/>
      <c r="D3134" s="312"/>
      <c r="E3134" s="511"/>
      <c r="F3134" s="312"/>
      <c r="G3134" s="312"/>
      <c r="H3134" s="312"/>
      <c r="I3134" s="567"/>
      <c r="J3134" s="312" t="b">
        <v>0</v>
      </c>
      <c r="K3134" s="312"/>
      <c r="L3134" s="312"/>
      <c r="M3134" s="511"/>
      <c r="N3134" s="312"/>
      <c r="O3134" s="312"/>
      <c r="P3134" s="312"/>
      <c r="Q3134" s="312"/>
      <c r="R3134" s="312"/>
      <c r="S3134" s="312"/>
      <c r="T3134" s="312"/>
      <c r="U3134" s="312"/>
    </row>
    <row r="3135">
      <c r="A3135" s="312"/>
      <c r="B3135" s="312"/>
      <c r="C3135" s="567"/>
      <c r="D3135" s="312"/>
      <c r="E3135" s="511"/>
      <c r="F3135" s="312"/>
      <c r="G3135" s="312"/>
      <c r="H3135" s="312"/>
      <c r="I3135" s="567"/>
      <c r="J3135" s="312" t="b">
        <v>0</v>
      </c>
      <c r="K3135" s="312"/>
      <c r="L3135" s="312"/>
      <c r="M3135" s="511"/>
      <c r="N3135" s="312"/>
      <c r="O3135" s="312"/>
      <c r="P3135" s="312"/>
      <c r="Q3135" s="312"/>
      <c r="R3135" s="312"/>
      <c r="S3135" s="312"/>
      <c r="T3135" s="312"/>
      <c r="U3135" s="312"/>
    </row>
    <row r="3136">
      <c r="A3136" s="312"/>
      <c r="B3136" s="312"/>
      <c r="C3136" s="567"/>
      <c r="D3136" s="312"/>
      <c r="E3136" s="511"/>
      <c r="F3136" s="312"/>
      <c r="G3136" s="312"/>
      <c r="H3136" s="312"/>
      <c r="I3136" s="567"/>
      <c r="J3136" s="312" t="b">
        <v>0</v>
      </c>
      <c r="K3136" s="312"/>
      <c r="L3136" s="312"/>
      <c r="M3136" s="511"/>
      <c r="N3136" s="312"/>
      <c r="O3136" s="312"/>
      <c r="P3136" s="312"/>
      <c r="Q3136" s="312"/>
      <c r="R3136" s="312"/>
      <c r="S3136" s="312"/>
      <c r="T3136" s="312"/>
      <c r="U3136" s="312"/>
    </row>
    <row r="3137">
      <c r="A3137" s="312"/>
      <c r="B3137" s="312"/>
      <c r="C3137" s="567"/>
      <c r="D3137" s="312"/>
      <c r="E3137" s="511"/>
      <c r="F3137" s="312"/>
      <c r="G3137" s="312"/>
      <c r="H3137" s="312"/>
      <c r="I3137" s="567"/>
      <c r="J3137" s="312" t="b">
        <v>0</v>
      </c>
      <c r="K3137" s="312"/>
      <c r="L3137" s="312"/>
      <c r="M3137" s="511"/>
      <c r="N3137" s="312"/>
      <c r="O3137" s="312"/>
      <c r="P3137" s="312"/>
      <c r="Q3137" s="312"/>
      <c r="R3137" s="312"/>
      <c r="S3137" s="312"/>
      <c r="T3137" s="312"/>
      <c r="U3137" s="312"/>
    </row>
    <row r="3138">
      <c r="A3138" s="312"/>
      <c r="B3138" s="312"/>
      <c r="C3138" s="567"/>
      <c r="D3138" s="312"/>
      <c r="E3138" s="511"/>
      <c r="F3138" s="312"/>
      <c r="G3138" s="312"/>
      <c r="H3138" s="312"/>
      <c r="I3138" s="567"/>
      <c r="J3138" s="312" t="b">
        <v>0</v>
      </c>
      <c r="K3138" s="312"/>
      <c r="L3138" s="312"/>
      <c r="M3138" s="511"/>
      <c r="N3138" s="312"/>
      <c r="O3138" s="312"/>
      <c r="P3138" s="312"/>
      <c r="Q3138" s="312"/>
      <c r="R3138" s="312"/>
      <c r="S3138" s="312"/>
      <c r="T3138" s="312"/>
      <c r="U3138" s="312"/>
    </row>
    <row r="3139">
      <c r="A3139" s="312"/>
      <c r="B3139" s="312"/>
      <c r="C3139" s="567"/>
      <c r="D3139" s="312"/>
      <c r="E3139" s="511"/>
      <c r="F3139" s="312"/>
      <c r="G3139" s="312"/>
      <c r="H3139" s="312"/>
      <c r="I3139" s="567"/>
      <c r="J3139" s="312" t="b">
        <v>0</v>
      </c>
      <c r="K3139" s="312"/>
      <c r="L3139" s="312"/>
      <c r="M3139" s="511"/>
      <c r="N3139" s="312"/>
      <c r="O3139" s="312"/>
      <c r="P3139" s="312"/>
      <c r="Q3139" s="312"/>
      <c r="R3139" s="312"/>
      <c r="S3139" s="312"/>
      <c r="T3139" s="312"/>
      <c r="U3139" s="312"/>
    </row>
    <row r="3140">
      <c r="A3140" s="312"/>
      <c r="B3140" s="312"/>
      <c r="C3140" s="567"/>
      <c r="D3140" s="312"/>
      <c r="E3140" s="511"/>
      <c r="F3140" s="312"/>
      <c r="G3140" s="312"/>
      <c r="H3140" s="312"/>
      <c r="I3140" s="567"/>
      <c r="J3140" s="312" t="b">
        <v>0</v>
      </c>
      <c r="K3140" s="312"/>
      <c r="L3140" s="312"/>
      <c r="M3140" s="511"/>
      <c r="N3140" s="312"/>
      <c r="O3140" s="312"/>
      <c r="P3140" s="312"/>
      <c r="Q3140" s="312"/>
      <c r="R3140" s="312"/>
      <c r="S3140" s="312"/>
      <c r="T3140" s="312"/>
      <c r="U3140" s="312"/>
    </row>
    <row r="3141">
      <c r="A3141" s="312"/>
      <c r="B3141" s="312"/>
      <c r="C3141" s="567"/>
      <c r="D3141" s="312"/>
      <c r="E3141" s="511"/>
      <c r="F3141" s="312"/>
      <c r="G3141" s="312"/>
      <c r="H3141" s="312"/>
      <c r="I3141" s="567"/>
      <c r="J3141" s="312" t="b">
        <v>0</v>
      </c>
      <c r="K3141" s="312"/>
      <c r="L3141" s="312"/>
      <c r="M3141" s="511"/>
      <c r="N3141" s="312"/>
      <c r="O3141" s="312"/>
      <c r="P3141" s="312"/>
      <c r="Q3141" s="312"/>
      <c r="R3141" s="312"/>
      <c r="S3141" s="312"/>
      <c r="T3141" s="312"/>
      <c r="U3141" s="312"/>
    </row>
    <row r="3142">
      <c r="A3142" s="312"/>
      <c r="B3142" s="312"/>
      <c r="C3142" s="567"/>
      <c r="D3142" s="312"/>
      <c r="E3142" s="511"/>
      <c r="F3142" s="312"/>
      <c r="G3142" s="312"/>
      <c r="H3142" s="312"/>
      <c r="I3142" s="567"/>
      <c r="J3142" s="312" t="b">
        <v>0</v>
      </c>
      <c r="K3142" s="312"/>
      <c r="L3142" s="312"/>
      <c r="M3142" s="511"/>
      <c r="N3142" s="312"/>
      <c r="O3142" s="312"/>
      <c r="P3142" s="312"/>
      <c r="Q3142" s="312"/>
      <c r="R3142" s="312"/>
      <c r="S3142" s="312"/>
      <c r="T3142" s="312"/>
      <c r="U3142" s="312"/>
    </row>
    <row r="3143">
      <c r="A3143" s="312"/>
      <c r="B3143" s="312"/>
      <c r="C3143" s="567"/>
      <c r="D3143" s="312"/>
      <c r="E3143" s="511"/>
      <c r="F3143" s="312"/>
      <c r="G3143" s="312"/>
      <c r="H3143" s="312"/>
      <c r="I3143" s="567"/>
      <c r="J3143" s="312" t="b">
        <v>0</v>
      </c>
      <c r="K3143" s="312"/>
      <c r="L3143" s="312"/>
      <c r="M3143" s="511"/>
      <c r="N3143" s="312"/>
      <c r="O3143" s="312"/>
      <c r="P3143" s="312"/>
      <c r="Q3143" s="312"/>
      <c r="R3143" s="312"/>
      <c r="S3143" s="312"/>
      <c r="T3143" s="312"/>
      <c r="U3143" s="312"/>
    </row>
    <row r="3144">
      <c r="A3144" s="312"/>
      <c r="B3144" s="312"/>
      <c r="C3144" s="567"/>
      <c r="D3144" s="312"/>
      <c r="E3144" s="511"/>
      <c r="F3144" s="312"/>
      <c r="G3144" s="312"/>
      <c r="H3144" s="312"/>
      <c r="I3144" s="567"/>
      <c r="J3144" s="312" t="b">
        <v>0</v>
      </c>
      <c r="K3144" s="312"/>
      <c r="L3144" s="312"/>
      <c r="M3144" s="511"/>
      <c r="N3144" s="312"/>
      <c r="O3144" s="312"/>
      <c r="P3144" s="312"/>
      <c r="Q3144" s="312"/>
      <c r="R3144" s="312"/>
      <c r="S3144" s="312"/>
      <c r="T3144" s="312"/>
      <c r="U3144" s="312"/>
    </row>
    <row r="3145">
      <c r="A3145" s="312"/>
      <c r="B3145" s="312"/>
      <c r="C3145" s="567"/>
      <c r="D3145" s="312"/>
      <c r="E3145" s="511"/>
      <c r="F3145" s="312"/>
      <c r="G3145" s="312"/>
      <c r="H3145" s="312"/>
      <c r="I3145" s="567"/>
      <c r="J3145" s="312" t="b">
        <v>0</v>
      </c>
      <c r="K3145" s="312"/>
      <c r="L3145" s="312"/>
      <c r="M3145" s="511"/>
      <c r="N3145" s="312"/>
      <c r="O3145" s="312"/>
      <c r="P3145" s="312"/>
      <c r="Q3145" s="312"/>
      <c r="R3145" s="312"/>
      <c r="S3145" s="312"/>
      <c r="T3145" s="312"/>
      <c r="U3145" s="312"/>
    </row>
    <row r="3146">
      <c r="A3146" s="312"/>
      <c r="B3146" s="312"/>
      <c r="C3146" s="567"/>
      <c r="D3146" s="312"/>
      <c r="E3146" s="511"/>
      <c r="F3146" s="312"/>
      <c r="G3146" s="312"/>
      <c r="H3146" s="312"/>
      <c r="I3146" s="567"/>
      <c r="J3146" s="312" t="b">
        <v>0</v>
      </c>
      <c r="K3146" s="312"/>
      <c r="L3146" s="312"/>
      <c r="M3146" s="511"/>
      <c r="N3146" s="312"/>
      <c r="O3146" s="312"/>
      <c r="P3146" s="312"/>
      <c r="Q3146" s="312"/>
      <c r="R3146" s="312"/>
      <c r="S3146" s="312"/>
      <c r="T3146" s="312"/>
      <c r="U3146" s="312"/>
    </row>
    <row r="3147">
      <c r="A3147" s="312"/>
      <c r="B3147" s="312"/>
      <c r="C3147" s="567"/>
      <c r="D3147" s="312"/>
      <c r="E3147" s="511"/>
      <c r="F3147" s="312"/>
      <c r="G3147" s="312"/>
      <c r="H3147" s="312"/>
      <c r="I3147" s="567"/>
      <c r="J3147" s="312" t="b">
        <v>0</v>
      </c>
      <c r="K3147" s="312"/>
      <c r="L3147" s="312"/>
      <c r="M3147" s="511"/>
      <c r="N3147" s="312"/>
      <c r="O3147" s="312"/>
      <c r="P3147" s="312"/>
      <c r="Q3147" s="312"/>
      <c r="R3147" s="312"/>
      <c r="S3147" s="312"/>
      <c r="T3147" s="312"/>
      <c r="U3147" s="312"/>
    </row>
    <row r="3148">
      <c r="A3148" s="312"/>
      <c r="B3148" s="312"/>
      <c r="C3148" s="567"/>
      <c r="D3148" s="312"/>
      <c r="E3148" s="511"/>
      <c r="F3148" s="312"/>
      <c r="G3148" s="312"/>
      <c r="H3148" s="312"/>
      <c r="I3148" s="567"/>
      <c r="J3148" s="312" t="b">
        <v>0</v>
      </c>
      <c r="K3148" s="312"/>
      <c r="L3148" s="312"/>
      <c r="M3148" s="511"/>
      <c r="N3148" s="312"/>
      <c r="O3148" s="312"/>
      <c r="P3148" s="312"/>
      <c r="Q3148" s="312"/>
      <c r="R3148" s="312"/>
      <c r="S3148" s="312"/>
      <c r="T3148" s="312"/>
      <c r="U3148" s="312"/>
    </row>
    <row r="3149">
      <c r="A3149" s="312"/>
      <c r="B3149" s="312"/>
      <c r="C3149" s="567"/>
      <c r="D3149" s="312"/>
      <c r="E3149" s="511"/>
      <c r="F3149" s="312"/>
      <c r="G3149" s="312"/>
      <c r="H3149" s="312"/>
      <c r="I3149" s="567"/>
      <c r="J3149" s="312" t="b">
        <v>0</v>
      </c>
      <c r="K3149" s="312"/>
      <c r="L3149" s="312"/>
      <c r="M3149" s="511"/>
      <c r="N3149" s="312"/>
      <c r="O3149" s="312"/>
      <c r="P3149" s="312"/>
      <c r="Q3149" s="312"/>
      <c r="R3149" s="312"/>
      <c r="S3149" s="312"/>
      <c r="T3149" s="312"/>
      <c r="U3149" s="312"/>
    </row>
    <row r="3150">
      <c r="A3150" s="312"/>
      <c r="B3150" s="312"/>
      <c r="C3150" s="567"/>
      <c r="D3150" s="312"/>
      <c r="E3150" s="511"/>
      <c r="F3150" s="312"/>
      <c r="G3150" s="312"/>
      <c r="H3150" s="312"/>
      <c r="I3150" s="567"/>
      <c r="J3150" s="312" t="b">
        <v>0</v>
      </c>
      <c r="K3150" s="312"/>
      <c r="L3150" s="312"/>
      <c r="M3150" s="511"/>
      <c r="N3150" s="312"/>
      <c r="O3150" s="312"/>
      <c r="P3150" s="312"/>
      <c r="Q3150" s="312"/>
      <c r="R3150" s="312"/>
      <c r="S3150" s="312"/>
      <c r="T3150" s="312"/>
      <c r="U3150" s="312"/>
    </row>
    <row r="3151">
      <c r="A3151" s="312"/>
      <c r="B3151" s="312"/>
      <c r="C3151" s="567"/>
      <c r="D3151" s="312"/>
      <c r="E3151" s="511"/>
      <c r="F3151" s="312"/>
      <c r="G3151" s="312"/>
      <c r="H3151" s="312"/>
      <c r="I3151" s="567"/>
      <c r="J3151" s="312" t="b">
        <v>0</v>
      </c>
      <c r="K3151" s="312"/>
      <c r="L3151" s="312"/>
      <c r="M3151" s="511"/>
      <c r="N3151" s="312"/>
      <c r="O3151" s="312"/>
      <c r="P3151" s="312"/>
      <c r="Q3151" s="312"/>
      <c r="R3151" s="312"/>
      <c r="S3151" s="312"/>
      <c r="T3151" s="312"/>
      <c r="U3151" s="312"/>
    </row>
    <row r="3152">
      <c r="A3152" s="312"/>
      <c r="B3152" s="312"/>
      <c r="C3152" s="567"/>
      <c r="D3152" s="312"/>
      <c r="E3152" s="511"/>
      <c r="F3152" s="312"/>
      <c r="G3152" s="312"/>
      <c r="H3152" s="312"/>
      <c r="I3152" s="567"/>
      <c r="J3152" s="312" t="b">
        <v>0</v>
      </c>
      <c r="K3152" s="312"/>
      <c r="L3152" s="312"/>
      <c r="M3152" s="511"/>
      <c r="N3152" s="312"/>
      <c r="O3152" s="312"/>
      <c r="P3152" s="312"/>
      <c r="Q3152" s="312"/>
      <c r="R3152" s="312"/>
      <c r="S3152" s="312"/>
      <c r="T3152" s="312"/>
      <c r="U3152" s="312"/>
    </row>
    <row r="3153">
      <c r="A3153" s="312"/>
      <c r="B3153" s="312"/>
      <c r="C3153" s="567"/>
      <c r="D3153" s="312"/>
      <c r="E3153" s="511"/>
      <c r="F3153" s="312"/>
      <c r="G3153" s="312"/>
      <c r="H3153" s="312"/>
      <c r="I3153" s="567"/>
      <c r="J3153" s="312" t="b">
        <v>0</v>
      </c>
      <c r="K3153" s="312"/>
      <c r="L3153" s="312"/>
      <c r="M3153" s="511"/>
      <c r="N3153" s="312"/>
      <c r="O3153" s="312"/>
      <c r="P3153" s="312"/>
      <c r="Q3153" s="312"/>
      <c r="R3153" s="312"/>
      <c r="S3153" s="312"/>
      <c r="T3153" s="312"/>
      <c r="U3153" s="312"/>
    </row>
    <row r="3154">
      <c r="A3154" s="312"/>
      <c r="B3154" s="312"/>
      <c r="C3154" s="567"/>
      <c r="D3154" s="312"/>
      <c r="E3154" s="511"/>
      <c r="F3154" s="312"/>
      <c r="G3154" s="312"/>
      <c r="H3154" s="312"/>
      <c r="I3154" s="567"/>
      <c r="J3154" s="312" t="b">
        <v>0</v>
      </c>
      <c r="K3154" s="312"/>
      <c r="L3154" s="312"/>
      <c r="M3154" s="511"/>
      <c r="N3154" s="312"/>
      <c r="O3154" s="312"/>
      <c r="P3154" s="312"/>
      <c r="Q3154" s="312"/>
      <c r="R3154" s="312"/>
      <c r="S3154" s="312"/>
      <c r="T3154" s="312"/>
      <c r="U3154" s="312"/>
    </row>
    <row r="3155">
      <c r="A3155" s="312"/>
      <c r="B3155" s="312"/>
      <c r="C3155" s="567"/>
      <c r="D3155" s="312"/>
      <c r="E3155" s="511"/>
      <c r="F3155" s="312"/>
      <c r="G3155" s="312"/>
      <c r="H3155" s="312"/>
      <c r="I3155" s="567"/>
      <c r="J3155" s="312" t="b">
        <v>0</v>
      </c>
      <c r="K3155" s="312"/>
      <c r="L3155" s="312"/>
      <c r="M3155" s="511"/>
      <c r="N3155" s="312"/>
      <c r="O3155" s="312"/>
      <c r="P3155" s="312"/>
      <c r="Q3155" s="312"/>
      <c r="R3155" s="312"/>
      <c r="S3155" s="312"/>
      <c r="T3155" s="312"/>
      <c r="U3155" s="312"/>
    </row>
    <row r="3156">
      <c r="A3156" s="312"/>
      <c r="B3156" s="312"/>
      <c r="C3156" s="567"/>
      <c r="D3156" s="312"/>
      <c r="E3156" s="511"/>
      <c r="F3156" s="312"/>
      <c r="G3156" s="312"/>
      <c r="H3156" s="312"/>
      <c r="I3156" s="567"/>
      <c r="J3156" s="312" t="b">
        <v>0</v>
      </c>
      <c r="K3156" s="312"/>
      <c r="L3156" s="312"/>
      <c r="M3156" s="511"/>
      <c r="N3156" s="312"/>
      <c r="O3156" s="312"/>
      <c r="P3156" s="312"/>
      <c r="Q3156" s="312"/>
      <c r="R3156" s="312"/>
      <c r="S3156" s="312"/>
      <c r="T3156" s="312"/>
      <c r="U3156" s="312"/>
    </row>
    <row r="3157">
      <c r="A3157" s="312"/>
      <c r="B3157" s="312"/>
      <c r="C3157" s="567"/>
      <c r="D3157" s="312"/>
      <c r="E3157" s="511"/>
      <c r="F3157" s="312"/>
      <c r="G3157" s="312"/>
      <c r="H3157" s="312"/>
      <c r="I3157" s="567"/>
      <c r="J3157" s="312" t="b">
        <v>0</v>
      </c>
      <c r="K3157" s="312"/>
      <c r="L3157" s="312"/>
      <c r="M3157" s="511"/>
      <c r="N3157" s="312"/>
      <c r="O3157" s="312"/>
      <c r="P3157" s="312"/>
      <c r="Q3157" s="312"/>
      <c r="R3157" s="312"/>
      <c r="S3157" s="312"/>
      <c r="T3157" s="312"/>
      <c r="U3157" s="312"/>
    </row>
    <row r="3158">
      <c r="A3158" s="312"/>
      <c r="B3158" s="312"/>
      <c r="C3158" s="567"/>
      <c r="D3158" s="312"/>
      <c r="E3158" s="511"/>
      <c r="F3158" s="312"/>
      <c r="G3158" s="312"/>
      <c r="H3158" s="312"/>
      <c r="I3158" s="567"/>
      <c r="J3158" s="312" t="b">
        <v>0</v>
      </c>
      <c r="K3158" s="312"/>
      <c r="L3158" s="312"/>
      <c r="M3158" s="511"/>
      <c r="N3158" s="312"/>
      <c r="O3158" s="312"/>
      <c r="P3158" s="312"/>
      <c r="Q3158" s="312"/>
      <c r="R3158" s="312"/>
      <c r="S3158" s="312"/>
      <c r="T3158" s="312"/>
      <c r="U3158" s="312"/>
    </row>
    <row r="3159">
      <c r="A3159" s="312"/>
      <c r="B3159" s="312"/>
      <c r="C3159" s="567"/>
      <c r="D3159" s="312"/>
      <c r="E3159" s="511"/>
      <c r="F3159" s="312"/>
      <c r="G3159" s="312"/>
      <c r="H3159" s="312"/>
      <c r="I3159" s="567"/>
      <c r="J3159" s="312" t="b">
        <v>0</v>
      </c>
      <c r="K3159" s="312"/>
      <c r="L3159" s="312"/>
      <c r="M3159" s="511"/>
      <c r="N3159" s="312"/>
      <c r="O3159" s="312"/>
      <c r="P3159" s="312"/>
      <c r="Q3159" s="312"/>
      <c r="R3159" s="312"/>
      <c r="S3159" s="312"/>
      <c r="T3159" s="312"/>
      <c r="U3159" s="312"/>
    </row>
  </sheetData>
  <autoFilter ref="$A$2:$O$3159"/>
  <conditionalFormatting sqref="J3:J1548 J1550:J3159">
    <cfRule type="cellIs" dxfId="0" priority="1" operator="equal">
      <formula>"TRUE"</formula>
    </cfRule>
  </conditionalFormatting>
  <dataValidations>
    <dataValidation type="list" allowBlank="1" showErrorMessage="1" sqref="N3:N479 K3:K790 N481:N1030 K792:K3159 N1032:N3159">
      <formula1>"Call not Received,Follow Up needed,Issue,Need to Discuss,Not Interested,Order Placed,PI Sent,Price List Sent,Sample Sent,Will Come to Office,Wrong Number"</formula1>
    </dataValidation>
  </dataValidations>
  <hyperlinks>
    <hyperlink r:id="rId1" location="id=36146&amp;action=152&amp;model=crm.lead&amp;view_type=form&amp;menu_id=111" ref="B2"/>
    <hyperlink r:id="rId2" ref="D222"/>
    <hyperlink r:id="rId3" ref="A2167"/>
  </hyperlinks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5"/>
    <col customWidth="1" min="4" max="5" width="24.5"/>
    <col customWidth="1" min="7" max="7" width="26.25"/>
    <col customWidth="1" min="8" max="8" width="16.5"/>
    <col customWidth="1" min="10" max="10" width="16.13"/>
    <col customWidth="1" min="16" max="16" width="22.25"/>
    <col customWidth="1" min="19" max="19" width="17.5"/>
  </cols>
  <sheetData>
    <row r="1">
      <c r="A1" s="1" t="s">
        <v>22258</v>
      </c>
      <c r="B1" s="2" t="s">
        <v>1</v>
      </c>
      <c r="C1" s="3" t="s">
        <v>30555</v>
      </c>
      <c r="D1" s="1" t="s">
        <v>30556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30557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86" t="s">
        <v>5073</v>
      </c>
      <c r="B2" s="572"/>
      <c r="C2" s="186" t="s">
        <v>30558</v>
      </c>
      <c r="D2" s="186"/>
      <c r="E2" s="186" t="s">
        <v>30559</v>
      </c>
      <c r="F2" s="572"/>
      <c r="G2" s="186" t="s">
        <v>30560</v>
      </c>
      <c r="H2" s="186" t="s">
        <v>44</v>
      </c>
      <c r="I2" s="186">
        <v>8.777387982E9</v>
      </c>
      <c r="J2" s="572"/>
      <c r="K2" s="572"/>
      <c r="L2" s="572"/>
      <c r="M2" s="572"/>
      <c r="N2" s="572"/>
      <c r="O2" s="572"/>
      <c r="P2" s="186" t="s">
        <v>727</v>
      </c>
      <c r="Q2" s="572"/>
      <c r="R2" s="572"/>
      <c r="S2" s="572"/>
    </row>
    <row r="3">
      <c r="A3" s="186" t="s">
        <v>5073</v>
      </c>
      <c r="B3" s="572"/>
      <c r="C3" s="186" t="s">
        <v>1730</v>
      </c>
      <c r="D3" s="186"/>
      <c r="E3" s="186" t="s">
        <v>30561</v>
      </c>
      <c r="F3" s="572"/>
      <c r="G3" s="186" t="s">
        <v>30562</v>
      </c>
      <c r="H3" s="186" t="s">
        <v>44</v>
      </c>
      <c r="I3" s="186">
        <v>8.509478994E9</v>
      </c>
      <c r="J3" s="572"/>
      <c r="K3" s="572"/>
      <c r="L3" s="572"/>
      <c r="M3" s="572"/>
      <c r="N3" s="572"/>
      <c r="O3" s="572"/>
      <c r="P3" s="186" t="s">
        <v>30563</v>
      </c>
      <c r="Q3" s="572"/>
      <c r="R3" s="572"/>
      <c r="S3" s="572"/>
    </row>
    <row r="4">
      <c r="A4" s="186" t="s">
        <v>5073</v>
      </c>
      <c r="B4" s="572"/>
      <c r="C4" s="186" t="s">
        <v>30564</v>
      </c>
      <c r="D4" s="186"/>
      <c r="E4" s="186" t="s">
        <v>30565</v>
      </c>
      <c r="F4" s="572"/>
      <c r="G4" s="572"/>
      <c r="H4" s="186" t="s">
        <v>44</v>
      </c>
      <c r="I4" s="186">
        <v>7.980450573E9</v>
      </c>
      <c r="J4" s="572"/>
      <c r="K4" s="572"/>
      <c r="L4" s="572"/>
      <c r="M4" s="572"/>
      <c r="N4" s="572"/>
      <c r="O4" s="572"/>
      <c r="P4" s="572"/>
      <c r="Q4" s="572"/>
      <c r="R4" s="572"/>
      <c r="S4" s="572"/>
    </row>
    <row r="5">
      <c r="A5" s="186" t="s">
        <v>5073</v>
      </c>
      <c r="B5" s="572"/>
      <c r="C5" s="186" t="s">
        <v>30566</v>
      </c>
      <c r="D5" s="186"/>
      <c r="E5" s="186" t="s">
        <v>30567</v>
      </c>
      <c r="F5" s="572"/>
      <c r="G5" s="186" t="s">
        <v>30568</v>
      </c>
      <c r="H5" s="186" t="s">
        <v>44</v>
      </c>
      <c r="I5" s="186">
        <v>9.163773725E9</v>
      </c>
      <c r="J5" s="572"/>
      <c r="K5" s="572"/>
      <c r="L5" s="572"/>
      <c r="M5" s="572"/>
      <c r="N5" s="572"/>
      <c r="O5" s="572"/>
      <c r="P5" s="186" t="s">
        <v>30569</v>
      </c>
      <c r="Q5" s="572"/>
      <c r="R5" s="572"/>
      <c r="S5" s="572"/>
    </row>
    <row r="6">
      <c r="A6" s="186" t="s">
        <v>5073</v>
      </c>
      <c r="B6" s="572"/>
      <c r="C6" s="186" t="s">
        <v>30570</v>
      </c>
      <c r="D6" s="186"/>
      <c r="E6" s="186" t="s">
        <v>30571</v>
      </c>
      <c r="F6" s="572"/>
      <c r="G6" s="186" t="s">
        <v>30572</v>
      </c>
      <c r="H6" s="186" t="s">
        <v>44</v>
      </c>
      <c r="I6" s="186">
        <v>9.441376906E9</v>
      </c>
      <c r="J6" s="186" t="s">
        <v>30573</v>
      </c>
      <c r="K6" s="572"/>
      <c r="L6" s="572"/>
      <c r="M6" s="186" t="s">
        <v>30574</v>
      </c>
      <c r="N6" s="572"/>
      <c r="O6" s="572"/>
      <c r="P6" s="186" t="s">
        <v>30575</v>
      </c>
      <c r="Q6" s="572"/>
      <c r="R6" s="572"/>
      <c r="S6" s="572"/>
    </row>
    <row r="7">
      <c r="A7" s="186" t="s">
        <v>5073</v>
      </c>
      <c r="B7" s="572"/>
      <c r="C7" s="186" t="s">
        <v>30576</v>
      </c>
      <c r="D7" s="186"/>
      <c r="E7" s="186" t="s">
        <v>30577</v>
      </c>
      <c r="F7" s="572"/>
      <c r="G7" s="186" t="s">
        <v>30578</v>
      </c>
      <c r="H7" s="186" t="s">
        <v>472</v>
      </c>
      <c r="I7" s="186">
        <v>9.932869958E9</v>
      </c>
      <c r="J7" s="572"/>
      <c r="K7" s="572"/>
      <c r="L7" s="572"/>
      <c r="M7" s="572"/>
      <c r="N7" s="572"/>
      <c r="O7" s="572"/>
      <c r="P7" s="572"/>
      <c r="Q7" s="572"/>
      <c r="R7" s="572"/>
      <c r="S7" s="572"/>
    </row>
    <row r="8">
      <c r="A8" s="186" t="s">
        <v>5073</v>
      </c>
      <c r="B8" s="572"/>
      <c r="C8" s="186" t="s">
        <v>18668</v>
      </c>
      <c r="D8" s="36"/>
      <c r="E8" s="36" t="s">
        <v>30579</v>
      </c>
      <c r="F8" s="186" t="s">
        <v>30580</v>
      </c>
      <c r="G8" s="126" t="s">
        <v>30581</v>
      </c>
      <c r="H8" s="186" t="s">
        <v>44</v>
      </c>
      <c r="I8" s="79">
        <v>8.910152017E9</v>
      </c>
      <c r="J8" s="186" t="s">
        <v>30582</v>
      </c>
      <c r="K8" s="572"/>
      <c r="L8" s="572"/>
      <c r="M8" s="572"/>
      <c r="N8" s="572"/>
      <c r="O8" s="572"/>
      <c r="P8" s="572"/>
      <c r="Q8" s="572"/>
      <c r="R8" s="572"/>
      <c r="S8" s="572"/>
    </row>
    <row r="9">
      <c r="A9" s="186" t="s">
        <v>5056</v>
      </c>
      <c r="B9" s="572"/>
      <c r="C9" s="186" t="s">
        <v>30583</v>
      </c>
      <c r="D9" s="186"/>
      <c r="E9" s="573" t="s">
        <v>30584</v>
      </c>
      <c r="F9" s="572"/>
      <c r="G9" s="186" t="s">
        <v>30585</v>
      </c>
      <c r="H9" s="186" t="s">
        <v>99</v>
      </c>
      <c r="I9" s="186">
        <v>8.24980682E9</v>
      </c>
      <c r="J9" s="572"/>
      <c r="K9" s="572"/>
      <c r="L9" s="572"/>
      <c r="M9" s="572"/>
      <c r="N9" s="572"/>
      <c r="O9" s="572"/>
      <c r="P9" s="572"/>
      <c r="Q9" s="572"/>
      <c r="R9" s="572"/>
      <c r="S9" s="572"/>
    </row>
    <row r="10">
      <c r="A10" s="186" t="s">
        <v>5056</v>
      </c>
      <c r="B10" s="572"/>
      <c r="C10" s="186" t="s">
        <v>30586</v>
      </c>
      <c r="D10" s="186"/>
      <c r="E10" s="186" t="s">
        <v>30587</v>
      </c>
      <c r="F10" s="572"/>
      <c r="G10" s="572"/>
      <c r="H10" s="186" t="s">
        <v>349</v>
      </c>
      <c r="I10" s="186">
        <v>9.47406948E9</v>
      </c>
      <c r="J10" s="572"/>
      <c r="K10" s="572"/>
      <c r="L10" s="572"/>
      <c r="M10" s="572"/>
      <c r="N10" s="572"/>
      <c r="O10" s="572"/>
      <c r="P10" s="572"/>
      <c r="Q10" s="572"/>
      <c r="R10" s="572"/>
      <c r="S10" s="572"/>
    </row>
    <row r="11">
      <c r="A11" s="186" t="s">
        <v>5056</v>
      </c>
      <c r="B11" s="572"/>
      <c r="C11" s="186" t="s">
        <v>27248</v>
      </c>
      <c r="D11" s="186"/>
      <c r="E11" s="186" t="s">
        <v>30588</v>
      </c>
      <c r="F11" s="572"/>
      <c r="G11" s="186" t="s">
        <v>30589</v>
      </c>
      <c r="H11" s="186" t="s">
        <v>44</v>
      </c>
      <c r="I11" s="186">
        <v>8.777376501E9</v>
      </c>
      <c r="J11" s="572"/>
      <c r="K11" s="572"/>
      <c r="L11" s="572"/>
      <c r="M11" s="572"/>
      <c r="N11" s="572"/>
      <c r="O11" s="572"/>
      <c r="P11" s="572"/>
      <c r="Q11" s="572"/>
      <c r="R11" s="572"/>
      <c r="S11" s="572"/>
    </row>
    <row r="12">
      <c r="A12" s="186" t="s">
        <v>5056</v>
      </c>
      <c r="B12" s="572"/>
      <c r="C12" s="186" t="s">
        <v>30590</v>
      </c>
      <c r="D12" s="186"/>
      <c r="E12" s="186" t="s">
        <v>30591</v>
      </c>
      <c r="F12" s="572"/>
      <c r="G12" s="186" t="s">
        <v>30592</v>
      </c>
      <c r="H12" s="186" t="s">
        <v>44</v>
      </c>
      <c r="I12" s="186">
        <v>9.051715373E9</v>
      </c>
      <c r="J12" s="572"/>
      <c r="K12" s="572"/>
      <c r="L12" s="572"/>
      <c r="M12" s="572"/>
      <c r="N12" s="572"/>
      <c r="O12" s="572"/>
      <c r="P12" s="572"/>
      <c r="Q12" s="572"/>
      <c r="R12" s="572"/>
      <c r="S12" s="572"/>
    </row>
    <row r="13">
      <c r="A13" s="186" t="s">
        <v>5056</v>
      </c>
      <c r="B13" s="572"/>
      <c r="C13" s="186" t="s">
        <v>30593</v>
      </c>
      <c r="D13" s="186"/>
      <c r="E13" s="186" t="s">
        <v>30594</v>
      </c>
      <c r="F13" s="572"/>
      <c r="G13" s="186" t="s">
        <v>30595</v>
      </c>
      <c r="H13" s="186" t="s">
        <v>44</v>
      </c>
      <c r="I13" s="186">
        <v>9.874523484E9</v>
      </c>
      <c r="J13" s="572"/>
      <c r="K13" s="572"/>
      <c r="L13" s="572"/>
      <c r="M13" s="572"/>
      <c r="N13" s="572"/>
      <c r="O13" s="572"/>
      <c r="P13" s="572"/>
      <c r="Q13" s="572"/>
      <c r="R13" s="572"/>
      <c r="S13" s="572"/>
    </row>
    <row r="14">
      <c r="A14" s="186" t="s">
        <v>5056</v>
      </c>
      <c r="B14" s="572"/>
      <c r="C14" s="186" t="s">
        <v>564</v>
      </c>
      <c r="D14" s="186"/>
      <c r="E14" s="186" t="s">
        <v>30596</v>
      </c>
      <c r="F14" s="186" t="s">
        <v>30597</v>
      </c>
      <c r="G14" s="186" t="s">
        <v>30598</v>
      </c>
      <c r="H14" s="186" t="s">
        <v>44</v>
      </c>
      <c r="I14" s="186">
        <v>8.335053347E9</v>
      </c>
      <c r="J14" s="572"/>
      <c r="K14" s="572"/>
      <c r="L14" s="572"/>
      <c r="M14" s="572"/>
      <c r="N14" s="572"/>
      <c r="O14" s="572"/>
      <c r="P14" s="572"/>
      <c r="Q14" s="572"/>
      <c r="R14" s="572"/>
      <c r="S14" s="572"/>
    </row>
    <row r="15">
      <c r="A15" s="186" t="s">
        <v>5056</v>
      </c>
      <c r="B15" s="572"/>
      <c r="C15" s="186" t="s">
        <v>30599</v>
      </c>
      <c r="D15" s="186"/>
      <c r="E15" s="186" t="s">
        <v>30600</v>
      </c>
      <c r="F15" s="186" t="s">
        <v>13371</v>
      </c>
      <c r="G15" s="186" t="s">
        <v>30601</v>
      </c>
      <c r="H15" s="186" t="s">
        <v>44</v>
      </c>
      <c r="I15" s="186">
        <v>7.450074354E9</v>
      </c>
      <c r="J15" s="572"/>
      <c r="K15" s="572"/>
      <c r="L15" s="572"/>
      <c r="M15" s="572"/>
      <c r="N15" s="572"/>
      <c r="O15" s="572"/>
      <c r="P15" s="572"/>
      <c r="Q15" s="572"/>
      <c r="R15" s="572"/>
      <c r="S15" s="572"/>
    </row>
    <row r="16">
      <c r="A16" s="186" t="s">
        <v>5027</v>
      </c>
      <c r="B16" s="572"/>
      <c r="C16" s="186" t="s">
        <v>30602</v>
      </c>
      <c r="D16" s="574" t="s">
        <v>30603</v>
      </c>
      <c r="E16" s="575" t="s">
        <v>30604</v>
      </c>
      <c r="F16" s="186" t="s">
        <v>30605</v>
      </c>
      <c r="G16" s="186" t="s">
        <v>30606</v>
      </c>
      <c r="H16" s="186" t="s">
        <v>1124</v>
      </c>
      <c r="I16" s="573" t="s">
        <v>30607</v>
      </c>
      <c r="J16" s="186"/>
      <c r="K16" s="572"/>
      <c r="L16" s="572"/>
      <c r="M16" s="572"/>
      <c r="N16" s="572"/>
      <c r="O16" s="572"/>
      <c r="P16" s="572"/>
      <c r="Q16" s="572"/>
      <c r="R16" s="572"/>
      <c r="S16" s="572"/>
    </row>
    <row r="17">
      <c r="A17" s="186" t="s">
        <v>5027</v>
      </c>
      <c r="B17" s="572"/>
      <c r="C17" s="186" t="s">
        <v>30608</v>
      </c>
      <c r="D17" s="186"/>
      <c r="E17" s="186" t="s">
        <v>30609</v>
      </c>
      <c r="F17" s="186" t="s">
        <v>30605</v>
      </c>
      <c r="G17" s="186" t="s">
        <v>30610</v>
      </c>
      <c r="H17" s="186" t="s">
        <v>44</v>
      </c>
      <c r="I17" s="186">
        <v>9.685560845E9</v>
      </c>
      <c r="J17" s="572"/>
      <c r="K17" s="572"/>
      <c r="L17" s="572"/>
      <c r="M17" s="572"/>
      <c r="N17" s="572"/>
      <c r="O17" s="572"/>
      <c r="P17" s="572"/>
      <c r="Q17" s="572"/>
      <c r="R17" s="572"/>
      <c r="S17" s="572"/>
    </row>
    <row r="18">
      <c r="A18" s="186" t="s">
        <v>5027</v>
      </c>
      <c r="B18" s="572"/>
      <c r="C18" s="186" t="s">
        <v>30611</v>
      </c>
      <c r="D18" s="186"/>
      <c r="E18" s="186" t="s">
        <v>30612</v>
      </c>
      <c r="F18" s="186" t="s">
        <v>30613</v>
      </c>
      <c r="G18" s="186" t="s">
        <v>30614</v>
      </c>
      <c r="H18" s="186" t="s">
        <v>44</v>
      </c>
      <c r="I18" s="186">
        <v>6.291318915E9</v>
      </c>
      <c r="J18" s="572"/>
      <c r="K18" s="572"/>
      <c r="L18" s="572"/>
      <c r="M18" s="572"/>
      <c r="N18" s="572"/>
      <c r="O18" s="572"/>
      <c r="P18" s="572"/>
      <c r="Q18" s="572"/>
      <c r="R18" s="572"/>
      <c r="S18" s="572"/>
    </row>
    <row r="19">
      <c r="A19" s="186" t="s">
        <v>5027</v>
      </c>
      <c r="B19" s="572"/>
      <c r="C19" s="186" t="s">
        <v>30615</v>
      </c>
      <c r="D19" s="186"/>
      <c r="E19" s="186" t="s">
        <v>30616</v>
      </c>
      <c r="F19" s="186" t="s">
        <v>30617</v>
      </c>
      <c r="G19" s="186" t="s">
        <v>30618</v>
      </c>
      <c r="H19" s="186" t="s">
        <v>44</v>
      </c>
      <c r="I19" s="186">
        <v>8.145976003E9</v>
      </c>
      <c r="J19" s="572"/>
      <c r="K19" s="572"/>
      <c r="L19" s="572"/>
      <c r="M19" s="572"/>
      <c r="N19" s="572"/>
      <c r="O19" s="572"/>
      <c r="P19" s="572"/>
      <c r="Q19" s="572"/>
      <c r="R19" s="572"/>
      <c r="S19" s="572"/>
    </row>
    <row r="20">
      <c r="A20" s="186" t="s">
        <v>5020</v>
      </c>
      <c r="B20" s="572"/>
      <c r="C20" s="186" t="s">
        <v>30619</v>
      </c>
      <c r="D20" s="186"/>
      <c r="E20" s="186" t="s">
        <v>30620</v>
      </c>
      <c r="F20" s="186" t="s">
        <v>30621</v>
      </c>
      <c r="G20" s="186" t="s">
        <v>30622</v>
      </c>
      <c r="H20" s="186" t="s">
        <v>44</v>
      </c>
      <c r="I20" s="186">
        <v>9.8742467E9</v>
      </c>
      <c r="J20" s="572"/>
      <c r="K20" s="572"/>
      <c r="L20" s="572"/>
      <c r="M20" s="572"/>
      <c r="N20" s="572"/>
      <c r="O20" s="572"/>
      <c r="P20" s="572"/>
      <c r="Q20" s="572"/>
      <c r="R20" s="572"/>
      <c r="S20" s="572"/>
    </row>
    <row r="21">
      <c r="A21" s="186" t="s">
        <v>5020</v>
      </c>
      <c r="B21" s="572"/>
      <c r="C21" s="186" t="s">
        <v>30623</v>
      </c>
      <c r="D21" s="186"/>
      <c r="E21" s="186" t="s">
        <v>30624</v>
      </c>
      <c r="F21" s="186" t="s">
        <v>30625</v>
      </c>
      <c r="G21" s="186" t="s">
        <v>30626</v>
      </c>
      <c r="H21" s="186" t="s">
        <v>44</v>
      </c>
      <c r="I21" s="186">
        <v>7.506508655E9</v>
      </c>
      <c r="J21" s="572"/>
      <c r="K21" s="572"/>
      <c r="L21" s="572"/>
      <c r="M21" s="572"/>
      <c r="N21" s="572"/>
      <c r="O21" s="572"/>
      <c r="P21" s="572"/>
      <c r="Q21" s="572"/>
      <c r="R21" s="572"/>
      <c r="S21" s="572"/>
    </row>
    <row r="22">
      <c r="A22" s="186" t="s">
        <v>5005</v>
      </c>
      <c r="B22" s="572"/>
      <c r="C22" s="186" t="s">
        <v>30627</v>
      </c>
      <c r="D22" s="186"/>
      <c r="E22" s="186" t="s">
        <v>30628</v>
      </c>
      <c r="F22" s="186" t="s">
        <v>30625</v>
      </c>
      <c r="G22" s="186" t="s">
        <v>30629</v>
      </c>
      <c r="H22" s="186" t="s">
        <v>184</v>
      </c>
      <c r="I22" s="186">
        <v>8.789774147E9</v>
      </c>
      <c r="J22" s="572"/>
      <c r="K22" s="572"/>
      <c r="L22" s="572"/>
      <c r="M22" s="572"/>
      <c r="N22" s="572"/>
      <c r="O22" s="572"/>
      <c r="P22" s="572"/>
      <c r="Q22" s="572"/>
      <c r="R22" s="572"/>
      <c r="S22" s="572"/>
    </row>
    <row r="23">
      <c r="A23" s="186" t="s">
        <v>5005</v>
      </c>
      <c r="B23" s="572"/>
      <c r="C23" s="186" t="s">
        <v>30630</v>
      </c>
      <c r="D23" s="186"/>
      <c r="E23" s="186" t="s">
        <v>30631</v>
      </c>
      <c r="F23" s="186" t="s">
        <v>30632</v>
      </c>
      <c r="G23" s="186" t="s">
        <v>30633</v>
      </c>
      <c r="H23" s="186" t="s">
        <v>44</v>
      </c>
      <c r="I23" s="186">
        <v>9.007465288E9</v>
      </c>
      <c r="J23" s="186" t="s">
        <v>18186</v>
      </c>
      <c r="K23" s="572"/>
      <c r="L23" s="572"/>
      <c r="M23" s="572"/>
      <c r="N23" s="572"/>
      <c r="O23" s="572"/>
      <c r="P23" s="572"/>
      <c r="Q23" s="572"/>
      <c r="R23" s="572"/>
      <c r="S23" s="572"/>
    </row>
    <row r="24">
      <c r="A24" s="186" t="s">
        <v>5005</v>
      </c>
      <c r="B24" s="572"/>
      <c r="C24" s="186" t="s">
        <v>30634</v>
      </c>
      <c r="D24" s="575"/>
      <c r="E24" s="575" t="s">
        <v>30635</v>
      </c>
      <c r="F24" s="186" t="s">
        <v>30636</v>
      </c>
      <c r="G24" s="572"/>
      <c r="H24" s="186" t="s">
        <v>184</v>
      </c>
      <c r="I24" s="186">
        <v>9.031050339E9</v>
      </c>
      <c r="J24" s="186" t="s">
        <v>17109</v>
      </c>
      <c r="K24" s="572"/>
      <c r="L24" s="572"/>
      <c r="M24" s="572"/>
      <c r="N24" s="572"/>
      <c r="O24" s="572"/>
      <c r="P24" s="572"/>
      <c r="Q24" s="572"/>
      <c r="R24" s="572"/>
      <c r="S24" s="572"/>
    </row>
    <row r="25">
      <c r="A25" s="186" t="s">
        <v>5005</v>
      </c>
      <c r="B25" s="572"/>
      <c r="C25" s="186" t="s">
        <v>30637</v>
      </c>
      <c r="D25" s="186"/>
      <c r="E25" s="186" t="s">
        <v>30638</v>
      </c>
      <c r="F25" s="186" t="s">
        <v>13361</v>
      </c>
      <c r="G25" s="186" t="s">
        <v>30639</v>
      </c>
      <c r="H25" s="186" t="s">
        <v>44</v>
      </c>
      <c r="I25" s="186">
        <v>8.420781177E9</v>
      </c>
      <c r="J25" s="572"/>
      <c r="K25" s="572"/>
      <c r="L25" s="572"/>
      <c r="M25" s="572"/>
      <c r="N25" s="572"/>
      <c r="O25" s="572"/>
      <c r="P25" s="572"/>
      <c r="Q25" s="572"/>
      <c r="R25" s="572"/>
      <c r="S25" s="572"/>
    </row>
    <row r="26">
      <c r="A26" s="186" t="s">
        <v>4965</v>
      </c>
      <c r="B26" s="572"/>
      <c r="C26" s="186" t="s">
        <v>30640</v>
      </c>
      <c r="D26" s="186"/>
      <c r="E26" s="186" t="s">
        <v>30641</v>
      </c>
      <c r="F26" s="572"/>
      <c r="G26" s="186" t="s">
        <v>30642</v>
      </c>
      <c r="H26" s="186" t="s">
        <v>906</v>
      </c>
      <c r="I26" s="186">
        <v>8.668201257E9</v>
      </c>
      <c r="J26" s="572"/>
      <c r="K26" s="572"/>
      <c r="L26" s="572"/>
      <c r="M26" s="572"/>
      <c r="N26" s="572"/>
      <c r="O26" s="572"/>
      <c r="P26" s="572"/>
      <c r="Q26" s="572"/>
      <c r="R26" s="572"/>
      <c r="S26" s="572"/>
    </row>
    <row r="27">
      <c r="A27" s="186" t="s">
        <v>4965</v>
      </c>
      <c r="B27" s="572"/>
      <c r="C27" s="186" t="s">
        <v>30643</v>
      </c>
      <c r="D27" s="186"/>
      <c r="E27" s="186" t="s">
        <v>30644</v>
      </c>
      <c r="F27" s="186" t="s">
        <v>30645</v>
      </c>
      <c r="G27" s="572"/>
      <c r="H27" s="186" t="s">
        <v>44</v>
      </c>
      <c r="I27" s="186">
        <v>6.291102867E9</v>
      </c>
      <c r="J27" s="572"/>
      <c r="K27" s="572"/>
      <c r="L27" s="572"/>
      <c r="M27" s="572"/>
      <c r="N27" s="572"/>
      <c r="O27" s="572"/>
      <c r="P27" s="572"/>
      <c r="Q27" s="572"/>
      <c r="R27" s="572"/>
      <c r="S27" s="572"/>
    </row>
    <row r="28">
      <c r="A28" s="186" t="s">
        <v>4965</v>
      </c>
      <c r="B28" s="572"/>
      <c r="C28" s="186" t="s">
        <v>30646</v>
      </c>
      <c r="D28" s="186"/>
      <c r="E28" s="186" t="s">
        <v>30647</v>
      </c>
      <c r="F28" s="186" t="s">
        <v>30648</v>
      </c>
      <c r="G28" s="186" t="s">
        <v>30649</v>
      </c>
      <c r="H28" s="186" t="s">
        <v>495</v>
      </c>
      <c r="I28" s="186">
        <v>6.299512709E9</v>
      </c>
      <c r="J28" s="572"/>
      <c r="K28" s="572"/>
      <c r="L28" s="572"/>
      <c r="M28" s="572"/>
      <c r="N28" s="572"/>
      <c r="O28" s="572"/>
      <c r="P28" s="572"/>
      <c r="Q28" s="572"/>
      <c r="R28" s="572"/>
      <c r="S28" s="572"/>
    </row>
    <row r="29">
      <c r="A29" s="186" t="s">
        <v>4965</v>
      </c>
      <c r="B29" s="572"/>
      <c r="C29" s="186" t="s">
        <v>30650</v>
      </c>
      <c r="D29" s="186"/>
      <c r="E29" s="186" t="s">
        <v>30651</v>
      </c>
      <c r="F29" s="186" t="s">
        <v>13361</v>
      </c>
      <c r="G29" s="186" t="s">
        <v>30652</v>
      </c>
      <c r="H29" s="186" t="s">
        <v>44</v>
      </c>
      <c r="I29" s="186">
        <v>8.100052995E9</v>
      </c>
      <c r="J29" s="572"/>
      <c r="K29" s="572"/>
      <c r="L29" s="572"/>
      <c r="M29" s="572"/>
      <c r="N29" s="572"/>
      <c r="O29" s="572"/>
      <c r="P29" s="572"/>
      <c r="Q29" s="572"/>
      <c r="R29" s="572"/>
      <c r="S29" s="572"/>
    </row>
    <row r="30">
      <c r="A30" s="186" t="s">
        <v>4965</v>
      </c>
      <c r="B30" s="572"/>
      <c r="C30" s="186" t="s">
        <v>30653</v>
      </c>
      <c r="D30" s="186"/>
      <c r="E30" s="186" t="s">
        <v>30654</v>
      </c>
      <c r="F30" s="572"/>
      <c r="G30" s="186" t="s">
        <v>30655</v>
      </c>
      <c r="H30" s="186" t="s">
        <v>44</v>
      </c>
      <c r="I30" s="186">
        <v>9.756969547E9</v>
      </c>
      <c r="J30" s="572"/>
      <c r="K30" s="572"/>
      <c r="L30" s="572"/>
      <c r="M30" s="572"/>
      <c r="N30" s="572"/>
      <c r="O30" s="572"/>
      <c r="P30" s="572"/>
      <c r="Q30" s="572"/>
      <c r="R30" s="572"/>
      <c r="S30" s="572"/>
    </row>
    <row r="31">
      <c r="A31" s="186" t="s">
        <v>4965</v>
      </c>
      <c r="B31" s="572"/>
      <c r="C31" s="186" t="s">
        <v>30656</v>
      </c>
      <c r="D31" s="186"/>
      <c r="E31" s="186" t="s">
        <v>30657</v>
      </c>
      <c r="F31" s="186" t="s">
        <v>30613</v>
      </c>
      <c r="G31" s="186" t="s">
        <v>30658</v>
      </c>
      <c r="H31" s="186" t="s">
        <v>44</v>
      </c>
      <c r="I31" s="186">
        <v>9.831139414E9</v>
      </c>
      <c r="J31" s="572"/>
      <c r="K31" s="572"/>
      <c r="L31" s="572"/>
      <c r="M31" s="572"/>
      <c r="N31" s="572"/>
      <c r="O31" s="572"/>
      <c r="P31" s="572"/>
      <c r="Q31" s="572"/>
      <c r="R31" s="572"/>
      <c r="S31" s="572"/>
    </row>
    <row r="32">
      <c r="A32" s="186" t="s">
        <v>4965</v>
      </c>
      <c r="B32" s="572"/>
      <c r="C32" s="186" t="s">
        <v>30659</v>
      </c>
      <c r="D32" s="186"/>
      <c r="E32" s="186" t="s">
        <v>30660</v>
      </c>
      <c r="F32" s="186" t="s">
        <v>30636</v>
      </c>
      <c r="G32" s="186" t="s">
        <v>30661</v>
      </c>
      <c r="H32" s="186" t="s">
        <v>44</v>
      </c>
      <c r="I32" s="186">
        <v>8.906380037E9</v>
      </c>
      <c r="J32" s="572"/>
      <c r="K32" s="572"/>
      <c r="L32" s="572"/>
      <c r="M32" s="572"/>
      <c r="N32" s="572"/>
      <c r="O32" s="572"/>
      <c r="P32" s="572"/>
      <c r="Q32" s="572"/>
      <c r="R32" s="572"/>
      <c r="S32" s="572"/>
    </row>
    <row r="33">
      <c r="A33" s="186" t="s">
        <v>4965</v>
      </c>
      <c r="B33" s="572"/>
      <c r="C33" s="186" t="s">
        <v>18167</v>
      </c>
      <c r="D33" s="186"/>
      <c r="E33" s="186" t="s">
        <v>30662</v>
      </c>
      <c r="F33" s="572"/>
      <c r="G33" s="186" t="s">
        <v>30663</v>
      </c>
      <c r="H33" s="186" t="s">
        <v>44</v>
      </c>
      <c r="I33" s="186">
        <v>8.910485764E9</v>
      </c>
      <c r="J33" s="572"/>
      <c r="K33" s="572"/>
      <c r="L33" s="572"/>
      <c r="M33" s="572"/>
      <c r="N33" s="572"/>
      <c r="O33" s="572"/>
      <c r="P33" s="572"/>
      <c r="Q33" s="572"/>
      <c r="R33" s="572"/>
      <c r="S33" s="572"/>
    </row>
    <row r="34">
      <c r="A34" s="186" t="s">
        <v>4954</v>
      </c>
      <c r="B34" s="572"/>
      <c r="C34" s="186" t="s">
        <v>30664</v>
      </c>
      <c r="D34" s="186"/>
      <c r="E34" s="186" t="s">
        <v>30665</v>
      </c>
      <c r="F34" s="186" t="s">
        <v>30666</v>
      </c>
      <c r="G34" s="186" t="s">
        <v>30667</v>
      </c>
      <c r="H34" s="186" t="s">
        <v>44</v>
      </c>
      <c r="I34" s="186">
        <v>9.830356776E9</v>
      </c>
      <c r="J34" s="572"/>
      <c r="K34" s="572"/>
      <c r="L34" s="572"/>
      <c r="M34" s="572"/>
      <c r="N34" s="572"/>
      <c r="O34" s="572"/>
      <c r="P34" s="572"/>
      <c r="Q34" s="572"/>
      <c r="R34" s="572"/>
      <c r="S34" s="572"/>
    </row>
    <row r="35">
      <c r="A35" s="186" t="s">
        <v>4954</v>
      </c>
      <c r="B35" s="572"/>
      <c r="C35" s="186" t="s">
        <v>15118</v>
      </c>
      <c r="E35" s="575" t="s">
        <v>30668</v>
      </c>
      <c r="F35" s="186" t="s">
        <v>30669</v>
      </c>
      <c r="G35" s="186" t="s">
        <v>30670</v>
      </c>
      <c r="H35" s="186" t="s">
        <v>44</v>
      </c>
      <c r="I35" s="186">
        <v>8.902042267E9</v>
      </c>
      <c r="J35" s="572"/>
      <c r="K35" s="572"/>
      <c r="L35" s="572"/>
      <c r="M35" s="572"/>
      <c r="N35" s="572"/>
      <c r="O35" s="572"/>
      <c r="P35" s="572"/>
      <c r="Q35" s="572"/>
      <c r="R35" s="572"/>
      <c r="S35" s="572"/>
    </row>
    <row r="36">
      <c r="A36" s="186" t="s">
        <v>4929</v>
      </c>
      <c r="B36" s="572"/>
      <c r="C36" s="186" t="s">
        <v>30671</v>
      </c>
      <c r="D36" s="186"/>
      <c r="E36" s="186" t="s">
        <v>30665</v>
      </c>
      <c r="F36" s="186" t="s">
        <v>30617</v>
      </c>
      <c r="G36" s="572"/>
      <c r="H36" s="186" t="s">
        <v>44</v>
      </c>
      <c r="I36" s="186">
        <v>7.002690537E9</v>
      </c>
      <c r="J36" s="572"/>
      <c r="K36" s="572"/>
      <c r="L36" s="572"/>
      <c r="M36" s="572"/>
      <c r="N36" s="572"/>
      <c r="O36" s="572"/>
      <c r="P36" s="572"/>
      <c r="Q36" s="572"/>
      <c r="R36" s="572"/>
      <c r="S36" s="572"/>
    </row>
    <row r="37">
      <c r="A37" s="186" t="s">
        <v>4929</v>
      </c>
      <c r="B37" s="572"/>
      <c r="C37" s="186" t="s">
        <v>30672</v>
      </c>
      <c r="D37" s="186"/>
      <c r="E37" s="186" t="s">
        <v>30673</v>
      </c>
      <c r="F37" s="186" t="s">
        <v>30674</v>
      </c>
      <c r="G37" s="186" t="s">
        <v>30675</v>
      </c>
      <c r="H37" s="186" t="s">
        <v>44</v>
      </c>
      <c r="I37" s="186">
        <v>8.617459284E9</v>
      </c>
      <c r="J37" s="572"/>
      <c r="K37" s="572"/>
      <c r="L37" s="572"/>
      <c r="M37" s="572"/>
      <c r="N37" s="572"/>
      <c r="O37" s="572"/>
      <c r="P37" s="572"/>
      <c r="Q37" s="572"/>
      <c r="R37" s="572"/>
      <c r="S37" s="572"/>
    </row>
    <row r="38">
      <c r="A38" s="186" t="s">
        <v>4912</v>
      </c>
      <c r="B38" s="572"/>
      <c r="C38" s="186" t="s">
        <v>3606</v>
      </c>
      <c r="D38" s="186"/>
      <c r="E38" s="186" t="s">
        <v>30676</v>
      </c>
      <c r="F38" s="186" t="s">
        <v>30674</v>
      </c>
      <c r="G38" s="186" t="s">
        <v>30677</v>
      </c>
      <c r="H38" s="186" t="s">
        <v>472</v>
      </c>
      <c r="I38" s="186">
        <v>7.69999813E9</v>
      </c>
      <c r="J38" s="186" t="s">
        <v>30678</v>
      </c>
      <c r="K38" s="572"/>
      <c r="L38" s="572"/>
      <c r="M38" s="572"/>
      <c r="N38" s="572"/>
      <c r="O38" s="572"/>
      <c r="P38" s="572"/>
      <c r="Q38" s="572"/>
      <c r="R38" s="572"/>
      <c r="S38" s="572"/>
    </row>
    <row r="39">
      <c r="A39" s="186" t="s">
        <v>4912</v>
      </c>
      <c r="B39" s="572"/>
      <c r="C39" s="186" t="s">
        <v>30679</v>
      </c>
      <c r="D39" s="186"/>
      <c r="E39" s="186" t="s">
        <v>30680</v>
      </c>
      <c r="F39" s="186" t="s">
        <v>30621</v>
      </c>
      <c r="G39" s="186" t="s">
        <v>30681</v>
      </c>
      <c r="H39" s="186" t="s">
        <v>44</v>
      </c>
      <c r="I39" s="186">
        <v>9.830021114E9</v>
      </c>
      <c r="J39" s="572"/>
      <c r="K39" s="572"/>
      <c r="L39" s="572"/>
      <c r="M39" s="572"/>
      <c r="N39" s="572"/>
      <c r="O39" s="572"/>
      <c r="P39" s="572"/>
      <c r="Q39" s="572"/>
      <c r="R39" s="572"/>
      <c r="S39" s="572"/>
    </row>
    <row r="40">
      <c r="A40" s="186" t="s">
        <v>4912</v>
      </c>
      <c r="B40" s="572"/>
      <c r="C40" s="186" t="s">
        <v>30682</v>
      </c>
      <c r="D40" s="186"/>
      <c r="E40" s="186" t="s">
        <v>30683</v>
      </c>
      <c r="F40" s="186" t="s">
        <v>30674</v>
      </c>
      <c r="G40" s="186" t="s">
        <v>30684</v>
      </c>
      <c r="H40" s="186" t="s">
        <v>44</v>
      </c>
      <c r="I40" s="186">
        <v>7.864935116E9</v>
      </c>
      <c r="J40" s="572"/>
      <c r="K40" s="572"/>
      <c r="L40" s="572"/>
      <c r="M40" s="572"/>
      <c r="N40" s="572"/>
      <c r="O40" s="572"/>
      <c r="P40" s="572"/>
      <c r="Q40" s="572"/>
      <c r="R40" s="572"/>
      <c r="S40" s="572"/>
    </row>
    <row r="41">
      <c r="A41" s="186" t="s">
        <v>4912</v>
      </c>
      <c r="B41" s="572"/>
      <c r="C41" s="186" t="s">
        <v>1694</v>
      </c>
      <c r="D41" s="186"/>
      <c r="E41" s="186" t="s">
        <v>30616</v>
      </c>
      <c r="F41" s="186" t="s">
        <v>30669</v>
      </c>
      <c r="G41" s="186" t="s">
        <v>30685</v>
      </c>
      <c r="H41" s="186" t="s">
        <v>44</v>
      </c>
      <c r="I41" s="186">
        <v>7.717750886E9</v>
      </c>
      <c r="J41" s="572"/>
      <c r="K41" s="572"/>
      <c r="L41" s="572"/>
      <c r="M41" s="572"/>
      <c r="N41" s="572"/>
      <c r="O41" s="572"/>
      <c r="P41" s="572"/>
      <c r="Q41" s="572"/>
      <c r="R41" s="572"/>
      <c r="S41" s="572"/>
    </row>
    <row r="42">
      <c r="A42" s="186" t="s">
        <v>4912</v>
      </c>
      <c r="B42" s="572"/>
      <c r="C42" s="186" t="s">
        <v>30686</v>
      </c>
      <c r="D42" s="574" t="s">
        <v>30687</v>
      </c>
      <c r="E42" s="575" t="s">
        <v>30688</v>
      </c>
      <c r="F42" s="186" t="s">
        <v>30617</v>
      </c>
      <c r="G42" s="186" t="s">
        <v>30689</v>
      </c>
      <c r="H42" s="186" t="s">
        <v>131</v>
      </c>
      <c r="I42" s="186">
        <v>9.859460496E9</v>
      </c>
      <c r="J42" s="572"/>
      <c r="K42" s="572"/>
      <c r="L42" s="572"/>
      <c r="M42" s="572"/>
      <c r="N42" s="572"/>
      <c r="O42" s="572"/>
      <c r="P42" s="572"/>
      <c r="Q42" s="572"/>
      <c r="R42" s="572"/>
      <c r="S42" s="572"/>
    </row>
    <row r="43">
      <c r="A43" s="186" t="s">
        <v>4894</v>
      </c>
      <c r="B43" s="572"/>
      <c r="C43" s="186" t="s">
        <v>30690</v>
      </c>
      <c r="D43" s="186"/>
      <c r="E43" s="186" t="s">
        <v>30691</v>
      </c>
      <c r="F43" s="186" t="s">
        <v>30674</v>
      </c>
      <c r="G43" s="186" t="s">
        <v>30692</v>
      </c>
      <c r="H43" s="186" t="s">
        <v>99</v>
      </c>
      <c r="I43" s="186">
        <v>9.861073006E9</v>
      </c>
      <c r="J43" s="572"/>
      <c r="K43" s="572"/>
      <c r="L43" s="572"/>
      <c r="M43" s="572"/>
      <c r="N43" s="572"/>
      <c r="O43" s="572"/>
      <c r="P43" s="572"/>
      <c r="Q43" s="572"/>
      <c r="R43" s="572"/>
      <c r="S43" s="572"/>
    </row>
    <row r="44">
      <c r="A44" s="186" t="s">
        <v>4881</v>
      </c>
      <c r="B44" s="572"/>
      <c r="C44" s="186" t="s">
        <v>30693</v>
      </c>
      <c r="D44" s="186"/>
      <c r="E44" s="186" t="s">
        <v>30694</v>
      </c>
      <c r="F44" s="572"/>
      <c r="G44" s="186" t="s">
        <v>30695</v>
      </c>
      <c r="H44" s="186" t="s">
        <v>44</v>
      </c>
      <c r="I44" s="186">
        <v>8.509339439E9</v>
      </c>
      <c r="J44" s="572"/>
      <c r="K44" s="572"/>
      <c r="L44" s="572"/>
      <c r="M44" s="572"/>
      <c r="N44" s="572"/>
      <c r="O44" s="572"/>
      <c r="P44" s="572"/>
      <c r="Q44" s="572"/>
      <c r="R44" s="572"/>
      <c r="S44" s="572"/>
    </row>
    <row r="45">
      <c r="A45" s="186" t="s">
        <v>4881</v>
      </c>
      <c r="B45" s="572"/>
      <c r="C45" s="186" t="s">
        <v>30696</v>
      </c>
      <c r="D45" s="186"/>
      <c r="E45" s="186" t="s">
        <v>30697</v>
      </c>
      <c r="F45" s="572"/>
      <c r="G45" s="186" t="s">
        <v>10927</v>
      </c>
      <c r="H45" s="186" t="s">
        <v>44</v>
      </c>
      <c r="I45" s="186">
        <v>9.831685249E9</v>
      </c>
      <c r="J45" s="186" t="s">
        <v>20838</v>
      </c>
      <c r="K45" s="572"/>
      <c r="L45" s="572"/>
      <c r="M45" s="572"/>
      <c r="N45" s="572"/>
      <c r="O45" s="572"/>
      <c r="P45" s="572"/>
      <c r="Q45" s="572"/>
      <c r="R45" s="572"/>
      <c r="S45" s="572"/>
    </row>
    <row r="46">
      <c r="A46" s="186" t="s">
        <v>4837</v>
      </c>
      <c r="B46" s="572"/>
      <c r="C46" s="526" t="s">
        <v>30698</v>
      </c>
      <c r="D46" s="526"/>
      <c r="E46" s="186" t="s">
        <v>30699</v>
      </c>
      <c r="F46" s="186" t="s">
        <v>30700</v>
      </c>
      <c r="G46" s="186" t="s">
        <v>30701</v>
      </c>
      <c r="H46" s="186" t="s">
        <v>44</v>
      </c>
      <c r="I46" s="186">
        <v>9.088271245E9</v>
      </c>
      <c r="J46" s="572"/>
      <c r="K46" s="572"/>
      <c r="L46" s="572"/>
      <c r="M46" s="572"/>
      <c r="N46" s="572"/>
      <c r="O46" s="572"/>
      <c r="P46" s="572"/>
      <c r="Q46" s="572"/>
      <c r="R46" s="572"/>
      <c r="S46" s="572"/>
    </row>
    <row r="47">
      <c r="A47" s="186" t="s">
        <v>4792</v>
      </c>
      <c r="B47" s="572"/>
      <c r="C47" s="186" t="s">
        <v>30702</v>
      </c>
      <c r="D47" s="186"/>
      <c r="E47" s="186" t="s">
        <v>30703</v>
      </c>
      <c r="F47" s="572"/>
      <c r="G47" s="186" t="s">
        <v>30704</v>
      </c>
      <c r="H47" s="186" t="s">
        <v>44</v>
      </c>
      <c r="I47" s="186">
        <v>9.123484738E9</v>
      </c>
      <c r="J47" s="186" t="s">
        <v>13644</v>
      </c>
      <c r="K47" s="572"/>
      <c r="L47" s="572"/>
      <c r="M47" s="572"/>
      <c r="N47" s="572"/>
      <c r="O47" s="572"/>
      <c r="P47" s="572"/>
      <c r="Q47" s="572"/>
      <c r="R47" s="572"/>
      <c r="S47" s="572"/>
    </row>
    <row r="48">
      <c r="A48" s="186" t="s">
        <v>4792</v>
      </c>
      <c r="B48" s="572"/>
      <c r="C48" s="186" t="s">
        <v>30705</v>
      </c>
      <c r="D48" s="186"/>
      <c r="E48" s="186" t="s">
        <v>30706</v>
      </c>
      <c r="F48" s="186" t="s">
        <v>30707</v>
      </c>
      <c r="G48" s="572"/>
      <c r="H48" s="186" t="s">
        <v>449</v>
      </c>
      <c r="I48" s="186">
        <v>9.56311251E9</v>
      </c>
      <c r="J48" s="186" t="s">
        <v>30708</v>
      </c>
      <c r="K48" s="572"/>
      <c r="L48" s="572"/>
      <c r="M48" s="572"/>
      <c r="N48" s="572"/>
      <c r="O48" s="572"/>
      <c r="P48" s="572"/>
      <c r="Q48" s="572"/>
      <c r="R48" s="572"/>
      <c r="S48" s="572"/>
    </row>
    <row r="49">
      <c r="A49" s="186" t="s">
        <v>4792</v>
      </c>
      <c r="B49" s="572"/>
      <c r="C49" s="186" t="s">
        <v>30682</v>
      </c>
      <c r="D49" s="574" t="s">
        <v>30709</v>
      </c>
      <c r="E49" s="575" t="s">
        <v>30710</v>
      </c>
      <c r="F49" s="572"/>
      <c r="G49" s="186" t="s">
        <v>30711</v>
      </c>
      <c r="H49" s="186" t="s">
        <v>44</v>
      </c>
      <c r="I49" s="186">
        <v>7.864935116E9</v>
      </c>
      <c r="J49" s="186" t="s">
        <v>30712</v>
      </c>
      <c r="K49" s="572"/>
      <c r="L49" s="572"/>
      <c r="M49" s="572"/>
      <c r="N49" s="572"/>
      <c r="O49" s="572"/>
      <c r="P49" s="572"/>
      <c r="Q49" s="572"/>
      <c r="R49" s="572"/>
      <c r="S49" s="572"/>
    </row>
    <row r="50">
      <c r="A50" s="186" t="s">
        <v>4792</v>
      </c>
      <c r="B50" s="572"/>
      <c r="C50" s="186" t="s">
        <v>30713</v>
      </c>
      <c r="D50" s="186"/>
      <c r="E50" s="186" t="s">
        <v>30714</v>
      </c>
      <c r="F50" s="186" t="s">
        <v>30613</v>
      </c>
      <c r="G50" s="186" t="s">
        <v>30715</v>
      </c>
      <c r="H50" s="186" t="s">
        <v>44</v>
      </c>
      <c r="I50" s="186">
        <v>6.289173001E9</v>
      </c>
      <c r="J50" s="186" t="s">
        <v>30716</v>
      </c>
      <c r="K50" s="572"/>
      <c r="L50" s="572"/>
      <c r="M50" s="572"/>
      <c r="N50" s="572"/>
      <c r="O50" s="572"/>
      <c r="P50" s="572"/>
      <c r="Q50" s="572"/>
      <c r="R50" s="572"/>
      <c r="S50" s="572"/>
    </row>
    <row r="51">
      <c r="A51" s="186" t="s">
        <v>4792</v>
      </c>
      <c r="B51" s="572"/>
      <c r="C51" s="186" t="s">
        <v>30717</v>
      </c>
      <c r="D51" s="186"/>
      <c r="E51" s="186" t="s">
        <v>30718</v>
      </c>
      <c r="F51" s="186" t="s">
        <v>30666</v>
      </c>
      <c r="G51" s="186" t="s">
        <v>30719</v>
      </c>
      <c r="H51" s="186" t="s">
        <v>985</v>
      </c>
      <c r="I51" s="186">
        <v>9.556699617E9</v>
      </c>
      <c r="J51" s="186" t="s">
        <v>30720</v>
      </c>
      <c r="K51" s="572"/>
      <c r="L51" s="572"/>
      <c r="M51" s="572"/>
      <c r="N51" s="572"/>
      <c r="O51" s="572"/>
      <c r="P51" s="572"/>
      <c r="Q51" s="572"/>
      <c r="R51" s="572"/>
      <c r="S51" s="572"/>
    </row>
    <row r="52">
      <c r="A52" s="186" t="s">
        <v>4792</v>
      </c>
      <c r="B52" s="572"/>
      <c r="C52" s="186" t="s">
        <v>30721</v>
      </c>
      <c r="D52" s="186"/>
      <c r="E52" s="186" t="s">
        <v>30722</v>
      </c>
      <c r="F52" s="186" t="s">
        <v>30723</v>
      </c>
      <c r="G52" s="186" t="s">
        <v>30724</v>
      </c>
      <c r="H52" s="186" t="s">
        <v>44</v>
      </c>
      <c r="I52" s="186">
        <v>9.830398157E9</v>
      </c>
      <c r="J52" s="572"/>
      <c r="K52" s="572"/>
      <c r="L52" s="572"/>
      <c r="M52" s="572"/>
      <c r="N52" s="572"/>
      <c r="O52" s="572"/>
      <c r="P52" s="572"/>
      <c r="Q52" s="572"/>
      <c r="R52" s="572"/>
      <c r="S52" s="572"/>
    </row>
    <row r="53">
      <c r="A53" s="186" t="s">
        <v>4792</v>
      </c>
      <c r="B53" s="572"/>
      <c r="C53" s="186" t="s">
        <v>2676</v>
      </c>
      <c r="D53" s="186"/>
      <c r="E53" s="186" t="s">
        <v>30725</v>
      </c>
      <c r="F53" s="572"/>
      <c r="G53" s="186" t="s">
        <v>30726</v>
      </c>
      <c r="H53" s="186" t="s">
        <v>44</v>
      </c>
      <c r="I53" s="186">
        <v>8.013334263E9</v>
      </c>
      <c r="J53" s="572"/>
      <c r="K53" s="572"/>
      <c r="L53" s="572"/>
      <c r="M53" s="572"/>
      <c r="N53" s="572"/>
      <c r="O53" s="572"/>
      <c r="P53" s="572"/>
      <c r="Q53" s="572"/>
      <c r="R53" s="572"/>
      <c r="S53" s="572"/>
    </row>
    <row r="54">
      <c r="A54" s="186" t="s">
        <v>4792</v>
      </c>
      <c r="B54" s="572"/>
      <c r="C54" s="186" t="s">
        <v>30727</v>
      </c>
      <c r="D54" s="186"/>
      <c r="E54" s="186" t="s">
        <v>30728</v>
      </c>
      <c r="F54" s="572"/>
      <c r="G54" s="186" t="s">
        <v>30729</v>
      </c>
      <c r="H54" s="186" t="s">
        <v>44</v>
      </c>
      <c r="I54" s="186">
        <v>9.830221808E9</v>
      </c>
      <c r="J54" s="572"/>
      <c r="K54" s="572"/>
      <c r="L54" s="572"/>
      <c r="M54" s="572"/>
      <c r="N54" s="572"/>
      <c r="O54" s="572"/>
      <c r="P54" s="572"/>
      <c r="Q54" s="572"/>
      <c r="R54" s="572"/>
      <c r="S54" s="572"/>
    </row>
    <row r="55">
      <c r="A55" s="186" t="s">
        <v>4779</v>
      </c>
      <c r="B55" s="572"/>
      <c r="C55" s="186" t="s">
        <v>30730</v>
      </c>
      <c r="D55" s="572"/>
      <c r="E55" s="186" t="s">
        <v>30731</v>
      </c>
      <c r="F55" s="186" t="s">
        <v>30605</v>
      </c>
      <c r="G55" s="186" t="s">
        <v>30732</v>
      </c>
      <c r="H55" s="186" t="s">
        <v>44</v>
      </c>
      <c r="I55" s="186">
        <v>6.294995939E9</v>
      </c>
      <c r="J55" s="572"/>
      <c r="K55" s="572"/>
      <c r="L55" s="572"/>
      <c r="M55" s="572"/>
      <c r="N55" s="572"/>
      <c r="O55" s="572"/>
      <c r="P55" s="572"/>
      <c r="Q55" s="572"/>
      <c r="R55" s="572"/>
      <c r="S55" s="572"/>
    </row>
    <row r="56">
      <c r="A56" s="186" t="s">
        <v>4779</v>
      </c>
      <c r="B56" s="572"/>
      <c r="C56" s="186" t="s">
        <v>30733</v>
      </c>
      <c r="D56" s="572"/>
      <c r="E56" s="186" t="s">
        <v>30734</v>
      </c>
      <c r="F56" s="186" t="s">
        <v>30735</v>
      </c>
      <c r="G56" s="572"/>
      <c r="H56" s="186" t="s">
        <v>44</v>
      </c>
      <c r="I56" s="186">
        <v>9.83113199E9</v>
      </c>
      <c r="J56" s="186" t="s">
        <v>30736</v>
      </c>
      <c r="K56" s="572"/>
      <c r="L56" s="572"/>
      <c r="M56" s="572"/>
      <c r="N56" s="572"/>
      <c r="O56" s="572"/>
      <c r="P56" s="572"/>
      <c r="Q56" s="572"/>
      <c r="R56" s="572"/>
      <c r="S56" s="572"/>
    </row>
    <row r="57">
      <c r="A57" s="186" t="s">
        <v>4779</v>
      </c>
      <c r="B57" s="572"/>
      <c r="C57" s="186" t="s">
        <v>30737</v>
      </c>
      <c r="D57" s="572"/>
      <c r="E57" s="186" t="s">
        <v>30738</v>
      </c>
      <c r="F57" s="186" t="s">
        <v>30597</v>
      </c>
      <c r="G57" s="186" t="s">
        <v>30739</v>
      </c>
      <c r="H57" s="186" t="s">
        <v>44</v>
      </c>
      <c r="I57" s="186">
        <v>9.83152124E9</v>
      </c>
      <c r="J57" s="186" t="s">
        <v>30740</v>
      </c>
      <c r="K57" s="572"/>
      <c r="L57" s="572"/>
      <c r="M57" s="572"/>
      <c r="N57" s="572"/>
      <c r="O57" s="572"/>
      <c r="P57" s="572"/>
      <c r="Q57" s="572"/>
      <c r="R57" s="572"/>
      <c r="S57" s="572"/>
    </row>
    <row r="58">
      <c r="A58" s="186" t="s">
        <v>4718</v>
      </c>
      <c r="B58" s="572"/>
      <c r="C58" s="186" t="s">
        <v>30741</v>
      </c>
      <c r="D58" s="572"/>
      <c r="E58" s="186" t="s">
        <v>30742</v>
      </c>
      <c r="F58" s="186" t="s">
        <v>30743</v>
      </c>
      <c r="G58" s="186" t="s">
        <v>30744</v>
      </c>
      <c r="H58" s="186" t="s">
        <v>472</v>
      </c>
      <c r="I58" s="186">
        <v>9.434791447E9</v>
      </c>
      <c r="J58" s="572"/>
      <c r="K58" s="572"/>
      <c r="L58" s="572"/>
      <c r="M58" s="572"/>
      <c r="N58" s="572"/>
      <c r="O58" s="572"/>
      <c r="P58" s="572"/>
      <c r="Q58" s="572"/>
      <c r="R58" s="572"/>
      <c r="S58" s="572"/>
    </row>
    <row r="59">
      <c r="A59" s="186" t="s">
        <v>4718</v>
      </c>
      <c r="B59" s="572"/>
      <c r="C59" s="186" t="s">
        <v>30745</v>
      </c>
      <c r="D59" s="572"/>
      <c r="E59" s="186" t="s">
        <v>30746</v>
      </c>
      <c r="F59" s="186" t="s">
        <v>30747</v>
      </c>
      <c r="G59" s="572"/>
      <c r="H59" s="186" t="s">
        <v>30748</v>
      </c>
      <c r="I59" s="186">
        <v>9.038498367E9</v>
      </c>
      <c r="J59" s="572"/>
      <c r="K59" s="572"/>
      <c r="L59" s="572"/>
      <c r="M59" s="572"/>
      <c r="N59" s="572"/>
      <c r="O59" s="572"/>
      <c r="P59" s="572"/>
      <c r="Q59" s="572"/>
      <c r="R59" s="572"/>
      <c r="S59" s="572"/>
    </row>
    <row r="60">
      <c r="A60" s="186" t="s">
        <v>4718</v>
      </c>
      <c r="B60" s="572"/>
      <c r="C60" s="186" t="s">
        <v>30749</v>
      </c>
      <c r="D60" s="572"/>
      <c r="E60" s="186" t="s">
        <v>30750</v>
      </c>
      <c r="F60" s="572"/>
      <c r="G60" s="186" t="s">
        <v>30751</v>
      </c>
      <c r="H60" s="186" t="s">
        <v>44</v>
      </c>
      <c r="I60" s="186">
        <v>9.874397733E9</v>
      </c>
      <c r="J60" s="186" t="s">
        <v>30752</v>
      </c>
      <c r="K60" s="572"/>
      <c r="L60" s="572"/>
      <c r="M60" s="572"/>
      <c r="N60" s="572"/>
      <c r="O60" s="572"/>
      <c r="P60" s="572"/>
      <c r="Q60" s="572"/>
      <c r="R60" s="572"/>
      <c r="S60" s="572"/>
    </row>
    <row r="61">
      <c r="A61" s="186" t="s">
        <v>4718</v>
      </c>
      <c r="B61" s="572"/>
      <c r="C61" s="186" t="s">
        <v>30753</v>
      </c>
      <c r="D61" s="572"/>
      <c r="E61" s="575" t="s">
        <v>30754</v>
      </c>
      <c r="F61" s="572"/>
      <c r="G61" s="186" t="s">
        <v>30755</v>
      </c>
      <c r="H61" s="186" t="s">
        <v>44</v>
      </c>
      <c r="I61" s="186">
        <v>9.83174668E9</v>
      </c>
      <c r="J61" s="186" t="s">
        <v>30756</v>
      </c>
      <c r="K61" s="572"/>
      <c r="L61" s="572"/>
      <c r="M61" s="572"/>
      <c r="N61" s="572"/>
      <c r="O61" s="572"/>
      <c r="P61" s="572"/>
      <c r="Q61" s="572"/>
      <c r="R61" s="572"/>
      <c r="S61" s="572"/>
    </row>
    <row r="62">
      <c r="A62" s="186" t="s">
        <v>4718</v>
      </c>
      <c r="B62" s="572"/>
      <c r="C62" s="186" t="s">
        <v>30757</v>
      </c>
      <c r="D62" s="572"/>
      <c r="E62" s="575" t="s">
        <v>24725</v>
      </c>
      <c r="F62" s="186" t="s">
        <v>30597</v>
      </c>
      <c r="G62" s="186" t="s">
        <v>30758</v>
      </c>
      <c r="H62" s="186" t="s">
        <v>638</v>
      </c>
      <c r="I62" s="186">
        <v>7.602772827E9</v>
      </c>
      <c r="J62" s="186" t="s">
        <v>30759</v>
      </c>
      <c r="K62" s="572"/>
      <c r="L62" s="572"/>
      <c r="M62" s="572"/>
      <c r="N62" s="572"/>
      <c r="O62" s="572"/>
      <c r="P62" s="572"/>
      <c r="Q62" s="572"/>
      <c r="R62" s="572"/>
      <c r="S62" s="572"/>
    </row>
    <row r="63">
      <c r="A63" s="186" t="s">
        <v>4677</v>
      </c>
      <c r="B63" s="572"/>
      <c r="C63" s="186" t="s">
        <v>30760</v>
      </c>
      <c r="D63" s="572"/>
      <c r="E63" s="186" t="s">
        <v>30761</v>
      </c>
      <c r="F63" s="186" t="s">
        <v>30762</v>
      </c>
      <c r="G63" s="186" t="s">
        <v>30763</v>
      </c>
      <c r="H63" s="186" t="s">
        <v>44</v>
      </c>
      <c r="I63" s="186">
        <v>7.685935958E9</v>
      </c>
      <c r="J63" s="186" t="s">
        <v>9772</v>
      </c>
      <c r="K63" s="572"/>
      <c r="L63" s="572"/>
      <c r="M63" s="572"/>
      <c r="N63" s="572"/>
      <c r="O63" s="572"/>
      <c r="P63" s="572"/>
      <c r="Q63" s="572"/>
      <c r="R63" s="572"/>
      <c r="S63" s="572"/>
    </row>
    <row r="64">
      <c r="A64" s="186" t="s">
        <v>4677</v>
      </c>
      <c r="B64" s="572"/>
      <c r="C64" s="186" t="s">
        <v>30764</v>
      </c>
      <c r="D64" s="572"/>
      <c r="E64" s="186" t="s">
        <v>30765</v>
      </c>
      <c r="F64" s="186" t="s">
        <v>30605</v>
      </c>
      <c r="G64" s="186" t="s">
        <v>30766</v>
      </c>
      <c r="H64" s="186" t="s">
        <v>99</v>
      </c>
      <c r="I64" s="186">
        <v>8.327778424E9</v>
      </c>
      <c r="J64" s="572"/>
      <c r="K64" s="572"/>
      <c r="L64" s="572"/>
      <c r="M64" s="572"/>
      <c r="N64" s="572"/>
      <c r="O64" s="572"/>
      <c r="P64" s="572"/>
      <c r="Q64" s="572"/>
      <c r="R64" s="572"/>
      <c r="S64" s="572"/>
    </row>
    <row r="65">
      <c r="A65" s="186" t="s">
        <v>4677</v>
      </c>
      <c r="B65" s="572"/>
      <c r="C65" s="572"/>
      <c r="D65" s="572"/>
      <c r="E65" s="573" t="s">
        <v>30767</v>
      </c>
      <c r="F65" s="186" t="s">
        <v>13371</v>
      </c>
      <c r="G65" s="572"/>
      <c r="H65" s="186" t="s">
        <v>44</v>
      </c>
      <c r="I65" s="186">
        <v>8.017401621E9</v>
      </c>
      <c r="J65" s="573" t="s">
        <v>30768</v>
      </c>
      <c r="K65" s="572"/>
      <c r="L65" s="572"/>
      <c r="M65" s="572"/>
      <c r="N65" s="572"/>
      <c r="O65" s="572"/>
      <c r="P65" s="572"/>
      <c r="Q65" s="572"/>
      <c r="R65" s="572"/>
      <c r="S65" s="572"/>
    </row>
    <row r="66">
      <c r="A66" s="186" t="s">
        <v>4677</v>
      </c>
      <c r="B66" s="572"/>
      <c r="C66" s="36" t="s">
        <v>30769</v>
      </c>
      <c r="D66" s="572"/>
      <c r="E66" s="105" t="s">
        <v>30770</v>
      </c>
      <c r="F66" s="186" t="s">
        <v>30771</v>
      </c>
      <c r="G66" s="120" t="s">
        <v>30772</v>
      </c>
      <c r="H66" s="36" t="s">
        <v>30773</v>
      </c>
      <c r="I66" s="576">
        <v>8.21018819E9</v>
      </c>
      <c r="J66" s="186" t="s">
        <v>7109</v>
      </c>
      <c r="K66" s="572"/>
      <c r="L66" s="572"/>
      <c r="M66" s="572"/>
      <c r="N66" s="572"/>
      <c r="O66" s="572"/>
      <c r="P66" s="572"/>
      <c r="Q66" s="572"/>
      <c r="R66" s="572"/>
      <c r="S66" s="572"/>
    </row>
    <row r="67">
      <c r="A67" s="186" t="s">
        <v>4663</v>
      </c>
      <c r="B67" s="572"/>
      <c r="C67" s="186" t="s">
        <v>30774</v>
      </c>
      <c r="D67" s="572"/>
      <c r="E67" s="186" t="s">
        <v>30775</v>
      </c>
      <c r="F67" s="572"/>
      <c r="G67" s="186" t="s">
        <v>30776</v>
      </c>
      <c r="H67" s="186" t="s">
        <v>9359</v>
      </c>
      <c r="I67" s="186">
        <v>9.381392005E9</v>
      </c>
      <c r="J67" s="572"/>
      <c r="K67" s="572"/>
      <c r="L67" s="572"/>
      <c r="M67" s="572"/>
      <c r="N67" s="572"/>
      <c r="O67" s="572"/>
      <c r="P67" s="572"/>
      <c r="Q67" s="572"/>
      <c r="R67" s="572"/>
      <c r="S67" s="572"/>
    </row>
    <row r="68">
      <c r="A68" s="186" t="s">
        <v>4663</v>
      </c>
      <c r="B68" s="572"/>
      <c r="C68" s="84" t="s">
        <v>30777</v>
      </c>
      <c r="D68" s="572"/>
      <c r="E68" s="36" t="s">
        <v>30778</v>
      </c>
      <c r="F68" s="186" t="s">
        <v>30779</v>
      </c>
      <c r="G68" s="126" t="s">
        <v>30780</v>
      </c>
      <c r="H68" s="186" t="s">
        <v>44</v>
      </c>
      <c r="I68" s="79">
        <v>9.717623506E9</v>
      </c>
      <c r="J68" s="186" t="s">
        <v>7109</v>
      </c>
      <c r="K68" s="572"/>
      <c r="L68" s="572"/>
      <c r="M68" s="572"/>
      <c r="N68" s="572"/>
      <c r="O68" s="572"/>
      <c r="P68" s="572"/>
      <c r="Q68" s="572"/>
      <c r="R68" s="572"/>
      <c r="S68" s="572"/>
    </row>
    <row r="69">
      <c r="A69" s="186" t="s">
        <v>4623</v>
      </c>
      <c r="B69" s="572"/>
      <c r="C69" s="186" t="s">
        <v>30781</v>
      </c>
      <c r="D69" s="572"/>
      <c r="E69" s="186" t="s">
        <v>30782</v>
      </c>
      <c r="F69" s="572"/>
      <c r="G69" s="186" t="s">
        <v>30783</v>
      </c>
      <c r="H69" s="186" t="s">
        <v>99</v>
      </c>
      <c r="I69" s="186" t="s">
        <v>30784</v>
      </c>
      <c r="J69" s="186" t="s">
        <v>30785</v>
      </c>
      <c r="K69" s="572"/>
      <c r="L69" s="572"/>
      <c r="M69" s="572"/>
      <c r="N69" s="572"/>
      <c r="O69" s="572"/>
      <c r="P69" s="572"/>
      <c r="Q69" s="572"/>
      <c r="R69" s="572"/>
      <c r="S69" s="572"/>
    </row>
    <row r="70">
      <c r="A70" s="186" t="s">
        <v>4623</v>
      </c>
      <c r="B70" s="572"/>
      <c r="C70" s="186" t="s">
        <v>30786</v>
      </c>
      <c r="D70" s="572"/>
      <c r="E70" s="186" t="s">
        <v>30787</v>
      </c>
      <c r="F70" s="186" t="s">
        <v>30625</v>
      </c>
      <c r="G70" s="186" t="s">
        <v>30788</v>
      </c>
      <c r="H70" s="186" t="s">
        <v>99</v>
      </c>
      <c r="I70" s="186">
        <v>6.370977348E9</v>
      </c>
      <c r="J70" s="572"/>
      <c r="K70" s="572"/>
      <c r="L70" s="572"/>
      <c r="M70" s="572"/>
      <c r="N70" s="572"/>
      <c r="O70" s="572"/>
      <c r="P70" s="572"/>
      <c r="Q70" s="572"/>
      <c r="R70" s="572"/>
      <c r="S70" s="572"/>
    </row>
    <row r="71">
      <c r="A71" s="186" t="s">
        <v>4564</v>
      </c>
      <c r="B71" s="572"/>
      <c r="C71" s="186" t="s">
        <v>30789</v>
      </c>
      <c r="D71" s="572"/>
      <c r="E71" s="186" t="s">
        <v>30790</v>
      </c>
      <c r="F71" s="186" t="s">
        <v>30791</v>
      </c>
      <c r="G71" s="186" t="s">
        <v>30792</v>
      </c>
      <c r="H71" s="186" t="s">
        <v>44</v>
      </c>
      <c r="I71" s="186">
        <v>9.903229948E9</v>
      </c>
      <c r="J71" s="186" t="s">
        <v>16554</v>
      </c>
      <c r="K71" s="572"/>
      <c r="L71" s="572"/>
      <c r="M71" s="572"/>
      <c r="N71" s="572"/>
      <c r="O71" s="572"/>
      <c r="P71" s="572"/>
      <c r="Q71" s="572"/>
      <c r="R71" s="572"/>
      <c r="S71" s="572"/>
    </row>
    <row r="72" ht="18.75" customHeight="1">
      <c r="A72" s="186" t="s">
        <v>4564</v>
      </c>
      <c r="B72" s="572"/>
      <c r="C72" s="186" t="s">
        <v>30793</v>
      </c>
      <c r="D72" s="572"/>
      <c r="E72" s="186" t="s">
        <v>30794</v>
      </c>
      <c r="F72" s="572"/>
      <c r="G72" s="572"/>
      <c r="H72" s="186" t="s">
        <v>30773</v>
      </c>
      <c r="I72" s="186">
        <v>9.798911265E9</v>
      </c>
      <c r="J72" s="186" t="s">
        <v>30795</v>
      </c>
      <c r="K72" s="572"/>
      <c r="L72" s="572"/>
      <c r="M72" s="572"/>
      <c r="N72" s="572"/>
      <c r="O72" s="572"/>
      <c r="P72" s="572"/>
      <c r="Q72" s="572"/>
      <c r="R72" s="572"/>
      <c r="S72" s="572"/>
    </row>
    <row r="73" ht="18.75" customHeight="1">
      <c r="A73" s="186" t="s">
        <v>4564</v>
      </c>
      <c r="B73" s="572"/>
      <c r="C73" s="186" t="s">
        <v>30796</v>
      </c>
      <c r="D73" s="572"/>
      <c r="E73" s="186" t="s">
        <v>30797</v>
      </c>
      <c r="F73" s="572"/>
      <c r="G73" s="572"/>
      <c r="H73" s="186" t="s">
        <v>30798</v>
      </c>
      <c r="I73" s="186">
        <v>6.002399359E9</v>
      </c>
      <c r="J73" s="186"/>
      <c r="K73" s="572"/>
      <c r="L73" s="572"/>
      <c r="M73" s="572"/>
      <c r="N73" s="572"/>
      <c r="O73" s="572"/>
      <c r="P73" s="572"/>
      <c r="Q73" s="572"/>
      <c r="R73" s="572"/>
      <c r="S73" s="572"/>
    </row>
    <row r="74">
      <c r="A74" s="186" t="s">
        <v>4527</v>
      </c>
      <c r="B74" s="572"/>
      <c r="C74" s="186" t="s">
        <v>30799</v>
      </c>
      <c r="D74" s="572"/>
      <c r="E74" s="186" t="s">
        <v>30800</v>
      </c>
      <c r="F74" s="572"/>
      <c r="G74" s="186" t="s">
        <v>30801</v>
      </c>
      <c r="H74" s="186" t="s">
        <v>2682</v>
      </c>
      <c r="I74" s="186">
        <v>9.73169398E9</v>
      </c>
      <c r="J74" s="572"/>
      <c r="K74" s="572"/>
      <c r="L74" s="572"/>
      <c r="M74" s="572"/>
      <c r="N74" s="572"/>
      <c r="O74" s="572"/>
      <c r="P74" s="572"/>
      <c r="Q74" s="572"/>
      <c r="R74" s="572"/>
      <c r="S74" s="572"/>
    </row>
    <row r="75">
      <c r="A75" s="186" t="s">
        <v>4494</v>
      </c>
      <c r="B75" s="572"/>
      <c r="C75" s="186" t="s">
        <v>30802</v>
      </c>
      <c r="D75" s="572"/>
      <c r="E75" s="186" t="s">
        <v>30803</v>
      </c>
      <c r="F75" s="572"/>
      <c r="G75" s="186" t="s">
        <v>30804</v>
      </c>
      <c r="H75" s="186" t="s">
        <v>906</v>
      </c>
      <c r="I75" s="186">
        <v>9.619134336E9</v>
      </c>
      <c r="J75" s="572"/>
      <c r="K75" s="572"/>
      <c r="L75" s="572"/>
      <c r="M75" s="572"/>
      <c r="N75" s="572"/>
      <c r="O75" s="572"/>
      <c r="P75" s="572"/>
      <c r="Q75" s="572"/>
      <c r="R75" s="572"/>
      <c r="S75" s="572"/>
    </row>
    <row r="76">
      <c r="A76" s="186" t="s">
        <v>4494</v>
      </c>
      <c r="B76" s="572"/>
      <c r="C76" s="186" t="s">
        <v>30805</v>
      </c>
      <c r="D76" s="572"/>
      <c r="E76" s="186" t="s">
        <v>30806</v>
      </c>
      <c r="F76" s="186" t="s">
        <v>30632</v>
      </c>
      <c r="G76" s="572"/>
      <c r="H76" s="186" t="s">
        <v>44</v>
      </c>
      <c r="I76" s="186">
        <v>9.123625291E9</v>
      </c>
      <c r="J76" s="572"/>
      <c r="K76" s="572"/>
      <c r="L76" s="572"/>
      <c r="M76" s="572"/>
      <c r="N76" s="572"/>
      <c r="O76" s="572"/>
      <c r="P76" s="572"/>
      <c r="Q76" s="572"/>
      <c r="R76" s="572"/>
      <c r="S76" s="572"/>
    </row>
    <row r="77">
      <c r="A77" s="186" t="s">
        <v>3785</v>
      </c>
      <c r="B77" s="572"/>
      <c r="C77" s="186" t="s">
        <v>30807</v>
      </c>
      <c r="D77" s="572"/>
      <c r="E77" s="186" t="s">
        <v>30808</v>
      </c>
      <c r="F77" s="572"/>
      <c r="G77" s="186" t="s">
        <v>30809</v>
      </c>
      <c r="H77" s="186" t="s">
        <v>44</v>
      </c>
      <c r="I77" s="186">
        <v>9.163083311E9</v>
      </c>
      <c r="J77" s="572"/>
      <c r="K77" s="572"/>
      <c r="L77" s="572"/>
      <c r="M77" s="572"/>
      <c r="N77" s="572"/>
      <c r="O77" s="572"/>
      <c r="P77" s="572"/>
      <c r="Q77" s="572"/>
      <c r="R77" s="572"/>
      <c r="S77" s="572"/>
    </row>
    <row r="78">
      <c r="A78" s="186" t="s">
        <v>3785</v>
      </c>
      <c r="B78" s="572"/>
      <c r="C78" s="186" t="s">
        <v>30810</v>
      </c>
      <c r="D78" s="572"/>
      <c r="E78" s="186" t="s">
        <v>30811</v>
      </c>
      <c r="F78" s="572"/>
      <c r="G78" s="186" t="s">
        <v>30812</v>
      </c>
      <c r="H78" s="186" t="s">
        <v>638</v>
      </c>
      <c r="I78" s="186">
        <v>9.046682005E9</v>
      </c>
      <c r="J78" s="572"/>
      <c r="K78" s="572"/>
      <c r="L78" s="572"/>
      <c r="M78" s="572"/>
      <c r="N78" s="572"/>
      <c r="O78" s="572"/>
      <c r="P78" s="572"/>
      <c r="Q78" s="572"/>
      <c r="R78" s="572"/>
      <c r="S78" s="572"/>
    </row>
    <row r="79">
      <c r="A79" s="186" t="s">
        <v>3785</v>
      </c>
      <c r="B79" s="572"/>
      <c r="C79" s="186" t="s">
        <v>30813</v>
      </c>
      <c r="D79" s="572"/>
      <c r="E79" s="186" t="s">
        <v>30814</v>
      </c>
      <c r="F79" s="186" t="s">
        <v>30597</v>
      </c>
      <c r="G79" s="186" t="s">
        <v>30815</v>
      </c>
      <c r="H79" s="186" t="s">
        <v>158</v>
      </c>
      <c r="I79" s="186" t="s">
        <v>30816</v>
      </c>
      <c r="J79" s="572"/>
      <c r="K79" s="572"/>
      <c r="L79" s="572"/>
      <c r="M79" s="572"/>
      <c r="N79" s="572"/>
      <c r="O79" s="572"/>
      <c r="P79" s="572"/>
      <c r="Q79" s="572"/>
      <c r="R79" s="572"/>
      <c r="S79" s="572"/>
    </row>
    <row r="80">
      <c r="A80" s="186" t="s">
        <v>4452</v>
      </c>
      <c r="B80" s="572"/>
      <c r="C80" s="186" t="s">
        <v>30817</v>
      </c>
      <c r="D80" s="572"/>
      <c r="E80" s="186" t="s">
        <v>30818</v>
      </c>
      <c r="F80" s="572"/>
      <c r="G80" s="186" t="s">
        <v>30819</v>
      </c>
      <c r="H80" s="186" t="s">
        <v>44</v>
      </c>
      <c r="I80" s="186">
        <v>7.890074817E9</v>
      </c>
      <c r="J80" s="572"/>
      <c r="K80" s="572"/>
      <c r="L80" s="572"/>
      <c r="M80" s="572"/>
      <c r="N80" s="572"/>
      <c r="O80" s="572"/>
      <c r="P80" s="572"/>
      <c r="Q80" s="572"/>
      <c r="R80" s="572"/>
      <c r="S80" s="572"/>
    </row>
    <row r="81">
      <c r="A81" s="186" t="s">
        <v>4415</v>
      </c>
      <c r="B81" s="572"/>
      <c r="C81" s="186" t="s">
        <v>30820</v>
      </c>
      <c r="D81" s="572"/>
      <c r="E81" s="186" t="s">
        <v>30821</v>
      </c>
      <c r="F81" s="572"/>
      <c r="G81" s="186" t="s">
        <v>30822</v>
      </c>
      <c r="H81" s="186" t="s">
        <v>44</v>
      </c>
      <c r="I81" s="186">
        <v>9.836863388E9</v>
      </c>
      <c r="J81" s="572"/>
      <c r="K81" s="572"/>
      <c r="L81" s="572"/>
      <c r="M81" s="572"/>
      <c r="N81" s="572"/>
      <c r="O81" s="572"/>
      <c r="P81" s="572"/>
      <c r="Q81" s="572"/>
      <c r="R81" s="572"/>
      <c r="S81" s="572"/>
    </row>
    <row r="82">
      <c r="A82" s="186" t="s">
        <v>4415</v>
      </c>
      <c r="B82" s="572"/>
      <c r="C82" s="186" t="s">
        <v>30823</v>
      </c>
      <c r="D82" s="572"/>
      <c r="E82" s="186" t="s">
        <v>30824</v>
      </c>
      <c r="F82" s="186" t="s">
        <v>30605</v>
      </c>
      <c r="G82" s="186" t="s">
        <v>30825</v>
      </c>
      <c r="H82" s="186" t="s">
        <v>44</v>
      </c>
      <c r="I82" s="186">
        <v>8.800220942E9</v>
      </c>
      <c r="J82" s="572"/>
      <c r="K82" s="572"/>
      <c r="L82" s="572"/>
      <c r="M82" s="572"/>
      <c r="N82" s="572"/>
      <c r="O82" s="572"/>
      <c r="P82" s="572"/>
      <c r="Q82" s="572"/>
      <c r="R82" s="572"/>
      <c r="S82" s="572"/>
    </row>
    <row r="83">
      <c r="A83" s="186" t="s">
        <v>4415</v>
      </c>
      <c r="B83" s="572"/>
      <c r="C83" s="186" t="s">
        <v>30826</v>
      </c>
      <c r="D83" s="572"/>
      <c r="E83" s="186" t="s">
        <v>30827</v>
      </c>
      <c r="F83" s="186" t="s">
        <v>30828</v>
      </c>
      <c r="G83" s="186" t="s">
        <v>30829</v>
      </c>
      <c r="H83" s="186" t="s">
        <v>218</v>
      </c>
      <c r="I83" s="186">
        <v>9.05120609E9</v>
      </c>
      <c r="J83" s="572"/>
      <c r="K83" s="572"/>
      <c r="L83" s="572"/>
      <c r="M83" s="572"/>
      <c r="N83" s="572"/>
      <c r="O83" s="572"/>
      <c r="P83" s="572"/>
      <c r="Q83" s="572"/>
      <c r="R83" s="572"/>
      <c r="S83" s="572"/>
    </row>
    <row r="84">
      <c r="A84" s="186" t="s">
        <v>4415</v>
      </c>
      <c r="B84" s="572"/>
      <c r="C84" s="186" t="s">
        <v>30830</v>
      </c>
      <c r="D84" s="572"/>
      <c r="E84" s="186" t="s">
        <v>30831</v>
      </c>
      <c r="F84" s="572"/>
      <c r="G84" s="186" t="s">
        <v>30832</v>
      </c>
      <c r="H84" s="186" t="s">
        <v>268</v>
      </c>
      <c r="I84" s="186">
        <v>8.17005545E9</v>
      </c>
      <c r="J84" s="572"/>
      <c r="K84" s="572"/>
      <c r="L84" s="572"/>
      <c r="M84" s="572"/>
      <c r="N84" s="572"/>
      <c r="O84" s="572"/>
      <c r="P84" s="572"/>
      <c r="Q84" s="572"/>
      <c r="R84" s="572"/>
      <c r="S84" s="572"/>
    </row>
    <row r="85">
      <c r="A85" s="186" t="s">
        <v>4415</v>
      </c>
      <c r="B85" s="572"/>
      <c r="C85" s="186" t="s">
        <v>30833</v>
      </c>
      <c r="D85" s="572"/>
      <c r="E85" s="186" t="s">
        <v>30834</v>
      </c>
      <c r="F85" s="572"/>
      <c r="G85" s="186" t="s">
        <v>30835</v>
      </c>
      <c r="H85" s="186" t="s">
        <v>44</v>
      </c>
      <c r="I85" s="186">
        <v>8.2401226E9</v>
      </c>
      <c r="J85" s="572"/>
      <c r="K85" s="572"/>
      <c r="L85" s="572"/>
      <c r="M85" s="572"/>
      <c r="N85" s="572"/>
      <c r="O85" s="572"/>
      <c r="P85" s="572"/>
      <c r="Q85" s="572"/>
      <c r="R85" s="572"/>
      <c r="S85" s="572"/>
    </row>
    <row r="86">
      <c r="A86" s="186" t="s">
        <v>4415</v>
      </c>
      <c r="B86" s="572"/>
      <c r="C86" s="186" t="s">
        <v>30836</v>
      </c>
      <c r="D86" s="572"/>
      <c r="E86" s="186" t="s">
        <v>30837</v>
      </c>
      <c r="F86" s="572"/>
      <c r="G86" s="186" t="s">
        <v>30838</v>
      </c>
      <c r="H86" s="186" t="s">
        <v>4165</v>
      </c>
      <c r="I86" s="186">
        <v>8.320169139E9</v>
      </c>
      <c r="J86" s="572"/>
      <c r="K86" s="572"/>
      <c r="L86" s="572"/>
      <c r="M86" s="572"/>
      <c r="N86" s="572"/>
      <c r="O86" s="572"/>
      <c r="P86" s="572"/>
      <c r="Q86" s="572"/>
      <c r="R86" s="572"/>
      <c r="S86" s="572"/>
    </row>
    <row r="87">
      <c r="A87" s="186" t="s">
        <v>4396</v>
      </c>
      <c r="B87" s="572"/>
      <c r="C87" s="186" t="s">
        <v>30839</v>
      </c>
      <c r="D87" s="572"/>
      <c r="E87" s="186" t="s">
        <v>30840</v>
      </c>
      <c r="F87" s="572"/>
      <c r="G87" s="572"/>
      <c r="H87" s="186" t="s">
        <v>1691</v>
      </c>
      <c r="I87" s="186">
        <v>6.294307106E9</v>
      </c>
      <c r="J87" s="572"/>
      <c r="K87" s="572"/>
      <c r="L87" s="572"/>
      <c r="M87" s="572"/>
      <c r="N87" s="572"/>
      <c r="O87" s="572"/>
      <c r="P87" s="572"/>
      <c r="Q87" s="572"/>
      <c r="R87" s="572"/>
      <c r="S87" s="572"/>
    </row>
    <row r="88">
      <c r="A88" s="186" t="s">
        <v>4396</v>
      </c>
      <c r="B88" s="572"/>
      <c r="C88" s="186" t="s">
        <v>30841</v>
      </c>
      <c r="D88" s="572"/>
      <c r="E88" s="186" t="s">
        <v>30842</v>
      </c>
      <c r="F88" s="572"/>
      <c r="G88" s="186" t="s">
        <v>30843</v>
      </c>
      <c r="H88" s="186" t="s">
        <v>30844</v>
      </c>
      <c r="I88" s="186">
        <v>9.064376821E9</v>
      </c>
      <c r="J88" s="186" t="s">
        <v>13644</v>
      </c>
      <c r="K88" s="572"/>
      <c r="L88" s="572"/>
      <c r="M88" s="572"/>
      <c r="N88" s="572"/>
      <c r="O88" s="572"/>
      <c r="P88" s="572"/>
      <c r="Q88" s="572"/>
      <c r="R88" s="572"/>
      <c r="S88" s="572"/>
    </row>
    <row r="89">
      <c r="A89" s="186" t="s">
        <v>4396</v>
      </c>
      <c r="B89" s="572"/>
      <c r="C89" s="186" t="s">
        <v>30845</v>
      </c>
      <c r="D89" s="572"/>
      <c r="E89" s="186" t="s">
        <v>30846</v>
      </c>
      <c r="F89" s="186" t="s">
        <v>30597</v>
      </c>
      <c r="G89" s="186" t="s">
        <v>30847</v>
      </c>
      <c r="H89" s="186" t="s">
        <v>44</v>
      </c>
      <c r="I89" s="186">
        <v>8.617580179E9</v>
      </c>
      <c r="J89" s="572"/>
      <c r="K89" s="572"/>
      <c r="L89" s="572"/>
      <c r="M89" s="572"/>
      <c r="N89" s="572"/>
      <c r="O89" s="572"/>
      <c r="P89" s="572"/>
      <c r="Q89" s="572"/>
      <c r="R89" s="572"/>
      <c r="S89" s="572"/>
    </row>
    <row r="90">
      <c r="A90" s="186" t="s">
        <v>4396</v>
      </c>
      <c r="B90" s="572"/>
      <c r="C90" s="186" t="s">
        <v>30848</v>
      </c>
      <c r="D90" s="572"/>
      <c r="E90" s="186" t="s">
        <v>30849</v>
      </c>
      <c r="F90" s="186" t="s">
        <v>30674</v>
      </c>
      <c r="G90" s="186" t="s">
        <v>30850</v>
      </c>
      <c r="H90" s="186" t="s">
        <v>44</v>
      </c>
      <c r="I90" s="186">
        <v>9.83012355E9</v>
      </c>
      <c r="J90" s="572"/>
      <c r="K90" s="572"/>
      <c r="L90" s="572"/>
      <c r="M90" s="572"/>
      <c r="N90" s="572"/>
      <c r="O90" s="572"/>
      <c r="P90" s="572"/>
      <c r="Q90" s="572"/>
      <c r="R90" s="572"/>
      <c r="S90" s="572"/>
    </row>
    <row r="91">
      <c r="A91" s="186" t="s">
        <v>4367</v>
      </c>
      <c r="B91" s="572"/>
      <c r="C91" s="186" t="s">
        <v>30851</v>
      </c>
      <c r="D91" s="572"/>
      <c r="E91" s="186" t="s">
        <v>30852</v>
      </c>
      <c r="F91" s="186" t="s">
        <v>13361</v>
      </c>
      <c r="G91" s="186" t="s">
        <v>30853</v>
      </c>
      <c r="H91" s="186" t="s">
        <v>49</v>
      </c>
      <c r="I91" s="186">
        <v>8.167852264E9</v>
      </c>
      <c r="J91" s="186" t="s">
        <v>30854</v>
      </c>
      <c r="K91" s="572"/>
      <c r="L91" s="572"/>
      <c r="M91" s="572"/>
      <c r="N91" s="572"/>
      <c r="O91" s="572"/>
      <c r="P91" s="572"/>
      <c r="Q91" s="572"/>
      <c r="R91" s="572"/>
      <c r="S91" s="572"/>
    </row>
    <row r="92">
      <c r="A92" s="186" t="s">
        <v>4367</v>
      </c>
      <c r="B92" s="572"/>
      <c r="C92" s="186" t="s">
        <v>30855</v>
      </c>
      <c r="D92" s="572"/>
      <c r="E92" s="186" t="s">
        <v>30856</v>
      </c>
      <c r="F92" s="572"/>
      <c r="G92" s="186" t="s">
        <v>30857</v>
      </c>
      <c r="H92" s="186" t="s">
        <v>449</v>
      </c>
      <c r="I92" s="186">
        <v>9.933734612E9</v>
      </c>
      <c r="J92" s="572"/>
      <c r="K92" s="572"/>
      <c r="L92" s="572"/>
      <c r="M92" s="572"/>
      <c r="N92" s="572"/>
      <c r="O92" s="572"/>
      <c r="P92" s="572"/>
      <c r="Q92" s="572"/>
      <c r="R92" s="572"/>
      <c r="S92" s="572"/>
    </row>
    <row r="93">
      <c r="A93" s="186" t="s">
        <v>4367</v>
      </c>
      <c r="B93" s="572"/>
      <c r="C93" s="186" t="s">
        <v>30858</v>
      </c>
      <c r="D93" s="572"/>
      <c r="E93" s="186" t="s">
        <v>30859</v>
      </c>
      <c r="F93" s="186" t="s">
        <v>30791</v>
      </c>
      <c r="G93" s="186" t="s">
        <v>30860</v>
      </c>
      <c r="H93" s="186" t="s">
        <v>44</v>
      </c>
      <c r="I93" s="186">
        <v>9.635801948E9</v>
      </c>
      <c r="J93" s="572"/>
      <c r="K93" s="572"/>
      <c r="L93" s="572"/>
      <c r="M93" s="572"/>
      <c r="N93" s="572"/>
      <c r="O93" s="572"/>
      <c r="P93" s="572"/>
      <c r="Q93" s="572"/>
      <c r="R93" s="572"/>
      <c r="S93" s="572"/>
    </row>
    <row r="94">
      <c r="A94" s="186" t="s">
        <v>4284</v>
      </c>
      <c r="B94" s="572"/>
      <c r="C94" s="186" t="s">
        <v>30861</v>
      </c>
      <c r="D94" s="572"/>
      <c r="E94" s="186" t="s">
        <v>30862</v>
      </c>
      <c r="F94" s="572"/>
      <c r="G94" s="186" t="s">
        <v>30863</v>
      </c>
      <c r="H94" s="186" t="s">
        <v>822</v>
      </c>
      <c r="I94" s="186">
        <v>9.832792044E9</v>
      </c>
      <c r="J94" s="572"/>
      <c r="K94" s="572"/>
      <c r="L94" s="572"/>
      <c r="M94" s="572"/>
      <c r="N94" s="572"/>
      <c r="O94" s="572"/>
      <c r="P94" s="572"/>
      <c r="Q94" s="572"/>
      <c r="R94" s="572"/>
      <c r="S94" s="572"/>
    </row>
    <row r="95">
      <c r="A95" s="186" t="s">
        <v>4284</v>
      </c>
      <c r="B95" s="572"/>
      <c r="C95" s="186" t="s">
        <v>30864</v>
      </c>
      <c r="D95" s="572"/>
      <c r="E95" s="186" t="s">
        <v>30865</v>
      </c>
      <c r="F95" s="572"/>
      <c r="G95" s="572"/>
      <c r="H95" s="186" t="s">
        <v>49</v>
      </c>
      <c r="I95" s="186">
        <v>7.047959954E9</v>
      </c>
      <c r="J95" s="572"/>
      <c r="K95" s="572"/>
      <c r="L95" s="572"/>
      <c r="M95" s="572"/>
      <c r="N95" s="572"/>
      <c r="O95" s="572"/>
      <c r="P95" s="572"/>
      <c r="Q95" s="572"/>
      <c r="R95" s="572"/>
      <c r="S95" s="572"/>
    </row>
    <row r="96">
      <c r="A96" s="186" t="s">
        <v>4284</v>
      </c>
      <c r="B96" s="572"/>
      <c r="C96" s="186" t="s">
        <v>30866</v>
      </c>
      <c r="D96" s="572"/>
      <c r="E96" s="186" t="s">
        <v>30867</v>
      </c>
      <c r="F96" s="572"/>
      <c r="G96" s="186" t="s">
        <v>30868</v>
      </c>
      <c r="H96" s="186" t="s">
        <v>24</v>
      </c>
      <c r="I96" s="186">
        <v>8.709220436E9</v>
      </c>
      <c r="J96" s="572"/>
      <c r="K96" s="572"/>
      <c r="L96" s="572"/>
      <c r="M96" s="572"/>
      <c r="N96" s="572"/>
      <c r="O96" s="572"/>
      <c r="P96" s="572"/>
      <c r="Q96" s="572"/>
      <c r="R96" s="572"/>
      <c r="S96" s="572"/>
    </row>
    <row r="97">
      <c r="A97" s="186" t="s">
        <v>4254</v>
      </c>
      <c r="B97" s="572"/>
      <c r="C97" s="186" t="s">
        <v>30869</v>
      </c>
      <c r="D97" s="572"/>
      <c r="E97" s="186" t="s">
        <v>30870</v>
      </c>
      <c r="F97" s="572"/>
      <c r="G97" s="186" t="s">
        <v>30871</v>
      </c>
      <c r="H97" s="186" t="s">
        <v>44</v>
      </c>
      <c r="I97" s="186">
        <v>9.625882952E9</v>
      </c>
      <c r="J97" s="572"/>
      <c r="K97" s="572"/>
      <c r="L97" s="572"/>
      <c r="M97" s="572"/>
      <c r="N97" s="572"/>
      <c r="O97" s="572"/>
      <c r="P97" s="572"/>
      <c r="Q97" s="572"/>
      <c r="R97" s="572"/>
      <c r="S97" s="572"/>
    </row>
    <row r="98">
      <c r="A98" s="186" t="s">
        <v>4210</v>
      </c>
      <c r="B98" s="572"/>
      <c r="C98" s="186" t="s">
        <v>30872</v>
      </c>
      <c r="D98" s="572"/>
      <c r="E98" s="186" t="s">
        <v>30797</v>
      </c>
      <c r="F98" s="186" t="s">
        <v>8282</v>
      </c>
      <c r="G98" s="572"/>
      <c r="H98" s="186" t="s">
        <v>449</v>
      </c>
      <c r="I98" s="186">
        <v>9.609739341E9</v>
      </c>
      <c r="J98" s="572"/>
      <c r="K98" s="572"/>
      <c r="L98" s="572"/>
      <c r="M98" s="572"/>
      <c r="N98" s="572"/>
      <c r="O98" s="572"/>
      <c r="P98" s="572"/>
      <c r="Q98" s="572"/>
      <c r="R98" s="572"/>
      <c r="S98" s="572"/>
    </row>
    <row r="99">
      <c r="A99" s="186" t="s">
        <v>4210</v>
      </c>
      <c r="B99" s="572"/>
      <c r="C99" s="186" t="s">
        <v>2460</v>
      </c>
      <c r="D99" s="572"/>
      <c r="E99" s="186" t="s">
        <v>30873</v>
      </c>
      <c r="F99" s="572"/>
      <c r="G99" s="186" t="s">
        <v>2461</v>
      </c>
      <c r="H99" s="186" t="s">
        <v>44</v>
      </c>
      <c r="I99" s="186">
        <v>9.804891579E9</v>
      </c>
      <c r="J99" s="572"/>
      <c r="K99" s="572"/>
      <c r="L99" s="572"/>
      <c r="M99" s="572"/>
      <c r="N99" s="572"/>
      <c r="O99" s="572"/>
      <c r="P99" s="572"/>
      <c r="Q99" s="572"/>
      <c r="R99" s="572"/>
      <c r="S99" s="572"/>
    </row>
    <row r="100">
      <c r="A100" s="186" t="s">
        <v>4210</v>
      </c>
      <c r="B100" s="572"/>
      <c r="C100" s="186" t="s">
        <v>30874</v>
      </c>
      <c r="D100" s="572"/>
      <c r="E100" s="186" t="s">
        <v>30875</v>
      </c>
      <c r="F100" s="572"/>
      <c r="G100" s="186" t="s">
        <v>30876</v>
      </c>
      <c r="H100" s="186" t="s">
        <v>44</v>
      </c>
      <c r="I100" s="186">
        <v>9.378024851E9</v>
      </c>
      <c r="J100" s="572"/>
      <c r="K100" s="572"/>
      <c r="L100" s="572"/>
      <c r="M100" s="572"/>
      <c r="N100" s="572"/>
      <c r="O100" s="572"/>
      <c r="P100" s="572"/>
      <c r="Q100" s="572"/>
      <c r="R100" s="572"/>
      <c r="S100" s="572"/>
    </row>
    <row r="101">
      <c r="A101" s="186" t="s">
        <v>4134</v>
      </c>
      <c r="B101" s="572"/>
      <c r="C101" s="186" t="s">
        <v>30877</v>
      </c>
      <c r="D101" s="572"/>
      <c r="E101" s="186" t="s">
        <v>30878</v>
      </c>
      <c r="F101" s="572"/>
      <c r="G101" s="186" t="s">
        <v>30879</v>
      </c>
      <c r="H101" s="186" t="s">
        <v>981</v>
      </c>
      <c r="I101" s="186">
        <v>9.733838752E9</v>
      </c>
      <c r="J101" s="572"/>
      <c r="K101" s="572"/>
      <c r="L101" s="572"/>
      <c r="M101" s="572"/>
      <c r="N101" s="572"/>
      <c r="O101" s="572"/>
      <c r="P101" s="572"/>
      <c r="Q101" s="572"/>
      <c r="R101" s="572"/>
      <c r="S101" s="572"/>
    </row>
    <row r="102">
      <c r="A102" s="186" t="s">
        <v>4134</v>
      </c>
      <c r="B102" s="572"/>
      <c r="C102" s="186" t="s">
        <v>30880</v>
      </c>
      <c r="D102" s="572"/>
      <c r="E102" s="186" t="s">
        <v>30881</v>
      </c>
      <c r="F102" s="572"/>
      <c r="G102" s="186" t="s">
        <v>30882</v>
      </c>
      <c r="H102" s="186" t="s">
        <v>44</v>
      </c>
      <c r="I102" s="186" t="s">
        <v>30883</v>
      </c>
      <c r="J102" s="572"/>
      <c r="K102" s="572"/>
      <c r="L102" s="572"/>
      <c r="M102" s="572"/>
      <c r="N102" s="572"/>
      <c r="O102" s="572"/>
      <c r="P102" s="572"/>
      <c r="Q102" s="572"/>
      <c r="R102" s="572"/>
      <c r="S102" s="572"/>
    </row>
    <row r="103">
      <c r="A103" s="186" t="s">
        <v>4134</v>
      </c>
      <c r="B103" s="572"/>
      <c r="C103" s="186" t="s">
        <v>30884</v>
      </c>
      <c r="D103" s="572"/>
      <c r="E103" s="186" t="s">
        <v>30885</v>
      </c>
      <c r="F103" s="572"/>
      <c r="G103" s="186" t="s">
        <v>30886</v>
      </c>
      <c r="H103" s="186" t="s">
        <v>906</v>
      </c>
      <c r="I103" s="186" t="s">
        <v>30887</v>
      </c>
      <c r="J103" s="572"/>
      <c r="K103" s="572"/>
      <c r="L103" s="572"/>
      <c r="M103" s="572"/>
      <c r="N103" s="572"/>
      <c r="O103" s="572"/>
      <c r="P103" s="572"/>
      <c r="Q103" s="572"/>
      <c r="R103" s="572"/>
      <c r="S103" s="572"/>
    </row>
    <row r="104">
      <c r="A104" s="186" t="s">
        <v>4053</v>
      </c>
      <c r="B104" s="572"/>
      <c r="C104" s="186" t="s">
        <v>3366</v>
      </c>
      <c r="D104" s="572"/>
      <c r="E104" s="186" t="s">
        <v>30797</v>
      </c>
      <c r="F104" s="186" t="s">
        <v>30605</v>
      </c>
      <c r="G104" s="572"/>
      <c r="H104" s="186" t="s">
        <v>44</v>
      </c>
      <c r="I104" s="186">
        <v>9.561617696E9</v>
      </c>
      <c r="J104" s="572"/>
      <c r="K104" s="572"/>
      <c r="L104" s="572"/>
      <c r="M104" s="572"/>
      <c r="N104" s="572"/>
      <c r="O104" s="572"/>
      <c r="P104" s="572"/>
      <c r="Q104" s="572"/>
      <c r="R104" s="572"/>
      <c r="S104" s="572"/>
    </row>
    <row r="105">
      <c r="A105" s="186" t="s">
        <v>4053</v>
      </c>
      <c r="B105" s="572"/>
      <c r="C105" s="186" t="s">
        <v>30888</v>
      </c>
      <c r="D105" s="572"/>
      <c r="E105" s="186" t="s">
        <v>30803</v>
      </c>
      <c r="F105" s="572"/>
      <c r="G105" s="186" t="s">
        <v>30889</v>
      </c>
      <c r="H105" s="186" t="s">
        <v>906</v>
      </c>
      <c r="I105" s="186">
        <v>9.506580155E9</v>
      </c>
      <c r="J105" s="572"/>
      <c r="K105" s="572"/>
      <c r="L105" s="572"/>
      <c r="M105" s="572"/>
      <c r="N105" s="572"/>
      <c r="O105" s="572"/>
      <c r="P105" s="572"/>
      <c r="Q105" s="572"/>
      <c r="R105" s="572"/>
      <c r="S105" s="572"/>
    </row>
    <row r="106">
      <c r="A106" s="186" t="s">
        <v>4053</v>
      </c>
      <c r="B106" s="572"/>
      <c r="C106" s="186" t="s">
        <v>30890</v>
      </c>
      <c r="D106" s="572"/>
      <c r="E106" s="186" t="s">
        <v>30891</v>
      </c>
      <c r="F106" s="572"/>
      <c r="G106" s="186" t="s">
        <v>30892</v>
      </c>
      <c r="H106" s="186" t="s">
        <v>44</v>
      </c>
      <c r="I106" s="186">
        <v>9.331525556E9</v>
      </c>
      <c r="J106" s="572"/>
      <c r="K106" s="572"/>
      <c r="L106" s="572"/>
      <c r="M106" s="572"/>
      <c r="N106" s="572"/>
      <c r="O106" s="572"/>
      <c r="P106" s="572"/>
      <c r="Q106" s="572"/>
      <c r="R106" s="572"/>
      <c r="S106" s="572"/>
    </row>
    <row r="107">
      <c r="A107" s="186" t="s">
        <v>4044</v>
      </c>
      <c r="B107" s="572"/>
      <c r="C107" s="186" t="s">
        <v>30893</v>
      </c>
      <c r="D107" s="572"/>
      <c r="E107" s="186" t="s">
        <v>30894</v>
      </c>
      <c r="F107" s="572"/>
      <c r="G107" s="572"/>
      <c r="H107" s="186" t="s">
        <v>44</v>
      </c>
      <c r="I107" s="186">
        <v>9.239439617E9</v>
      </c>
      <c r="J107" s="572"/>
      <c r="K107" s="572"/>
      <c r="L107" s="572"/>
      <c r="M107" s="572"/>
      <c r="N107" s="572"/>
      <c r="O107" s="572"/>
      <c r="P107" s="572"/>
      <c r="Q107" s="572"/>
      <c r="R107" s="572"/>
      <c r="S107" s="572"/>
    </row>
    <row r="108">
      <c r="A108" s="186" t="s">
        <v>4017</v>
      </c>
      <c r="B108" s="572"/>
      <c r="C108" s="186" t="s">
        <v>30895</v>
      </c>
      <c r="D108" s="572"/>
      <c r="E108" s="186" t="s">
        <v>30896</v>
      </c>
      <c r="F108" s="572"/>
      <c r="G108" s="186" t="s">
        <v>30897</v>
      </c>
      <c r="H108" s="186" t="s">
        <v>1691</v>
      </c>
      <c r="I108" s="186">
        <v>6.294534317E9</v>
      </c>
      <c r="J108" s="572"/>
      <c r="K108" s="572"/>
      <c r="L108" s="572"/>
      <c r="M108" s="572"/>
      <c r="N108" s="572"/>
      <c r="O108" s="572"/>
      <c r="P108" s="572"/>
      <c r="Q108" s="572"/>
      <c r="R108" s="572"/>
      <c r="S108" s="572"/>
    </row>
    <row r="109">
      <c r="A109" s="186" t="s">
        <v>3981</v>
      </c>
      <c r="B109" s="572"/>
      <c r="C109" s="186" t="s">
        <v>30898</v>
      </c>
      <c r="D109" s="572"/>
      <c r="E109" s="186" t="s">
        <v>30899</v>
      </c>
      <c r="F109" s="572"/>
      <c r="G109" s="186" t="s">
        <v>30900</v>
      </c>
      <c r="H109" s="186" t="s">
        <v>3861</v>
      </c>
      <c r="I109" s="186">
        <v>8.484867718E9</v>
      </c>
      <c r="J109" s="572"/>
      <c r="K109" s="572"/>
      <c r="L109" s="572"/>
      <c r="M109" s="572"/>
      <c r="N109" s="572"/>
      <c r="O109" s="572"/>
      <c r="P109" s="572"/>
      <c r="Q109" s="572"/>
      <c r="R109" s="572"/>
      <c r="S109" s="572"/>
    </row>
    <row r="110">
      <c r="A110" s="186" t="s">
        <v>3981</v>
      </c>
      <c r="B110" s="572"/>
      <c r="C110" s="186" t="s">
        <v>22125</v>
      </c>
      <c r="D110" s="572"/>
      <c r="E110" s="186" t="s">
        <v>30901</v>
      </c>
      <c r="F110" s="572"/>
      <c r="G110" s="186" t="s">
        <v>30902</v>
      </c>
      <c r="H110" s="186" t="s">
        <v>906</v>
      </c>
      <c r="I110" s="186">
        <v>9.004915524E9</v>
      </c>
      <c r="J110" s="572"/>
      <c r="K110" s="572"/>
      <c r="L110" s="572"/>
      <c r="M110" s="572"/>
      <c r="N110" s="572"/>
      <c r="O110" s="572"/>
      <c r="P110" s="572"/>
      <c r="Q110" s="572"/>
      <c r="R110" s="572"/>
      <c r="S110" s="572"/>
    </row>
    <row r="111">
      <c r="A111" s="186" t="s">
        <v>3981</v>
      </c>
      <c r="B111" s="572"/>
      <c r="C111" s="186" t="s">
        <v>30903</v>
      </c>
      <c r="D111" s="572"/>
      <c r="E111" s="186" t="s">
        <v>30904</v>
      </c>
      <c r="F111" s="572"/>
      <c r="G111" s="186" t="s">
        <v>30905</v>
      </c>
      <c r="H111" s="186" t="s">
        <v>4165</v>
      </c>
      <c r="I111" s="186">
        <v>9.825178839E9</v>
      </c>
      <c r="J111" s="186" t="s">
        <v>16554</v>
      </c>
      <c r="K111" s="572"/>
      <c r="L111" s="572"/>
      <c r="M111" s="572"/>
      <c r="N111" s="572"/>
      <c r="O111" s="572"/>
      <c r="P111" s="572"/>
      <c r="Q111" s="572"/>
      <c r="R111" s="572"/>
      <c r="S111" s="572"/>
    </row>
    <row r="112">
      <c r="A112" s="572"/>
      <c r="B112" s="572"/>
      <c r="C112" s="572"/>
      <c r="D112" s="572"/>
      <c r="E112" s="572"/>
      <c r="F112" s="572"/>
      <c r="G112" s="572"/>
      <c r="H112" s="572"/>
      <c r="I112" s="572"/>
      <c r="J112" s="572"/>
      <c r="K112" s="572"/>
      <c r="L112" s="572"/>
      <c r="M112" s="572"/>
      <c r="N112" s="572"/>
      <c r="O112" s="572"/>
      <c r="P112" s="572"/>
      <c r="Q112" s="572"/>
      <c r="R112" s="572"/>
      <c r="S112" s="572"/>
    </row>
    <row r="113">
      <c r="A113" s="572"/>
      <c r="B113" s="572"/>
      <c r="C113" s="572"/>
      <c r="D113" s="572"/>
      <c r="E113" s="572"/>
      <c r="F113" s="572"/>
      <c r="G113" s="572"/>
      <c r="H113" s="572"/>
      <c r="I113" s="572"/>
      <c r="J113" s="572"/>
      <c r="K113" s="572"/>
      <c r="L113" s="572"/>
      <c r="M113" s="572"/>
      <c r="N113" s="572"/>
      <c r="O113" s="572"/>
      <c r="P113" s="572"/>
      <c r="Q113" s="572"/>
      <c r="R113" s="572"/>
      <c r="S113" s="572"/>
    </row>
    <row r="114">
      <c r="A114" s="572"/>
      <c r="B114" s="572"/>
      <c r="C114" s="572"/>
      <c r="D114" s="572"/>
      <c r="E114" s="572"/>
      <c r="F114" s="572"/>
      <c r="G114" s="572"/>
      <c r="H114" s="572"/>
      <c r="I114" s="572"/>
      <c r="J114" s="572"/>
      <c r="K114" s="572"/>
      <c r="L114" s="572"/>
      <c r="M114" s="572"/>
      <c r="N114" s="572"/>
      <c r="O114" s="572"/>
      <c r="P114" s="572"/>
      <c r="Q114" s="572"/>
      <c r="R114" s="572"/>
      <c r="S114" s="572"/>
    </row>
    <row r="115">
      <c r="A115" s="572"/>
      <c r="B115" s="572"/>
      <c r="C115" s="572"/>
      <c r="D115" s="572"/>
      <c r="E115" s="572"/>
      <c r="F115" s="572"/>
      <c r="G115" s="572"/>
      <c r="H115" s="572"/>
      <c r="I115" s="572"/>
      <c r="J115" s="572"/>
      <c r="K115" s="572"/>
      <c r="L115" s="572"/>
      <c r="M115" s="572"/>
      <c r="N115" s="572"/>
      <c r="O115" s="572"/>
      <c r="P115" s="572"/>
      <c r="Q115" s="572"/>
      <c r="R115" s="572"/>
      <c r="S115" s="572"/>
    </row>
  </sheetData>
  <hyperlinks>
    <hyperlink r:id="rId1" location="id=36146&amp;action=152&amp;model=crm.lead&amp;view_type=form&amp;menu_id=111" ref="B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1.63"/>
    <col customWidth="1" min="2" max="2" width="27.0"/>
    <col customWidth="1" min="3" max="3" width="19.38"/>
    <col customWidth="1" min="4" max="4" width="15.88"/>
    <col customWidth="1" min="5" max="5" width="12.38"/>
    <col customWidth="1" min="6" max="6" width="15.5"/>
    <col customWidth="1" min="7" max="7" width="11.25"/>
    <col customWidth="1" min="8" max="8" width="11.88"/>
    <col customWidth="1" min="9" max="14" width="14.75"/>
  </cols>
  <sheetData>
    <row r="1" ht="29.25" customHeight="1">
      <c r="A1" s="577" t="s">
        <v>0</v>
      </c>
      <c r="B1" s="577" t="s">
        <v>2</v>
      </c>
      <c r="C1" s="577" t="s">
        <v>30906</v>
      </c>
      <c r="D1" s="577" t="s">
        <v>22258</v>
      </c>
      <c r="E1" s="577" t="s">
        <v>30907</v>
      </c>
      <c r="F1" s="577" t="s">
        <v>30908</v>
      </c>
      <c r="G1" s="577" t="s">
        <v>22258</v>
      </c>
      <c r="H1" s="578" t="s">
        <v>30909</v>
      </c>
      <c r="I1" s="577" t="s">
        <v>30910</v>
      </c>
      <c r="J1" s="577" t="s">
        <v>22258</v>
      </c>
      <c r="K1" s="577" t="s">
        <v>30911</v>
      </c>
      <c r="L1" s="577" t="s">
        <v>22258</v>
      </c>
      <c r="M1" s="577" t="s">
        <v>30912</v>
      </c>
      <c r="N1" s="577" t="s">
        <v>22258</v>
      </c>
      <c r="O1" s="579"/>
      <c r="P1" s="579"/>
      <c r="Q1" s="579"/>
      <c r="R1" s="579"/>
      <c r="S1" s="579"/>
      <c r="T1" s="579"/>
      <c r="U1" s="579"/>
      <c r="V1" s="579"/>
      <c r="W1" s="579"/>
      <c r="X1" s="579"/>
      <c r="Y1" s="579"/>
      <c r="Z1" s="579"/>
      <c r="AA1" s="579"/>
      <c r="AB1" s="579"/>
      <c r="AC1" s="579"/>
    </row>
    <row r="2" ht="19.5" customHeight="1">
      <c r="A2" s="580" t="s">
        <v>30913</v>
      </c>
      <c r="B2" s="581" t="s">
        <v>30914</v>
      </c>
      <c r="C2" s="581" t="s">
        <v>30915</v>
      </c>
      <c r="D2" s="581" t="s">
        <v>30916</v>
      </c>
      <c r="E2" s="582"/>
      <c r="F2" s="582"/>
      <c r="G2" s="582"/>
      <c r="H2" s="583"/>
      <c r="I2" s="584"/>
      <c r="J2" s="584"/>
      <c r="K2" s="584"/>
      <c r="L2" s="584"/>
      <c r="M2" s="584"/>
      <c r="N2" s="584"/>
      <c r="O2" s="585"/>
      <c r="P2" s="585"/>
      <c r="Q2" s="585"/>
      <c r="R2" s="585"/>
      <c r="S2" s="585"/>
      <c r="T2" s="585"/>
      <c r="U2" s="585"/>
      <c r="V2" s="585"/>
      <c r="W2" s="585"/>
      <c r="X2" s="585"/>
      <c r="Y2" s="585"/>
      <c r="Z2" s="585"/>
      <c r="AA2" s="585"/>
      <c r="AB2" s="585"/>
      <c r="AC2" s="585"/>
    </row>
    <row r="3" ht="42.0" customHeight="1">
      <c r="A3" s="586" t="s">
        <v>30917</v>
      </c>
      <c r="B3" s="581" t="s">
        <v>30918</v>
      </c>
      <c r="C3" s="581" t="s">
        <v>30919</v>
      </c>
      <c r="D3" s="581" t="s">
        <v>30920</v>
      </c>
      <c r="E3" s="582"/>
      <c r="F3" s="582"/>
      <c r="G3" s="582"/>
      <c r="H3" s="519" t="s">
        <v>4250</v>
      </c>
      <c r="I3" s="587" t="s">
        <v>30921</v>
      </c>
      <c r="J3" s="587" t="s">
        <v>30922</v>
      </c>
      <c r="K3" s="587">
        <v>39.0</v>
      </c>
      <c r="L3" s="587" t="s">
        <v>30922</v>
      </c>
      <c r="M3" s="587">
        <v>35.0</v>
      </c>
      <c r="N3" s="587" t="s">
        <v>30922</v>
      </c>
      <c r="O3" s="585"/>
      <c r="P3" s="585"/>
      <c r="Q3" s="585"/>
      <c r="R3" s="585"/>
      <c r="S3" s="585"/>
      <c r="T3" s="585"/>
      <c r="U3" s="585"/>
      <c r="V3" s="585"/>
      <c r="W3" s="585"/>
      <c r="X3" s="585"/>
      <c r="Y3" s="585"/>
      <c r="Z3" s="585"/>
      <c r="AA3" s="585"/>
      <c r="AB3" s="585"/>
      <c r="AC3" s="585"/>
    </row>
    <row r="4" ht="19.5" customHeight="1">
      <c r="A4" s="586" t="s">
        <v>30917</v>
      </c>
      <c r="B4" s="581" t="s">
        <v>30923</v>
      </c>
      <c r="C4" s="588" t="s">
        <v>30924</v>
      </c>
      <c r="D4" s="581" t="s">
        <v>30925</v>
      </c>
      <c r="E4" s="589"/>
      <c r="F4" s="589"/>
      <c r="G4" s="589"/>
      <c r="H4" s="519"/>
      <c r="I4" s="584"/>
      <c r="J4" s="584"/>
      <c r="K4" s="584"/>
      <c r="L4" s="584"/>
      <c r="M4" s="584"/>
      <c r="N4" s="584"/>
      <c r="O4" s="585"/>
      <c r="P4" s="585"/>
      <c r="Q4" s="585"/>
      <c r="R4" s="585"/>
      <c r="S4" s="585"/>
      <c r="T4" s="585"/>
      <c r="U4" s="585"/>
      <c r="V4" s="585"/>
      <c r="W4" s="585"/>
      <c r="X4" s="585"/>
      <c r="Y4" s="585"/>
      <c r="Z4" s="585"/>
      <c r="AA4" s="585"/>
      <c r="AB4" s="585"/>
      <c r="AC4" s="585"/>
    </row>
    <row r="5" ht="19.5" customHeight="1">
      <c r="A5" s="590" t="s">
        <v>30926</v>
      </c>
      <c r="B5" s="591" t="s">
        <v>30927</v>
      </c>
      <c r="C5" s="588" t="s">
        <v>30928</v>
      </c>
      <c r="D5" s="581" t="s">
        <v>736</v>
      </c>
      <c r="E5" s="589"/>
      <c r="F5" s="589" t="s">
        <v>1701</v>
      </c>
      <c r="G5" s="589" t="s">
        <v>8377</v>
      </c>
      <c r="H5" s="519" t="s">
        <v>2827</v>
      </c>
      <c r="I5" s="584"/>
      <c r="J5" s="584"/>
      <c r="K5" s="584"/>
      <c r="L5" s="584"/>
      <c r="M5" s="584"/>
      <c r="N5" s="584"/>
      <c r="O5" s="585"/>
      <c r="P5" s="585"/>
      <c r="Q5" s="585"/>
      <c r="R5" s="585"/>
      <c r="S5" s="585"/>
      <c r="T5" s="585"/>
      <c r="U5" s="585"/>
      <c r="V5" s="585"/>
      <c r="W5" s="585"/>
      <c r="X5" s="585"/>
      <c r="Y5" s="585"/>
      <c r="Z5" s="585"/>
      <c r="AA5" s="585"/>
      <c r="AB5" s="585"/>
      <c r="AC5" s="585"/>
    </row>
    <row r="6" ht="27.75" customHeight="1">
      <c r="A6" s="592" t="s">
        <v>30929</v>
      </c>
      <c r="B6" s="581" t="s">
        <v>30930</v>
      </c>
      <c r="C6" s="581" t="s">
        <v>30931</v>
      </c>
      <c r="D6" s="581" t="s">
        <v>30932</v>
      </c>
      <c r="E6" s="582"/>
      <c r="F6" s="582"/>
      <c r="G6" s="582"/>
      <c r="H6" s="583"/>
      <c r="I6" s="587"/>
      <c r="J6" s="593"/>
      <c r="K6" s="587"/>
      <c r="L6" s="587"/>
      <c r="M6" s="587"/>
      <c r="N6" s="593"/>
      <c r="O6" s="585"/>
      <c r="P6" s="585"/>
      <c r="Q6" s="585"/>
      <c r="R6" s="585"/>
      <c r="S6" s="585"/>
      <c r="T6" s="585"/>
      <c r="U6" s="585"/>
      <c r="V6" s="585"/>
      <c r="W6" s="585"/>
      <c r="X6" s="585"/>
      <c r="Y6" s="585"/>
      <c r="Z6" s="585"/>
      <c r="AA6" s="585"/>
      <c r="AB6" s="585"/>
      <c r="AC6" s="585"/>
    </row>
    <row r="7" ht="27.75" customHeight="1">
      <c r="A7" s="592" t="s">
        <v>3165</v>
      </c>
      <c r="B7" s="581" t="s">
        <v>30933</v>
      </c>
      <c r="C7" s="581" t="s">
        <v>30934</v>
      </c>
      <c r="D7" s="581" t="s">
        <v>30935</v>
      </c>
      <c r="E7" s="582"/>
      <c r="F7" s="582"/>
      <c r="G7" s="582"/>
      <c r="H7" s="583"/>
      <c r="I7" s="587">
        <v>83.0</v>
      </c>
      <c r="J7" s="593">
        <v>44174.0</v>
      </c>
      <c r="K7" s="587">
        <v>79.0</v>
      </c>
      <c r="L7" s="587" t="s">
        <v>30936</v>
      </c>
      <c r="M7" s="587">
        <v>82.0</v>
      </c>
      <c r="N7" s="593">
        <v>43899.0</v>
      </c>
      <c r="O7" s="585"/>
      <c r="P7" s="585"/>
      <c r="Q7" s="585"/>
      <c r="R7" s="585"/>
      <c r="S7" s="585"/>
      <c r="T7" s="585"/>
      <c r="U7" s="585"/>
      <c r="V7" s="585"/>
      <c r="W7" s="585"/>
      <c r="X7" s="585"/>
      <c r="Y7" s="585"/>
      <c r="Z7" s="585"/>
      <c r="AA7" s="585"/>
      <c r="AB7" s="585"/>
      <c r="AC7" s="585"/>
    </row>
    <row r="8" ht="27.75" customHeight="1">
      <c r="A8" s="594" t="s">
        <v>30937</v>
      </c>
      <c r="B8" s="595" t="s">
        <v>30938</v>
      </c>
      <c r="C8" s="595" t="s">
        <v>30939</v>
      </c>
      <c r="D8" s="595" t="s">
        <v>30940</v>
      </c>
      <c r="E8" s="596"/>
      <c r="F8" s="597"/>
      <c r="G8" s="597"/>
      <c r="H8" s="598"/>
      <c r="I8" s="584"/>
      <c r="J8" s="584"/>
      <c r="K8" s="584"/>
      <c r="L8" s="584"/>
      <c r="M8" s="584"/>
      <c r="N8" s="584"/>
      <c r="O8" s="585"/>
      <c r="P8" s="585"/>
      <c r="Q8" s="585"/>
      <c r="R8" s="585"/>
      <c r="S8" s="585"/>
      <c r="T8" s="585"/>
      <c r="U8" s="585"/>
      <c r="V8" s="585"/>
      <c r="W8" s="585"/>
      <c r="X8" s="585"/>
      <c r="Y8" s="585"/>
      <c r="Z8" s="585"/>
      <c r="AA8" s="585"/>
      <c r="AB8" s="585"/>
      <c r="AC8" s="585"/>
    </row>
    <row r="9" ht="18.75" customHeight="1">
      <c r="A9" s="594" t="s">
        <v>30941</v>
      </c>
      <c r="B9" s="599" t="s">
        <v>30927</v>
      </c>
      <c r="C9" s="599" t="s">
        <v>30942</v>
      </c>
      <c r="D9" s="599" t="s">
        <v>736</v>
      </c>
      <c r="E9" s="596"/>
      <c r="F9" s="597" t="s">
        <v>30943</v>
      </c>
      <c r="G9" s="597" t="s">
        <v>30944</v>
      </c>
      <c r="H9" s="598"/>
      <c r="I9" s="584"/>
      <c r="J9" s="584"/>
      <c r="K9" s="584"/>
      <c r="L9" s="584"/>
      <c r="M9" s="584"/>
      <c r="N9" s="584"/>
      <c r="O9" s="585"/>
      <c r="P9" s="585"/>
      <c r="Q9" s="585"/>
      <c r="R9" s="585"/>
      <c r="S9" s="585"/>
      <c r="T9" s="585"/>
      <c r="U9" s="585"/>
      <c r="V9" s="585"/>
      <c r="W9" s="585"/>
      <c r="X9" s="585"/>
      <c r="Y9" s="585"/>
      <c r="Z9" s="585"/>
      <c r="AA9" s="585"/>
      <c r="AB9" s="585"/>
      <c r="AC9" s="585"/>
    </row>
    <row r="10" ht="28.5" customHeight="1">
      <c r="A10" s="594" t="s">
        <v>6752</v>
      </c>
      <c r="B10" s="599" t="s">
        <v>30927</v>
      </c>
      <c r="C10" s="596" t="s">
        <v>30945</v>
      </c>
      <c r="D10" s="596" t="s">
        <v>30946</v>
      </c>
      <c r="E10" s="596" t="s">
        <v>30947</v>
      </c>
      <c r="F10" s="600"/>
      <c r="G10" s="600"/>
      <c r="H10" s="598"/>
      <c r="I10" s="584"/>
      <c r="J10" s="584"/>
      <c r="K10" s="584"/>
      <c r="L10" s="584"/>
      <c r="M10" s="584"/>
      <c r="N10" s="584"/>
      <c r="O10" s="585"/>
      <c r="P10" s="585"/>
      <c r="Q10" s="585"/>
      <c r="R10" s="585"/>
      <c r="S10" s="585"/>
      <c r="T10" s="585"/>
      <c r="U10" s="585"/>
      <c r="V10" s="585"/>
      <c r="W10" s="585"/>
      <c r="X10" s="585"/>
      <c r="Y10" s="585"/>
      <c r="Z10" s="585"/>
      <c r="AA10" s="585"/>
      <c r="AB10" s="585"/>
      <c r="AC10" s="585"/>
    </row>
    <row r="11" ht="19.5" customHeight="1">
      <c r="A11" s="594" t="s">
        <v>30948</v>
      </c>
      <c r="B11" s="596" t="s">
        <v>30949</v>
      </c>
      <c r="C11" s="596" t="s">
        <v>30950</v>
      </c>
      <c r="D11" s="596" t="s">
        <v>30951</v>
      </c>
      <c r="E11" s="601"/>
      <c r="F11" s="600"/>
      <c r="G11" s="600"/>
      <c r="H11" s="598"/>
      <c r="I11" s="584"/>
      <c r="J11" s="584"/>
      <c r="K11" s="584"/>
      <c r="L11" s="584"/>
      <c r="M11" s="584"/>
      <c r="N11" s="584"/>
      <c r="O11" s="585"/>
      <c r="P11" s="585"/>
      <c r="Q11" s="585"/>
      <c r="R11" s="585"/>
      <c r="S11" s="585"/>
      <c r="T11" s="585"/>
      <c r="U11" s="585"/>
      <c r="V11" s="585"/>
      <c r="W11" s="585"/>
      <c r="X11" s="585"/>
      <c r="Y11" s="585"/>
      <c r="Z11" s="585"/>
      <c r="AA11" s="585"/>
      <c r="AB11" s="585"/>
      <c r="AC11" s="585"/>
    </row>
    <row r="12" ht="19.5" customHeight="1">
      <c r="A12" s="594" t="s">
        <v>30952</v>
      </c>
      <c r="B12" s="596" t="s">
        <v>30949</v>
      </c>
      <c r="C12" s="596" t="s">
        <v>3495</v>
      </c>
      <c r="D12" s="596" t="s">
        <v>30953</v>
      </c>
      <c r="E12" s="601"/>
      <c r="F12" s="600"/>
      <c r="G12" s="600"/>
      <c r="H12" s="598"/>
      <c r="I12" s="584"/>
      <c r="J12" s="584"/>
      <c r="K12" s="584"/>
      <c r="L12" s="584"/>
      <c r="M12" s="584"/>
      <c r="N12" s="584"/>
      <c r="O12" s="585"/>
      <c r="P12" s="585"/>
      <c r="Q12" s="585"/>
      <c r="R12" s="585"/>
      <c r="S12" s="585"/>
      <c r="T12" s="585"/>
      <c r="U12" s="585"/>
      <c r="V12" s="585"/>
      <c r="W12" s="585"/>
      <c r="X12" s="585"/>
      <c r="Y12" s="585"/>
      <c r="Z12" s="585"/>
      <c r="AA12" s="585"/>
      <c r="AB12" s="585"/>
      <c r="AC12" s="585"/>
    </row>
    <row r="13" ht="35.25" customHeight="1">
      <c r="A13" s="594" t="s">
        <v>30954</v>
      </c>
      <c r="B13" s="596" t="s">
        <v>30949</v>
      </c>
      <c r="C13" s="596" t="s">
        <v>30955</v>
      </c>
      <c r="D13" s="596" t="s">
        <v>30956</v>
      </c>
      <c r="E13" s="601"/>
      <c r="F13" s="600"/>
      <c r="G13" s="597" t="s">
        <v>30957</v>
      </c>
      <c r="H13" s="598"/>
      <c r="I13" s="584"/>
      <c r="J13" s="584"/>
      <c r="K13" s="584"/>
      <c r="L13" s="584"/>
      <c r="M13" s="584"/>
      <c r="N13" s="584"/>
      <c r="O13" s="585"/>
      <c r="P13" s="585"/>
      <c r="Q13" s="585"/>
      <c r="R13" s="585"/>
      <c r="S13" s="585"/>
      <c r="T13" s="585"/>
      <c r="U13" s="585"/>
      <c r="V13" s="585"/>
      <c r="W13" s="585"/>
      <c r="X13" s="585"/>
      <c r="Y13" s="585"/>
      <c r="Z13" s="585"/>
      <c r="AA13" s="585"/>
      <c r="AB13" s="585"/>
      <c r="AC13" s="585"/>
    </row>
    <row r="14" ht="26.25" customHeight="1">
      <c r="A14" s="580" t="s">
        <v>30958</v>
      </c>
      <c r="B14" s="602" t="s">
        <v>30959</v>
      </c>
      <c r="C14" s="581" t="s">
        <v>4219</v>
      </c>
      <c r="D14" s="581" t="s">
        <v>30960</v>
      </c>
      <c r="E14" s="582"/>
      <c r="F14" s="582"/>
      <c r="G14" s="600"/>
      <c r="H14" s="598"/>
      <c r="I14" s="587"/>
      <c r="J14" s="584"/>
      <c r="K14" s="584"/>
      <c r="L14" s="584"/>
      <c r="M14" s="584"/>
      <c r="N14" s="584"/>
      <c r="O14" s="585"/>
      <c r="P14" s="585"/>
      <c r="Q14" s="585"/>
      <c r="R14" s="585"/>
      <c r="S14" s="585"/>
      <c r="T14" s="585"/>
      <c r="U14" s="585"/>
      <c r="V14" s="585"/>
      <c r="W14" s="585"/>
      <c r="X14" s="585"/>
      <c r="Y14" s="585"/>
      <c r="Z14" s="585"/>
      <c r="AA14" s="585"/>
      <c r="AB14" s="585"/>
      <c r="AC14" s="585"/>
    </row>
    <row r="15" ht="26.25" customHeight="1">
      <c r="A15" s="580" t="s">
        <v>30961</v>
      </c>
      <c r="B15" s="602" t="s">
        <v>30959</v>
      </c>
      <c r="C15" s="581" t="s">
        <v>3305</v>
      </c>
      <c r="D15" s="581" t="s">
        <v>30940</v>
      </c>
      <c r="E15" s="582"/>
      <c r="F15" s="582"/>
      <c r="G15" s="600"/>
      <c r="H15" s="598"/>
      <c r="I15" s="587">
        <v>9.903905624E9</v>
      </c>
      <c r="J15" s="584"/>
      <c r="K15" s="584"/>
      <c r="L15" s="584"/>
      <c r="M15" s="584"/>
      <c r="N15" s="584"/>
      <c r="O15" s="585"/>
      <c r="P15" s="585"/>
      <c r="Q15" s="585"/>
      <c r="R15" s="585"/>
      <c r="S15" s="585"/>
      <c r="T15" s="585"/>
      <c r="U15" s="585"/>
      <c r="V15" s="585"/>
      <c r="W15" s="585"/>
      <c r="X15" s="585"/>
      <c r="Y15" s="585"/>
      <c r="Z15" s="585"/>
      <c r="AA15" s="585"/>
      <c r="AB15" s="585"/>
      <c r="AC15" s="585"/>
    </row>
    <row r="16" ht="19.5" customHeight="1">
      <c r="A16" s="580" t="s">
        <v>30962</v>
      </c>
      <c r="B16" s="581"/>
      <c r="C16" s="581" t="s">
        <v>3495</v>
      </c>
      <c r="D16" s="581"/>
      <c r="E16" s="582"/>
      <c r="F16" s="582"/>
      <c r="G16" s="600"/>
      <c r="H16" s="598"/>
      <c r="I16" s="584"/>
      <c r="J16" s="584"/>
      <c r="K16" s="584"/>
      <c r="L16" s="584"/>
      <c r="M16" s="584"/>
      <c r="N16" s="584"/>
      <c r="O16" s="585"/>
      <c r="P16" s="585"/>
      <c r="Q16" s="585"/>
      <c r="R16" s="585"/>
      <c r="S16" s="585"/>
      <c r="T16" s="585"/>
      <c r="U16" s="585"/>
      <c r="V16" s="585"/>
      <c r="W16" s="585"/>
      <c r="X16" s="585"/>
      <c r="Y16" s="585"/>
      <c r="Z16" s="585"/>
      <c r="AA16" s="585"/>
      <c r="AB16" s="585"/>
      <c r="AC16" s="585"/>
    </row>
    <row r="17" ht="39.0" customHeight="1">
      <c r="A17" s="580" t="s">
        <v>30963</v>
      </c>
      <c r="B17" s="581" t="s">
        <v>30964</v>
      </c>
      <c r="C17" s="581" t="s">
        <v>30965</v>
      </c>
      <c r="D17" s="581" t="s">
        <v>19579</v>
      </c>
      <c r="E17" s="582"/>
      <c r="F17" s="582"/>
      <c r="G17" s="582"/>
      <c r="H17" s="425">
        <v>8.240724578E9</v>
      </c>
      <c r="I17" s="584"/>
      <c r="J17" s="584"/>
      <c r="K17" s="584"/>
      <c r="L17" s="584"/>
      <c r="M17" s="584"/>
      <c r="N17" s="584"/>
      <c r="O17" s="585"/>
      <c r="P17" s="585"/>
      <c r="Q17" s="585"/>
      <c r="R17" s="585"/>
      <c r="S17" s="585"/>
      <c r="T17" s="585"/>
      <c r="U17" s="585"/>
      <c r="V17" s="585"/>
      <c r="W17" s="585"/>
      <c r="X17" s="585"/>
      <c r="Y17" s="585"/>
      <c r="Z17" s="585"/>
      <c r="AA17" s="585"/>
      <c r="AB17" s="585"/>
      <c r="AC17" s="585"/>
    </row>
    <row r="18" ht="19.5" customHeight="1">
      <c r="A18" s="594" t="s">
        <v>30966</v>
      </c>
      <c r="B18" s="603"/>
      <c r="C18" s="603"/>
      <c r="D18" s="603"/>
      <c r="E18" s="604"/>
      <c r="F18" s="605"/>
      <c r="G18" s="605"/>
      <c r="H18" s="425" t="s">
        <v>0</v>
      </c>
      <c r="I18" s="584"/>
      <c r="J18" s="584"/>
      <c r="K18" s="587">
        <v>120.0</v>
      </c>
      <c r="L18" s="593">
        <v>44051.0</v>
      </c>
      <c r="M18" s="584"/>
      <c r="N18" s="584"/>
      <c r="O18" s="585"/>
      <c r="P18" s="585"/>
      <c r="Q18" s="585"/>
      <c r="R18" s="585"/>
      <c r="S18" s="585"/>
      <c r="T18" s="585"/>
      <c r="U18" s="585"/>
      <c r="V18" s="585"/>
      <c r="W18" s="585"/>
      <c r="X18" s="585"/>
      <c r="Y18" s="585"/>
      <c r="Z18" s="585"/>
      <c r="AA18" s="585"/>
      <c r="AB18" s="585"/>
      <c r="AC18" s="585"/>
    </row>
    <row r="19" ht="19.5" customHeight="1">
      <c r="A19" s="606" t="s">
        <v>30967</v>
      </c>
      <c r="B19" s="596" t="s">
        <v>30968</v>
      </c>
      <c r="C19" s="596" t="s">
        <v>30969</v>
      </c>
      <c r="D19" s="596" t="s">
        <v>30970</v>
      </c>
      <c r="E19" s="596" t="s">
        <v>30971</v>
      </c>
      <c r="F19" s="600"/>
      <c r="G19" s="600"/>
      <c r="H19" s="598"/>
      <c r="I19" s="584"/>
      <c r="J19" s="584"/>
      <c r="K19" s="584"/>
      <c r="L19" s="584"/>
      <c r="M19" s="584"/>
      <c r="N19" s="584"/>
      <c r="O19" s="585"/>
      <c r="P19" s="585"/>
      <c r="Q19" s="585"/>
      <c r="R19" s="585"/>
      <c r="S19" s="585"/>
      <c r="T19" s="585"/>
      <c r="U19" s="585"/>
      <c r="V19" s="585"/>
      <c r="W19" s="585"/>
      <c r="X19" s="585"/>
      <c r="Y19" s="585"/>
      <c r="Z19" s="585"/>
      <c r="AA19" s="585"/>
      <c r="AB19" s="585"/>
      <c r="AC19" s="585"/>
    </row>
    <row r="20" ht="19.5" customHeight="1">
      <c r="A20" s="606" t="s">
        <v>30972</v>
      </c>
      <c r="B20" s="596" t="s">
        <v>30968</v>
      </c>
      <c r="C20" s="596" t="s">
        <v>30973</v>
      </c>
      <c r="D20" s="596" t="s">
        <v>30970</v>
      </c>
      <c r="E20" s="596" t="s">
        <v>30971</v>
      </c>
      <c r="F20" s="600"/>
      <c r="G20" s="600"/>
      <c r="H20" s="598"/>
      <c r="I20" s="584"/>
      <c r="J20" s="584"/>
      <c r="K20" s="584"/>
      <c r="L20" s="584"/>
      <c r="M20" s="584"/>
      <c r="N20" s="584"/>
      <c r="O20" s="585"/>
      <c r="P20" s="585"/>
      <c r="Q20" s="585"/>
      <c r="R20" s="585"/>
      <c r="S20" s="585"/>
      <c r="T20" s="585"/>
      <c r="U20" s="585"/>
      <c r="V20" s="585"/>
      <c r="W20" s="585"/>
      <c r="X20" s="585"/>
      <c r="Y20" s="585"/>
      <c r="Z20" s="585"/>
      <c r="AA20" s="585"/>
      <c r="AB20" s="585"/>
      <c r="AC20" s="585"/>
    </row>
    <row r="21" ht="19.5" customHeight="1">
      <c r="A21" s="606" t="s">
        <v>30974</v>
      </c>
      <c r="B21" s="596" t="s">
        <v>30975</v>
      </c>
      <c r="C21" s="596" t="s">
        <v>30976</v>
      </c>
      <c r="D21" s="596" t="s">
        <v>30977</v>
      </c>
      <c r="E21" s="601"/>
      <c r="F21" s="600"/>
      <c r="G21" s="600"/>
      <c r="H21" s="598"/>
      <c r="I21" s="584"/>
      <c r="J21" s="584"/>
      <c r="K21" s="584"/>
      <c r="L21" s="584"/>
      <c r="M21" s="584"/>
      <c r="N21" s="584"/>
      <c r="O21" s="585"/>
      <c r="P21" s="585"/>
      <c r="Q21" s="585"/>
      <c r="R21" s="585"/>
      <c r="S21" s="585"/>
      <c r="T21" s="585"/>
      <c r="U21" s="585"/>
      <c r="V21" s="585"/>
      <c r="W21" s="585"/>
      <c r="X21" s="585"/>
      <c r="Y21" s="585"/>
      <c r="Z21" s="585"/>
      <c r="AA21" s="585"/>
      <c r="AB21" s="585"/>
      <c r="AC21" s="585"/>
    </row>
    <row r="22" ht="19.5" customHeight="1">
      <c r="A22" s="606" t="s">
        <v>30978</v>
      </c>
      <c r="B22" s="596" t="s">
        <v>30968</v>
      </c>
      <c r="C22" s="596" t="s">
        <v>30979</v>
      </c>
      <c r="D22" s="596" t="s">
        <v>30980</v>
      </c>
      <c r="E22" s="601"/>
      <c r="F22" s="600"/>
      <c r="G22" s="600"/>
      <c r="H22" s="598"/>
      <c r="I22" s="584"/>
      <c r="J22" s="584"/>
      <c r="K22" s="584"/>
      <c r="L22" s="584"/>
      <c r="M22" s="584"/>
      <c r="N22" s="584"/>
      <c r="O22" s="585"/>
      <c r="P22" s="585"/>
      <c r="Q22" s="585"/>
      <c r="R22" s="585"/>
      <c r="S22" s="585"/>
      <c r="T22" s="585"/>
      <c r="U22" s="585"/>
      <c r="V22" s="585"/>
      <c r="W22" s="585"/>
      <c r="X22" s="585"/>
      <c r="Y22" s="585"/>
      <c r="Z22" s="585"/>
      <c r="AA22" s="585"/>
      <c r="AB22" s="585"/>
      <c r="AC22" s="585"/>
    </row>
    <row r="23" ht="35.25" customHeight="1">
      <c r="A23" s="606" t="s">
        <v>30981</v>
      </c>
      <c r="B23" s="596" t="s">
        <v>30968</v>
      </c>
      <c r="C23" s="596" t="s">
        <v>30982</v>
      </c>
      <c r="D23" s="596" t="s">
        <v>30983</v>
      </c>
      <c r="E23" s="601"/>
      <c r="F23" s="600"/>
      <c r="G23" s="600"/>
      <c r="H23" s="598"/>
      <c r="I23" s="584"/>
      <c r="J23" s="584"/>
      <c r="K23" s="584"/>
      <c r="L23" s="584"/>
      <c r="M23" s="584"/>
      <c r="N23" s="584"/>
      <c r="O23" s="585"/>
      <c r="P23" s="585"/>
      <c r="Q23" s="585"/>
      <c r="R23" s="585"/>
      <c r="S23" s="585"/>
      <c r="T23" s="585"/>
      <c r="U23" s="585"/>
      <c r="V23" s="585"/>
      <c r="W23" s="585"/>
      <c r="X23" s="585"/>
      <c r="Y23" s="585"/>
      <c r="Z23" s="585"/>
      <c r="AA23" s="585"/>
      <c r="AB23" s="585"/>
      <c r="AC23" s="585"/>
    </row>
    <row r="24" ht="19.5" customHeight="1">
      <c r="A24" s="606" t="s">
        <v>30984</v>
      </c>
      <c r="B24" s="596" t="s">
        <v>30985</v>
      </c>
      <c r="C24" s="596" t="s">
        <v>6583</v>
      </c>
      <c r="D24" s="596" t="s">
        <v>788</v>
      </c>
      <c r="E24" s="601"/>
      <c r="F24" s="600"/>
      <c r="G24" s="600"/>
      <c r="H24" s="598"/>
      <c r="I24" s="584"/>
      <c r="J24" s="584"/>
      <c r="K24" s="584"/>
      <c r="L24" s="584"/>
      <c r="M24" s="584"/>
      <c r="N24" s="584"/>
      <c r="O24" s="585"/>
      <c r="P24" s="585"/>
      <c r="Q24" s="585"/>
      <c r="R24" s="585"/>
      <c r="S24" s="585"/>
      <c r="T24" s="585"/>
      <c r="U24" s="585"/>
      <c r="V24" s="585"/>
      <c r="W24" s="585"/>
      <c r="X24" s="585"/>
      <c r="Y24" s="585"/>
      <c r="Z24" s="585"/>
      <c r="AA24" s="585"/>
      <c r="AB24" s="585"/>
      <c r="AC24" s="585"/>
    </row>
    <row r="25" ht="19.5" customHeight="1">
      <c r="A25" s="606" t="s">
        <v>15839</v>
      </c>
      <c r="B25" s="596"/>
      <c r="C25" s="596" t="s">
        <v>30986</v>
      </c>
      <c r="D25" s="596" t="s">
        <v>16305</v>
      </c>
      <c r="E25" s="601"/>
      <c r="F25" s="600"/>
      <c r="G25" s="600"/>
      <c r="H25" s="598"/>
      <c r="I25" s="584"/>
      <c r="J25" s="584"/>
      <c r="K25" s="584"/>
      <c r="L25" s="584"/>
      <c r="M25" s="584"/>
      <c r="N25" s="584"/>
      <c r="O25" s="585"/>
      <c r="P25" s="585"/>
      <c r="Q25" s="585"/>
      <c r="R25" s="585"/>
      <c r="S25" s="585"/>
      <c r="T25" s="585"/>
      <c r="U25" s="585"/>
      <c r="V25" s="585"/>
      <c r="W25" s="585"/>
      <c r="X25" s="585"/>
      <c r="Y25" s="585"/>
      <c r="Z25" s="585"/>
      <c r="AA25" s="585"/>
      <c r="AB25" s="585"/>
      <c r="AC25" s="585"/>
    </row>
    <row r="26" ht="19.5" customHeight="1">
      <c r="A26" s="606" t="s">
        <v>30987</v>
      </c>
      <c r="B26" s="596"/>
      <c r="C26" s="596" t="s">
        <v>30988</v>
      </c>
      <c r="D26" s="596" t="s">
        <v>11770</v>
      </c>
      <c r="E26" s="582"/>
      <c r="F26" s="582"/>
      <c r="G26" s="582"/>
      <c r="H26" s="598"/>
      <c r="I26" s="584"/>
      <c r="J26" s="584"/>
      <c r="K26" s="584"/>
      <c r="L26" s="584"/>
      <c r="M26" s="584"/>
      <c r="N26" s="584"/>
      <c r="O26" s="585"/>
      <c r="P26" s="585"/>
      <c r="Q26" s="585"/>
      <c r="R26" s="585"/>
      <c r="S26" s="585"/>
      <c r="T26" s="585"/>
      <c r="U26" s="585"/>
      <c r="V26" s="585"/>
      <c r="W26" s="585"/>
      <c r="X26" s="585"/>
      <c r="Y26" s="585"/>
      <c r="Z26" s="585"/>
      <c r="AA26" s="585"/>
      <c r="AB26" s="585"/>
      <c r="AC26" s="585"/>
    </row>
    <row r="27" ht="32.25" customHeight="1">
      <c r="A27" s="606" t="s">
        <v>30989</v>
      </c>
      <c r="B27" s="596" t="s">
        <v>30990</v>
      </c>
      <c r="C27" s="596" t="s">
        <v>9636</v>
      </c>
      <c r="D27" s="596" t="s">
        <v>30991</v>
      </c>
      <c r="E27" s="582"/>
      <c r="F27" s="582"/>
      <c r="G27" s="582"/>
      <c r="H27" s="598"/>
      <c r="I27" s="584"/>
      <c r="J27" s="584"/>
      <c r="K27" s="584"/>
      <c r="L27" s="584"/>
      <c r="M27" s="584"/>
      <c r="N27" s="584"/>
      <c r="O27" s="585"/>
      <c r="P27" s="585"/>
      <c r="Q27" s="585"/>
      <c r="R27" s="585"/>
      <c r="S27" s="585"/>
      <c r="T27" s="585"/>
      <c r="U27" s="585"/>
      <c r="V27" s="585"/>
      <c r="W27" s="585"/>
      <c r="X27" s="585"/>
      <c r="Y27" s="585"/>
      <c r="Z27" s="585"/>
      <c r="AA27" s="585"/>
      <c r="AB27" s="585"/>
      <c r="AC27" s="585"/>
    </row>
    <row r="28">
      <c r="A28" s="594" t="s">
        <v>30992</v>
      </c>
      <c r="B28" s="596" t="s">
        <v>30993</v>
      </c>
      <c r="C28" s="596" t="s">
        <v>30994</v>
      </c>
      <c r="D28" s="596" t="s">
        <v>30995</v>
      </c>
      <c r="E28" s="601"/>
      <c r="F28" s="600"/>
      <c r="G28" s="600"/>
      <c r="H28" s="425">
        <v>8.013889865E9</v>
      </c>
      <c r="I28" s="584"/>
      <c r="J28" s="584"/>
      <c r="K28" s="584"/>
      <c r="L28" s="584"/>
      <c r="M28" s="587" t="s">
        <v>30996</v>
      </c>
      <c r="N28" s="593">
        <v>44143.0</v>
      </c>
      <c r="O28" s="585"/>
      <c r="P28" s="585"/>
      <c r="Q28" s="585"/>
      <c r="R28" s="585"/>
      <c r="S28" s="585"/>
      <c r="T28" s="585"/>
      <c r="U28" s="585"/>
      <c r="V28" s="585"/>
      <c r="W28" s="585"/>
      <c r="X28" s="585"/>
      <c r="Y28" s="585"/>
      <c r="Z28" s="585"/>
      <c r="AA28" s="585"/>
      <c r="AB28" s="585"/>
      <c r="AC28" s="585"/>
    </row>
    <row r="29" ht="19.5" customHeight="1">
      <c r="A29" s="594" t="s">
        <v>30997</v>
      </c>
      <c r="B29" s="596" t="s">
        <v>30998</v>
      </c>
      <c r="C29" s="596" t="s">
        <v>890</v>
      </c>
      <c r="D29" s="596" t="s">
        <v>30995</v>
      </c>
      <c r="E29" s="601"/>
      <c r="F29" s="600"/>
      <c r="G29" s="600"/>
      <c r="H29" s="598"/>
      <c r="I29" s="584"/>
      <c r="J29" s="587"/>
      <c r="K29" s="587"/>
      <c r="L29" s="593"/>
      <c r="M29" s="584"/>
      <c r="N29" s="584"/>
      <c r="O29" s="585"/>
      <c r="P29" s="585"/>
      <c r="Q29" s="585"/>
      <c r="R29" s="585"/>
      <c r="S29" s="585"/>
      <c r="T29" s="585"/>
      <c r="U29" s="585"/>
      <c r="V29" s="585"/>
      <c r="W29" s="585"/>
      <c r="X29" s="585"/>
      <c r="Y29" s="585"/>
      <c r="Z29" s="585"/>
      <c r="AA29" s="585"/>
      <c r="AB29" s="585"/>
      <c r="AC29" s="585"/>
    </row>
    <row r="30" ht="19.5" customHeight="1">
      <c r="A30" s="594" t="s">
        <v>30999</v>
      </c>
      <c r="B30" s="596" t="s">
        <v>31000</v>
      </c>
      <c r="C30" s="596" t="s">
        <v>12824</v>
      </c>
      <c r="D30" s="596" t="s">
        <v>760</v>
      </c>
      <c r="E30" s="601"/>
      <c r="F30" s="600"/>
      <c r="G30" s="600"/>
      <c r="H30" s="598"/>
      <c r="I30" s="584"/>
      <c r="J30" s="587" t="s">
        <v>8754</v>
      </c>
      <c r="K30" s="587"/>
      <c r="L30" s="593"/>
      <c r="M30" s="584"/>
      <c r="N30" s="584"/>
      <c r="O30" s="585"/>
      <c r="P30" s="585"/>
      <c r="Q30" s="585"/>
      <c r="R30" s="585"/>
      <c r="S30" s="585"/>
      <c r="T30" s="585"/>
      <c r="U30" s="585"/>
      <c r="V30" s="585"/>
      <c r="W30" s="585"/>
      <c r="X30" s="585"/>
      <c r="Y30" s="585"/>
      <c r="Z30" s="585"/>
      <c r="AA30" s="585"/>
      <c r="AB30" s="585"/>
      <c r="AC30" s="585"/>
    </row>
    <row r="31" ht="19.5" customHeight="1">
      <c r="A31" s="594" t="s">
        <v>7040</v>
      </c>
      <c r="B31" s="596"/>
      <c r="C31" s="596" t="s">
        <v>31001</v>
      </c>
      <c r="D31" s="596" t="s">
        <v>8383</v>
      </c>
      <c r="E31" s="601"/>
      <c r="F31" s="600"/>
      <c r="G31" s="600"/>
      <c r="H31" s="598"/>
      <c r="I31" s="584"/>
      <c r="J31" s="584"/>
      <c r="K31" s="587"/>
      <c r="L31" s="593"/>
      <c r="M31" s="584"/>
      <c r="N31" s="584"/>
      <c r="O31" s="585"/>
      <c r="P31" s="585"/>
      <c r="Q31" s="585"/>
      <c r="R31" s="585"/>
      <c r="S31" s="585"/>
      <c r="T31" s="585"/>
      <c r="U31" s="585"/>
      <c r="V31" s="585"/>
      <c r="W31" s="585"/>
      <c r="X31" s="585"/>
      <c r="Y31" s="585"/>
      <c r="Z31" s="585"/>
      <c r="AA31" s="585"/>
      <c r="AB31" s="585"/>
      <c r="AC31" s="585"/>
    </row>
    <row r="32" ht="19.5" customHeight="1">
      <c r="A32" s="594" t="s">
        <v>10491</v>
      </c>
      <c r="B32" s="596"/>
      <c r="C32" s="596"/>
      <c r="D32" s="596"/>
      <c r="E32" s="601"/>
      <c r="F32" s="600"/>
      <c r="G32" s="600"/>
      <c r="H32" s="598"/>
      <c r="I32" s="584"/>
      <c r="J32" s="584"/>
      <c r="K32" s="587">
        <v>160.0</v>
      </c>
      <c r="L32" s="593">
        <v>44173.0</v>
      </c>
      <c r="M32" s="584"/>
      <c r="N32" s="584"/>
      <c r="O32" s="585"/>
      <c r="P32" s="585"/>
      <c r="Q32" s="585"/>
      <c r="R32" s="585"/>
      <c r="S32" s="585"/>
      <c r="T32" s="585"/>
      <c r="U32" s="585"/>
      <c r="V32" s="585"/>
      <c r="W32" s="585"/>
      <c r="X32" s="585"/>
      <c r="Y32" s="585"/>
      <c r="Z32" s="585"/>
      <c r="AA32" s="585"/>
      <c r="AB32" s="585"/>
      <c r="AC32" s="585"/>
    </row>
    <row r="33" ht="19.5" customHeight="1">
      <c r="A33" s="606" t="s">
        <v>31002</v>
      </c>
      <c r="B33" s="595" t="s">
        <v>31003</v>
      </c>
      <c r="C33" s="596" t="s">
        <v>31004</v>
      </c>
      <c r="D33" s="596" t="s">
        <v>31005</v>
      </c>
      <c r="E33" s="601"/>
      <c r="F33" s="600"/>
      <c r="G33" s="600"/>
      <c r="H33" s="598"/>
      <c r="I33" s="584"/>
      <c r="J33" s="584"/>
      <c r="K33" s="584"/>
      <c r="L33" s="584"/>
      <c r="M33" s="584"/>
      <c r="N33" s="584"/>
      <c r="O33" s="585"/>
      <c r="P33" s="585"/>
      <c r="Q33" s="585"/>
      <c r="R33" s="585"/>
      <c r="S33" s="585"/>
      <c r="T33" s="585"/>
      <c r="U33" s="585"/>
      <c r="V33" s="585"/>
      <c r="W33" s="585"/>
      <c r="X33" s="585"/>
      <c r="Y33" s="585"/>
      <c r="Z33" s="585"/>
      <c r="AA33" s="585"/>
      <c r="AB33" s="585"/>
      <c r="AC33" s="585"/>
    </row>
    <row r="34" ht="19.5" customHeight="1">
      <c r="A34" s="606" t="s">
        <v>31006</v>
      </c>
      <c r="B34" s="595" t="s">
        <v>31007</v>
      </c>
      <c r="C34" s="596" t="s">
        <v>31008</v>
      </c>
      <c r="D34" s="596" t="s">
        <v>760</v>
      </c>
      <c r="E34" s="601"/>
      <c r="F34" s="600"/>
      <c r="G34" s="600"/>
      <c r="H34" s="598"/>
      <c r="I34" s="584"/>
      <c r="J34" s="584"/>
      <c r="K34" s="584"/>
      <c r="L34" s="584"/>
      <c r="M34" s="584"/>
      <c r="N34" s="584"/>
      <c r="O34" s="585"/>
      <c r="P34" s="585"/>
      <c r="Q34" s="585"/>
      <c r="R34" s="585"/>
      <c r="S34" s="585"/>
      <c r="T34" s="585"/>
      <c r="U34" s="585"/>
      <c r="V34" s="585"/>
      <c r="W34" s="585"/>
      <c r="X34" s="585"/>
      <c r="Y34" s="585"/>
      <c r="Z34" s="585"/>
      <c r="AA34" s="585"/>
      <c r="AB34" s="585"/>
      <c r="AC34" s="585"/>
    </row>
    <row r="35" ht="19.5" customHeight="1">
      <c r="A35" s="606" t="s">
        <v>31009</v>
      </c>
      <c r="B35" s="607"/>
      <c r="C35" s="596" t="s">
        <v>3369</v>
      </c>
      <c r="D35" s="596" t="s">
        <v>16089</v>
      </c>
      <c r="E35" s="601"/>
      <c r="F35" s="600"/>
      <c r="G35" s="600"/>
      <c r="H35" s="598"/>
      <c r="I35" s="584"/>
      <c r="J35" s="584"/>
      <c r="K35" s="584"/>
      <c r="L35" s="584"/>
      <c r="M35" s="584"/>
      <c r="N35" s="584"/>
      <c r="O35" s="585"/>
      <c r="P35" s="585"/>
      <c r="Q35" s="585"/>
      <c r="R35" s="585"/>
      <c r="S35" s="585"/>
      <c r="T35" s="585"/>
      <c r="U35" s="585"/>
      <c r="V35" s="585"/>
      <c r="W35" s="585"/>
      <c r="X35" s="585"/>
      <c r="Y35" s="585"/>
      <c r="Z35" s="585"/>
      <c r="AA35" s="585"/>
      <c r="AB35" s="585"/>
      <c r="AC35" s="585"/>
    </row>
    <row r="36" ht="19.5" customHeight="1">
      <c r="A36" s="606" t="s">
        <v>31010</v>
      </c>
      <c r="B36" s="596" t="s">
        <v>31011</v>
      </c>
      <c r="C36" s="596" t="s">
        <v>11138</v>
      </c>
      <c r="D36" s="596" t="s">
        <v>31012</v>
      </c>
      <c r="E36" s="601"/>
      <c r="F36" s="600"/>
      <c r="G36" s="600"/>
      <c r="H36" s="598"/>
      <c r="I36" s="584"/>
      <c r="J36" s="584"/>
      <c r="K36" s="584"/>
      <c r="L36" s="584"/>
      <c r="M36" s="584"/>
      <c r="N36" s="584"/>
      <c r="O36" s="585"/>
      <c r="P36" s="585"/>
      <c r="Q36" s="585"/>
      <c r="R36" s="585"/>
      <c r="S36" s="585"/>
      <c r="T36" s="585"/>
      <c r="U36" s="585"/>
      <c r="V36" s="585"/>
      <c r="W36" s="585"/>
      <c r="X36" s="585"/>
      <c r="Y36" s="585"/>
      <c r="Z36" s="585"/>
      <c r="AA36" s="585"/>
      <c r="AB36" s="585"/>
      <c r="AC36" s="585"/>
    </row>
    <row r="37" ht="28.5" customHeight="1">
      <c r="A37" s="608" t="s">
        <v>3555</v>
      </c>
      <c r="B37" s="596" t="s">
        <v>30990</v>
      </c>
      <c r="C37" s="596" t="s">
        <v>890</v>
      </c>
      <c r="D37" s="596" t="s">
        <v>31013</v>
      </c>
      <c r="E37" s="601"/>
      <c r="F37" s="600"/>
      <c r="G37" s="600"/>
      <c r="H37" s="598"/>
      <c r="I37" s="587"/>
      <c r="J37" s="587"/>
      <c r="K37" s="584"/>
      <c r="L37" s="584"/>
      <c r="M37" s="587"/>
      <c r="N37" s="593"/>
      <c r="O37" s="585"/>
      <c r="P37" s="585"/>
      <c r="Q37" s="585"/>
      <c r="R37" s="585"/>
      <c r="S37" s="585"/>
      <c r="T37" s="585"/>
      <c r="U37" s="585"/>
      <c r="V37" s="585"/>
      <c r="W37" s="585"/>
      <c r="X37" s="585"/>
      <c r="Y37" s="585"/>
      <c r="Z37" s="585"/>
      <c r="AA37" s="585"/>
      <c r="AB37" s="585"/>
      <c r="AC37" s="585"/>
    </row>
    <row r="38" ht="54.0" customHeight="1">
      <c r="A38" s="608" t="s">
        <v>31014</v>
      </c>
      <c r="B38" s="596" t="s">
        <v>31015</v>
      </c>
      <c r="C38" s="596" t="s">
        <v>4219</v>
      </c>
      <c r="D38" s="596" t="s">
        <v>31013</v>
      </c>
      <c r="E38" s="596" t="s">
        <v>31016</v>
      </c>
      <c r="F38" s="600"/>
      <c r="G38" s="600"/>
      <c r="H38" s="598"/>
      <c r="I38" s="587"/>
      <c r="J38" s="587"/>
      <c r="K38" s="584"/>
      <c r="L38" s="584"/>
      <c r="M38" s="587"/>
      <c r="N38" s="593"/>
      <c r="O38" s="585"/>
      <c r="P38" s="585"/>
      <c r="Q38" s="585"/>
      <c r="R38" s="585"/>
      <c r="S38" s="585"/>
      <c r="T38" s="585"/>
      <c r="U38" s="585"/>
      <c r="V38" s="585"/>
      <c r="W38" s="585"/>
      <c r="X38" s="585"/>
      <c r="Y38" s="585"/>
      <c r="Z38" s="585"/>
      <c r="AA38" s="585"/>
      <c r="AB38" s="585"/>
      <c r="AC38" s="585"/>
    </row>
    <row r="39" ht="22.5" customHeight="1">
      <c r="A39" s="425" t="s">
        <v>31017</v>
      </c>
      <c r="B39" s="596" t="s">
        <v>31018</v>
      </c>
      <c r="C39" s="596" t="s">
        <v>31019</v>
      </c>
      <c r="D39" s="596" t="s">
        <v>31020</v>
      </c>
      <c r="E39" s="601"/>
      <c r="F39" s="600"/>
      <c r="G39" s="600"/>
      <c r="H39" s="598"/>
      <c r="I39" s="587"/>
      <c r="J39" s="587"/>
      <c r="K39" s="584"/>
      <c r="L39" s="584"/>
      <c r="M39" s="587"/>
      <c r="N39" s="593"/>
      <c r="O39" s="585"/>
      <c r="P39" s="585"/>
      <c r="Q39" s="585"/>
      <c r="R39" s="585"/>
      <c r="S39" s="585"/>
      <c r="T39" s="585"/>
      <c r="U39" s="585"/>
      <c r="V39" s="585"/>
      <c r="W39" s="585"/>
      <c r="X39" s="585"/>
      <c r="Y39" s="585"/>
      <c r="Z39" s="585"/>
      <c r="AA39" s="585"/>
      <c r="AB39" s="585"/>
      <c r="AC39" s="585"/>
    </row>
    <row r="40">
      <c r="A40" s="594" t="s">
        <v>31021</v>
      </c>
      <c r="B40" s="596" t="s">
        <v>30990</v>
      </c>
      <c r="C40" s="596" t="s">
        <v>9636</v>
      </c>
      <c r="D40" s="596" t="s">
        <v>31022</v>
      </c>
      <c r="E40" s="601"/>
      <c r="F40" s="600"/>
      <c r="G40" s="600"/>
      <c r="H40" s="598"/>
      <c r="I40" s="587">
        <v>13.0</v>
      </c>
      <c r="J40" s="587" t="s">
        <v>31023</v>
      </c>
      <c r="K40" s="584"/>
      <c r="L40" s="584"/>
      <c r="M40" s="587" t="s">
        <v>31024</v>
      </c>
      <c r="N40" s="593">
        <v>43900.0</v>
      </c>
      <c r="O40" s="585"/>
      <c r="P40" s="585"/>
      <c r="Q40" s="585"/>
      <c r="R40" s="585"/>
      <c r="S40" s="585"/>
      <c r="T40" s="585"/>
      <c r="U40" s="585"/>
      <c r="V40" s="585"/>
      <c r="W40" s="585"/>
      <c r="X40" s="585"/>
      <c r="Y40" s="585"/>
      <c r="Z40" s="585"/>
      <c r="AA40" s="585"/>
      <c r="AB40" s="585"/>
      <c r="AC40" s="585"/>
    </row>
    <row r="41">
      <c r="A41" s="609" t="s">
        <v>31025</v>
      </c>
      <c r="B41" s="596" t="s">
        <v>31026</v>
      </c>
      <c r="C41" s="596" t="s">
        <v>9799</v>
      </c>
      <c r="D41" s="596" t="s">
        <v>1493</v>
      </c>
      <c r="E41" s="601"/>
      <c r="F41" s="600"/>
      <c r="G41" s="600"/>
      <c r="H41" s="598"/>
      <c r="I41" s="587" t="s">
        <v>31027</v>
      </c>
      <c r="J41" s="593">
        <v>43990.0</v>
      </c>
      <c r="K41" s="584"/>
      <c r="L41" s="584"/>
      <c r="M41" s="584"/>
      <c r="N41" s="584"/>
      <c r="O41" s="585"/>
      <c r="P41" s="585"/>
      <c r="Q41" s="585"/>
      <c r="R41" s="585"/>
      <c r="S41" s="585"/>
      <c r="T41" s="585"/>
      <c r="U41" s="585"/>
      <c r="V41" s="585"/>
      <c r="W41" s="585"/>
      <c r="X41" s="585"/>
      <c r="Y41" s="585"/>
      <c r="Z41" s="585"/>
      <c r="AA41" s="585"/>
      <c r="AB41" s="585"/>
      <c r="AC41" s="585"/>
    </row>
    <row r="42" ht="33.75" customHeight="1">
      <c r="A42" s="606" t="s">
        <v>31028</v>
      </c>
      <c r="B42" s="596" t="s">
        <v>31029</v>
      </c>
      <c r="C42" s="596" t="s">
        <v>31030</v>
      </c>
      <c r="D42" s="596" t="s">
        <v>31031</v>
      </c>
      <c r="E42" s="596"/>
      <c r="F42" s="597"/>
      <c r="G42" s="597"/>
      <c r="H42" s="598"/>
      <c r="I42" s="584"/>
      <c r="J42" s="584"/>
      <c r="K42" s="584"/>
      <c r="L42" s="584"/>
      <c r="M42" s="584"/>
      <c r="N42" s="584"/>
      <c r="O42" s="585"/>
      <c r="P42" s="585"/>
      <c r="Q42" s="585"/>
      <c r="R42" s="585"/>
      <c r="S42" s="585"/>
      <c r="T42" s="585"/>
      <c r="U42" s="585"/>
      <c r="V42" s="585"/>
      <c r="W42" s="585"/>
      <c r="X42" s="585"/>
      <c r="Y42" s="585"/>
      <c r="Z42" s="585"/>
      <c r="AA42" s="585"/>
      <c r="AB42" s="585"/>
      <c r="AC42" s="585"/>
    </row>
    <row r="43" ht="33.75" customHeight="1">
      <c r="A43" s="606" t="s">
        <v>31032</v>
      </c>
      <c r="B43" s="596" t="s">
        <v>31033</v>
      </c>
      <c r="C43" s="596" t="s">
        <v>2947</v>
      </c>
      <c r="D43" s="596" t="s">
        <v>31034</v>
      </c>
      <c r="E43" s="596" t="s">
        <v>31035</v>
      </c>
      <c r="F43" s="597"/>
      <c r="G43" s="597"/>
      <c r="H43" s="598"/>
      <c r="I43" s="584"/>
      <c r="J43" s="584"/>
      <c r="K43" s="584"/>
      <c r="L43" s="584"/>
      <c r="M43" s="584"/>
      <c r="N43" s="584"/>
      <c r="O43" s="585"/>
      <c r="P43" s="585"/>
      <c r="Q43" s="585"/>
      <c r="R43" s="585"/>
      <c r="S43" s="585"/>
      <c r="T43" s="585"/>
      <c r="U43" s="585"/>
      <c r="V43" s="585"/>
      <c r="W43" s="585"/>
      <c r="X43" s="585"/>
      <c r="Y43" s="585"/>
      <c r="Z43" s="585"/>
      <c r="AA43" s="585"/>
      <c r="AB43" s="585"/>
      <c r="AC43" s="585"/>
    </row>
    <row r="44" ht="36.75" customHeight="1">
      <c r="A44" s="606" t="s">
        <v>31036</v>
      </c>
      <c r="B44" s="596" t="s">
        <v>31037</v>
      </c>
      <c r="C44" s="596" t="s">
        <v>31038</v>
      </c>
      <c r="D44" s="596"/>
      <c r="E44" s="596"/>
      <c r="F44" s="597"/>
      <c r="G44" s="597"/>
      <c r="H44" s="598"/>
      <c r="I44" s="584"/>
      <c r="J44" s="584"/>
      <c r="K44" s="584"/>
      <c r="L44" s="584"/>
      <c r="M44" s="584"/>
      <c r="N44" s="584"/>
      <c r="O44" s="585"/>
      <c r="P44" s="585"/>
      <c r="Q44" s="585"/>
      <c r="R44" s="585"/>
      <c r="S44" s="585"/>
      <c r="T44" s="585"/>
      <c r="U44" s="585"/>
      <c r="V44" s="585"/>
      <c r="W44" s="585"/>
      <c r="X44" s="585"/>
      <c r="Y44" s="585"/>
      <c r="Z44" s="585"/>
      <c r="AA44" s="585"/>
      <c r="AB44" s="585"/>
      <c r="AC44" s="585"/>
    </row>
    <row r="45" ht="29.25" customHeight="1">
      <c r="A45" s="606" t="s">
        <v>31039</v>
      </c>
      <c r="B45" s="596"/>
      <c r="C45" s="596"/>
      <c r="D45" s="596"/>
      <c r="E45" s="596"/>
      <c r="F45" s="597" t="s">
        <v>31040</v>
      </c>
      <c r="G45" s="597" t="s">
        <v>31041</v>
      </c>
      <c r="H45" s="598"/>
      <c r="I45" s="584"/>
      <c r="J45" s="584"/>
      <c r="K45" s="584"/>
      <c r="L45" s="584"/>
      <c r="M45" s="584"/>
      <c r="N45" s="584"/>
      <c r="O45" s="585"/>
      <c r="P45" s="585"/>
      <c r="Q45" s="585"/>
      <c r="R45" s="585"/>
      <c r="S45" s="585"/>
      <c r="T45" s="585"/>
      <c r="U45" s="585"/>
      <c r="V45" s="585"/>
      <c r="W45" s="585"/>
      <c r="X45" s="585"/>
      <c r="Y45" s="585"/>
      <c r="Z45" s="585"/>
      <c r="AA45" s="585"/>
      <c r="AB45" s="585"/>
      <c r="AC45" s="585"/>
    </row>
    <row r="46" ht="40.5" customHeight="1">
      <c r="A46" s="610" t="s">
        <v>31042</v>
      </c>
      <c r="B46" s="596" t="s">
        <v>31043</v>
      </c>
      <c r="C46" s="596"/>
      <c r="D46" s="596"/>
      <c r="E46" s="596"/>
      <c r="F46" s="597" t="s">
        <v>8293</v>
      </c>
      <c r="G46" s="597" t="s">
        <v>897</v>
      </c>
      <c r="H46" s="425"/>
      <c r="I46" s="584"/>
      <c r="J46" s="584"/>
      <c r="K46" s="584"/>
      <c r="L46" s="584"/>
      <c r="M46" s="584"/>
      <c r="N46" s="584"/>
      <c r="O46" s="585"/>
      <c r="P46" s="585"/>
      <c r="Q46" s="585"/>
      <c r="R46" s="585"/>
      <c r="S46" s="585"/>
      <c r="T46" s="585"/>
      <c r="U46" s="585"/>
      <c r="V46" s="585"/>
      <c r="W46" s="585"/>
      <c r="X46" s="585"/>
      <c r="Y46" s="585"/>
      <c r="Z46" s="585"/>
      <c r="AA46" s="585"/>
      <c r="AB46" s="585"/>
      <c r="AC46" s="585"/>
    </row>
    <row r="47" ht="40.5" customHeight="1">
      <c r="A47" s="606" t="s">
        <v>31044</v>
      </c>
      <c r="B47" s="596" t="s">
        <v>31045</v>
      </c>
      <c r="C47" s="596" t="s">
        <v>4250</v>
      </c>
      <c r="D47" s="596" t="s">
        <v>31046</v>
      </c>
      <c r="E47" s="596"/>
      <c r="F47" s="597"/>
      <c r="G47" s="597"/>
      <c r="H47" s="425"/>
      <c r="I47" s="584"/>
      <c r="J47" s="584"/>
      <c r="K47" s="584"/>
      <c r="L47" s="584"/>
      <c r="M47" s="584"/>
      <c r="N47" s="584"/>
      <c r="O47" s="585"/>
      <c r="P47" s="585"/>
      <c r="Q47" s="585"/>
      <c r="R47" s="585"/>
      <c r="S47" s="585"/>
      <c r="T47" s="585"/>
      <c r="U47" s="585"/>
      <c r="V47" s="585"/>
      <c r="W47" s="585"/>
      <c r="X47" s="585"/>
      <c r="Y47" s="585"/>
      <c r="Z47" s="585"/>
      <c r="AA47" s="585"/>
      <c r="AB47" s="585"/>
      <c r="AC47" s="585"/>
    </row>
    <row r="48" ht="40.5" customHeight="1">
      <c r="A48" s="606" t="s">
        <v>31047</v>
      </c>
      <c r="B48" s="596" t="s">
        <v>31048</v>
      </c>
      <c r="C48" s="596" t="s">
        <v>31049</v>
      </c>
      <c r="D48" s="596" t="s">
        <v>31050</v>
      </c>
      <c r="E48" s="596" t="s">
        <v>31051</v>
      </c>
      <c r="F48" s="597" t="s">
        <v>31052</v>
      </c>
      <c r="G48" s="597" t="s">
        <v>2962</v>
      </c>
      <c r="H48" s="425" t="s">
        <v>31053</v>
      </c>
      <c r="I48" s="584"/>
      <c r="J48" s="584"/>
      <c r="K48" s="584"/>
      <c r="L48" s="584"/>
      <c r="M48" s="584"/>
      <c r="N48" s="584"/>
      <c r="O48" s="585"/>
      <c r="P48" s="585"/>
      <c r="Q48" s="585"/>
      <c r="R48" s="585"/>
      <c r="S48" s="585"/>
      <c r="T48" s="585"/>
      <c r="U48" s="585"/>
      <c r="V48" s="585"/>
      <c r="W48" s="585"/>
      <c r="X48" s="585"/>
      <c r="Y48" s="585"/>
      <c r="Z48" s="585"/>
      <c r="AA48" s="585"/>
      <c r="AB48" s="585"/>
      <c r="AC48" s="585"/>
    </row>
    <row r="49" ht="40.5" customHeight="1">
      <c r="A49" s="606" t="s">
        <v>31044</v>
      </c>
      <c r="B49" s="596" t="s">
        <v>31054</v>
      </c>
      <c r="C49" s="596" t="s">
        <v>31055</v>
      </c>
      <c r="D49" s="596" t="s">
        <v>31056</v>
      </c>
      <c r="E49" s="596"/>
      <c r="F49" s="597"/>
      <c r="G49" s="597"/>
      <c r="H49" s="598"/>
      <c r="I49" s="584"/>
      <c r="J49" s="584"/>
      <c r="K49" s="584"/>
      <c r="L49" s="584"/>
      <c r="M49" s="584"/>
      <c r="N49" s="584"/>
      <c r="O49" s="585"/>
      <c r="P49" s="585"/>
      <c r="Q49" s="585"/>
      <c r="R49" s="585"/>
      <c r="S49" s="585"/>
      <c r="T49" s="585"/>
      <c r="U49" s="585"/>
      <c r="V49" s="585"/>
      <c r="W49" s="585"/>
      <c r="X49" s="585"/>
      <c r="Y49" s="585"/>
      <c r="Z49" s="585"/>
      <c r="AA49" s="585"/>
      <c r="AB49" s="585"/>
      <c r="AC49" s="585"/>
    </row>
    <row r="50" ht="40.5" customHeight="1">
      <c r="A50" s="606" t="s">
        <v>31057</v>
      </c>
      <c r="B50" s="596" t="s">
        <v>31054</v>
      </c>
      <c r="C50" s="596" t="s">
        <v>31058</v>
      </c>
      <c r="D50" s="596" t="s">
        <v>31012</v>
      </c>
      <c r="E50" s="596" t="s">
        <v>31059</v>
      </c>
      <c r="F50" s="597" t="s">
        <v>31060</v>
      </c>
      <c r="G50" s="597" t="s">
        <v>6000</v>
      </c>
      <c r="H50" s="598"/>
      <c r="I50" s="584"/>
      <c r="J50" s="584"/>
      <c r="K50" s="584"/>
      <c r="L50" s="584"/>
      <c r="M50" s="584"/>
      <c r="N50" s="584"/>
      <c r="O50" s="585"/>
      <c r="P50" s="585"/>
      <c r="Q50" s="585"/>
      <c r="R50" s="585"/>
      <c r="S50" s="585"/>
      <c r="T50" s="585"/>
      <c r="U50" s="585"/>
      <c r="V50" s="585"/>
      <c r="W50" s="585"/>
      <c r="X50" s="585"/>
      <c r="Y50" s="585"/>
      <c r="Z50" s="585"/>
      <c r="AA50" s="585"/>
      <c r="AB50" s="585"/>
      <c r="AC50" s="585"/>
    </row>
    <row r="51" ht="19.5" customHeight="1">
      <c r="A51" s="606" t="s">
        <v>31061</v>
      </c>
      <c r="B51" s="596" t="s">
        <v>31062</v>
      </c>
      <c r="C51" s="596" t="s">
        <v>31063</v>
      </c>
      <c r="D51" s="596" t="s">
        <v>31064</v>
      </c>
      <c r="E51" s="601"/>
      <c r="F51" s="600"/>
      <c r="G51" s="600"/>
      <c r="H51" s="598"/>
      <c r="I51" s="584"/>
      <c r="J51" s="584"/>
      <c r="K51" s="584"/>
      <c r="L51" s="584"/>
      <c r="M51" s="584"/>
      <c r="N51" s="584"/>
      <c r="O51" s="585"/>
      <c r="P51" s="585"/>
      <c r="Q51" s="585"/>
      <c r="R51" s="585"/>
      <c r="S51" s="585"/>
      <c r="T51" s="585"/>
      <c r="U51" s="585"/>
      <c r="V51" s="585"/>
      <c r="W51" s="585"/>
      <c r="X51" s="585"/>
      <c r="Y51" s="585"/>
      <c r="Z51" s="585"/>
      <c r="AA51" s="585"/>
      <c r="AB51" s="585"/>
      <c r="AC51" s="585"/>
    </row>
    <row r="52" ht="19.5" customHeight="1">
      <c r="A52" s="606" t="s">
        <v>31065</v>
      </c>
      <c r="B52" s="596"/>
      <c r="C52" s="596" t="s">
        <v>3443</v>
      </c>
      <c r="D52" s="596" t="s">
        <v>31066</v>
      </c>
      <c r="E52" s="601"/>
      <c r="F52" s="600"/>
      <c r="G52" s="600"/>
      <c r="H52" s="598"/>
      <c r="I52" s="584"/>
      <c r="J52" s="584"/>
      <c r="K52" s="584"/>
      <c r="L52" s="584"/>
      <c r="M52" s="584"/>
      <c r="N52" s="584"/>
      <c r="O52" s="585"/>
      <c r="P52" s="585"/>
      <c r="Q52" s="585"/>
      <c r="R52" s="585"/>
      <c r="S52" s="585"/>
      <c r="T52" s="585"/>
      <c r="U52" s="585"/>
      <c r="V52" s="585"/>
      <c r="W52" s="585"/>
      <c r="X52" s="585"/>
      <c r="Y52" s="585"/>
      <c r="Z52" s="585"/>
      <c r="AA52" s="585"/>
      <c r="AB52" s="585"/>
      <c r="AC52" s="585"/>
    </row>
    <row r="53">
      <c r="A53" s="594" t="s">
        <v>31067</v>
      </c>
      <c r="B53" s="596" t="s">
        <v>31068</v>
      </c>
      <c r="C53" s="596" t="s">
        <v>3195</v>
      </c>
      <c r="D53" s="596" t="s">
        <v>31069</v>
      </c>
      <c r="E53" s="596"/>
      <c r="F53" s="597"/>
      <c r="G53" s="597"/>
      <c r="H53" s="598"/>
      <c r="I53" s="584"/>
      <c r="J53" s="584"/>
      <c r="K53" s="587"/>
      <c r="L53" s="593"/>
      <c r="M53" s="584"/>
      <c r="N53" s="584"/>
      <c r="O53" s="585"/>
      <c r="P53" s="585"/>
      <c r="Q53" s="585"/>
      <c r="R53" s="585"/>
      <c r="S53" s="585"/>
      <c r="T53" s="585"/>
      <c r="U53" s="585"/>
      <c r="V53" s="585"/>
      <c r="W53" s="585"/>
      <c r="X53" s="585"/>
      <c r="Y53" s="585"/>
      <c r="Z53" s="585"/>
      <c r="AA53" s="585"/>
      <c r="AB53" s="585"/>
      <c r="AC53" s="585"/>
    </row>
    <row r="54">
      <c r="A54" s="594" t="s">
        <v>31070</v>
      </c>
      <c r="B54" s="596" t="s">
        <v>31071</v>
      </c>
      <c r="C54" s="596"/>
      <c r="D54" s="596"/>
      <c r="E54" s="596"/>
      <c r="F54" s="597" t="s">
        <v>31072</v>
      </c>
      <c r="G54" s="597" t="s">
        <v>2473</v>
      </c>
      <c r="H54" s="598"/>
      <c r="I54" s="584"/>
      <c r="J54" s="584"/>
      <c r="K54" s="587" t="s">
        <v>31073</v>
      </c>
      <c r="L54" s="593">
        <v>44173.0</v>
      </c>
      <c r="M54" s="584"/>
      <c r="N54" s="584"/>
      <c r="O54" s="585"/>
      <c r="P54" s="585"/>
      <c r="Q54" s="585"/>
      <c r="R54" s="585"/>
      <c r="S54" s="585"/>
      <c r="T54" s="585"/>
      <c r="U54" s="585"/>
      <c r="V54" s="585"/>
      <c r="W54" s="585"/>
      <c r="X54" s="585"/>
      <c r="Y54" s="585"/>
      <c r="Z54" s="585"/>
      <c r="AA54" s="585"/>
      <c r="AB54" s="585"/>
      <c r="AC54" s="585"/>
    </row>
    <row r="55">
      <c r="A55" s="594" t="s">
        <v>31074</v>
      </c>
      <c r="B55" s="603" t="s">
        <v>31075</v>
      </c>
      <c r="C55" s="603" t="s">
        <v>30950</v>
      </c>
      <c r="D55" s="603" t="s">
        <v>31076</v>
      </c>
      <c r="E55" s="604"/>
      <c r="F55" s="605"/>
      <c r="G55" s="605"/>
      <c r="H55" s="598"/>
      <c r="I55" s="584"/>
      <c r="J55" s="584"/>
      <c r="K55" s="584"/>
      <c r="L55" s="584"/>
      <c r="M55" s="587"/>
      <c r="N55" s="584"/>
      <c r="O55" s="585"/>
      <c r="P55" s="585"/>
      <c r="Q55" s="585"/>
      <c r="R55" s="585"/>
      <c r="S55" s="585"/>
      <c r="T55" s="585"/>
      <c r="U55" s="585"/>
      <c r="V55" s="585"/>
      <c r="W55" s="585"/>
      <c r="X55" s="585"/>
      <c r="Y55" s="585"/>
      <c r="Z55" s="585"/>
      <c r="AA55" s="585"/>
      <c r="AB55" s="585"/>
      <c r="AC55" s="585"/>
    </row>
    <row r="56">
      <c r="A56" s="594" t="s">
        <v>31077</v>
      </c>
      <c r="B56" s="603" t="s">
        <v>31075</v>
      </c>
      <c r="C56" s="603" t="s">
        <v>31078</v>
      </c>
      <c r="D56" s="603" t="s">
        <v>31079</v>
      </c>
      <c r="E56" s="604"/>
      <c r="F56" s="605"/>
      <c r="G56" s="605"/>
      <c r="H56" s="598"/>
      <c r="I56" s="584"/>
      <c r="J56" s="584"/>
      <c r="K56" s="584"/>
      <c r="L56" s="584"/>
      <c r="M56" s="587"/>
      <c r="N56" s="584"/>
      <c r="O56" s="585"/>
      <c r="P56" s="585"/>
      <c r="Q56" s="585"/>
      <c r="R56" s="585"/>
      <c r="S56" s="585"/>
      <c r="T56" s="585"/>
      <c r="U56" s="585"/>
      <c r="V56" s="585"/>
      <c r="W56" s="585"/>
      <c r="X56" s="585"/>
      <c r="Y56" s="585"/>
      <c r="Z56" s="585"/>
      <c r="AA56" s="585"/>
      <c r="AB56" s="585"/>
      <c r="AC56" s="585"/>
    </row>
    <row r="57">
      <c r="A57" s="594" t="s">
        <v>5761</v>
      </c>
      <c r="B57" s="603" t="s">
        <v>31080</v>
      </c>
      <c r="C57" s="603" t="s">
        <v>6123</v>
      </c>
      <c r="D57" s="603" t="s">
        <v>838</v>
      </c>
      <c r="E57" s="604"/>
      <c r="F57" s="605"/>
      <c r="G57" s="605"/>
      <c r="H57" s="598"/>
      <c r="I57" s="584"/>
      <c r="J57" s="584"/>
      <c r="K57" s="584"/>
      <c r="L57" s="584"/>
      <c r="M57" s="587"/>
      <c r="N57" s="584"/>
      <c r="O57" s="585"/>
      <c r="P57" s="585"/>
      <c r="Q57" s="585"/>
      <c r="R57" s="585"/>
      <c r="S57" s="585"/>
      <c r="T57" s="585"/>
      <c r="U57" s="585"/>
      <c r="V57" s="585"/>
      <c r="W57" s="585"/>
      <c r="X57" s="585"/>
      <c r="Y57" s="585"/>
      <c r="Z57" s="585"/>
      <c r="AA57" s="585"/>
      <c r="AB57" s="585"/>
      <c r="AC57" s="585"/>
    </row>
    <row r="58">
      <c r="A58" s="594" t="s">
        <v>13866</v>
      </c>
      <c r="B58" s="603"/>
      <c r="C58" s="603"/>
      <c r="D58" s="603"/>
      <c r="E58" s="604"/>
      <c r="F58" s="605"/>
      <c r="G58" s="605"/>
      <c r="H58" s="598"/>
      <c r="I58" s="584"/>
      <c r="J58" s="584"/>
      <c r="K58" s="584"/>
      <c r="L58" s="584"/>
      <c r="M58" s="587" t="s">
        <v>31081</v>
      </c>
      <c r="N58" s="584"/>
      <c r="O58" s="585"/>
      <c r="P58" s="585"/>
      <c r="Q58" s="585"/>
      <c r="R58" s="585"/>
      <c r="S58" s="585"/>
      <c r="T58" s="585"/>
      <c r="U58" s="585"/>
      <c r="V58" s="585"/>
      <c r="W58" s="585"/>
      <c r="X58" s="585"/>
      <c r="Y58" s="585"/>
      <c r="Z58" s="585"/>
      <c r="AA58" s="585"/>
      <c r="AB58" s="585"/>
      <c r="AC58" s="585"/>
    </row>
    <row r="59" ht="28.5" customHeight="1">
      <c r="A59" s="606" t="s">
        <v>31082</v>
      </c>
      <c r="B59" s="596" t="s">
        <v>31083</v>
      </c>
      <c r="C59" s="596" t="s">
        <v>10614</v>
      </c>
      <c r="D59" s="596" t="s">
        <v>1711</v>
      </c>
      <c r="E59" s="601"/>
      <c r="F59" s="600"/>
      <c r="G59" s="600"/>
      <c r="H59" s="598"/>
      <c r="I59" s="584"/>
      <c r="J59" s="584"/>
      <c r="K59" s="584"/>
      <c r="L59" s="584"/>
      <c r="M59" s="584"/>
      <c r="N59" s="584"/>
      <c r="O59" s="585"/>
      <c r="P59" s="585"/>
      <c r="Q59" s="585"/>
      <c r="R59" s="585"/>
      <c r="S59" s="585"/>
      <c r="T59" s="585"/>
      <c r="U59" s="585"/>
      <c r="V59" s="585"/>
      <c r="W59" s="585"/>
      <c r="X59" s="585"/>
      <c r="Y59" s="585"/>
      <c r="Z59" s="585"/>
      <c r="AA59" s="585"/>
      <c r="AB59" s="585"/>
      <c r="AC59" s="585"/>
    </row>
    <row r="60" ht="33.75" customHeight="1">
      <c r="A60" s="606" t="s">
        <v>31084</v>
      </c>
      <c r="B60" s="596" t="s">
        <v>30998</v>
      </c>
      <c r="C60" s="596" t="s">
        <v>31085</v>
      </c>
      <c r="D60" s="596" t="s">
        <v>31086</v>
      </c>
      <c r="E60" s="601"/>
      <c r="F60" s="600"/>
      <c r="G60" s="600"/>
      <c r="H60" s="598"/>
      <c r="I60" s="584"/>
      <c r="J60" s="584"/>
      <c r="K60" s="584"/>
      <c r="L60" s="584"/>
      <c r="M60" s="584"/>
      <c r="N60" s="584"/>
      <c r="O60" s="585"/>
      <c r="P60" s="585"/>
      <c r="Q60" s="585"/>
      <c r="R60" s="585"/>
      <c r="S60" s="585"/>
      <c r="T60" s="585"/>
      <c r="U60" s="585"/>
      <c r="V60" s="585"/>
      <c r="W60" s="585"/>
      <c r="X60" s="585"/>
      <c r="Y60" s="585"/>
      <c r="Z60" s="585"/>
      <c r="AA60" s="585"/>
      <c r="AB60" s="585"/>
      <c r="AC60" s="585"/>
    </row>
    <row r="61" ht="32.25" customHeight="1">
      <c r="A61" s="606" t="s">
        <v>31084</v>
      </c>
      <c r="B61" s="581" t="s">
        <v>31011</v>
      </c>
      <c r="C61" s="581" t="s">
        <v>31087</v>
      </c>
      <c r="D61" s="581" t="s">
        <v>31086</v>
      </c>
      <c r="E61" s="582"/>
      <c r="F61" s="582"/>
      <c r="G61" s="582"/>
      <c r="H61" s="598"/>
      <c r="I61" s="584"/>
      <c r="J61" s="584"/>
      <c r="K61" s="584"/>
      <c r="L61" s="584"/>
      <c r="M61" s="584"/>
      <c r="N61" s="584"/>
      <c r="O61" s="585"/>
      <c r="P61" s="585"/>
      <c r="Q61" s="585"/>
      <c r="R61" s="585"/>
      <c r="S61" s="585"/>
      <c r="T61" s="585"/>
      <c r="U61" s="585"/>
      <c r="V61" s="585"/>
      <c r="W61" s="585"/>
      <c r="X61" s="585"/>
      <c r="Y61" s="585"/>
      <c r="Z61" s="585"/>
      <c r="AA61" s="585"/>
      <c r="AB61" s="585"/>
      <c r="AC61" s="585"/>
    </row>
    <row r="62" ht="32.25" customHeight="1">
      <c r="A62" s="580" t="s">
        <v>31088</v>
      </c>
      <c r="B62" s="581" t="s">
        <v>8518</v>
      </c>
      <c r="C62" s="581" t="s">
        <v>11661</v>
      </c>
      <c r="D62" s="581" t="s">
        <v>31089</v>
      </c>
      <c r="E62" s="589" t="s">
        <v>31090</v>
      </c>
      <c r="F62" s="582"/>
      <c r="G62" s="582"/>
      <c r="H62" s="598"/>
      <c r="I62" s="584"/>
      <c r="J62" s="584"/>
      <c r="K62" s="584"/>
      <c r="L62" s="584"/>
      <c r="M62" s="584"/>
      <c r="N62" s="584"/>
      <c r="O62" s="585"/>
      <c r="P62" s="585"/>
      <c r="Q62" s="585"/>
      <c r="R62" s="585"/>
      <c r="S62" s="585"/>
      <c r="T62" s="585"/>
      <c r="U62" s="585"/>
      <c r="V62" s="585"/>
      <c r="W62" s="585"/>
      <c r="X62" s="585"/>
      <c r="Y62" s="585"/>
      <c r="Z62" s="585"/>
      <c r="AA62" s="585"/>
      <c r="AB62" s="585"/>
      <c r="AC62" s="585"/>
    </row>
    <row r="63">
      <c r="A63" s="580" t="s">
        <v>31091</v>
      </c>
      <c r="B63" s="581" t="s">
        <v>31092</v>
      </c>
      <c r="C63" s="581"/>
      <c r="D63" s="581"/>
      <c r="E63" s="581"/>
      <c r="F63" s="581" t="s">
        <v>9530</v>
      </c>
      <c r="G63" s="581" t="s">
        <v>1066</v>
      </c>
      <c r="H63" s="598"/>
      <c r="I63" s="587"/>
      <c r="J63" s="593"/>
      <c r="K63" s="587"/>
      <c r="L63" s="593"/>
      <c r="M63" s="587"/>
      <c r="N63" s="587"/>
      <c r="O63" s="585"/>
      <c r="P63" s="585"/>
      <c r="Q63" s="585"/>
      <c r="R63" s="585"/>
      <c r="S63" s="585"/>
      <c r="T63" s="585"/>
      <c r="U63" s="585"/>
      <c r="V63" s="585"/>
      <c r="W63" s="585"/>
      <c r="X63" s="585"/>
      <c r="Y63" s="585"/>
      <c r="Z63" s="585"/>
      <c r="AA63" s="585"/>
      <c r="AB63" s="585"/>
      <c r="AC63" s="585"/>
    </row>
    <row r="64">
      <c r="A64" s="580" t="s">
        <v>31093</v>
      </c>
      <c r="B64" s="581" t="s">
        <v>31092</v>
      </c>
      <c r="C64" s="581"/>
      <c r="D64" s="581"/>
      <c r="E64" s="581"/>
      <c r="F64" s="581" t="s">
        <v>31094</v>
      </c>
      <c r="G64" s="581" t="s">
        <v>1066</v>
      </c>
      <c r="H64" s="598"/>
      <c r="I64" s="587"/>
      <c r="J64" s="593"/>
      <c r="K64" s="587"/>
      <c r="L64" s="593"/>
      <c r="M64" s="587" t="s">
        <v>31095</v>
      </c>
      <c r="N64" s="587" t="s">
        <v>31096</v>
      </c>
      <c r="O64" s="585"/>
      <c r="P64" s="585"/>
      <c r="Q64" s="585"/>
      <c r="R64" s="585"/>
      <c r="S64" s="585"/>
      <c r="T64" s="585"/>
      <c r="U64" s="585"/>
      <c r="V64" s="585"/>
      <c r="W64" s="585"/>
      <c r="X64" s="585"/>
      <c r="Y64" s="585"/>
      <c r="Z64" s="585"/>
      <c r="AA64" s="585"/>
      <c r="AB64" s="585"/>
      <c r="AC64" s="585"/>
    </row>
    <row r="65">
      <c r="A65" s="580" t="s">
        <v>31097</v>
      </c>
      <c r="B65" s="581"/>
      <c r="C65" s="581"/>
      <c r="D65" s="581"/>
      <c r="E65" s="582"/>
      <c r="F65" s="582"/>
      <c r="G65" s="582"/>
      <c r="H65" s="598"/>
      <c r="I65" s="587"/>
      <c r="J65" s="593"/>
      <c r="K65" s="587">
        <v>43.0</v>
      </c>
      <c r="L65" s="593">
        <v>43870.0</v>
      </c>
      <c r="M65" s="587"/>
      <c r="N65" s="593"/>
      <c r="O65" s="585"/>
      <c r="P65" s="585"/>
      <c r="Q65" s="585"/>
      <c r="R65" s="585"/>
      <c r="S65" s="585"/>
      <c r="T65" s="585"/>
      <c r="U65" s="585"/>
      <c r="V65" s="585"/>
      <c r="W65" s="585"/>
      <c r="X65" s="585"/>
      <c r="Y65" s="585"/>
      <c r="Z65" s="585"/>
      <c r="AA65" s="585"/>
      <c r="AB65" s="585"/>
      <c r="AC65" s="585"/>
    </row>
    <row r="66">
      <c r="A66" s="611" t="s">
        <v>31098</v>
      </c>
      <c r="B66" s="581" t="s">
        <v>31099</v>
      </c>
      <c r="C66" s="581" t="s">
        <v>31100</v>
      </c>
      <c r="D66" s="581" t="s">
        <v>31101</v>
      </c>
      <c r="E66" s="582"/>
      <c r="F66" s="582"/>
      <c r="G66" s="582"/>
      <c r="H66" s="598"/>
      <c r="I66" s="587"/>
      <c r="J66" s="593"/>
      <c r="K66" s="587"/>
      <c r="L66" s="593"/>
      <c r="M66" s="587"/>
      <c r="N66" s="593"/>
      <c r="O66" s="585"/>
      <c r="P66" s="585"/>
      <c r="Q66" s="585"/>
      <c r="R66" s="585"/>
      <c r="S66" s="585"/>
      <c r="T66" s="585"/>
      <c r="U66" s="585"/>
      <c r="V66" s="585"/>
      <c r="W66" s="585"/>
      <c r="X66" s="585"/>
      <c r="Y66" s="585"/>
      <c r="Z66" s="585"/>
      <c r="AA66" s="585"/>
      <c r="AB66" s="585"/>
      <c r="AC66" s="585"/>
    </row>
    <row r="67">
      <c r="A67" s="611" t="s">
        <v>31102</v>
      </c>
      <c r="B67" s="581" t="s">
        <v>31099</v>
      </c>
      <c r="C67" s="581" t="s">
        <v>31103</v>
      </c>
      <c r="D67" s="581" t="s">
        <v>31104</v>
      </c>
      <c r="E67" s="582"/>
      <c r="F67" s="582"/>
      <c r="G67" s="582"/>
      <c r="H67" s="598"/>
      <c r="I67" s="587"/>
      <c r="J67" s="593"/>
      <c r="K67" s="587"/>
      <c r="L67" s="593"/>
      <c r="M67" s="587"/>
      <c r="N67" s="593"/>
      <c r="O67" s="585"/>
      <c r="P67" s="585"/>
      <c r="Q67" s="585"/>
      <c r="R67" s="585"/>
      <c r="S67" s="585"/>
      <c r="T67" s="585"/>
      <c r="U67" s="585"/>
      <c r="V67" s="585"/>
      <c r="W67" s="585"/>
      <c r="X67" s="585"/>
      <c r="Y67" s="585"/>
      <c r="Z67" s="585"/>
      <c r="AA67" s="585"/>
      <c r="AB67" s="585"/>
      <c r="AC67" s="585"/>
    </row>
    <row r="68">
      <c r="A68" s="611" t="s">
        <v>31105</v>
      </c>
      <c r="B68" s="581" t="s">
        <v>31106</v>
      </c>
      <c r="C68" s="581" t="s">
        <v>31107</v>
      </c>
      <c r="D68" s="581" t="s">
        <v>31108</v>
      </c>
      <c r="E68" s="582"/>
      <c r="F68" s="582"/>
      <c r="G68" s="582"/>
      <c r="H68" s="598"/>
      <c r="I68" s="587"/>
      <c r="J68" s="593"/>
      <c r="K68" s="587"/>
      <c r="L68" s="593"/>
      <c r="M68" s="587"/>
      <c r="N68" s="593"/>
      <c r="O68" s="585"/>
      <c r="P68" s="585"/>
      <c r="Q68" s="585"/>
      <c r="R68" s="585"/>
      <c r="S68" s="585"/>
      <c r="T68" s="585"/>
      <c r="U68" s="585"/>
      <c r="V68" s="585"/>
      <c r="W68" s="585"/>
      <c r="X68" s="585"/>
      <c r="Y68" s="585"/>
      <c r="Z68" s="585"/>
      <c r="AA68" s="585"/>
      <c r="AB68" s="585"/>
      <c r="AC68" s="585"/>
    </row>
    <row r="69">
      <c r="A69" s="611" t="s">
        <v>31109</v>
      </c>
      <c r="B69" s="581" t="s">
        <v>31099</v>
      </c>
      <c r="C69" s="581" t="s">
        <v>31110</v>
      </c>
      <c r="D69" s="581" t="s">
        <v>31111</v>
      </c>
      <c r="E69" s="582"/>
      <c r="F69" s="582"/>
      <c r="G69" s="582"/>
      <c r="H69" s="598"/>
      <c r="I69" s="587" t="s">
        <v>31112</v>
      </c>
      <c r="J69" s="593">
        <v>43963.0</v>
      </c>
      <c r="K69" s="587" t="s">
        <v>31113</v>
      </c>
      <c r="L69" s="593">
        <v>43959.0</v>
      </c>
      <c r="M69" s="587" t="s">
        <v>31114</v>
      </c>
      <c r="N69" s="593">
        <v>43839.0</v>
      </c>
      <c r="O69" s="585"/>
      <c r="P69" s="585"/>
      <c r="Q69" s="585"/>
      <c r="R69" s="585"/>
      <c r="S69" s="585"/>
      <c r="T69" s="585"/>
      <c r="U69" s="585"/>
      <c r="V69" s="585"/>
      <c r="W69" s="585"/>
      <c r="X69" s="585"/>
      <c r="Y69" s="585"/>
      <c r="Z69" s="585"/>
      <c r="AA69" s="585"/>
      <c r="AB69" s="585"/>
      <c r="AC69" s="585"/>
    </row>
    <row r="70" ht="19.5" customHeight="1">
      <c r="A70" s="611" t="s">
        <v>31115</v>
      </c>
      <c r="B70" s="581" t="s">
        <v>31116</v>
      </c>
      <c r="C70" s="581" t="s">
        <v>31117</v>
      </c>
      <c r="D70" s="581" t="s">
        <v>1576</v>
      </c>
      <c r="E70" s="582"/>
      <c r="F70" s="582"/>
      <c r="G70" s="582"/>
      <c r="H70" s="598"/>
      <c r="I70" s="587"/>
      <c r="J70" s="593"/>
      <c r="K70" s="584"/>
      <c r="L70" s="584"/>
      <c r="M70" s="584"/>
      <c r="N70" s="584"/>
      <c r="O70" s="585"/>
      <c r="P70" s="585"/>
      <c r="Q70" s="585"/>
      <c r="R70" s="585"/>
      <c r="S70" s="585"/>
      <c r="T70" s="585"/>
      <c r="U70" s="585"/>
      <c r="V70" s="585"/>
      <c r="W70" s="585"/>
      <c r="X70" s="585"/>
      <c r="Y70" s="585"/>
      <c r="Z70" s="585"/>
      <c r="AA70" s="585"/>
      <c r="AB70" s="585"/>
      <c r="AC70" s="585"/>
    </row>
    <row r="71" ht="19.5" customHeight="1">
      <c r="A71" s="611" t="s">
        <v>31118</v>
      </c>
      <c r="B71" s="581" t="s">
        <v>30998</v>
      </c>
      <c r="C71" s="581" t="s">
        <v>31119</v>
      </c>
      <c r="D71" s="581" t="s">
        <v>31120</v>
      </c>
      <c r="E71" s="582"/>
      <c r="F71" s="582"/>
      <c r="G71" s="582"/>
      <c r="H71" s="598"/>
      <c r="I71" s="587"/>
      <c r="J71" s="593"/>
      <c r="K71" s="584"/>
      <c r="L71" s="584"/>
      <c r="M71" s="584"/>
      <c r="N71" s="584"/>
      <c r="O71" s="585"/>
      <c r="P71" s="585"/>
      <c r="Q71" s="585"/>
      <c r="R71" s="585"/>
      <c r="S71" s="585"/>
      <c r="T71" s="585"/>
      <c r="U71" s="585"/>
      <c r="V71" s="585"/>
      <c r="W71" s="585"/>
      <c r="X71" s="585"/>
      <c r="Y71" s="585"/>
      <c r="Z71" s="585"/>
      <c r="AA71" s="585"/>
      <c r="AB71" s="585"/>
      <c r="AC71" s="585"/>
    </row>
    <row r="72" ht="19.5" customHeight="1">
      <c r="A72" s="611" t="s">
        <v>31121</v>
      </c>
      <c r="B72" s="581" t="s">
        <v>30998</v>
      </c>
      <c r="C72" s="581" t="s">
        <v>31122</v>
      </c>
      <c r="D72" s="581" t="s">
        <v>31123</v>
      </c>
      <c r="E72" s="582"/>
      <c r="F72" s="582"/>
      <c r="G72" s="582"/>
      <c r="H72" s="598"/>
      <c r="I72" s="587"/>
      <c r="J72" s="593"/>
      <c r="K72" s="584"/>
      <c r="L72" s="584"/>
      <c r="M72" s="584"/>
      <c r="N72" s="584"/>
      <c r="O72" s="585"/>
      <c r="P72" s="585"/>
      <c r="Q72" s="585"/>
      <c r="R72" s="585"/>
      <c r="S72" s="585"/>
      <c r="T72" s="585"/>
      <c r="U72" s="585"/>
      <c r="V72" s="585"/>
      <c r="W72" s="585"/>
      <c r="X72" s="585"/>
      <c r="Y72" s="585"/>
      <c r="Z72" s="585"/>
      <c r="AA72" s="585"/>
      <c r="AB72" s="585"/>
      <c r="AC72" s="585"/>
    </row>
    <row r="73" ht="19.5" customHeight="1">
      <c r="A73" s="611" t="s">
        <v>31124</v>
      </c>
      <c r="B73" s="581" t="s">
        <v>30998</v>
      </c>
      <c r="C73" s="581" t="s">
        <v>31125</v>
      </c>
      <c r="D73" s="581" t="s">
        <v>1468</v>
      </c>
      <c r="E73" s="582"/>
      <c r="F73" s="582"/>
      <c r="G73" s="582"/>
      <c r="H73" s="598"/>
      <c r="I73" s="587">
        <v>2.5</v>
      </c>
      <c r="J73" s="593">
        <v>43960.0</v>
      </c>
      <c r="K73" s="584"/>
      <c r="L73" s="584"/>
      <c r="M73" s="584"/>
      <c r="N73" s="584"/>
      <c r="O73" s="585"/>
      <c r="P73" s="585"/>
      <c r="Q73" s="585"/>
      <c r="R73" s="585"/>
      <c r="S73" s="585"/>
      <c r="T73" s="585"/>
      <c r="U73" s="585"/>
      <c r="V73" s="585"/>
      <c r="W73" s="585"/>
      <c r="X73" s="585"/>
      <c r="Y73" s="585"/>
      <c r="Z73" s="585"/>
      <c r="AA73" s="585"/>
      <c r="AB73" s="585"/>
      <c r="AC73" s="585"/>
    </row>
    <row r="74" ht="19.5" customHeight="1">
      <c r="A74" s="580" t="s">
        <v>31126</v>
      </c>
      <c r="B74" s="581" t="s">
        <v>30998</v>
      </c>
      <c r="C74" s="581" t="s">
        <v>8354</v>
      </c>
      <c r="D74" s="581" t="s">
        <v>31127</v>
      </c>
      <c r="E74" s="582"/>
      <c r="F74" s="582"/>
      <c r="G74" s="582"/>
      <c r="H74" s="598"/>
      <c r="I74" s="584"/>
      <c r="J74" s="584"/>
      <c r="K74" s="587"/>
      <c r="L74" s="587"/>
      <c r="M74" s="584"/>
      <c r="N74" s="584"/>
      <c r="O74" s="585"/>
      <c r="P74" s="585"/>
      <c r="Q74" s="585"/>
      <c r="R74" s="585"/>
      <c r="S74" s="585"/>
      <c r="T74" s="585"/>
      <c r="U74" s="585"/>
      <c r="V74" s="585"/>
      <c r="W74" s="585"/>
      <c r="X74" s="585"/>
      <c r="Y74" s="585"/>
      <c r="Z74" s="585"/>
      <c r="AA74" s="585"/>
      <c r="AB74" s="585"/>
      <c r="AC74" s="585"/>
    </row>
    <row r="75" ht="19.5" customHeight="1">
      <c r="A75" s="580" t="s">
        <v>12835</v>
      </c>
      <c r="B75" s="581"/>
      <c r="C75" s="581"/>
      <c r="D75" s="581"/>
      <c r="E75" s="582"/>
      <c r="F75" s="582"/>
      <c r="G75" s="582"/>
      <c r="H75" s="598"/>
      <c r="I75" s="584"/>
      <c r="J75" s="584"/>
      <c r="K75" s="587">
        <v>57.0</v>
      </c>
      <c r="L75" s="587" t="s">
        <v>31128</v>
      </c>
      <c r="M75" s="584"/>
      <c r="N75" s="584"/>
      <c r="O75" s="585"/>
      <c r="P75" s="585"/>
      <c r="Q75" s="585"/>
      <c r="R75" s="585"/>
      <c r="S75" s="585"/>
      <c r="T75" s="585"/>
      <c r="U75" s="585"/>
      <c r="V75" s="585"/>
      <c r="W75" s="585"/>
      <c r="X75" s="585"/>
      <c r="Y75" s="585"/>
      <c r="Z75" s="585"/>
      <c r="AA75" s="585"/>
      <c r="AB75" s="585"/>
      <c r="AC75" s="585"/>
    </row>
    <row r="76" ht="39.0" customHeight="1">
      <c r="A76" s="612" t="s">
        <v>31129</v>
      </c>
      <c r="B76" s="581" t="s">
        <v>31130</v>
      </c>
      <c r="C76" s="581" t="s">
        <v>31131</v>
      </c>
      <c r="D76" s="581" t="s">
        <v>31132</v>
      </c>
      <c r="E76" s="582"/>
      <c r="F76" s="582"/>
      <c r="G76" s="582"/>
      <c r="H76" s="425"/>
      <c r="I76" s="584"/>
      <c r="J76" s="584"/>
      <c r="K76" s="584"/>
      <c r="L76" s="584"/>
      <c r="M76" s="584"/>
      <c r="N76" s="584"/>
      <c r="O76" s="585"/>
      <c r="P76" s="585"/>
      <c r="Q76" s="585"/>
      <c r="R76" s="585"/>
      <c r="S76" s="585"/>
      <c r="T76" s="585"/>
      <c r="U76" s="585"/>
      <c r="V76" s="585"/>
      <c r="W76" s="585"/>
      <c r="X76" s="585"/>
      <c r="Y76" s="585"/>
      <c r="Z76" s="585"/>
      <c r="AA76" s="585"/>
      <c r="AB76" s="585"/>
      <c r="AC76" s="585"/>
    </row>
    <row r="77" ht="19.5" customHeight="1">
      <c r="A77" s="612" t="s">
        <v>31133</v>
      </c>
      <c r="B77" s="581" t="s">
        <v>31134</v>
      </c>
      <c r="C77" s="581" t="s">
        <v>31135</v>
      </c>
      <c r="D77" s="581" t="s">
        <v>31136</v>
      </c>
      <c r="E77" s="582"/>
      <c r="F77" s="582"/>
      <c r="G77" s="582"/>
      <c r="H77" s="425"/>
      <c r="I77" s="584"/>
      <c r="J77" s="584"/>
      <c r="K77" s="584"/>
      <c r="L77" s="584"/>
      <c r="M77" s="584"/>
      <c r="N77" s="584"/>
      <c r="O77" s="585"/>
      <c r="P77" s="585"/>
      <c r="Q77" s="585"/>
      <c r="R77" s="585"/>
      <c r="S77" s="585"/>
      <c r="T77" s="585"/>
      <c r="U77" s="585"/>
      <c r="V77" s="585"/>
      <c r="W77" s="585"/>
      <c r="X77" s="585"/>
      <c r="Y77" s="585"/>
      <c r="Z77" s="585"/>
      <c r="AA77" s="585"/>
      <c r="AB77" s="585"/>
      <c r="AC77" s="585"/>
    </row>
    <row r="78" ht="19.5" customHeight="1">
      <c r="A78" s="612" t="s">
        <v>31137</v>
      </c>
      <c r="B78" s="581" t="s">
        <v>31134</v>
      </c>
      <c r="C78" s="581" t="s">
        <v>9110</v>
      </c>
      <c r="D78" s="581" t="s">
        <v>788</v>
      </c>
      <c r="E78" s="582"/>
      <c r="F78" s="582"/>
      <c r="G78" s="582"/>
      <c r="H78" s="425"/>
      <c r="I78" s="584"/>
      <c r="J78" s="584"/>
      <c r="K78" s="584"/>
      <c r="L78" s="584"/>
      <c r="M78" s="584"/>
      <c r="N78" s="584"/>
      <c r="O78" s="585"/>
      <c r="P78" s="585"/>
      <c r="Q78" s="585"/>
      <c r="R78" s="585"/>
      <c r="S78" s="585"/>
      <c r="T78" s="585"/>
      <c r="U78" s="585"/>
      <c r="V78" s="585"/>
      <c r="W78" s="585"/>
      <c r="X78" s="585"/>
      <c r="Y78" s="585"/>
      <c r="Z78" s="585"/>
      <c r="AA78" s="585"/>
      <c r="AB78" s="585"/>
      <c r="AC78" s="585"/>
    </row>
    <row r="79" ht="25.5" customHeight="1">
      <c r="A79" s="611" t="s">
        <v>31138</v>
      </c>
      <c r="B79" s="581" t="s">
        <v>31139</v>
      </c>
      <c r="C79" s="581" t="s">
        <v>31140</v>
      </c>
      <c r="D79" s="581" t="s">
        <v>31141</v>
      </c>
      <c r="E79" s="582"/>
      <c r="F79" s="582"/>
      <c r="G79" s="582"/>
      <c r="H79" s="613"/>
      <c r="I79" s="584"/>
      <c r="J79" s="584"/>
      <c r="K79" s="584"/>
      <c r="L79" s="584"/>
      <c r="M79" s="584"/>
      <c r="N79" s="584"/>
      <c r="O79" s="585"/>
      <c r="P79" s="585"/>
      <c r="Q79" s="585"/>
      <c r="R79" s="585"/>
      <c r="S79" s="585"/>
      <c r="T79" s="585"/>
      <c r="U79" s="585"/>
      <c r="V79" s="585"/>
      <c r="W79" s="585"/>
      <c r="X79" s="585"/>
      <c r="Y79" s="585"/>
      <c r="Z79" s="585"/>
      <c r="AA79" s="585"/>
      <c r="AB79" s="585"/>
      <c r="AC79" s="585"/>
    </row>
    <row r="80" ht="19.5" customHeight="1">
      <c r="A80" s="611" t="s">
        <v>31142</v>
      </c>
      <c r="B80" s="581" t="s">
        <v>31139</v>
      </c>
      <c r="C80" s="581" t="s">
        <v>31143</v>
      </c>
      <c r="D80" s="581" t="s">
        <v>31144</v>
      </c>
      <c r="E80" s="589"/>
      <c r="F80" s="589" t="s">
        <v>0</v>
      </c>
      <c r="G80" s="582"/>
      <c r="H80" s="613"/>
      <c r="I80" s="584"/>
      <c r="J80" s="584"/>
      <c r="K80" s="584"/>
      <c r="L80" s="584"/>
      <c r="M80" s="584"/>
      <c r="N80" s="584"/>
      <c r="O80" s="585"/>
      <c r="P80" s="585"/>
      <c r="Q80" s="585"/>
      <c r="R80" s="585"/>
      <c r="S80" s="585"/>
      <c r="T80" s="585"/>
      <c r="U80" s="585"/>
      <c r="V80" s="585"/>
      <c r="W80" s="585"/>
      <c r="X80" s="585"/>
      <c r="Y80" s="585"/>
      <c r="Z80" s="585"/>
      <c r="AA80" s="585"/>
      <c r="AB80" s="585"/>
      <c r="AC80" s="585"/>
    </row>
    <row r="81" ht="27.0" customHeight="1">
      <c r="A81" s="614" t="s">
        <v>31145</v>
      </c>
      <c r="B81" s="596" t="s">
        <v>31146</v>
      </c>
      <c r="C81" s="596" t="s">
        <v>137</v>
      </c>
      <c r="D81" s="596" t="s">
        <v>31147</v>
      </c>
      <c r="E81" s="596" t="s">
        <v>31148</v>
      </c>
      <c r="F81" s="597" t="s">
        <v>31149</v>
      </c>
      <c r="G81" s="600"/>
      <c r="H81" s="512" t="s">
        <v>31150</v>
      </c>
      <c r="I81" s="587">
        <v>96.0</v>
      </c>
      <c r="J81" s="587" t="s">
        <v>31151</v>
      </c>
      <c r="K81" s="587">
        <v>105.0</v>
      </c>
      <c r="L81" s="587" t="s">
        <v>31151</v>
      </c>
      <c r="M81" s="584"/>
      <c r="N81" s="584"/>
      <c r="O81" s="585"/>
      <c r="P81" s="585"/>
      <c r="Q81" s="585"/>
      <c r="R81" s="585"/>
      <c r="S81" s="585"/>
      <c r="T81" s="585"/>
      <c r="U81" s="585"/>
      <c r="V81" s="585"/>
      <c r="W81" s="585"/>
      <c r="X81" s="585"/>
      <c r="Y81" s="585"/>
      <c r="Z81" s="585"/>
      <c r="AA81" s="585"/>
      <c r="AB81" s="585"/>
      <c r="AC81" s="585"/>
    </row>
    <row r="82" ht="19.5" customHeight="1">
      <c r="A82" s="614" t="s">
        <v>31152</v>
      </c>
      <c r="B82" s="596" t="s">
        <v>31153</v>
      </c>
      <c r="C82" s="596" t="s">
        <v>31154</v>
      </c>
      <c r="D82" s="596" t="s">
        <v>31155</v>
      </c>
      <c r="E82" s="596" t="s">
        <v>20755</v>
      </c>
      <c r="F82" s="600"/>
      <c r="G82" s="600"/>
      <c r="H82" s="512"/>
      <c r="I82" s="584"/>
      <c r="J82" s="584"/>
      <c r="K82" s="587"/>
      <c r="L82" s="587"/>
      <c r="M82" s="584"/>
      <c r="N82" s="584"/>
      <c r="O82" s="585"/>
      <c r="P82" s="585"/>
      <c r="Q82" s="585"/>
      <c r="R82" s="585"/>
      <c r="S82" s="585"/>
      <c r="T82" s="585"/>
      <c r="U82" s="585"/>
      <c r="V82" s="585"/>
      <c r="W82" s="585"/>
      <c r="X82" s="585"/>
      <c r="Y82" s="585"/>
      <c r="Z82" s="585"/>
      <c r="AA82" s="585"/>
      <c r="AB82" s="585"/>
      <c r="AC82" s="585"/>
    </row>
    <row r="83" ht="19.5" customHeight="1">
      <c r="A83" s="614" t="s">
        <v>31152</v>
      </c>
      <c r="B83" s="596" t="s">
        <v>30975</v>
      </c>
      <c r="C83" s="596" t="s">
        <v>31156</v>
      </c>
      <c r="D83" s="596" t="s">
        <v>31157</v>
      </c>
      <c r="E83" s="601"/>
      <c r="F83" s="600"/>
      <c r="G83" s="600"/>
      <c r="H83" s="512"/>
      <c r="I83" s="584"/>
      <c r="J83" s="584"/>
      <c r="K83" s="587"/>
      <c r="L83" s="587"/>
      <c r="M83" s="584"/>
      <c r="N83" s="584"/>
      <c r="O83" s="585"/>
      <c r="P83" s="585"/>
      <c r="Q83" s="585"/>
      <c r="R83" s="585"/>
      <c r="S83" s="585"/>
      <c r="T83" s="585"/>
      <c r="U83" s="585"/>
      <c r="V83" s="585"/>
      <c r="W83" s="585"/>
      <c r="X83" s="585"/>
      <c r="Y83" s="585"/>
      <c r="Z83" s="585"/>
      <c r="AA83" s="585"/>
      <c r="AB83" s="585"/>
      <c r="AC83" s="585"/>
    </row>
    <row r="84" ht="19.5" customHeight="1">
      <c r="A84" s="614" t="s">
        <v>31152</v>
      </c>
      <c r="B84" s="596" t="s">
        <v>8518</v>
      </c>
      <c r="C84" s="596" t="s">
        <v>30976</v>
      </c>
      <c r="D84" s="596" t="s">
        <v>31147</v>
      </c>
      <c r="E84" s="601"/>
      <c r="F84" s="600"/>
      <c r="G84" s="600"/>
      <c r="H84" s="512"/>
      <c r="I84" s="584"/>
      <c r="J84" s="584"/>
      <c r="K84" s="587"/>
      <c r="L84" s="587"/>
      <c r="M84" s="584"/>
      <c r="N84" s="584"/>
      <c r="O84" s="585"/>
      <c r="P84" s="585"/>
      <c r="Q84" s="585"/>
      <c r="R84" s="585"/>
      <c r="S84" s="585"/>
      <c r="T84" s="585"/>
      <c r="U84" s="585"/>
      <c r="V84" s="585"/>
      <c r="W84" s="585"/>
      <c r="X84" s="585"/>
      <c r="Y84" s="585"/>
      <c r="Z84" s="585"/>
      <c r="AA84" s="585"/>
      <c r="AB84" s="585"/>
      <c r="AC84" s="585"/>
    </row>
    <row r="85" ht="19.5" customHeight="1">
      <c r="A85" s="614" t="s">
        <v>31158</v>
      </c>
      <c r="B85" s="596" t="s">
        <v>30975</v>
      </c>
      <c r="C85" s="596" t="s">
        <v>31159</v>
      </c>
      <c r="D85" s="596" t="s">
        <v>31160</v>
      </c>
      <c r="E85" s="596" t="s">
        <v>31161</v>
      </c>
      <c r="F85" s="600"/>
      <c r="G85" s="600"/>
      <c r="H85" s="512"/>
      <c r="I85" s="584"/>
      <c r="J85" s="584"/>
      <c r="K85" s="587"/>
      <c r="L85" s="587"/>
      <c r="M85" s="584"/>
      <c r="N85" s="584"/>
      <c r="O85" s="585"/>
      <c r="P85" s="585"/>
      <c r="Q85" s="585"/>
      <c r="R85" s="585"/>
      <c r="S85" s="585"/>
      <c r="T85" s="585"/>
      <c r="U85" s="585"/>
      <c r="V85" s="585"/>
      <c r="W85" s="585"/>
      <c r="X85" s="585"/>
      <c r="Y85" s="585"/>
      <c r="Z85" s="585"/>
      <c r="AA85" s="585"/>
      <c r="AB85" s="585"/>
      <c r="AC85" s="585"/>
    </row>
    <row r="86" ht="19.5" customHeight="1">
      <c r="A86" s="615" t="s">
        <v>31162</v>
      </c>
      <c r="B86" s="596" t="s">
        <v>31146</v>
      </c>
      <c r="C86" s="596" t="s">
        <v>13380</v>
      </c>
      <c r="D86" s="596" t="s">
        <v>31147</v>
      </c>
      <c r="E86" s="596" t="s">
        <v>31163</v>
      </c>
      <c r="F86" s="600"/>
      <c r="G86" s="600"/>
      <c r="H86" s="512">
        <v>51.0</v>
      </c>
      <c r="I86" s="584"/>
      <c r="J86" s="584"/>
      <c r="K86" s="587">
        <v>45.0</v>
      </c>
      <c r="L86" s="587" t="s">
        <v>31164</v>
      </c>
      <c r="M86" s="584"/>
      <c r="N86" s="584"/>
      <c r="O86" s="585"/>
      <c r="P86" s="585"/>
      <c r="Q86" s="585"/>
      <c r="R86" s="585"/>
      <c r="S86" s="585"/>
      <c r="T86" s="585"/>
      <c r="U86" s="585"/>
      <c r="V86" s="585"/>
      <c r="W86" s="585"/>
      <c r="X86" s="585"/>
      <c r="Y86" s="585"/>
      <c r="Z86" s="585"/>
      <c r="AA86" s="585"/>
      <c r="AB86" s="585"/>
      <c r="AC86" s="585"/>
    </row>
    <row r="87" ht="29.25" customHeight="1">
      <c r="A87" s="615" t="s">
        <v>31165</v>
      </c>
      <c r="B87" s="596" t="s">
        <v>31146</v>
      </c>
      <c r="C87" s="596" t="s">
        <v>3495</v>
      </c>
      <c r="D87" s="596" t="s">
        <v>31166</v>
      </c>
      <c r="E87" s="596" t="s">
        <v>31163</v>
      </c>
      <c r="F87" s="600"/>
      <c r="G87" s="600"/>
      <c r="H87" s="512">
        <v>55.0</v>
      </c>
      <c r="I87" s="584"/>
      <c r="J87" s="584"/>
      <c r="K87" s="584"/>
      <c r="L87" s="584"/>
      <c r="M87" s="584"/>
      <c r="N87" s="584"/>
      <c r="O87" s="585"/>
      <c r="P87" s="585"/>
      <c r="Q87" s="585"/>
      <c r="R87" s="585"/>
      <c r="S87" s="585"/>
      <c r="T87" s="585"/>
      <c r="U87" s="585"/>
      <c r="V87" s="585"/>
      <c r="W87" s="585"/>
      <c r="X87" s="585"/>
      <c r="Y87" s="585"/>
      <c r="Z87" s="585"/>
      <c r="AA87" s="585"/>
      <c r="AB87" s="585"/>
      <c r="AC87" s="585"/>
    </row>
    <row r="88" ht="29.25" customHeight="1">
      <c r="A88" s="615" t="s">
        <v>31167</v>
      </c>
      <c r="B88" s="596" t="s">
        <v>30975</v>
      </c>
      <c r="C88" s="596" t="s">
        <v>30955</v>
      </c>
      <c r="D88" s="596" t="s">
        <v>31147</v>
      </c>
      <c r="E88" s="601"/>
      <c r="F88" s="600"/>
      <c r="G88" s="600"/>
      <c r="H88" s="512"/>
      <c r="I88" s="584"/>
      <c r="J88" s="584"/>
      <c r="K88" s="584"/>
      <c r="L88" s="584"/>
      <c r="M88" s="584"/>
      <c r="N88" s="584"/>
      <c r="O88" s="585"/>
      <c r="P88" s="585"/>
      <c r="Q88" s="585"/>
      <c r="R88" s="585"/>
      <c r="S88" s="585"/>
      <c r="T88" s="585"/>
      <c r="U88" s="585"/>
      <c r="V88" s="585"/>
      <c r="W88" s="585"/>
      <c r="X88" s="585"/>
      <c r="Y88" s="585"/>
      <c r="Z88" s="585"/>
      <c r="AA88" s="585"/>
      <c r="AB88" s="585"/>
      <c r="AC88" s="585"/>
    </row>
    <row r="89" ht="29.25" customHeight="1">
      <c r="A89" s="616" t="s">
        <v>31168</v>
      </c>
      <c r="B89" s="596" t="s">
        <v>31134</v>
      </c>
      <c r="C89" s="596" t="s">
        <v>31169</v>
      </c>
      <c r="D89" s="596" t="s">
        <v>31170</v>
      </c>
      <c r="E89" s="596" t="s">
        <v>31035</v>
      </c>
      <c r="F89" s="600"/>
      <c r="G89" s="600"/>
      <c r="H89" s="598"/>
      <c r="I89" s="584"/>
      <c r="J89" s="584"/>
      <c r="K89" s="584"/>
      <c r="L89" s="584"/>
      <c r="M89" s="584"/>
      <c r="N89" s="584"/>
      <c r="O89" s="585"/>
      <c r="P89" s="585"/>
      <c r="Q89" s="585"/>
      <c r="R89" s="585"/>
      <c r="S89" s="585"/>
      <c r="T89" s="585"/>
      <c r="U89" s="585"/>
      <c r="V89" s="585"/>
      <c r="W89" s="585"/>
      <c r="X89" s="585"/>
      <c r="Y89" s="585"/>
      <c r="Z89" s="585"/>
      <c r="AA89" s="585"/>
      <c r="AB89" s="585"/>
      <c r="AC89" s="585"/>
    </row>
    <row r="90" ht="30.0" customHeight="1">
      <c r="A90" s="616" t="s">
        <v>31171</v>
      </c>
      <c r="B90" s="596" t="s">
        <v>31172</v>
      </c>
      <c r="C90" s="596" t="s">
        <v>6123</v>
      </c>
      <c r="D90" s="596" t="s">
        <v>31173</v>
      </c>
      <c r="E90" s="596" t="s">
        <v>31035</v>
      </c>
      <c r="F90" s="600"/>
      <c r="G90" s="600"/>
      <c r="H90" s="598"/>
      <c r="I90" s="587"/>
      <c r="J90" s="584"/>
      <c r="K90" s="584"/>
      <c r="L90" s="584"/>
      <c r="M90" s="584"/>
      <c r="N90" s="584"/>
      <c r="O90" s="585"/>
      <c r="P90" s="585"/>
      <c r="Q90" s="585"/>
      <c r="R90" s="585"/>
      <c r="S90" s="585"/>
      <c r="T90" s="585"/>
      <c r="U90" s="585"/>
      <c r="V90" s="585"/>
      <c r="W90" s="585"/>
      <c r="X90" s="585"/>
      <c r="Y90" s="585"/>
      <c r="Z90" s="585"/>
      <c r="AA90" s="585"/>
      <c r="AB90" s="585"/>
      <c r="AC90" s="585"/>
    </row>
    <row r="91" ht="30.0" customHeight="1">
      <c r="A91" s="616" t="s">
        <v>31168</v>
      </c>
      <c r="B91" s="596" t="s">
        <v>31134</v>
      </c>
      <c r="C91" s="596" t="s">
        <v>31174</v>
      </c>
      <c r="D91" s="596" t="s">
        <v>244</v>
      </c>
      <c r="E91" s="601"/>
      <c r="F91" s="600"/>
      <c r="G91" s="600"/>
      <c r="H91" s="598"/>
      <c r="I91" s="587"/>
      <c r="J91" s="584"/>
      <c r="K91" s="584"/>
      <c r="L91" s="584"/>
      <c r="M91" s="584"/>
      <c r="N91" s="584"/>
      <c r="O91" s="585"/>
      <c r="P91" s="585"/>
      <c r="Q91" s="585"/>
      <c r="R91" s="585"/>
      <c r="S91" s="585"/>
      <c r="T91" s="585"/>
      <c r="U91" s="585"/>
      <c r="V91" s="585"/>
      <c r="W91" s="585"/>
      <c r="X91" s="585"/>
      <c r="Y91" s="585"/>
      <c r="Z91" s="585"/>
      <c r="AA91" s="585"/>
      <c r="AB91" s="585"/>
      <c r="AC91" s="585"/>
    </row>
    <row r="92" ht="57.0" customHeight="1">
      <c r="A92" s="606" t="s">
        <v>31175</v>
      </c>
      <c r="B92" s="596" t="s">
        <v>31176</v>
      </c>
      <c r="C92" s="596" t="s">
        <v>31177</v>
      </c>
      <c r="D92" s="596" t="s">
        <v>31178</v>
      </c>
      <c r="E92" s="596"/>
      <c r="F92" s="597"/>
      <c r="G92" s="600"/>
      <c r="H92" s="598"/>
      <c r="I92" s="584"/>
      <c r="J92" s="584"/>
      <c r="K92" s="584"/>
      <c r="L92" s="584"/>
      <c r="M92" s="584"/>
      <c r="N92" s="584"/>
      <c r="O92" s="585"/>
      <c r="P92" s="585"/>
      <c r="Q92" s="585"/>
      <c r="R92" s="585"/>
      <c r="S92" s="585"/>
      <c r="T92" s="585"/>
      <c r="U92" s="585"/>
      <c r="V92" s="585"/>
      <c r="W92" s="585"/>
      <c r="X92" s="585"/>
      <c r="Y92" s="585"/>
      <c r="Z92" s="585"/>
      <c r="AA92" s="585"/>
      <c r="AB92" s="585"/>
      <c r="AC92" s="585"/>
    </row>
    <row r="93" ht="57.0" customHeight="1">
      <c r="A93" s="606" t="s">
        <v>31179</v>
      </c>
      <c r="B93" s="596" t="s">
        <v>31180</v>
      </c>
      <c r="C93" s="596"/>
      <c r="D93" s="596" t="s">
        <v>31181</v>
      </c>
      <c r="E93" s="596"/>
      <c r="F93" s="597" t="s">
        <v>31182</v>
      </c>
      <c r="G93" s="600"/>
      <c r="H93" s="598"/>
      <c r="I93" s="584"/>
      <c r="J93" s="584"/>
      <c r="K93" s="584"/>
      <c r="L93" s="584"/>
      <c r="M93" s="584"/>
      <c r="N93" s="584"/>
      <c r="O93" s="585"/>
      <c r="P93" s="585"/>
      <c r="Q93" s="585"/>
      <c r="R93" s="585"/>
      <c r="S93" s="585"/>
      <c r="T93" s="585"/>
      <c r="U93" s="585"/>
      <c r="V93" s="585"/>
      <c r="W93" s="585"/>
      <c r="X93" s="585"/>
      <c r="Y93" s="585"/>
      <c r="Z93" s="585"/>
      <c r="AA93" s="585"/>
      <c r="AB93" s="585"/>
      <c r="AC93" s="585"/>
    </row>
    <row r="94" ht="27.0" customHeight="1">
      <c r="A94" s="606" t="s">
        <v>2159</v>
      </c>
      <c r="B94" s="596"/>
      <c r="C94" s="596" t="s">
        <v>31183</v>
      </c>
      <c r="D94" s="596" t="s">
        <v>31184</v>
      </c>
      <c r="E94" s="601"/>
      <c r="F94" s="600"/>
      <c r="G94" s="600"/>
      <c r="H94" s="598"/>
      <c r="I94" s="584"/>
      <c r="J94" s="584"/>
      <c r="K94" s="584"/>
      <c r="L94" s="584"/>
      <c r="M94" s="584"/>
      <c r="N94" s="584"/>
      <c r="O94" s="585"/>
      <c r="P94" s="585"/>
      <c r="Q94" s="585"/>
      <c r="R94" s="585"/>
      <c r="S94" s="585"/>
      <c r="T94" s="585"/>
      <c r="U94" s="585"/>
      <c r="V94" s="585"/>
      <c r="W94" s="585"/>
      <c r="X94" s="585"/>
      <c r="Y94" s="585"/>
      <c r="Z94" s="585"/>
      <c r="AA94" s="585"/>
      <c r="AB94" s="585"/>
      <c r="AC94" s="585"/>
    </row>
    <row r="95" ht="19.5" customHeight="1">
      <c r="A95" s="606" t="s">
        <v>31185</v>
      </c>
      <c r="B95" s="596" t="s">
        <v>31075</v>
      </c>
      <c r="C95" s="596" t="s">
        <v>31186</v>
      </c>
      <c r="D95" s="596" t="s">
        <v>31187</v>
      </c>
      <c r="E95" s="601"/>
      <c r="F95" s="600"/>
      <c r="G95" s="600"/>
      <c r="H95" s="598"/>
      <c r="I95" s="584"/>
      <c r="J95" s="584"/>
      <c r="K95" s="584"/>
      <c r="L95" s="584"/>
      <c r="M95" s="584"/>
      <c r="N95" s="584"/>
      <c r="O95" s="585"/>
      <c r="P95" s="585"/>
      <c r="Q95" s="585"/>
      <c r="R95" s="585"/>
      <c r="S95" s="585"/>
      <c r="T95" s="585"/>
      <c r="U95" s="585"/>
      <c r="V95" s="585"/>
      <c r="W95" s="585"/>
      <c r="X95" s="585"/>
      <c r="Y95" s="585"/>
      <c r="Z95" s="585"/>
      <c r="AA95" s="585"/>
      <c r="AB95" s="585"/>
      <c r="AC95" s="585"/>
    </row>
    <row r="96" ht="19.5" customHeight="1">
      <c r="A96" s="606" t="s">
        <v>5203</v>
      </c>
      <c r="B96" s="596"/>
      <c r="C96" s="596" t="s">
        <v>31188</v>
      </c>
      <c r="D96" s="596" t="s">
        <v>31189</v>
      </c>
      <c r="E96" s="596"/>
      <c r="F96" s="597" t="s">
        <v>8754</v>
      </c>
      <c r="G96" s="600"/>
      <c r="H96" s="598"/>
      <c r="I96" s="584"/>
      <c r="J96" s="584"/>
      <c r="K96" s="584"/>
      <c r="L96" s="584"/>
      <c r="M96" s="584"/>
      <c r="N96" s="584"/>
      <c r="O96" s="585"/>
      <c r="P96" s="585"/>
      <c r="Q96" s="585"/>
      <c r="R96" s="585"/>
      <c r="S96" s="585"/>
      <c r="T96" s="585"/>
      <c r="U96" s="585"/>
      <c r="V96" s="585"/>
      <c r="W96" s="585"/>
      <c r="X96" s="585"/>
      <c r="Y96" s="585"/>
      <c r="Z96" s="585"/>
      <c r="AA96" s="585"/>
      <c r="AB96" s="585"/>
      <c r="AC96" s="585"/>
    </row>
    <row r="97" ht="19.5" customHeight="1">
      <c r="A97" s="606" t="s">
        <v>31190</v>
      </c>
      <c r="B97" s="596"/>
      <c r="C97" s="596" t="s">
        <v>31191</v>
      </c>
      <c r="D97" s="596" t="s">
        <v>10717</v>
      </c>
      <c r="E97" s="601"/>
      <c r="F97" s="600"/>
      <c r="G97" s="600"/>
      <c r="H97" s="598"/>
      <c r="I97" s="584"/>
      <c r="J97" s="584"/>
      <c r="K97" s="584"/>
      <c r="L97" s="584"/>
      <c r="M97" s="584"/>
      <c r="N97" s="584"/>
      <c r="O97" s="585"/>
      <c r="P97" s="585"/>
      <c r="Q97" s="585"/>
      <c r="R97" s="585"/>
      <c r="S97" s="585"/>
      <c r="T97" s="585"/>
      <c r="U97" s="585"/>
      <c r="V97" s="585"/>
      <c r="W97" s="585"/>
      <c r="X97" s="585"/>
      <c r="Y97" s="585"/>
      <c r="Z97" s="585"/>
      <c r="AA97" s="585"/>
      <c r="AB97" s="585"/>
      <c r="AC97" s="585"/>
    </row>
    <row r="98" ht="19.5" customHeight="1">
      <c r="A98" s="606" t="s">
        <v>7057</v>
      </c>
      <c r="B98" s="596"/>
      <c r="C98" s="596" t="s">
        <v>3943</v>
      </c>
      <c r="D98" s="596" t="s">
        <v>3281</v>
      </c>
      <c r="E98" s="601"/>
      <c r="F98" s="600"/>
      <c r="G98" s="600"/>
      <c r="H98" s="598"/>
      <c r="I98" s="584"/>
      <c r="J98" s="584"/>
      <c r="K98" s="584"/>
      <c r="L98" s="584"/>
      <c r="M98" s="584"/>
      <c r="N98" s="584"/>
      <c r="O98" s="585"/>
      <c r="P98" s="585"/>
      <c r="Q98" s="585"/>
      <c r="R98" s="585"/>
      <c r="S98" s="585"/>
      <c r="T98" s="585"/>
      <c r="U98" s="585"/>
      <c r="V98" s="585"/>
      <c r="W98" s="585"/>
      <c r="X98" s="585"/>
      <c r="Y98" s="585"/>
      <c r="Z98" s="585"/>
      <c r="AA98" s="585"/>
      <c r="AB98" s="585"/>
      <c r="AC98" s="585"/>
    </row>
    <row r="99" ht="19.5" customHeight="1">
      <c r="A99" s="606" t="s">
        <v>31192</v>
      </c>
      <c r="B99" s="596" t="s">
        <v>31193</v>
      </c>
      <c r="C99" s="596" t="s">
        <v>31194</v>
      </c>
      <c r="D99" s="596" t="s">
        <v>31195</v>
      </c>
      <c r="E99" s="601"/>
      <c r="F99" s="600"/>
      <c r="G99" s="600"/>
      <c r="H99" s="598"/>
      <c r="I99" s="587"/>
      <c r="J99" s="584"/>
      <c r="K99" s="584"/>
      <c r="L99" s="584"/>
      <c r="M99" s="584"/>
      <c r="N99" s="584"/>
      <c r="O99" s="585"/>
      <c r="P99" s="585"/>
      <c r="Q99" s="585"/>
      <c r="R99" s="585"/>
      <c r="S99" s="585"/>
      <c r="T99" s="585"/>
      <c r="U99" s="585"/>
      <c r="V99" s="585"/>
      <c r="W99" s="585"/>
      <c r="X99" s="585"/>
      <c r="Y99" s="585"/>
      <c r="Z99" s="585"/>
      <c r="AA99" s="585"/>
      <c r="AB99" s="585"/>
      <c r="AC99" s="585"/>
    </row>
    <row r="100" ht="19.5" customHeight="1">
      <c r="A100" s="606" t="s">
        <v>31196</v>
      </c>
      <c r="B100" s="596" t="s">
        <v>31197</v>
      </c>
      <c r="C100" s="596" t="s">
        <v>2827</v>
      </c>
      <c r="D100" s="596" t="s">
        <v>31198</v>
      </c>
      <c r="E100" s="601"/>
      <c r="F100" s="600"/>
      <c r="G100" s="600"/>
      <c r="H100" s="598"/>
      <c r="I100" s="587"/>
      <c r="J100" s="584"/>
      <c r="K100" s="584"/>
      <c r="L100" s="584"/>
      <c r="M100" s="584"/>
      <c r="N100" s="584"/>
      <c r="O100" s="585"/>
      <c r="P100" s="585"/>
      <c r="Q100" s="585"/>
      <c r="R100" s="585"/>
      <c r="S100" s="585"/>
      <c r="T100" s="585"/>
      <c r="U100" s="585"/>
      <c r="V100" s="585"/>
      <c r="W100" s="585"/>
      <c r="X100" s="585"/>
      <c r="Y100" s="585"/>
      <c r="Z100" s="585"/>
      <c r="AA100" s="585"/>
      <c r="AB100" s="585"/>
      <c r="AC100" s="585"/>
    </row>
    <row r="101" ht="19.5" customHeight="1">
      <c r="A101" s="606" t="s">
        <v>31199</v>
      </c>
      <c r="B101" s="596" t="s">
        <v>31011</v>
      </c>
      <c r="C101" s="596" t="s">
        <v>2995</v>
      </c>
      <c r="D101" s="596" t="s">
        <v>1198</v>
      </c>
      <c r="E101" s="601"/>
      <c r="F101" s="600"/>
      <c r="G101" s="600"/>
      <c r="H101" s="598"/>
      <c r="I101" s="587" t="s">
        <v>0</v>
      </c>
      <c r="J101" s="584"/>
      <c r="K101" s="584"/>
      <c r="L101" s="584"/>
      <c r="M101" s="584"/>
      <c r="N101" s="584"/>
      <c r="O101" s="585"/>
      <c r="P101" s="585"/>
      <c r="Q101" s="585"/>
      <c r="R101" s="585"/>
      <c r="S101" s="585"/>
      <c r="T101" s="585"/>
      <c r="U101" s="585"/>
      <c r="V101" s="585"/>
      <c r="W101" s="585"/>
      <c r="X101" s="585"/>
      <c r="Y101" s="585"/>
      <c r="Z101" s="585"/>
      <c r="AA101" s="585"/>
      <c r="AB101" s="585"/>
      <c r="AC101" s="585"/>
    </row>
    <row r="102" ht="19.5" customHeight="1">
      <c r="A102" s="606" t="s">
        <v>31200</v>
      </c>
      <c r="B102" s="596" t="s">
        <v>31201</v>
      </c>
      <c r="C102" s="596" t="s">
        <v>9799</v>
      </c>
      <c r="D102" s="596" t="s">
        <v>31202</v>
      </c>
      <c r="E102" s="596"/>
      <c r="F102" s="597"/>
      <c r="G102" s="597"/>
      <c r="H102" s="617"/>
      <c r="I102" s="584"/>
      <c r="J102" s="584"/>
      <c r="K102" s="584"/>
      <c r="L102" s="584"/>
      <c r="M102" s="584"/>
      <c r="N102" s="584"/>
      <c r="O102" s="585"/>
      <c r="P102" s="585"/>
      <c r="Q102" s="585"/>
      <c r="R102" s="585"/>
      <c r="S102" s="585"/>
      <c r="T102" s="585"/>
      <c r="U102" s="585"/>
      <c r="V102" s="585"/>
      <c r="W102" s="585"/>
      <c r="X102" s="585"/>
      <c r="Y102" s="585"/>
      <c r="Z102" s="585"/>
      <c r="AA102" s="585"/>
      <c r="AB102" s="585"/>
      <c r="AC102" s="585"/>
    </row>
    <row r="103" ht="49.5" customHeight="1">
      <c r="A103" s="606" t="s">
        <v>31203</v>
      </c>
      <c r="B103" s="596" t="s">
        <v>31201</v>
      </c>
      <c r="C103" s="596" t="s">
        <v>1701</v>
      </c>
      <c r="D103" s="596" t="s">
        <v>31204</v>
      </c>
      <c r="E103" s="596"/>
      <c r="F103" s="597"/>
      <c r="G103" s="597"/>
      <c r="H103" s="617"/>
      <c r="I103" s="584"/>
      <c r="J103" s="584"/>
      <c r="K103" s="584"/>
      <c r="L103" s="584"/>
      <c r="M103" s="584"/>
      <c r="N103" s="584"/>
      <c r="O103" s="585"/>
      <c r="P103" s="585"/>
      <c r="Q103" s="585"/>
      <c r="R103" s="585"/>
      <c r="S103" s="585"/>
      <c r="T103" s="585"/>
      <c r="U103" s="585"/>
      <c r="V103" s="585"/>
      <c r="W103" s="585"/>
      <c r="X103" s="585"/>
      <c r="Y103" s="585"/>
      <c r="Z103" s="585"/>
      <c r="AA103" s="585"/>
      <c r="AB103" s="585"/>
      <c r="AC103" s="585"/>
    </row>
    <row r="104" ht="62.25" customHeight="1">
      <c r="A104" s="606" t="s">
        <v>31205</v>
      </c>
      <c r="B104" s="596" t="s">
        <v>31206</v>
      </c>
      <c r="C104" s="596" t="s">
        <v>31207</v>
      </c>
      <c r="D104" s="596" t="s">
        <v>31208</v>
      </c>
      <c r="E104" s="596"/>
      <c r="F104" s="597" t="s">
        <v>31209</v>
      </c>
      <c r="G104" s="597" t="s">
        <v>8965</v>
      </c>
      <c r="H104" s="617"/>
      <c r="I104" s="584"/>
      <c r="J104" s="584"/>
      <c r="K104" s="584"/>
      <c r="L104" s="584"/>
      <c r="M104" s="584"/>
      <c r="N104" s="584"/>
      <c r="O104" s="585"/>
      <c r="P104" s="585"/>
      <c r="Q104" s="585"/>
      <c r="R104" s="585"/>
      <c r="S104" s="585"/>
      <c r="T104" s="585"/>
      <c r="U104" s="585"/>
      <c r="V104" s="585"/>
      <c r="W104" s="585"/>
      <c r="X104" s="585"/>
      <c r="Y104" s="585"/>
      <c r="Z104" s="585"/>
      <c r="AA104" s="585"/>
      <c r="AB104" s="585"/>
      <c r="AC104" s="585"/>
    </row>
    <row r="105" ht="19.5" customHeight="1">
      <c r="A105" s="606" t="s">
        <v>31210</v>
      </c>
      <c r="B105" s="596" t="s">
        <v>31011</v>
      </c>
      <c r="C105" s="596" t="s">
        <v>31211</v>
      </c>
      <c r="D105" s="596" t="s">
        <v>31212</v>
      </c>
      <c r="E105" s="601"/>
      <c r="F105" s="600"/>
      <c r="G105" s="600"/>
      <c r="I105" s="584"/>
      <c r="J105" s="584"/>
      <c r="K105" s="584"/>
      <c r="L105" s="584"/>
      <c r="M105" s="584"/>
      <c r="N105" s="584"/>
      <c r="O105" s="585"/>
      <c r="P105" s="585"/>
      <c r="Q105" s="585"/>
      <c r="R105" s="585"/>
      <c r="S105" s="585"/>
      <c r="T105" s="585"/>
      <c r="U105" s="585"/>
      <c r="V105" s="585"/>
      <c r="W105" s="585"/>
      <c r="X105" s="585"/>
      <c r="Y105" s="585"/>
      <c r="Z105" s="585"/>
      <c r="AA105" s="585"/>
      <c r="AB105" s="585"/>
      <c r="AC105" s="585"/>
    </row>
    <row r="106" ht="19.5" customHeight="1">
      <c r="A106" s="606" t="s">
        <v>31213</v>
      </c>
      <c r="B106" s="596" t="s">
        <v>31011</v>
      </c>
      <c r="C106" s="596" t="s">
        <v>31214</v>
      </c>
      <c r="D106" s="596" t="s">
        <v>31215</v>
      </c>
      <c r="E106" s="601"/>
      <c r="F106" s="600"/>
      <c r="G106" s="600"/>
      <c r="I106" s="584"/>
      <c r="J106" s="584"/>
      <c r="K106" s="584"/>
      <c r="L106" s="584"/>
      <c r="M106" s="584"/>
      <c r="N106" s="584"/>
      <c r="O106" s="585"/>
      <c r="P106" s="585"/>
      <c r="Q106" s="585"/>
      <c r="R106" s="585"/>
      <c r="S106" s="585"/>
      <c r="T106" s="585"/>
      <c r="U106" s="585"/>
      <c r="V106" s="585"/>
      <c r="W106" s="585"/>
      <c r="X106" s="585"/>
      <c r="Y106" s="585"/>
      <c r="Z106" s="585"/>
      <c r="AA106" s="585"/>
      <c r="AB106" s="585"/>
      <c r="AC106" s="585"/>
    </row>
    <row r="107" ht="19.5" customHeight="1">
      <c r="A107" s="606" t="s">
        <v>31216</v>
      </c>
      <c r="B107" s="596"/>
      <c r="C107" s="596" t="s">
        <v>31217</v>
      </c>
      <c r="D107" s="596" t="s">
        <v>16183</v>
      </c>
      <c r="E107" s="601"/>
      <c r="F107" s="600"/>
      <c r="G107" s="600"/>
      <c r="H107" s="598"/>
      <c r="I107" s="584"/>
      <c r="J107" s="584"/>
      <c r="K107" s="584"/>
      <c r="L107" s="584"/>
      <c r="M107" s="584"/>
      <c r="N107" s="584"/>
      <c r="O107" s="585"/>
      <c r="P107" s="585"/>
      <c r="Q107" s="585"/>
      <c r="R107" s="585"/>
      <c r="S107" s="585"/>
      <c r="T107" s="585"/>
      <c r="U107" s="585"/>
      <c r="V107" s="585"/>
      <c r="W107" s="585"/>
      <c r="X107" s="585"/>
      <c r="Y107" s="585"/>
      <c r="Z107" s="585"/>
      <c r="AA107" s="585"/>
      <c r="AB107" s="585"/>
      <c r="AC107" s="585"/>
    </row>
    <row r="108">
      <c r="A108" s="580" t="s">
        <v>31218</v>
      </c>
      <c r="B108" s="581" t="s">
        <v>31219</v>
      </c>
      <c r="C108" s="581" t="s">
        <v>3086</v>
      </c>
      <c r="D108" s="581" t="s">
        <v>31220</v>
      </c>
      <c r="E108" s="581"/>
      <c r="F108" s="581"/>
      <c r="G108" s="581"/>
      <c r="H108" s="598"/>
      <c r="I108" s="587"/>
      <c r="J108" s="587"/>
      <c r="K108" s="587"/>
      <c r="L108" s="587"/>
      <c r="M108" s="584"/>
      <c r="N108" s="584"/>
      <c r="O108" s="585"/>
      <c r="P108" s="585"/>
      <c r="Q108" s="585"/>
      <c r="R108" s="585"/>
      <c r="S108" s="585"/>
      <c r="T108" s="585"/>
      <c r="U108" s="585"/>
      <c r="V108" s="585"/>
      <c r="W108" s="585"/>
      <c r="X108" s="585"/>
      <c r="Y108" s="585"/>
      <c r="Z108" s="585"/>
      <c r="AA108" s="585"/>
      <c r="AB108" s="585"/>
      <c r="AC108" s="585"/>
    </row>
    <row r="109">
      <c r="A109" s="580" t="s">
        <v>31221</v>
      </c>
      <c r="B109" s="581"/>
      <c r="C109" s="581" t="s">
        <v>11941</v>
      </c>
      <c r="D109" s="581" t="s">
        <v>31222</v>
      </c>
      <c r="E109" s="581"/>
      <c r="F109" s="581"/>
      <c r="G109" s="581"/>
      <c r="H109" s="598"/>
      <c r="I109" s="587"/>
      <c r="J109" s="587"/>
      <c r="K109" s="587"/>
      <c r="L109" s="587"/>
      <c r="M109" s="584"/>
      <c r="N109" s="584"/>
      <c r="O109" s="585"/>
      <c r="P109" s="585"/>
      <c r="Q109" s="585"/>
      <c r="R109" s="585"/>
      <c r="S109" s="585"/>
      <c r="T109" s="585"/>
      <c r="U109" s="585"/>
      <c r="V109" s="585"/>
      <c r="W109" s="585"/>
      <c r="X109" s="585"/>
      <c r="Y109" s="585"/>
      <c r="Z109" s="585"/>
      <c r="AA109" s="585"/>
      <c r="AB109" s="585"/>
      <c r="AC109" s="585"/>
    </row>
    <row r="110">
      <c r="A110" s="580" t="s">
        <v>31223</v>
      </c>
      <c r="B110" s="581" t="s">
        <v>31219</v>
      </c>
      <c r="C110" s="589" t="s">
        <v>9605</v>
      </c>
      <c r="D110" s="589" t="s">
        <v>31224</v>
      </c>
      <c r="E110" s="581"/>
      <c r="F110" s="581"/>
      <c r="G110" s="581"/>
      <c r="H110" s="598"/>
      <c r="I110" s="587"/>
      <c r="J110" s="587"/>
      <c r="K110" s="587"/>
      <c r="L110" s="587"/>
      <c r="M110" s="584"/>
      <c r="N110" s="584"/>
      <c r="O110" s="585"/>
      <c r="P110" s="585"/>
      <c r="Q110" s="585"/>
      <c r="R110" s="585"/>
      <c r="S110" s="585"/>
      <c r="T110" s="585"/>
      <c r="U110" s="585"/>
      <c r="V110" s="585"/>
      <c r="W110" s="585"/>
      <c r="X110" s="585"/>
      <c r="Y110" s="585"/>
      <c r="Z110" s="585"/>
      <c r="AA110" s="585"/>
      <c r="AB110" s="585"/>
      <c r="AC110" s="585"/>
    </row>
    <row r="111">
      <c r="A111" s="580" t="s">
        <v>31225</v>
      </c>
      <c r="B111" s="589"/>
      <c r="C111" s="589" t="s">
        <v>9636</v>
      </c>
      <c r="D111" s="589" t="s">
        <v>10812</v>
      </c>
      <c r="E111" s="581"/>
      <c r="F111" s="581"/>
      <c r="G111" s="581"/>
      <c r="H111" s="598"/>
      <c r="I111" s="587"/>
      <c r="J111" s="587"/>
      <c r="K111" s="587"/>
      <c r="L111" s="587"/>
      <c r="M111" s="584"/>
      <c r="N111" s="584"/>
      <c r="O111" s="585"/>
      <c r="P111" s="585"/>
      <c r="Q111" s="585"/>
      <c r="R111" s="585"/>
      <c r="S111" s="585"/>
      <c r="T111" s="585"/>
      <c r="U111" s="585"/>
      <c r="V111" s="585"/>
      <c r="W111" s="585"/>
      <c r="X111" s="585"/>
      <c r="Y111" s="585"/>
      <c r="Z111" s="585"/>
      <c r="AA111" s="585"/>
      <c r="AB111" s="585"/>
      <c r="AC111" s="585"/>
    </row>
    <row r="112">
      <c r="A112" s="618" t="s">
        <v>31226</v>
      </c>
      <c r="B112" s="581" t="s">
        <v>31227</v>
      </c>
      <c r="C112" s="581" t="s">
        <v>31228</v>
      </c>
      <c r="D112" s="581" t="s">
        <v>31229</v>
      </c>
      <c r="E112" s="581"/>
      <c r="F112" s="581"/>
      <c r="G112" s="581"/>
      <c r="H112" s="598"/>
      <c r="I112" s="587"/>
      <c r="J112" s="587"/>
      <c r="K112" s="587"/>
      <c r="L112" s="587"/>
      <c r="M112" s="584"/>
      <c r="N112" s="584"/>
      <c r="O112" s="585"/>
      <c r="P112" s="585"/>
      <c r="Q112" s="585"/>
      <c r="R112" s="585"/>
      <c r="S112" s="585"/>
      <c r="T112" s="585"/>
      <c r="U112" s="585"/>
      <c r="V112" s="585"/>
      <c r="W112" s="585"/>
      <c r="X112" s="585"/>
      <c r="Y112" s="585"/>
      <c r="Z112" s="585"/>
      <c r="AA112" s="585"/>
      <c r="AB112" s="585"/>
      <c r="AC112" s="585"/>
    </row>
    <row r="113">
      <c r="A113" s="618" t="s">
        <v>31230</v>
      </c>
      <c r="B113" s="581" t="s">
        <v>31227</v>
      </c>
      <c r="C113" s="581" t="s">
        <v>31231</v>
      </c>
      <c r="D113" s="581" t="s">
        <v>31232</v>
      </c>
      <c r="E113" s="581"/>
      <c r="F113" s="581"/>
      <c r="G113" s="581"/>
      <c r="H113" s="598"/>
      <c r="I113" s="587"/>
      <c r="J113" s="587"/>
      <c r="K113" s="587"/>
      <c r="L113" s="587"/>
      <c r="M113" s="584"/>
      <c r="N113" s="584"/>
      <c r="O113" s="585"/>
      <c r="P113" s="585"/>
      <c r="Q113" s="585"/>
      <c r="R113" s="585"/>
      <c r="S113" s="585"/>
      <c r="T113" s="585"/>
      <c r="U113" s="585"/>
      <c r="V113" s="585"/>
      <c r="W113" s="585"/>
      <c r="X113" s="585"/>
      <c r="Y113" s="585"/>
      <c r="Z113" s="585"/>
      <c r="AA113" s="585"/>
      <c r="AB113" s="585"/>
      <c r="AC113" s="585"/>
    </row>
    <row r="114">
      <c r="A114" s="618" t="s">
        <v>31233</v>
      </c>
      <c r="B114" s="581" t="s">
        <v>31227</v>
      </c>
      <c r="C114" s="581" t="s">
        <v>31234</v>
      </c>
      <c r="D114" s="581" t="s">
        <v>31235</v>
      </c>
      <c r="E114" s="581"/>
      <c r="F114" s="581"/>
      <c r="G114" s="581"/>
      <c r="H114" s="598"/>
      <c r="I114" s="587"/>
      <c r="J114" s="587"/>
      <c r="K114" s="587"/>
      <c r="L114" s="587"/>
      <c r="M114" s="584"/>
      <c r="N114" s="584"/>
      <c r="O114" s="585"/>
      <c r="P114" s="585"/>
      <c r="Q114" s="585"/>
      <c r="R114" s="585"/>
      <c r="S114" s="585"/>
      <c r="T114" s="585"/>
      <c r="U114" s="585"/>
      <c r="V114" s="585"/>
      <c r="W114" s="585"/>
      <c r="X114" s="585"/>
      <c r="Y114" s="585"/>
      <c r="Z114" s="585"/>
      <c r="AA114" s="585"/>
      <c r="AB114" s="585"/>
      <c r="AC114" s="585"/>
    </row>
    <row r="115">
      <c r="A115" s="618" t="s">
        <v>31230</v>
      </c>
      <c r="B115" s="581" t="s">
        <v>31227</v>
      </c>
      <c r="C115" s="581" t="s">
        <v>31236</v>
      </c>
      <c r="D115" s="581" t="s">
        <v>31235</v>
      </c>
      <c r="E115" s="581"/>
      <c r="F115" s="581"/>
      <c r="G115" s="581"/>
      <c r="H115" s="598"/>
      <c r="I115" s="587"/>
      <c r="J115" s="587"/>
      <c r="K115" s="587"/>
      <c r="L115" s="587"/>
      <c r="M115" s="584"/>
      <c r="N115" s="584"/>
      <c r="O115" s="585"/>
      <c r="P115" s="585"/>
      <c r="Q115" s="585"/>
      <c r="R115" s="585"/>
      <c r="S115" s="585"/>
      <c r="T115" s="585"/>
      <c r="U115" s="585"/>
      <c r="V115" s="585"/>
      <c r="W115" s="585"/>
      <c r="X115" s="585"/>
      <c r="Y115" s="585"/>
      <c r="Z115" s="585"/>
      <c r="AA115" s="585"/>
      <c r="AB115" s="585"/>
      <c r="AC115" s="585"/>
    </row>
    <row r="116">
      <c r="A116" s="580" t="s">
        <v>31237</v>
      </c>
      <c r="B116" s="581" t="s">
        <v>31238</v>
      </c>
      <c r="C116" s="581" t="s">
        <v>31239</v>
      </c>
      <c r="D116" s="581" t="s">
        <v>3323</v>
      </c>
      <c r="E116" s="581"/>
      <c r="F116" s="581" t="s">
        <v>31240</v>
      </c>
      <c r="G116" s="581" t="s">
        <v>31241</v>
      </c>
      <c r="H116" s="598"/>
      <c r="I116" s="587" t="s">
        <v>31242</v>
      </c>
      <c r="J116" s="587" t="s">
        <v>31243</v>
      </c>
      <c r="K116" s="587" t="s">
        <v>31244</v>
      </c>
      <c r="L116" s="587" t="s">
        <v>31243</v>
      </c>
      <c r="M116" s="584"/>
      <c r="N116" s="584"/>
      <c r="O116" s="585"/>
      <c r="P116" s="585"/>
      <c r="Q116" s="585"/>
      <c r="R116" s="585"/>
      <c r="S116" s="585"/>
      <c r="T116" s="585"/>
      <c r="U116" s="585"/>
      <c r="V116" s="585"/>
      <c r="W116" s="585"/>
      <c r="X116" s="585"/>
      <c r="Y116" s="585"/>
      <c r="Z116" s="585"/>
      <c r="AA116" s="585"/>
      <c r="AB116" s="585"/>
      <c r="AC116" s="585"/>
    </row>
    <row r="117" ht="34.5" customHeight="1">
      <c r="A117" s="618" t="s">
        <v>31245</v>
      </c>
      <c r="B117" s="596" t="s">
        <v>31227</v>
      </c>
      <c r="C117" s="596" t="s">
        <v>31246</v>
      </c>
      <c r="D117" s="596" t="s">
        <v>31229</v>
      </c>
      <c r="E117" s="601"/>
      <c r="F117" s="600"/>
      <c r="G117" s="600"/>
      <c r="H117" s="598"/>
      <c r="I117" s="587"/>
      <c r="J117" s="593"/>
      <c r="K117" s="584"/>
      <c r="L117" s="584"/>
      <c r="M117" s="584"/>
      <c r="N117" s="584"/>
      <c r="O117" s="585"/>
      <c r="P117" s="585"/>
      <c r="Q117" s="585"/>
      <c r="R117" s="585"/>
      <c r="S117" s="585"/>
      <c r="T117" s="585"/>
      <c r="U117" s="585"/>
      <c r="V117" s="585"/>
      <c r="W117" s="585"/>
      <c r="X117" s="585"/>
      <c r="Y117" s="585"/>
      <c r="Z117" s="585"/>
      <c r="AA117" s="585"/>
      <c r="AB117" s="585"/>
      <c r="AC117" s="585"/>
    </row>
    <row r="118" ht="34.5" customHeight="1">
      <c r="A118" s="618" t="s">
        <v>31247</v>
      </c>
      <c r="B118" s="596" t="s">
        <v>31238</v>
      </c>
      <c r="C118" s="596" t="s">
        <v>31248</v>
      </c>
      <c r="D118" s="596" t="s">
        <v>31249</v>
      </c>
      <c r="E118" s="601"/>
      <c r="F118" s="600"/>
      <c r="G118" s="600"/>
      <c r="H118" s="598"/>
      <c r="I118" s="587"/>
      <c r="J118" s="593"/>
      <c r="K118" s="584"/>
      <c r="L118" s="584"/>
      <c r="M118" s="584"/>
      <c r="N118" s="584"/>
      <c r="O118" s="585"/>
      <c r="P118" s="585"/>
      <c r="Q118" s="585"/>
      <c r="R118" s="585"/>
      <c r="S118" s="585"/>
      <c r="T118" s="585"/>
      <c r="U118" s="585"/>
      <c r="V118" s="585"/>
      <c r="W118" s="585"/>
      <c r="X118" s="585"/>
      <c r="Y118" s="585"/>
      <c r="Z118" s="585"/>
      <c r="AA118" s="585"/>
      <c r="AB118" s="585"/>
      <c r="AC118" s="585"/>
    </row>
    <row r="119" ht="31.5" customHeight="1">
      <c r="A119" s="618" t="s">
        <v>31250</v>
      </c>
      <c r="B119" s="596" t="s">
        <v>31238</v>
      </c>
      <c r="C119" s="596" t="s">
        <v>31251</v>
      </c>
      <c r="D119" s="596" t="s">
        <v>31249</v>
      </c>
      <c r="E119" s="601"/>
      <c r="F119" s="600"/>
      <c r="G119" s="600"/>
      <c r="H119" s="598"/>
      <c r="I119" s="587"/>
      <c r="J119" s="593"/>
      <c r="K119" s="584"/>
      <c r="L119" s="584"/>
      <c r="M119" s="584"/>
      <c r="N119" s="584"/>
      <c r="O119" s="585"/>
      <c r="P119" s="585"/>
      <c r="Q119" s="585"/>
      <c r="R119" s="585"/>
      <c r="S119" s="585"/>
      <c r="T119" s="585"/>
      <c r="U119" s="585"/>
      <c r="V119" s="585"/>
      <c r="W119" s="585"/>
      <c r="X119" s="585"/>
      <c r="Y119" s="585"/>
      <c r="Z119" s="585"/>
      <c r="AA119" s="585"/>
      <c r="AB119" s="585"/>
      <c r="AC119" s="585"/>
    </row>
    <row r="120" ht="19.5" customHeight="1">
      <c r="A120" s="606" t="s">
        <v>31252</v>
      </c>
      <c r="B120" s="596" t="s">
        <v>31253</v>
      </c>
      <c r="C120" s="596" t="s">
        <v>890</v>
      </c>
      <c r="D120" s="596" t="s">
        <v>31254</v>
      </c>
      <c r="E120" s="596" t="s">
        <v>31255</v>
      </c>
      <c r="F120" s="600"/>
      <c r="G120" s="600"/>
      <c r="H120" s="598"/>
      <c r="I120" s="587"/>
      <c r="J120" s="593"/>
      <c r="K120" s="584"/>
      <c r="L120" s="584"/>
      <c r="M120" s="584"/>
      <c r="N120" s="584"/>
      <c r="O120" s="585"/>
      <c r="P120" s="585"/>
      <c r="Q120" s="585"/>
      <c r="R120" s="585"/>
      <c r="S120" s="585"/>
      <c r="T120" s="585"/>
      <c r="U120" s="585"/>
      <c r="V120" s="585"/>
      <c r="W120" s="585"/>
      <c r="X120" s="585"/>
      <c r="Y120" s="585"/>
      <c r="Z120" s="585"/>
      <c r="AA120" s="585"/>
      <c r="AB120" s="585"/>
      <c r="AC120" s="585"/>
    </row>
    <row r="121" ht="19.5" customHeight="1">
      <c r="A121" s="606" t="s">
        <v>31252</v>
      </c>
      <c r="B121" s="596" t="s">
        <v>31134</v>
      </c>
      <c r="C121" s="596" t="s">
        <v>890</v>
      </c>
      <c r="D121" s="596" t="s">
        <v>31254</v>
      </c>
      <c r="E121" s="596" t="s">
        <v>31035</v>
      </c>
      <c r="F121" s="600"/>
      <c r="G121" s="600"/>
      <c r="H121" s="598"/>
      <c r="I121" s="587"/>
      <c r="J121" s="593"/>
      <c r="K121" s="584"/>
      <c r="L121" s="584"/>
      <c r="M121" s="584"/>
      <c r="N121" s="584"/>
      <c r="O121" s="585"/>
      <c r="P121" s="585"/>
      <c r="Q121" s="585"/>
      <c r="R121" s="585"/>
      <c r="S121" s="585"/>
      <c r="T121" s="585"/>
      <c r="U121" s="585"/>
      <c r="V121" s="585"/>
      <c r="W121" s="585"/>
      <c r="X121" s="585"/>
      <c r="Y121" s="585"/>
      <c r="Z121" s="585"/>
      <c r="AA121" s="585"/>
      <c r="AB121" s="585"/>
      <c r="AC121" s="585"/>
    </row>
    <row r="122" ht="19.5" customHeight="1">
      <c r="A122" s="606" t="s">
        <v>31252</v>
      </c>
      <c r="B122" s="596" t="s">
        <v>30998</v>
      </c>
      <c r="C122" s="596" t="s">
        <v>11726</v>
      </c>
      <c r="D122" s="596" t="s">
        <v>31256</v>
      </c>
      <c r="E122" s="601"/>
      <c r="F122" s="600"/>
      <c r="G122" s="600"/>
      <c r="H122" s="598"/>
      <c r="I122" s="587">
        <v>17.0</v>
      </c>
      <c r="J122" s="593">
        <v>43960.0</v>
      </c>
      <c r="K122" s="584"/>
      <c r="L122" s="584"/>
      <c r="M122" s="584"/>
      <c r="N122" s="584"/>
      <c r="O122" s="585"/>
      <c r="P122" s="585"/>
      <c r="Q122" s="585"/>
      <c r="R122" s="585"/>
      <c r="S122" s="585"/>
      <c r="T122" s="585"/>
      <c r="U122" s="585"/>
      <c r="V122" s="585"/>
      <c r="W122" s="585"/>
      <c r="X122" s="585"/>
      <c r="Y122" s="585"/>
      <c r="Z122" s="585"/>
      <c r="AA122" s="585"/>
      <c r="AB122" s="585"/>
      <c r="AC122" s="585"/>
    </row>
    <row r="123" ht="19.5" customHeight="1">
      <c r="A123" s="606" t="s">
        <v>31257</v>
      </c>
      <c r="B123" s="596" t="s">
        <v>30998</v>
      </c>
      <c r="C123" s="596" t="s">
        <v>3369</v>
      </c>
      <c r="D123" s="596" t="s">
        <v>31258</v>
      </c>
      <c r="E123" s="601"/>
      <c r="F123" s="600"/>
      <c r="G123" s="600"/>
      <c r="H123" s="598"/>
      <c r="I123" s="587"/>
      <c r="J123" s="593"/>
      <c r="K123" s="584"/>
      <c r="L123" s="584"/>
      <c r="M123" s="584"/>
      <c r="N123" s="584"/>
      <c r="O123" s="585"/>
      <c r="P123" s="585"/>
      <c r="Q123" s="585"/>
      <c r="R123" s="585"/>
      <c r="S123" s="585"/>
      <c r="T123" s="585"/>
      <c r="U123" s="585"/>
      <c r="V123" s="585"/>
      <c r="W123" s="585"/>
      <c r="X123" s="585"/>
      <c r="Y123" s="585"/>
      <c r="Z123" s="585"/>
      <c r="AA123" s="585"/>
      <c r="AB123" s="585"/>
      <c r="AC123" s="585"/>
    </row>
    <row r="124" ht="40.5" customHeight="1">
      <c r="A124" s="606" t="s">
        <v>31259</v>
      </c>
      <c r="B124" s="596" t="s">
        <v>31260</v>
      </c>
      <c r="C124" s="596" t="s">
        <v>31261</v>
      </c>
      <c r="D124" s="596" t="s">
        <v>31262</v>
      </c>
      <c r="E124" s="596" t="s">
        <v>31263</v>
      </c>
      <c r="F124" s="600"/>
      <c r="G124" s="600"/>
      <c r="H124" s="598"/>
      <c r="I124" s="584"/>
      <c r="J124" s="584"/>
      <c r="K124" s="584"/>
      <c r="L124" s="584"/>
      <c r="M124" s="584"/>
      <c r="N124" s="584"/>
      <c r="O124" s="585"/>
      <c r="P124" s="585"/>
      <c r="Q124" s="585"/>
      <c r="R124" s="585"/>
      <c r="S124" s="585"/>
      <c r="T124" s="585"/>
      <c r="U124" s="585"/>
      <c r="V124" s="585"/>
      <c r="W124" s="585"/>
      <c r="X124" s="585"/>
      <c r="Y124" s="585"/>
      <c r="Z124" s="585"/>
      <c r="AA124" s="585"/>
      <c r="AB124" s="585"/>
      <c r="AC124" s="585"/>
    </row>
    <row r="125" ht="53.25" customHeight="1">
      <c r="A125" s="606" t="s">
        <v>31259</v>
      </c>
      <c r="B125" s="596" t="s">
        <v>31260</v>
      </c>
      <c r="C125" s="596" t="s">
        <v>31264</v>
      </c>
      <c r="D125" s="596" t="s">
        <v>31265</v>
      </c>
      <c r="E125" s="596" t="s">
        <v>31263</v>
      </c>
      <c r="F125" s="600"/>
      <c r="G125" s="600"/>
      <c r="H125" s="598"/>
      <c r="I125" s="584"/>
      <c r="J125" s="584"/>
      <c r="K125" s="584"/>
      <c r="L125" s="584"/>
      <c r="M125" s="584"/>
      <c r="N125" s="584"/>
      <c r="O125" s="585"/>
      <c r="P125" s="585"/>
      <c r="Q125" s="585"/>
      <c r="R125" s="585"/>
      <c r="S125" s="585"/>
      <c r="T125" s="585"/>
      <c r="U125" s="585"/>
      <c r="V125" s="585"/>
      <c r="W125" s="585"/>
      <c r="X125" s="585"/>
      <c r="Y125" s="585"/>
      <c r="Z125" s="585"/>
      <c r="AA125" s="585"/>
      <c r="AB125" s="585"/>
      <c r="AC125" s="585"/>
    </row>
    <row r="126" ht="25.5" customHeight="1">
      <c r="A126" s="606" t="s">
        <v>31266</v>
      </c>
      <c r="B126" s="596" t="s">
        <v>31260</v>
      </c>
      <c r="C126" s="596" t="s">
        <v>31267</v>
      </c>
      <c r="D126" s="596" t="s">
        <v>169</v>
      </c>
      <c r="E126" s="601"/>
      <c r="F126" s="600"/>
      <c r="G126" s="600"/>
      <c r="H126" s="598"/>
      <c r="I126" s="584"/>
      <c r="J126" s="584"/>
      <c r="K126" s="584"/>
      <c r="L126" s="584"/>
      <c r="M126" s="584"/>
      <c r="N126" s="584"/>
      <c r="O126" s="585"/>
      <c r="P126" s="585"/>
      <c r="Q126" s="585"/>
      <c r="R126" s="585"/>
      <c r="S126" s="585"/>
      <c r="T126" s="585"/>
      <c r="U126" s="585"/>
      <c r="V126" s="585"/>
      <c r="W126" s="585"/>
      <c r="X126" s="585"/>
      <c r="Y126" s="585"/>
      <c r="Z126" s="585"/>
      <c r="AA126" s="585"/>
      <c r="AB126" s="585"/>
      <c r="AC126" s="585"/>
    </row>
    <row r="127" ht="34.5" customHeight="1">
      <c r="A127" s="606" t="s">
        <v>31268</v>
      </c>
      <c r="B127" s="596" t="s">
        <v>31260</v>
      </c>
      <c r="C127" s="596" t="s">
        <v>31269</v>
      </c>
      <c r="D127" s="596" t="s">
        <v>31270</v>
      </c>
      <c r="E127" s="601"/>
      <c r="F127" s="600"/>
      <c r="G127" s="600"/>
      <c r="H127" s="598"/>
      <c r="I127" s="584"/>
      <c r="J127" s="584"/>
      <c r="K127" s="584"/>
      <c r="L127" s="584"/>
      <c r="M127" s="584"/>
      <c r="N127" s="584"/>
      <c r="O127" s="585"/>
      <c r="P127" s="585"/>
      <c r="Q127" s="585"/>
      <c r="R127" s="585"/>
      <c r="S127" s="585"/>
      <c r="T127" s="585"/>
      <c r="U127" s="585"/>
      <c r="V127" s="585"/>
      <c r="W127" s="585"/>
      <c r="X127" s="585"/>
      <c r="Y127" s="585"/>
      <c r="Z127" s="585"/>
      <c r="AA127" s="585"/>
      <c r="AB127" s="585"/>
      <c r="AC127" s="585"/>
    </row>
    <row r="128" ht="19.5" customHeight="1">
      <c r="A128" s="606" t="s">
        <v>31271</v>
      </c>
      <c r="B128" s="596"/>
      <c r="C128" s="596" t="s">
        <v>11726</v>
      </c>
      <c r="D128" s="596" t="s">
        <v>2759</v>
      </c>
      <c r="E128" s="601"/>
      <c r="F128" s="600"/>
      <c r="G128" s="600"/>
      <c r="H128" s="598"/>
      <c r="I128" s="584"/>
      <c r="J128" s="584"/>
      <c r="K128" s="584"/>
      <c r="L128" s="584"/>
      <c r="M128" s="584"/>
      <c r="N128" s="584"/>
      <c r="O128" s="585"/>
      <c r="P128" s="585"/>
      <c r="Q128" s="585"/>
      <c r="R128" s="585"/>
      <c r="S128" s="585"/>
      <c r="T128" s="585"/>
      <c r="U128" s="585"/>
      <c r="V128" s="585"/>
      <c r="W128" s="585"/>
      <c r="X128" s="585"/>
      <c r="Y128" s="585"/>
      <c r="Z128" s="585"/>
      <c r="AA128" s="585"/>
      <c r="AB128" s="585"/>
      <c r="AC128" s="585"/>
    </row>
    <row r="129" ht="19.5" customHeight="1">
      <c r="A129" s="606" t="s">
        <v>31272</v>
      </c>
      <c r="B129" s="596" t="s">
        <v>31273</v>
      </c>
      <c r="C129" s="596" t="s">
        <v>3369</v>
      </c>
      <c r="D129" s="596" t="s">
        <v>31274</v>
      </c>
      <c r="E129" s="601"/>
      <c r="F129" s="600"/>
      <c r="G129" s="600"/>
      <c r="H129" s="598"/>
      <c r="I129" s="584"/>
      <c r="J129" s="584"/>
      <c r="K129" s="584"/>
      <c r="L129" s="584"/>
      <c r="M129" s="584"/>
      <c r="N129" s="584"/>
      <c r="O129" s="585"/>
      <c r="P129" s="585"/>
      <c r="Q129" s="585"/>
      <c r="R129" s="585"/>
      <c r="S129" s="585"/>
      <c r="T129" s="585"/>
      <c r="U129" s="585"/>
      <c r="V129" s="585"/>
      <c r="W129" s="585"/>
      <c r="X129" s="585"/>
      <c r="Y129" s="585"/>
      <c r="Z129" s="585"/>
      <c r="AA129" s="585"/>
      <c r="AB129" s="585"/>
      <c r="AC129" s="585"/>
    </row>
    <row r="130" ht="21.0" customHeight="1">
      <c r="A130" s="606" t="s">
        <v>31275</v>
      </c>
      <c r="B130" s="596" t="s">
        <v>31273</v>
      </c>
      <c r="C130" s="596" t="s">
        <v>13460</v>
      </c>
      <c r="D130" s="596" t="s">
        <v>31276</v>
      </c>
      <c r="E130" s="601"/>
      <c r="F130" s="600"/>
      <c r="G130" s="600"/>
      <c r="H130" s="598"/>
      <c r="I130" s="584"/>
      <c r="J130" s="584"/>
      <c r="K130" s="584"/>
      <c r="L130" s="584"/>
      <c r="M130" s="584"/>
      <c r="N130" s="584"/>
      <c r="O130" s="585"/>
      <c r="P130" s="585"/>
      <c r="Q130" s="585"/>
      <c r="R130" s="585"/>
      <c r="S130" s="585"/>
      <c r="T130" s="585"/>
      <c r="U130" s="585"/>
      <c r="V130" s="585"/>
      <c r="W130" s="585"/>
      <c r="X130" s="585"/>
      <c r="Y130" s="585"/>
      <c r="Z130" s="585"/>
      <c r="AA130" s="585"/>
      <c r="AB130" s="585"/>
      <c r="AC130" s="585"/>
    </row>
    <row r="131" ht="26.25" customHeight="1">
      <c r="A131" s="606" t="s">
        <v>31277</v>
      </c>
      <c r="B131" s="596" t="s">
        <v>31278</v>
      </c>
      <c r="C131" s="596" t="s">
        <v>31279</v>
      </c>
      <c r="D131" s="596" t="s">
        <v>31280</v>
      </c>
      <c r="E131" s="601"/>
      <c r="F131" s="600"/>
      <c r="G131" s="600"/>
      <c r="H131" s="598"/>
      <c r="I131" s="584"/>
      <c r="J131" s="584"/>
      <c r="K131" s="584"/>
      <c r="L131" s="584"/>
      <c r="M131" s="584"/>
      <c r="N131" s="584"/>
      <c r="O131" s="585"/>
      <c r="P131" s="585"/>
      <c r="Q131" s="585"/>
      <c r="R131" s="585"/>
      <c r="S131" s="585"/>
      <c r="T131" s="585"/>
      <c r="U131" s="585"/>
      <c r="V131" s="585"/>
      <c r="W131" s="585"/>
      <c r="X131" s="585"/>
      <c r="Y131" s="585"/>
      <c r="Z131" s="585"/>
      <c r="AA131" s="585"/>
      <c r="AB131" s="585"/>
      <c r="AC131" s="585"/>
    </row>
    <row r="132" ht="26.25" customHeight="1">
      <c r="A132" s="606" t="s">
        <v>31281</v>
      </c>
      <c r="B132" s="596" t="s">
        <v>31278</v>
      </c>
      <c r="C132" s="596" t="s">
        <v>31282</v>
      </c>
      <c r="D132" s="596" t="s">
        <v>1026</v>
      </c>
      <c r="E132" s="601"/>
      <c r="F132" s="600"/>
      <c r="G132" s="600"/>
      <c r="H132" s="598"/>
      <c r="I132" s="584"/>
      <c r="J132" s="584"/>
      <c r="K132" s="584"/>
      <c r="L132" s="584"/>
      <c r="M132" s="584"/>
      <c r="N132" s="584"/>
      <c r="O132" s="585"/>
      <c r="P132" s="585"/>
      <c r="Q132" s="585"/>
      <c r="R132" s="585"/>
      <c r="S132" s="585"/>
      <c r="T132" s="585"/>
      <c r="U132" s="585"/>
      <c r="V132" s="585"/>
      <c r="W132" s="585"/>
      <c r="X132" s="585"/>
      <c r="Y132" s="585"/>
      <c r="Z132" s="585"/>
      <c r="AA132" s="585"/>
      <c r="AB132" s="585"/>
      <c r="AC132" s="585"/>
    </row>
    <row r="133" ht="35.25" customHeight="1">
      <c r="A133" s="606" t="s">
        <v>31283</v>
      </c>
      <c r="B133" s="596" t="s">
        <v>31273</v>
      </c>
      <c r="C133" s="596" t="s">
        <v>3369</v>
      </c>
      <c r="D133" s="596" t="s">
        <v>31284</v>
      </c>
      <c r="E133" s="601"/>
      <c r="F133" s="600"/>
      <c r="G133" s="600"/>
      <c r="H133" s="598"/>
      <c r="I133" s="584"/>
      <c r="J133" s="584"/>
      <c r="K133" s="584"/>
      <c r="L133" s="584"/>
      <c r="M133" s="584"/>
      <c r="N133" s="584"/>
      <c r="O133" s="585"/>
      <c r="P133" s="585"/>
      <c r="Q133" s="585"/>
      <c r="R133" s="585"/>
      <c r="S133" s="585"/>
      <c r="T133" s="585"/>
      <c r="U133" s="585"/>
      <c r="V133" s="585"/>
      <c r="W133" s="585"/>
      <c r="X133" s="585"/>
      <c r="Y133" s="585"/>
      <c r="Z133" s="585"/>
      <c r="AA133" s="585"/>
      <c r="AB133" s="585"/>
      <c r="AC133" s="585"/>
    </row>
    <row r="134" ht="19.5" customHeight="1">
      <c r="A134" s="580" t="s">
        <v>31285</v>
      </c>
      <c r="B134" s="581" t="s">
        <v>31286</v>
      </c>
      <c r="C134" s="581" t="s">
        <v>12824</v>
      </c>
      <c r="D134" s="581" t="s">
        <v>31287</v>
      </c>
      <c r="E134" s="582"/>
      <c r="F134" s="582"/>
      <c r="G134" s="582"/>
      <c r="H134" s="598"/>
      <c r="I134" s="584"/>
      <c r="J134" s="584"/>
      <c r="K134" s="584"/>
      <c r="L134" s="584"/>
      <c r="M134" s="587"/>
      <c r="N134" s="593"/>
      <c r="O134" s="585"/>
      <c r="P134" s="585"/>
      <c r="Q134" s="585"/>
      <c r="R134" s="585"/>
      <c r="S134" s="585"/>
      <c r="T134" s="585"/>
      <c r="U134" s="585"/>
      <c r="V134" s="585"/>
      <c r="W134" s="585"/>
      <c r="X134" s="585"/>
      <c r="Y134" s="585"/>
      <c r="Z134" s="585"/>
      <c r="AA134" s="585"/>
      <c r="AB134" s="585"/>
      <c r="AC134" s="585"/>
    </row>
    <row r="135" ht="27.75" customHeight="1">
      <c r="A135" s="580" t="s">
        <v>31288</v>
      </c>
      <c r="B135" s="581" t="s">
        <v>30975</v>
      </c>
      <c r="C135" s="581" t="s">
        <v>31289</v>
      </c>
      <c r="D135" s="581" t="s">
        <v>31290</v>
      </c>
      <c r="E135" s="582"/>
      <c r="F135" s="582"/>
      <c r="G135" s="582"/>
      <c r="H135" s="598"/>
      <c r="I135" s="584"/>
      <c r="J135" s="584"/>
      <c r="K135" s="584"/>
      <c r="L135" s="584"/>
      <c r="M135" s="587"/>
      <c r="N135" s="593"/>
      <c r="O135" s="585"/>
      <c r="P135" s="585"/>
      <c r="Q135" s="585"/>
      <c r="R135" s="585"/>
      <c r="S135" s="585"/>
      <c r="T135" s="585"/>
      <c r="U135" s="585"/>
      <c r="V135" s="585"/>
      <c r="W135" s="585"/>
      <c r="X135" s="585"/>
      <c r="Y135" s="585"/>
      <c r="Z135" s="585"/>
      <c r="AA135" s="585"/>
      <c r="AB135" s="585"/>
      <c r="AC135" s="585"/>
    </row>
    <row r="136" ht="28.5" customHeight="1">
      <c r="A136" s="580" t="s">
        <v>31291</v>
      </c>
      <c r="B136" s="581" t="s">
        <v>30975</v>
      </c>
      <c r="C136" s="581" t="s">
        <v>31292</v>
      </c>
      <c r="D136" s="581" t="s">
        <v>31293</v>
      </c>
      <c r="E136" s="582"/>
      <c r="F136" s="582"/>
      <c r="G136" s="582"/>
      <c r="H136" s="598"/>
      <c r="I136" s="584"/>
      <c r="J136" s="584"/>
      <c r="K136" s="584"/>
      <c r="L136" s="584"/>
      <c r="M136" s="587"/>
      <c r="N136" s="593"/>
      <c r="O136" s="585"/>
      <c r="P136" s="585"/>
      <c r="Q136" s="585"/>
      <c r="R136" s="585"/>
      <c r="S136" s="585"/>
      <c r="T136" s="585"/>
      <c r="U136" s="585"/>
      <c r="V136" s="585"/>
      <c r="W136" s="585"/>
      <c r="X136" s="585"/>
      <c r="Y136" s="585"/>
      <c r="Z136" s="585"/>
      <c r="AA136" s="585"/>
      <c r="AB136" s="585"/>
      <c r="AC136" s="585"/>
    </row>
    <row r="137" ht="32.25" customHeight="1">
      <c r="A137" s="580" t="s">
        <v>31294</v>
      </c>
      <c r="B137" s="581" t="s">
        <v>8518</v>
      </c>
      <c r="C137" s="581" t="s">
        <v>31295</v>
      </c>
      <c r="D137" s="581" t="s">
        <v>31296</v>
      </c>
      <c r="E137" s="589" t="s">
        <v>31161</v>
      </c>
      <c r="F137" s="582"/>
      <c r="G137" s="582"/>
      <c r="H137" s="598"/>
      <c r="I137" s="584"/>
      <c r="J137" s="584"/>
      <c r="K137" s="584"/>
      <c r="L137" s="584"/>
      <c r="M137" s="587"/>
      <c r="N137" s="593"/>
      <c r="O137" s="585"/>
      <c r="P137" s="585"/>
      <c r="Q137" s="585"/>
      <c r="R137" s="585"/>
      <c r="S137" s="585"/>
      <c r="T137" s="585"/>
      <c r="U137" s="585"/>
      <c r="V137" s="585"/>
      <c r="W137" s="585"/>
      <c r="X137" s="585"/>
      <c r="Y137" s="585"/>
      <c r="Z137" s="585"/>
      <c r="AA137" s="585"/>
      <c r="AB137" s="585"/>
      <c r="AC137" s="585"/>
    </row>
    <row r="138" ht="19.5" customHeight="1">
      <c r="A138" s="580" t="s">
        <v>31291</v>
      </c>
      <c r="B138" s="581" t="s">
        <v>31297</v>
      </c>
      <c r="C138" s="581" t="s">
        <v>2969</v>
      </c>
      <c r="D138" s="581" t="s">
        <v>31298</v>
      </c>
      <c r="E138" s="589"/>
      <c r="F138" s="582"/>
      <c r="G138" s="582"/>
      <c r="H138" s="598"/>
      <c r="I138" s="584"/>
      <c r="J138" s="584"/>
      <c r="K138" s="584"/>
      <c r="L138" s="584"/>
      <c r="M138" s="587"/>
      <c r="N138" s="593"/>
      <c r="O138" s="585"/>
      <c r="P138" s="585"/>
      <c r="Q138" s="585"/>
      <c r="R138" s="585"/>
      <c r="S138" s="585"/>
      <c r="T138" s="585"/>
      <c r="U138" s="585"/>
      <c r="V138" s="585"/>
      <c r="W138" s="585"/>
      <c r="X138" s="585"/>
      <c r="Y138" s="585"/>
      <c r="Z138" s="585"/>
      <c r="AA138" s="585"/>
      <c r="AB138" s="585"/>
      <c r="AC138" s="585"/>
    </row>
    <row r="139" ht="19.5" customHeight="1">
      <c r="A139" s="580" t="s">
        <v>31288</v>
      </c>
      <c r="B139" s="581" t="s">
        <v>8518</v>
      </c>
      <c r="C139" s="581" t="s">
        <v>31299</v>
      </c>
      <c r="D139" s="581" t="s">
        <v>31300</v>
      </c>
      <c r="E139" s="589" t="s">
        <v>31301</v>
      </c>
      <c r="F139" s="582"/>
      <c r="G139" s="582"/>
      <c r="H139" s="598"/>
      <c r="I139" s="584"/>
      <c r="J139" s="584"/>
      <c r="K139" s="584"/>
      <c r="L139" s="584"/>
      <c r="M139" s="587"/>
      <c r="N139" s="593"/>
      <c r="O139" s="585"/>
      <c r="P139" s="585"/>
      <c r="Q139" s="585"/>
      <c r="R139" s="585"/>
      <c r="S139" s="585"/>
      <c r="T139" s="585"/>
      <c r="U139" s="585"/>
      <c r="V139" s="585"/>
      <c r="W139" s="585"/>
      <c r="X139" s="585"/>
      <c r="Y139" s="585"/>
      <c r="Z139" s="585"/>
      <c r="AA139" s="585"/>
      <c r="AB139" s="585"/>
      <c r="AC139" s="585"/>
    </row>
    <row r="140" ht="19.5" customHeight="1">
      <c r="A140" s="580" t="s">
        <v>31302</v>
      </c>
      <c r="B140" s="581"/>
      <c r="C140" s="581"/>
      <c r="D140" s="581"/>
      <c r="E140" s="582"/>
      <c r="F140" s="582"/>
      <c r="G140" s="582"/>
      <c r="H140" s="598"/>
      <c r="I140" s="584"/>
      <c r="J140" s="584"/>
      <c r="K140" s="584"/>
      <c r="L140" s="584"/>
      <c r="M140" s="587">
        <v>140.0</v>
      </c>
      <c r="N140" s="593">
        <v>43933.0</v>
      </c>
      <c r="O140" s="585"/>
      <c r="P140" s="585"/>
      <c r="Q140" s="585"/>
      <c r="R140" s="585"/>
      <c r="S140" s="585"/>
      <c r="T140" s="585"/>
      <c r="U140" s="585"/>
      <c r="V140" s="585"/>
      <c r="W140" s="585"/>
      <c r="X140" s="585"/>
      <c r="Y140" s="585"/>
      <c r="Z140" s="585"/>
      <c r="AA140" s="585"/>
      <c r="AB140" s="585"/>
      <c r="AC140" s="585"/>
    </row>
    <row r="141" ht="19.5" customHeight="1">
      <c r="A141" s="580" t="s">
        <v>31303</v>
      </c>
      <c r="B141" s="581" t="s">
        <v>31304</v>
      </c>
      <c r="C141" s="581" t="s">
        <v>31305</v>
      </c>
      <c r="D141" s="581" t="s">
        <v>1698</v>
      </c>
      <c r="E141" s="582"/>
      <c r="F141" s="582"/>
      <c r="G141" s="582"/>
      <c r="H141" s="598"/>
      <c r="I141" s="584"/>
      <c r="J141" s="584"/>
      <c r="K141" s="584"/>
      <c r="L141" s="584"/>
      <c r="M141" s="587"/>
      <c r="N141" s="593"/>
      <c r="O141" s="585"/>
      <c r="P141" s="585"/>
      <c r="Q141" s="585"/>
      <c r="R141" s="585"/>
      <c r="S141" s="585"/>
      <c r="T141" s="585"/>
      <c r="U141" s="585"/>
      <c r="V141" s="585"/>
      <c r="W141" s="585"/>
      <c r="X141" s="585"/>
      <c r="Y141" s="585"/>
      <c r="Z141" s="585"/>
      <c r="AA141" s="585"/>
      <c r="AB141" s="585"/>
      <c r="AC141" s="585"/>
    </row>
    <row r="142" ht="19.5" customHeight="1">
      <c r="A142" s="580" t="s">
        <v>5309</v>
      </c>
      <c r="B142" s="581"/>
      <c r="C142" s="581" t="s">
        <v>2995</v>
      </c>
      <c r="D142" s="581" t="s">
        <v>31306</v>
      </c>
      <c r="E142" s="582"/>
      <c r="F142" s="582"/>
      <c r="G142" s="582"/>
      <c r="H142" s="598"/>
      <c r="I142" s="584"/>
      <c r="J142" s="584"/>
      <c r="K142" s="584"/>
      <c r="L142" s="584"/>
      <c r="M142" s="584"/>
      <c r="N142" s="584"/>
      <c r="O142" s="585"/>
      <c r="P142" s="585"/>
      <c r="Q142" s="585"/>
      <c r="R142" s="585"/>
      <c r="S142" s="585"/>
      <c r="T142" s="585"/>
      <c r="U142" s="585"/>
      <c r="V142" s="585"/>
      <c r="W142" s="585"/>
      <c r="X142" s="585"/>
      <c r="Y142" s="585"/>
      <c r="Z142" s="585"/>
      <c r="AA142" s="585"/>
      <c r="AB142" s="585"/>
      <c r="AC142" s="585"/>
    </row>
    <row r="143">
      <c r="A143" s="580" t="s">
        <v>31307</v>
      </c>
      <c r="B143" s="589" t="s">
        <v>31308</v>
      </c>
      <c r="C143" s="589" t="s">
        <v>31309</v>
      </c>
      <c r="D143" s="589" t="s">
        <v>31310</v>
      </c>
      <c r="E143" s="582"/>
      <c r="F143" s="582"/>
      <c r="G143" s="582"/>
      <c r="H143" s="598"/>
      <c r="I143" s="584"/>
      <c r="J143" s="584"/>
      <c r="K143" s="584"/>
      <c r="L143" s="584"/>
      <c r="M143" s="587"/>
      <c r="N143" s="593"/>
      <c r="O143" s="585"/>
      <c r="P143" s="585"/>
      <c r="Q143" s="585"/>
      <c r="R143" s="585"/>
      <c r="S143" s="585"/>
      <c r="T143" s="585"/>
      <c r="U143" s="585"/>
      <c r="V143" s="585"/>
      <c r="W143" s="585"/>
      <c r="X143" s="585"/>
      <c r="Y143" s="585"/>
      <c r="Z143" s="585"/>
      <c r="AA143" s="585"/>
      <c r="AB143" s="585"/>
      <c r="AC143" s="585"/>
    </row>
    <row r="144">
      <c r="A144" s="580" t="s">
        <v>31311</v>
      </c>
      <c r="B144" s="582"/>
      <c r="C144" s="582"/>
      <c r="D144" s="582"/>
      <c r="E144" s="582"/>
      <c r="F144" s="582"/>
      <c r="G144" s="582"/>
      <c r="H144" s="598"/>
      <c r="I144" s="584"/>
      <c r="J144" s="584"/>
      <c r="K144" s="584"/>
      <c r="L144" s="584"/>
      <c r="M144" s="587" t="s">
        <v>31312</v>
      </c>
      <c r="N144" s="593">
        <v>43870.0</v>
      </c>
      <c r="O144" s="585"/>
      <c r="P144" s="585"/>
      <c r="Q144" s="585"/>
      <c r="R144" s="585"/>
      <c r="S144" s="585"/>
      <c r="T144" s="585"/>
      <c r="U144" s="585"/>
      <c r="V144" s="585"/>
      <c r="W144" s="585"/>
      <c r="X144" s="585"/>
      <c r="Y144" s="585"/>
      <c r="Z144" s="585"/>
      <c r="AA144" s="585"/>
      <c r="AB144" s="585"/>
      <c r="AC144" s="585"/>
    </row>
    <row r="145" ht="36.75" customHeight="1">
      <c r="A145" s="592" t="s">
        <v>31313</v>
      </c>
      <c r="B145" s="589" t="s">
        <v>31314</v>
      </c>
      <c r="C145" s="589" t="s">
        <v>31315</v>
      </c>
      <c r="D145" s="589" t="s">
        <v>31316</v>
      </c>
      <c r="E145" s="582"/>
      <c r="F145" s="582"/>
      <c r="G145" s="582"/>
      <c r="H145" s="598"/>
      <c r="I145" s="587">
        <v>670.0</v>
      </c>
      <c r="J145" s="587" t="s">
        <v>31317</v>
      </c>
      <c r="K145" s="587">
        <v>660.0</v>
      </c>
      <c r="L145" s="587" t="s">
        <v>31317</v>
      </c>
      <c r="M145" s="584"/>
      <c r="N145" s="584"/>
      <c r="O145" s="585"/>
      <c r="P145" s="585"/>
      <c r="Q145" s="585"/>
      <c r="R145" s="585"/>
      <c r="S145" s="585"/>
      <c r="T145" s="585"/>
      <c r="U145" s="585"/>
      <c r="V145" s="585"/>
      <c r="W145" s="585"/>
      <c r="X145" s="585"/>
      <c r="Y145" s="585"/>
      <c r="Z145" s="585"/>
      <c r="AA145" s="585"/>
      <c r="AB145" s="585"/>
      <c r="AC145" s="585"/>
    </row>
    <row r="146" ht="19.5" customHeight="1">
      <c r="A146" s="606" t="s">
        <v>1018</v>
      </c>
      <c r="B146" s="596"/>
      <c r="C146" s="596" t="s">
        <v>31318</v>
      </c>
      <c r="D146" s="596" t="s">
        <v>31319</v>
      </c>
      <c r="E146" s="601"/>
      <c r="F146" s="600"/>
      <c r="G146" s="600"/>
      <c r="H146" s="598"/>
      <c r="I146" s="584"/>
      <c r="J146" s="584"/>
      <c r="K146" s="584"/>
      <c r="L146" s="584"/>
      <c r="M146" s="584"/>
      <c r="N146" s="584"/>
      <c r="O146" s="585"/>
      <c r="P146" s="585"/>
      <c r="Q146" s="585"/>
      <c r="R146" s="585"/>
      <c r="S146" s="585"/>
      <c r="T146" s="585"/>
      <c r="U146" s="585"/>
      <c r="V146" s="585"/>
      <c r="W146" s="585"/>
      <c r="X146" s="585"/>
      <c r="Y146" s="585"/>
      <c r="Z146" s="585"/>
      <c r="AA146" s="585"/>
      <c r="AB146" s="585"/>
      <c r="AC146" s="585"/>
    </row>
    <row r="147" ht="24.0" customHeight="1">
      <c r="A147" s="594" t="s">
        <v>31320</v>
      </c>
      <c r="B147" s="603"/>
      <c r="C147" s="603"/>
      <c r="D147" s="603"/>
      <c r="E147" s="604"/>
      <c r="F147" s="605"/>
      <c r="G147" s="605"/>
      <c r="H147" s="598"/>
      <c r="I147" s="584"/>
      <c r="J147" s="584"/>
      <c r="K147" s="587" t="s">
        <v>31321</v>
      </c>
      <c r="L147" s="593">
        <v>44053.0</v>
      </c>
      <c r="M147" s="584"/>
      <c r="N147" s="584"/>
      <c r="O147" s="585"/>
      <c r="P147" s="585"/>
      <c r="Q147" s="585"/>
      <c r="R147" s="585"/>
      <c r="S147" s="585"/>
      <c r="T147" s="585"/>
      <c r="U147" s="585"/>
      <c r="V147" s="585"/>
      <c r="W147" s="585"/>
      <c r="X147" s="585"/>
      <c r="Y147" s="585"/>
      <c r="Z147" s="585"/>
      <c r="AA147" s="585"/>
      <c r="AB147" s="585"/>
      <c r="AC147" s="585"/>
    </row>
    <row r="148" ht="41.25" customHeight="1">
      <c r="A148" s="616" t="s">
        <v>3918</v>
      </c>
      <c r="B148" s="596" t="s">
        <v>31134</v>
      </c>
      <c r="C148" s="596" t="s">
        <v>31322</v>
      </c>
      <c r="D148" s="596" t="s">
        <v>31323</v>
      </c>
      <c r="E148" s="601"/>
      <c r="F148" s="600"/>
      <c r="G148" s="600"/>
      <c r="H148" s="425"/>
      <c r="I148" s="584"/>
      <c r="J148" s="584"/>
      <c r="K148" s="584"/>
      <c r="L148" s="584"/>
      <c r="M148" s="584"/>
      <c r="N148" s="584"/>
      <c r="O148" s="585"/>
      <c r="P148" s="585"/>
      <c r="Q148" s="585"/>
      <c r="R148" s="585"/>
      <c r="S148" s="585"/>
      <c r="T148" s="585"/>
      <c r="U148" s="585"/>
      <c r="V148" s="585"/>
      <c r="W148" s="585"/>
      <c r="X148" s="585"/>
      <c r="Y148" s="585"/>
      <c r="Z148" s="585"/>
      <c r="AA148" s="585"/>
      <c r="AB148" s="585"/>
      <c r="AC148" s="585"/>
    </row>
    <row r="149" ht="75.0" customHeight="1">
      <c r="A149" s="616" t="s">
        <v>31324</v>
      </c>
      <c r="B149" s="596" t="s">
        <v>8848</v>
      </c>
      <c r="C149" s="596" t="s">
        <v>31325</v>
      </c>
      <c r="D149" s="596" t="s">
        <v>31326</v>
      </c>
      <c r="E149" s="601"/>
      <c r="F149" s="597" t="s">
        <v>31327</v>
      </c>
      <c r="G149" s="600"/>
      <c r="H149" s="425" t="s">
        <v>31328</v>
      </c>
      <c r="I149" s="584"/>
      <c r="J149" s="584"/>
      <c r="K149" s="584"/>
      <c r="L149" s="584"/>
      <c r="M149" s="584"/>
      <c r="N149" s="584"/>
      <c r="O149" s="585"/>
      <c r="P149" s="585"/>
      <c r="Q149" s="585"/>
      <c r="R149" s="585"/>
      <c r="S149" s="585"/>
      <c r="T149" s="585"/>
      <c r="U149" s="585"/>
      <c r="V149" s="585"/>
      <c r="W149" s="585"/>
      <c r="X149" s="585"/>
      <c r="Y149" s="585"/>
      <c r="Z149" s="585"/>
      <c r="AA149" s="585"/>
      <c r="AB149" s="585"/>
      <c r="AC149" s="585"/>
    </row>
    <row r="150" ht="73.5" customHeight="1">
      <c r="A150" s="616" t="s">
        <v>31329</v>
      </c>
      <c r="B150" s="596" t="s">
        <v>31330</v>
      </c>
      <c r="C150" s="596" t="s">
        <v>31331</v>
      </c>
      <c r="D150" s="596" t="s">
        <v>31332</v>
      </c>
      <c r="E150" s="596"/>
      <c r="F150" s="597" t="s">
        <v>31333</v>
      </c>
      <c r="G150" s="600"/>
      <c r="H150" s="598"/>
      <c r="I150" s="584"/>
      <c r="J150" s="584"/>
      <c r="K150" s="584"/>
      <c r="L150" s="584"/>
      <c r="M150" s="587"/>
      <c r="N150" s="593"/>
      <c r="O150" s="585"/>
      <c r="P150" s="585"/>
      <c r="Q150" s="585"/>
      <c r="R150" s="585"/>
      <c r="S150" s="585"/>
      <c r="T150" s="585"/>
      <c r="U150" s="585"/>
      <c r="V150" s="585"/>
      <c r="W150" s="585"/>
      <c r="X150" s="585"/>
      <c r="Y150" s="585"/>
      <c r="Z150" s="585"/>
      <c r="AA150" s="585"/>
      <c r="AB150" s="585"/>
      <c r="AC150" s="585"/>
    </row>
    <row r="151" ht="18.0" customHeight="1">
      <c r="A151" s="616" t="s">
        <v>31334</v>
      </c>
      <c r="B151" s="596" t="s">
        <v>31335</v>
      </c>
      <c r="C151" s="596" t="s">
        <v>31336</v>
      </c>
      <c r="D151" s="596" t="s">
        <v>31079</v>
      </c>
      <c r="E151" s="601"/>
      <c r="F151" s="597" t="s">
        <v>31337</v>
      </c>
      <c r="G151" s="600"/>
      <c r="H151" s="598"/>
      <c r="I151" s="584"/>
      <c r="J151" s="584"/>
      <c r="K151" s="584"/>
      <c r="L151" s="584"/>
      <c r="M151" s="587"/>
      <c r="N151" s="593"/>
      <c r="O151" s="585"/>
      <c r="P151" s="585"/>
      <c r="Q151" s="585"/>
      <c r="R151" s="585"/>
      <c r="S151" s="585"/>
      <c r="T151" s="585"/>
      <c r="U151" s="585"/>
      <c r="V151" s="585"/>
      <c r="W151" s="585"/>
      <c r="X151" s="585"/>
      <c r="Y151" s="585"/>
      <c r="Z151" s="585"/>
      <c r="AA151" s="585"/>
      <c r="AB151" s="585"/>
      <c r="AC151" s="585"/>
    </row>
    <row r="152" ht="18.0" customHeight="1">
      <c r="A152" s="594" t="s">
        <v>31338</v>
      </c>
      <c r="B152" s="596"/>
      <c r="C152" s="596"/>
      <c r="D152" s="596"/>
      <c r="E152" s="601"/>
      <c r="F152" s="600"/>
      <c r="G152" s="600"/>
      <c r="H152" s="598"/>
      <c r="I152" s="584"/>
      <c r="J152" s="584"/>
      <c r="K152" s="584"/>
      <c r="L152" s="584"/>
      <c r="M152" s="587">
        <v>47.0</v>
      </c>
      <c r="N152" s="593">
        <v>44173.0</v>
      </c>
      <c r="O152" s="585"/>
      <c r="P152" s="585"/>
      <c r="Q152" s="585"/>
      <c r="R152" s="585"/>
      <c r="S152" s="585"/>
      <c r="T152" s="585"/>
      <c r="U152" s="585"/>
      <c r="V152" s="585"/>
      <c r="W152" s="585"/>
      <c r="X152" s="585"/>
      <c r="Y152" s="585"/>
      <c r="Z152" s="585"/>
      <c r="AA152" s="585"/>
      <c r="AB152" s="585"/>
      <c r="AC152" s="585"/>
    </row>
    <row r="153" ht="37.5" customHeight="1">
      <c r="A153" s="580" t="s">
        <v>31339</v>
      </c>
      <c r="B153" s="581" t="s">
        <v>31340</v>
      </c>
      <c r="C153" s="581" t="s">
        <v>31341</v>
      </c>
      <c r="D153" s="581" t="s">
        <v>1468</v>
      </c>
      <c r="E153" s="582"/>
      <c r="F153" s="582"/>
      <c r="G153" s="582"/>
      <c r="H153" s="598"/>
      <c r="I153" s="587"/>
      <c r="J153" s="587"/>
      <c r="K153" s="584"/>
      <c r="L153" s="584"/>
      <c r="M153" s="584"/>
      <c r="N153" s="584"/>
      <c r="O153" s="585"/>
      <c r="P153" s="585"/>
      <c r="Q153" s="585"/>
      <c r="R153" s="585"/>
      <c r="S153" s="585"/>
      <c r="T153" s="585"/>
      <c r="U153" s="585"/>
      <c r="V153" s="585"/>
      <c r="W153" s="585"/>
      <c r="X153" s="585"/>
      <c r="Y153" s="585"/>
      <c r="Z153" s="585"/>
      <c r="AA153" s="585"/>
      <c r="AB153" s="585"/>
      <c r="AC153" s="585"/>
    </row>
    <row r="154" ht="40.5" customHeight="1">
      <c r="A154" s="580" t="s">
        <v>31342</v>
      </c>
      <c r="B154" s="581" t="s">
        <v>31343</v>
      </c>
      <c r="C154" s="581" t="s">
        <v>31344</v>
      </c>
      <c r="D154" s="581" t="s">
        <v>31345</v>
      </c>
      <c r="E154" s="589" t="s">
        <v>31346</v>
      </c>
      <c r="F154" s="582"/>
      <c r="G154" s="582"/>
      <c r="H154" s="598"/>
      <c r="I154" s="587"/>
      <c r="J154" s="587"/>
      <c r="K154" s="584"/>
      <c r="L154" s="584"/>
      <c r="M154" s="584"/>
      <c r="N154" s="584"/>
      <c r="O154" s="585"/>
      <c r="P154" s="585"/>
      <c r="Q154" s="585"/>
      <c r="R154" s="585"/>
      <c r="S154" s="585"/>
      <c r="T154" s="585"/>
      <c r="U154" s="585"/>
      <c r="V154" s="585"/>
      <c r="W154" s="585"/>
      <c r="X154" s="585"/>
      <c r="Y154" s="585"/>
      <c r="Z154" s="585"/>
      <c r="AA154" s="585"/>
      <c r="AB154" s="585"/>
      <c r="AC154" s="585"/>
    </row>
    <row r="155" ht="33.0" customHeight="1">
      <c r="A155" s="580" t="s">
        <v>31347</v>
      </c>
      <c r="B155" s="581" t="s">
        <v>31348</v>
      </c>
      <c r="C155" s="581" t="s">
        <v>31349</v>
      </c>
      <c r="D155" s="581" t="s">
        <v>31350</v>
      </c>
      <c r="E155" s="589" t="s">
        <v>31346</v>
      </c>
      <c r="F155" s="582"/>
      <c r="G155" s="582"/>
      <c r="H155" s="598"/>
      <c r="I155" s="587"/>
      <c r="J155" s="587"/>
      <c r="K155" s="584"/>
      <c r="L155" s="584"/>
      <c r="M155" s="584"/>
      <c r="N155" s="584"/>
      <c r="O155" s="585"/>
      <c r="P155" s="585"/>
      <c r="Q155" s="585"/>
      <c r="R155" s="585"/>
      <c r="S155" s="585"/>
      <c r="T155" s="585"/>
      <c r="U155" s="585"/>
      <c r="V155" s="585"/>
      <c r="W155" s="585"/>
      <c r="X155" s="585"/>
      <c r="Y155" s="585"/>
      <c r="Z155" s="585"/>
      <c r="AA155" s="585"/>
      <c r="AB155" s="585"/>
      <c r="AC155" s="585"/>
    </row>
    <row r="156" ht="33.0" customHeight="1">
      <c r="A156" s="580" t="s">
        <v>31347</v>
      </c>
      <c r="B156" s="581" t="s">
        <v>31340</v>
      </c>
      <c r="C156" s="581" t="s">
        <v>31351</v>
      </c>
      <c r="D156" s="581" t="s">
        <v>31352</v>
      </c>
      <c r="E156" s="589" t="s">
        <v>31353</v>
      </c>
      <c r="F156" s="582"/>
      <c r="G156" s="582"/>
      <c r="H156" s="598"/>
      <c r="I156" s="587">
        <v>18.0</v>
      </c>
      <c r="J156" s="587" t="s">
        <v>31354</v>
      </c>
      <c r="K156" s="584"/>
      <c r="L156" s="584"/>
      <c r="M156" s="584"/>
      <c r="N156" s="584"/>
      <c r="O156" s="585"/>
      <c r="P156" s="585"/>
      <c r="Q156" s="585"/>
      <c r="R156" s="585"/>
      <c r="S156" s="585"/>
      <c r="T156" s="585"/>
      <c r="U156" s="585"/>
      <c r="V156" s="585"/>
      <c r="W156" s="585"/>
      <c r="X156" s="585"/>
      <c r="Y156" s="585"/>
      <c r="Z156" s="585"/>
      <c r="AA156" s="585"/>
      <c r="AB156" s="585"/>
      <c r="AC156" s="585"/>
    </row>
    <row r="157" ht="27.0" customHeight="1">
      <c r="A157" s="580" t="s">
        <v>31355</v>
      </c>
      <c r="B157" s="581" t="s">
        <v>31356</v>
      </c>
      <c r="C157" s="581" t="s">
        <v>31357</v>
      </c>
      <c r="D157" s="581" t="s">
        <v>31358</v>
      </c>
      <c r="E157" s="582"/>
      <c r="F157" s="582"/>
      <c r="G157" s="582"/>
      <c r="H157" s="598"/>
      <c r="I157" s="584"/>
      <c r="J157" s="584"/>
      <c r="K157" s="584"/>
      <c r="L157" s="584"/>
      <c r="M157" s="584"/>
      <c r="N157" s="584"/>
      <c r="O157" s="585"/>
      <c r="P157" s="585"/>
      <c r="Q157" s="585"/>
      <c r="R157" s="585"/>
      <c r="S157" s="585"/>
      <c r="T157" s="585"/>
      <c r="U157" s="585"/>
      <c r="V157" s="585"/>
      <c r="W157" s="585"/>
      <c r="X157" s="585"/>
      <c r="Y157" s="585"/>
      <c r="Z157" s="585"/>
      <c r="AA157" s="585"/>
      <c r="AB157" s="585"/>
      <c r="AC157" s="585"/>
    </row>
    <row r="158" ht="24.0" customHeight="1">
      <c r="A158" s="580" t="s">
        <v>31359</v>
      </c>
      <c r="B158" s="581" t="s">
        <v>31356</v>
      </c>
      <c r="C158" s="581" t="s">
        <v>31360</v>
      </c>
      <c r="D158" s="581" t="s">
        <v>31358</v>
      </c>
      <c r="E158" s="582"/>
      <c r="F158" s="582"/>
      <c r="G158" s="582"/>
      <c r="H158" s="598"/>
      <c r="I158" s="584"/>
      <c r="J158" s="584"/>
      <c r="K158" s="584"/>
      <c r="L158" s="584"/>
      <c r="M158" s="584"/>
      <c r="N158" s="584"/>
      <c r="O158" s="585"/>
      <c r="P158" s="585"/>
      <c r="Q158" s="585"/>
      <c r="R158" s="585"/>
      <c r="S158" s="585"/>
      <c r="T158" s="585"/>
      <c r="U158" s="585"/>
      <c r="V158" s="585"/>
      <c r="W158" s="585"/>
      <c r="X158" s="585"/>
      <c r="Y158" s="585"/>
      <c r="Z158" s="585"/>
      <c r="AA158" s="585"/>
      <c r="AB158" s="585"/>
      <c r="AC158" s="585"/>
    </row>
    <row r="159" ht="24.0" customHeight="1">
      <c r="A159" s="580" t="s">
        <v>31361</v>
      </c>
      <c r="B159" s="581" t="s">
        <v>31356</v>
      </c>
      <c r="C159" s="581" t="s">
        <v>2980</v>
      </c>
      <c r="D159" s="581" t="s">
        <v>31358</v>
      </c>
      <c r="E159" s="582"/>
      <c r="F159" s="582"/>
      <c r="G159" s="582"/>
      <c r="H159" s="598"/>
      <c r="I159" s="584"/>
      <c r="J159" s="584"/>
      <c r="K159" s="584"/>
      <c r="L159" s="584"/>
      <c r="M159" s="584"/>
      <c r="N159" s="584"/>
      <c r="O159" s="585"/>
      <c r="P159" s="585"/>
      <c r="Q159" s="585"/>
      <c r="R159" s="585"/>
      <c r="S159" s="585"/>
      <c r="T159" s="585"/>
      <c r="U159" s="585"/>
      <c r="V159" s="585"/>
      <c r="W159" s="585"/>
      <c r="X159" s="585"/>
      <c r="Y159" s="585"/>
      <c r="Z159" s="585"/>
      <c r="AA159" s="585"/>
      <c r="AB159" s="585"/>
      <c r="AC159" s="585"/>
    </row>
    <row r="160" ht="19.5" customHeight="1">
      <c r="A160" s="580" t="s">
        <v>31362</v>
      </c>
      <c r="B160" s="589" t="s">
        <v>31363</v>
      </c>
      <c r="C160" s="581" t="s">
        <v>8570</v>
      </c>
      <c r="D160" s="581" t="s">
        <v>31364</v>
      </c>
      <c r="E160" s="582"/>
      <c r="F160" s="582"/>
      <c r="G160" s="582"/>
      <c r="H160" s="598"/>
      <c r="I160" s="584"/>
      <c r="J160" s="584"/>
      <c r="K160" s="584"/>
      <c r="L160" s="584"/>
      <c r="M160" s="584"/>
      <c r="N160" s="584"/>
      <c r="O160" s="585"/>
      <c r="P160" s="585"/>
      <c r="Q160" s="585"/>
      <c r="R160" s="585"/>
      <c r="S160" s="585"/>
      <c r="T160" s="585"/>
      <c r="U160" s="585"/>
      <c r="V160" s="585"/>
      <c r="W160" s="585"/>
      <c r="X160" s="585"/>
      <c r="Y160" s="585"/>
      <c r="Z160" s="585"/>
      <c r="AA160" s="585"/>
      <c r="AB160" s="585"/>
      <c r="AC160" s="585"/>
    </row>
    <row r="161" ht="19.5" customHeight="1">
      <c r="A161" s="580" t="s">
        <v>207</v>
      </c>
      <c r="B161" s="582"/>
      <c r="C161" s="581" t="s">
        <v>31365</v>
      </c>
      <c r="D161" s="581" t="s">
        <v>1233</v>
      </c>
      <c r="E161" s="582"/>
      <c r="F161" s="582"/>
      <c r="G161" s="582"/>
      <c r="H161" s="598"/>
      <c r="I161" s="584"/>
      <c r="J161" s="584"/>
      <c r="K161" s="584"/>
      <c r="L161" s="584"/>
      <c r="M161" s="584"/>
      <c r="N161" s="584"/>
      <c r="O161" s="585"/>
      <c r="P161" s="585"/>
      <c r="Q161" s="585"/>
      <c r="R161" s="585"/>
      <c r="S161" s="585"/>
      <c r="T161" s="585"/>
      <c r="U161" s="585"/>
      <c r="V161" s="585"/>
      <c r="W161" s="585"/>
      <c r="X161" s="585"/>
      <c r="Y161" s="585"/>
      <c r="Z161" s="585"/>
      <c r="AA161" s="585"/>
      <c r="AB161" s="585"/>
      <c r="AC161" s="585"/>
    </row>
    <row r="162" ht="27.75" customHeight="1">
      <c r="A162" s="592" t="s">
        <v>31366</v>
      </c>
      <c r="B162" s="581" t="s">
        <v>30975</v>
      </c>
      <c r="C162" s="581" t="s">
        <v>10904</v>
      </c>
      <c r="D162" s="581" t="s">
        <v>31367</v>
      </c>
      <c r="E162" s="589"/>
      <c r="F162" s="589"/>
      <c r="G162" s="589"/>
      <c r="H162" s="425"/>
      <c r="I162" s="587"/>
      <c r="J162" s="587"/>
      <c r="K162" s="584"/>
      <c r="L162" s="584"/>
      <c r="M162" s="584"/>
      <c r="N162" s="584"/>
      <c r="O162" s="585"/>
      <c r="P162" s="585"/>
      <c r="Q162" s="585"/>
      <c r="R162" s="585"/>
      <c r="S162" s="585"/>
      <c r="T162" s="585"/>
      <c r="U162" s="585"/>
      <c r="V162" s="585"/>
      <c r="W162" s="585"/>
      <c r="X162" s="585"/>
      <c r="Y162" s="585"/>
      <c r="Z162" s="585"/>
      <c r="AA162" s="585"/>
      <c r="AB162" s="585"/>
      <c r="AC162" s="585"/>
    </row>
    <row r="163" ht="27.75" customHeight="1">
      <c r="A163" s="592" t="s">
        <v>31368</v>
      </c>
      <c r="B163" s="581" t="s">
        <v>30975</v>
      </c>
      <c r="C163" s="581" t="s">
        <v>31369</v>
      </c>
      <c r="D163" s="581" t="s">
        <v>31370</v>
      </c>
      <c r="E163" s="589"/>
      <c r="F163" s="589"/>
      <c r="G163" s="589"/>
      <c r="H163" s="425"/>
      <c r="I163" s="587"/>
      <c r="J163" s="587"/>
      <c r="K163" s="584"/>
      <c r="L163" s="584"/>
      <c r="M163" s="584"/>
      <c r="N163" s="584"/>
      <c r="O163" s="585"/>
      <c r="P163" s="585"/>
      <c r="Q163" s="585"/>
      <c r="R163" s="585"/>
      <c r="S163" s="585"/>
      <c r="T163" s="585"/>
      <c r="U163" s="585"/>
      <c r="V163" s="585"/>
      <c r="W163" s="585"/>
      <c r="X163" s="585"/>
      <c r="Y163" s="585"/>
      <c r="Z163" s="585"/>
      <c r="AA163" s="585"/>
      <c r="AB163" s="585"/>
      <c r="AC163" s="585"/>
    </row>
    <row r="164" ht="27.75" customHeight="1">
      <c r="A164" s="592" t="s">
        <v>31371</v>
      </c>
      <c r="B164" s="581" t="s">
        <v>30975</v>
      </c>
      <c r="C164" s="581" t="s">
        <v>11934</v>
      </c>
      <c r="D164" s="581" t="s">
        <v>31372</v>
      </c>
      <c r="E164" s="589"/>
      <c r="F164" s="589"/>
      <c r="G164" s="589"/>
      <c r="H164" s="425"/>
      <c r="I164" s="587"/>
      <c r="J164" s="587"/>
      <c r="K164" s="584"/>
      <c r="L164" s="584"/>
      <c r="M164" s="584"/>
      <c r="N164" s="584"/>
      <c r="O164" s="585"/>
      <c r="P164" s="585"/>
      <c r="Q164" s="585"/>
      <c r="R164" s="585"/>
      <c r="S164" s="585"/>
      <c r="T164" s="585"/>
      <c r="U164" s="585"/>
      <c r="V164" s="585"/>
      <c r="W164" s="585"/>
      <c r="X164" s="585"/>
      <c r="Y164" s="585"/>
      <c r="Z164" s="585"/>
      <c r="AA164" s="585"/>
      <c r="AB164" s="585"/>
      <c r="AC164" s="585"/>
    </row>
    <row r="165" ht="27.75" customHeight="1">
      <c r="A165" s="592" t="s">
        <v>31373</v>
      </c>
      <c r="B165" s="581" t="s">
        <v>30975</v>
      </c>
      <c r="C165" s="581" t="s">
        <v>2827</v>
      </c>
      <c r="D165" s="581" t="s">
        <v>30925</v>
      </c>
      <c r="E165" s="589"/>
      <c r="F165" s="589" t="s">
        <v>31374</v>
      </c>
      <c r="G165" s="589" t="s">
        <v>2549</v>
      </c>
      <c r="H165" s="425"/>
      <c r="I165" s="587"/>
      <c r="J165" s="587"/>
      <c r="K165" s="584"/>
      <c r="L165" s="584"/>
      <c r="M165" s="584"/>
      <c r="N165" s="584"/>
      <c r="O165" s="585"/>
      <c r="P165" s="585"/>
      <c r="Q165" s="585"/>
      <c r="R165" s="585"/>
      <c r="S165" s="585"/>
      <c r="T165" s="585"/>
      <c r="U165" s="585"/>
      <c r="V165" s="585"/>
      <c r="W165" s="585"/>
      <c r="X165" s="585"/>
      <c r="Y165" s="585"/>
      <c r="Z165" s="585"/>
      <c r="AA165" s="585"/>
      <c r="AB165" s="585"/>
      <c r="AC165" s="585"/>
    </row>
    <row r="166" ht="30.0" customHeight="1">
      <c r="A166" s="592" t="s">
        <v>31375</v>
      </c>
      <c r="B166" s="581" t="s">
        <v>30975</v>
      </c>
      <c r="C166" s="581" t="s">
        <v>11934</v>
      </c>
      <c r="D166" s="581" t="s">
        <v>31372</v>
      </c>
      <c r="E166" s="582"/>
      <c r="F166" s="582"/>
      <c r="G166" s="582"/>
      <c r="H166" s="598"/>
      <c r="I166" s="587"/>
      <c r="J166" s="587"/>
      <c r="K166" s="584"/>
      <c r="L166" s="584"/>
      <c r="M166" s="584"/>
      <c r="N166" s="584"/>
      <c r="O166" s="585"/>
      <c r="P166" s="585"/>
      <c r="Q166" s="585"/>
      <c r="R166" s="585"/>
      <c r="S166" s="585"/>
      <c r="T166" s="585"/>
      <c r="U166" s="585"/>
      <c r="V166" s="585"/>
      <c r="W166" s="585"/>
      <c r="X166" s="585"/>
      <c r="Y166" s="585"/>
      <c r="Z166" s="585"/>
      <c r="AA166" s="585"/>
      <c r="AB166" s="585"/>
      <c r="AC166" s="585"/>
    </row>
    <row r="167" ht="30.0" customHeight="1">
      <c r="A167" s="592" t="s">
        <v>31376</v>
      </c>
      <c r="B167" s="581" t="s">
        <v>31029</v>
      </c>
      <c r="C167" s="581" t="s">
        <v>8804</v>
      </c>
      <c r="D167" s="581" t="s">
        <v>31377</v>
      </c>
      <c r="E167" s="582"/>
      <c r="F167" s="582"/>
      <c r="G167" s="582"/>
      <c r="H167" s="598"/>
      <c r="I167" s="587"/>
      <c r="J167" s="587"/>
      <c r="K167" s="584"/>
      <c r="L167" s="584"/>
      <c r="M167" s="584"/>
      <c r="N167" s="584"/>
      <c r="O167" s="585"/>
      <c r="P167" s="585"/>
      <c r="Q167" s="585"/>
      <c r="R167" s="585"/>
      <c r="S167" s="585"/>
      <c r="T167" s="585"/>
      <c r="U167" s="585"/>
      <c r="V167" s="585"/>
      <c r="W167" s="585"/>
      <c r="X167" s="585"/>
      <c r="Y167" s="585"/>
      <c r="Z167" s="585"/>
      <c r="AA167" s="585"/>
      <c r="AB167" s="585"/>
      <c r="AC167" s="585"/>
    </row>
    <row r="168" ht="30.0" customHeight="1">
      <c r="A168" s="592" t="s">
        <v>31378</v>
      </c>
      <c r="B168" s="581" t="s">
        <v>31379</v>
      </c>
      <c r="C168" s="581" t="s">
        <v>30928</v>
      </c>
      <c r="D168" s="581" t="s">
        <v>31380</v>
      </c>
      <c r="E168" s="582"/>
      <c r="F168" s="582"/>
      <c r="G168" s="582"/>
      <c r="H168" s="598"/>
      <c r="I168" s="587"/>
      <c r="J168" s="587"/>
      <c r="K168" s="584"/>
      <c r="L168" s="584"/>
      <c r="M168" s="584"/>
      <c r="N168" s="584"/>
      <c r="O168" s="585"/>
      <c r="P168" s="585"/>
      <c r="Q168" s="585"/>
      <c r="R168" s="585"/>
      <c r="S168" s="585"/>
      <c r="T168" s="585"/>
      <c r="U168" s="585"/>
      <c r="V168" s="585"/>
      <c r="W168" s="585"/>
      <c r="X168" s="585"/>
      <c r="Y168" s="585"/>
      <c r="Z168" s="585"/>
      <c r="AA168" s="585"/>
      <c r="AB168" s="585"/>
      <c r="AC168" s="585"/>
    </row>
    <row r="169" ht="30.0" customHeight="1">
      <c r="A169" s="619" t="s">
        <v>31381</v>
      </c>
      <c r="B169" s="581" t="s">
        <v>31379</v>
      </c>
      <c r="C169" s="581" t="s">
        <v>11934</v>
      </c>
      <c r="D169" s="581" t="s">
        <v>31382</v>
      </c>
      <c r="E169" s="582"/>
      <c r="F169" s="582"/>
      <c r="G169" s="582"/>
      <c r="H169" s="598"/>
      <c r="I169" s="587"/>
      <c r="J169" s="587"/>
      <c r="K169" s="584"/>
      <c r="L169" s="584"/>
      <c r="M169" s="584"/>
      <c r="N169" s="584"/>
      <c r="O169" s="585"/>
      <c r="P169" s="585"/>
      <c r="Q169" s="585"/>
      <c r="R169" s="585"/>
      <c r="S169" s="585"/>
      <c r="T169" s="585"/>
      <c r="U169" s="585"/>
      <c r="V169" s="585"/>
      <c r="W169" s="585"/>
      <c r="X169" s="585"/>
      <c r="Y169" s="585"/>
      <c r="Z169" s="585"/>
      <c r="AA169" s="585"/>
      <c r="AB169" s="585"/>
      <c r="AC169" s="585"/>
    </row>
    <row r="170" ht="30.0" customHeight="1">
      <c r="A170" s="619" t="s">
        <v>31383</v>
      </c>
      <c r="B170" s="581" t="s">
        <v>31384</v>
      </c>
      <c r="C170" s="581" t="s">
        <v>31385</v>
      </c>
      <c r="D170" s="581" t="s">
        <v>31386</v>
      </c>
      <c r="E170" s="582"/>
      <c r="F170" s="582"/>
      <c r="G170" s="582"/>
      <c r="H170" s="598"/>
      <c r="I170" s="587"/>
      <c r="J170" s="587"/>
      <c r="K170" s="584"/>
      <c r="L170" s="584"/>
      <c r="M170" s="584"/>
      <c r="N170" s="584"/>
      <c r="O170" s="585"/>
      <c r="P170" s="585"/>
      <c r="Q170" s="585"/>
      <c r="R170" s="585"/>
      <c r="S170" s="585"/>
      <c r="T170" s="585"/>
      <c r="U170" s="585"/>
      <c r="V170" s="585"/>
      <c r="W170" s="585"/>
      <c r="X170" s="585"/>
      <c r="Y170" s="585"/>
      <c r="Z170" s="585"/>
      <c r="AA170" s="585"/>
      <c r="AB170" s="585"/>
      <c r="AC170" s="585"/>
    </row>
    <row r="171" ht="19.5" customHeight="1">
      <c r="A171" s="580" t="s">
        <v>31387</v>
      </c>
      <c r="B171" s="581" t="s">
        <v>31388</v>
      </c>
      <c r="C171" s="581" t="s">
        <v>31389</v>
      </c>
      <c r="D171" s="581" t="s">
        <v>3398</v>
      </c>
      <c r="E171" s="582"/>
      <c r="F171" s="582"/>
      <c r="G171" s="582"/>
      <c r="H171" s="598"/>
      <c r="I171" s="587"/>
      <c r="J171" s="587"/>
      <c r="K171" s="584"/>
      <c r="L171" s="584"/>
      <c r="M171" s="584"/>
      <c r="N171" s="584"/>
      <c r="O171" s="585"/>
      <c r="P171" s="585"/>
      <c r="Q171" s="585"/>
      <c r="R171" s="585"/>
      <c r="S171" s="585"/>
      <c r="T171" s="585"/>
      <c r="U171" s="585"/>
      <c r="V171" s="585"/>
      <c r="W171" s="585"/>
      <c r="X171" s="585"/>
      <c r="Y171" s="585"/>
      <c r="Z171" s="585"/>
      <c r="AA171" s="585"/>
      <c r="AB171" s="585"/>
      <c r="AC171" s="585"/>
    </row>
    <row r="172" ht="105.75" customHeight="1">
      <c r="A172" s="580" t="s">
        <v>31390</v>
      </c>
      <c r="B172" s="581" t="s">
        <v>8518</v>
      </c>
      <c r="C172" s="581" t="s">
        <v>31391</v>
      </c>
      <c r="D172" s="581"/>
      <c r="E172" s="582"/>
      <c r="F172" s="582"/>
      <c r="G172" s="582"/>
      <c r="H172" s="598"/>
      <c r="I172" s="587"/>
      <c r="J172" s="587"/>
      <c r="K172" s="584"/>
      <c r="L172" s="584"/>
      <c r="M172" s="584"/>
      <c r="N172" s="584"/>
      <c r="O172" s="585"/>
      <c r="P172" s="585"/>
      <c r="Q172" s="585"/>
      <c r="R172" s="585"/>
      <c r="S172" s="585"/>
      <c r="T172" s="585"/>
      <c r="U172" s="585"/>
      <c r="V172" s="585"/>
      <c r="W172" s="585"/>
      <c r="X172" s="585"/>
      <c r="Y172" s="585"/>
      <c r="Z172" s="585"/>
      <c r="AA172" s="585"/>
      <c r="AB172" s="585"/>
      <c r="AC172" s="585"/>
    </row>
    <row r="173" ht="19.5" customHeight="1">
      <c r="A173" s="580" t="s">
        <v>257</v>
      </c>
      <c r="B173" s="581" t="s">
        <v>30998</v>
      </c>
      <c r="C173" s="581" t="s">
        <v>12681</v>
      </c>
      <c r="D173" s="581" t="s">
        <v>1101</v>
      </c>
      <c r="E173" s="582"/>
      <c r="F173" s="582"/>
      <c r="G173" s="582"/>
      <c r="H173" s="598"/>
      <c r="I173" s="587">
        <v>4.2</v>
      </c>
      <c r="J173" s="587" t="s">
        <v>31392</v>
      </c>
      <c r="K173" s="584"/>
      <c r="L173" s="584"/>
      <c r="M173" s="584"/>
      <c r="N173" s="584"/>
      <c r="O173" s="585"/>
      <c r="P173" s="585"/>
      <c r="Q173" s="585"/>
      <c r="R173" s="585"/>
      <c r="S173" s="585"/>
      <c r="T173" s="585"/>
      <c r="U173" s="585"/>
      <c r="V173" s="585"/>
      <c r="W173" s="585"/>
      <c r="X173" s="585"/>
      <c r="Y173" s="585"/>
      <c r="Z173" s="585"/>
      <c r="AA173" s="585"/>
      <c r="AB173" s="585"/>
      <c r="AC173" s="585"/>
    </row>
    <row r="174" ht="27.0" customHeight="1">
      <c r="A174" s="606" t="s">
        <v>31393</v>
      </c>
      <c r="B174" s="596" t="s">
        <v>31253</v>
      </c>
      <c r="C174" s="596" t="s">
        <v>3100</v>
      </c>
      <c r="D174" s="596" t="s">
        <v>30991</v>
      </c>
      <c r="E174" s="601"/>
      <c r="F174" s="600"/>
      <c r="G174" s="600"/>
      <c r="H174" s="598"/>
      <c r="I174" s="584"/>
      <c r="J174" s="584"/>
      <c r="K174" s="584"/>
      <c r="L174" s="584"/>
      <c r="M174" s="584"/>
      <c r="N174" s="584"/>
      <c r="O174" s="585"/>
      <c r="P174" s="585"/>
      <c r="Q174" s="585"/>
      <c r="R174" s="585"/>
      <c r="S174" s="585"/>
      <c r="T174" s="585"/>
      <c r="U174" s="585"/>
      <c r="V174" s="585"/>
      <c r="W174" s="585"/>
      <c r="X174" s="585"/>
      <c r="Y174" s="585"/>
      <c r="Z174" s="585"/>
      <c r="AA174" s="585"/>
      <c r="AB174" s="585"/>
      <c r="AC174" s="585"/>
    </row>
    <row r="175" ht="27.0" customHeight="1">
      <c r="A175" s="606" t="s">
        <v>257</v>
      </c>
      <c r="B175" s="596" t="s">
        <v>31394</v>
      </c>
      <c r="C175" s="596" t="s">
        <v>31395</v>
      </c>
      <c r="D175" s="596" t="s">
        <v>30991</v>
      </c>
      <c r="E175" s="601"/>
      <c r="F175" s="600"/>
      <c r="G175" s="600"/>
      <c r="H175" s="598"/>
      <c r="I175" s="584"/>
      <c r="J175" s="584"/>
      <c r="K175" s="584"/>
      <c r="L175" s="584"/>
      <c r="M175" s="584"/>
      <c r="N175" s="584"/>
      <c r="O175" s="585"/>
      <c r="P175" s="585"/>
      <c r="Q175" s="585"/>
      <c r="R175" s="585"/>
      <c r="S175" s="585"/>
      <c r="T175" s="585"/>
      <c r="U175" s="585"/>
      <c r="V175" s="585"/>
      <c r="W175" s="585"/>
      <c r="X175" s="585"/>
      <c r="Y175" s="585"/>
      <c r="Z175" s="585"/>
      <c r="AA175" s="585"/>
      <c r="AB175" s="585"/>
      <c r="AC175" s="585"/>
    </row>
    <row r="176" ht="27.0" customHeight="1">
      <c r="A176" s="606" t="s">
        <v>31396</v>
      </c>
      <c r="B176" s="596" t="s">
        <v>31397</v>
      </c>
      <c r="C176" s="596" t="s">
        <v>31398</v>
      </c>
      <c r="D176" s="596" t="s">
        <v>40</v>
      </c>
      <c r="E176" s="601"/>
      <c r="F176" s="600"/>
      <c r="G176" s="600"/>
      <c r="H176" s="598"/>
      <c r="I176" s="584"/>
      <c r="J176" s="584"/>
      <c r="K176" s="584"/>
      <c r="L176" s="584"/>
      <c r="M176" s="584"/>
      <c r="N176" s="584"/>
      <c r="O176" s="585"/>
      <c r="P176" s="585"/>
      <c r="Q176" s="585"/>
      <c r="R176" s="585"/>
      <c r="S176" s="585"/>
      <c r="T176" s="585"/>
      <c r="U176" s="585"/>
      <c r="V176" s="585"/>
      <c r="W176" s="585"/>
      <c r="X176" s="585"/>
      <c r="Y176" s="585"/>
      <c r="Z176" s="585"/>
      <c r="AA176" s="585"/>
      <c r="AB176" s="585"/>
      <c r="AC176" s="585"/>
    </row>
    <row r="177" ht="24.75" customHeight="1">
      <c r="A177" s="594" t="s">
        <v>31399</v>
      </c>
      <c r="B177" s="596" t="s">
        <v>31400</v>
      </c>
      <c r="C177" s="603" t="s">
        <v>3195</v>
      </c>
      <c r="D177" s="603" t="s">
        <v>31046</v>
      </c>
      <c r="E177" s="603"/>
      <c r="F177" s="620" t="s">
        <v>31401</v>
      </c>
      <c r="G177" s="620" t="s">
        <v>6609</v>
      </c>
      <c r="H177" s="598"/>
      <c r="I177" s="584"/>
      <c r="J177" s="584"/>
      <c r="K177" s="584"/>
      <c r="L177" s="584"/>
      <c r="M177" s="584"/>
      <c r="N177" s="584"/>
      <c r="O177" s="585"/>
      <c r="P177" s="585"/>
      <c r="Q177" s="585"/>
      <c r="R177" s="585"/>
      <c r="S177" s="585"/>
      <c r="T177" s="585"/>
      <c r="U177" s="585"/>
      <c r="V177" s="585"/>
      <c r="W177" s="585"/>
      <c r="X177" s="585"/>
      <c r="Y177" s="585"/>
      <c r="Z177" s="585"/>
      <c r="AA177" s="585"/>
      <c r="AB177" s="585"/>
      <c r="AC177" s="585"/>
    </row>
    <row r="178" ht="19.5" customHeight="1">
      <c r="A178" s="606" t="s">
        <v>31402</v>
      </c>
      <c r="B178" s="596" t="s">
        <v>31400</v>
      </c>
      <c r="C178" s="596" t="s">
        <v>31107</v>
      </c>
      <c r="D178" s="596" t="s">
        <v>31046</v>
      </c>
      <c r="E178" s="601"/>
      <c r="F178" s="600"/>
      <c r="G178" s="600"/>
      <c r="H178" s="598"/>
      <c r="I178" s="584"/>
      <c r="J178" s="584"/>
      <c r="K178" s="584"/>
      <c r="L178" s="584"/>
      <c r="M178" s="584"/>
      <c r="N178" s="584"/>
      <c r="O178" s="585"/>
      <c r="P178" s="585"/>
      <c r="Q178" s="585"/>
      <c r="R178" s="585"/>
      <c r="S178" s="585"/>
      <c r="T178" s="585"/>
      <c r="U178" s="585"/>
      <c r="V178" s="585"/>
      <c r="W178" s="585"/>
      <c r="X178" s="585"/>
      <c r="Y178" s="585"/>
      <c r="Z178" s="585"/>
      <c r="AA178" s="585"/>
      <c r="AB178" s="585"/>
      <c r="AC178" s="585"/>
    </row>
    <row r="179" ht="19.5" customHeight="1">
      <c r="A179" s="606" t="s">
        <v>31402</v>
      </c>
      <c r="B179" s="596" t="s">
        <v>30975</v>
      </c>
      <c r="C179" s="596" t="s">
        <v>31403</v>
      </c>
      <c r="D179" s="596" t="s">
        <v>31404</v>
      </c>
      <c r="E179" s="601"/>
      <c r="F179" s="600"/>
      <c r="G179" s="600"/>
      <c r="H179" s="598"/>
      <c r="I179" s="584"/>
      <c r="J179" s="584"/>
      <c r="K179" s="584"/>
      <c r="L179" s="584"/>
      <c r="M179" s="584"/>
      <c r="N179" s="584"/>
      <c r="O179" s="585"/>
      <c r="P179" s="585"/>
      <c r="Q179" s="585"/>
      <c r="R179" s="585"/>
      <c r="S179" s="585"/>
      <c r="T179" s="585"/>
      <c r="U179" s="585"/>
      <c r="V179" s="585"/>
      <c r="W179" s="585"/>
      <c r="X179" s="585"/>
      <c r="Y179" s="585"/>
      <c r="Z179" s="585"/>
      <c r="AA179" s="585"/>
      <c r="AB179" s="585"/>
      <c r="AC179" s="585"/>
    </row>
    <row r="180" ht="19.5" customHeight="1">
      <c r="A180" s="606" t="s">
        <v>31405</v>
      </c>
      <c r="B180" s="596" t="s">
        <v>31397</v>
      </c>
      <c r="C180" s="596" t="s">
        <v>137</v>
      </c>
      <c r="D180" s="596" t="s">
        <v>31406</v>
      </c>
      <c r="E180" s="601"/>
      <c r="F180" s="600"/>
      <c r="G180" s="600"/>
      <c r="H180" s="598"/>
      <c r="I180" s="584"/>
      <c r="J180" s="584"/>
      <c r="K180" s="584"/>
      <c r="L180" s="584"/>
      <c r="M180" s="584"/>
      <c r="N180" s="584"/>
      <c r="O180" s="585"/>
      <c r="P180" s="585"/>
      <c r="Q180" s="585"/>
      <c r="R180" s="585"/>
      <c r="S180" s="585"/>
      <c r="T180" s="585"/>
      <c r="U180" s="585"/>
      <c r="V180" s="585"/>
      <c r="W180" s="585"/>
      <c r="X180" s="585"/>
      <c r="Y180" s="585"/>
      <c r="Z180" s="585"/>
      <c r="AA180" s="585"/>
      <c r="AB180" s="585"/>
      <c r="AC180" s="585"/>
    </row>
    <row r="181" ht="19.5" customHeight="1">
      <c r="A181" s="606" t="s">
        <v>31407</v>
      </c>
      <c r="B181" s="621" t="s">
        <v>31408</v>
      </c>
      <c r="C181" s="596" t="s">
        <v>13920</v>
      </c>
      <c r="D181" s="596" t="s">
        <v>30970</v>
      </c>
      <c r="E181" s="601"/>
      <c r="F181" s="600"/>
      <c r="G181" s="600"/>
      <c r="H181" s="598"/>
      <c r="I181" s="584"/>
      <c r="J181" s="584"/>
      <c r="K181" s="584"/>
      <c r="L181" s="584"/>
      <c r="M181" s="584"/>
      <c r="N181" s="584"/>
      <c r="O181" s="585"/>
      <c r="P181" s="585"/>
      <c r="Q181" s="585"/>
      <c r="R181" s="585"/>
      <c r="S181" s="585"/>
      <c r="T181" s="585"/>
      <c r="U181" s="585"/>
      <c r="V181" s="585"/>
      <c r="W181" s="585"/>
      <c r="X181" s="585"/>
      <c r="Y181" s="585"/>
      <c r="Z181" s="585"/>
      <c r="AA181" s="585"/>
      <c r="AB181" s="585"/>
      <c r="AC181" s="585"/>
    </row>
    <row r="182" ht="19.5" customHeight="1">
      <c r="A182" s="606" t="s">
        <v>31409</v>
      </c>
      <c r="B182" s="596" t="s">
        <v>8518</v>
      </c>
      <c r="C182" s="596" t="s">
        <v>31410</v>
      </c>
      <c r="D182" s="596" t="s">
        <v>31411</v>
      </c>
      <c r="E182" s="601"/>
      <c r="F182" s="600"/>
      <c r="G182" s="600"/>
      <c r="H182" s="598"/>
      <c r="I182" s="584"/>
      <c r="J182" s="584"/>
      <c r="K182" s="584"/>
      <c r="L182" s="584"/>
      <c r="M182" s="584"/>
      <c r="N182" s="584"/>
      <c r="O182" s="585"/>
      <c r="P182" s="585"/>
      <c r="Q182" s="585"/>
      <c r="R182" s="585"/>
      <c r="S182" s="585"/>
      <c r="T182" s="585"/>
      <c r="U182" s="585"/>
      <c r="V182" s="585"/>
      <c r="W182" s="585"/>
      <c r="X182" s="585"/>
      <c r="Y182" s="585"/>
      <c r="Z182" s="585"/>
      <c r="AA182" s="585"/>
      <c r="AB182" s="585"/>
      <c r="AC182" s="585"/>
    </row>
    <row r="183" ht="19.5" customHeight="1">
      <c r="A183" s="606" t="s">
        <v>31407</v>
      </c>
      <c r="B183" s="596" t="s">
        <v>31412</v>
      </c>
      <c r="C183" s="596" t="s">
        <v>31413</v>
      </c>
      <c r="D183" s="596" t="s">
        <v>31414</v>
      </c>
      <c r="E183" s="601"/>
      <c r="F183" s="600"/>
      <c r="G183" s="600"/>
      <c r="H183" s="598"/>
      <c r="I183" s="584"/>
      <c r="J183" s="584"/>
      <c r="K183" s="584"/>
      <c r="L183" s="584"/>
      <c r="M183" s="584"/>
      <c r="N183" s="584"/>
      <c r="O183" s="585"/>
      <c r="P183" s="585"/>
      <c r="Q183" s="585"/>
      <c r="R183" s="585"/>
      <c r="S183" s="585"/>
      <c r="T183" s="585"/>
      <c r="U183" s="585"/>
      <c r="V183" s="585"/>
      <c r="W183" s="585"/>
      <c r="X183" s="585"/>
      <c r="Y183" s="585"/>
      <c r="Z183" s="585"/>
      <c r="AA183" s="585"/>
      <c r="AB183" s="585"/>
      <c r="AC183" s="585"/>
    </row>
    <row r="184" ht="19.5" customHeight="1">
      <c r="A184" s="606" t="s">
        <v>31415</v>
      </c>
      <c r="B184" s="596" t="s">
        <v>31397</v>
      </c>
      <c r="C184" s="596" t="s">
        <v>6123</v>
      </c>
      <c r="D184" s="596" t="s">
        <v>1610</v>
      </c>
      <c r="E184" s="601"/>
      <c r="F184" s="600"/>
      <c r="G184" s="600"/>
      <c r="H184" s="598"/>
      <c r="I184" s="584"/>
      <c r="J184" s="584"/>
      <c r="K184" s="584"/>
      <c r="L184" s="584"/>
      <c r="M184" s="584"/>
      <c r="N184" s="584"/>
      <c r="O184" s="585"/>
      <c r="P184" s="585"/>
      <c r="Q184" s="585"/>
      <c r="R184" s="585"/>
      <c r="S184" s="585"/>
      <c r="T184" s="585"/>
      <c r="U184" s="585"/>
      <c r="V184" s="585"/>
      <c r="W184" s="585"/>
      <c r="X184" s="585"/>
      <c r="Y184" s="585"/>
      <c r="Z184" s="585"/>
      <c r="AA184" s="585"/>
      <c r="AB184" s="585"/>
      <c r="AC184" s="585"/>
    </row>
    <row r="185" ht="19.5" customHeight="1">
      <c r="A185" s="606" t="s">
        <v>31416</v>
      </c>
      <c r="B185" s="621" t="s">
        <v>31408</v>
      </c>
      <c r="C185" s="596" t="s">
        <v>9617</v>
      </c>
      <c r="D185" s="596" t="s">
        <v>31417</v>
      </c>
      <c r="E185" s="622"/>
      <c r="F185" s="600"/>
      <c r="G185" s="600"/>
      <c r="H185" s="598"/>
      <c r="I185" s="584"/>
      <c r="J185" s="584"/>
      <c r="K185" s="584"/>
      <c r="L185" s="584"/>
      <c r="M185" s="584"/>
      <c r="N185" s="584"/>
      <c r="O185" s="585"/>
      <c r="P185" s="585"/>
      <c r="Q185" s="585"/>
      <c r="R185" s="585"/>
      <c r="S185" s="585"/>
      <c r="T185" s="585"/>
      <c r="U185" s="585"/>
      <c r="V185" s="585"/>
      <c r="W185" s="585"/>
      <c r="X185" s="585"/>
      <c r="Y185" s="585"/>
      <c r="Z185" s="585"/>
      <c r="AA185" s="585"/>
      <c r="AB185" s="585"/>
      <c r="AC185" s="585"/>
    </row>
    <row r="186" ht="24.75" customHeight="1">
      <c r="A186" s="594" t="s">
        <v>31418</v>
      </c>
      <c r="B186" s="623" t="s">
        <v>31412</v>
      </c>
      <c r="C186" s="596" t="s">
        <v>9617</v>
      </c>
      <c r="D186" s="596" t="s">
        <v>31417</v>
      </c>
      <c r="E186" s="601"/>
      <c r="F186" s="600"/>
      <c r="G186" s="600"/>
      <c r="H186" s="598"/>
      <c r="I186" s="587">
        <v>200.0</v>
      </c>
      <c r="J186" s="587" t="s">
        <v>31419</v>
      </c>
      <c r="K186" s="587" t="s">
        <v>31420</v>
      </c>
      <c r="L186" s="587" t="s">
        <v>31419</v>
      </c>
      <c r="M186" s="584"/>
      <c r="N186" s="584"/>
      <c r="O186" s="585"/>
      <c r="P186" s="585"/>
      <c r="Q186" s="585"/>
      <c r="R186" s="585"/>
      <c r="S186" s="585"/>
      <c r="T186" s="585"/>
      <c r="U186" s="585"/>
      <c r="V186" s="585"/>
      <c r="W186" s="585"/>
      <c r="X186" s="585"/>
      <c r="Y186" s="585"/>
      <c r="Z186" s="585"/>
      <c r="AA186" s="585"/>
      <c r="AB186" s="585"/>
      <c r="AC186" s="585"/>
    </row>
    <row r="187">
      <c r="A187" s="606" t="s">
        <v>31421</v>
      </c>
      <c r="B187" s="596">
        <v>9.830234679E9</v>
      </c>
      <c r="C187" s="596" t="s">
        <v>31403</v>
      </c>
      <c r="D187" s="596" t="s">
        <v>31422</v>
      </c>
      <c r="E187" s="601"/>
      <c r="F187" s="600"/>
      <c r="G187" s="600"/>
      <c r="H187" s="598"/>
      <c r="I187" s="587"/>
      <c r="J187" s="593"/>
      <c r="K187" s="584"/>
      <c r="L187" s="584"/>
      <c r="M187" s="587"/>
      <c r="N187" s="593"/>
      <c r="O187" s="585"/>
      <c r="P187" s="585"/>
      <c r="Q187" s="585"/>
      <c r="R187" s="585"/>
      <c r="S187" s="585"/>
      <c r="T187" s="585"/>
      <c r="U187" s="585"/>
      <c r="V187" s="585"/>
      <c r="W187" s="585"/>
      <c r="X187" s="585"/>
      <c r="Y187" s="585"/>
      <c r="Z187" s="585"/>
      <c r="AA187" s="585"/>
      <c r="AB187" s="585"/>
      <c r="AC187" s="585"/>
    </row>
    <row r="188">
      <c r="A188" s="606" t="s">
        <v>83</v>
      </c>
      <c r="B188" s="596"/>
      <c r="C188" s="624" t="s">
        <v>31423</v>
      </c>
      <c r="D188" s="596" t="s">
        <v>56</v>
      </c>
      <c r="E188" s="601"/>
      <c r="F188" s="600"/>
      <c r="G188" s="600"/>
      <c r="H188" s="598"/>
      <c r="I188" s="587"/>
      <c r="J188" s="593"/>
      <c r="K188" s="584"/>
      <c r="L188" s="584"/>
      <c r="M188" s="587"/>
      <c r="N188" s="593"/>
      <c r="O188" s="585"/>
      <c r="P188" s="585"/>
      <c r="Q188" s="585"/>
      <c r="R188" s="585"/>
      <c r="S188" s="585"/>
      <c r="T188" s="585"/>
      <c r="U188" s="585"/>
      <c r="V188" s="585"/>
      <c r="W188" s="585"/>
      <c r="X188" s="585"/>
      <c r="Y188" s="585"/>
      <c r="Z188" s="585"/>
      <c r="AA188" s="585"/>
      <c r="AB188" s="585"/>
      <c r="AC188" s="585"/>
    </row>
    <row r="189">
      <c r="A189" s="606" t="s">
        <v>7362</v>
      </c>
      <c r="B189" s="596"/>
      <c r="C189" s="625"/>
      <c r="D189" s="596"/>
      <c r="E189" s="596"/>
      <c r="F189" s="597" t="s">
        <v>8045</v>
      </c>
      <c r="G189" s="597" t="s">
        <v>6740</v>
      </c>
      <c r="H189" s="598"/>
      <c r="I189" s="587"/>
      <c r="J189" s="593"/>
      <c r="K189" s="584"/>
      <c r="L189" s="584"/>
      <c r="M189" s="587"/>
      <c r="N189" s="593"/>
      <c r="O189" s="585"/>
      <c r="P189" s="585"/>
      <c r="Q189" s="585"/>
      <c r="R189" s="585"/>
      <c r="S189" s="585"/>
      <c r="T189" s="585"/>
      <c r="U189" s="585"/>
      <c r="V189" s="585"/>
      <c r="W189" s="585"/>
      <c r="X189" s="585"/>
      <c r="Y189" s="585"/>
      <c r="Z189" s="585"/>
      <c r="AA189" s="585"/>
      <c r="AB189" s="585"/>
      <c r="AC189" s="585"/>
    </row>
    <row r="190">
      <c r="A190" s="606" t="s">
        <v>5844</v>
      </c>
      <c r="B190" s="596"/>
      <c r="C190" s="596" t="s">
        <v>31424</v>
      </c>
      <c r="D190" s="596" t="s">
        <v>2263</v>
      </c>
      <c r="E190" s="596"/>
      <c r="F190" s="597" t="s">
        <v>31425</v>
      </c>
      <c r="G190" s="600"/>
      <c r="H190" s="598"/>
      <c r="I190" s="587" t="s">
        <v>31426</v>
      </c>
      <c r="J190" s="593">
        <v>43962.0</v>
      </c>
      <c r="K190" s="584"/>
      <c r="L190" s="584"/>
      <c r="M190" s="587" t="s">
        <v>31427</v>
      </c>
      <c r="N190" s="593">
        <v>43961.0</v>
      </c>
      <c r="O190" s="585"/>
      <c r="P190" s="585"/>
      <c r="Q190" s="585"/>
      <c r="R190" s="585"/>
      <c r="S190" s="585"/>
      <c r="T190" s="585"/>
      <c r="U190" s="585"/>
      <c r="V190" s="585"/>
      <c r="W190" s="585"/>
      <c r="X190" s="585"/>
      <c r="Y190" s="585"/>
      <c r="Z190" s="585"/>
      <c r="AA190" s="585"/>
      <c r="AB190" s="585"/>
      <c r="AC190" s="585"/>
    </row>
    <row r="191" ht="19.5" customHeight="1">
      <c r="A191" s="606" t="s">
        <v>10653</v>
      </c>
      <c r="B191" s="596"/>
      <c r="C191" s="596" t="s">
        <v>31428</v>
      </c>
      <c r="D191" s="596" t="s">
        <v>16680</v>
      </c>
      <c r="E191" s="601"/>
      <c r="F191" s="600"/>
      <c r="G191" s="600"/>
      <c r="H191" s="598"/>
      <c r="I191" s="584"/>
      <c r="J191" s="584"/>
      <c r="K191" s="584"/>
      <c r="L191" s="584"/>
      <c r="M191" s="584"/>
      <c r="N191" s="584"/>
      <c r="O191" s="585"/>
      <c r="P191" s="585"/>
      <c r="Q191" s="585"/>
      <c r="R191" s="585"/>
      <c r="S191" s="585"/>
      <c r="T191" s="585"/>
      <c r="U191" s="585"/>
      <c r="V191" s="585"/>
      <c r="W191" s="585"/>
      <c r="X191" s="585"/>
      <c r="Y191" s="585"/>
      <c r="Z191" s="585"/>
      <c r="AA191" s="585"/>
      <c r="AB191" s="585"/>
      <c r="AC191" s="585"/>
    </row>
    <row r="192" ht="19.5" customHeight="1">
      <c r="A192" s="594" t="s">
        <v>222</v>
      </c>
      <c r="B192" s="596" t="s">
        <v>30998</v>
      </c>
      <c r="C192" s="596" t="s">
        <v>12681</v>
      </c>
      <c r="D192" s="596" t="s">
        <v>31429</v>
      </c>
      <c r="E192" s="601"/>
      <c r="F192" s="600"/>
      <c r="G192" s="600"/>
      <c r="H192" s="598"/>
      <c r="I192" s="584"/>
      <c r="J192" s="584"/>
      <c r="K192" s="584"/>
      <c r="L192" s="584"/>
      <c r="M192" s="584"/>
      <c r="N192" s="584"/>
      <c r="O192" s="585"/>
      <c r="P192" s="585"/>
      <c r="Q192" s="585"/>
      <c r="R192" s="585"/>
      <c r="S192" s="585"/>
      <c r="T192" s="585"/>
      <c r="U192" s="585"/>
      <c r="V192" s="585"/>
      <c r="W192" s="585"/>
      <c r="X192" s="585"/>
      <c r="Y192" s="585"/>
      <c r="Z192" s="585"/>
      <c r="AA192" s="585"/>
      <c r="AB192" s="585"/>
      <c r="AC192" s="585"/>
    </row>
    <row r="193" ht="30.75" customHeight="1">
      <c r="A193" s="594" t="s">
        <v>31430</v>
      </c>
      <c r="B193" s="596" t="s">
        <v>30998</v>
      </c>
      <c r="C193" s="596" t="s">
        <v>31431</v>
      </c>
      <c r="D193" s="596" t="s">
        <v>31432</v>
      </c>
      <c r="E193" s="601"/>
      <c r="F193" s="600"/>
      <c r="G193" s="600"/>
      <c r="H193" s="598"/>
      <c r="I193" s="584"/>
      <c r="J193" s="584"/>
      <c r="K193" s="584"/>
      <c r="L193" s="584"/>
      <c r="M193" s="584"/>
      <c r="N193" s="584"/>
      <c r="O193" s="585"/>
      <c r="P193" s="585"/>
      <c r="Q193" s="585"/>
      <c r="R193" s="585"/>
      <c r="S193" s="585"/>
      <c r="T193" s="585"/>
      <c r="U193" s="585"/>
      <c r="V193" s="585"/>
      <c r="W193" s="585"/>
      <c r="X193" s="585"/>
      <c r="Y193" s="585"/>
      <c r="Z193" s="585"/>
      <c r="AA193" s="585"/>
      <c r="AB193" s="585"/>
      <c r="AC193" s="585"/>
    </row>
    <row r="194" ht="19.5" customHeight="1">
      <c r="A194" s="594" t="s">
        <v>31433</v>
      </c>
      <c r="B194" s="596"/>
      <c r="C194" s="596" t="s">
        <v>31434</v>
      </c>
      <c r="D194" s="596" t="s">
        <v>31435</v>
      </c>
      <c r="E194" s="601"/>
      <c r="F194" s="600"/>
      <c r="G194" s="600"/>
      <c r="H194" s="598"/>
      <c r="I194" s="584"/>
      <c r="J194" s="584"/>
      <c r="K194" s="584"/>
      <c r="L194" s="584"/>
      <c r="M194" s="584"/>
      <c r="N194" s="584"/>
      <c r="O194" s="585"/>
      <c r="P194" s="585"/>
      <c r="Q194" s="585"/>
      <c r="R194" s="585"/>
      <c r="S194" s="585"/>
      <c r="T194" s="585"/>
      <c r="U194" s="585"/>
      <c r="V194" s="585"/>
      <c r="W194" s="585"/>
      <c r="X194" s="585"/>
      <c r="Y194" s="585"/>
      <c r="Z194" s="585"/>
      <c r="AA194" s="585"/>
      <c r="AB194" s="585"/>
      <c r="AC194" s="585"/>
    </row>
    <row r="195" ht="26.25" customHeight="1">
      <c r="A195" s="594" t="s">
        <v>31436</v>
      </c>
      <c r="B195" s="596" t="s">
        <v>31397</v>
      </c>
      <c r="C195" s="596" t="s">
        <v>31437</v>
      </c>
      <c r="D195" s="596" t="s">
        <v>1015</v>
      </c>
      <c r="E195" s="601"/>
      <c r="F195" s="600"/>
      <c r="G195" s="600"/>
      <c r="H195" s="598"/>
      <c r="I195" s="584"/>
      <c r="J195" s="584"/>
      <c r="K195" s="584"/>
      <c r="L195" s="584"/>
      <c r="M195" s="584"/>
      <c r="N195" s="584"/>
      <c r="O195" s="585"/>
      <c r="P195" s="585"/>
      <c r="Q195" s="585"/>
      <c r="R195" s="585"/>
      <c r="S195" s="585"/>
      <c r="T195" s="585"/>
      <c r="U195" s="585"/>
      <c r="V195" s="585"/>
      <c r="W195" s="585"/>
      <c r="X195" s="585"/>
      <c r="Y195" s="585"/>
      <c r="Z195" s="585"/>
      <c r="AA195" s="585"/>
      <c r="AB195" s="585"/>
      <c r="AC195" s="585"/>
    </row>
    <row r="196" ht="28.5" customHeight="1">
      <c r="A196" s="594" t="s">
        <v>31438</v>
      </c>
      <c r="B196" s="596" t="s">
        <v>31297</v>
      </c>
      <c r="C196" s="596" t="s">
        <v>3943</v>
      </c>
      <c r="D196" s="596" t="s">
        <v>1015</v>
      </c>
      <c r="E196" s="601"/>
      <c r="F196" s="600"/>
      <c r="G196" s="600"/>
      <c r="H196" s="598"/>
      <c r="I196" s="584"/>
      <c r="J196" s="584"/>
      <c r="K196" s="584"/>
      <c r="L196" s="584"/>
      <c r="M196" s="584"/>
      <c r="N196" s="584"/>
      <c r="O196" s="585"/>
      <c r="P196" s="585"/>
      <c r="Q196" s="585"/>
      <c r="R196" s="585"/>
      <c r="S196" s="585"/>
      <c r="T196" s="585"/>
      <c r="U196" s="585"/>
      <c r="V196" s="585"/>
      <c r="W196" s="585"/>
      <c r="X196" s="585"/>
      <c r="Y196" s="585"/>
      <c r="Z196" s="585"/>
      <c r="AA196" s="585"/>
      <c r="AB196" s="585"/>
      <c r="AC196" s="585"/>
    </row>
    <row r="197" ht="29.25" customHeight="1">
      <c r="A197" s="609" t="s">
        <v>31439</v>
      </c>
      <c r="B197" s="603" t="s">
        <v>31440</v>
      </c>
      <c r="C197" s="603" t="s">
        <v>31441</v>
      </c>
      <c r="D197" s="603" t="s">
        <v>31442</v>
      </c>
      <c r="E197" s="603"/>
      <c r="F197" s="603"/>
      <c r="G197" s="603"/>
      <c r="H197" s="425"/>
      <c r="I197" s="584"/>
      <c r="J197" s="584"/>
      <c r="K197" s="587"/>
      <c r="L197" s="587"/>
      <c r="M197" s="587"/>
      <c r="N197" s="587"/>
      <c r="O197" s="585"/>
      <c r="P197" s="585"/>
      <c r="Q197" s="585"/>
      <c r="R197" s="585"/>
      <c r="S197" s="585"/>
      <c r="T197" s="585"/>
      <c r="U197" s="585"/>
      <c r="V197" s="585"/>
      <c r="W197" s="585"/>
      <c r="X197" s="585"/>
      <c r="Y197" s="585"/>
      <c r="Z197" s="585"/>
      <c r="AA197" s="585"/>
      <c r="AB197" s="585"/>
      <c r="AC197" s="585"/>
    </row>
    <row r="198" ht="29.25" customHeight="1">
      <c r="A198" s="609" t="s">
        <v>31443</v>
      </c>
      <c r="B198" s="603" t="s">
        <v>31440</v>
      </c>
      <c r="C198" s="603" t="s">
        <v>31444</v>
      </c>
      <c r="D198" s="603" t="s">
        <v>31445</v>
      </c>
      <c r="E198" s="603"/>
      <c r="F198" s="603"/>
      <c r="G198" s="603"/>
      <c r="H198" s="425">
        <v>23.0</v>
      </c>
      <c r="I198" s="584"/>
      <c r="J198" s="584"/>
      <c r="K198" s="587"/>
      <c r="L198" s="587"/>
      <c r="M198" s="587"/>
      <c r="N198" s="587"/>
      <c r="O198" s="585"/>
      <c r="P198" s="585"/>
      <c r="Q198" s="585"/>
      <c r="R198" s="585"/>
      <c r="S198" s="585"/>
      <c r="T198" s="585"/>
      <c r="U198" s="585"/>
      <c r="V198" s="585"/>
      <c r="W198" s="585"/>
      <c r="X198" s="585"/>
      <c r="Y198" s="585"/>
      <c r="Z198" s="585"/>
      <c r="AA198" s="585"/>
      <c r="AB198" s="585"/>
      <c r="AC198" s="585"/>
    </row>
    <row r="199" ht="19.5" customHeight="1">
      <c r="A199" s="594" t="s">
        <v>12756</v>
      </c>
      <c r="B199" s="604"/>
      <c r="C199" s="605"/>
      <c r="D199" s="605"/>
      <c r="E199" s="603"/>
      <c r="F199" s="603"/>
      <c r="G199" s="603"/>
      <c r="H199" s="598"/>
      <c r="I199" s="584"/>
      <c r="J199" s="584"/>
      <c r="K199" s="587">
        <v>12.0</v>
      </c>
      <c r="L199" s="587" t="s">
        <v>31128</v>
      </c>
      <c r="M199" s="587"/>
      <c r="N199" s="587"/>
      <c r="O199" s="585"/>
      <c r="P199" s="585"/>
      <c r="Q199" s="585"/>
      <c r="R199" s="585"/>
      <c r="S199" s="585"/>
      <c r="T199" s="585"/>
      <c r="U199" s="585"/>
      <c r="V199" s="585"/>
      <c r="W199" s="585"/>
      <c r="X199" s="585"/>
      <c r="Y199" s="585"/>
      <c r="Z199" s="585"/>
      <c r="AA199" s="585"/>
      <c r="AB199" s="585"/>
      <c r="AC199" s="585"/>
    </row>
    <row r="200" ht="29.25" customHeight="1">
      <c r="A200" s="594" t="s">
        <v>31446</v>
      </c>
      <c r="B200" s="596" t="s">
        <v>31447</v>
      </c>
      <c r="C200" s="597" t="s">
        <v>31448</v>
      </c>
      <c r="D200" s="597" t="s">
        <v>31449</v>
      </c>
      <c r="E200" s="596"/>
      <c r="F200" s="596"/>
      <c r="G200" s="596"/>
      <c r="H200" s="598"/>
      <c r="I200" s="584"/>
      <c r="J200" s="584"/>
      <c r="K200" s="584"/>
      <c r="L200" s="584"/>
      <c r="M200" s="587"/>
      <c r="N200" s="587"/>
      <c r="O200" s="585"/>
      <c r="P200" s="585"/>
      <c r="Q200" s="585"/>
      <c r="R200" s="585"/>
      <c r="S200" s="585"/>
      <c r="T200" s="585"/>
      <c r="U200" s="585"/>
      <c r="V200" s="585"/>
      <c r="W200" s="585"/>
      <c r="X200" s="585"/>
      <c r="Y200" s="585"/>
      <c r="Z200" s="585"/>
      <c r="AA200" s="585"/>
      <c r="AB200" s="585"/>
      <c r="AC200" s="585"/>
    </row>
    <row r="201" ht="19.5" customHeight="1">
      <c r="A201" s="594" t="s">
        <v>31450</v>
      </c>
      <c r="B201" s="601"/>
      <c r="C201" s="600"/>
      <c r="D201" s="600"/>
      <c r="E201" s="596"/>
      <c r="F201" s="596"/>
      <c r="G201" s="596"/>
      <c r="H201" s="598"/>
      <c r="I201" s="584"/>
      <c r="J201" s="584"/>
      <c r="K201" s="584"/>
      <c r="L201" s="584"/>
      <c r="M201" s="587">
        <v>350.0</v>
      </c>
      <c r="N201" s="587" t="s">
        <v>31451</v>
      </c>
      <c r="O201" s="585"/>
      <c r="P201" s="585"/>
      <c r="Q201" s="585"/>
      <c r="R201" s="585"/>
      <c r="S201" s="585"/>
      <c r="T201" s="585"/>
      <c r="U201" s="585"/>
      <c r="V201" s="585"/>
      <c r="W201" s="585"/>
      <c r="X201" s="585"/>
      <c r="Y201" s="585"/>
      <c r="Z201" s="585"/>
      <c r="AA201" s="585"/>
      <c r="AB201" s="585"/>
      <c r="AC201" s="585"/>
    </row>
    <row r="202" ht="27.0" customHeight="1">
      <c r="A202" s="606" t="s">
        <v>31452</v>
      </c>
      <c r="B202" s="596" t="s">
        <v>31453</v>
      </c>
      <c r="C202" s="596" t="s">
        <v>31156</v>
      </c>
      <c r="D202" s="597" t="s">
        <v>31454</v>
      </c>
      <c r="E202" s="596"/>
      <c r="F202" s="596"/>
      <c r="G202" s="596"/>
      <c r="H202" s="598"/>
      <c r="I202" s="584"/>
      <c r="J202" s="584"/>
      <c r="K202" s="584"/>
      <c r="L202" s="584"/>
      <c r="M202" s="584"/>
      <c r="N202" s="584"/>
      <c r="O202" s="585"/>
      <c r="P202" s="585"/>
      <c r="Q202" s="585"/>
      <c r="R202" s="585"/>
      <c r="S202" s="585"/>
      <c r="T202" s="585"/>
      <c r="U202" s="585"/>
      <c r="V202" s="585"/>
      <c r="W202" s="585"/>
      <c r="X202" s="585"/>
      <c r="Y202" s="585"/>
      <c r="Z202" s="585"/>
      <c r="AA202" s="585"/>
      <c r="AB202" s="585"/>
      <c r="AC202" s="585"/>
    </row>
    <row r="203" ht="27.0" customHeight="1">
      <c r="A203" s="606" t="s">
        <v>31455</v>
      </c>
      <c r="B203" s="596"/>
      <c r="C203" s="596" t="s">
        <v>31456</v>
      </c>
      <c r="D203" s="597"/>
      <c r="E203" s="596"/>
      <c r="F203" s="596"/>
      <c r="G203" s="596"/>
      <c r="H203" s="598"/>
      <c r="I203" s="584"/>
      <c r="J203" s="584"/>
      <c r="K203" s="584"/>
      <c r="L203" s="584"/>
      <c r="M203" s="584"/>
      <c r="N203" s="584"/>
      <c r="O203" s="585"/>
      <c r="P203" s="585"/>
      <c r="Q203" s="585"/>
      <c r="R203" s="585"/>
      <c r="S203" s="585"/>
      <c r="T203" s="585"/>
      <c r="U203" s="585"/>
      <c r="V203" s="585"/>
      <c r="W203" s="585"/>
      <c r="X203" s="585"/>
      <c r="Y203" s="585"/>
      <c r="Z203" s="585"/>
      <c r="AA203" s="585"/>
      <c r="AB203" s="585"/>
      <c r="AC203" s="585"/>
    </row>
    <row r="204" ht="19.5" customHeight="1">
      <c r="A204" s="606" t="s">
        <v>31457</v>
      </c>
      <c r="B204" s="596" t="s">
        <v>31458</v>
      </c>
      <c r="C204" s="596" t="s">
        <v>31459</v>
      </c>
      <c r="D204" s="597" t="s">
        <v>760</v>
      </c>
      <c r="E204" s="596"/>
      <c r="F204" s="596"/>
      <c r="G204" s="596"/>
      <c r="H204" s="598"/>
      <c r="I204" s="584"/>
      <c r="J204" s="584"/>
      <c r="K204" s="584"/>
      <c r="L204" s="584"/>
      <c r="M204" s="584"/>
      <c r="N204" s="584"/>
      <c r="O204" s="585"/>
      <c r="P204" s="585"/>
      <c r="Q204" s="585"/>
      <c r="R204" s="585"/>
      <c r="S204" s="585"/>
      <c r="T204" s="585"/>
      <c r="U204" s="585"/>
      <c r="V204" s="585"/>
      <c r="W204" s="585"/>
      <c r="X204" s="585"/>
      <c r="Y204" s="585"/>
      <c r="Z204" s="585"/>
      <c r="AA204" s="585"/>
      <c r="AB204" s="585"/>
      <c r="AC204" s="585"/>
    </row>
    <row r="205" ht="19.5" customHeight="1">
      <c r="A205" s="606" t="s">
        <v>31460</v>
      </c>
      <c r="B205" s="596"/>
      <c r="C205" s="596" t="s">
        <v>31183</v>
      </c>
      <c r="D205" s="597" t="s">
        <v>7678</v>
      </c>
      <c r="E205" s="596"/>
      <c r="F205" s="596"/>
      <c r="G205" s="596"/>
      <c r="H205" s="598"/>
      <c r="I205" s="584"/>
      <c r="J205" s="584"/>
      <c r="K205" s="584"/>
      <c r="L205" s="584"/>
      <c r="M205" s="584"/>
      <c r="N205" s="584"/>
      <c r="O205" s="585"/>
      <c r="P205" s="585"/>
      <c r="Q205" s="585"/>
      <c r="R205" s="585"/>
      <c r="S205" s="585"/>
      <c r="T205" s="585"/>
      <c r="U205" s="585"/>
      <c r="V205" s="585"/>
      <c r="W205" s="585"/>
      <c r="X205" s="585"/>
      <c r="Y205" s="585"/>
      <c r="Z205" s="585"/>
      <c r="AA205" s="585"/>
      <c r="AB205" s="585"/>
      <c r="AC205" s="585"/>
    </row>
    <row r="206" ht="37.5" customHeight="1">
      <c r="A206" s="606" t="s">
        <v>31461</v>
      </c>
      <c r="B206" s="596" t="s">
        <v>31462</v>
      </c>
      <c r="C206" s="596" t="s">
        <v>31463</v>
      </c>
      <c r="D206" s="597" t="s">
        <v>31464</v>
      </c>
      <c r="E206" s="596"/>
      <c r="F206" s="596"/>
      <c r="G206" s="596"/>
      <c r="H206" s="598"/>
      <c r="I206" s="584"/>
      <c r="J206" s="584"/>
      <c r="K206" s="584"/>
      <c r="L206" s="584"/>
      <c r="M206" s="584"/>
      <c r="N206" s="584"/>
      <c r="O206" s="585"/>
      <c r="P206" s="585"/>
      <c r="Q206" s="585"/>
      <c r="R206" s="585"/>
      <c r="S206" s="585"/>
      <c r="T206" s="585"/>
      <c r="U206" s="585"/>
      <c r="V206" s="585"/>
      <c r="W206" s="585"/>
      <c r="X206" s="585"/>
      <c r="Y206" s="585"/>
      <c r="Z206" s="585"/>
      <c r="AA206" s="585"/>
      <c r="AB206" s="585"/>
      <c r="AC206" s="585"/>
    </row>
    <row r="207" ht="50.25" customHeight="1">
      <c r="A207" s="606" t="s">
        <v>31465</v>
      </c>
      <c r="B207" s="596" t="s">
        <v>31068</v>
      </c>
      <c r="C207" s="597" t="s">
        <v>31466</v>
      </c>
      <c r="D207" s="597" t="s">
        <v>31467</v>
      </c>
      <c r="E207" s="596" t="s">
        <v>31468</v>
      </c>
      <c r="F207" s="596"/>
      <c r="G207" s="596"/>
      <c r="H207" s="598"/>
      <c r="I207" s="584"/>
      <c r="J207" s="584"/>
      <c r="K207" s="584"/>
      <c r="L207" s="584"/>
      <c r="M207" s="584"/>
      <c r="N207" s="584"/>
      <c r="O207" s="585"/>
      <c r="P207" s="585"/>
      <c r="Q207" s="585"/>
      <c r="R207" s="585"/>
      <c r="S207" s="585"/>
      <c r="T207" s="585"/>
      <c r="U207" s="585"/>
      <c r="V207" s="585"/>
      <c r="W207" s="585"/>
      <c r="X207" s="585"/>
      <c r="Y207" s="585"/>
      <c r="Z207" s="585"/>
      <c r="AA207" s="585"/>
      <c r="AB207" s="585"/>
      <c r="AC207" s="585"/>
    </row>
    <row r="208" ht="32.25" customHeight="1">
      <c r="A208" s="606" t="s">
        <v>3533</v>
      </c>
      <c r="B208" s="626"/>
      <c r="C208" s="627"/>
      <c r="D208" s="627"/>
      <c r="E208" s="596"/>
      <c r="F208" s="596" t="s">
        <v>31183</v>
      </c>
      <c r="G208" s="596" t="s">
        <v>8105</v>
      </c>
      <c r="H208" s="598"/>
      <c r="I208" s="584"/>
      <c r="J208" s="584"/>
      <c r="K208" s="584"/>
      <c r="L208" s="584"/>
      <c r="M208" s="584"/>
      <c r="N208" s="584"/>
      <c r="O208" s="585"/>
      <c r="P208" s="585"/>
      <c r="Q208" s="585"/>
      <c r="R208" s="585"/>
      <c r="S208" s="585"/>
      <c r="T208" s="585"/>
      <c r="U208" s="585"/>
      <c r="V208" s="585"/>
      <c r="W208" s="585"/>
      <c r="X208" s="585"/>
      <c r="Y208" s="585"/>
      <c r="Z208" s="585"/>
      <c r="AA208" s="585"/>
      <c r="AB208" s="585"/>
      <c r="AC208" s="585"/>
    </row>
    <row r="209" ht="45.0" customHeight="1">
      <c r="A209" s="580" t="s">
        <v>31469</v>
      </c>
      <c r="B209" s="628" t="s">
        <v>31379</v>
      </c>
      <c r="C209" s="629" t="s">
        <v>31470</v>
      </c>
      <c r="D209" s="629" t="s">
        <v>31471</v>
      </c>
      <c r="E209" s="582"/>
      <c r="F209" s="582"/>
      <c r="G209" s="582"/>
      <c r="H209" s="598"/>
      <c r="I209" s="587"/>
      <c r="J209" s="587"/>
      <c r="K209" s="584"/>
      <c r="L209" s="584"/>
      <c r="M209" s="587"/>
      <c r="N209" s="587"/>
      <c r="O209" s="585"/>
      <c r="P209" s="585"/>
      <c r="Q209" s="585"/>
      <c r="R209" s="585"/>
      <c r="S209" s="585"/>
      <c r="T209" s="585"/>
      <c r="U209" s="585"/>
      <c r="V209" s="585"/>
      <c r="W209" s="585"/>
      <c r="X209" s="585"/>
      <c r="Y209" s="585"/>
      <c r="Z209" s="585"/>
      <c r="AA209" s="585"/>
      <c r="AB209" s="585"/>
      <c r="AC209" s="585"/>
    </row>
    <row r="210" ht="45.0" customHeight="1">
      <c r="A210" s="580" t="s">
        <v>31469</v>
      </c>
      <c r="B210" s="628" t="s">
        <v>31037</v>
      </c>
      <c r="C210" s="629" t="s">
        <v>31472</v>
      </c>
      <c r="D210" s="629" t="s">
        <v>31473</v>
      </c>
      <c r="E210" s="582"/>
      <c r="F210" s="582"/>
      <c r="G210" s="582"/>
      <c r="H210" s="598"/>
      <c r="I210" s="587"/>
      <c r="J210" s="587"/>
      <c r="K210" s="584"/>
      <c r="L210" s="584"/>
      <c r="M210" s="587"/>
      <c r="N210" s="587"/>
      <c r="O210" s="585"/>
      <c r="P210" s="585"/>
      <c r="Q210" s="585"/>
      <c r="R210" s="585"/>
      <c r="S210" s="585"/>
      <c r="T210" s="585"/>
      <c r="U210" s="585"/>
      <c r="V210" s="585"/>
      <c r="W210" s="585"/>
      <c r="X210" s="585"/>
      <c r="Y210" s="585"/>
      <c r="Z210" s="585"/>
      <c r="AA210" s="585"/>
      <c r="AB210" s="585"/>
      <c r="AC210" s="585"/>
    </row>
    <row r="211" ht="27.0" customHeight="1">
      <c r="A211" s="580" t="s">
        <v>31469</v>
      </c>
      <c r="B211" s="628" t="s">
        <v>31474</v>
      </c>
      <c r="C211" s="629" t="s">
        <v>31475</v>
      </c>
      <c r="D211" s="629" t="s">
        <v>31476</v>
      </c>
      <c r="E211" s="582"/>
      <c r="F211" s="582"/>
      <c r="G211" s="582"/>
      <c r="H211" s="598"/>
      <c r="I211" s="587"/>
      <c r="J211" s="587"/>
      <c r="K211" s="584"/>
      <c r="L211" s="584"/>
      <c r="M211" s="587"/>
      <c r="N211" s="587"/>
      <c r="O211" s="585"/>
      <c r="P211" s="585"/>
      <c r="Q211" s="585"/>
      <c r="R211" s="585"/>
      <c r="S211" s="585"/>
      <c r="T211" s="585"/>
      <c r="U211" s="585"/>
      <c r="V211" s="585"/>
      <c r="W211" s="585"/>
      <c r="X211" s="585"/>
      <c r="Y211" s="585"/>
      <c r="Z211" s="585"/>
      <c r="AA211" s="585"/>
      <c r="AB211" s="585"/>
      <c r="AC211" s="585"/>
    </row>
    <row r="212" ht="30.75" customHeight="1">
      <c r="A212" s="592" t="s">
        <v>31477</v>
      </c>
      <c r="B212" s="628" t="s">
        <v>31474</v>
      </c>
      <c r="C212" s="629" t="s">
        <v>31478</v>
      </c>
      <c r="D212" s="629" t="s">
        <v>31479</v>
      </c>
      <c r="E212" s="582"/>
      <c r="F212" s="582"/>
      <c r="G212" s="582"/>
      <c r="H212" s="598"/>
      <c r="I212" s="587"/>
      <c r="J212" s="587"/>
      <c r="K212" s="584"/>
      <c r="L212" s="584"/>
      <c r="M212" s="587"/>
      <c r="N212" s="587"/>
      <c r="O212" s="585"/>
      <c r="P212" s="585"/>
      <c r="Q212" s="585"/>
      <c r="R212" s="585"/>
      <c r="S212" s="585"/>
      <c r="T212" s="585"/>
      <c r="U212" s="585"/>
      <c r="V212" s="585"/>
      <c r="W212" s="585"/>
      <c r="X212" s="585"/>
      <c r="Y212" s="585"/>
      <c r="Z212" s="585"/>
      <c r="AA212" s="585"/>
      <c r="AB212" s="585"/>
      <c r="AC212" s="585"/>
    </row>
    <row r="213" ht="19.5" customHeight="1">
      <c r="A213" s="580" t="s">
        <v>31480</v>
      </c>
      <c r="B213" s="628" t="s">
        <v>30998</v>
      </c>
      <c r="C213" s="629"/>
      <c r="D213" s="629"/>
      <c r="E213" s="582"/>
      <c r="F213" s="582"/>
      <c r="G213" s="582"/>
      <c r="H213" s="598"/>
      <c r="I213" s="587"/>
      <c r="J213" s="587"/>
      <c r="K213" s="584"/>
      <c r="L213" s="584"/>
      <c r="M213" s="587"/>
      <c r="N213" s="587"/>
      <c r="O213" s="585"/>
      <c r="P213" s="585"/>
      <c r="Q213" s="585"/>
      <c r="R213" s="585"/>
      <c r="S213" s="585"/>
      <c r="T213" s="585"/>
      <c r="U213" s="585"/>
      <c r="V213" s="585"/>
      <c r="W213" s="585"/>
      <c r="X213" s="585"/>
      <c r="Y213" s="585"/>
      <c r="Z213" s="585"/>
      <c r="AA213" s="585"/>
      <c r="AB213" s="585"/>
      <c r="AC213" s="585"/>
    </row>
    <row r="214" ht="19.5" customHeight="1">
      <c r="A214" s="580" t="s">
        <v>31481</v>
      </c>
      <c r="B214" s="628"/>
      <c r="C214" s="629" t="s">
        <v>3100</v>
      </c>
      <c r="D214" s="629" t="s">
        <v>9416</v>
      </c>
      <c r="E214" s="582"/>
      <c r="F214" s="582"/>
      <c r="G214" s="582"/>
      <c r="H214" s="598"/>
      <c r="I214" s="587">
        <v>4.2</v>
      </c>
      <c r="J214" s="587" t="s">
        <v>31482</v>
      </c>
      <c r="K214" s="584"/>
      <c r="L214" s="584"/>
      <c r="M214" s="587">
        <v>1.0</v>
      </c>
      <c r="N214" s="587" t="s">
        <v>31482</v>
      </c>
      <c r="O214" s="585"/>
      <c r="P214" s="585"/>
      <c r="Q214" s="585"/>
      <c r="R214" s="585"/>
      <c r="S214" s="585"/>
      <c r="T214" s="585"/>
      <c r="U214" s="585"/>
      <c r="V214" s="585"/>
      <c r="W214" s="585"/>
      <c r="X214" s="585"/>
      <c r="Y214" s="585"/>
      <c r="Z214" s="585"/>
      <c r="AA214" s="585"/>
      <c r="AB214" s="585"/>
      <c r="AC214" s="585"/>
    </row>
    <row r="215" ht="19.5" customHeight="1">
      <c r="A215" s="580" t="s">
        <v>31483</v>
      </c>
      <c r="B215" s="628" t="s">
        <v>30998</v>
      </c>
      <c r="C215" s="629" t="s">
        <v>6071</v>
      </c>
      <c r="D215" s="629" t="s">
        <v>31202</v>
      </c>
      <c r="E215" s="582"/>
      <c r="F215" s="582"/>
      <c r="G215" s="582"/>
      <c r="H215" s="598"/>
      <c r="I215" s="587">
        <v>5.1</v>
      </c>
      <c r="J215" s="593">
        <v>44052.0</v>
      </c>
      <c r="K215" s="584"/>
      <c r="L215" s="584"/>
      <c r="M215" s="587">
        <v>1.65</v>
      </c>
      <c r="N215" s="587" t="s">
        <v>31482</v>
      </c>
      <c r="O215" s="585"/>
      <c r="P215" s="585"/>
      <c r="Q215" s="585"/>
      <c r="R215" s="585"/>
      <c r="S215" s="585"/>
      <c r="T215" s="585"/>
      <c r="U215" s="585"/>
      <c r="V215" s="585"/>
      <c r="W215" s="585"/>
      <c r="X215" s="585"/>
      <c r="Y215" s="585"/>
      <c r="Z215" s="585"/>
      <c r="AA215" s="585"/>
      <c r="AB215" s="585"/>
      <c r="AC215" s="585"/>
    </row>
    <row r="216">
      <c r="A216" s="580" t="s">
        <v>31484</v>
      </c>
      <c r="B216" s="519" t="s">
        <v>31485</v>
      </c>
      <c r="C216" s="581" t="s">
        <v>31486</v>
      </c>
      <c r="D216" s="581" t="s">
        <v>31487</v>
      </c>
      <c r="E216" s="582"/>
      <c r="F216" s="582"/>
      <c r="G216" s="582"/>
      <c r="H216" s="598"/>
      <c r="I216" s="587"/>
      <c r="J216" s="593"/>
      <c r="K216" s="584"/>
      <c r="L216" s="584"/>
      <c r="M216" s="587"/>
      <c r="N216" s="593"/>
      <c r="O216" s="585"/>
      <c r="P216" s="585"/>
      <c r="Q216" s="585"/>
      <c r="R216" s="585"/>
      <c r="S216" s="585"/>
      <c r="T216" s="585"/>
      <c r="U216" s="585"/>
      <c r="V216" s="585"/>
      <c r="W216" s="585"/>
      <c r="X216" s="585"/>
      <c r="Y216" s="585"/>
      <c r="Z216" s="585"/>
      <c r="AA216" s="585"/>
      <c r="AB216" s="585"/>
      <c r="AC216" s="585"/>
    </row>
    <row r="217">
      <c r="A217" s="580" t="s">
        <v>31488</v>
      </c>
      <c r="B217" s="519" t="s">
        <v>31485</v>
      </c>
      <c r="C217" s="581" t="s">
        <v>12969</v>
      </c>
      <c r="D217" s="581" t="s">
        <v>31487</v>
      </c>
      <c r="E217" s="582"/>
      <c r="F217" s="582"/>
      <c r="G217" s="582"/>
      <c r="H217" s="598"/>
      <c r="I217" s="587"/>
      <c r="J217" s="593"/>
      <c r="K217" s="584"/>
      <c r="L217" s="584"/>
      <c r="M217" s="587"/>
      <c r="N217" s="593"/>
      <c r="O217" s="585"/>
      <c r="P217" s="585"/>
      <c r="Q217" s="585"/>
      <c r="R217" s="585"/>
      <c r="S217" s="585"/>
      <c r="T217" s="585"/>
      <c r="U217" s="585"/>
      <c r="V217" s="585"/>
      <c r="W217" s="585"/>
      <c r="X217" s="585"/>
      <c r="Y217" s="585"/>
      <c r="Z217" s="585"/>
      <c r="AA217" s="585"/>
      <c r="AB217" s="585"/>
      <c r="AC217" s="585"/>
    </row>
    <row r="218">
      <c r="A218" s="580" t="s">
        <v>31489</v>
      </c>
      <c r="B218" s="581" t="s">
        <v>30985</v>
      </c>
      <c r="C218" s="581" t="s">
        <v>31490</v>
      </c>
      <c r="D218" s="581" t="s">
        <v>31491</v>
      </c>
      <c r="E218" s="582"/>
      <c r="F218" s="582"/>
      <c r="G218" s="582"/>
      <c r="H218" s="598"/>
      <c r="I218" s="587"/>
      <c r="J218" s="593"/>
      <c r="K218" s="584"/>
      <c r="L218" s="584"/>
      <c r="M218" s="587"/>
      <c r="N218" s="593"/>
      <c r="O218" s="585"/>
      <c r="P218" s="585"/>
      <c r="Q218" s="585"/>
      <c r="R218" s="585"/>
      <c r="S218" s="585"/>
      <c r="T218" s="585"/>
      <c r="U218" s="585"/>
      <c r="V218" s="585"/>
      <c r="W218" s="585"/>
      <c r="X218" s="585"/>
      <c r="Y218" s="585"/>
      <c r="Z218" s="585"/>
      <c r="AA218" s="585"/>
      <c r="AB218" s="585"/>
      <c r="AC218" s="585"/>
    </row>
    <row r="219">
      <c r="A219" s="580" t="s">
        <v>31489</v>
      </c>
      <c r="B219" s="581" t="s">
        <v>31492</v>
      </c>
      <c r="C219" s="581" t="s">
        <v>9170</v>
      </c>
      <c r="D219" s="581" t="s">
        <v>31491</v>
      </c>
      <c r="E219" s="582"/>
      <c r="F219" s="582"/>
      <c r="G219" s="582"/>
      <c r="H219" s="598"/>
      <c r="I219" s="587"/>
      <c r="J219" s="593"/>
      <c r="K219" s="584"/>
      <c r="L219" s="584"/>
      <c r="M219" s="587"/>
      <c r="N219" s="593"/>
      <c r="O219" s="585"/>
      <c r="P219" s="585"/>
      <c r="Q219" s="585"/>
      <c r="R219" s="585"/>
      <c r="S219" s="585"/>
      <c r="T219" s="585"/>
      <c r="U219" s="585"/>
      <c r="V219" s="585"/>
      <c r="W219" s="585"/>
      <c r="X219" s="585"/>
      <c r="Y219" s="585"/>
      <c r="Z219" s="585"/>
      <c r="AA219" s="585"/>
      <c r="AB219" s="585"/>
      <c r="AC219" s="585"/>
    </row>
    <row r="220" ht="29.25" customHeight="1">
      <c r="A220" s="580" t="s">
        <v>1230</v>
      </c>
      <c r="B220" s="581"/>
      <c r="C220" s="581" t="s">
        <v>2951</v>
      </c>
      <c r="D220" s="581" t="s">
        <v>31493</v>
      </c>
      <c r="E220" s="582"/>
      <c r="F220" s="582"/>
      <c r="G220" s="582"/>
      <c r="H220" s="598"/>
      <c r="I220" s="587">
        <v>4.5</v>
      </c>
      <c r="J220" s="593">
        <v>44052.0</v>
      </c>
      <c r="K220" s="584"/>
      <c r="L220" s="584"/>
      <c r="M220" s="587" t="s">
        <v>31494</v>
      </c>
      <c r="N220" s="593">
        <v>43960.0</v>
      </c>
      <c r="O220" s="585"/>
      <c r="P220" s="585"/>
      <c r="Q220" s="585"/>
      <c r="R220" s="585"/>
      <c r="S220" s="585"/>
      <c r="T220" s="585"/>
      <c r="U220" s="585"/>
      <c r="V220" s="585"/>
      <c r="W220" s="585"/>
      <c r="X220" s="585"/>
      <c r="Y220" s="585"/>
      <c r="Z220" s="585"/>
      <c r="AA220" s="585"/>
      <c r="AB220" s="585"/>
      <c r="AC220" s="585"/>
    </row>
    <row r="221" ht="19.5" customHeight="1">
      <c r="A221" s="580" t="s">
        <v>1280</v>
      </c>
      <c r="B221" s="581"/>
      <c r="C221" s="581" t="s">
        <v>31495</v>
      </c>
      <c r="D221" s="581" t="s">
        <v>19528</v>
      </c>
      <c r="E221" s="582"/>
      <c r="F221" s="582"/>
      <c r="G221" s="582"/>
      <c r="H221" s="598"/>
      <c r="I221" s="584"/>
      <c r="J221" s="584"/>
      <c r="K221" s="584"/>
      <c r="L221" s="584"/>
      <c r="M221" s="584"/>
      <c r="N221" s="584"/>
      <c r="O221" s="585"/>
      <c r="P221" s="585"/>
      <c r="Q221" s="585"/>
      <c r="R221" s="585"/>
      <c r="S221" s="585"/>
      <c r="T221" s="585"/>
      <c r="U221" s="585"/>
      <c r="V221" s="585"/>
      <c r="W221" s="585"/>
      <c r="X221" s="585"/>
      <c r="Y221" s="585"/>
      <c r="Z221" s="585"/>
      <c r="AA221" s="585"/>
      <c r="AB221" s="585"/>
      <c r="AC221" s="585"/>
    </row>
    <row r="222" ht="19.5" customHeight="1">
      <c r="A222" s="606" t="s">
        <v>31496</v>
      </c>
      <c r="B222" s="596" t="s">
        <v>31497</v>
      </c>
      <c r="C222" s="596" t="s">
        <v>3495</v>
      </c>
      <c r="D222" s="596" t="s">
        <v>31498</v>
      </c>
      <c r="E222" s="601"/>
      <c r="F222" s="600"/>
      <c r="G222" s="600"/>
      <c r="H222" s="598"/>
      <c r="I222" s="584"/>
      <c r="J222" s="584"/>
      <c r="K222" s="584"/>
      <c r="L222" s="584"/>
      <c r="M222" s="584"/>
      <c r="N222" s="584"/>
      <c r="O222" s="585"/>
      <c r="P222" s="585"/>
      <c r="Q222" s="585"/>
      <c r="R222" s="585"/>
      <c r="S222" s="585"/>
      <c r="T222" s="585"/>
      <c r="U222" s="585"/>
      <c r="V222" s="585"/>
      <c r="W222" s="585"/>
      <c r="X222" s="585"/>
      <c r="Y222" s="585"/>
      <c r="Z222" s="585"/>
      <c r="AA222" s="585"/>
      <c r="AB222" s="585"/>
      <c r="AC222" s="585"/>
    </row>
    <row r="223" ht="19.5" customHeight="1">
      <c r="A223" s="580" t="s">
        <v>31499</v>
      </c>
      <c r="B223" s="582"/>
      <c r="C223" s="582"/>
      <c r="D223" s="582"/>
      <c r="E223" s="582"/>
      <c r="F223" s="582"/>
      <c r="G223" s="582"/>
      <c r="H223" s="598"/>
      <c r="I223" s="587">
        <v>2.5</v>
      </c>
      <c r="J223" s="587" t="s">
        <v>31317</v>
      </c>
      <c r="K223" s="587">
        <v>2.5</v>
      </c>
      <c r="L223" s="587" t="s">
        <v>31317</v>
      </c>
      <c r="M223" s="584"/>
      <c r="N223" s="584"/>
      <c r="O223" s="585"/>
      <c r="P223" s="585"/>
      <c r="Q223" s="585"/>
      <c r="R223" s="585"/>
      <c r="S223" s="585"/>
      <c r="T223" s="585"/>
      <c r="U223" s="585"/>
      <c r="V223" s="585"/>
      <c r="W223" s="585"/>
      <c r="X223" s="585"/>
      <c r="Y223" s="585"/>
      <c r="Z223" s="585"/>
      <c r="AA223" s="585"/>
      <c r="AB223" s="585"/>
      <c r="AC223" s="585"/>
    </row>
    <row r="224" ht="19.5" customHeight="1">
      <c r="A224" s="580" t="s">
        <v>31500</v>
      </c>
      <c r="B224" s="582"/>
      <c r="C224" s="582"/>
      <c r="D224" s="582"/>
      <c r="E224" s="582"/>
      <c r="F224" s="582"/>
      <c r="G224" s="582"/>
      <c r="H224" s="598"/>
      <c r="I224" s="587">
        <v>3.5</v>
      </c>
      <c r="J224" s="587" t="s">
        <v>31317</v>
      </c>
      <c r="K224" s="587">
        <v>3.5</v>
      </c>
      <c r="L224" s="587" t="s">
        <v>31317</v>
      </c>
      <c r="M224" s="584"/>
      <c r="N224" s="584"/>
      <c r="O224" s="585"/>
      <c r="P224" s="585"/>
      <c r="Q224" s="585"/>
      <c r="R224" s="585"/>
      <c r="S224" s="585"/>
      <c r="T224" s="585"/>
      <c r="U224" s="585"/>
      <c r="V224" s="585"/>
      <c r="W224" s="585"/>
      <c r="X224" s="585"/>
      <c r="Y224" s="585"/>
      <c r="Z224" s="585"/>
      <c r="AA224" s="585"/>
      <c r="AB224" s="585"/>
      <c r="AC224" s="585"/>
    </row>
    <row r="225" ht="19.5" customHeight="1">
      <c r="A225" s="606" t="s">
        <v>11254</v>
      </c>
      <c r="B225" s="596"/>
      <c r="C225" s="596" t="s">
        <v>9110</v>
      </c>
      <c r="D225" s="596" t="s">
        <v>9029</v>
      </c>
      <c r="E225" s="601"/>
      <c r="F225" s="600"/>
      <c r="G225" s="600"/>
      <c r="H225" s="598"/>
      <c r="I225" s="584"/>
      <c r="J225" s="584"/>
      <c r="K225" s="584"/>
      <c r="L225" s="584"/>
      <c r="M225" s="584"/>
      <c r="N225" s="584"/>
      <c r="O225" s="585"/>
      <c r="P225" s="585"/>
      <c r="Q225" s="585"/>
      <c r="R225" s="585"/>
      <c r="S225" s="585"/>
      <c r="T225" s="585"/>
      <c r="U225" s="585"/>
      <c r="V225" s="585"/>
      <c r="W225" s="585"/>
      <c r="X225" s="585"/>
      <c r="Y225" s="585"/>
      <c r="Z225" s="585"/>
      <c r="AA225" s="585"/>
      <c r="AB225" s="585"/>
      <c r="AC225" s="585"/>
    </row>
    <row r="226" ht="27.75" customHeight="1">
      <c r="A226" s="606" t="s">
        <v>31501</v>
      </c>
      <c r="B226" s="596" t="s">
        <v>30975</v>
      </c>
      <c r="C226" s="596" t="s">
        <v>31240</v>
      </c>
      <c r="D226" s="596" t="s">
        <v>31147</v>
      </c>
      <c r="E226" s="596"/>
      <c r="F226" s="600"/>
      <c r="G226" s="600"/>
      <c r="H226" s="598"/>
      <c r="I226" s="584"/>
      <c r="J226" s="584"/>
      <c r="K226" s="584"/>
      <c r="L226" s="584"/>
      <c r="M226" s="584"/>
      <c r="N226" s="584"/>
      <c r="O226" s="585"/>
      <c r="P226" s="585"/>
      <c r="Q226" s="585"/>
      <c r="R226" s="585"/>
      <c r="S226" s="585"/>
      <c r="T226" s="585"/>
      <c r="U226" s="585"/>
      <c r="V226" s="585"/>
      <c r="W226" s="585"/>
      <c r="X226" s="585"/>
      <c r="Y226" s="585"/>
      <c r="Z226" s="585"/>
      <c r="AA226" s="585"/>
      <c r="AB226" s="585"/>
      <c r="AC226" s="585"/>
    </row>
    <row r="227" ht="27.75" customHeight="1">
      <c r="A227" s="606" t="s">
        <v>31502</v>
      </c>
      <c r="B227" s="596" t="s">
        <v>31503</v>
      </c>
      <c r="C227" s="596"/>
      <c r="D227" s="596"/>
      <c r="E227" s="596"/>
      <c r="F227" s="600"/>
      <c r="G227" s="600"/>
      <c r="H227" s="598"/>
      <c r="I227" s="584"/>
      <c r="J227" s="584"/>
      <c r="K227" s="584"/>
      <c r="L227" s="584"/>
      <c r="M227" s="584"/>
      <c r="N227" s="584"/>
      <c r="O227" s="585"/>
      <c r="P227" s="585"/>
      <c r="Q227" s="585"/>
      <c r="R227" s="585"/>
      <c r="S227" s="585"/>
      <c r="T227" s="585"/>
      <c r="U227" s="585"/>
      <c r="V227" s="585"/>
      <c r="W227" s="585"/>
      <c r="X227" s="585"/>
      <c r="Y227" s="585"/>
      <c r="Z227" s="585"/>
      <c r="AA227" s="585"/>
      <c r="AB227" s="585"/>
      <c r="AC227" s="585"/>
    </row>
    <row r="228" ht="27.75" customHeight="1">
      <c r="A228" s="606" t="s">
        <v>31502</v>
      </c>
      <c r="B228" s="596" t="s">
        <v>31504</v>
      </c>
      <c r="C228" s="596" t="s">
        <v>31505</v>
      </c>
      <c r="D228" s="596" t="s">
        <v>31506</v>
      </c>
      <c r="E228" s="596" t="s">
        <v>31035</v>
      </c>
      <c r="F228" s="600"/>
      <c r="G228" s="600"/>
      <c r="H228" s="598"/>
      <c r="I228" s="584"/>
      <c r="J228" s="584"/>
      <c r="K228" s="584"/>
      <c r="L228" s="584"/>
      <c r="M228" s="584"/>
      <c r="N228" s="584"/>
      <c r="O228" s="585"/>
      <c r="P228" s="585"/>
      <c r="Q228" s="585"/>
      <c r="R228" s="585"/>
      <c r="S228" s="585"/>
      <c r="T228" s="585"/>
      <c r="U228" s="585"/>
      <c r="V228" s="585"/>
      <c r="W228" s="585"/>
      <c r="X228" s="585"/>
      <c r="Y228" s="585"/>
      <c r="Z228" s="585"/>
      <c r="AA228" s="585"/>
      <c r="AB228" s="585"/>
      <c r="AC228" s="585"/>
    </row>
    <row r="229" ht="28.5" customHeight="1">
      <c r="A229" s="606" t="s">
        <v>31507</v>
      </c>
      <c r="B229" s="596" t="s">
        <v>31504</v>
      </c>
      <c r="C229" s="596" t="s">
        <v>30942</v>
      </c>
      <c r="D229" s="596" t="s">
        <v>31147</v>
      </c>
      <c r="E229" s="601"/>
      <c r="F229" s="600"/>
      <c r="G229" s="600"/>
      <c r="H229" s="598"/>
      <c r="I229" s="584"/>
      <c r="J229" s="584"/>
      <c r="K229" s="584"/>
      <c r="L229" s="584"/>
      <c r="M229" s="584"/>
      <c r="N229" s="584"/>
      <c r="O229" s="585"/>
      <c r="P229" s="585"/>
      <c r="Q229" s="585"/>
      <c r="R229" s="585"/>
      <c r="S229" s="585"/>
      <c r="T229" s="585"/>
      <c r="U229" s="585"/>
      <c r="V229" s="585"/>
      <c r="W229" s="585"/>
      <c r="X229" s="585"/>
      <c r="Y229" s="585"/>
      <c r="Z229" s="585"/>
      <c r="AA229" s="585"/>
      <c r="AB229" s="585"/>
      <c r="AC229" s="585"/>
    </row>
    <row r="230" ht="31.5" customHeight="1">
      <c r="A230" s="606" t="s">
        <v>31508</v>
      </c>
      <c r="B230" s="596" t="s">
        <v>31509</v>
      </c>
      <c r="C230" s="596" t="s">
        <v>31510</v>
      </c>
      <c r="D230" s="596" t="s">
        <v>31511</v>
      </c>
      <c r="E230" s="596"/>
      <c r="F230" s="597"/>
      <c r="G230" s="600"/>
      <c r="H230" s="598"/>
      <c r="I230" s="584"/>
      <c r="J230" s="584"/>
      <c r="K230" s="584"/>
      <c r="L230" s="584"/>
      <c r="M230" s="584"/>
      <c r="N230" s="584"/>
      <c r="O230" s="585"/>
      <c r="P230" s="585"/>
      <c r="Q230" s="585"/>
      <c r="R230" s="585"/>
      <c r="S230" s="585"/>
      <c r="T230" s="585"/>
      <c r="U230" s="585"/>
      <c r="V230" s="585"/>
      <c r="W230" s="585"/>
      <c r="X230" s="585"/>
      <c r="Y230" s="585"/>
      <c r="Z230" s="585"/>
      <c r="AA230" s="585"/>
      <c r="AB230" s="585"/>
      <c r="AC230" s="585"/>
    </row>
    <row r="231" ht="31.5" customHeight="1">
      <c r="A231" s="606" t="s">
        <v>31512</v>
      </c>
      <c r="B231" s="596" t="s">
        <v>31513</v>
      </c>
      <c r="C231" s="596" t="s">
        <v>31514</v>
      </c>
      <c r="D231" s="596" t="s">
        <v>31414</v>
      </c>
      <c r="E231" s="596"/>
      <c r="F231" s="597"/>
      <c r="G231" s="600"/>
      <c r="H231" s="598"/>
      <c r="I231" s="584"/>
      <c r="J231" s="584"/>
      <c r="K231" s="584"/>
      <c r="L231" s="584"/>
      <c r="M231" s="584"/>
      <c r="N231" s="584"/>
      <c r="O231" s="585"/>
      <c r="P231" s="585"/>
      <c r="Q231" s="585"/>
      <c r="R231" s="585"/>
      <c r="S231" s="585"/>
      <c r="T231" s="585"/>
      <c r="U231" s="585"/>
      <c r="V231" s="585"/>
      <c r="W231" s="585"/>
      <c r="X231" s="585"/>
      <c r="Y231" s="585"/>
      <c r="Z231" s="585"/>
      <c r="AA231" s="585"/>
      <c r="AB231" s="585"/>
      <c r="AC231" s="585"/>
    </row>
    <row r="232" ht="31.5" customHeight="1">
      <c r="A232" s="606" t="s">
        <v>31515</v>
      </c>
      <c r="B232" s="596" t="s">
        <v>31513</v>
      </c>
      <c r="C232" s="596" t="s">
        <v>31516</v>
      </c>
      <c r="D232" s="596" t="s">
        <v>891</v>
      </c>
      <c r="E232" s="596"/>
      <c r="F232" s="597"/>
      <c r="G232" s="600"/>
      <c r="H232" s="598"/>
      <c r="I232" s="584"/>
      <c r="J232" s="584"/>
      <c r="K232" s="584"/>
      <c r="L232" s="584"/>
      <c r="M232" s="584"/>
      <c r="N232" s="584"/>
      <c r="O232" s="585"/>
      <c r="P232" s="585"/>
      <c r="Q232" s="585"/>
      <c r="R232" s="585"/>
      <c r="S232" s="585"/>
      <c r="T232" s="585"/>
      <c r="U232" s="585"/>
      <c r="V232" s="585"/>
      <c r="W232" s="585"/>
      <c r="X232" s="585"/>
      <c r="Y232" s="585"/>
      <c r="Z232" s="585"/>
      <c r="AA232" s="585"/>
      <c r="AB232" s="585"/>
      <c r="AC232" s="585"/>
    </row>
    <row r="233" ht="24.0" customHeight="1">
      <c r="A233" s="606" t="s">
        <v>31517</v>
      </c>
      <c r="B233" s="596" t="s">
        <v>30975</v>
      </c>
      <c r="C233" s="596" t="s">
        <v>3980</v>
      </c>
      <c r="D233" s="596" t="s">
        <v>31518</v>
      </c>
      <c r="E233" s="596"/>
      <c r="F233" s="597"/>
      <c r="G233" s="600"/>
      <c r="H233" s="598"/>
      <c r="I233" s="584"/>
      <c r="J233" s="584"/>
      <c r="K233" s="584"/>
      <c r="L233" s="584"/>
      <c r="M233" s="584"/>
      <c r="N233" s="584"/>
      <c r="O233" s="585"/>
      <c r="P233" s="585"/>
      <c r="Q233" s="585"/>
      <c r="R233" s="585"/>
      <c r="S233" s="585"/>
      <c r="T233" s="585"/>
      <c r="U233" s="585"/>
      <c r="V233" s="585"/>
      <c r="W233" s="585"/>
      <c r="X233" s="585"/>
      <c r="Y233" s="585"/>
      <c r="Z233" s="585"/>
      <c r="AA233" s="585"/>
      <c r="AB233" s="585"/>
      <c r="AC233" s="585"/>
    </row>
    <row r="234" ht="19.5" customHeight="1">
      <c r="A234" s="606" t="s">
        <v>31519</v>
      </c>
      <c r="B234" s="596" t="s">
        <v>30975</v>
      </c>
      <c r="C234" s="596" t="s">
        <v>30928</v>
      </c>
      <c r="D234" s="596" t="s">
        <v>31520</v>
      </c>
      <c r="E234" s="601"/>
      <c r="F234" s="600"/>
      <c r="G234" s="600"/>
      <c r="H234" s="598"/>
      <c r="I234" s="584"/>
      <c r="J234" s="584"/>
      <c r="K234" s="584"/>
      <c r="L234" s="584"/>
      <c r="M234" s="584"/>
      <c r="N234" s="584"/>
      <c r="O234" s="585"/>
      <c r="P234" s="585"/>
      <c r="Q234" s="585"/>
      <c r="R234" s="585"/>
      <c r="S234" s="585"/>
      <c r="T234" s="585"/>
      <c r="U234" s="585"/>
      <c r="V234" s="585"/>
      <c r="W234" s="585"/>
      <c r="X234" s="585"/>
      <c r="Y234" s="585"/>
      <c r="Z234" s="585"/>
      <c r="AA234" s="585"/>
      <c r="AB234" s="585"/>
      <c r="AC234" s="585"/>
    </row>
    <row r="235" ht="19.5" customHeight="1">
      <c r="A235" s="606" t="s">
        <v>31521</v>
      </c>
      <c r="B235" s="596" t="s">
        <v>31522</v>
      </c>
      <c r="C235" s="596" t="s">
        <v>6071</v>
      </c>
      <c r="D235" s="596" t="s">
        <v>31523</v>
      </c>
      <c r="E235" s="601"/>
      <c r="F235" s="600"/>
      <c r="G235" s="600"/>
      <c r="H235" s="598"/>
      <c r="I235" s="584"/>
      <c r="J235" s="584"/>
      <c r="K235" s="584"/>
      <c r="L235" s="584"/>
      <c r="M235" s="584"/>
      <c r="N235" s="584"/>
      <c r="O235" s="585"/>
      <c r="P235" s="585"/>
      <c r="Q235" s="585"/>
      <c r="R235" s="585"/>
      <c r="S235" s="585"/>
      <c r="T235" s="585"/>
      <c r="U235" s="585"/>
      <c r="V235" s="585"/>
      <c r="W235" s="585"/>
      <c r="X235" s="585"/>
      <c r="Y235" s="585"/>
      <c r="Z235" s="585"/>
      <c r="AA235" s="585"/>
      <c r="AB235" s="585"/>
      <c r="AC235" s="585"/>
    </row>
    <row r="236" ht="19.5" customHeight="1">
      <c r="A236" s="606" t="s">
        <v>31524</v>
      </c>
      <c r="B236" s="596" t="s">
        <v>31522</v>
      </c>
      <c r="C236" s="596" t="s">
        <v>31001</v>
      </c>
      <c r="D236" s="596" t="s">
        <v>853</v>
      </c>
      <c r="E236" s="601"/>
      <c r="F236" s="600"/>
      <c r="G236" s="600"/>
      <c r="H236" s="598"/>
      <c r="I236" s="584"/>
      <c r="J236" s="584"/>
      <c r="K236" s="584"/>
      <c r="L236" s="584"/>
      <c r="M236" s="584"/>
      <c r="N236" s="584"/>
      <c r="O236" s="585"/>
      <c r="P236" s="585"/>
      <c r="Q236" s="585"/>
      <c r="R236" s="585"/>
      <c r="S236" s="585"/>
      <c r="T236" s="585"/>
      <c r="U236" s="585"/>
      <c r="V236" s="585"/>
      <c r="W236" s="585"/>
      <c r="X236" s="585"/>
      <c r="Y236" s="585"/>
      <c r="Z236" s="585"/>
      <c r="AA236" s="585"/>
      <c r="AB236" s="585"/>
      <c r="AC236" s="585"/>
    </row>
    <row r="237">
      <c r="A237" s="580" t="s">
        <v>31525</v>
      </c>
      <c r="B237" s="581" t="s">
        <v>31526</v>
      </c>
      <c r="C237" s="581" t="s">
        <v>31527</v>
      </c>
      <c r="D237" s="581" t="s">
        <v>31528</v>
      </c>
      <c r="E237" s="582"/>
      <c r="F237" s="582"/>
      <c r="G237" s="582"/>
      <c r="H237" s="627"/>
      <c r="I237" s="587"/>
      <c r="J237" s="593"/>
      <c r="K237" s="630"/>
      <c r="L237" s="593"/>
      <c r="M237" s="584"/>
      <c r="N237" s="584"/>
      <c r="O237" s="631"/>
      <c r="P237" s="631"/>
      <c r="Q237" s="631"/>
      <c r="R237" s="631"/>
      <c r="S237" s="631"/>
      <c r="T237" s="631"/>
      <c r="U237" s="631"/>
      <c r="V237" s="631"/>
      <c r="W237" s="631"/>
      <c r="X237" s="631"/>
      <c r="Y237" s="631"/>
      <c r="Z237" s="631"/>
      <c r="AA237" s="631"/>
      <c r="AB237" s="631"/>
      <c r="AC237" s="631"/>
    </row>
    <row r="238">
      <c r="A238" s="178" t="s">
        <v>31529</v>
      </c>
      <c r="B238" s="629" t="s">
        <v>31526</v>
      </c>
      <c r="C238" s="629" t="s">
        <v>4681</v>
      </c>
      <c r="D238" s="629" t="s">
        <v>31530</v>
      </c>
      <c r="E238" s="632"/>
      <c r="F238" s="632"/>
      <c r="G238" s="632"/>
      <c r="H238" s="627"/>
      <c r="I238" s="587">
        <v>4.5</v>
      </c>
      <c r="J238" s="593">
        <v>43899.0</v>
      </c>
      <c r="K238" s="630">
        <v>4.5</v>
      </c>
      <c r="L238" s="593">
        <v>43900.0</v>
      </c>
      <c r="M238" s="584"/>
      <c r="N238" s="584"/>
      <c r="O238" s="631"/>
      <c r="P238" s="631"/>
      <c r="Q238" s="631"/>
      <c r="R238" s="631"/>
      <c r="S238" s="631"/>
      <c r="T238" s="631"/>
      <c r="U238" s="631"/>
      <c r="V238" s="631"/>
      <c r="W238" s="631"/>
      <c r="X238" s="631"/>
      <c r="Y238" s="631"/>
      <c r="Z238" s="631"/>
      <c r="AA238" s="631"/>
      <c r="AB238" s="631"/>
      <c r="AC238" s="631"/>
    </row>
    <row r="239">
      <c r="A239" s="178" t="s">
        <v>31531</v>
      </c>
      <c r="B239" s="629" t="s">
        <v>31526</v>
      </c>
      <c r="C239" s="629" t="s">
        <v>31532</v>
      </c>
      <c r="D239" s="629" t="s">
        <v>31296</v>
      </c>
      <c r="E239" s="632"/>
      <c r="F239" s="632"/>
      <c r="G239" s="632"/>
      <c r="H239" s="627"/>
      <c r="I239" s="584"/>
      <c r="J239" s="584"/>
      <c r="K239" s="633"/>
      <c r="L239" s="584"/>
      <c r="M239" s="587"/>
      <c r="N239" s="587"/>
      <c r="O239" s="631"/>
      <c r="P239" s="631"/>
      <c r="Q239" s="631"/>
      <c r="R239" s="631"/>
      <c r="S239" s="631"/>
      <c r="T239" s="631"/>
      <c r="U239" s="631"/>
      <c r="V239" s="631"/>
      <c r="W239" s="631"/>
      <c r="X239" s="631"/>
      <c r="Y239" s="631"/>
      <c r="Z239" s="631"/>
      <c r="AA239" s="631"/>
      <c r="AB239" s="631"/>
      <c r="AC239" s="631"/>
    </row>
    <row r="240">
      <c r="A240" s="178" t="s">
        <v>31533</v>
      </c>
      <c r="B240" s="629" t="s">
        <v>31526</v>
      </c>
      <c r="C240" s="629" t="s">
        <v>31534</v>
      </c>
      <c r="D240" s="629" t="s">
        <v>31535</v>
      </c>
      <c r="E240" s="632"/>
      <c r="F240" s="632"/>
      <c r="G240" s="632"/>
      <c r="H240" s="627"/>
      <c r="I240" s="584"/>
      <c r="J240" s="584"/>
      <c r="K240" s="633"/>
      <c r="L240" s="584"/>
      <c r="M240" s="587"/>
      <c r="N240" s="587"/>
      <c r="O240" s="631"/>
      <c r="P240" s="631"/>
      <c r="Q240" s="631"/>
      <c r="R240" s="631"/>
      <c r="S240" s="631"/>
      <c r="T240" s="631"/>
      <c r="U240" s="631"/>
      <c r="V240" s="631"/>
      <c r="W240" s="631"/>
      <c r="X240" s="631"/>
      <c r="Y240" s="631"/>
      <c r="Z240" s="631"/>
      <c r="AA240" s="631"/>
      <c r="AB240" s="631"/>
      <c r="AC240" s="631"/>
    </row>
    <row r="241">
      <c r="A241" s="178" t="s">
        <v>31533</v>
      </c>
      <c r="B241" s="596" t="s">
        <v>30990</v>
      </c>
      <c r="C241" s="629" t="s">
        <v>3984</v>
      </c>
      <c r="D241" s="629" t="s">
        <v>31166</v>
      </c>
      <c r="E241" s="632"/>
      <c r="F241" s="632"/>
      <c r="G241" s="632"/>
      <c r="H241" s="627"/>
      <c r="I241" s="584"/>
      <c r="J241" s="584"/>
      <c r="K241" s="633"/>
      <c r="L241" s="584"/>
      <c r="M241" s="587"/>
      <c r="N241" s="587"/>
      <c r="O241" s="631"/>
      <c r="P241" s="631"/>
      <c r="Q241" s="631"/>
      <c r="R241" s="631"/>
      <c r="S241" s="631"/>
      <c r="T241" s="631"/>
      <c r="U241" s="631"/>
      <c r="V241" s="631"/>
      <c r="W241" s="631"/>
      <c r="X241" s="631"/>
      <c r="Y241" s="631"/>
      <c r="Z241" s="631"/>
      <c r="AA241" s="631"/>
      <c r="AB241" s="631"/>
      <c r="AC241" s="631"/>
    </row>
    <row r="242">
      <c r="A242" s="178" t="s">
        <v>10117</v>
      </c>
      <c r="B242" s="629" t="s">
        <v>31400</v>
      </c>
      <c r="C242" s="629" t="s">
        <v>3086</v>
      </c>
      <c r="D242" s="629" t="s">
        <v>31536</v>
      </c>
      <c r="E242" s="634" t="s">
        <v>31035</v>
      </c>
      <c r="F242" s="632"/>
      <c r="G242" s="632"/>
      <c r="H242" s="627"/>
      <c r="I242" s="584"/>
      <c r="J242" s="584"/>
      <c r="K242" s="633"/>
      <c r="L242" s="584"/>
      <c r="M242" s="587">
        <v>30.0</v>
      </c>
      <c r="N242" s="587" t="s">
        <v>31537</v>
      </c>
      <c r="O242" s="631"/>
      <c r="P242" s="631"/>
      <c r="Q242" s="631"/>
      <c r="R242" s="631"/>
      <c r="S242" s="631"/>
      <c r="T242" s="631"/>
      <c r="U242" s="631"/>
      <c r="V242" s="631"/>
      <c r="W242" s="631"/>
      <c r="X242" s="631"/>
      <c r="Y242" s="631"/>
      <c r="Z242" s="631"/>
      <c r="AA242" s="631"/>
      <c r="AB242" s="631"/>
      <c r="AC242" s="631"/>
    </row>
    <row r="243">
      <c r="A243" s="178" t="s">
        <v>31538</v>
      </c>
      <c r="B243" s="629" t="s">
        <v>31539</v>
      </c>
      <c r="C243" s="629" t="s">
        <v>11726</v>
      </c>
      <c r="D243" s="629" t="s">
        <v>31540</v>
      </c>
      <c r="E243" s="632"/>
      <c r="F243" s="632"/>
      <c r="G243" s="632"/>
      <c r="H243" s="627"/>
      <c r="I243" s="584"/>
      <c r="J243" s="584"/>
      <c r="K243" s="633"/>
      <c r="L243" s="584"/>
      <c r="M243" s="584"/>
      <c r="N243" s="584"/>
      <c r="O243" s="631"/>
      <c r="P243" s="631"/>
      <c r="Q243" s="631"/>
      <c r="R243" s="631"/>
      <c r="S243" s="631"/>
      <c r="T243" s="631"/>
      <c r="U243" s="631"/>
      <c r="V243" s="631"/>
      <c r="W243" s="631"/>
      <c r="X243" s="631"/>
      <c r="Y243" s="631"/>
      <c r="Z243" s="631"/>
      <c r="AA243" s="631"/>
      <c r="AB243" s="631"/>
      <c r="AC243" s="631"/>
    </row>
    <row r="244">
      <c r="A244" s="178" t="s">
        <v>31541</v>
      </c>
      <c r="B244" s="629" t="s">
        <v>31539</v>
      </c>
      <c r="C244" s="629" t="s">
        <v>1942</v>
      </c>
      <c r="D244" s="629" t="s">
        <v>30970</v>
      </c>
      <c r="E244" s="634" t="s">
        <v>31035</v>
      </c>
      <c r="F244" s="632"/>
      <c r="G244" s="632"/>
      <c r="H244" s="627"/>
      <c r="I244" s="584"/>
      <c r="J244" s="584"/>
      <c r="K244" s="633"/>
      <c r="L244" s="584"/>
      <c r="M244" s="584"/>
      <c r="N244" s="584"/>
      <c r="O244" s="631"/>
      <c r="P244" s="631"/>
      <c r="Q244" s="631"/>
      <c r="R244" s="631"/>
      <c r="S244" s="631"/>
      <c r="T244" s="631"/>
      <c r="U244" s="631"/>
      <c r="V244" s="631"/>
      <c r="W244" s="631"/>
      <c r="X244" s="631"/>
      <c r="Y244" s="631"/>
      <c r="Z244" s="631"/>
      <c r="AA244" s="631"/>
      <c r="AB244" s="631"/>
      <c r="AC244" s="631"/>
    </row>
    <row r="245">
      <c r="A245" s="178" t="s">
        <v>31541</v>
      </c>
      <c r="B245" s="625" t="s">
        <v>31297</v>
      </c>
      <c r="C245" s="625" t="s">
        <v>31542</v>
      </c>
      <c r="D245" s="625" t="s">
        <v>31543</v>
      </c>
      <c r="E245" s="625" t="s">
        <v>31544</v>
      </c>
      <c r="F245" s="627"/>
      <c r="G245" s="627"/>
      <c r="H245" s="627"/>
      <c r="I245" s="584"/>
      <c r="J245" s="584"/>
      <c r="K245" s="633"/>
      <c r="L245" s="584"/>
      <c r="M245" s="584"/>
      <c r="N245" s="584"/>
      <c r="O245" s="631"/>
      <c r="P245" s="631"/>
      <c r="Q245" s="631"/>
      <c r="R245" s="631"/>
      <c r="S245" s="631"/>
      <c r="T245" s="631"/>
      <c r="U245" s="631"/>
      <c r="V245" s="631"/>
      <c r="W245" s="631"/>
      <c r="X245" s="631"/>
      <c r="Y245" s="631"/>
      <c r="Z245" s="631"/>
      <c r="AA245" s="631"/>
      <c r="AB245" s="631"/>
      <c r="AC245" s="631"/>
    </row>
    <row r="246">
      <c r="A246" s="178" t="s">
        <v>97</v>
      </c>
      <c r="B246" s="625" t="s">
        <v>31545</v>
      </c>
      <c r="C246" s="625" t="s">
        <v>3369</v>
      </c>
      <c r="D246" s="625" t="s">
        <v>520</v>
      </c>
      <c r="E246" s="635"/>
      <c r="F246" s="627"/>
      <c r="G246" s="627"/>
      <c r="H246" s="627"/>
      <c r="I246" s="584"/>
      <c r="J246" s="584"/>
      <c r="K246" s="633"/>
      <c r="L246" s="584"/>
      <c r="M246" s="584"/>
      <c r="N246" s="584"/>
      <c r="O246" s="631"/>
      <c r="P246" s="631"/>
      <c r="Q246" s="631"/>
      <c r="R246" s="631"/>
      <c r="S246" s="631"/>
      <c r="T246" s="631"/>
      <c r="U246" s="631"/>
      <c r="V246" s="631"/>
      <c r="W246" s="631"/>
      <c r="X246" s="631"/>
      <c r="Y246" s="631"/>
      <c r="Z246" s="631"/>
      <c r="AA246" s="631"/>
      <c r="AB246" s="631"/>
      <c r="AC246" s="631"/>
    </row>
    <row r="247">
      <c r="A247" s="178" t="s">
        <v>31546</v>
      </c>
      <c r="B247" s="629" t="s">
        <v>31547</v>
      </c>
      <c r="C247" s="629" t="s">
        <v>8570</v>
      </c>
      <c r="D247" s="629" t="s">
        <v>31548</v>
      </c>
      <c r="E247" s="634" t="s">
        <v>31549</v>
      </c>
      <c r="F247" s="632"/>
      <c r="G247" s="632"/>
      <c r="H247" s="627"/>
      <c r="I247" s="584"/>
      <c r="J247" s="584"/>
      <c r="K247" s="630"/>
      <c r="L247" s="587"/>
      <c r="M247" s="584"/>
      <c r="N247" s="584"/>
      <c r="O247" s="631"/>
      <c r="P247" s="631"/>
      <c r="Q247" s="631"/>
      <c r="R247" s="631"/>
      <c r="S247" s="631"/>
      <c r="T247" s="631"/>
      <c r="U247" s="631"/>
      <c r="V247" s="631"/>
      <c r="W247" s="631"/>
      <c r="X247" s="631"/>
      <c r="Y247" s="631"/>
      <c r="Z247" s="631"/>
      <c r="AA247" s="631"/>
      <c r="AB247" s="631"/>
      <c r="AC247" s="631"/>
    </row>
    <row r="248">
      <c r="A248" s="178" t="s">
        <v>31546</v>
      </c>
      <c r="B248" s="629" t="s">
        <v>31206</v>
      </c>
      <c r="C248" s="629" t="s">
        <v>2947</v>
      </c>
      <c r="D248" s="629" t="s">
        <v>31173</v>
      </c>
      <c r="E248" s="634" t="s">
        <v>31161</v>
      </c>
      <c r="F248" s="632"/>
      <c r="G248" s="632"/>
      <c r="H248" s="627"/>
      <c r="I248" s="584"/>
      <c r="J248" s="584"/>
      <c r="K248" s="630"/>
      <c r="L248" s="587"/>
      <c r="M248" s="584"/>
      <c r="N248" s="584"/>
      <c r="O248" s="631"/>
      <c r="P248" s="631"/>
      <c r="Q248" s="631"/>
      <c r="R248" s="631"/>
      <c r="S248" s="631"/>
      <c r="T248" s="631"/>
      <c r="U248" s="631"/>
      <c r="V248" s="631"/>
      <c r="W248" s="631"/>
      <c r="X248" s="631"/>
      <c r="Y248" s="631"/>
      <c r="Z248" s="631"/>
      <c r="AA248" s="631"/>
      <c r="AB248" s="631"/>
      <c r="AC248" s="631"/>
    </row>
    <row r="249">
      <c r="A249" s="178" t="s">
        <v>31550</v>
      </c>
      <c r="B249" s="629" t="s">
        <v>31206</v>
      </c>
      <c r="C249" s="629" t="s">
        <v>31282</v>
      </c>
      <c r="D249" s="629" t="s">
        <v>31173</v>
      </c>
      <c r="E249" s="634" t="s">
        <v>31551</v>
      </c>
      <c r="F249" s="632"/>
      <c r="G249" s="632"/>
      <c r="H249" s="627"/>
      <c r="I249" s="584"/>
      <c r="J249" s="584"/>
      <c r="K249" s="630"/>
      <c r="L249" s="587"/>
      <c r="M249" s="584"/>
      <c r="N249" s="584"/>
      <c r="O249" s="631"/>
      <c r="P249" s="631"/>
      <c r="Q249" s="631"/>
      <c r="R249" s="631"/>
      <c r="S249" s="631"/>
      <c r="T249" s="631"/>
      <c r="U249" s="631"/>
      <c r="V249" s="631"/>
      <c r="W249" s="631"/>
      <c r="X249" s="631"/>
      <c r="Y249" s="631"/>
      <c r="Z249" s="631"/>
      <c r="AA249" s="631"/>
      <c r="AB249" s="631"/>
      <c r="AC249" s="631"/>
    </row>
    <row r="250">
      <c r="A250" s="178" t="s">
        <v>31552</v>
      </c>
      <c r="B250" s="629" t="s">
        <v>31553</v>
      </c>
      <c r="C250" s="629" t="s">
        <v>31554</v>
      </c>
      <c r="D250" s="629" t="s">
        <v>31464</v>
      </c>
      <c r="E250" s="634" t="s">
        <v>184</v>
      </c>
      <c r="F250" s="632"/>
      <c r="G250" s="632"/>
      <c r="H250" s="627"/>
      <c r="I250" s="584"/>
      <c r="J250" s="584"/>
      <c r="K250" s="630"/>
      <c r="L250" s="587"/>
      <c r="M250" s="584"/>
      <c r="N250" s="584"/>
      <c r="O250" s="631"/>
      <c r="P250" s="631"/>
      <c r="Q250" s="631"/>
      <c r="R250" s="631"/>
      <c r="S250" s="631"/>
      <c r="T250" s="631"/>
      <c r="U250" s="631"/>
      <c r="V250" s="631"/>
      <c r="W250" s="631"/>
      <c r="X250" s="631"/>
      <c r="Y250" s="631"/>
      <c r="Z250" s="631"/>
      <c r="AA250" s="631"/>
      <c r="AB250" s="631"/>
      <c r="AC250" s="631"/>
    </row>
    <row r="251">
      <c r="A251" s="178" t="s">
        <v>31555</v>
      </c>
      <c r="B251" s="629"/>
      <c r="C251" s="629"/>
      <c r="D251" s="629"/>
      <c r="E251" s="632"/>
      <c r="F251" s="632"/>
      <c r="G251" s="632"/>
      <c r="H251" s="627"/>
      <c r="I251" s="584"/>
      <c r="J251" s="584"/>
      <c r="K251" s="630" t="s">
        <v>31556</v>
      </c>
      <c r="L251" s="587" t="s">
        <v>30922</v>
      </c>
      <c r="M251" s="584"/>
      <c r="N251" s="584"/>
      <c r="O251" s="631"/>
      <c r="P251" s="631"/>
      <c r="Q251" s="631"/>
      <c r="R251" s="631"/>
      <c r="S251" s="631"/>
      <c r="T251" s="631"/>
      <c r="U251" s="631"/>
      <c r="V251" s="631"/>
      <c r="W251" s="631"/>
      <c r="X251" s="631"/>
      <c r="Y251" s="631"/>
      <c r="Z251" s="631"/>
      <c r="AA251" s="631"/>
      <c r="AB251" s="631"/>
      <c r="AC251" s="631"/>
    </row>
    <row r="252">
      <c r="A252" s="178" t="s">
        <v>31557</v>
      </c>
      <c r="B252" s="629"/>
      <c r="C252" s="629" t="s">
        <v>12969</v>
      </c>
      <c r="D252" s="629" t="s">
        <v>10369</v>
      </c>
      <c r="E252" s="632"/>
      <c r="F252" s="632"/>
      <c r="G252" s="632"/>
      <c r="H252" s="627"/>
      <c r="I252" s="584"/>
      <c r="J252" s="584"/>
      <c r="K252" s="633"/>
      <c r="L252" s="584"/>
      <c r="M252" s="584"/>
      <c r="N252" s="584"/>
      <c r="O252" s="631"/>
      <c r="P252" s="631"/>
      <c r="Q252" s="631"/>
      <c r="R252" s="631"/>
      <c r="S252" s="631"/>
      <c r="T252" s="631"/>
      <c r="U252" s="631"/>
      <c r="V252" s="631"/>
      <c r="W252" s="631"/>
      <c r="X252" s="631"/>
      <c r="Y252" s="631"/>
      <c r="Z252" s="631"/>
      <c r="AA252" s="631"/>
      <c r="AB252" s="631"/>
      <c r="AC252" s="631"/>
    </row>
    <row r="253" ht="20.25" customHeight="1">
      <c r="A253" s="178" t="s">
        <v>31558</v>
      </c>
      <c r="B253" s="596" t="s">
        <v>4636</v>
      </c>
      <c r="C253" s="629" t="s">
        <v>31514</v>
      </c>
      <c r="D253" s="629" t="s">
        <v>31559</v>
      </c>
      <c r="E253" s="632"/>
      <c r="F253" s="632"/>
      <c r="G253" s="632"/>
      <c r="H253" s="627"/>
      <c r="I253" s="584"/>
      <c r="J253" s="584"/>
      <c r="K253" s="633"/>
      <c r="L253" s="584"/>
      <c r="M253" s="584"/>
      <c r="N253" s="584"/>
      <c r="O253" s="631"/>
      <c r="P253" s="631"/>
      <c r="Q253" s="631"/>
      <c r="R253" s="631"/>
      <c r="S253" s="631"/>
      <c r="T253" s="631"/>
      <c r="U253" s="631"/>
      <c r="V253" s="631"/>
      <c r="W253" s="631"/>
      <c r="X253" s="631"/>
      <c r="Y253" s="631"/>
      <c r="Z253" s="631"/>
      <c r="AA253" s="631"/>
      <c r="AB253" s="631"/>
      <c r="AC253" s="631"/>
    </row>
    <row r="254">
      <c r="A254" s="178" t="s">
        <v>31560</v>
      </c>
      <c r="B254" s="596" t="s">
        <v>31260</v>
      </c>
      <c r="C254" s="629" t="s">
        <v>7860</v>
      </c>
      <c r="D254" s="629" t="s">
        <v>31561</v>
      </c>
      <c r="E254" s="632"/>
      <c r="F254" s="632"/>
      <c r="G254" s="632"/>
      <c r="H254" s="627"/>
      <c r="I254" s="584"/>
      <c r="J254" s="584"/>
      <c r="K254" s="633"/>
      <c r="L254" s="584"/>
      <c r="M254" s="584"/>
      <c r="N254" s="584"/>
      <c r="O254" s="631"/>
      <c r="P254" s="631"/>
      <c r="Q254" s="631"/>
      <c r="R254" s="631"/>
      <c r="S254" s="631"/>
      <c r="T254" s="631"/>
      <c r="U254" s="631"/>
      <c r="V254" s="631"/>
      <c r="W254" s="631"/>
      <c r="X254" s="631"/>
      <c r="Y254" s="631"/>
      <c r="Z254" s="631"/>
      <c r="AA254" s="631"/>
      <c r="AB254" s="631"/>
      <c r="AC254" s="631"/>
    </row>
    <row r="255">
      <c r="A255" s="178" t="s">
        <v>31562</v>
      </c>
      <c r="B255" s="596" t="s">
        <v>31260</v>
      </c>
      <c r="C255" s="629" t="s">
        <v>12388</v>
      </c>
      <c r="D255" s="629" t="s">
        <v>31563</v>
      </c>
      <c r="E255" s="632"/>
      <c r="F255" s="632"/>
      <c r="G255" s="632"/>
      <c r="H255" s="627"/>
      <c r="I255" s="584"/>
      <c r="J255" s="584"/>
      <c r="K255" s="633"/>
      <c r="L255" s="584"/>
      <c r="M255" s="584"/>
      <c r="N255" s="584"/>
      <c r="O255" s="631"/>
      <c r="P255" s="631"/>
      <c r="Q255" s="631"/>
      <c r="R255" s="631"/>
      <c r="S255" s="631"/>
      <c r="T255" s="631"/>
      <c r="U255" s="631"/>
      <c r="V255" s="631"/>
      <c r="W255" s="631"/>
      <c r="X255" s="631"/>
      <c r="Y255" s="631"/>
      <c r="Z255" s="631"/>
      <c r="AA255" s="631"/>
      <c r="AB255" s="631"/>
      <c r="AC255" s="631"/>
    </row>
    <row r="256">
      <c r="A256" s="178" t="s">
        <v>31560</v>
      </c>
      <c r="B256" s="629" t="s">
        <v>31564</v>
      </c>
      <c r="C256" s="629">
        <v>41.0</v>
      </c>
      <c r="D256" s="629" t="s">
        <v>31565</v>
      </c>
      <c r="E256" s="632"/>
      <c r="F256" s="632"/>
      <c r="G256" s="632"/>
      <c r="H256" s="627"/>
      <c r="I256" s="584"/>
      <c r="J256" s="584"/>
      <c r="K256" s="633"/>
      <c r="L256" s="584"/>
      <c r="M256" s="584"/>
      <c r="N256" s="584"/>
      <c r="O256" s="631"/>
      <c r="P256" s="631"/>
      <c r="Q256" s="631"/>
      <c r="R256" s="631"/>
      <c r="S256" s="631"/>
      <c r="T256" s="631"/>
      <c r="U256" s="631"/>
      <c r="V256" s="631"/>
      <c r="W256" s="631"/>
      <c r="X256" s="631"/>
      <c r="Y256" s="631"/>
      <c r="Z256" s="631"/>
      <c r="AA256" s="631"/>
      <c r="AB256" s="631"/>
      <c r="AC256" s="631"/>
    </row>
    <row r="257">
      <c r="A257" s="178" t="s">
        <v>31566</v>
      </c>
      <c r="B257" s="629" t="s">
        <v>31564</v>
      </c>
      <c r="C257" s="629" t="s">
        <v>31567</v>
      </c>
      <c r="D257" s="629" t="s">
        <v>31050</v>
      </c>
      <c r="E257" s="632"/>
      <c r="F257" s="632"/>
      <c r="G257" s="632"/>
      <c r="H257" s="627"/>
      <c r="I257" s="584"/>
      <c r="J257" s="584"/>
      <c r="K257" s="633"/>
      <c r="L257" s="584"/>
      <c r="M257" s="584"/>
      <c r="N257" s="584"/>
      <c r="O257" s="631"/>
      <c r="P257" s="631"/>
      <c r="Q257" s="631"/>
      <c r="R257" s="631"/>
      <c r="S257" s="631"/>
      <c r="T257" s="631"/>
      <c r="U257" s="631"/>
      <c r="V257" s="631"/>
      <c r="W257" s="631"/>
      <c r="X257" s="631"/>
      <c r="Y257" s="631"/>
      <c r="Z257" s="631"/>
      <c r="AA257" s="631"/>
      <c r="AB257" s="631"/>
      <c r="AC257" s="631"/>
    </row>
    <row r="258">
      <c r="A258" s="178" t="s">
        <v>31568</v>
      </c>
      <c r="B258" s="629" t="s">
        <v>31564</v>
      </c>
      <c r="C258" s="629" t="s">
        <v>31569</v>
      </c>
      <c r="D258" s="629" t="s">
        <v>31570</v>
      </c>
      <c r="E258" s="632"/>
      <c r="F258" s="632"/>
      <c r="G258" s="632"/>
      <c r="H258" s="627"/>
      <c r="I258" s="584"/>
      <c r="J258" s="584"/>
      <c r="K258" s="633"/>
      <c r="L258" s="584"/>
      <c r="M258" s="584"/>
      <c r="N258" s="584"/>
      <c r="O258" s="631"/>
      <c r="P258" s="631"/>
      <c r="Q258" s="631"/>
      <c r="R258" s="631"/>
      <c r="S258" s="631"/>
      <c r="T258" s="631"/>
      <c r="U258" s="631"/>
      <c r="V258" s="631"/>
      <c r="W258" s="631"/>
      <c r="X258" s="631"/>
      <c r="Y258" s="631"/>
      <c r="Z258" s="631"/>
      <c r="AA258" s="631"/>
      <c r="AB258" s="631"/>
      <c r="AC258" s="631"/>
    </row>
    <row r="259">
      <c r="A259" s="178" t="s">
        <v>31571</v>
      </c>
      <c r="B259" s="629" t="s">
        <v>31572</v>
      </c>
      <c r="C259" s="629" t="s">
        <v>9039</v>
      </c>
      <c r="D259" s="629" t="s">
        <v>31573</v>
      </c>
      <c r="E259" s="632"/>
      <c r="F259" s="632"/>
      <c r="G259" s="632"/>
      <c r="H259" s="627"/>
      <c r="I259" s="584"/>
      <c r="J259" s="584"/>
      <c r="K259" s="633"/>
      <c r="L259" s="584"/>
      <c r="M259" s="584"/>
      <c r="N259" s="584"/>
      <c r="O259" s="631"/>
      <c r="P259" s="631"/>
      <c r="Q259" s="631"/>
      <c r="R259" s="631"/>
      <c r="S259" s="631"/>
      <c r="T259" s="631"/>
      <c r="U259" s="631"/>
      <c r="V259" s="631"/>
      <c r="W259" s="631"/>
      <c r="X259" s="631"/>
      <c r="Y259" s="631"/>
      <c r="Z259" s="631"/>
      <c r="AA259" s="631"/>
      <c r="AB259" s="631"/>
      <c r="AC259" s="631"/>
    </row>
    <row r="260">
      <c r="A260" s="178" t="s">
        <v>31574</v>
      </c>
      <c r="B260" s="629" t="s">
        <v>31572</v>
      </c>
      <c r="C260" s="629" t="s">
        <v>2995</v>
      </c>
      <c r="D260" s="629" t="s">
        <v>31575</v>
      </c>
      <c r="E260" s="632"/>
      <c r="F260" s="632"/>
      <c r="G260" s="632"/>
      <c r="H260" s="627"/>
      <c r="I260" s="584"/>
      <c r="J260" s="584"/>
      <c r="K260" s="633"/>
      <c r="L260" s="584"/>
      <c r="M260" s="584"/>
      <c r="N260" s="584"/>
      <c r="O260" s="631"/>
      <c r="P260" s="631"/>
      <c r="Q260" s="631"/>
      <c r="R260" s="631"/>
      <c r="S260" s="631"/>
      <c r="T260" s="631"/>
      <c r="U260" s="631"/>
      <c r="V260" s="631"/>
      <c r="W260" s="631"/>
      <c r="X260" s="631"/>
      <c r="Y260" s="631"/>
      <c r="Z260" s="631"/>
      <c r="AA260" s="631"/>
      <c r="AB260" s="631"/>
      <c r="AC260" s="631"/>
    </row>
    <row r="261">
      <c r="A261" s="178" t="s">
        <v>31576</v>
      </c>
      <c r="B261" s="629" t="s">
        <v>31577</v>
      </c>
      <c r="C261" s="629" t="s">
        <v>9706</v>
      </c>
      <c r="D261" s="629" t="s">
        <v>520</v>
      </c>
      <c r="E261" s="632"/>
      <c r="F261" s="632"/>
      <c r="G261" s="632"/>
      <c r="H261" s="627"/>
      <c r="I261" s="584"/>
      <c r="J261" s="584"/>
      <c r="K261" s="633"/>
      <c r="L261" s="584"/>
      <c r="M261" s="584"/>
      <c r="N261" s="584"/>
      <c r="O261" s="631"/>
      <c r="P261" s="631"/>
      <c r="Q261" s="631"/>
      <c r="R261" s="631"/>
      <c r="S261" s="631"/>
      <c r="T261" s="631"/>
      <c r="U261" s="631"/>
      <c r="V261" s="631"/>
      <c r="W261" s="631"/>
      <c r="X261" s="631"/>
      <c r="Y261" s="631"/>
      <c r="Z261" s="631"/>
      <c r="AA261" s="631"/>
      <c r="AB261" s="631"/>
      <c r="AC261" s="631"/>
    </row>
    <row r="262" ht="18.75" customHeight="1">
      <c r="A262" s="178" t="s">
        <v>31578</v>
      </c>
      <c r="B262" s="629" t="s">
        <v>31572</v>
      </c>
      <c r="C262" s="629" t="s">
        <v>9222</v>
      </c>
      <c r="D262" s="629" t="s">
        <v>31579</v>
      </c>
      <c r="E262" s="632"/>
      <c r="F262" s="632"/>
      <c r="G262" s="632"/>
      <c r="H262" s="627"/>
      <c r="I262" s="584"/>
      <c r="J262" s="584"/>
      <c r="K262" s="633"/>
      <c r="L262" s="584"/>
      <c r="M262" s="584"/>
      <c r="N262" s="584"/>
      <c r="O262" s="631"/>
      <c r="P262" s="631"/>
      <c r="Q262" s="631"/>
      <c r="R262" s="631"/>
      <c r="S262" s="631"/>
      <c r="T262" s="631"/>
      <c r="U262" s="631"/>
      <c r="V262" s="631"/>
      <c r="W262" s="631"/>
      <c r="X262" s="631"/>
      <c r="Y262" s="631"/>
      <c r="Z262" s="631"/>
      <c r="AA262" s="631"/>
      <c r="AB262" s="631"/>
      <c r="AC262" s="631"/>
    </row>
    <row r="263" ht="19.5" customHeight="1">
      <c r="A263" s="178" t="s">
        <v>31578</v>
      </c>
      <c r="B263" s="629" t="s">
        <v>31348</v>
      </c>
      <c r="C263" s="629" t="s">
        <v>3305</v>
      </c>
      <c r="D263" s="634" t="s">
        <v>31580</v>
      </c>
      <c r="E263" s="632"/>
      <c r="F263" s="632"/>
      <c r="G263" s="632"/>
      <c r="H263" s="627"/>
      <c r="I263" s="584"/>
      <c r="J263" s="584"/>
      <c r="K263" s="633"/>
      <c r="L263" s="584"/>
      <c r="M263" s="584"/>
      <c r="N263" s="584"/>
      <c r="O263" s="631"/>
      <c r="P263" s="631"/>
      <c r="Q263" s="631"/>
      <c r="R263" s="631"/>
      <c r="S263" s="631"/>
      <c r="T263" s="631"/>
      <c r="U263" s="631"/>
      <c r="V263" s="631"/>
      <c r="W263" s="631"/>
      <c r="X263" s="631"/>
      <c r="Y263" s="631"/>
      <c r="Z263" s="631"/>
      <c r="AA263" s="631"/>
      <c r="AB263" s="631"/>
      <c r="AC263" s="631"/>
    </row>
    <row r="264">
      <c r="A264" s="178" t="s">
        <v>31581</v>
      </c>
      <c r="B264" s="629" t="s">
        <v>31564</v>
      </c>
      <c r="C264" s="629" t="s">
        <v>8800</v>
      </c>
      <c r="D264" s="634" t="s">
        <v>31582</v>
      </c>
      <c r="E264" s="632"/>
      <c r="F264" s="632"/>
      <c r="G264" s="632"/>
      <c r="H264" s="627"/>
      <c r="I264" s="584"/>
      <c r="J264" s="584"/>
      <c r="K264" s="633"/>
      <c r="L264" s="584"/>
      <c r="M264" s="584"/>
      <c r="N264" s="584"/>
      <c r="O264" s="631"/>
      <c r="P264" s="631"/>
      <c r="Q264" s="631"/>
      <c r="R264" s="631"/>
      <c r="S264" s="631"/>
      <c r="T264" s="631"/>
      <c r="U264" s="631"/>
      <c r="V264" s="631"/>
      <c r="W264" s="631"/>
      <c r="X264" s="631"/>
      <c r="Y264" s="631"/>
      <c r="Z264" s="631"/>
      <c r="AA264" s="631"/>
      <c r="AB264" s="631"/>
      <c r="AC264" s="631"/>
    </row>
    <row r="265">
      <c r="A265" s="178" t="s">
        <v>31583</v>
      </c>
      <c r="B265" s="625" t="s">
        <v>31584</v>
      </c>
      <c r="C265" s="625" t="s">
        <v>8528</v>
      </c>
      <c r="D265" s="625" t="s">
        <v>31585</v>
      </c>
      <c r="E265" s="635"/>
      <c r="F265" s="627"/>
      <c r="G265" s="627"/>
      <c r="H265" s="627"/>
      <c r="I265" s="584"/>
      <c r="J265" s="584"/>
      <c r="K265" s="633"/>
      <c r="L265" s="584"/>
      <c r="M265" s="584"/>
      <c r="N265" s="584"/>
      <c r="O265" s="631"/>
      <c r="P265" s="631"/>
      <c r="Q265" s="631"/>
      <c r="R265" s="631"/>
      <c r="S265" s="631"/>
      <c r="T265" s="631"/>
      <c r="U265" s="631"/>
      <c r="V265" s="631"/>
      <c r="W265" s="631"/>
      <c r="X265" s="631"/>
      <c r="Y265" s="631"/>
      <c r="Z265" s="631"/>
      <c r="AA265" s="631"/>
      <c r="AB265" s="631"/>
      <c r="AC265" s="631"/>
    </row>
    <row r="266">
      <c r="A266" s="178" t="s">
        <v>31586</v>
      </c>
      <c r="B266" s="625" t="s">
        <v>31584</v>
      </c>
      <c r="C266" s="625" t="s">
        <v>12388</v>
      </c>
      <c r="D266" s="625" t="s">
        <v>31585</v>
      </c>
      <c r="E266" s="635"/>
      <c r="F266" s="627"/>
      <c r="G266" s="627"/>
      <c r="H266" s="627"/>
      <c r="I266" s="584"/>
      <c r="J266" s="584"/>
      <c r="K266" s="633"/>
      <c r="L266" s="584"/>
      <c r="M266" s="584"/>
      <c r="N266" s="584"/>
      <c r="O266" s="631"/>
      <c r="P266" s="631"/>
      <c r="Q266" s="631"/>
      <c r="R266" s="631"/>
      <c r="S266" s="631"/>
      <c r="T266" s="631"/>
      <c r="U266" s="631"/>
      <c r="V266" s="631"/>
      <c r="W266" s="631"/>
      <c r="X266" s="631"/>
      <c r="Y266" s="631"/>
      <c r="Z266" s="631"/>
      <c r="AA266" s="631"/>
      <c r="AB266" s="631"/>
      <c r="AC266" s="631"/>
    </row>
    <row r="267">
      <c r="A267" s="573" t="s">
        <v>31587</v>
      </c>
      <c r="B267" s="625" t="s">
        <v>31584</v>
      </c>
      <c r="C267" s="625" t="s">
        <v>31588</v>
      </c>
      <c r="D267" s="625" t="s">
        <v>31589</v>
      </c>
      <c r="E267" s="635"/>
      <c r="F267" s="627"/>
      <c r="G267" s="627"/>
      <c r="H267" s="627"/>
      <c r="I267" s="584"/>
      <c r="J267" s="584"/>
      <c r="K267" s="633"/>
      <c r="L267" s="584"/>
      <c r="M267" s="584"/>
      <c r="N267" s="584"/>
      <c r="O267" s="631"/>
      <c r="P267" s="631"/>
      <c r="Q267" s="631"/>
      <c r="R267" s="631"/>
      <c r="S267" s="631"/>
      <c r="T267" s="631"/>
      <c r="U267" s="631"/>
      <c r="V267" s="631"/>
      <c r="W267" s="631"/>
      <c r="X267" s="631"/>
      <c r="Y267" s="631"/>
      <c r="Z267" s="631"/>
      <c r="AA267" s="631"/>
      <c r="AB267" s="631"/>
      <c r="AC267" s="631"/>
    </row>
    <row r="268">
      <c r="A268" s="636" t="s">
        <v>31590</v>
      </c>
      <c r="B268" s="625" t="s">
        <v>31591</v>
      </c>
      <c r="C268" s="625" t="s">
        <v>31592</v>
      </c>
      <c r="D268" s="625" t="s">
        <v>31198</v>
      </c>
      <c r="E268" s="635"/>
      <c r="F268" s="627"/>
      <c r="G268" s="627"/>
      <c r="H268" s="627"/>
      <c r="I268" s="584"/>
      <c r="J268" s="584"/>
      <c r="K268" s="633"/>
      <c r="L268" s="584"/>
      <c r="M268" s="584"/>
      <c r="N268" s="584"/>
      <c r="O268" s="631"/>
      <c r="P268" s="631"/>
      <c r="Q268" s="631"/>
      <c r="R268" s="631"/>
      <c r="S268" s="631"/>
      <c r="T268" s="631"/>
      <c r="U268" s="631"/>
      <c r="V268" s="631"/>
      <c r="W268" s="631"/>
      <c r="X268" s="631"/>
      <c r="Y268" s="631"/>
      <c r="Z268" s="631"/>
      <c r="AA268" s="631"/>
      <c r="AB268" s="631"/>
      <c r="AC268" s="631"/>
    </row>
    <row r="269">
      <c r="A269" s="573" t="s">
        <v>31593</v>
      </c>
      <c r="B269" s="625" t="s">
        <v>31594</v>
      </c>
      <c r="C269" s="625" t="s">
        <v>3943</v>
      </c>
      <c r="D269" s="625" t="s">
        <v>31595</v>
      </c>
      <c r="E269" s="635"/>
      <c r="F269" s="627"/>
      <c r="G269" s="627"/>
      <c r="H269" s="627"/>
      <c r="I269" s="584"/>
      <c r="J269" s="584"/>
      <c r="K269" s="633"/>
      <c r="L269" s="584"/>
      <c r="M269" s="584"/>
      <c r="N269" s="584"/>
      <c r="O269" s="631"/>
      <c r="P269" s="631"/>
      <c r="Q269" s="631"/>
      <c r="R269" s="631"/>
      <c r="S269" s="631"/>
      <c r="T269" s="631"/>
      <c r="U269" s="631"/>
      <c r="V269" s="631"/>
      <c r="W269" s="631"/>
      <c r="X269" s="631"/>
      <c r="Y269" s="631"/>
      <c r="Z269" s="631"/>
      <c r="AA269" s="631"/>
      <c r="AB269" s="631"/>
      <c r="AC269" s="631"/>
    </row>
    <row r="270">
      <c r="A270" s="178" t="s">
        <v>31596</v>
      </c>
      <c r="B270" s="629"/>
      <c r="C270" s="629" t="s">
        <v>13373</v>
      </c>
      <c r="D270" s="629" t="s">
        <v>4881</v>
      </c>
      <c r="E270" s="632"/>
      <c r="F270" s="632"/>
      <c r="G270" s="632"/>
      <c r="H270" s="627"/>
      <c r="I270" s="584"/>
      <c r="J270" s="584"/>
      <c r="K270" s="630"/>
      <c r="L270" s="587"/>
      <c r="M270" s="584"/>
      <c r="N270" s="584"/>
      <c r="O270" s="631"/>
      <c r="P270" s="631"/>
      <c r="Q270" s="631"/>
      <c r="R270" s="631"/>
      <c r="S270" s="631"/>
      <c r="T270" s="631"/>
      <c r="U270" s="631"/>
      <c r="V270" s="631"/>
      <c r="W270" s="631"/>
      <c r="X270" s="631"/>
      <c r="Y270" s="631"/>
      <c r="Z270" s="631"/>
      <c r="AA270" s="631"/>
      <c r="AB270" s="631"/>
      <c r="AC270" s="631"/>
    </row>
    <row r="271">
      <c r="A271" s="178" t="s">
        <v>31597</v>
      </c>
      <c r="B271" s="629" t="s">
        <v>31598</v>
      </c>
      <c r="C271" s="629" t="s">
        <v>8293</v>
      </c>
      <c r="D271" s="629" t="s">
        <v>89</v>
      </c>
      <c r="E271" s="632"/>
      <c r="F271" s="632"/>
      <c r="G271" s="632"/>
      <c r="H271" s="627"/>
      <c r="I271" s="584"/>
      <c r="J271" s="584"/>
      <c r="K271" s="630"/>
      <c r="L271" s="587"/>
      <c r="M271" s="584"/>
      <c r="N271" s="584"/>
      <c r="O271" s="631"/>
      <c r="P271" s="631"/>
      <c r="Q271" s="631"/>
      <c r="R271" s="631"/>
      <c r="S271" s="631"/>
      <c r="T271" s="631"/>
      <c r="U271" s="631"/>
      <c r="V271" s="631"/>
      <c r="W271" s="631"/>
      <c r="X271" s="631"/>
      <c r="Y271" s="631"/>
      <c r="Z271" s="631"/>
      <c r="AA271" s="631"/>
      <c r="AB271" s="631"/>
      <c r="AC271" s="631"/>
    </row>
    <row r="272">
      <c r="A272" s="178" t="s">
        <v>2747</v>
      </c>
      <c r="B272" s="629"/>
      <c r="C272" s="629" t="s">
        <v>3100</v>
      </c>
      <c r="D272" s="629" t="s">
        <v>31599</v>
      </c>
      <c r="E272" s="632"/>
      <c r="F272" s="632"/>
      <c r="G272" s="632"/>
      <c r="H272" s="627"/>
      <c r="I272" s="584"/>
      <c r="J272" s="584"/>
      <c r="K272" s="630"/>
      <c r="L272" s="587"/>
      <c r="M272" s="584"/>
      <c r="N272" s="584"/>
      <c r="O272" s="631"/>
      <c r="P272" s="631"/>
      <c r="Q272" s="631"/>
      <c r="R272" s="631"/>
      <c r="S272" s="631"/>
      <c r="T272" s="631"/>
      <c r="U272" s="631"/>
      <c r="V272" s="631"/>
      <c r="W272" s="631"/>
      <c r="X272" s="631"/>
      <c r="Y272" s="631"/>
      <c r="Z272" s="631"/>
      <c r="AA272" s="631"/>
      <c r="AB272" s="631"/>
      <c r="AC272" s="631"/>
    </row>
    <row r="273">
      <c r="A273" s="178" t="s">
        <v>167</v>
      </c>
      <c r="B273" s="637" t="s">
        <v>31600</v>
      </c>
      <c r="C273" s="629" t="s">
        <v>31601</v>
      </c>
      <c r="D273" s="629" t="s">
        <v>31602</v>
      </c>
      <c r="E273" s="632"/>
      <c r="F273" s="632"/>
      <c r="G273" s="632"/>
      <c r="H273" s="627"/>
      <c r="I273" s="584"/>
      <c r="J273" s="584"/>
      <c r="K273" s="630"/>
      <c r="L273" s="587"/>
      <c r="M273" s="584"/>
      <c r="N273" s="584"/>
      <c r="O273" s="631"/>
      <c r="P273" s="631"/>
      <c r="Q273" s="631"/>
      <c r="R273" s="631"/>
      <c r="S273" s="631"/>
      <c r="T273" s="631"/>
      <c r="U273" s="631"/>
      <c r="V273" s="631"/>
      <c r="W273" s="631"/>
      <c r="X273" s="631"/>
      <c r="Y273" s="631"/>
      <c r="Z273" s="631"/>
      <c r="AA273" s="631"/>
      <c r="AB273" s="631"/>
      <c r="AC273" s="631"/>
    </row>
    <row r="274">
      <c r="A274" s="178" t="s">
        <v>167</v>
      </c>
      <c r="B274" s="637" t="s">
        <v>31603</v>
      </c>
      <c r="C274" s="629" t="s">
        <v>31604</v>
      </c>
      <c r="D274" s="629" t="s">
        <v>31605</v>
      </c>
      <c r="E274" s="632"/>
      <c r="F274" s="632"/>
      <c r="G274" s="632"/>
      <c r="H274" s="627"/>
      <c r="I274" s="584"/>
      <c r="J274" s="584"/>
      <c r="K274" s="630" t="s">
        <v>31606</v>
      </c>
      <c r="L274" s="587" t="s">
        <v>31023</v>
      </c>
      <c r="M274" s="584"/>
      <c r="N274" s="584"/>
      <c r="O274" s="631"/>
      <c r="P274" s="631"/>
      <c r="Q274" s="631"/>
      <c r="R274" s="631"/>
      <c r="S274" s="631"/>
      <c r="T274" s="631"/>
      <c r="U274" s="631"/>
      <c r="V274" s="631"/>
      <c r="W274" s="631"/>
      <c r="X274" s="631"/>
      <c r="Y274" s="631"/>
      <c r="Z274" s="631"/>
      <c r="AA274" s="631"/>
      <c r="AB274" s="631"/>
      <c r="AC274" s="631"/>
    </row>
    <row r="275">
      <c r="A275" s="573" t="s">
        <v>31607</v>
      </c>
      <c r="B275" s="637" t="s">
        <v>31608</v>
      </c>
      <c r="C275" s="625" t="s">
        <v>10904</v>
      </c>
      <c r="D275" s="625" t="s">
        <v>490</v>
      </c>
      <c r="E275" s="635"/>
      <c r="F275" s="627"/>
      <c r="G275" s="627"/>
      <c r="H275" s="627"/>
      <c r="I275" s="584"/>
      <c r="J275" s="584"/>
      <c r="K275" s="633"/>
      <c r="L275" s="584"/>
      <c r="M275" s="584"/>
      <c r="N275" s="584"/>
      <c r="O275" s="631"/>
      <c r="P275" s="631"/>
      <c r="Q275" s="631"/>
      <c r="R275" s="631"/>
      <c r="S275" s="631"/>
      <c r="T275" s="631"/>
      <c r="U275" s="631"/>
      <c r="V275" s="631"/>
      <c r="W275" s="631"/>
      <c r="X275" s="631"/>
      <c r="Y275" s="631"/>
      <c r="Z275" s="631"/>
      <c r="AA275" s="631"/>
      <c r="AB275" s="631"/>
      <c r="AC275" s="631"/>
    </row>
    <row r="276">
      <c r="A276" s="573" t="s">
        <v>31609</v>
      </c>
      <c r="B276" s="625" t="s">
        <v>31610</v>
      </c>
      <c r="C276" s="625" t="s">
        <v>31191</v>
      </c>
      <c r="D276" s="625" t="s">
        <v>31445</v>
      </c>
      <c r="E276" s="635"/>
      <c r="F276" s="627"/>
      <c r="G276" s="627"/>
      <c r="H276" s="627"/>
      <c r="I276" s="584"/>
      <c r="J276" s="584"/>
      <c r="K276" s="633"/>
      <c r="L276" s="584"/>
      <c r="M276" s="584"/>
      <c r="N276" s="584"/>
      <c r="O276" s="631"/>
      <c r="P276" s="631"/>
      <c r="Q276" s="631"/>
      <c r="R276" s="631"/>
      <c r="S276" s="631"/>
      <c r="T276" s="631"/>
      <c r="U276" s="631"/>
      <c r="V276" s="631"/>
      <c r="W276" s="631"/>
      <c r="X276" s="631"/>
      <c r="Y276" s="631"/>
      <c r="Z276" s="631"/>
      <c r="AA276" s="631"/>
      <c r="AB276" s="631"/>
      <c r="AC276" s="631"/>
    </row>
    <row r="277">
      <c r="A277" s="573" t="s">
        <v>31611</v>
      </c>
      <c r="B277" s="625" t="s">
        <v>31612</v>
      </c>
      <c r="C277" s="625" t="s">
        <v>31150</v>
      </c>
      <c r="D277" s="625" t="s">
        <v>31613</v>
      </c>
      <c r="E277" s="635"/>
      <c r="F277" s="627"/>
      <c r="G277" s="627"/>
      <c r="H277" s="627"/>
      <c r="I277" s="584"/>
      <c r="J277" s="584"/>
      <c r="K277" s="633"/>
      <c r="L277" s="584"/>
      <c r="M277" s="584"/>
      <c r="N277" s="584"/>
      <c r="O277" s="631"/>
      <c r="P277" s="631"/>
      <c r="Q277" s="631"/>
      <c r="R277" s="631"/>
      <c r="S277" s="631"/>
      <c r="T277" s="631"/>
      <c r="U277" s="631"/>
      <c r="V277" s="631"/>
      <c r="W277" s="631"/>
      <c r="X277" s="631"/>
      <c r="Y277" s="631"/>
      <c r="Z277" s="631"/>
      <c r="AA277" s="631"/>
      <c r="AB277" s="631"/>
      <c r="AC277" s="631"/>
    </row>
    <row r="278">
      <c r="A278" s="573" t="s">
        <v>31614</v>
      </c>
      <c r="B278" s="625" t="s">
        <v>31612</v>
      </c>
      <c r="C278" s="625" t="s">
        <v>30965</v>
      </c>
      <c r="D278" s="625" t="s">
        <v>31613</v>
      </c>
      <c r="E278" s="635"/>
      <c r="F278" s="627"/>
      <c r="G278" s="627"/>
      <c r="H278" s="627"/>
      <c r="I278" s="584"/>
      <c r="J278" s="584"/>
      <c r="K278" s="633"/>
      <c r="L278" s="584"/>
      <c r="M278" s="584"/>
      <c r="N278" s="584"/>
      <c r="O278" s="631"/>
      <c r="P278" s="631"/>
      <c r="Q278" s="631"/>
      <c r="R278" s="631"/>
      <c r="S278" s="631"/>
      <c r="T278" s="631"/>
      <c r="U278" s="631"/>
      <c r="V278" s="631"/>
      <c r="W278" s="631"/>
      <c r="X278" s="631"/>
      <c r="Y278" s="631"/>
      <c r="Z278" s="631"/>
      <c r="AA278" s="631"/>
      <c r="AB278" s="631"/>
      <c r="AC278" s="631"/>
    </row>
    <row r="279">
      <c r="A279" s="573" t="s">
        <v>31615</v>
      </c>
      <c r="B279" s="625" t="s">
        <v>31612</v>
      </c>
      <c r="C279" s="625" t="s">
        <v>31318</v>
      </c>
      <c r="D279" s="625" t="s">
        <v>31613</v>
      </c>
      <c r="E279" s="635"/>
      <c r="F279" s="627"/>
      <c r="G279" s="627"/>
      <c r="H279" s="627"/>
      <c r="I279" s="584"/>
      <c r="J279" s="584"/>
      <c r="K279" s="633"/>
      <c r="L279" s="584"/>
      <c r="M279" s="584"/>
      <c r="N279" s="584"/>
      <c r="O279" s="631"/>
      <c r="P279" s="631"/>
      <c r="Q279" s="631"/>
      <c r="R279" s="631"/>
      <c r="S279" s="631"/>
      <c r="T279" s="631"/>
      <c r="U279" s="631"/>
      <c r="V279" s="631"/>
      <c r="W279" s="631"/>
      <c r="X279" s="631"/>
      <c r="Y279" s="631"/>
      <c r="Z279" s="631"/>
      <c r="AA279" s="631"/>
      <c r="AB279" s="631"/>
      <c r="AC279" s="631"/>
    </row>
    <row r="280">
      <c r="A280" s="573" t="s">
        <v>31616</v>
      </c>
      <c r="B280" s="625" t="s">
        <v>31612</v>
      </c>
      <c r="C280" s="625" t="s">
        <v>31617</v>
      </c>
      <c r="D280" s="625" t="s">
        <v>31618</v>
      </c>
      <c r="E280" s="625" t="s">
        <v>31619</v>
      </c>
      <c r="F280" s="627"/>
      <c r="G280" s="627"/>
      <c r="H280" s="627"/>
      <c r="I280" s="584"/>
      <c r="J280" s="584"/>
      <c r="K280" s="633"/>
      <c r="L280" s="584"/>
      <c r="M280" s="584"/>
      <c r="N280" s="584"/>
      <c r="O280" s="631"/>
      <c r="P280" s="631"/>
      <c r="Q280" s="631"/>
      <c r="R280" s="631"/>
      <c r="S280" s="631"/>
      <c r="T280" s="631"/>
      <c r="U280" s="631"/>
      <c r="V280" s="631"/>
      <c r="W280" s="631"/>
      <c r="X280" s="631"/>
      <c r="Y280" s="631"/>
      <c r="Z280" s="631"/>
      <c r="AA280" s="631"/>
      <c r="AB280" s="631"/>
      <c r="AC280" s="631"/>
    </row>
    <row r="281">
      <c r="A281" s="573" t="s">
        <v>31620</v>
      </c>
      <c r="B281" s="625" t="s">
        <v>31621</v>
      </c>
      <c r="C281" s="625" t="s">
        <v>3783</v>
      </c>
      <c r="D281" s="625" t="s">
        <v>986</v>
      </c>
      <c r="E281" s="635"/>
      <c r="F281" s="627"/>
      <c r="G281" s="627"/>
      <c r="H281" s="627"/>
      <c r="I281" s="584"/>
      <c r="J281" s="584"/>
      <c r="K281" s="633"/>
      <c r="L281" s="584"/>
      <c r="M281" s="584"/>
      <c r="N281" s="584"/>
      <c r="O281" s="631"/>
      <c r="P281" s="631"/>
      <c r="Q281" s="631"/>
      <c r="R281" s="631"/>
      <c r="S281" s="631"/>
      <c r="T281" s="631"/>
      <c r="U281" s="631"/>
      <c r="V281" s="631"/>
      <c r="W281" s="631"/>
      <c r="X281" s="631"/>
      <c r="Y281" s="631"/>
      <c r="Z281" s="631"/>
      <c r="AA281" s="631"/>
      <c r="AB281" s="631"/>
      <c r="AC281" s="631"/>
    </row>
    <row r="282">
      <c r="A282" s="573" t="s">
        <v>31622</v>
      </c>
      <c r="B282" s="625" t="s">
        <v>31621</v>
      </c>
      <c r="C282" s="625" t="s">
        <v>9822</v>
      </c>
      <c r="D282" s="625" t="s">
        <v>1588</v>
      </c>
      <c r="E282" s="635"/>
      <c r="F282" s="627"/>
      <c r="G282" s="627"/>
      <c r="H282" s="627"/>
      <c r="I282" s="584"/>
      <c r="J282" s="584"/>
      <c r="K282" s="633"/>
      <c r="L282" s="584"/>
      <c r="M282" s="584"/>
      <c r="N282" s="584"/>
      <c r="O282" s="631"/>
      <c r="P282" s="631"/>
      <c r="Q282" s="631"/>
      <c r="R282" s="631"/>
      <c r="S282" s="631"/>
      <c r="T282" s="631"/>
      <c r="U282" s="631"/>
      <c r="V282" s="631"/>
      <c r="W282" s="631"/>
      <c r="X282" s="631"/>
      <c r="Y282" s="631"/>
      <c r="Z282" s="631"/>
      <c r="AA282" s="631"/>
      <c r="AB282" s="631"/>
      <c r="AC282" s="631"/>
    </row>
    <row r="283">
      <c r="A283" s="573" t="s">
        <v>31623</v>
      </c>
      <c r="B283" s="625" t="s">
        <v>31621</v>
      </c>
      <c r="C283" s="625" t="s">
        <v>9530</v>
      </c>
      <c r="D283" s="625" t="s">
        <v>1588</v>
      </c>
      <c r="E283" s="635"/>
      <c r="F283" s="627"/>
      <c r="G283" s="627"/>
      <c r="H283" s="627"/>
      <c r="I283" s="584"/>
      <c r="J283" s="584"/>
      <c r="K283" s="633"/>
      <c r="L283" s="584"/>
      <c r="M283" s="584"/>
      <c r="N283" s="584"/>
      <c r="O283" s="631"/>
      <c r="P283" s="631"/>
      <c r="Q283" s="631"/>
      <c r="R283" s="631"/>
      <c r="S283" s="631"/>
      <c r="T283" s="631"/>
      <c r="U283" s="631"/>
      <c r="V283" s="631"/>
      <c r="W283" s="631"/>
      <c r="X283" s="631"/>
      <c r="Y283" s="631"/>
      <c r="Z283" s="631"/>
      <c r="AA283" s="631"/>
      <c r="AB283" s="631"/>
      <c r="AC283" s="631"/>
    </row>
    <row r="284" ht="27.0" customHeight="1">
      <c r="A284" s="178" t="s">
        <v>31624</v>
      </c>
      <c r="B284" s="625" t="s">
        <v>31625</v>
      </c>
      <c r="C284" s="629" t="s">
        <v>31150</v>
      </c>
      <c r="D284" s="629" t="s">
        <v>31626</v>
      </c>
      <c r="E284" s="634" t="s">
        <v>31627</v>
      </c>
      <c r="F284" s="632"/>
      <c r="G284" s="632"/>
      <c r="H284" s="627"/>
      <c r="I284" s="587"/>
      <c r="J284" s="587"/>
      <c r="K284" s="633"/>
      <c r="L284" s="584"/>
      <c r="M284" s="584"/>
      <c r="N284" s="584"/>
      <c r="O284" s="631"/>
      <c r="P284" s="631"/>
      <c r="Q284" s="631"/>
      <c r="R284" s="631"/>
      <c r="S284" s="631"/>
      <c r="T284" s="631"/>
      <c r="U284" s="631"/>
      <c r="V284" s="631"/>
      <c r="W284" s="631"/>
      <c r="X284" s="631"/>
      <c r="Y284" s="631"/>
      <c r="Z284" s="631"/>
      <c r="AA284" s="631"/>
      <c r="AB284" s="631"/>
      <c r="AC284" s="631"/>
    </row>
    <row r="285" ht="27.0" customHeight="1">
      <c r="A285" s="178" t="s">
        <v>31628</v>
      </c>
      <c r="B285" s="625" t="s">
        <v>31625</v>
      </c>
      <c r="C285" s="629" t="s">
        <v>10475</v>
      </c>
      <c r="D285" s="629" t="s">
        <v>31629</v>
      </c>
      <c r="E285" s="632"/>
      <c r="F285" s="632"/>
      <c r="G285" s="632"/>
      <c r="H285" s="627"/>
      <c r="I285" s="587"/>
      <c r="J285" s="587"/>
      <c r="K285" s="633"/>
      <c r="L285" s="584"/>
      <c r="M285" s="584"/>
      <c r="N285" s="584"/>
      <c r="O285" s="631"/>
      <c r="P285" s="631"/>
      <c r="Q285" s="631"/>
      <c r="R285" s="631"/>
      <c r="S285" s="631"/>
      <c r="T285" s="631"/>
      <c r="U285" s="631"/>
      <c r="V285" s="631"/>
      <c r="W285" s="631"/>
      <c r="X285" s="631"/>
      <c r="Y285" s="631"/>
      <c r="Z285" s="631"/>
      <c r="AA285" s="631"/>
      <c r="AB285" s="631"/>
      <c r="AC285" s="631"/>
    </row>
    <row r="286" ht="27.0" customHeight="1">
      <c r="A286" s="178" t="s">
        <v>31630</v>
      </c>
      <c r="B286" s="625" t="s">
        <v>31625</v>
      </c>
      <c r="C286" s="629" t="s">
        <v>11150</v>
      </c>
      <c r="D286" s="629" t="s">
        <v>31631</v>
      </c>
      <c r="E286" s="632"/>
      <c r="F286" s="632"/>
      <c r="G286" s="632"/>
      <c r="H286" s="627"/>
      <c r="I286" s="587"/>
      <c r="J286" s="587"/>
      <c r="K286" s="633"/>
      <c r="L286" s="584"/>
      <c r="M286" s="584"/>
      <c r="N286" s="584"/>
      <c r="O286" s="631"/>
      <c r="P286" s="631"/>
      <c r="Q286" s="631"/>
      <c r="R286" s="631"/>
      <c r="S286" s="631"/>
      <c r="T286" s="631"/>
      <c r="U286" s="631"/>
      <c r="V286" s="631"/>
      <c r="W286" s="631"/>
      <c r="X286" s="631"/>
      <c r="Y286" s="631"/>
      <c r="Z286" s="631"/>
      <c r="AA286" s="631"/>
      <c r="AB286" s="631"/>
      <c r="AC286" s="631"/>
    </row>
    <row r="287" ht="27.0" customHeight="1">
      <c r="A287" s="178" t="s">
        <v>31632</v>
      </c>
      <c r="B287" s="625" t="s">
        <v>31625</v>
      </c>
      <c r="C287" s="629" t="s">
        <v>12824</v>
      </c>
      <c r="D287" s="629" t="s">
        <v>31633</v>
      </c>
      <c r="E287" s="632"/>
      <c r="F287" s="632"/>
      <c r="G287" s="632"/>
      <c r="H287" s="627"/>
      <c r="I287" s="587"/>
      <c r="J287" s="587"/>
      <c r="K287" s="633"/>
      <c r="L287" s="584"/>
      <c r="M287" s="584"/>
      <c r="N287" s="584"/>
      <c r="O287" s="631"/>
      <c r="P287" s="631"/>
      <c r="Q287" s="631"/>
      <c r="R287" s="631"/>
      <c r="S287" s="631"/>
      <c r="T287" s="631"/>
      <c r="U287" s="631"/>
      <c r="V287" s="631"/>
      <c r="W287" s="631"/>
      <c r="X287" s="631"/>
      <c r="Y287" s="631"/>
      <c r="Z287" s="631"/>
      <c r="AA287" s="631"/>
      <c r="AB287" s="631"/>
      <c r="AC287" s="631"/>
    </row>
    <row r="288" ht="27.0" customHeight="1">
      <c r="A288" s="178" t="s">
        <v>31634</v>
      </c>
      <c r="B288" s="625" t="s">
        <v>31625</v>
      </c>
      <c r="C288" s="629" t="s">
        <v>9143</v>
      </c>
      <c r="D288" s="629" t="s">
        <v>31631</v>
      </c>
      <c r="E288" s="632"/>
      <c r="F288" s="632"/>
      <c r="G288" s="632"/>
      <c r="H288" s="627"/>
      <c r="I288" s="587"/>
      <c r="J288" s="587"/>
      <c r="K288" s="633"/>
      <c r="L288" s="584"/>
      <c r="M288" s="584"/>
      <c r="N288" s="584"/>
      <c r="O288" s="631"/>
      <c r="P288" s="631"/>
      <c r="Q288" s="631"/>
      <c r="R288" s="631"/>
      <c r="S288" s="631"/>
      <c r="T288" s="631"/>
      <c r="U288" s="631"/>
      <c r="V288" s="631"/>
      <c r="W288" s="631"/>
      <c r="X288" s="631"/>
      <c r="Y288" s="631"/>
      <c r="Z288" s="631"/>
      <c r="AA288" s="631"/>
      <c r="AB288" s="631"/>
      <c r="AC288" s="631"/>
    </row>
    <row r="289">
      <c r="A289" s="178" t="s">
        <v>31635</v>
      </c>
      <c r="B289" s="625" t="s">
        <v>31621</v>
      </c>
      <c r="C289" s="629" t="s">
        <v>9530</v>
      </c>
      <c r="D289" s="629" t="s">
        <v>897</v>
      </c>
      <c r="E289" s="632"/>
      <c r="F289" s="632"/>
      <c r="G289" s="632"/>
      <c r="H289" s="627"/>
      <c r="I289" s="587"/>
      <c r="J289" s="587"/>
      <c r="K289" s="633"/>
      <c r="L289" s="584"/>
      <c r="M289" s="584"/>
      <c r="N289" s="584"/>
      <c r="O289" s="631"/>
      <c r="P289" s="631"/>
      <c r="Q289" s="631"/>
      <c r="R289" s="631"/>
      <c r="S289" s="631"/>
      <c r="T289" s="631"/>
      <c r="U289" s="631"/>
      <c r="V289" s="631"/>
      <c r="W289" s="631"/>
      <c r="X289" s="631"/>
      <c r="Y289" s="631"/>
      <c r="Z289" s="631"/>
      <c r="AA289" s="631"/>
      <c r="AB289" s="631"/>
      <c r="AC289" s="631"/>
    </row>
    <row r="290" ht="25.5" customHeight="1">
      <c r="A290" s="638" t="s">
        <v>31636</v>
      </c>
      <c r="B290" s="629" t="s">
        <v>31625</v>
      </c>
      <c r="C290" s="629" t="s">
        <v>8528</v>
      </c>
      <c r="D290" s="629" t="s">
        <v>31229</v>
      </c>
      <c r="E290" s="634"/>
      <c r="F290" s="632"/>
      <c r="G290" s="632"/>
      <c r="H290" s="627"/>
      <c r="I290" s="587"/>
      <c r="J290" s="587"/>
      <c r="K290" s="633"/>
      <c r="L290" s="584"/>
      <c r="M290" s="584"/>
      <c r="N290" s="584"/>
      <c r="O290" s="631"/>
      <c r="P290" s="631"/>
      <c r="Q290" s="631"/>
      <c r="R290" s="631"/>
      <c r="S290" s="631"/>
      <c r="T290" s="631"/>
      <c r="U290" s="631"/>
      <c r="V290" s="631"/>
      <c r="W290" s="631"/>
      <c r="X290" s="631"/>
      <c r="Y290" s="631"/>
      <c r="Z290" s="631"/>
      <c r="AA290" s="631"/>
      <c r="AB290" s="631"/>
      <c r="AC290" s="631"/>
    </row>
    <row r="291" ht="25.5" customHeight="1">
      <c r="A291" s="638" t="s">
        <v>31637</v>
      </c>
      <c r="B291" s="629" t="s">
        <v>31625</v>
      </c>
      <c r="C291" s="629" t="s">
        <v>2980</v>
      </c>
      <c r="D291" s="629" t="s">
        <v>31229</v>
      </c>
      <c r="E291" s="634" t="s">
        <v>8754</v>
      </c>
      <c r="F291" s="632"/>
      <c r="G291" s="632"/>
      <c r="H291" s="627"/>
      <c r="I291" s="587"/>
      <c r="J291" s="587"/>
      <c r="K291" s="633"/>
      <c r="L291" s="584"/>
      <c r="M291" s="584"/>
      <c r="N291" s="584"/>
      <c r="O291" s="631"/>
      <c r="P291" s="631"/>
      <c r="Q291" s="631"/>
      <c r="R291" s="631"/>
      <c r="S291" s="631"/>
      <c r="T291" s="631"/>
      <c r="U291" s="631"/>
      <c r="V291" s="631"/>
      <c r="W291" s="631"/>
      <c r="X291" s="631"/>
      <c r="Y291" s="631"/>
      <c r="Z291" s="631"/>
      <c r="AA291" s="631"/>
      <c r="AB291" s="631"/>
      <c r="AC291" s="631"/>
    </row>
    <row r="292" ht="16.5" customHeight="1">
      <c r="A292" s="178" t="s">
        <v>31638</v>
      </c>
      <c r="B292" s="629" t="s">
        <v>30679</v>
      </c>
      <c r="C292" s="629" t="s">
        <v>31639</v>
      </c>
      <c r="D292" s="629" t="s">
        <v>31108</v>
      </c>
      <c r="E292" s="632"/>
      <c r="F292" s="632"/>
      <c r="G292" s="632"/>
      <c r="H292" s="627"/>
      <c r="I292" s="587"/>
      <c r="J292" s="587"/>
      <c r="K292" s="633"/>
      <c r="L292" s="584"/>
      <c r="M292" s="584"/>
      <c r="N292" s="584"/>
      <c r="O292" s="631"/>
      <c r="P292" s="631"/>
      <c r="Q292" s="631"/>
      <c r="R292" s="631"/>
      <c r="S292" s="631"/>
      <c r="T292" s="631"/>
      <c r="U292" s="631"/>
      <c r="V292" s="631"/>
      <c r="W292" s="631"/>
      <c r="X292" s="631"/>
      <c r="Y292" s="631"/>
      <c r="Z292" s="631"/>
      <c r="AA292" s="631"/>
      <c r="AB292" s="631"/>
      <c r="AC292" s="631"/>
    </row>
    <row r="293">
      <c r="A293" s="178" t="s">
        <v>31640</v>
      </c>
      <c r="B293" s="629" t="s">
        <v>31641</v>
      </c>
      <c r="C293" s="629" t="s">
        <v>13380</v>
      </c>
      <c r="D293" s="629" t="s">
        <v>865</v>
      </c>
      <c r="E293" s="634"/>
      <c r="F293" s="634" t="s">
        <v>31642</v>
      </c>
      <c r="G293" s="632"/>
      <c r="H293" s="627"/>
      <c r="I293" s="587" t="s">
        <v>31643</v>
      </c>
      <c r="J293" s="587" t="s">
        <v>31644</v>
      </c>
      <c r="K293" s="633"/>
      <c r="L293" s="584"/>
      <c r="M293" s="584"/>
      <c r="N293" s="584"/>
      <c r="O293" s="631"/>
      <c r="P293" s="631"/>
      <c r="Q293" s="631"/>
      <c r="R293" s="631"/>
      <c r="S293" s="631"/>
      <c r="T293" s="631"/>
      <c r="U293" s="631"/>
      <c r="V293" s="631"/>
      <c r="W293" s="631"/>
      <c r="X293" s="631"/>
      <c r="Y293" s="631"/>
      <c r="Z293" s="631"/>
      <c r="AA293" s="631"/>
      <c r="AB293" s="631"/>
      <c r="AC293" s="631"/>
    </row>
    <row r="294" ht="28.5" customHeight="1">
      <c r="A294" s="639" t="s">
        <v>31645</v>
      </c>
      <c r="B294" s="629" t="s">
        <v>31646</v>
      </c>
      <c r="C294" s="629" t="s">
        <v>31647</v>
      </c>
      <c r="D294" s="629" t="s">
        <v>30970</v>
      </c>
      <c r="E294" s="634"/>
      <c r="F294" s="634"/>
      <c r="G294" s="634"/>
      <c r="H294" s="627"/>
      <c r="I294" s="587"/>
      <c r="J294" s="593"/>
      <c r="K294" s="587"/>
      <c r="L294" s="587"/>
      <c r="M294" s="587"/>
      <c r="N294" s="593"/>
      <c r="O294" s="631"/>
      <c r="P294" s="631"/>
      <c r="Q294" s="631"/>
      <c r="R294" s="631"/>
      <c r="S294" s="631"/>
      <c r="T294" s="631"/>
      <c r="U294" s="631"/>
      <c r="V294" s="631"/>
      <c r="W294" s="631"/>
      <c r="X294" s="631"/>
      <c r="Y294" s="631"/>
      <c r="Z294" s="631"/>
      <c r="AA294" s="631"/>
      <c r="AB294" s="631"/>
      <c r="AC294" s="631"/>
    </row>
    <row r="295">
      <c r="A295" s="639" t="s">
        <v>31648</v>
      </c>
      <c r="B295" s="629" t="s">
        <v>31646</v>
      </c>
      <c r="C295" s="629" t="s">
        <v>31649</v>
      </c>
      <c r="D295" s="629" t="s">
        <v>31650</v>
      </c>
      <c r="E295" s="634"/>
      <c r="F295" s="634"/>
      <c r="G295" s="634"/>
      <c r="H295" s="627"/>
      <c r="I295" s="587"/>
      <c r="J295" s="593"/>
      <c r="K295" s="587"/>
      <c r="L295" s="587"/>
      <c r="M295" s="587"/>
      <c r="N295" s="593"/>
      <c r="O295" s="631"/>
      <c r="P295" s="631"/>
      <c r="Q295" s="631"/>
      <c r="R295" s="631"/>
      <c r="S295" s="631"/>
      <c r="T295" s="631"/>
      <c r="U295" s="631"/>
      <c r="V295" s="631"/>
      <c r="W295" s="631"/>
      <c r="X295" s="631"/>
      <c r="Y295" s="631"/>
      <c r="Z295" s="631"/>
      <c r="AA295" s="631"/>
      <c r="AB295" s="631"/>
      <c r="AC295" s="631"/>
    </row>
    <row r="296">
      <c r="A296" s="178" t="s">
        <v>31651</v>
      </c>
      <c r="B296" s="629" t="s">
        <v>31652</v>
      </c>
      <c r="C296" s="629" t="s">
        <v>31653</v>
      </c>
      <c r="D296" s="629" t="s">
        <v>31654</v>
      </c>
      <c r="E296" s="634"/>
      <c r="F296" s="634"/>
      <c r="G296" s="634"/>
      <c r="H296" s="627"/>
      <c r="I296" s="587"/>
      <c r="J296" s="593"/>
      <c r="K296" s="587"/>
      <c r="L296" s="587"/>
      <c r="M296" s="587"/>
      <c r="N296" s="593"/>
      <c r="O296" s="631"/>
      <c r="P296" s="631"/>
      <c r="Q296" s="631"/>
      <c r="R296" s="631"/>
      <c r="S296" s="631"/>
      <c r="T296" s="631"/>
      <c r="U296" s="631"/>
      <c r="V296" s="631"/>
      <c r="W296" s="631"/>
      <c r="X296" s="631"/>
      <c r="Y296" s="631"/>
      <c r="Z296" s="631"/>
      <c r="AA296" s="631"/>
      <c r="AB296" s="631"/>
      <c r="AC296" s="631"/>
    </row>
    <row r="297">
      <c r="A297" s="178" t="s">
        <v>12893</v>
      </c>
      <c r="B297" s="629" t="s">
        <v>31652</v>
      </c>
      <c r="C297" s="629"/>
      <c r="D297" s="629"/>
      <c r="E297" s="634"/>
      <c r="F297" s="634" t="s">
        <v>11941</v>
      </c>
      <c r="G297" s="634" t="s">
        <v>1568</v>
      </c>
      <c r="H297" s="627"/>
      <c r="I297" s="587" t="s">
        <v>31655</v>
      </c>
      <c r="J297" s="593">
        <v>44020.0</v>
      </c>
      <c r="K297" s="587" t="s">
        <v>31656</v>
      </c>
      <c r="L297" s="587" t="s">
        <v>31657</v>
      </c>
      <c r="M297" s="587" t="s">
        <v>31658</v>
      </c>
      <c r="N297" s="593">
        <v>44229.0</v>
      </c>
      <c r="O297" s="631"/>
      <c r="P297" s="631"/>
      <c r="Q297" s="631"/>
      <c r="R297" s="631"/>
      <c r="S297" s="631"/>
      <c r="T297" s="631"/>
      <c r="U297" s="631"/>
      <c r="V297" s="631"/>
      <c r="W297" s="631"/>
      <c r="X297" s="631"/>
      <c r="Y297" s="631"/>
      <c r="Z297" s="631"/>
      <c r="AA297" s="631"/>
      <c r="AB297" s="631"/>
      <c r="AC297" s="631"/>
    </row>
    <row r="298">
      <c r="A298" s="178" t="s">
        <v>31659</v>
      </c>
      <c r="B298" s="629" t="s">
        <v>8518</v>
      </c>
      <c r="C298" s="629" t="s">
        <v>31660</v>
      </c>
      <c r="D298" s="629" t="s">
        <v>31661</v>
      </c>
      <c r="E298" s="634"/>
      <c r="F298" s="634"/>
      <c r="G298" s="634"/>
      <c r="H298" s="627"/>
      <c r="I298" s="587"/>
      <c r="J298" s="593"/>
      <c r="K298" s="587"/>
      <c r="L298" s="587"/>
      <c r="M298" s="587"/>
      <c r="N298" s="593"/>
      <c r="O298" s="631"/>
      <c r="P298" s="631"/>
      <c r="Q298" s="631"/>
      <c r="R298" s="631"/>
      <c r="S298" s="631"/>
      <c r="T298" s="631"/>
      <c r="U298" s="631"/>
      <c r="V298" s="631"/>
      <c r="W298" s="631"/>
      <c r="X298" s="631"/>
      <c r="Y298" s="631"/>
      <c r="Z298" s="631"/>
      <c r="AA298" s="631"/>
      <c r="AB298" s="631"/>
      <c r="AC298" s="631"/>
    </row>
    <row r="299">
      <c r="A299" s="178" t="s">
        <v>31662</v>
      </c>
      <c r="B299" s="629" t="s">
        <v>8518</v>
      </c>
      <c r="C299" s="629" t="s">
        <v>8804</v>
      </c>
      <c r="D299" s="629" t="s">
        <v>31661</v>
      </c>
      <c r="E299" s="634"/>
      <c r="F299" s="634"/>
      <c r="G299" s="634"/>
      <c r="H299" s="627"/>
      <c r="I299" s="587"/>
      <c r="J299" s="593"/>
      <c r="K299" s="587"/>
      <c r="L299" s="587"/>
      <c r="M299" s="587"/>
      <c r="N299" s="593"/>
      <c r="O299" s="631"/>
      <c r="P299" s="631"/>
      <c r="Q299" s="631"/>
      <c r="R299" s="631"/>
      <c r="S299" s="631"/>
      <c r="T299" s="631"/>
      <c r="U299" s="631"/>
      <c r="V299" s="631"/>
      <c r="W299" s="631"/>
      <c r="X299" s="631"/>
      <c r="Y299" s="631"/>
      <c r="Z299" s="631"/>
      <c r="AA299" s="631"/>
      <c r="AB299" s="631"/>
      <c r="AC299" s="631"/>
    </row>
    <row r="300" ht="27.0" customHeight="1">
      <c r="A300" s="178" t="s">
        <v>31663</v>
      </c>
      <c r="B300" s="629" t="s">
        <v>30998</v>
      </c>
      <c r="C300" s="629" t="s">
        <v>12032</v>
      </c>
      <c r="D300" s="629" t="s">
        <v>31664</v>
      </c>
      <c r="E300" s="632"/>
      <c r="F300" s="632"/>
      <c r="G300" s="634"/>
      <c r="H300" s="627"/>
      <c r="I300" s="587"/>
      <c r="J300" s="593"/>
      <c r="K300" s="630"/>
      <c r="L300" s="587"/>
      <c r="M300" s="587"/>
      <c r="N300" s="593"/>
      <c r="O300" s="631"/>
      <c r="P300" s="631"/>
      <c r="Q300" s="631"/>
      <c r="R300" s="631"/>
      <c r="S300" s="631"/>
      <c r="T300" s="631"/>
      <c r="U300" s="631"/>
      <c r="V300" s="631"/>
      <c r="W300" s="631"/>
      <c r="X300" s="631"/>
      <c r="Y300" s="631"/>
      <c r="Z300" s="631"/>
      <c r="AA300" s="631"/>
      <c r="AB300" s="631"/>
      <c r="AC300" s="631"/>
    </row>
    <row r="301" ht="27.0" customHeight="1">
      <c r="A301" s="178" t="s">
        <v>31665</v>
      </c>
      <c r="B301" s="629"/>
      <c r="C301" s="629" t="s">
        <v>3369</v>
      </c>
      <c r="D301" s="629" t="s">
        <v>31666</v>
      </c>
      <c r="E301" s="632"/>
      <c r="F301" s="632"/>
      <c r="G301" s="634"/>
      <c r="H301" s="627"/>
      <c r="I301" s="587"/>
      <c r="J301" s="593"/>
      <c r="K301" s="630"/>
      <c r="L301" s="587"/>
      <c r="M301" s="587"/>
      <c r="N301" s="593"/>
      <c r="O301" s="631"/>
      <c r="P301" s="631"/>
      <c r="Q301" s="631"/>
      <c r="R301" s="631"/>
      <c r="S301" s="631"/>
      <c r="T301" s="631"/>
      <c r="U301" s="631"/>
      <c r="V301" s="631"/>
      <c r="W301" s="631"/>
      <c r="X301" s="631"/>
      <c r="Y301" s="631"/>
      <c r="Z301" s="631"/>
      <c r="AA301" s="631"/>
      <c r="AB301" s="631"/>
      <c r="AC301" s="631"/>
    </row>
    <row r="302">
      <c r="A302" s="640" t="s">
        <v>31667</v>
      </c>
      <c r="B302" s="629" t="s">
        <v>31668</v>
      </c>
      <c r="C302" s="629" t="s">
        <v>31669</v>
      </c>
      <c r="D302" s="629" t="s">
        <v>31280</v>
      </c>
      <c r="E302" s="634"/>
      <c r="F302" s="634"/>
      <c r="G302" s="634"/>
      <c r="H302" s="627"/>
      <c r="I302" s="587"/>
      <c r="J302" s="593"/>
      <c r="K302" s="630"/>
      <c r="L302" s="587"/>
      <c r="M302" s="587"/>
      <c r="N302" s="593"/>
      <c r="O302" s="631"/>
      <c r="P302" s="631"/>
      <c r="Q302" s="631"/>
      <c r="R302" s="631"/>
      <c r="S302" s="631"/>
      <c r="T302" s="631"/>
      <c r="U302" s="631"/>
      <c r="V302" s="631"/>
      <c r="W302" s="631"/>
      <c r="X302" s="631"/>
      <c r="Y302" s="631"/>
      <c r="Z302" s="631"/>
      <c r="AA302" s="631"/>
      <c r="AB302" s="631"/>
      <c r="AC302" s="631"/>
    </row>
    <row r="303">
      <c r="A303" s="178" t="s">
        <v>31670</v>
      </c>
      <c r="B303" s="629" t="s">
        <v>30998</v>
      </c>
      <c r="C303" s="629" t="s">
        <v>6071</v>
      </c>
      <c r="D303" s="629" t="s">
        <v>337</v>
      </c>
      <c r="E303" s="634"/>
      <c r="F303" s="634"/>
      <c r="G303" s="634" t="s">
        <v>0</v>
      </c>
      <c r="H303" s="627"/>
      <c r="I303" s="587" t="s">
        <v>31671</v>
      </c>
      <c r="J303" s="593">
        <v>43898.0</v>
      </c>
      <c r="K303" s="630" t="s">
        <v>31672</v>
      </c>
      <c r="L303" s="587" t="s">
        <v>31354</v>
      </c>
      <c r="M303" s="587">
        <v>2.0</v>
      </c>
      <c r="N303" s="593">
        <v>44020.0</v>
      </c>
      <c r="O303" s="631"/>
      <c r="P303" s="631"/>
      <c r="Q303" s="631"/>
      <c r="R303" s="631"/>
      <c r="S303" s="631"/>
      <c r="T303" s="631"/>
      <c r="U303" s="631"/>
      <c r="V303" s="631"/>
      <c r="W303" s="631"/>
      <c r="X303" s="631"/>
      <c r="Y303" s="631"/>
      <c r="Z303" s="631"/>
      <c r="AA303" s="631"/>
      <c r="AB303" s="631"/>
      <c r="AC303" s="631"/>
    </row>
    <row r="304">
      <c r="A304" s="573" t="s">
        <v>31673</v>
      </c>
      <c r="B304" s="625" t="s">
        <v>31348</v>
      </c>
      <c r="C304" s="625" t="s">
        <v>31674</v>
      </c>
      <c r="D304" s="625" t="s">
        <v>31675</v>
      </c>
      <c r="E304" s="635"/>
      <c r="F304" s="627"/>
      <c r="G304" s="627"/>
      <c r="H304" s="627"/>
      <c r="I304" s="584"/>
      <c r="J304" s="584"/>
      <c r="K304" s="633"/>
      <c r="L304" s="584"/>
      <c r="M304" s="584"/>
      <c r="N304" s="584"/>
      <c r="O304" s="631"/>
      <c r="P304" s="631"/>
      <c r="Q304" s="631"/>
      <c r="R304" s="631"/>
      <c r="S304" s="631"/>
      <c r="T304" s="631"/>
      <c r="U304" s="631"/>
      <c r="V304" s="631"/>
      <c r="W304" s="631"/>
      <c r="X304" s="631"/>
      <c r="Y304" s="631"/>
      <c r="Z304" s="631"/>
      <c r="AA304" s="631"/>
      <c r="AB304" s="631"/>
      <c r="AC304" s="631"/>
    </row>
    <row r="305">
      <c r="A305" s="573" t="s">
        <v>31676</v>
      </c>
      <c r="B305" s="625" t="s">
        <v>31677</v>
      </c>
      <c r="C305" s="625" t="s">
        <v>30965</v>
      </c>
      <c r="D305" s="625" t="s">
        <v>31675</v>
      </c>
      <c r="E305" s="635"/>
      <c r="F305" s="627"/>
      <c r="G305" s="627"/>
      <c r="H305" s="627"/>
      <c r="I305" s="584"/>
      <c r="J305" s="584"/>
      <c r="K305" s="633"/>
      <c r="L305" s="584"/>
      <c r="M305" s="584"/>
      <c r="N305" s="584"/>
      <c r="O305" s="631"/>
      <c r="P305" s="631"/>
      <c r="Q305" s="631"/>
      <c r="R305" s="631"/>
      <c r="S305" s="631"/>
      <c r="T305" s="631"/>
      <c r="U305" s="631"/>
      <c r="V305" s="631"/>
      <c r="W305" s="631"/>
      <c r="X305" s="631"/>
      <c r="Y305" s="631"/>
      <c r="Z305" s="631"/>
      <c r="AA305" s="631"/>
      <c r="AB305" s="631"/>
      <c r="AC305" s="631"/>
    </row>
    <row r="306">
      <c r="A306" s="573" t="s">
        <v>31678</v>
      </c>
      <c r="B306" s="625" t="s">
        <v>31677</v>
      </c>
      <c r="C306" s="625" t="s">
        <v>31679</v>
      </c>
      <c r="D306" s="625" t="s">
        <v>31675</v>
      </c>
      <c r="E306" s="635"/>
      <c r="F306" s="627"/>
      <c r="G306" s="627"/>
      <c r="H306" s="627"/>
      <c r="I306" s="584"/>
      <c r="J306" s="584"/>
      <c r="K306" s="633"/>
      <c r="L306" s="584"/>
      <c r="M306" s="584"/>
      <c r="N306" s="584"/>
      <c r="O306" s="631"/>
      <c r="P306" s="631"/>
      <c r="Q306" s="631"/>
      <c r="R306" s="631"/>
      <c r="S306" s="631"/>
      <c r="T306" s="631"/>
      <c r="U306" s="631"/>
      <c r="V306" s="631"/>
      <c r="W306" s="631"/>
      <c r="X306" s="631"/>
      <c r="Y306" s="631"/>
      <c r="Z306" s="631"/>
      <c r="AA306" s="631"/>
      <c r="AB306" s="631"/>
      <c r="AC306" s="631"/>
    </row>
    <row r="307">
      <c r="A307" s="573" t="s">
        <v>31680</v>
      </c>
      <c r="B307" s="625" t="s">
        <v>31681</v>
      </c>
      <c r="C307" s="625" t="s">
        <v>3707</v>
      </c>
      <c r="D307" s="625" t="s">
        <v>31682</v>
      </c>
      <c r="E307" s="635"/>
      <c r="F307" s="627"/>
      <c r="G307" s="627"/>
      <c r="H307" s="627"/>
      <c r="I307" s="584"/>
      <c r="J307" s="584"/>
      <c r="K307" s="633"/>
      <c r="L307" s="584"/>
      <c r="M307" s="584"/>
      <c r="N307" s="584"/>
      <c r="O307" s="631"/>
      <c r="P307" s="631"/>
      <c r="Q307" s="631"/>
      <c r="R307" s="631"/>
      <c r="S307" s="631"/>
      <c r="T307" s="631"/>
      <c r="U307" s="631"/>
      <c r="V307" s="631"/>
      <c r="W307" s="631"/>
      <c r="X307" s="631"/>
      <c r="Y307" s="631"/>
      <c r="Z307" s="631"/>
      <c r="AA307" s="631"/>
      <c r="AB307" s="631"/>
      <c r="AC307" s="631"/>
    </row>
    <row r="308">
      <c r="A308" s="573" t="s">
        <v>31683</v>
      </c>
      <c r="B308" s="625" t="s">
        <v>31684</v>
      </c>
      <c r="C308" s="625" t="s">
        <v>1701</v>
      </c>
      <c r="D308" s="625" t="s">
        <v>728</v>
      </c>
      <c r="E308" s="635"/>
      <c r="F308" s="627"/>
      <c r="G308" s="627"/>
      <c r="H308" s="627"/>
      <c r="I308" s="584"/>
      <c r="J308" s="584"/>
      <c r="K308" s="633"/>
      <c r="L308" s="584"/>
      <c r="M308" s="584"/>
      <c r="N308" s="584"/>
      <c r="O308" s="631"/>
      <c r="P308" s="631"/>
      <c r="Q308" s="631"/>
      <c r="R308" s="631"/>
      <c r="S308" s="631"/>
      <c r="T308" s="631"/>
      <c r="U308" s="631"/>
      <c r="V308" s="631"/>
      <c r="W308" s="631"/>
      <c r="X308" s="631"/>
      <c r="Y308" s="631"/>
      <c r="Z308" s="631"/>
      <c r="AA308" s="631"/>
      <c r="AB308" s="631"/>
      <c r="AC308" s="631"/>
    </row>
    <row r="309">
      <c r="A309" s="573" t="s">
        <v>31685</v>
      </c>
      <c r="B309" s="625" t="s">
        <v>31686</v>
      </c>
      <c r="C309" s="625" t="s">
        <v>31687</v>
      </c>
      <c r="D309" s="625" t="s">
        <v>31688</v>
      </c>
      <c r="E309" s="625" t="s">
        <v>31689</v>
      </c>
      <c r="F309" s="627"/>
      <c r="G309" s="627"/>
      <c r="H309" s="627"/>
      <c r="I309" s="584"/>
      <c r="J309" s="584"/>
      <c r="K309" s="633"/>
      <c r="L309" s="584"/>
      <c r="M309" s="584"/>
      <c r="N309" s="584"/>
      <c r="O309" s="631"/>
      <c r="P309" s="631"/>
      <c r="Q309" s="631"/>
      <c r="R309" s="631"/>
      <c r="S309" s="631"/>
      <c r="T309" s="631"/>
      <c r="U309" s="631"/>
      <c r="V309" s="631"/>
      <c r="W309" s="631"/>
      <c r="X309" s="631"/>
      <c r="Y309" s="631"/>
      <c r="Z309" s="631"/>
      <c r="AA309" s="631"/>
      <c r="AB309" s="631"/>
      <c r="AC309" s="631"/>
    </row>
    <row r="310">
      <c r="A310" s="573" t="s">
        <v>31690</v>
      </c>
      <c r="B310" s="625" t="s">
        <v>31594</v>
      </c>
      <c r="C310" s="625" t="s">
        <v>3495</v>
      </c>
      <c r="D310" s="625" t="s">
        <v>31691</v>
      </c>
      <c r="E310" s="635"/>
      <c r="F310" s="627"/>
      <c r="G310" s="627"/>
      <c r="H310" s="627"/>
      <c r="I310" s="584"/>
      <c r="J310" s="584"/>
      <c r="K310" s="633"/>
      <c r="L310" s="584"/>
      <c r="M310" s="587"/>
      <c r="N310" s="587"/>
      <c r="O310" s="631"/>
      <c r="P310" s="631"/>
      <c r="Q310" s="631"/>
      <c r="R310" s="631"/>
      <c r="S310" s="631"/>
      <c r="T310" s="631"/>
      <c r="U310" s="631"/>
      <c r="V310" s="631"/>
      <c r="W310" s="631"/>
      <c r="X310" s="631"/>
      <c r="Y310" s="631"/>
      <c r="Z310" s="631"/>
      <c r="AA310" s="631"/>
      <c r="AB310" s="631"/>
      <c r="AC310" s="631"/>
    </row>
    <row r="311">
      <c r="A311" s="573" t="s">
        <v>31692</v>
      </c>
      <c r="B311" s="625" t="s">
        <v>31693</v>
      </c>
      <c r="C311" s="625" t="s">
        <v>31694</v>
      </c>
      <c r="D311" s="625" t="s">
        <v>2217</v>
      </c>
      <c r="E311" s="635"/>
      <c r="F311" s="627"/>
      <c r="G311" s="627"/>
      <c r="H311" s="627"/>
      <c r="I311" s="584"/>
      <c r="J311" s="584"/>
      <c r="K311" s="633"/>
      <c r="L311" s="584"/>
      <c r="M311" s="587"/>
      <c r="N311" s="587"/>
      <c r="O311" s="631"/>
      <c r="P311" s="631"/>
      <c r="Q311" s="631"/>
      <c r="R311" s="631"/>
      <c r="S311" s="631"/>
      <c r="T311" s="631"/>
      <c r="U311" s="631"/>
      <c r="V311" s="631"/>
      <c r="W311" s="631"/>
      <c r="X311" s="631"/>
      <c r="Y311" s="631"/>
      <c r="Z311" s="631"/>
      <c r="AA311" s="631"/>
      <c r="AB311" s="631"/>
      <c r="AC311" s="631"/>
    </row>
    <row r="312">
      <c r="A312" s="573" t="s">
        <v>31695</v>
      </c>
      <c r="B312" s="625"/>
      <c r="C312" s="625" t="s">
        <v>30965</v>
      </c>
      <c r="D312" s="625" t="s">
        <v>5452</v>
      </c>
      <c r="E312" s="635"/>
      <c r="F312" s="627"/>
      <c r="G312" s="627"/>
      <c r="H312" s="627"/>
      <c r="I312" s="584"/>
      <c r="J312" s="584"/>
      <c r="K312" s="633"/>
      <c r="L312" s="584"/>
      <c r="M312" s="587">
        <v>20.0</v>
      </c>
      <c r="N312" s="587" t="s">
        <v>31696</v>
      </c>
      <c r="O312" s="631"/>
      <c r="P312" s="631"/>
      <c r="Q312" s="631"/>
      <c r="R312" s="631"/>
      <c r="S312" s="631"/>
      <c r="T312" s="631"/>
      <c r="U312" s="631"/>
      <c r="V312" s="631"/>
      <c r="W312" s="631"/>
      <c r="X312" s="631"/>
      <c r="Y312" s="631"/>
      <c r="Z312" s="631"/>
      <c r="AA312" s="631"/>
      <c r="AB312" s="631"/>
      <c r="AC312" s="631"/>
    </row>
    <row r="313">
      <c r="A313" s="573" t="s">
        <v>31697</v>
      </c>
      <c r="B313" s="625" t="s">
        <v>31698</v>
      </c>
      <c r="C313" s="625" t="s">
        <v>9039</v>
      </c>
      <c r="D313" s="625" t="s">
        <v>31699</v>
      </c>
      <c r="E313" s="635"/>
      <c r="F313" s="627"/>
      <c r="G313" s="627"/>
      <c r="H313" s="627"/>
      <c r="I313" s="584"/>
      <c r="J313" s="584"/>
      <c r="K313" s="633"/>
      <c r="L313" s="584"/>
      <c r="M313" s="584"/>
      <c r="N313" s="584"/>
      <c r="O313" s="631"/>
      <c r="P313" s="631"/>
      <c r="Q313" s="631"/>
      <c r="R313" s="631"/>
      <c r="S313" s="631"/>
      <c r="T313" s="631"/>
      <c r="U313" s="631"/>
      <c r="V313" s="631"/>
      <c r="W313" s="631"/>
      <c r="X313" s="631"/>
      <c r="Y313" s="631"/>
      <c r="Z313" s="631"/>
      <c r="AA313" s="631"/>
      <c r="AB313" s="631"/>
      <c r="AC313" s="631"/>
    </row>
    <row r="314">
      <c r="A314" s="573" t="s">
        <v>31700</v>
      </c>
      <c r="B314" s="625" t="s">
        <v>31011</v>
      </c>
      <c r="C314" s="625" t="s">
        <v>31701</v>
      </c>
      <c r="D314" s="625" t="s">
        <v>31702</v>
      </c>
      <c r="E314" s="635"/>
      <c r="F314" s="627"/>
      <c r="G314" s="627"/>
      <c r="H314" s="627"/>
      <c r="I314" s="584"/>
      <c r="J314" s="584"/>
      <c r="K314" s="633"/>
      <c r="L314" s="584"/>
      <c r="M314" s="584"/>
      <c r="N314" s="584"/>
      <c r="O314" s="631"/>
      <c r="P314" s="631"/>
      <c r="Q314" s="631"/>
      <c r="R314" s="631"/>
      <c r="S314" s="631"/>
      <c r="T314" s="631"/>
      <c r="U314" s="631"/>
      <c r="V314" s="631"/>
      <c r="W314" s="631"/>
      <c r="X314" s="631"/>
      <c r="Y314" s="631"/>
      <c r="Z314" s="631"/>
      <c r="AA314" s="631"/>
      <c r="AB314" s="631"/>
      <c r="AC314" s="631"/>
    </row>
    <row r="315">
      <c r="A315" s="573" t="s">
        <v>31703</v>
      </c>
      <c r="B315" s="625" t="s">
        <v>31693</v>
      </c>
      <c r="C315" s="625" t="s">
        <v>31704</v>
      </c>
      <c r="D315" s="625" t="s">
        <v>406</v>
      </c>
      <c r="E315" s="635"/>
      <c r="F315" s="627"/>
      <c r="G315" s="627"/>
      <c r="H315" s="627"/>
      <c r="I315" s="584"/>
      <c r="J315" s="584"/>
      <c r="K315" s="633"/>
      <c r="L315" s="584"/>
      <c r="M315" s="584"/>
      <c r="N315" s="584"/>
      <c r="O315" s="631"/>
      <c r="P315" s="631"/>
      <c r="Q315" s="631"/>
      <c r="R315" s="631"/>
      <c r="S315" s="631"/>
      <c r="T315" s="631"/>
      <c r="U315" s="631"/>
      <c r="V315" s="631"/>
      <c r="W315" s="631"/>
      <c r="X315" s="631"/>
      <c r="Y315" s="631"/>
      <c r="Z315" s="631"/>
      <c r="AA315" s="631"/>
      <c r="AB315" s="631"/>
      <c r="AC315" s="631"/>
    </row>
    <row r="316">
      <c r="A316" s="178" t="s">
        <v>31705</v>
      </c>
      <c r="B316" s="629" t="s">
        <v>31706</v>
      </c>
      <c r="C316" s="629"/>
      <c r="D316" s="629"/>
      <c r="E316" s="632"/>
      <c r="F316" s="632"/>
      <c r="G316" s="632"/>
      <c r="H316" s="627"/>
      <c r="I316" s="587"/>
      <c r="J316" s="587"/>
      <c r="K316" s="630"/>
      <c r="L316" s="587"/>
      <c r="M316" s="587"/>
      <c r="N316" s="587"/>
      <c r="O316" s="631"/>
      <c r="P316" s="631"/>
      <c r="Q316" s="631"/>
      <c r="R316" s="631"/>
      <c r="S316" s="631"/>
      <c r="T316" s="631"/>
      <c r="U316" s="631"/>
      <c r="V316" s="631"/>
      <c r="W316" s="631"/>
      <c r="X316" s="631"/>
      <c r="Y316" s="631"/>
      <c r="Z316" s="631"/>
      <c r="AA316" s="631"/>
      <c r="AB316" s="631"/>
      <c r="AC316" s="631"/>
    </row>
    <row r="317">
      <c r="A317" s="178" t="s">
        <v>31705</v>
      </c>
      <c r="B317" s="629" t="s">
        <v>31707</v>
      </c>
      <c r="C317" s="629"/>
      <c r="D317" s="629"/>
      <c r="E317" s="632"/>
      <c r="F317" s="632"/>
      <c r="G317" s="632"/>
      <c r="H317" s="627"/>
      <c r="I317" s="587"/>
      <c r="J317" s="587"/>
      <c r="K317" s="630"/>
      <c r="L317" s="587"/>
      <c r="M317" s="587"/>
      <c r="N317" s="587"/>
      <c r="O317" s="631"/>
      <c r="P317" s="631"/>
      <c r="Q317" s="631"/>
      <c r="R317" s="631"/>
      <c r="S317" s="631"/>
      <c r="T317" s="631"/>
      <c r="U317" s="631"/>
      <c r="V317" s="631"/>
      <c r="W317" s="631"/>
      <c r="X317" s="631"/>
      <c r="Y317" s="631"/>
      <c r="Z317" s="631"/>
      <c r="AA317" s="631"/>
      <c r="AB317" s="631"/>
      <c r="AC317" s="631"/>
    </row>
    <row r="318">
      <c r="A318" s="178" t="s">
        <v>31708</v>
      </c>
      <c r="B318" s="629" t="s">
        <v>31709</v>
      </c>
      <c r="C318" s="629" t="s">
        <v>31710</v>
      </c>
      <c r="D318" s="629" t="s">
        <v>31711</v>
      </c>
      <c r="E318" s="632"/>
      <c r="F318" s="632"/>
      <c r="G318" s="632"/>
      <c r="H318" s="627"/>
      <c r="I318" s="587"/>
      <c r="J318" s="587"/>
      <c r="K318" s="630"/>
      <c r="L318" s="587"/>
      <c r="M318" s="587"/>
      <c r="N318" s="587"/>
      <c r="O318" s="631"/>
      <c r="P318" s="631"/>
      <c r="Q318" s="631"/>
      <c r="R318" s="631"/>
      <c r="S318" s="631"/>
      <c r="T318" s="631"/>
      <c r="U318" s="631"/>
      <c r="V318" s="631"/>
      <c r="W318" s="631"/>
      <c r="X318" s="631"/>
      <c r="Y318" s="631"/>
      <c r="Z318" s="631"/>
      <c r="AA318" s="631"/>
      <c r="AB318" s="631"/>
      <c r="AC318" s="631"/>
    </row>
    <row r="319">
      <c r="A319" s="178" t="s">
        <v>31712</v>
      </c>
      <c r="B319" s="629" t="s">
        <v>31709</v>
      </c>
      <c r="C319" s="629" t="s">
        <v>31713</v>
      </c>
      <c r="D319" s="629" t="s">
        <v>31714</v>
      </c>
      <c r="E319" s="632"/>
      <c r="F319" s="632"/>
      <c r="G319" s="632"/>
      <c r="H319" s="627"/>
      <c r="I319" s="587"/>
      <c r="J319" s="587"/>
      <c r="K319" s="630"/>
      <c r="L319" s="587"/>
      <c r="M319" s="587"/>
      <c r="N319" s="587"/>
      <c r="O319" s="631"/>
      <c r="P319" s="631"/>
      <c r="Q319" s="631"/>
      <c r="R319" s="631"/>
      <c r="S319" s="631"/>
      <c r="T319" s="631"/>
      <c r="U319" s="631"/>
      <c r="V319" s="631"/>
      <c r="W319" s="631"/>
      <c r="X319" s="631"/>
      <c r="Y319" s="631"/>
      <c r="Z319" s="631"/>
      <c r="AA319" s="631"/>
      <c r="AB319" s="631"/>
      <c r="AC319" s="631"/>
    </row>
    <row r="320">
      <c r="A320" s="178" t="s">
        <v>31705</v>
      </c>
      <c r="B320" s="629" t="s">
        <v>31715</v>
      </c>
      <c r="C320" s="629" t="s">
        <v>31360</v>
      </c>
      <c r="D320" s="629" t="s">
        <v>31716</v>
      </c>
      <c r="E320" s="634" t="s">
        <v>31717</v>
      </c>
      <c r="F320" s="632"/>
      <c r="G320" s="632"/>
      <c r="H320" s="627"/>
      <c r="I320" s="587">
        <v>8.0</v>
      </c>
      <c r="J320" s="587" t="s">
        <v>31718</v>
      </c>
      <c r="K320" s="630">
        <v>6.5</v>
      </c>
      <c r="L320" s="587" t="s">
        <v>31451</v>
      </c>
      <c r="M320" s="587">
        <v>2.4</v>
      </c>
      <c r="N320" s="587" t="s">
        <v>31317</v>
      </c>
      <c r="O320" s="631"/>
      <c r="P320" s="631"/>
      <c r="Q320" s="631"/>
      <c r="R320" s="631"/>
      <c r="S320" s="631"/>
      <c r="T320" s="631"/>
      <c r="U320" s="631"/>
      <c r="V320" s="631"/>
      <c r="W320" s="631"/>
      <c r="X320" s="631"/>
      <c r="Y320" s="631"/>
      <c r="Z320" s="631"/>
      <c r="AA320" s="631"/>
      <c r="AB320" s="631"/>
      <c r="AC320" s="631"/>
    </row>
    <row r="321">
      <c r="A321" s="178" t="s">
        <v>31719</v>
      </c>
      <c r="B321" s="629" t="s">
        <v>31715</v>
      </c>
      <c r="C321" s="519" t="s">
        <v>31720</v>
      </c>
      <c r="D321" s="519" t="s">
        <v>31721</v>
      </c>
      <c r="E321" s="634" t="s">
        <v>31717</v>
      </c>
      <c r="F321" s="598"/>
      <c r="G321" s="598"/>
      <c r="H321" s="598"/>
      <c r="I321" s="587"/>
      <c r="J321" s="593"/>
      <c r="K321" s="584"/>
      <c r="L321" s="584"/>
      <c r="M321" s="584"/>
      <c r="N321" s="584"/>
      <c r="O321" s="585"/>
      <c r="P321" s="585"/>
      <c r="Q321" s="585"/>
      <c r="R321" s="585"/>
      <c r="S321" s="585"/>
      <c r="T321" s="585"/>
      <c r="U321" s="585"/>
      <c r="V321" s="585"/>
      <c r="W321" s="585"/>
      <c r="X321" s="585"/>
      <c r="Y321" s="585"/>
      <c r="Z321" s="585"/>
      <c r="AA321" s="585"/>
      <c r="AB321" s="585"/>
      <c r="AC321" s="585"/>
    </row>
    <row r="322">
      <c r="A322" s="641" t="s">
        <v>31722</v>
      </c>
      <c r="B322" s="519" t="s">
        <v>31723</v>
      </c>
      <c r="C322" s="519" t="s">
        <v>13362</v>
      </c>
      <c r="D322" s="519" t="s">
        <v>31724</v>
      </c>
      <c r="E322" s="519" t="s">
        <v>31725</v>
      </c>
      <c r="F322" s="598"/>
      <c r="G322" s="598"/>
      <c r="H322" s="598"/>
      <c r="I322" s="587"/>
      <c r="J322" s="593"/>
      <c r="K322" s="584"/>
      <c r="L322" s="584"/>
      <c r="M322" s="584"/>
      <c r="N322" s="584"/>
      <c r="O322" s="585"/>
      <c r="P322" s="585"/>
      <c r="Q322" s="585"/>
      <c r="R322" s="585"/>
      <c r="S322" s="585"/>
      <c r="T322" s="585"/>
      <c r="U322" s="585"/>
      <c r="V322" s="585"/>
      <c r="W322" s="585"/>
      <c r="X322" s="585"/>
      <c r="Y322" s="585"/>
      <c r="Z322" s="585"/>
      <c r="AA322" s="585"/>
      <c r="AB322" s="585"/>
      <c r="AC322" s="585"/>
    </row>
    <row r="323" ht="28.5" customHeight="1">
      <c r="A323" s="641" t="s">
        <v>31726</v>
      </c>
      <c r="B323" s="519" t="s">
        <v>31723</v>
      </c>
      <c r="C323" s="519" t="s">
        <v>31727</v>
      </c>
      <c r="D323" s="519" t="s">
        <v>31728</v>
      </c>
      <c r="E323" s="519" t="s">
        <v>31725</v>
      </c>
      <c r="F323" s="598"/>
      <c r="G323" s="598"/>
      <c r="H323" s="598"/>
      <c r="I323" s="587" t="s">
        <v>31729</v>
      </c>
      <c r="J323" s="593">
        <v>44180.0</v>
      </c>
      <c r="K323" s="584"/>
      <c r="L323" s="584"/>
      <c r="M323" s="584"/>
      <c r="N323" s="584"/>
      <c r="O323" s="585"/>
      <c r="P323" s="585"/>
      <c r="Q323" s="585"/>
      <c r="R323" s="585"/>
      <c r="S323" s="585"/>
      <c r="T323" s="585"/>
      <c r="U323" s="585"/>
      <c r="V323" s="585"/>
      <c r="W323" s="585"/>
      <c r="X323" s="585"/>
      <c r="Y323" s="585"/>
      <c r="Z323" s="585"/>
      <c r="AA323" s="585"/>
      <c r="AB323" s="585"/>
      <c r="AC323" s="585"/>
    </row>
    <row r="324">
      <c r="A324" s="641" t="s">
        <v>31730</v>
      </c>
      <c r="B324" s="519" t="s">
        <v>31723</v>
      </c>
      <c r="C324" s="625" t="s">
        <v>13920</v>
      </c>
      <c r="D324" s="625" t="s">
        <v>31724</v>
      </c>
      <c r="E324" s="625"/>
      <c r="F324" s="573"/>
      <c r="G324" s="627"/>
      <c r="H324" s="627"/>
      <c r="I324" s="587"/>
      <c r="J324" s="593"/>
      <c r="K324" s="633"/>
      <c r="L324" s="584"/>
      <c r="M324" s="584"/>
      <c r="N324" s="584"/>
      <c r="O324" s="631"/>
      <c r="P324" s="631"/>
      <c r="Q324" s="631"/>
      <c r="R324" s="631"/>
      <c r="S324" s="631"/>
      <c r="T324" s="631"/>
      <c r="U324" s="631"/>
      <c r="V324" s="631"/>
      <c r="W324" s="631"/>
      <c r="X324" s="631"/>
      <c r="Y324" s="631"/>
      <c r="Z324" s="631"/>
      <c r="AA324" s="631"/>
      <c r="AB324" s="631"/>
      <c r="AC324" s="631"/>
    </row>
    <row r="325">
      <c r="A325" s="641" t="s">
        <v>31731</v>
      </c>
      <c r="B325" s="519" t="s">
        <v>31732</v>
      </c>
      <c r="C325" s="625" t="s">
        <v>31315</v>
      </c>
      <c r="D325" s="625" t="s">
        <v>31733</v>
      </c>
      <c r="E325" s="625"/>
      <c r="F325" s="573"/>
      <c r="G325" s="627"/>
      <c r="H325" s="627"/>
      <c r="I325" s="587"/>
      <c r="J325" s="593"/>
      <c r="K325" s="633"/>
      <c r="L325" s="584"/>
      <c r="M325" s="584"/>
      <c r="N325" s="584"/>
      <c r="O325" s="631"/>
      <c r="P325" s="631"/>
      <c r="Q325" s="631"/>
      <c r="R325" s="631"/>
      <c r="S325" s="631"/>
      <c r="T325" s="631"/>
      <c r="U325" s="631"/>
      <c r="V325" s="631"/>
      <c r="W325" s="631"/>
      <c r="X325" s="631"/>
      <c r="Y325" s="631"/>
      <c r="Z325" s="631"/>
      <c r="AA325" s="631"/>
      <c r="AB325" s="631"/>
      <c r="AC325" s="631"/>
    </row>
    <row r="326">
      <c r="A326" s="573" t="s">
        <v>31734</v>
      </c>
      <c r="B326" s="625" t="s">
        <v>31348</v>
      </c>
      <c r="C326" s="625" t="s">
        <v>31735</v>
      </c>
      <c r="D326" s="625" t="s">
        <v>31736</v>
      </c>
      <c r="E326" s="625"/>
      <c r="F326" s="573" t="s">
        <v>0</v>
      </c>
      <c r="G326" s="627"/>
      <c r="H326" s="627"/>
      <c r="I326" s="587">
        <v>11.5</v>
      </c>
      <c r="J326" s="593">
        <v>43930.0</v>
      </c>
      <c r="K326" s="633"/>
      <c r="L326" s="584"/>
      <c r="M326" s="584"/>
      <c r="N326" s="584"/>
      <c r="O326" s="631"/>
      <c r="P326" s="631"/>
      <c r="Q326" s="631"/>
      <c r="R326" s="631"/>
      <c r="S326" s="631"/>
      <c r="T326" s="631"/>
      <c r="U326" s="631"/>
      <c r="V326" s="631"/>
      <c r="W326" s="631"/>
      <c r="X326" s="631"/>
      <c r="Y326" s="631"/>
      <c r="Z326" s="631"/>
      <c r="AA326" s="631"/>
      <c r="AB326" s="631"/>
      <c r="AC326" s="631"/>
    </row>
    <row r="327">
      <c r="A327" s="573" t="s">
        <v>31737</v>
      </c>
      <c r="B327" s="642" t="s">
        <v>2569</v>
      </c>
      <c r="C327" s="642" t="s">
        <v>31738</v>
      </c>
      <c r="D327" s="642" t="s">
        <v>2231</v>
      </c>
      <c r="E327" s="643"/>
      <c r="F327" s="644"/>
      <c r="G327" s="644"/>
      <c r="H327" s="645"/>
      <c r="I327" s="646"/>
      <c r="J327" s="646"/>
      <c r="K327" s="647"/>
      <c r="L327" s="646"/>
      <c r="M327" s="646"/>
      <c r="N327" s="646"/>
      <c r="O327" s="648"/>
      <c r="P327" s="648"/>
      <c r="Q327" s="648"/>
      <c r="R327" s="648"/>
      <c r="S327" s="648"/>
      <c r="T327" s="648"/>
      <c r="U327" s="648"/>
      <c r="V327" s="648"/>
      <c r="W327" s="648"/>
      <c r="X327" s="648"/>
      <c r="Y327" s="648"/>
      <c r="Z327" s="648"/>
      <c r="AA327" s="648"/>
      <c r="AB327" s="648"/>
      <c r="AC327" s="648"/>
    </row>
    <row r="328">
      <c r="A328" s="649" t="s">
        <v>31739</v>
      </c>
      <c r="B328" s="625" t="s">
        <v>31740</v>
      </c>
      <c r="C328" s="625" t="s">
        <v>31741</v>
      </c>
      <c r="D328" s="625" t="s">
        <v>31742</v>
      </c>
      <c r="E328" s="625" t="s">
        <v>31743</v>
      </c>
      <c r="F328" s="627"/>
      <c r="G328" s="627"/>
      <c r="H328" s="573" t="s">
        <v>31744</v>
      </c>
      <c r="I328" s="584"/>
      <c r="J328" s="584"/>
      <c r="K328" s="633"/>
      <c r="L328" s="584"/>
      <c r="M328" s="584"/>
      <c r="N328" s="584"/>
      <c r="O328" s="631"/>
      <c r="P328" s="631"/>
      <c r="Q328" s="631"/>
      <c r="R328" s="631"/>
      <c r="S328" s="631"/>
      <c r="T328" s="631"/>
      <c r="U328" s="631"/>
      <c r="V328" s="631"/>
      <c r="W328" s="631"/>
      <c r="X328" s="631"/>
      <c r="Y328" s="631"/>
      <c r="Z328" s="631"/>
      <c r="AA328" s="631"/>
      <c r="AB328" s="631"/>
      <c r="AC328" s="631"/>
    </row>
    <row r="329">
      <c r="A329" s="650" t="s">
        <v>31745</v>
      </c>
      <c r="B329" s="625" t="s">
        <v>31746</v>
      </c>
      <c r="C329" s="629" t="s">
        <v>31747</v>
      </c>
      <c r="D329" s="629" t="s">
        <v>31748</v>
      </c>
      <c r="E329" s="634" t="s">
        <v>31035</v>
      </c>
      <c r="F329" s="632"/>
      <c r="G329" s="632"/>
      <c r="H329" s="627"/>
      <c r="I329" s="587"/>
      <c r="J329" s="587"/>
      <c r="K329" s="633"/>
      <c r="L329" s="584"/>
      <c r="M329" s="587"/>
      <c r="N329" s="587"/>
      <c r="O329" s="631"/>
      <c r="P329" s="631"/>
      <c r="Q329" s="631"/>
      <c r="R329" s="631"/>
      <c r="S329" s="631"/>
      <c r="T329" s="631"/>
      <c r="U329" s="631"/>
      <c r="V329" s="631"/>
      <c r="W329" s="631"/>
      <c r="X329" s="631"/>
      <c r="Y329" s="631"/>
      <c r="Z329" s="631"/>
      <c r="AA329" s="631"/>
      <c r="AB329" s="631"/>
      <c r="AC329" s="631"/>
    </row>
    <row r="330">
      <c r="A330" s="650" t="s">
        <v>31749</v>
      </c>
      <c r="B330" s="629" t="s">
        <v>31750</v>
      </c>
      <c r="C330" s="629"/>
      <c r="D330" s="629"/>
      <c r="E330" s="634"/>
      <c r="F330" s="632"/>
      <c r="G330" s="632"/>
      <c r="H330" s="627"/>
      <c r="I330" s="587"/>
      <c r="J330" s="587"/>
      <c r="K330" s="633"/>
      <c r="L330" s="584"/>
      <c r="M330" s="587"/>
      <c r="N330" s="587"/>
      <c r="O330" s="631"/>
      <c r="P330" s="631"/>
      <c r="Q330" s="631"/>
      <c r="R330" s="631"/>
      <c r="S330" s="631"/>
      <c r="T330" s="631"/>
      <c r="U330" s="631"/>
      <c r="V330" s="631"/>
      <c r="W330" s="631"/>
      <c r="X330" s="631"/>
      <c r="Y330" s="631"/>
      <c r="Z330" s="631"/>
      <c r="AA330" s="631"/>
      <c r="AB330" s="631"/>
      <c r="AC330" s="631"/>
    </row>
    <row r="331">
      <c r="A331" s="178" t="s">
        <v>31751</v>
      </c>
      <c r="B331" s="629" t="s">
        <v>31715</v>
      </c>
      <c r="C331" s="629" t="s">
        <v>31752</v>
      </c>
      <c r="D331" s="629" t="s">
        <v>31173</v>
      </c>
      <c r="E331" s="634" t="s">
        <v>31753</v>
      </c>
      <c r="F331" s="632"/>
      <c r="G331" s="632"/>
      <c r="H331" s="627"/>
      <c r="I331" s="587"/>
      <c r="J331" s="587"/>
      <c r="K331" s="633"/>
      <c r="L331" s="584"/>
      <c r="M331" s="587"/>
      <c r="N331" s="587"/>
      <c r="O331" s="631"/>
      <c r="P331" s="631"/>
      <c r="Q331" s="631"/>
      <c r="R331" s="631"/>
      <c r="S331" s="631"/>
      <c r="T331" s="631"/>
      <c r="U331" s="631"/>
      <c r="V331" s="631"/>
      <c r="W331" s="631"/>
      <c r="X331" s="631"/>
      <c r="Y331" s="631"/>
      <c r="Z331" s="631"/>
      <c r="AA331" s="631"/>
      <c r="AB331" s="631"/>
      <c r="AC331" s="631"/>
    </row>
    <row r="332">
      <c r="A332" s="178" t="s">
        <v>31754</v>
      </c>
      <c r="B332" s="629" t="s">
        <v>31709</v>
      </c>
      <c r="C332" s="629" t="s">
        <v>31755</v>
      </c>
      <c r="D332" s="629" t="s">
        <v>31756</v>
      </c>
      <c r="E332" s="632"/>
      <c r="F332" s="632"/>
      <c r="G332" s="632"/>
      <c r="H332" s="627"/>
      <c r="I332" s="587"/>
      <c r="J332" s="587"/>
      <c r="K332" s="633"/>
      <c r="L332" s="584"/>
      <c r="M332" s="587"/>
      <c r="N332" s="587"/>
      <c r="O332" s="631"/>
      <c r="P332" s="631"/>
      <c r="Q332" s="631"/>
      <c r="R332" s="631"/>
      <c r="S332" s="631"/>
      <c r="T332" s="631"/>
      <c r="U332" s="631"/>
      <c r="V332" s="631"/>
      <c r="W332" s="631"/>
      <c r="X332" s="631"/>
      <c r="Y332" s="631"/>
      <c r="Z332" s="631"/>
      <c r="AA332" s="631"/>
      <c r="AB332" s="631"/>
      <c r="AC332" s="631"/>
    </row>
    <row r="333">
      <c r="A333" s="178" t="s">
        <v>31757</v>
      </c>
      <c r="B333" s="629" t="s">
        <v>31668</v>
      </c>
      <c r="C333" s="629" t="s">
        <v>31758</v>
      </c>
      <c r="D333" s="629" t="s">
        <v>31759</v>
      </c>
      <c r="E333" s="632"/>
      <c r="F333" s="632"/>
      <c r="G333" s="632"/>
      <c r="H333" s="627"/>
      <c r="I333" s="587"/>
      <c r="J333" s="587"/>
      <c r="K333" s="633"/>
      <c r="L333" s="584"/>
      <c r="M333" s="587"/>
      <c r="N333" s="587"/>
      <c r="O333" s="631"/>
      <c r="P333" s="631"/>
      <c r="Q333" s="631"/>
      <c r="R333" s="631"/>
      <c r="S333" s="631"/>
      <c r="T333" s="631"/>
      <c r="U333" s="631"/>
      <c r="V333" s="631"/>
      <c r="W333" s="631"/>
      <c r="X333" s="631"/>
      <c r="Y333" s="631"/>
      <c r="Z333" s="631"/>
      <c r="AA333" s="631"/>
      <c r="AB333" s="631"/>
      <c r="AC333" s="631"/>
    </row>
    <row r="334">
      <c r="A334" s="178" t="s">
        <v>31760</v>
      </c>
      <c r="B334" s="629" t="s">
        <v>31668</v>
      </c>
      <c r="C334" s="629" t="s">
        <v>31758</v>
      </c>
      <c r="D334" s="629" t="s">
        <v>31759</v>
      </c>
      <c r="E334" s="632"/>
      <c r="F334" s="632"/>
      <c r="G334" s="632"/>
      <c r="H334" s="627"/>
      <c r="I334" s="587">
        <v>4.9</v>
      </c>
      <c r="J334" s="587" t="s">
        <v>31451</v>
      </c>
      <c r="K334" s="633"/>
      <c r="L334" s="584"/>
      <c r="M334" s="587"/>
      <c r="N334" s="587"/>
      <c r="O334" s="631"/>
      <c r="P334" s="631"/>
      <c r="Q334" s="631"/>
      <c r="R334" s="631"/>
      <c r="S334" s="631"/>
      <c r="T334" s="631"/>
      <c r="U334" s="631"/>
      <c r="V334" s="631"/>
      <c r="W334" s="631"/>
      <c r="X334" s="631"/>
      <c r="Y334" s="631"/>
      <c r="Z334" s="631"/>
      <c r="AA334" s="631"/>
      <c r="AB334" s="631"/>
      <c r="AC334" s="631"/>
    </row>
    <row r="335">
      <c r="A335" s="178" t="s">
        <v>31761</v>
      </c>
      <c r="B335" s="629" t="s">
        <v>31668</v>
      </c>
      <c r="C335" s="629" t="s">
        <v>1641</v>
      </c>
      <c r="D335" s="629" t="s">
        <v>31762</v>
      </c>
      <c r="E335" s="632"/>
      <c r="F335" s="632"/>
      <c r="G335" s="632"/>
      <c r="H335" s="627"/>
      <c r="I335" s="587"/>
      <c r="J335" s="587"/>
      <c r="K335" s="633"/>
      <c r="L335" s="584"/>
      <c r="M335" s="587"/>
      <c r="N335" s="587"/>
      <c r="O335" s="631"/>
      <c r="P335" s="631"/>
      <c r="Q335" s="631"/>
      <c r="R335" s="631"/>
      <c r="S335" s="631"/>
      <c r="T335" s="631"/>
      <c r="U335" s="631"/>
      <c r="V335" s="631"/>
      <c r="W335" s="631"/>
      <c r="X335" s="631"/>
      <c r="Y335" s="631"/>
      <c r="Z335" s="631"/>
      <c r="AA335" s="631"/>
      <c r="AB335" s="631"/>
      <c r="AC335" s="631"/>
    </row>
    <row r="336">
      <c r="A336" s="651" t="s">
        <v>31763</v>
      </c>
      <c r="B336" s="629" t="s">
        <v>31764</v>
      </c>
      <c r="C336" s="629" t="s">
        <v>31765</v>
      </c>
      <c r="D336" s="629" t="s">
        <v>31442</v>
      </c>
      <c r="E336" s="634" t="s">
        <v>30971</v>
      </c>
      <c r="F336" s="632"/>
      <c r="G336" s="632"/>
      <c r="H336" s="627"/>
      <c r="I336" s="587"/>
      <c r="J336" s="587"/>
      <c r="K336" s="633"/>
      <c r="L336" s="584"/>
      <c r="M336" s="587"/>
      <c r="N336" s="587"/>
      <c r="O336" s="631"/>
      <c r="P336" s="631"/>
      <c r="Q336" s="631"/>
      <c r="R336" s="631"/>
      <c r="S336" s="631"/>
      <c r="T336" s="631"/>
      <c r="U336" s="631"/>
      <c r="V336" s="631"/>
      <c r="W336" s="631"/>
      <c r="X336" s="631"/>
      <c r="Y336" s="631"/>
      <c r="Z336" s="631"/>
      <c r="AA336" s="631"/>
      <c r="AB336" s="631"/>
      <c r="AC336" s="631"/>
    </row>
    <row r="337">
      <c r="A337" s="651" t="s">
        <v>31766</v>
      </c>
      <c r="B337" s="629" t="s">
        <v>31764</v>
      </c>
      <c r="C337" s="629" t="s">
        <v>31767</v>
      </c>
      <c r="D337" s="629" t="s">
        <v>31768</v>
      </c>
      <c r="E337" s="634" t="s">
        <v>31035</v>
      </c>
      <c r="F337" s="632"/>
      <c r="G337" s="632"/>
      <c r="H337" s="627"/>
      <c r="I337" s="587"/>
      <c r="J337" s="587"/>
      <c r="K337" s="633"/>
      <c r="L337" s="584"/>
      <c r="M337" s="587"/>
      <c r="N337" s="587"/>
      <c r="O337" s="631"/>
      <c r="P337" s="631"/>
      <c r="Q337" s="631"/>
      <c r="R337" s="631"/>
      <c r="S337" s="631"/>
      <c r="T337" s="631"/>
      <c r="U337" s="631"/>
      <c r="V337" s="631"/>
      <c r="W337" s="631"/>
      <c r="X337" s="631"/>
      <c r="Y337" s="631"/>
      <c r="Z337" s="631"/>
      <c r="AA337" s="631"/>
      <c r="AB337" s="631"/>
      <c r="AC337" s="631"/>
    </row>
    <row r="338">
      <c r="A338" s="651" t="s">
        <v>31769</v>
      </c>
      <c r="B338" s="629" t="s">
        <v>30975</v>
      </c>
      <c r="C338" s="629" t="s">
        <v>31183</v>
      </c>
      <c r="D338" s="629" t="s">
        <v>31770</v>
      </c>
      <c r="E338" s="632"/>
      <c r="F338" s="632"/>
      <c r="G338" s="632"/>
      <c r="H338" s="627"/>
      <c r="I338" s="587"/>
      <c r="J338" s="587"/>
      <c r="K338" s="633"/>
      <c r="L338" s="584"/>
      <c r="M338" s="587"/>
      <c r="N338" s="587"/>
      <c r="O338" s="631"/>
      <c r="P338" s="631"/>
      <c r="Q338" s="631"/>
      <c r="R338" s="631"/>
      <c r="S338" s="631"/>
      <c r="T338" s="631"/>
      <c r="U338" s="631"/>
      <c r="V338" s="631"/>
      <c r="W338" s="631"/>
      <c r="X338" s="631"/>
      <c r="Y338" s="631"/>
      <c r="Z338" s="631"/>
      <c r="AA338" s="631"/>
      <c r="AB338" s="631"/>
      <c r="AC338" s="631"/>
    </row>
    <row r="339">
      <c r="A339" s="651" t="s">
        <v>3824</v>
      </c>
      <c r="B339" s="629"/>
      <c r="C339" s="629" t="s">
        <v>31771</v>
      </c>
      <c r="D339" s="629" t="s">
        <v>8228</v>
      </c>
      <c r="E339" s="632"/>
      <c r="F339" s="632"/>
      <c r="G339" s="632"/>
      <c r="H339" s="627"/>
      <c r="I339" s="587"/>
      <c r="J339" s="587"/>
      <c r="K339" s="633"/>
      <c r="L339" s="584"/>
      <c r="M339" s="587"/>
      <c r="N339" s="587"/>
      <c r="O339" s="631"/>
      <c r="P339" s="631"/>
      <c r="Q339" s="631"/>
      <c r="R339" s="631"/>
      <c r="S339" s="631"/>
      <c r="T339" s="631"/>
      <c r="U339" s="631"/>
      <c r="V339" s="631"/>
      <c r="W339" s="631"/>
      <c r="X339" s="631"/>
      <c r="Y339" s="631"/>
      <c r="Z339" s="631"/>
      <c r="AA339" s="631"/>
      <c r="AB339" s="631"/>
      <c r="AC339" s="631"/>
    </row>
    <row r="340">
      <c r="A340" s="651" t="s">
        <v>31772</v>
      </c>
      <c r="B340" s="629" t="s">
        <v>31773</v>
      </c>
      <c r="C340" s="629" t="s">
        <v>9605</v>
      </c>
      <c r="D340" s="652" t="s">
        <v>31050</v>
      </c>
      <c r="E340" s="632"/>
      <c r="F340" s="632"/>
      <c r="G340" s="632"/>
      <c r="H340" s="627"/>
      <c r="I340" s="587"/>
      <c r="J340" s="587"/>
      <c r="K340" s="633"/>
      <c r="L340" s="584"/>
      <c r="M340" s="587"/>
      <c r="N340" s="587"/>
      <c r="O340" s="631"/>
      <c r="P340" s="631"/>
      <c r="Q340" s="631"/>
      <c r="R340" s="631"/>
      <c r="S340" s="631"/>
      <c r="T340" s="631"/>
      <c r="U340" s="631"/>
      <c r="V340" s="631"/>
      <c r="W340" s="631"/>
      <c r="X340" s="631"/>
      <c r="Y340" s="631"/>
      <c r="Z340" s="631"/>
      <c r="AA340" s="631"/>
      <c r="AB340" s="631"/>
      <c r="AC340" s="631"/>
    </row>
    <row r="341">
      <c r="A341" s="651" t="s">
        <v>31774</v>
      </c>
      <c r="B341" s="629" t="s">
        <v>31773</v>
      </c>
      <c r="C341" s="629" t="s">
        <v>3943</v>
      </c>
      <c r="D341" s="629" t="s">
        <v>31775</v>
      </c>
      <c r="E341" s="632"/>
      <c r="F341" s="632"/>
      <c r="G341" s="632"/>
      <c r="H341" s="627"/>
      <c r="I341" s="587"/>
      <c r="J341" s="587"/>
      <c r="K341" s="633"/>
      <c r="L341" s="584"/>
      <c r="M341" s="587"/>
      <c r="N341" s="587"/>
      <c r="O341" s="631"/>
      <c r="P341" s="631"/>
      <c r="Q341" s="631"/>
      <c r="R341" s="631"/>
      <c r="S341" s="631"/>
      <c r="T341" s="631"/>
      <c r="U341" s="631"/>
      <c r="V341" s="631"/>
      <c r="W341" s="631"/>
      <c r="X341" s="631"/>
      <c r="Y341" s="631"/>
      <c r="Z341" s="631"/>
      <c r="AA341" s="631"/>
      <c r="AB341" s="631"/>
      <c r="AC341" s="631"/>
    </row>
    <row r="342">
      <c r="A342" s="651" t="s">
        <v>31776</v>
      </c>
      <c r="B342" s="629" t="s">
        <v>31773</v>
      </c>
      <c r="C342" s="629" t="s">
        <v>30965</v>
      </c>
      <c r="D342" s="629" t="s">
        <v>31775</v>
      </c>
      <c r="E342" s="632"/>
      <c r="F342" s="632"/>
      <c r="G342" s="632"/>
      <c r="H342" s="627"/>
      <c r="I342" s="587"/>
      <c r="J342" s="587"/>
      <c r="K342" s="633"/>
      <c r="L342" s="584"/>
      <c r="M342" s="587"/>
      <c r="N342" s="587"/>
      <c r="O342" s="631"/>
      <c r="P342" s="631"/>
      <c r="Q342" s="631"/>
      <c r="R342" s="631"/>
      <c r="S342" s="631"/>
      <c r="T342" s="631"/>
      <c r="U342" s="631"/>
      <c r="V342" s="631"/>
      <c r="W342" s="631"/>
      <c r="X342" s="631"/>
      <c r="Y342" s="631"/>
      <c r="Z342" s="631"/>
      <c r="AA342" s="631"/>
      <c r="AB342" s="631"/>
      <c r="AC342" s="631"/>
    </row>
    <row r="343">
      <c r="A343" s="651" t="s">
        <v>31777</v>
      </c>
      <c r="B343" s="629" t="s">
        <v>31594</v>
      </c>
      <c r="C343" s="629" t="s">
        <v>31360</v>
      </c>
      <c r="D343" s="629" t="s">
        <v>31778</v>
      </c>
      <c r="E343" s="632"/>
      <c r="F343" s="632"/>
      <c r="G343" s="632"/>
      <c r="H343" s="627"/>
      <c r="I343" s="587"/>
      <c r="J343" s="587"/>
      <c r="K343" s="633"/>
      <c r="L343" s="584"/>
      <c r="M343" s="587"/>
      <c r="N343" s="587"/>
      <c r="O343" s="631"/>
      <c r="P343" s="631"/>
      <c r="Q343" s="631"/>
      <c r="R343" s="631"/>
      <c r="S343" s="631"/>
      <c r="T343" s="631"/>
      <c r="U343" s="631"/>
      <c r="V343" s="631"/>
      <c r="W343" s="631"/>
      <c r="X343" s="631"/>
      <c r="Y343" s="631"/>
      <c r="Z343" s="631"/>
      <c r="AA343" s="631"/>
      <c r="AB343" s="631"/>
      <c r="AC343" s="631"/>
    </row>
    <row r="344">
      <c r="A344" s="651" t="s">
        <v>31779</v>
      </c>
      <c r="B344" s="629"/>
      <c r="C344" s="629" t="s">
        <v>12681</v>
      </c>
      <c r="D344" s="629" t="s">
        <v>31780</v>
      </c>
      <c r="E344" s="632"/>
      <c r="F344" s="632"/>
      <c r="G344" s="632"/>
      <c r="H344" s="627"/>
      <c r="I344" s="587">
        <v>3.5</v>
      </c>
      <c r="J344" s="587" t="s">
        <v>31781</v>
      </c>
      <c r="K344" s="633"/>
      <c r="L344" s="584"/>
      <c r="M344" s="587">
        <v>4.0</v>
      </c>
      <c r="N344" s="587" t="s">
        <v>31781</v>
      </c>
      <c r="O344" s="631"/>
      <c r="P344" s="631"/>
      <c r="Q344" s="631"/>
      <c r="R344" s="631"/>
      <c r="S344" s="631"/>
      <c r="T344" s="631"/>
      <c r="U344" s="631"/>
      <c r="V344" s="631"/>
      <c r="W344" s="631"/>
      <c r="X344" s="631"/>
      <c r="Y344" s="631"/>
      <c r="Z344" s="631"/>
      <c r="AA344" s="631"/>
      <c r="AB344" s="631"/>
      <c r="AC344" s="631"/>
    </row>
    <row r="345">
      <c r="A345" s="573" t="s">
        <v>13519</v>
      </c>
      <c r="B345" s="625"/>
      <c r="C345" s="625" t="s">
        <v>31782</v>
      </c>
      <c r="D345" s="625" t="s">
        <v>31783</v>
      </c>
      <c r="E345" s="635"/>
      <c r="F345" s="627"/>
      <c r="G345" s="627"/>
      <c r="H345" s="627"/>
      <c r="I345" s="587">
        <v>4.0</v>
      </c>
      <c r="J345" s="593">
        <v>44051.0</v>
      </c>
      <c r="K345" s="633"/>
      <c r="L345" s="584"/>
      <c r="M345" s="584"/>
      <c r="N345" s="584"/>
      <c r="O345" s="631"/>
      <c r="P345" s="631"/>
      <c r="Q345" s="631"/>
      <c r="R345" s="631"/>
      <c r="S345" s="631"/>
      <c r="T345" s="631"/>
      <c r="U345" s="631"/>
      <c r="V345" s="631"/>
      <c r="W345" s="631"/>
      <c r="X345" s="631"/>
      <c r="Y345" s="631"/>
      <c r="Z345" s="631"/>
      <c r="AA345" s="631"/>
      <c r="AB345" s="631"/>
      <c r="AC345" s="631"/>
    </row>
    <row r="346">
      <c r="A346" s="573" t="s">
        <v>31784</v>
      </c>
      <c r="B346" s="625"/>
      <c r="C346" s="625" t="s">
        <v>3495</v>
      </c>
      <c r="D346" s="625" t="s">
        <v>3789</v>
      </c>
      <c r="E346" s="635"/>
      <c r="F346" s="627"/>
      <c r="G346" s="627"/>
      <c r="H346" s="627"/>
      <c r="I346" s="584"/>
      <c r="J346" s="584"/>
      <c r="K346" s="633"/>
      <c r="L346" s="584"/>
      <c r="M346" s="584"/>
      <c r="N346" s="584"/>
      <c r="O346" s="631"/>
      <c r="P346" s="631"/>
      <c r="Q346" s="631"/>
      <c r="R346" s="631"/>
      <c r="S346" s="631"/>
      <c r="T346" s="631"/>
      <c r="U346" s="631"/>
      <c r="V346" s="631"/>
      <c r="W346" s="631"/>
      <c r="X346" s="631"/>
      <c r="Y346" s="631"/>
      <c r="Z346" s="631"/>
      <c r="AA346" s="631"/>
      <c r="AB346" s="631"/>
      <c r="AC346" s="631"/>
    </row>
    <row r="347">
      <c r="A347" s="573" t="s">
        <v>31785</v>
      </c>
      <c r="B347" s="625"/>
      <c r="C347" s="625" t="s">
        <v>31786</v>
      </c>
      <c r="D347" s="625" t="s">
        <v>3789</v>
      </c>
      <c r="E347" s="635"/>
      <c r="F347" s="627"/>
      <c r="G347" s="627"/>
      <c r="H347" s="627"/>
      <c r="I347" s="584"/>
      <c r="J347" s="584"/>
      <c r="K347" s="633"/>
      <c r="L347" s="584"/>
      <c r="M347" s="584"/>
      <c r="N347" s="584"/>
      <c r="O347" s="631"/>
      <c r="P347" s="631"/>
      <c r="Q347" s="631"/>
      <c r="R347" s="631"/>
      <c r="S347" s="631"/>
      <c r="T347" s="631"/>
      <c r="U347" s="631"/>
      <c r="V347" s="631"/>
      <c r="W347" s="631"/>
      <c r="X347" s="631"/>
      <c r="Y347" s="631"/>
      <c r="Z347" s="631"/>
      <c r="AA347" s="631"/>
      <c r="AB347" s="631"/>
      <c r="AC347" s="631"/>
    </row>
    <row r="348">
      <c r="A348" s="573" t="s">
        <v>31787</v>
      </c>
      <c r="B348" s="625" t="s">
        <v>30998</v>
      </c>
      <c r="C348" s="625" t="s">
        <v>31788</v>
      </c>
      <c r="D348" s="625" t="s">
        <v>3143</v>
      </c>
      <c r="E348" s="635"/>
      <c r="F348" s="627"/>
      <c r="G348" s="627"/>
      <c r="H348" s="627"/>
      <c r="I348" s="584"/>
      <c r="J348" s="584"/>
      <c r="K348" s="633"/>
      <c r="L348" s="584"/>
      <c r="M348" s="584"/>
      <c r="N348" s="584"/>
      <c r="O348" s="631"/>
      <c r="P348" s="631"/>
      <c r="Q348" s="631"/>
      <c r="R348" s="631"/>
      <c r="S348" s="631"/>
      <c r="T348" s="631"/>
      <c r="U348" s="631"/>
      <c r="V348" s="631"/>
      <c r="W348" s="631"/>
      <c r="X348" s="631"/>
      <c r="Y348" s="631"/>
      <c r="Z348" s="631"/>
      <c r="AA348" s="631"/>
      <c r="AB348" s="631"/>
      <c r="AC348" s="631"/>
    </row>
    <row r="349">
      <c r="A349" s="573" t="s">
        <v>31789</v>
      </c>
      <c r="B349" s="625" t="s">
        <v>31790</v>
      </c>
      <c r="C349" s="625" t="s">
        <v>31791</v>
      </c>
      <c r="D349" s="625" t="s">
        <v>31792</v>
      </c>
      <c r="E349" s="635"/>
      <c r="F349" s="627"/>
      <c r="G349" s="627"/>
      <c r="H349" s="627"/>
      <c r="I349" s="584"/>
      <c r="J349" s="584"/>
      <c r="K349" s="633"/>
      <c r="L349" s="584"/>
      <c r="M349" s="584"/>
      <c r="N349" s="584"/>
      <c r="O349" s="631"/>
      <c r="P349" s="631"/>
      <c r="Q349" s="631"/>
      <c r="R349" s="631"/>
      <c r="S349" s="631"/>
      <c r="T349" s="631"/>
      <c r="U349" s="631"/>
      <c r="V349" s="631"/>
      <c r="W349" s="631"/>
      <c r="X349" s="631"/>
      <c r="Y349" s="631"/>
      <c r="Z349" s="631"/>
      <c r="AA349" s="631"/>
      <c r="AB349" s="631"/>
      <c r="AC349" s="631"/>
    </row>
    <row r="350">
      <c r="A350" s="573" t="s">
        <v>31793</v>
      </c>
      <c r="B350" s="625" t="s">
        <v>31007</v>
      </c>
      <c r="C350" s="625" t="s">
        <v>31794</v>
      </c>
      <c r="D350" s="625" t="s">
        <v>31795</v>
      </c>
      <c r="E350" s="625" t="s">
        <v>20755</v>
      </c>
      <c r="F350" s="627"/>
      <c r="G350" s="627"/>
      <c r="H350" s="627"/>
      <c r="I350" s="584"/>
      <c r="J350" s="584"/>
      <c r="K350" s="633"/>
      <c r="L350" s="584"/>
      <c r="M350" s="584"/>
      <c r="N350" s="584"/>
      <c r="O350" s="631"/>
      <c r="P350" s="631"/>
      <c r="Q350" s="631"/>
      <c r="R350" s="631"/>
      <c r="S350" s="631"/>
      <c r="T350" s="631"/>
      <c r="U350" s="631"/>
      <c r="V350" s="631"/>
      <c r="W350" s="631"/>
      <c r="X350" s="631"/>
      <c r="Y350" s="631"/>
      <c r="Z350" s="631"/>
      <c r="AA350" s="631"/>
      <c r="AB350" s="631"/>
      <c r="AC350" s="631"/>
    </row>
    <row r="351" ht="31.5" customHeight="1">
      <c r="A351" s="573" t="s">
        <v>31796</v>
      </c>
      <c r="B351" s="625" t="s">
        <v>31007</v>
      </c>
      <c r="C351" s="625" t="s">
        <v>31797</v>
      </c>
      <c r="D351" s="625" t="s">
        <v>31798</v>
      </c>
      <c r="E351" s="625" t="s">
        <v>20755</v>
      </c>
      <c r="F351" s="627"/>
      <c r="G351" s="627"/>
      <c r="H351" s="627"/>
      <c r="I351" s="584"/>
      <c r="J351" s="584"/>
      <c r="K351" s="633"/>
      <c r="L351" s="584"/>
      <c r="M351" s="584"/>
      <c r="N351" s="584"/>
      <c r="O351" s="631"/>
      <c r="P351" s="631"/>
      <c r="Q351" s="631"/>
      <c r="R351" s="631"/>
      <c r="S351" s="631"/>
      <c r="T351" s="631"/>
      <c r="U351" s="631"/>
      <c r="V351" s="631"/>
      <c r="W351" s="631"/>
      <c r="X351" s="631"/>
      <c r="Y351" s="631"/>
      <c r="Z351" s="631"/>
      <c r="AA351" s="631"/>
      <c r="AB351" s="631"/>
      <c r="AC351" s="631"/>
    </row>
    <row r="352">
      <c r="A352" s="573" t="s">
        <v>31799</v>
      </c>
      <c r="B352" s="625" t="s">
        <v>31800</v>
      </c>
      <c r="C352" s="625" t="s">
        <v>31567</v>
      </c>
      <c r="D352" s="625" t="s">
        <v>30970</v>
      </c>
      <c r="E352" s="625" t="s">
        <v>30971</v>
      </c>
      <c r="F352" s="627"/>
      <c r="G352" s="627"/>
      <c r="H352" s="627"/>
      <c r="I352" s="584"/>
      <c r="J352" s="584"/>
      <c r="K352" s="633"/>
      <c r="L352" s="584"/>
      <c r="M352" s="584"/>
      <c r="N352" s="584"/>
      <c r="O352" s="631"/>
      <c r="P352" s="631"/>
      <c r="Q352" s="631"/>
      <c r="R352" s="631"/>
      <c r="S352" s="631"/>
      <c r="T352" s="631"/>
      <c r="U352" s="631"/>
      <c r="V352" s="631"/>
      <c r="W352" s="631"/>
      <c r="X352" s="631"/>
      <c r="Y352" s="631"/>
      <c r="Z352" s="631"/>
      <c r="AA352" s="631"/>
      <c r="AB352" s="631"/>
      <c r="AC352" s="631"/>
    </row>
    <row r="353">
      <c r="A353" s="573" t="s">
        <v>31801</v>
      </c>
      <c r="B353" s="625"/>
      <c r="C353" s="625" t="s">
        <v>31802</v>
      </c>
      <c r="D353" s="625" t="s">
        <v>5984</v>
      </c>
      <c r="E353" s="625" t="s">
        <v>31803</v>
      </c>
      <c r="F353" s="627"/>
      <c r="G353" s="627"/>
      <c r="H353" s="627"/>
      <c r="I353" s="587" t="s">
        <v>0</v>
      </c>
      <c r="J353" s="584"/>
      <c r="K353" s="633"/>
      <c r="L353" s="584"/>
      <c r="M353" s="584"/>
      <c r="N353" s="584"/>
      <c r="O353" s="631"/>
      <c r="P353" s="631"/>
      <c r="Q353" s="631"/>
      <c r="R353" s="631"/>
      <c r="S353" s="631"/>
      <c r="T353" s="631"/>
      <c r="U353" s="631"/>
      <c r="V353" s="631"/>
      <c r="W353" s="631"/>
      <c r="X353" s="631"/>
      <c r="Y353" s="631"/>
      <c r="Z353" s="631"/>
      <c r="AA353" s="631"/>
      <c r="AB353" s="631"/>
      <c r="AC353" s="631"/>
    </row>
    <row r="354">
      <c r="A354" s="425" t="s">
        <v>31804</v>
      </c>
      <c r="B354" s="625" t="s">
        <v>31805</v>
      </c>
      <c r="C354" s="625" t="s">
        <v>31437</v>
      </c>
      <c r="D354" s="625" t="s">
        <v>31736</v>
      </c>
      <c r="E354" s="635"/>
      <c r="F354" s="627"/>
      <c r="G354" s="627"/>
      <c r="H354" s="627"/>
      <c r="I354" s="587"/>
      <c r="J354" s="593"/>
      <c r="K354" s="633"/>
      <c r="L354" s="584"/>
      <c r="M354" s="584"/>
      <c r="N354" s="584"/>
      <c r="O354" s="631"/>
      <c r="P354" s="631"/>
      <c r="Q354" s="631"/>
      <c r="R354" s="631"/>
      <c r="S354" s="631"/>
      <c r="T354" s="631"/>
      <c r="U354" s="631"/>
      <c r="V354" s="631"/>
      <c r="W354" s="631"/>
      <c r="X354" s="631"/>
      <c r="Y354" s="631"/>
      <c r="Z354" s="631"/>
      <c r="AA354" s="631"/>
      <c r="AB354" s="631"/>
      <c r="AC354" s="631"/>
    </row>
    <row r="355">
      <c r="A355" s="425" t="s">
        <v>31806</v>
      </c>
      <c r="B355" s="625" t="s">
        <v>31807</v>
      </c>
      <c r="C355" s="625" t="s">
        <v>31808</v>
      </c>
      <c r="D355" s="625" t="s">
        <v>31809</v>
      </c>
      <c r="E355" s="625" t="s">
        <v>31810</v>
      </c>
      <c r="F355" s="627"/>
      <c r="G355" s="627"/>
      <c r="H355" s="627"/>
      <c r="I355" s="587"/>
      <c r="J355" s="593"/>
      <c r="K355" s="633"/>
      <c r="L355" s="584"/>
      <c r="M355" s="584"/>
      <c r="N355" s="584"/>
      <c r="O355" s="631"/>
      <c r="P355" s="631"/>
      <c r="Q355" s="631"/>
      <c r="R355" s="631"/>
      <c r="S355" s="631"/>
      <c r="T355" s="631"/>
      <c r="U355" s="631"/>
      <c r="V355" s="631"/>
      <c r="W355" s="631"/>
      <c r="X355" s="631"/>
      <c r="Y355" s="631"/>
      <c r="Z355" s="631"/>
      <c r="AA355" s="631"/>
      <c r="AB355" s="631"/>
      <c r="AC355" s="631"/>
    </row>
    <row r="356">
      <c r="A356" s="425" t="s">
        <v>31806</v>
      </c>
      <c r="B356" s="625" t="s">
        <v>31805</v>
      </c>
      <c r="C356" s="625" t="s">
        <v>31811</v>
      </c>
      <c r="D356" s="625" t="s">
        <v>31812</v>
      </c>
      <c r="E356" s="635"/>
      <c r="F356" s="627"/>
      <c r="G356" s="627"/>
      <c r="H356" s="627"/>
      <c r="I356" s="587"/>
      <c r="J356" s="593"/>
      <c r="K356" s="633"/>
      <c r="L356" s="584"/>
      <c r="M356" s="584"/>
      <c r="N356" s="584"/>
      <c r="O356" s="631"/>
      <c r="P356" s="631"/>
      <c r="Q356" s="631"/>
      <c r="R356" s="631"/>
      <c r="S356" s="631"/>
      <c r="T356" s="631"/>
      <c r="U356" s="631"/>
      <c r="V356" s="631"/>
      <c r="W356" s="631"/>
      <c r="X356" s="631"/>
      <c r="Y356" s="631"/>
      <c r="Z356" s="631"/>
      <c r="AA356" s="631"/>
      <c r="AB356" s="631"/>
      <c r="AC356" s="631"/>
    </row>
    <row r="357">
      <c r="A357" s="425" t="s">
        <v>31813</v>
      </c>
      <c r="B357" s="625" t="s">
        <v>31805</v>
      </c>
      <c r="C357" s="625" t="s">
        <v>31078</v>
      </c>
      <c r="D357" s="625" t="s">
        <v>31814</v>
      </c>
      <c r="E357" s="635"/>
      <c r="F357" s="627"/>
      <c r="G357" s="627"/>
      <c r="H357" s="627"/>
      <c r="I357" s="587"/>
      <c r="J357" s="593"/>
      <c r="K357" s="633"/>
      <c r="L357" s="584"/>
      <c r="M357" s="584"/>
      <c r="N357" s="584"/>
      <c r="O357" s="631"/>
      <c r="P357" s="631"/>
      <c r="Q357" s="631"/>
      <c r="R357" s="631"/>
      <c r="S357" s="631"/>
      <c r="T357" s="631"/>
      <c r="U357" s="631"/>
      <c r="V357" s="631"/>
      <c r="W357" s="631"/>
      <c r="X357" s="631"/>
      <c r="Y357" s="631"/>
      <c r="Z357" s="631"/>
      <c r="AA357" s="631"/>
      <c r="AB357" s="631"/>
      <c r="AC357" s="631"/>
    </row>
    <row r="358">
      <c r="A358" s="425" t="s">
        <v>31815</v>
      </c>
      <c r="B358" s="625" t="s">
        <v>31805</v>
      </c>
      <c r="C358" s="625" t="s">
        <v>7973</v>
      </c>
      <c r="D358" s="625" t="s">
        <v>31814</v>
      </c>
      <c r="E358" s="635"/>
      <c r="F358" s="627"/>
      <c r="G358" s="627"/>
      <c r="H358" s="627"/>
      <c r="I358" s="587"/>
      <c r="J358" s="593"/>
      <c r="K358" s="633"/>
      <c r="L358" s="584"/>
      <c r="M358" s="584"/>
      <c r="N358" s="584"/>
      <c r="O358" s="631"/>
      <c r="P358" s="631"/>
      <c r="Q358" s="631"/>
      <c r="R358" s="631"/>
      <c r="S358" s="631"/>
      <c r="T358" s="631"/>
      <c r="U358" s="631"/>
      <c r="V358" s="631"/>
      <c r="W358" s="631"/>
      <c r="X358" s="631"/>
      <c r="Y358" s="631"/>
      <c r="Z358" s="631"/>
      <c r="AA358" s="631"/>
      <c r="AB358" s="631"/>
      <c r="AC358" s="631"/>
    </row>
    <row r="359">
      <c r="A359" s="48" t="s">
        <v>31816</v>
      </c>
      <c r="B359" s="625" t="s">
        <v>31817</v>
      </c>
      <c r="C359" s="625" t="s">
        <v>31818</v>
      </c>
      <c r="D359" s="625" t="s">
        <v>2031</v>
      </c>
      <c r="E359" s="635"/>
      <c r="F359" s="627"/>
      <c r="G359" s="627"/>
      <c r="H359" s="627"/>
      <c r="I359" s="587"/>
      <c r="J359" s="593"/>
      <c r="K359" s="633"/>
      <c r="L359" s="584"/>
      <c r="M359" s="584"/>
      <c r="N359" s="584"/>
      <c r="O359" s="631"/>
      <c r="P359" s="631"/>
      <c r="Q359" s="631"/>
      <c r="R359" s="631"/>
      <c r="S359" s="631"/>
      <c r="T359" s="631"/>
      <c r="U359" s="631"/>
      <c r="V359" s="631"/>
      <c r="W359" s="631"/>
      <c r="X359" s="631"/>
      <c r="Y359" s="631"/>
      <c r="Z359" s="631"/>
      <c r="AA359" s="631"/>
      <c r="AB359" s="631"/>
      <c r="AC359" s="631"/>
    </row>
    <row r="360">
      <c r="A360" s="425" t="s">
        <v>31819</v>
      </c>
      <c r="B360" s="625"/>
      <c r="C360" s="625" t="s">
        <v>373</v>
      </c>
      <c r="D360" s="625" t="s">
        <v>5841</v>
      </c>
      <c r="E360" s="635"/>
      <c r="F360" s="627"/>
      <c r="G360" s="627"/>
      <c r="H360" s="627"/>
      <c r="I360" s="587"/>
      <c r="J360" s="593"/>
      <c r="K360" s="633"/>
      <c r="L360" s="584"/>
      <c r="M360" s="584"/>
      <c r="N360" s="584"/>
      <c r="O360" s="631"/>
      <c r="P360" s="631"/>
      <c r="Q360" s="631"/>
      <c r="R360" s="631"/>
      <c r="S360" s="631"/>
      <c r="T360" s="631"/>
      <c r="U360" s="631"/>
      <c r="V360" s="631"/>
      <c r="W360" s="631"/>
      <c r="X360" s="631"/>
      <c r="Y360" s="631"/>
      <c r="Z360" s="631"/>
      <c r="AA360" s="631"/>
      <c r="AB360" s="631"/>
      <c r="AC360" s="631"/>
    </row>
    <row r="361">
      <c r="A361" s="425" t="s">
        <v>31820</v>
      </c>
      <c r="B361" s="625" t="s">
        <v>30975</v>
      </c>
      <c r="C361" s="625" t="s">
        <v>31567</v>
      </c>
      <c r="D361" s="625" t="s">
        <v>31821</v>
      </c>
      <c r="E361" s="625"/>
      <c r="F361" s="627"/>
      <c r="G361" s="627"/>
      <c r="H361" s="627"/>
      <c r="I361" s="587"/>
      <c r="J361" s="593"/>
      <c r="K361" s="633"/>
      <c r="L361" s="584"/>
      <c r="M361" s="584"/>
      <c r="N361" s="584"/>
      <c r="O361" s="631"/>
      <c r="P361" s="631"/>
      <c r="Q361" s="631"/>
      <c r="R361" s="631"/>
      <c r="S361" s="631"/>
      <c r="T361" s="631"/>
      <c r="U361" s="631"/>
      <c r="V361" s="631"/>
      <c r="W361" s="631"/>
      <c r="X361" s="631"/>
      <c r="Y361" s="631"/>
      <c r="Z361" s="631"/>
      <c r="AA361" s="631"/>
      <c r="AB361" s="631"/>
      <c r="AC361" s="631"/>
    </row>
    <row r="362">
      <c r="A362" s="425" t="s">
        <v>31822</v>
      </c>
      <c r="B362" s="625" t="s">
        <v>31037</v>
      </c>
      <c r="C362" s="625" t="s">
        <v>31823</v>
      </c>
      <c r="D362" s="625" t="s">
        <v>31076</v>
      </c>
      <c r="E362" s="625" t="s">
        <v>30971</v>
      </c>
      <c r="F362" s="627"/>
      <c r="G362" s="627"/>
      <c r="H362" s="627"/>
      <c r="I362" s="587">
        <v>28.0</v>
      </c>
      <c r="J362" s="593">
        <v>43933.0</v>
      </c>
      <c r="K362" s="633"/>
      <c r="L362" s="584"/>
      <c r="M362" s="584"/>
      <c r="N362" s="584"/>
      <c r="O362" s="631"/>
      <c r="P362" s="631"/>
      <c r="Q362" s="631"/>
      <c r="R362" s="631"/>
      <c r="S362" s="631"/>
      <c r="T362" s="631"/>
      <c r="U362" s="631"/>
      <c r="V362" s="631"/>
      <c r="W362" s="631"/>
      <c r="X362" s="631"/>
      <c r="Y362" s="631"/>
      <c r="Z362" s="631"/>
      <c r="AA362" s="631"/>
      <c r="AB362" s="631"/>
      <c r="AC362" s="631"/>
    </row>
    <row r="363">
      <c r="A363" s="425" t="s">
        <v>31824</v>
      </c>
      <c r="B363" s="625" t="s">
        <v>31037</v>
      </c>
      <c r="C363" s="625" t="s">
        <v>31825</v>
      </c>
      <c r="D363" s="625" t="s">
        <v>31826</v>
      </c>
      <c r="E363" s="635"/>
      <c r="F363" s="627"/>
      <c r="G363" s="627"/>
      <c r="H363" s="627"/>
      <c r="I363" s="587"/>
      <c r="J363" s="593"/>
      <c r="K363" s="633"/>
      <c r="L363" s="584"/>
      <c r="M363" s="584"/>
      <c r="N363" s="584"/>
      <c r="O363" s="631"/>
      <c r="P363" s="631"/>
      <c r="Q363" s="631"/>
      <c r="R363" s="631"/>
      <c r="S363" s="631"/>
      <c r="T363" s="631"/>
      <c r="U363" s="631"/>
      <c r="V363" s="631"/>
      <c r="W363" s="631"/>
      <c r="X363" s="631"/>
      <c r="Y363" s="631"/>
      <c r="Z363" s="631"/>
      <c r="AA363" s="631"/>
      <c r="AB363" s="631"/>
      <c r="AC363" s="631"/>
    </row>
    <row r="364">
      <c r="A364" s="425" t="s">
        <v>31827</v>
      </c>
      <c r="B364" s="625"/>
      <c r="C364" s="625" t="s">
        <v>31828</v>
      </c>
      <c r="D364" s="653">
        <v>44713.0</v>
      </c>
      <c r="E364" s="635"/>
      <c r="F364" s="627"/>
      <c r="G364" s="627"/>
      <c r="H364" s="627"/>
      <c r="I364" s="587"/>
      <c r="J364" s="593"/>
      <c r="K364" s="633"/>
      <c r="L364" s="584"/>
      <c r="M364" s="584"/>
      <c r="N364" s="584"/>
      <c r="O364" s="631"/>
      <c r="P364" s="631"/>
      <c r="Q364" s="631"/>
      <c r="R364" s="631"/>
      <c r="S364" s="631"/>
      <c r="T364" s="631"/>
      <c r="U364" s="631"/>
      <c r="V364" s="631"/>
      <c r="W364" s="631"/>
      <c r="X364" s="631"/>
      <c r="Y364" s="631"/>
      <c r="Z364" s="631"/>
      <c r="AA364" s="631"/>
      <c r="AB364" s="631"/>
      <c r="AC364" s="631"/>
    </row>
    <row r="365">
      <c r="A365" s="425" t="s">
        <v>31829</v>
      </c>
      <c r="B365" s="625"/>
      <c r="C365" s="625" t="s">
        <v>12861</v>
      </c>
      <c r="D365" s="625" t="s">
        <v>4912</v>
      </c>
      <c r="E365" s="635"/>
      <c r="F365" s="627"/>
      <c r="G365" s="627"/>
      <c r="H365" s="627"/>
      <c r="I365" s="584"/>
      <c r="J365" s="584"/>
      <c r="K365" s="633"/>
      <c r="L365" s="584"/>
      <c r="M365" s="584"/>
      <c r="N365" s="584"/>
      <c r="O365" s="631"/>
      <c r="P365" s="631"/>
      <c r="Q365" s="631"/>
      <c r="R365" s="631"/>
      <c r="S365" s="631"/>
      <c r="T365" s="631"/>
      <c r="U365" s="631"/>
      <c r="V365" s="631"/>
      <c r="W365" s="631"/>
      <c r="X365" s="631"/>
      <c r="Y365" s="631"/>
      <c r="Z365" s="631"/>
      <c r="AA365" s="631"/>
      <c r="AB365" s="631"/>
      <c r="AC365" s="631"/>
    </row>
    <row r="366">
      <c r="A366" s="573" t="s">
        <v>31830</v>
      </c>
      <c r="B366" s="625" t="s">
        <v>31831</v>
      </c>
      <c r="C366" s="625" t="s">
        <v>30928</v>
      </c>
      <c r="D366" s="625" t="s">
        <v>31832</v>
      </c>
      <c r="E366" s="635"/>
      <c r="F366" s="627"/>
      <c r="G366" s="627"/>
      <c r="H366" s="627"/>
      <c r="I366" s="584"/>
      <c r="J366" s="584"/>
      <c r="K366" s="633"/>
      <c r="L366" s="584"/>
      <c r="M366" s="584"/>
      <c r="N366" s="584"/>
      <c r="O366" s="631"/>
      <c r="P366" s="631"/>
      <c r="Q366" s="631"/>
      <c r="R366" s="631"/>
      <c r="S366" s="631"/>
      <c r="T366" s="631"/>
      <c r="U366" s="631"/>
      <c r="V366" s="631"/>
      <c r="W366" s="631"/>
      <c r="X366" s="631"/>
      <c r="Y366" s="631"/>
      <c r="Z366" s="631"/>
      <c r="AA366" s="631"/>
      <c r="AB366" s="631"/>
      <c r="AC366" s="631"/>
    </row>
    <row r="367">
      <c r="A367" s="573" t="s">
        <v>31833</v>
      </c>
      <c r="B367" s="625" t="s">
        <v>31834</v>
      </c>
      <c r="C367" s="625" t="s">
        <v>4250</v>
      </c>
      <c r="D367" s="625" t="s">
        <v>31835</v>
      </c>
      <c r="E367" s="635"/>
      <c r="F367" s="627"/>
      <c r="G367" s="627"/>
      <c r="H367" s="627"/>
      <c r="I367" s="584"/>
      <c r="J367" s="584"/>
      <c r="K367" s="633"/>
      <c r="L367" s="584"/>
      <c r="M367" s="584"/>
      <c r="N367" s="584"/>
      <c r="O367" s="631"/>
      <c r="P367" s="631"/>
      <c r="Q367" s="631"/>
      <c r="R367" s="631"/>
      <c r="S367" s="631"/>
      <c r="T367" s="631"/>
      <c r="U367" s="631"/>
      <c r="V367" s="631"/>
      <c r="W367" s="631"/>
      <c r="X367" s="631"/>
      <c r="Y367" s="631"/>
      <c r="Z367" s="631"/>
      <c r="AA367" s="631"/>
      <c r="AB367" s="631"/>
      <c r="AC367" s="631"/>
    </row>
    <row r="368">
      <c r="A368" s="573" t="s">
        <v>31836</v>
      </c>
      <c r="B368" s="625" t="s">
        <v>31837</v>
      </c>
      <c r="C368" s="625" t="s">
        <v>8528</v>
      </c>
      <c r="D368" s="625" t="s">
        <v>3187</v>
      </c>
      <c r="E368" s="635"/>
      <c r="F368" s="627"/>
      <c r="G368" s="627"/>
      <c r="H368" s="627"/>
      <c r="I368" s="584"/>
      <c r="J368" s="584"/>
      <c r="K368" s="633"/>
      <c r="L368" s="584"/>
      <c r="M368" s="584"/>
      <c r="N368" s="584"/>
      <c r="O368" s="631"/>
      <c r="P368" s="631"/>
      <c r="Q368" s="631"/>
      <c r="R368" s="631"/>
      <c r="S368" s="631"/>
      <c r="T368" s="631"/>
      <c r="U368" s="631"/>
      <c r="V368" s="631"/>
      <c r="W368" s="631"/>
      <c r="X368" s="631"/>
      <c r="Y368" s="631"/>
      <c r="Z368" s="631"/>
      <c r="AA368" s="631"/>
      <c r="AB368" s="631"/>
      <c r="AC368" s="631"/>
    </row>
    <row r="369">
      <c r="A369" s="573" t="s">
        <v>31838</v>
      </c>
      <c r="B369" s="654" t="s">
        <v>31278</v>
      </c>
      <c r="C369" s="625" t="s">
        <v>9110</v>
      </c>
      <c r="D369" s="625" t="s">
        <v>31839</v>
      </c>
      <c r="E369" s="635"/>
      <c r="F369" s="627"/>
      <c r="G369" s="627"/>
      <c r="H369" s="627"/>
      <c r="I369" s="584"/>
      <c r="J369" s="584"/>
      <c r="K369" s="633"/>
      <c r="L369" s="584"/>
      <c r="M369" s="584"/>
      <c r="N369" s="584"/>
      <c r="O369" s="631"/>
      <c r="P369" s="631"/>
      <c r="Q369" s="631"/>
      <c r="R369" s="631"/>
      <c r="S369" s="631"/>
      <c r="T369" s="631"/>
      <c r="U369" s="631"/>
      <c r="V369" s="631"/>
      <c r="W369" s="631"/>
      <c r="X369" s="631"/>
      <c r="Y369" s="631"/>
      <c r="Z369" s="631"/>
      <c r="AA369" s="631"/>
      <c r="AB369" s="631"/>
      <c r="AC369" s="631"/>
    </row>
    <row r="370">
      <c r="A370" s="573" t="s">
        <v>31838</v>
      </c>
      <c r="B370" s="625" t="s">
        <v>31837</v>
      </c>
      <c r="C370" s="625" t="s">
        <v>3369</v>
      </c>
      <c r="D370" s="625" t="s">
        <v>31840</v>
      </c>
      <c r="E370" s="635"/>
      <c r="F370" s="627"/>
      <c r="G370" s="627"/>
      <c r="H370" s="627"/>
      <c r="I370" s="584"/>
      <c r="J370" s="584"/>
      <c r="K370" s="633"/>
      <c r="L370" s="584"/>
      <c r="M370" s="584"/>
      <c r="N370" s="584"/>
      <c r="O370" s="631"/>
      <c r="P370" s="631"/>
      <c r="Q370" s="631"/>
      <c r="R370" s="631"/>
      <c r="S370" s="631"/>
      <c r="T370" s="631"/>
      <c r="U370" s="631"/>
      <c r="V370" s="631"/>
      <c r="W370" s="631"/>
      <c r="X370" s="631"/>
      <c r="Y370" s="631"/>
      <c r="Z370" s="631"/>
      <c r="AA370" s="631"/>
      <c r="AB370" s="631"/>
      <c r="AC370" s="631"/>
    </row>
    <row r="371">
      <c r="A371" s="573" t="s">
        <v>31841</v>
      </c>
      <c r="B371" s="629" t="s">
        <v>31842</v>
      </c>
      <c r="C371" s="629" t="s">
        <v>3984</v>
      </c>
      <c r="D371" s="629" t="s">
        <v>31798</v>
      </c>
      <c r="E371" s="632"/>
      <c r="F371" s="632"/>
      <c r="G371" s="632"/>
      <c r="H371" s="627"/>
      <c r="I371" s="584"/>
      <c r="J371" s="584"/>
      <c r="K371" s="633"/>
      <c r="L371" s="584"/>
      <c r="M371" s="584"/>
      <c r="N371" s="584"/>
      <c r="O371" s="631"/>
      <c r="P371" s="631"/>
      <c r="Q371" s="631"/>
      <c r="R371" s="631"/>
      <c r="S371" s="631"/>
      <c r="T371" s="631"/>
      <c r="U371" s="631"/>
      <c r="V371" s="631"/>
      <c r="W371" s="631"/>
      <c r="X371" s="631"/>
      <c r="Y371" s="631"/>
      <c r="Z371" s="631"/>
      <c r="AA371" s="631"/>
      <c r="AB371" s="631"/>
      <c r="AC371" s="631"/>
    </row>
    <row r="372">
      <c r="A372" s="178" t="s">
        <v>31843</v>
      </c>
      <c r="B372" s="629"/>
      <c r="C372" s="629" t="s">
        <v>31094</v>
      </c>
      <c r="D372" s="629" t="s">
        <v>5121</v>
      </c>
      <c r="E372" s="632"/>
      <c r="F372" s="632"/>
      <c r="G372" s="632"/>
      <c r="H372" s="627"/>
      <c r="I372" s="584"/>
      <c r="J372" s="584"/>
      <c r="K372" s="633"/>
      <c r="L372" s="584"/>
      <c r="M372" s="584"/>
      <c r="N372" s="584"/>
      <c r="O372" s="631"/>
      <c r="P372" s="631"/>
      <c r="Q372" s="631"/>
      <c r="R372" s="631"/>
      <c r="S372" s="631"/>
      <c r="T372" s="631"/>
      <c r="U372" s="631"/>
      <c r="V372" s="631"/>
      <c r="W372" s="631"/>
      <c r="X372" s="631"/>
      <c r="Y372" s="631"/>
      <c r="Z372" s="631"/>
      <c r="AA372" s="631"/>
      <c r="AB372" s="631"/>
      <c r="AC372" s="631"/>
    </row>
    <row r="373">
      <c r="A373" s="178" t="s">
        <v>9434</v>
      </c>
      <c r="B373" s="629"/>
      <c r="C373" s="629" t="s">
        <v>3044</v>
      </c>
      <c r="D373" s="629" t="s">
        <v>31844</v>
      </c>
      <c r="E373" s="632"/>
      <c r="F373" s="632"/>
      <c r="G373" s="632"/>
      <c r="H373" s="627"/>
      <c r="I373" s="584"/>
      <c r="J373" s="584"/>
      <c r="K373" s="633"/>
      <c r="L373" s="584"/>
      <c r="M373" s="584"/>
      <c r="N373" s="584"/>
      <c r="O373" s="631"/>
      <c r="P373" s="631"/>
      <c r="Q373" s="631"/>
      <c r="R373" s="631"/>
      <c r="S373" s="631"/>
      <c r="T373" s="631"/>
      <c r="U373" s="631"/>
      <c r="V373" s="631"/>
      <c r="W373" s="631"/>
      <c r="X373" s="631"/>
      <c r="Y373" s="631"/>
      <c r="Z373" s="631"/>
      <c r="AA373" s="631"/>
      <c r="AB373" s="631"/>
      <c r="AC373" s="631"/>
    </row>
    <row r="374">
      <c r="A374" s="178" t="s">
        <v>31845</v>
      </c>
      <c r="B374" s="629" t="s">
        <v>31846</v>
      </c>
      <c r="C374" s="629" t="s">
        <v>31847</v>
      </c>
      <c r="D374" s="629" t="s">
        <v>773</v>
      </c>
      <c r="E374" s="632"/>
      <c r="F374" s="632"/>
      <c r="G374" s="632"/>
      <c r="H374" s="627"/>
      <c r="I374" s="584"/>
      <c r="J374" s="584"/>
      <c r="K374" s="633"/>
      <c r="L374" s="584"/>
      <c r="M374" s="584"/>
      <c r="N374" s="584"/>
      <c r="O374" s="631"/>
      <c r="P374" s="631"/>
      <c r="Q374" s="631"/>
      <c r="R374" s="631"/>
      <c r="S374" s="631"/>
      <c r="T374" s="631"/>
      <c r="U374" s="631"/>
      <c r="V374" s="631"/>
      <c r="W374" s="631"/>
      <c r="X374" s="631"/>
      <c r="Y374" s="631"/>
      <c r="Z374" s="631"/>
      <c r="AA374" s="631"/>
      <c r="AB374" s="631"/>
      <c r="AC374" s="631"/>
    </row>
    <row r="375">
      <c r="A375" s="178" t="s">
        <v>31848</v>
      </c>
      <c r="B375" s="629" t="s">
        <v>31846</v>
      </c>
      <c r="C375" s="629" t="s">
        <v>31849</v>
      </c>
      <c r="D375" s="629" t="s">
        <v>31850</v>
      </c>
      <c r="E375" s="632"/>
      <c r="F375" s="632"/>
      <c r="G375" s="632"/>
      <c r="H375" s="627"/>
      <c r="I375" s="584"/>
      <c r="J375" s="584"/>
      <c r="K375" s="633"/>
      <c r="L375" s="584"/>
      <c r="M375" s="584"/>
      <c r="N375" s="584"/>
      <c r="O375" s="631"/>
      <c r="P375" s="631"/>
      <c r="Q375" s="631"/>
      <c r="R375" s="631"/>
      <c r="S375" s="631"/>
      <c r="T375" s="631"/>
      <c r="U375" s="631"/>
      <c r="V375" s="631"/>
      <c r="W375" s="631"/>
      <c r="X375" s="631"/>
      <c r="Y375" s="631"/>
      <c r="Z375" s="631"/>
      <c r="AA375" s="631"/>
      <c r="AB375" s="631"/>
      <c r="AC375" s="631"/>
    </row>
    <row r="376">
      <c r="A376" s="178" t="s">
        <v>31851</v>
      </c>
      <c r="B376" s="629" t="s">
        <v>31852</v>
      </c>
      <c r="C376" s="629" t="s">
        <v>12911</v>
      </c>
      <c r="D376" s="629" t="s">
        <v>30940</v>
      </c>
      <c r="E376" s="632"/>
      <c r="F376" s="632"/>
      <c r="G376" s="632"/>
      <c r="H376" s="627"/>
      <c r="I376" s="584"/>
      <c r="J376" s="584"/>
      <c r="K376" s="633"/>
      <c r="L376" s="584"/>
      <c r="M376" s="584"/>
      <c r="N376" s="584"/>
      <c r="O376" s="631"/>
      <c r="P376" s="631"/>
      <c r="Q376" s="631"/>
      <c r="R376" s="631"/>
      <c r="S376" s="631"/>
      <c r="T376" s="631"/>
      <c r="U376" s="631"/>
      <c r="V376" s="631"/>
      <c r="W376" s="631"/>
      <c r="X376" s="631"/>
      <c r="Y376" s="631"/>
      <c r="Z376" s="631"/>
      <c r="AA376" s="631"/>
      <c r="AB376" s="631"/>
      <c r="AC376" s="631"/>
    </row>
    <row r="377">
      <c r="A377" s="178" t="s">
        <v>31853</v>
      </c>
      <c r="B377" s="629" t="s">
        <v>31852</v>
      </c>
      <c r="C377" s="629" t="s">
        <v>12388</v>
      </c>
      <c r="D377" s="629" t="s">
        <v>31511</v>
      </c>
      <c r="E377" s="632"/>
      <c r="F377" s="632"/>
      <c r="G377" s="632"/>
      <c r="H377" s="627"/>
      <c r="I377" s="584"/>
      <c r="J377" s="584"/>
      <c r="K377" s="633"/>
      <c r="L377" s="584"/>
      <c r="M377" s="584"/>
      <c r="N377" s="584"/>
      <c r="O377" s="631"/>
      <c r="P377" s="631"/>
      <c r="Q377" s="631"/>
      <c r="R377" s="631"/>
      <c r="S377" s="631"/>
      <c r="T377" s="631"/>
      <c r="U377" s="631"/>
      <c r="V377" s="631"/>
      <c r="W377" s="631"/>
      <c r="X377" s="631"/>
      <c r="Y377" s="631"/>
      <c r="Z377" s="631"/>
      <c r="AA377" s="631"/>
      <c r="AB377" s="631"/>
      <c r="AC377" s="631"/>
    </row>
    <row r="378">
      <c r="A378" s="178" t="s">
        <v>31854</v>
      </c>
      <c r="B378" s="629" t="s">
        <v>31852</v>
      </c>
      <c r="C378" s="629" t="s">
        <v>8528</v>
      </c>
      <c r="D378" s="629" t="s">
        <v>31855</v>
      </c>
      <c r="E378" s="632"/>
      <c r="F378" s="632"/>
      <c r="G378" s="632"/>
      <c r="H378" s="627"/>
      <c r="I378" s="587"/>
      <c r="J378" s="587"/>
      <c r="K378" s="630"/>
      <c r="L378" s="587"/>
      <c r="M378" s="584"/>
      <c r="N378" s="584"/>
      <c r="O378" s="631"/>
      <c r="P378" s="631"/>
      <c r="Q378" s="631"/>
      <c r="R378" s="631"/>
      <c r="S378" s="631"/>
      <c r="T378" s="631"/>
      <c r="U378" s="631"/>
      <c r="V378" s="631"/>
      <c r="W378" s="631"/>
      <c r="X378" s="631"/>
      <c r="Y378" s="631"/>
      <c r="Z378" s="631"/>
      <c r="AA378" s="631"/>
      <c r="AB378" s="631"/>
      <c r="AC378" s="631"/>
    </row>
    <row r="379">
      <c r="A379" s="178" t="s">
        <v>31856</v>
      </c>
      <c r="B379" s="629" t="s">
        <v>31852</v>
      </c>
      <c r="C379" s="629" t="s">
        <v>3369</v>
      </c>
      <c r="D379" s="629" t="s">
        <v>31316</v>
      </c>
      <c r="E379" s="632"/>
      <c r="F379" s="632"/>
      <c r="G379" s="632"/>
      <c r="H379" s="627"/>
      <c r="I379" s="587"/>
      <c r="J379" s="587"/>
      <c r="K379" s="630"/>
      <c r="L379" s="587"/>
      <c r="M379" s="584"/>
      <c r="N379" s="584"/>
      <c r="O379" s="631"/>
      <c r="P379" s="631"/>
      <c r="Q379" s="631"/>
      <c r="R379" s="631"/>
      <c r="S379" s="631"/>
      <c r="T379" s="631"/>
      <c r="U379" s="631"/>
      <c r="V379" s="631"/>
      <c r="W379" s="631"/>
      <c r="X379" s="631"/>
      <c r="Y379" s="631"/>
      <c r="Z379" s="631"/>
      <c r="AA379" s="631"/>
      <c r="AB379" s="631"/>
      <c r="AC379" s="631"/>
    </row>
    <row r="380">
      <c r="A380" s="655" t="s">
        <v>31857</v>
      </c>
      <c r="B380" s="629" t="s">
        <v>31858</v>
      </c>
      <c r="C380" s="629" t="s">
        <v>3809</v>
      </c>
      <c r="D380" s="629" t="s">
        <v>31859</v>
      </c>
      <c r="E380" s="632"/>
      <c r="F380" s="632"/>
      <c r="G380" s="632"/>
      <c r="H380" s="627"/>
      <c r="I380" s="587"/>
      <c r="J380" s="587"/>
      <c r="K380" s="630"/>
      <c r="L380" s="587"/>
      <c r="M380" s="584"/>
      <c r="N380" s="584"/>
      <c r="O380" s="631"/>
      <c r="P380" s="631"/>
      <c r="Q380" s="631"/>
      <c r="R380" s="631"/>
      <c r="S380" s="631"/>
      <c r="T380" s="631"/>
      <c r="U380" s="631"/>
      <c r="V380" s="631"/>
      <c r="W380" s="631"/>
      <c r="X380" s="631"/>
      <c r="Y380" s="631"/>
      <c r="Z380" s="631"/>
      <c r="AA380" s="631"/>
      <c r="AB380" s="631"/>
      <c r="AC380" s="631"/>
    </row>
    <row r="381">
      <c r="A381" s="655" t="s">
        <v>31860</v>
      </c>
      <c r="B381" s="629" t="s">
        <v>31861</v>
      </c>
      <c r="C381" s="629" t="s">
        <v>31862</v>
      </c>
      <c r="D381" s="629" t="s">
        <v>1198</v>
      </c>
      <c r="E381" s="632"/>
      <c r="F381" s="632"/>
      <c r="G381" s="632"/>
      <c r="H381" s="627"/>
      <c r="I381" s="587"/>
      <c r="J381" s="587"/>
      <c r="K381" s="630"/>
      <c r="L381" s="587"/>
      <c r="M381" s="584"/>
      <c r="N381" s="584"/>
      <c r="O381" s="631"/>
      <c r="P381" s="631"/>
      <c r="Q381" s="631"/>
      <c r="R381" s="631"/>
      <c r="S381" s="631"/>
      <c r="T381" s="631"/>
      <c r="U381" s="631"/>
      <c r="V381" s="631"/>
      <c r="W381" s="631"/>
      <c r="X381" s="631"/>
      <c r="Y381" s="631"/>
      <c r="Z381" s="631"/>
      <c r="AA381" s="631"/>
      <c r="AB381" s="631"/>
      <c r="AC381" s="631"/>
    </row>
    <row r="382">
      <c r="A382" s="178" t="s">
        <v>31863</v>
      </c>
      <c r="B382" s="629"/>
      <c r="C382" s="629" t="s">
        <v>31183</v>
      </c>
      <c r="D382" s="629" t="s">
        <v>3981</v>
      </c>
      <c r="E382" s="632"/>
      <c r="F382" s="632"/>
      <c r="G382" s="632"/>
      <c r="H382" s="627"/>
      <c r="I382" s="587">
        <v>59.0</v>
      </c>
      <c r="J382" s="587" t="s">
        <v>31864</v>
      </c>
      <c r="K382" s="630">
        <v>53.0</v>
      </c>
      <c r="L382" s="587" t="s">
        <v>31864</v>
      </c>
      <c r="M382" s="584"/>
      <c r="N382" s="584"/>
      <c r="O382" s="631"/>
      <c r="P382" s="631"/>
      <c r="Q382" s="631"/>
      <c r="R382" s="631"/>
      <c r="S382" s="631"/>
      <c r="T382" s="631"/>
      <c r="U382" s="631"/>
      <c r="V382" s="631"/>
      <c r="W382" s="631"/>
      <c r="X382" s="631"/>
      <c r="Y382" s="631"/>
      <c r="Z382" s="631"/>
      <c r="AA382" s="631"/>
      <c r="AB382" s="631"/>
      <c r="AC382" s="631"/>
    </row>
    <row r="383">
      <c r="A383" s="651" t="s">
        <v>31865</v>
      </c>
      <c r="B383" s="629" t="s">
        <v>31394</v>
      </c>
      <c r="C383" s="629" t="s">
        <v>3305</v>
      </c>
      <c r="D383" s="629" t="s">
        <v>31866</v>
      </c>
      <c r="E383" s="632"/>
      <c r="F383" s="632"/>
      <c r="G383" s="632"/>
      <c r="H383" s="627"/>
      <c r="I383" s="584"/>
      <c r="J383" s="584"/>
      <c r="K383" s="633"/>
      <c r="L383" s="584"/>
      <c r="M383" s="584"/>
      <c r="N383" s="584"/>
      <c r="O383" s="631"/>
      <c r="P383" s="631"/>
      <c r="Q383" s="631"/>
      <c r="R383" s="631"/>
      <c r="S383" s="631"/>
      <c r="T383" s="631"/>
      <c r="U383" s="631"/>
      <c r="V383" s="631"/>
      <c r="W383" s="631"/>
      <c r="X383" s="631"/>
      <c r="Y383" s="631"/>
      <c r="Z383" s="631"/>
      <c r="AA383" s="631"/>
      <c r="AB383" s="631"/>
      <c r="AC383" s="631"/>
    </row>
    <row r="384">
      <c r="A384" s="573" t="s">
        <v>18248</v>
      </c>
      <c r="B384" s="625"/>
      <c r="C384" s="625" t="s">
        <v>3980</v>
      </c>
      <c r="D384" s="625" t="s">
        <v>31123</v>
      </c>
      <c r="E384" s="635"/>
      <c r="F384" s="627"/>
      <c r="G384" s="627"/>
      <c r="H384" s="627"/>
      <c r="I384" s="584"/>
      <c r="J384" s="584"/>
      <c r="K384" s="633"/>
      <c r="L384" s="584"/>
      <c r="M384" s="584"/>
      <c r="N384" s="584"/>
      <c r="O384" s="631"/>
      <c r="P384" s="631"/>
      <c r="Q384" s="631"/>
      <c r="R384" s="631"/>
      <c r="S384" s="631"/>
      <c r="T384" s="631"/>
      <c r="U384" s="631"/>
      <c r="V384" s="631"/>
      <c r="W384" s="631"/>
      <c r="X384" s="631"/>
      <c r="Y384" s="631"/>
      <c r="Z384" s="631"/>
      <c r="AA384" s="631"/>
      <c r="AB384" s="631"/>
      <c r="AC384" s="631"/>
    </row>
    <row r="385">
      <c r="A385" s="573" t="s">
        <v>31867</v>
      </c>
      <c r="B385" s="625" t="s">
        <v>31394</v>
      </c>
      <c r="C385" s="625" t="s">
        <v>31868</v>
      </c>
      <c r="D385" s="625" t="s">
        <v>31869</v>
      </c>
      <c r="E385" s="625"/>
      <c r="F385" s="573"/>
      <c r="G385" s="627"/>
      <c r="H385" s="627"/>
      <c r="I385" s="584"/>
      <c r="J385" s="584"/>
      <c r="K385" s="633"/>
      <c r="L385" s="584"/>
      <c r="M385" s="584"/>
      <c r="N385" s="584"/>
      <c r="O385" s="631"/>
      <c r="P385" s="631"/>
      <c r="Q385" s="631"/>
      <c r="R385" s="631"/>
      <c r="S385" s="631"/>
      <c r="T385" s="631"/>
      <c r="U385" s="631"/>
      <c r="V385" s="631"/>
      <c r="W385" s="631"/>
      <c r="X385" s="631"/>
      <c r="Y385" s="631"/>
      <c r="Z385" s="631"/>
      <c r="AA385" s="631"/>
      <c r="AB385" s="631"/>
      <c r="AC385" s="631"/>
    </row>
    <row r="386">
      <c r="A386" s="573" t="s">
        <v>31870</v>
      </c>
      <c r="B386" s="625" t="s">
        <v>31394</v>
      </c>
      <c r="C386" s="625" t="s">
        <v>31868</v>
      </c>
      <c r="D386" s="625" t="s">
        <v>31869</v>
      </c>
      <c r="E386" s="625"/>
      <c r="F386" s="573"/>
      <c r="G386" s="627"/>
      <c r="H386" s="627"/>
      <c r="I386" s="584"/>
      <c r="J386" s="584"/>
      <c r="K386" s="633"/>
      <c r="L386" s="584"/>
      <c r="M386" s="584"/>
      <c r="N386" s="584"/>
      <c r="O386" s="631"/>
      <c r="P386" s="631"/>
      <c r="Q386" s="631"/>
      <c r="R386" s="631"/>
      <c r="S386" s="631"/>
      <c r="T386" s="631"/>
      <c r="U386" s="631"/>
      <c r="V386" s="631"/>
      <c r="W386" s="631"/>
      <c r="X386" s="631"/>
      <c r="Y386" s="631"/>
      <c r="Z386" s="631"/>
      <c r="AA386" s="631"/>
      <c r="AB386" s="631"/>
      <c r="AC386" s="631"/>
    </row>
    <row r="387">
      <c r="A387" s="573" t="s">
        <v>31871</v>
      </c>
      <c r="B387" s="625" t="s">
        <v>31394</v>
      </c>
      <c r="C387" s="625" t="s">
        <v>31052</v>
      </c>
      <c r="D387" s="625" t="s">
        <v>31869</v>
      </c>
      <c r="E387" s="635"/>
      <c r="F387" s="627"/>
      <c r="G387" s="627"/>
      <c r="H387" s="627"/>
      <c r="I387" s="587"/>
      <c r="J387" s="584"/>
      <c r="K387" s="633"/>
      <c r="L387" s="584"/>
      <c r="M387" s="584"/>
      <c r="N387" s="584"/>
      <c r="O387" s="631"/>
      <c r="P387" s="631"/>
      <c r="Q387" s="631"/>
      <c r="R387" s="631"/>
      <c r="S387" s="631"/>
      <c r="T387" s="631"/>
      <c r="U387" s="631"/>
      <c r="V387" s="631"/>
      <c r="W387" s="631"/>
      <c r="X387" s="631"/>
      <c r="Y387" s="631"/>
      <c r="Z387" s="631"/>
      <c r="AA387" s="631"/>
      <c r="AB387" s="631"/>
      <c r="AC387" s="631"/>
    </row>
    <row r="388">
      <c r="A388" s="573" t="s">
        <v>31872</v>
      </c>
      <c r="B388" s="625" t="s">
        <v>31394</v>
      </c>
      <c r="C388" s="625" t="s">
        <v>3369</v>
      </c>
      <c r="D388" s="625" t="s">
        <v>31873</v>
      </c>
      <c r="E388" s="635"/>
      <c r="F388" s="627"/>
      <c r="G388" s="627"/>
      <c r="H388" s="627"/>
      <c r="I388" s="587"/>
      <c r="J388" s="584"/>
      <c r="K388" s="633"/>
      <c r="L388" s="584"/>
      <c r="M388" s="584"/>
      <c r="N388" s="584"/>
      <c r="O388" s="631"/>
      <c r="P388" s="631"/>
      <c r="Q388" s="631"/>
      <c r="R388" s="631"/>
      <c r="S388" s="631"/>
      <c r="T388" s="631"/>
      <c r="U388" s="631"/>
      <c r="V388" s="631"/>
      <c r="W388" s="631"/>
      <c r="X388" s="631"/>
      <c r="Y388" s="631"/>
      <c r="Z388" s="631"/>
      <c r="AA388" s="631"/>
      <c r="AB388" s="631"/>
      <c r="AC388" s="631"/>
    </row>
    <row r="389">
      <c r="A389" s="573" t="s">
        <v>31874</v>
      </c>
      <c r="B389" s="625" t="s">
        <v>31394</v>
      </c>
      <c r="C389" s="625" t="s">
        <v>31282</v>
      </c>
      <c r="D389" s="625" t="s">
        <v>31875</v>
      </c>
      <c r="E389" s="635"/>
      <c r="F389" s="627"/>
      <c r="G389" s="627"/>
      <c r="H389" s="627"/>
      <c r="I389" s="584"/>
      <c r="J389" s="584"/>
      <c r="K389" s="633"/>
      <c r="L389" s="584"/>
      <c r="M389" s="584"/>
      <c r="N389" s="584"/>
      <c r="O389" s="631"/>
      <c r="P389" s="631"/>
      <c r="Q389" s="631"/>
      <c r="R389" s="631"/>
      <c r="S389" s="631"/>
      <c r="T389" s="631"/>
      <c r="U389" s="631"/>
      <c r="V389" s="631"/>
      <c r="W389" s="631"/>
      <c r="X389" s="631"/>
      <c r="Y389" s="631"/>
      <c r="Z389" s="631"/>
      <c r="AA389" s="631"/>
      <c r="AB389" s="631"/>
      <c r="AC389" s="631"/>
    </row>
    <row r="390">
      <c r="A390" s="573" t="s">
        <v>31876</v>
      </c>
      <c r="B390" s="625"/>
      <c r="C390" s="625" t="s">
        <v>31828</v>
      </c>
      <c r="D390" s="625" t="s">
        <v>31877</v>
      </c>
      <c r="E390" s="635"/>
      <c r="F390" s="627"/>
      <c r="G390" s="627"/>
      <c r="H390" s="627"/>
      <c r="I390" s="584"/>
      <c r="J390" s="584"/>
      <c r="K390" s="633"/>
      <c r="L390" s="584"/>
      <c r="M390" s="584"/>
      <c r="N390" s="584"/>
      <c r="O390" s="631"/>
      <c r="P390" s="631"/>
      <c r="Q390" s="631"/>
      <c r="R390" s="631"/>
      <c r="S390" s="631"/>
      <c r="T390" s="631"/>
      <c r="U390" s="631"/>
      <c r="V390" s="631"/>
      <c r="W390" s="631"/>
      <c r="X390" s="631"/>
      <c r="Y390" s="631"/>
      <c r="Z390" s="631"/>
      <c r="AA390" s="631"/>
      <c r="AB390" s="631"/>
      <c r="AC390" s="631"/>
    </row>
    <row r="391">
      <c r="A391" s="573" t="s">
        <v>31878</v>
      </c>
      <c r="B391" s="625" t="s">
        <v>31474</v>
      </c>
      <c r="C391" s="625" t="s">
        <v>31879</v>
      </c>
      <c r="D391" s="625" t="s">
        <v>31880</v>
      </c>
      <c r="E391" s="635"/>
      <c r="F391" s="627"/>
      <c r="G391" s="627"/>
      <c r="H391" s="627"/>
      <c r="I391" s="584"/>
      <c r="J391" s="584"/>
      <c r="K391" s="633"/>
      <c r="L391" s="584"/>
      <c r="M391" s="584"/>
      <c r="N391" s="584"/>
      <c r="O391" s="631"/>
      <c r="P391" s="631"/>
      <c r="Q391" s="631"/>
      <c r="R391" s="631"/>
      <c r="S391" s="631"/>
      <c r="T391" s="631"/>
      <c r="U391" s="631"/>
      <c r="V391" s="631"/>
      <c r="W391" s="631"/>
      <c r="X391" s="631"/>
      <c r="Y391" s="631"/>
      <c r="Z391" s="631"/>
      <c r="AA391" s="631"/>
      <c r="AB391" s="631"/>
      <c r="AC391" s="631"/>
    </row>
    <row r="392">
      <c r="A392" s="573" t="s">
        <v>31878</v>
      </c>
      <c r="B392" s="625" t="s">
        <v>31037</v>
      </c>
      <c r="C392" s="625" t="s">
        <v>31881</v>
      </c>
      <c r="D392" s="625" t="s">
        <v>31882</v>
      </c>
      <c r="E392" s="635"/>
      <c r="F392" s="627"/>
      <c r="G392" s="627"/>
      <c r="H392" s="627"/>
      <c r="I392" s="584"/>
      <c r="J392" s="584"/>
      <c r="K392" s="633"/>
      <c r="L392" s="584"/>
      <c r="M392" s="584"/>
      <c r="N392" s="584"/>
      <c r="O392" s="631"/>
      <c r="P392" s="631"/>
      <c r="Q392" s="631"/>
      <c r="R392" s="631"/>
      <c r="S392" s="631"/>
      <c r="T392" s="631"/>
      <c r="U392" s="631"/>
      <c r="V392" s="631"/>
      <c r="W392" s="631"/>
      <c r="X392" s="631"/>
      <c r="Y392" s="631"/>
      <c r="Z392" s="631"/>
      <c r="AA392" s="631"/>
      <c r="AB392" s="631"/>
      <c r="AC392" s="631"/>
    </row>
    <row r="393">
      <c r="A393" s="573" t="s">
        <v>593</v>
      </c>
      <c r="B393" s="625" t="s">
        <v>31474</v>
      </c>
      <c r="C393" s="625" t="s">
        <v>31883</v>
      </c>
      <c r="D393" s="625" t="s">
        <v>1272</v>
      </c>
      <c r="E393" s="635"/>
      <c r="F393" s="627"/>
      <c r="G393" s="627"/>
      <c r="H393" s="627"/>
      <c r="I393" s="584"/>
      <c r="J393" s="584"/>
      <c r="K393" s="633"/>
      <c r="L393" s="584"/>
      <c r="M393" s="584"/>
      <c r="N393" s="584"/>
      <c r="O393" s="631"/>
      <c r="P393" s="631"/>
      <c r="Q393" s="631"/>
      <c r="R393" s="631"/>
      <c r="S393" s="631"/>
      <c r="T393" s="631"/>
      <c r="U393" s="631"/>
      <c r="V393" s="631"/>
      <c r="W393" s="631"/>
      <c r="X393" s="631"/>
      <c r="Y393" s="631"/>
      <c r="Z393" s="631"/>
      <c r="AA393" s="631"/>
      <c r="AB393" s="631"/>
      <c r="AC393" s="631"/>
    </row>
    <row r="394" ht="18.0" customHeight="1">
      <c r="A394" s="573" t="s">
        <v>31878</v>
      </c>
      <c r="B394" s="625" t="s">
        <v>31474</v>
      </c>
      <c r="C394" s="625" t="s">
        <v>31884</v>
      </c>
      <c r="D394" s="625" t="s">
        <v>31885</v>
      </c>
      <c r="E394" s="625" t="s">
        <v>0</v>
      </c>
      <c r="F394" s="573"/>
      <c r="G394" s="573"/>
      <c r="H394" s="627"/>
      <c r="I394" s="584"/>
      <c r="J394" s="584"/>
      <c r="K394" s="633"/>
      <c r="L394" s="584"/>
      <c r="M394" s="584"/>
      <c r="N394" s="584"/>
      <c r="O394" s="631"/>
      <c r="P394" s="631"/>
      <c r="Q394" s="631"/>
      <c r="R394" s="631"/>
      <c r="S394" s="631"/>
      <c r="T394" s="631"/>
      <c r="U394" s="631"/>
      <c r="V394" s="631"/>
      <c r="W394" s="631"/>
      <c r="X394" s="631"/>
      <c r="Y394" s="631"/>
      <c r="Z394" s="631"/>
      <c r="AA394" s="631"/>
      <c r="AB394" s="631"/>
      <c r="AC394" s="631"/>
    </row>
    <row r="395" ht="18.0" customHeight="1">
      <c r="A395" s="573" t="s">
        <v>31886</v>
      </c>
      <c r="B395" s="625" t="s">
        <v>31453</v>
      </c>
      <c r="C395" s="625" t="s">
        <v>9617</v>
      </c>
      <c r="D395" s="625" t="s">
        <v>31076</v>
      </c>
      <c r="E395" s="625"/>
      <c r="F395" s="573" t="s">
        <v>31887</v>
      </c>
      <c r="G395" s="573" t="s">
        <v>31783</v>
      </c>
      <c r="H395" s="627"/>
      <c r="I395" s="584"/>
      <c r="J395" s="584"/>
      <c r="K395" s="633"/>
      <c r="L395" s="584"/>
      <c r="M395" s="584"/>
      <c r="N395" s="584"/>
      <c r="O395" s="631"/>
      <c r="P395" s="631"/>
      <c r="Q395" s="631"/>
      <c r="R395" s="631"/>
      <c r="S395" s="631"/>
      <c r="T395" s="631"/>
      <c r="U395" s="631"/>
      <c r="V395" s="631"/>
      <c r="W395" s="631"/>
      <c r="X395" s="631"/>
      <c r="Y395" s="631"/>
      <c r="Z395" s="631"/>
      <c r="AA395" s="631"/>
      <c r="AB395" s="631"/>
      <c r="AC395" s="631"/>
    </row>
    <row r="396" ht="27.0" customHeight="1">
      <c r="A396" s="641" t="s">
        <v>87</v>
      </c>
      <c r="B396" s="656" t="s">
        <v>31888</v>
      </c>
      <c r="C396" s="657" t="s">
        <v>31889</v>
      </c>
      <c r="D396" s="519" t="s">
        <v>31890</v>
      </c>
      <c r="E396" s="635"/>
      <c r="F396" s="627"/>
      <c r="G396" s="627"/>
      <c r="H396" s="627"/>
      <c r="I396" s="587"/>
      <c r="J396" s="593"/>
      <c r="K396" s="633"/>
      <c r="L396" s="584"/>
      <c r="M396" s="584"/>
      <c r="N396" s="584"/>
      <c r="O396" s="631"/>
      <c r="P396" s="631"/>
      <c r="Q396" s="631"/>
      <c r="R396" s="631"/>
      <c r="S396" s="631"/>
      <c r="T396" s="631"/>
      <c r="U396" s="631"/>
      <c r="V396" s="631"/>
      <c r="W396" s="631"/>
      <c r="X396" s="631"/>
      <c r="Y396" s="631"/>
      <c r="Z396" s="631"/>
      <c r="AA396" s="631"/>
      <c r="AB396" s="631"/>
      <c r="AC396" s="631"/>
    </row>
    <row r="397">
      <c r="A397" s="641" t="s">
        <v>31891</v>
      </c>
      <c r="B397" s="656" t="s">
        <v>31892</v>
      </c>
      <c r="C397" s="658" t="s">
        <v>31893</v>
      </c>
      <c r="D397" s="519" t="s">
        <v>31894</v>
      </c>
      <c r="E397" s="635"/>
      <c r="F397" s="627"/>
      <c r="G397" s="627"/>
      <c r="H397" s="627"/>
      <c r="I397" s="587" t="s">
        <v>31895</v>
      </c>
      <c r="J397" s="593">
        <v>43990.0</v>
      </c>
      <c r="K397" s="633"/>
      <c r="L397" s="584"/>
      <c r="M397" s="584"/>
      <c r="N397" s="584"/>
      <c r="O397" s="631"/>
      <c r="P397" s="631"/>
      <c r="Q397" s="631"/>
      <c r="R397" s="631"/>
      <c r="S397" s="631"/>
      <c r="T397" s="631"/>
      <c r="U397" s="631"/>
      <c r="V397" s="631"/>
      <c r="W397" s="631"/>
      <c r="X397" s="631"/>
      <c r="Y397" s="631"/>
      <c r="Z397" s="631"/>
      <c r="AA397" s="631"/>
      <c r="AB397" s="631"/>
      <c r="AC397" s="631"/>
    </row>
    <row r="398">
      <c r="A398" s="425" t="s">
        <v>31896</v>
      </c>
      <c r="B398" s="519" t="s">
        <v>31075</v>
      </c>
      <c r="C398" s="519" t="s">
        <v>31897</v>
      </c>
      <c r="D398" s="519" t="s">
        <v>31076</v>
      </c>
      <c r="E398" s="583"/>
      <c r="F398" s="598"/>
      <c r="G398" s="598"/>
      <c r="H398" s="598"/>
      <c r="I398" s="587"/>
      <c r="J398" s="587"/>
      <c r="K398" s="587"/>
      <c r="L398" s="587"/>
      <c r="M398" s="584"/>
      <c r="N398" s="584"/>
      <c r="O398" s="585"/>
      <c r="P398" s="585"/>
      <c r="Q398" s="585"/>
      <c r="R398" s="585"/>
      <c r="S398" s="585"/>
      <c r="T398" s="585"/>
      <c r="U398" s="585"/>
      <c r="V398" s="585"/>
      <c r="W398" s="585"/>
      <c r="X398" s="585"/>
      <c r="Y398" s="585"/>
      <c r="Z398" s="585"/>
      <c r="AA398" s="585"/>
      <c r="AB398" s="585"/>
      <c r="AC398" s="585"/>
    </row>
    <row r="399">
      <c r="A399" s="425" t="s">
        <v>31898</v>
      </c>
      <c r="B399" s="519" t="s">
        <v>31075</v>
      </c>
      <c r="C399" s="519" t="s">
        <v>31899</v>
      </c>
      <c r="D399" s="519" t="s">
        <v>31076</v>
      </c>
      <c r="E399" s="583"/>
      <c r="F399" s="598"/>
      <c r="G399" s="598"/>
      <c r="H399" s="598"/>
      <c r="I399" s="587"/>
      <c r="J399" s="587"/>
      <c r="K399" s="587"/>
      <c r="L399" s="587"/>
      <c r="M399" s="584"/>
      <c r="N399" s="584"/>
      <c r="O399" s="585"/>
      <c r="P399" s="585"/>
      <c r="Q399" s="585"/>
      <c r="R399" s="585"/>
      <c r="S399" s="585"/>
      <c r="T399" s="585"/>
      <c r="U399" s="585"/>
      <c r="V399" s="585"/>
      <c r="W399" s="585"/>
      <c r="X399" s="585"/>
      <c r="Y399" s="585"/>
      <c r="Z399" s="585"/>
      <c r="AA399" s="585"/>
      <c r="AB399" s="585"/>
      <c r="AC399" s="585"/>
    </row>
    <row r="400">
      <c r="A400" s="425" t="s">
        <v>31891</v>
      </c>
      <c r="B400" s="519" t="s">
        <v>31379</v>
      </c>
      <c r="C400" s="519" t="s">
        <v>31900</v>
      </c>
      <c r="D400" s="519" t="s">
        <v>40</v>
      </c>
      <c r="E400" s="583"/>
      <c r="F400" s="598"/>
      <c r="G400" s="598"/>
      <c r="H400" s="598"/>
      <c r="I400" s="587"/>
      <c r="J400" s="587"/>
      <c r="K400" s="587"/>
      <c r="L400" s="587"/>
      <c r="M400" s="584"/>
      <c r="N400" s="584"/>
      <c r="O400" s="585"/>
      <c r="P400" s="585"/>
      <c r="Q400" s="585"/>
      <c r="R400" s="585"/>
      <c r="S400" s="585"/>
      <c r="T400" s="585"/>
      <c r="U400" s="585"/>
      <c r="V400" s="585"/>
      <c r="W400" s="585"/>
      <c r="X400" s="585"/>
      <c r="Y400" s="585"/>
      <c r="Z400" s="585"/>
      <c r="AA400" s="585"/>
      <c r="AB400" s="585"/>
      <c r="AC400" s="585"/>
    </row>
    <row r="401">
      <c r="A401" s="425" t="s">
        <v>31901</v>
      </c>
      <c r="B401" s="519"/>
      <c r="C401" s="519"/>
      <c r="D401" s="519"/>
      <c r="E401" s="583"/>
      <c r="F401" s="598"/>
      <c r="G401" s="598"/>
      <c r="H401" s="598"/>
      <c r="I401" s="587"/>
      <c r="J401" s="587"/>
      <c r="K401" s="587" t="s">
        <v>31902</v>
      </c>
      <c r="L401" s="587" t="s">
        <v>31903</v>
      </c>
      <c r="M401" s="584"/>
      <c r="N401" s="584"/>
      <c r="O401" s="585"/>
      <c r="P401" s="585"/>
      <c r="Q401" s="585"/>
      <c r="R401" s="585"/>
      <c r="S401" s="585"/>
      <c r="T401" s="585"/>
      <c r="U401" s="585"/>
      <c r="V401" s="585"/>
      <c r="W401" s="585"/>
      <c r="X401" s="585"/>
      <c r="Y401" s="585"/>
      <c r="Z401" s="585"/>
      <c r="AA401" s="585"/>
      <c r="AB401" s="585"/>
      <c r="AC401" s="585"/>
    </row>
    <row r="402" ht="54.0" customHeight="1">
      <c r="A402" s="425" t="s">
        <v>31904</v>
      </c>
      <c r="B402" s="519" t="s">
        <v>31440</v>
      </c>
      <c r="C402" s="519" t="s">
        <v>3100</v>
      </c>
      <c r="D402" s="519" t="s">
        <v>1907</v>
      </c>
      <c r="E402" s="583"/>
      <c r="F402" s="425" t="s">
        <v>0</v>
      </c>
      <c r="G402" s="598"/>
      <c r="H402" s="598"/>
      <c r="I402" s="587" t="s">
        <v>31905</v>
      </c>
      <c r="J402" s="587" t="s">
        <v>31392</v>
      </c>
      <c r="K402" s="587"/>
      <c r="L402" s="587"/>
      <c r="M402" s="584"/>
      <c r="N402" s="584"/>
      <c r="O402" s="585"/>
      <c r="P402" s="585"/>
      <c r="Q402" s="585"/>
      <c r="R402" s="585"/>
      <c r="S402" s="585"/>
      <c r="T402" s="585"/>
      <c r="U402" s="585"/>
      <c r="V402" s="585"/>
      <c r="W402" s="585"/>
      <c r="X402" s="585"/>
      <c r="Y402" s="585"/>
      <c r="Z402" s="585"/>
      <c r="AA402" s="585"/>
      <c r="AB402" s="585"/>
      <c r="AC402" s="585"/>
    </row>
    <row r="403">
      <c r="A403" s="425" t="s">
        <v>31906</v>
      </c>
      <c r="B403" s="519" t="s">
        <v>31485</v>
      </c>
      <c r="C403" s="519" t="s">
        <v>31907</v>
      </c>
      <c r="D403" s="519" t="s">
        <v>31908</v>
      </c>
      <c r="E403" s="583"/>
      <c r="F403" s="598"/>
      <c r="G403" s="598"/>
      <c r="H403" s="598"/>
      <c r="I403" s="587"/>
      <c r="J403" s="587"/>
      <c r="K403" s="584"/>
      <c r="L403" s="584"/>
      <c r="M403" s="584"/>
      <c r="N403" s="584"/>
      <c r="O403" s="585"/>
      <c r="P403" s="585"/>
      <c r="Q403" s="585"/>
      <c r="R403" s="585"/>
      <c r="S403" s="585"/>
      <c r="T403" s="585"/>
      <c r="U403" s="585"/>
      <c r="V403" s="585"/>
      <c r="W403" s="585"/>
      <c r="X403" s="585"/>
      <c r="Y403" s="585"/>
      <c r="Z403" s="585"/>
      <c r="AA403" s="585"/>
      <c r="AB403" s="585"/>
      <c r="AC403" s="585"/>
    </row>
    <row r="404">
      <c r="A404" s="425" t="s">
        <v>31909</v>
      </c>
      <c r="B404" s="519" t="s">
        <v>31485</v>
      </c>
      <c r="C404" s="519" t="s">
        <v>2951</v>
      </c>
      <c r="D404" s="519" t="s">
        <v>31910</v>
      </c>
      <c r="E404" s="583"/>
      <c r="F404" s="598"/>
      <c r="G404" s="598"/>
      <c r="H404" s="598"/>
      <c r="I404" s="587"/>
      <c r="J404" s="587"/>
      <c r="K404" s="584"/>
      <c r="L404" s="584"/>
      <c r="M404" s="584"/>
      <c r="N404" s="584"/>
      <c r="O404" s="585"/>
      <c r="P404" s="585"/>
      <c r="Q404" s="585"/>
      <c r="R404" s="585"/>
      <c r="S404" s="585"/>
      <c r="T404" s="585"/>
      <c r="U404" s="585"/>
      <c r="V404" s="585"/>
      <c r="W404" s="585"/>
      <c r="X404" s="585"/>
      <c r="Y404" s="585"/>
      <c r="Z404" s="585"/>
      <c r="AA404" s="585"/>
      <c r="AB404" s="585"/>
      <c r="AC404" s="585"/>
    </row>
    <row r="405">
      <c r="A405" s="425" t="s">
        <v>31911</v>
      </c>
      <c r="B405" s="519" t="s">
        <v>31912</v>
      </c>
      <c r="C405" s="519" t="s">
        <v>31913</v>
      </c>
      <c r="D405" s="519" t="s">
        <v>31733</v>
      </c>
      <c r="E405" s="583"/>
      <c r="F405" s="598"/>
      <c r="G405" s="598"/>
      <c r="H405" s="598"/>
      <c r="I405" s="587"/>
      <c r="J405" s="587"/>
      <c r="K405" s="584"/>
      <c r="L405" s="584"/>
      <c r="M405" s="584"/>
      <c r="N405" s="584"/>
      <c r="O405" s="585"/>
      <c r="P405" s="585"/>
      <c r="Q405" s="585"/>
      <c r="R405" s="585"/>
      <c r="S405" s="585"/>
      <c r="T405" s="585"/>
      <c r="U405" s="585"/>
      <c r="V405" s="585"/>
      <c r="W405" s="585"/>
      <c r="X405" s="585"/>
      <c r="Y405" s="585"/>
      <c r="Z405" s="585"/>
      <c r="AA405" s="585"/>
      <c r="AB405" s="585"/>
      <c r="AC405" s="585"/>
    </row>
    <row r="406">
      <c r="A406" s="425" t="s">
        <v>31914</v>
      </c>
      <c r="B406" s="519" t="s">
        <v>31912</v>
      </c>
      <c r="C406" s="519" t="s">
        <v>30976</v>
      </c>
      <c r="D406" s="519" t="s">
        <v>375</v>
      </c>
      <c r="E406" s="583"/>
      <c r="F406" s="598"/>
      <c r="G406" s="598"/>
      <c r="H406" s="598"/>
      <c r="I406" s="587"/>
      <c r="J406" s="587"/>
      <c r="K406" s="584"/>
      <c r="L406" s="584"/>
      <c r="M406" s="584"/>
      <c r="N406" s="584"/>
      <c r="O406" s="585"/>
      <c r="P406" s="585"/>
      <c r="Q406" s="585"/>
      <c r="R406" s="585"/>
      <c r="S406" s="585"/>
      <c r="T406" s="585"/>
      <c r="U406" s="585"/>
      <c r="V406" s="585"/>
      <c r="W406" s="585"/>
      <c r="X406" s="585"/>
      <c r="Y406" s="585"/>
      <c r="Z406" s="585"/>
      <c r="AA406" s="585"/>
      <c r="AB406" s="585"/>
      <c r="AC406" s="585"/>
    </row>
    <row r="407" ht="26.25" customHeight="1">
      <c r="A407" s="425" t="s">
        <v>31915</v>
      </c>
      <c r="B407" s="519" t="s">
        <v>31912</v>
      </c>
      <c r="C407" s="519" t="s">
        <v>11596</v>
      </c>
      <c r="D407" s="519" t="s">
        <v>375</v>
      </c>
      <c r="E407" s="583"/>
      <c r="F407" s="598"/>
      <c r="G407" s="598"/>
      <c r="H407" s="598"/>
      <c r="I407" s="587" t="s">
        <v>31916</v>
      </c>
      <c r="J407" s="587" t="s">
        <v>31917</v>
      </c>
      <c r="K407" s="584"/>
      <c r="L407" s="584"/>
      <c r="M407" s="584"/>
      <c r="N407" s="584"/>
      <c r="O407" s="585"/>
      <c r="P407" s="585"/>
      <c r="Q407" s="585"/>
      <c r="R407" s="585"/>
      <c r="S407" s="585"/>
      <c r="T407" s="585"/>
      <c r="U407" s="585"/>
      <c r="V407" s="585"/>
      <c r="W407" s="585"/>
      <c r="X407" s="585"/>
      <c r="Y407" s="585"/>
      <c r="Z407" s="585"/>
      <c r="AA407" s="585"/>
      <c r="AB407" s="585"/>
      <c r="AC407" s="585"/>
    </row>
    <row r="408">
      <c r="A408" s="573" t="s">
        <v>31918</v>
      </c>
      <c r="B408" s="625" t="s">
        <v>30998</v>
      </c>
      <c r="C408" s="625" t="s">
        <v>8354</v>
      </c>
      <c r="D408" s="625" t="s">
        <v>394</v>
      </c>
      <c r="E408" s="635"/>
      <c r="F408" s="627"/>
      <c r="G408" s="627"/>
      <c r="H408" s="627"/>
      <c r="I408" s="584"/>
      <c r="J408" s="584"/>
      <c r="K408" s="633"/>
      <c r="L408" s="584"/>
      <c r="M408" s="584"/>
      <c r="N408" s="584"/>
      <c r="O408" s="631"/>
      <c r="P408" s="631"/>
      <c r="Q408" s="631"/>
      <c r="R408" s="631"/>
      <c r="S408" s="631"/>
      <c r="T408" s="631"/>
      <c r="U408" s="631"/>
      <c r="V408" s="631"/>
      <c r="W408" s="631"/>
      <c r="X408" s="631"/>
      <c r="Y408" s="631"/>
      <c r="Z408" s="631"/>
      <c r="AA408" s="631"/>
      <c r="AB408" s="631"/>
      <c r="AC408" s="631"/>
    </row>
    <row r="409">
      <c r="A409" s="573" t="s">
        <v>4240</v>
      </c>
      <c r="B409" s="625" t="s">
        <v>30998</v>
      </c>
      <c r="C409" s="625" t="s">
        <v>12969</v>
      </c>
      <c r="D409" s="625" t="s">
        <v>31919</v>
      </c>
      <c r="E409" s="635"/>
      <c r="F409" s="627"/>
      <c r="G409" s="627"/>
      <c r="H409" s="627"/>
      <c r="I409" s="584"/>
      <c r="J409" s="584"/>
      <c r="K409" s="633"/>
      <c r="L409" s="584"/>
      <c r="M409" s="584"/>
      <c r="N409" s="584"/>
      <c r="O409" s="631"/>
      <c r="P409" s="631"/>
      <c r="Q409" s="631"/>
      <c r="R409" s="631"/>
      <c r="S409" s="631"/>
      <c r="T409" s="631"/>
      <c r="U409" s="631"/>
      <c r="V409" s="631"/>
      <c r="W409" s="631"/>
      <c r="X409" s="631"/>
      <c r="Y409" s="631"/>
      <c r="Z409" s="631"/>
      <c r="AA409" s="631"/>
      <c r="AB409" s="631"/>
      <c r="AC409" s="631"/>
    </row>
    <row r="410">
      <c r="A410" s="573" t="s">
        <v>31920</v>
      </c>
      <c r="B410" s="625" t="s">
        <v>31921</v>
      </c>
      <c r="C410" s="625" t="s">
        <v>31922</v>
      </c>
      <c r="D410" s="625" t="s">
        <v>31923</v>
      </c>
      <c r="E410" s="635"/>
      <c r="F410" s="627"/>
      <c r="G410" s="627"/>
      <c r="H410" s="627"/>
      <c r="I410" s="584"/>
      <c r="J410" s="584"/>
      <c r="K410" s="633"/>
      <c r="L410" s="584"/>
      <c r="M410" s="584"/>
      <c r="N410" s="584"/>
      <c r="O410" s="631"/>
      <c r="P410" s="631"/>
      <c r="Q410" s="631"/>
      <c r="R410" s="631"/>
      <c r="S410" s="631"/>
      <c r="T410" s="631"/>
      <c r="U410" s="631"/>
      <c r="V410" s="631"/>
      <c r="W410" s="631"/>
      <c r="X410" s="631"/>
      <c r="Y410" s="631"/>
      <c r="Z410" s="631"/>
      <c r="AA410" s="631"/>
      <c r="AB410" s="631"/>
      <c r="AC410" s="631"/>
    </row>
    <row r="411">
      <c r="A411" s="573" t="s">
        <v>31924</v>
      </c>
      <c r="B411" s="625" t="s">
        <v>31921</v>
      </c>
      <c r="C411" s="625" t="s">
        <v>31925</v>
      </c>
      <c r="D411" s="625" t="s">
        <v>31926</v>
      </c>
      <c r="E411" s="635"/>
      <c r="F411" s="627"/>
      <c r="G411" s="627"/>
      <c r="H411" s="627"/>
      <c r="I411" s="584"/>
      <c r="J411" s="584"/>
      <c r="K411" s="633"/>
      <c r="L411" s="584"/>
      <c r="M411" s="584"/>
      <c r="N411" s="584"/>
      <c r="O411" s="631"/>
      <c r="P411" s="631"/>
      <c r="Q411" s="631"/>
      <c r="R411" s="631"/>
      <c r="S411" s="631"/>
      <c r="T411" s="631"/>
      <c r="U411" s="631"/>
      <c r="V411" s="631"/>
      <c r="W411" s="631"/>
      <c r="X411" s="631"/>
      <c r="Y411" s="631"/>
      <c r="Z411" s="631"/>
      <c r="AA411" s="631"/>
      <c r="AB411" s="631"/>
      <c r="AC411" s="631"/>
    </row>
    <row r="412">
      <c r="A412" s="573" t="s">
        <v>31927</v>
      </c>
      <c r="B412" s="625" t="s">
        <v>30949</v>
      </c>
      <c r="C412" s="625" t="s">
        <v>31928</v>
      </c>
      <c r="D412" s="625" t="s">
        <v>31929</v>
      </c>
      <c r="E412" s="635"/>
      <c r="F412" s="627"/>
      <c r="G412" s="627"/>
      <c r="H412" s="627"/>
      <c r="I412" s="584"/>
      <c r="J412" s="584"/>
      <c r="K412" s="633"/>
      <c r="L412" s="584"/>
      <c r="M412" s="584"/>
      <c r="N412" s="584"/>
      <c r="O412" s="631"/>
      <c r="P412" s="631"/>
      <c r="Q412" s="631"/>
      <c r="R412" s="631"/>
      <c r="S412" s="631"/>
      <c r="T412" s="631"/>
      <c r="U412" s="631"/>
      <c r="V412" s="631"/>
      <c r="W412" s="631"/>
      <c r="X412" s="631"/>
      <c r="Y412" s="631"/>
      <c r="Z412" s="631"/>
      <c r="AA412" s="631"/>
      <c r="AB412" s="631"/>
      <c r="AC412" s="631"/>
    </row>
    <row r="413">
      <c r="A413" s="573" t="s">
        <v>31930</v>
      </c>
      <c r="B413" s="625" t="s">
        <v>31931</v>
      </c>
      <c r="C413" s="625" t="s">
        <v>31932</v>
      </c>
      <c r="D413" s="625" t="s">
        <v>31933</v>
      </c>
      <c r="E413" s="635"/>
      <c r="F413" s="627"/>
      <c r="G413" s="627"/>
      <c r="H413" s="627"/>
      <c r="I413" s="584"/>
      <c r="J413" s="584"/>
      <c r="K413" s="630"/>
      <c r="L413" s="593"/>
      <c r="M413" s="587"/>
      <c r="N413" s="587"/>
      <c r="O413" s="631"/>
      <c r="P413" s="631"/>
      <c r="Q413" s="631"/>
      <c r="R413" s="631"/>
      <c r="S413" s="631"/>
      <c r="T413" s="631"/>
      <c r="U413" s="631"/>
      <c r="V413" s="631"/>
      <c r="W413" s="631"/>
      <c r="X413" s="631"/>
      <c r="Y413" s="631"/>
      <c r="Z413" s="631"/>
      <c r="AA413" s="631"/>
      <c r="AB413" s="631"/>
      <c r="AC413" s="631"/>
    </row>
    <row r="414">
      <c r="A414" s="573" t="s">
        <v>31930</v>
      </c>
      <c r="B414" s="625" t="s">
        <v>31934</v>
      </c>
      <c r="C414" s="625" t="s">
        <v>31935</v>
      </c>
      <c r="D414" s="625" t="s">
        <v>31936</v>
      </c>
      <c r="E414" s="635"/>
      <c r="F414" s="627"/>
      <c r="G414" s="627"/>
      <c r="H414" s="627"/>
      <c r="I414" s="584"/>
      <c r="J414" s="584"/>
      <c r="K414" s="630"/>
      <c r="L414" s="593"/>
      <c r="M414" s="587">
        <v>90.0</v>
      </c>
      <c r="N414" s="587" t="s">
        <v>31937</v>
      </c>
      <c r="O414" s="631"/>
      <c r="P414" s="631"/>
      <c r="Q414" s="631"/>
      <c r="R414" s="631"/>
      <c r="S414" s="631"/>
      <c r="T414" s="631"/>
      <c r="U414" s="631"/>
      <c r="V414" s="631"/>
      <c r="W414" s="631"/>
      <c r="X414" s="631"/>
      <c r="Y414" s="631"/>
      <c r="Z414" s="631"/>
      <c r="AA414" s="631"/>
      <c r="AB414" s="631"/>
      <c r="AC414" s="631"/>
    </row>
    <row r="415">
      <c r="A415" s="573" t="s">
        <v>31938</v>
      </c>
      <c r="B415" s="519" t="s">
        <v>0</v>
      </c>
      <c r="C415" s="519" t="s">
        <v>31156</v>
      </c>
      <c r="D415" s="519" t="s">
        <v>113</v>
      </c>
      <c r="E415" s="583"/>
      <c r="F415" s="598"/>
      <c r="G415" s="598"/>
      <c r="H415" s="598"/>
      <c r="I415" s="659"/>
      <c r="J415" s="593"/>
      <c r="K415" s="633"/>
      <c r="L415" s="584"/>
      <c r="M415" s="587"/>
      <c r="N415" s="587"/>
      <c r="O415" s="631"/>
      <c r="P415" s="631"/>
      <c r="Q415" s="631"/>
      <c r="R415" s="631"/>
      <c r="S415" s="631"/>
      <c r="T415" s="631"/>
      <c r="U415" s="631"/>
      <c r="V415" s="631"/>
      <c r="W415" s="631"/>
      <c r="X415" s="631"/>
      <c r="Y415" s="631"/>
      <c r="Z415" s="631"/>
      <c r="AA415" s="631"/>
      <c r="AB415" s="631"/>
      <c r="AC415" s="631"/>
    </row>
    <row r="416">
      <c r="A416" s="573" t="s">
        <v>31939</v>
      </c>
      <c r="B416" s="519" t="s">
        <v>31921</v>
      </c>
      <c r="C416" s="519" t="s">
        <v>3809</v>
      </c>
      <c r="D416" s="519" t="s">
        <v>31936</v>
      </c>
      <c r="E416" s="583"/>
      <c r="F416" s="598"/>
      <c r="G416" s="598"/>
      <c r="H416" s="598"/>
      <c r="I416" s="659"/>
      <c r="J416" s="593"/>
      <c r="K416" s="633"/>
      <c r="L416" s="584"/>
      <c r="M416" s="587"/>
      <c r="N416" s="587"/>
      <c r="O416" s="631"/>
      <c r="P416" s="631"/>
      <c r="Q416" s="631"/>
      <c r="R416" s="631"/>
      <c r="S416" s="631"/>
      <c r="T416" s="631"/>
      <c r="U416" s="631"/>
      <c r="V416" s="631"/>
      <c r="W416" s="631"/>
      <c r="X416" s="631"/>
      <c r="Y416" s="631"/>
      <c r="Z416" s="631"/>
      <c r="AA416" s="631"/>
      <c r="AB416" s="631"/>
      <c r="AC416" s="631"/>
    </row>
    <row r="417">
      <c r="A417" s="425" t="s">
        <v>31940</v>
      </c>
      <c r="B417" s="519"/>
      <c r="C417" s="519" t="s">
        <v>31514</v>
      </c>
      <c r="D417" s="519" t="s">
        <v>7404</v>
      </c>
      <c r="E417" s="583"/>
      <c r="F417" s="598"/>
      <c r="G417" s="598"/>
      <c r="H417" s="598"/>
      <c r="I417" s="659"/>
      <c r="J417" s="593"/>
      <c r="K417" s="633"/>
      <c r="L417" s="584"/>
      <c r="M417" s="587"/>
      <c r="N417" s="587"/>
      <c r="O417" s="631"/>
      <c r="P417" s="631"/>
      <c r="Q417" s="631"/>
      <c r="R417" s="631"/>
      <c r="S417" s="631"/>
      <c r="T417" s="631"/>
      <c r="U417" s="631"/>
      <c r="V417" s="631"/>
      <c r="W417" s="631"/>
      <c r="X417" s="631"/>
      <c r="Y417" s="631"/>
      <c r="Z417" s="631"/>
      <c r="AA417" s="631"/>
      <c r="AB417" s="631"/>
      <c r="AC417" s="631"/>
    </row>
    <row r="418">
      <c r="A418" s="425" t="s">
        <v>5756</v>
      </c>
      <c r="B418" s="519"/>
      <c r="C418" s="519"/>
      <c r="D418" s="519"/>
      <c r="E418" s="583"/>
      <c r="F418" s="598"/>
      <c r="G418" s="598"/>
      <c r="H418" s="598"/>
      <c r="I418" s="659" t="s">
        <v>31941</v>
      </c>
      <c r="J418" s="593">
        <v>44085.0</v>
      </c>
      <c r="K418" s="633"/>
      <c r="L418" s="584"/>
      <c r="M418" s="587">
        <v>10.0</v>
      </c>
      <c r="N418" s="587" t="s">
        <v>30936</v>
      </c>
      <c r="O418" s="631"/>
      <c r="P418" s="631"/>
      <c r="Q418" s="631"/>
      <c r="R418" s="631"/>
      <c r="S418" s="631"/>
      <c r="T418" s="631"/>
      <c r="U418" s="631"/>
      <c r="V418" s="631"/>
      <c r="W418" s="631"/>
      <c r="X418" s="631"/>
      <c r="Y418" s="631"/>
      <c r="Z418" s="631"/>
      <c r="AA418" s="631"/>
      <c r="AB418" s="631"/>
      <c r="AC418" s="631"/>
    </row>
    <row r="419">
      <c r="A419" s="573" t="s">
        <v>9283</v>
      </c>
      <c r="B419" s="625"/>
      <c r="C419" s="625"/>
      <c r="D419" s="625"/>
      <c r="E419" s="635"/>
      <c r="F419" s="627"/>
      <c r="G419" s="627"/>
      <c r="H419" s="627"/>
      <c r="I419" s="660"/>
      <c r="J419" s="584"/>
      <c r="K419" s="630">
        <v>12.0</v>
      </c>
      <c r="L419" s="587" t="s">
        <v>31482</v>
      </c>
      <c r="M419" s="584"/>
      <c r="N419" s="584"/>
      <c r="O419" s="631"/>
      <c r="P419" s="631"/>
      <c r="Q419" s="631"/>
      <c r="R419" s="631"/>
      <c r="S419" s="631"/>
      <c r="T419" s="631"/>
      <c r="U419" s="631"/>
      <c r="V419" s="631"/>
      <c r="W419" s="631"/>
      <c r="X419" s="631"/>
      <c r="Y419" s="631"/>
      <c r="Z419" s="631"/>
      <c r="AA419" s="631"/>
      <c r="AB419" s="631"/>
      <c r="AC419" s="631"/>
    </row>
    <row r="420">
      <c r="A420" s="573" t="s">
        <v>31942</v>
      </c>
      <c r="B420" s="625" t="s">
        <v>31943</v>
      </c>
      <c r="C420" s="625" t="s">
        <v>31944</v>
      </c>
      <c r="D420" s="625" t="s">
        <v>31570</v>
      </c>
      <c r="E420" s="635"/>
      <c r="F420" s="627"/>
      <c r="G420" s="627"/>
      <c r="H420" s="627"/>
      <c r="I420" s="660"/>
      <c r="J420" s="584"/>
      <c r="K420" s="633"/>
      <c r="L420" s="584"/>
      <c r="M420" s="584"/>
      <c r="N420" s="584"/>
      <c r="O420" s="631"/>
      <c r="P420" s="631"/>
      <c r="Q420" s="631"/>
      <c r="R420" s="631"/>
      <c r="S420" s="631"/>
      <c r="T420" s="631"/>
      <c r="U420" s="631"/>
      <c r="V420" s="631"/>
      <c r="W420" s="631"/>
      <c r="X420" s="631"/>
      <c r="Y420" s="631"/>
      <c r="Z420" s="631"/>
      <c r="AA420" s="631"/>
      <c r="AB420" s="631"/>
      <c r="AC420" s="631"/>
    </row>
    <row r="421">
      <c r="A421" s="573" t="s">
        <v>31945</v>
      </c>
      <c r="B421" s="625" t="s">
        <v>31943</v>
      </c>
      <c r="C421" s="625" t="s">
        <v>31946</v>
      </c>
      <c r="D421" s="625" t="s">
        <v>31821</v>
      </c>
      <c r="E421" s="635"/>
      <c r="F421" s="627"/>
      <c r="G421" s="627"/>
      <c r="H421" s="573" t="s">
        <v>31947</v>
      </c>
      <c r="I421" s="660"/>
      <c r="J421" s="584"/>
      <c r="K421" s="633"/>
      <c r="L421" s="584"/>
      <c r="M421" s="584"/>
      <c r="N421" s="584"/>
      <c r="O421" s="631"/>
      <c r="P421" s="631"/>
      <c r="Q421" s="631"/>
      <c r="R421" s="631"/>
      <c r="S421" s="631"/>
      <c r="T421" s="631"/>
      <c r="U421" s="631"/>
      <c r="V421" s="631"/>
      <c r="W421" s="631"/>
      <c r="X421" s="631"/>
      <c r="Y421" s="631"/>
      <c r="Z421" s="631"/>
      <c r="AA421" s="631"/>
      <c r="AB421" s="631"/>
      <c r="AC421" s="631"/>
    </row>
    <row r="422">
      <c r="A422" s="573" t="s">
        <v>31948</v>
      </c>
      <c r="B422" s="625" t="s">
        <v>31943</v>
      </c>
      <c r="C422" s="625" t="s">
        <v>8800</v>
      </c>
      <c r="D422" s="625" t="s">
        <v>199</v>
      </c>
      <c r="E422" s="635"/>
      <c r="F422" s="627"/>
      <c r="G422" s="627"/>
      <c r="H422" s="627"/>
      <c r="I422" s="660"/>
      <c r="J422" s="584"/>
      <c r="K422" s="633"/>
      <c r="L422" s="584"/>
      <c r="M422" s="584"/>
      <c r="N422" s="584"/>
      <c r="O422" s="631"/>
      <c r="P422" s="631"/>
      <c r="Q422" s="631"/>
      <c r="R422" s="631"/>
      <c r="S422" s="631"/>
      <c r="T422" s="631"/>
      <c r="U422" s="631"/>
      <c r="V422" s="631"/>
      <c r="W422" s="631"/>
      <c r="X422" s="631"/>
      <c r="Y422" s="631"/>
      <c r="Z422" s="631"/>
      <c r="AA422" s="631"/>
      <c r="AB422" s="631"/>
      <c r="AC422" s="631"/>
    </row>
    <row r="423">
      <c r="A423" s="573" t="s">
        <v>31949</v>
      </c>
      <c r="B423" s="625" t="s">
        <v>31950</v>
      </c>
      <c r="C423" s="625" t="s">
        <v>31951</v>
      </c>
      <c r="D423" s="625" t="s">
        <v>520</v>
      </c>
      <c r="E423" s="635"/>
      <c r="F423" s="627"/>
      <c r="G423" s="627"/>
      <c r="H423" s="627"/>
      <c r="I423" s="660"/>
      <c r="J423" s="584"/>
      <c r="K423" s="633"/>
      <c r="L423" s="584"/>
      <c r="M423" s="584"/>
      <c r="N423" s="584"/>
      <c r="O423" s="631"/>
      <c r="P423" s="631"/>
      <c r="Q423" s="631"/>
      <c r="R423" s="631"/>
      <c r="S423" s="631"/>
      <c r="T423" s="631"/>
      <c r="U423" s="631"/>
      <c r="V423" s="631"/>
      <c r="W423" s="631"/>
      <c r="X423" s="631"/>
      <c r="Y423" s="631"/>
      <c r="Z423" s="631"/>
      <c r="AA423" s="631"/>
      <c r="AB423" s="631"/>
      <c r="AC423" s="631"/>
    </row>
    <row r="424">
      <c r="A424" s="573" t="s">
        <v>31945</v>
      </c>
      <c r="B424" s="625" t="s">
        <v>31950</v>
      </c>
      <c r="C424" s="625" t="s">
        <v>31952</v>
      </c>
      <c r="D424" s="625" t="s">
        <v>520</v>
      </c>
      <c r="E424" s="635"/>
      <c r="F424" s="627"/>
      <c r="G424" s="627"/>
      <c r="H424" s="627"/>
      <c r="I424" s="584"/>
      <c r="J424" s="584"/>
      <c r="K424" s="633"/>
      <c r="L424" s="584"/>
      <c r="M424" s="584"/>
      <c r="N424" s="584"/>
      <c r="O424" s="631"/>
      <c r="P424" s="631"/>
      <c r="Q424" s="631"/>
      <c r="R424" s="631"/>
      <c r="S424" s="631"/>
      <c r="T424" s="631"/>
      <c r="U424" s="631"/>
      <c r="V424" s="631"/>
      <c r="W424" s="631"/>
      <c r="X424" s="631"/>
      <c r="Y424" s="631"/>
      <c r="Z424" s="631"/>
      <c r="AA424" s="631"/>
      <c r="AB424" s="631"/>
      <c r="AC424" s="631"/>
    </row>
    <row r="425">
      <c r="A425" s="661" t="s">
        <v>31953</v>
      </c>
      <c r="B425" s="629" t="s">
        <v>31954</v>
      </c>
      <c r="C425" s="629" t="s">
        <v>31955</v>
      </c>
      <c r="D425" s="629" t="s">
        <v>31956</v>
      </c>
      <c r="E425" s="632"/>
      <c r="F425" s="632"/>
      <c r="G425" s="632"/>
      <c r="H425" s="627"/>
      <c r="I425" s="584"/>
      <c r="J425" s="584"/>
      <c r="K425" s="633"/>
      <c r="L425" s="584"/>
      <c r="M425" s="584"/>
      <c r="N425" s="584"/>
      <c r="O425" s="631"/>
      <c r="P425" s="631"/>
      <c r="Q425" s="631"/>
      <c r="R425" s="631"/>
      <c r="S425" s="631"/>
      <c r="T425" s="631"/>
      <c r="U425" s="631"/>
      <c r="V425" s="631"/>
      <c r="W425" s="631"/>
      <c r="X425" s="631"/>
      <c r="Y425" s="631"/>
      <c r="Z425" s="631"/>
      <c r="AA425" s="631"/>
      <c r="AB425" s="631"/>
      <c r="AC425" s="631"/>
    </row>
    <row r="426" ht="21.75" customHeight="1">
      <c r="A426" s="651" t="s">
        <v>31957</v>
      </c>
      <c r="B426" s="629"/>
      <c r="C426" s="629" t="s">
        <v>2827</v>
      </c>
      <c r="D426" s="629" t="s">
        <v>31958</v>
      </c>
      <c r="E426" s="632"/>
      <c r="F426" s="632"/>
      <c r="G426" s="632"/>
      <c r="H426" s="627"/>
      <c r="I426" s="584"/>
      <c r="J426" s="584"/>
      <c r="K426" s="633"/>
      <c r="L426" s="584"/>
      <c r="M426" s="584"/>
      <c r="N426" s="584"/>
      <c r="O426" s="631"/>
      <c r="P426" s="631"/>
      <c r="Q426" s="631"/>
      <c r="R426" s="631"/>
      <c r="S426" s="631"/>
      <c r="T426" s="631"/>
      <c r="U426" s="631"/>
      <c r="V426" s="631"/>
      <c r="W426" s="631"/>
      <c r="X426" s="631"/>
      <c r="Y426" s="631"/>
      <c r="Z426" s="631"/>
      <c r="AA426" s="631"/>
      <c r="AB426" s="631"/>
      <c r="AC426" s="631"/>
    </row>
    <row r="427">
      <c r="A427" s="662" t="s">
        <v>31959</v>
      </c>
      <c r="B427" s="629" t="s">
        <v>31960</v>
      </c>
      <c r="C427" s="629" t="s">
        <v>31282</v>
      </c>
      <c r="D427" s="629" t="s">
        <v>31961</v>
      </c>
      <c r="E427" s="632"/>
      <c r="F427" s="632"/>
      <c r="G427" s="632"/>
      <c r="H427" s="627"/>
      <c r="I427" s="584"/>
      <c r="J427" s="584"/>
      <c r="K427" s="633"/>
      <c r="L427" s="584"/>
      <c r="M427" s="584"/>
      <c r="N427" s="584"/>
      <c r="O427" s="631"/>
      <c r="P427" s="631"/>
      <c r="Q427" s="631"/>
      <c r="R427" s="631"/>
      <c r="S427" s="631"/>
      <c r="T427" s="631"/>
      <c r="U427" s="631"/>
      <c r="V427" s="631"/>
      <c r="W427" s="631"/>
      <c r="X427" s="631"/>
      <c r="Y427" s="631"/>
      <c r="Z427" s="631"/>
      <c r="AA427" s="631"/>
      <c r="AB427" s="631"/>
      <c r="AC427" s="631"/>
    </row>
    <row r="428">
      <c r="A428" s="651" t="s">
        <v>31962</v>
      </c>
      <c r="B428" s="629" t="s">
        <v>31963</v>
      </c>
      <c r="C428" s="629" t="s">
        <v>2947</v>
      </c>
      <c r="D428" s="629" t="s">
        <v>31964</v>
      </c>
      <c r="E428" s="632"/>
      <c r="F428" s="632"/>
      <c r="G428" s="632"/>
      <c r="H428" s="627"/>
      <c r="I428" s="584"/>
      <c r="J428" s="584"/>
      <c r="K428" s="633"/>
      <c r="L428" s="584"/>
      <c r="M428" s="584"/>
      <c r="N428" s="584"/>
      <c r="O428" s="631"/>
      <c r="P428" s="631"/>
      <c r="Q428" s="631"/>
      <c r="R428" s="631"/>
      <c r="S428" s="631"/>
      <c r="T428" s="631"/>
      <c r="U428" s="631"/>
      <c r="V428" s="631"/>
      <c r="W428" s="631"/>
      <c r="X428" s="631"/>
      <c r="Y428" s="631"/>
      <c r="Z428" s="631"/>
      <c r="AA428" s="631"/>
      <c r="AB428" s="631"/>
      <c r="AC428" s="631"/>
    </row>
    <row r="429">
      <c r="A429" s="573" t="s">
        <v>31959</v>
      </c>
      <c r="B429" s="625" t="s">
        <v>31965</v>
      </c>
      <c r="C429" s="625" t="s">
        <v>8570</v>
      </c>
      <c r="D429" s="625" t="s">
        <v>31966</v>
      </c>
      <c r="E429" s="635"/>
      <c r="F429" s="627"/>
      <c r="G429" s="627"/>
      <c r="H429" s="573"/>
      <c r="I429" s="584"/>
      <c r="J429" s="584"/>
      <c r="K429" s="633"/>
      <c r="L429" s="584"/>
      <c r="M429" s="584"/>
      <c r="N429" s="584"/>
      <c r="O429" s="631"/>
      <c r="P429" s="631"/>
      <c r="Q429" s="631"/>
      <c r="R429" s="631"/>
      <c r="S429" s="631"/>
      <c r="T429" s="631"/>
      <c r="U429" s="631"/>
      <c r="V429" s="631"/>
      <c r="W429" s="631"/>
      <c r="X429" s="631"/>
      <c r="Y429" s="631"/>
      <c r="Z429" s="631"/>
      <c r="AA429" s="631"/>
      <c r="AB429" s="631"/>
      <c r="AC429" s="631"/>
    </row>
    <row r="430">
      <c r="A430" s="573" t="s">
        <v>31967</v>
      </c>
      <c r="B430" s="625" t="s">
        <v>31968</v>
      </c>
      <c r="C430" s="625" t="s">
        <v>31150</v>
      </c>
      <c r="D430" s="625" t="s">
        <v>31969</v>
      </c>
      <c r="E430" s="625" t="s">
        <v>31970</v>
      </c>
      <c r="F430" s="627"/>
      <c r="G430" s="627"/>
      <c r="H430" s="573" t="s">
        <v>31971</v>
      </c>
      <c r="I430" s="584"/>
      <c r="J430" s="584"/>
      <c r="K430" s="633"/>
      <c r="L430" s="584"/>
      <c r="M430" s="584"/>
      <c r="N430" s="584"/>
      <c r="O430" s="631"/>
      <c r="P430" s="631"/>
      <c r="Q430" s="631"/>
      <c r="R430" s="631"/>
      <c r="S430" s="631"/>
      <c r="T430" s="631"/>
      <c r="U430" s="631"/>
      <c r="V430" s="631"/>
      <c r="W430" s="631"/>
      <c r="X430" s="631"/>
      <c r="Y430" s="631"/>
      <c r="Z430" s="631"/>
      <c r="AA430" s="631"/>
      <c r="AB430" s="631"/>
      <c r="AC430" s="631"/>
    </row>
    <row r="431">
      <c r="A431" s="178" t="s">
        <v>31972</v>
      </c>
      <c r="B431" s="625" t="s">
        <v>31968</v>
      </c>
      <c r="C431" s="629" t="s">
        <v>30965</v>
      </c>
      <c r="D431" s="629" t="s">
        <v>31973</v>
      </c>
      <c r="E431" s="629"/>
      <c r="F431" s="629"/>
      <c r="G431" s="632"/>
      <c r="H431" s="627"/>
      <c r="I431" s="584"/>
      <c r="J431" s="584"/>
      <c r="K431" s="633"/>
      <c r="L431" s="584"/>
      <c r="M431" s="584"/>
      <c r="N431" s="584"/>
      <c r="O431" s="631"/>
      <c r="P431" s="631"/>
      <c r="Q431" s="631"/>
      <c r="R431" s="631"/>
      <c r="S431" s="631"/>
      <c r="T431" s="631"/>
      <c r="U431" s="631"/>
      <c r="V431" s="631"/>
      <c r="W431" s="631"/>
      <c r="X431" s="631"/>
      <c r="Y431" s="631"/>
      <c r="Z431" s="631"/>
      <c r="AA431" s="631"/>
      <c r="AB431" s="631"/>
      <c r="AC431" s="631"/>
    </row>
    <row r="432">
      <c r="A432" s="178" t="s">
        <v>31974</v>
      </c>
      <c r="B432" s="629"/>
      <c r="C432" s="629" t="s">
        <v>31975</v>
      </c>
      <c r="D432" s="629"/>
      <c r="E432" s="629"/>
      <c r="F432" s="629"/>
      <c r="G432" s="632"/>
      <c r="H432" s="627"/>
      <c r="I432" s="584"/>
      <c r="J432" s="584"/>
      <c r="K432" s="633"/>
      <c r="L432" s="584"/>
      <c r="M432" s="584"/>
      <c r="N432" s="584"/>
      <c r="O432" s="631"/>
      <c r="P432" s="631"/>
      <c r="Q432" s="631"/>
      <c r="R432" s="631"/>
      <c r="S432" s="631"/>
      <c r="T432" s="631"/>
      <c r="U432" s="631"/>
      <c r="V432" s="631"/>
      <c r="W432" s="631"/>
      <c r="X432" s="631"/>
      <c r="Y432" s="631"/>
      <c r="Z432" s="631"/>
      <c r="AA432" s="631"/>
      <c r="AB432" s="631"/>
      <c r="AC432" s="631"/>
    </row>
    <row r="433">
      <c r="A433" s="178" t="s">
        <v>31976</v>
      </c>
      <c r="B433" s="629" t="s">
        <v>31134</v>
      </c>
      <c r="C433" s="629" t="s">
        <v>3980</v>
      </c>
      <c r="D433" s="629" t="s">
        <v>31977</v>
      </c>
      <c r="E433" s="629"/>
      <c r="F433" s="629"/>
      <c r="G433" s="632"/>
      <c r="H433" s="627"/>
      <c r="I433" s="584"/>
      <c r="J433" s="584"/>
      <c r="K433" s="633"/>
      <c r="L433" s="584"/>
      <c r="M433" s="584"/>
      <c r="N433" s="584"/>
      <c r="O433" s="631"/>
      <c r="P433" s="631"/>
      <c r="Q433" s="631"/>
      <c r="R433" s="631"/>
      <c r="S433" s="631"/>
      <c r="T433" s="631"/>
      <c r="U433" s="631"/>
      <c r="V433" s="631"/>
      <c r="W433" s="631"/>
      <c r="X433" s="631"/>
      <c r="Y433" s="631"/>
      <c r="Z433" s="631"/>
      <c r="AA433" s="631"/>
      <c r="AB433" s="631"/>
      <c r="AC433" s="631"/>
    </row>
    <row r="434">
      <c r="A434" s="178" t="s">
        <v>31978</v>
      </c>
      <c r="B434" s="629" t="s">
        <v>30975</v>
      </c>
      <c r="C434" s="629" t="s">
        <v>11569</v>
      </c>
      <c r="D434" s="629" t="s">
        <v>31034</v>
      </c>
      <c r="E434" s="629"/>
      <c r="F434" s="629"/>
      <c r="G434" s="632"/>
      <c r="H434" s="627"/>
      <c r="I434" s="584"/>
      <c r="J434" s="584"/>
      <c r="K434" s="633"/>
      <c r="L434" s="584"/>
      <c r="M434" s="584"/>
      <c r="N434" s="584"/>
      <c r="O434" s="631"/>
      <c r="P434" s="631"/>
      <c r="Q434" s="631"/>
      <c r="R434" s="631"/>
      <c r="S434" s="631"/>
      <c r="T434" s="631"/>
      <c r="U434" s="631"/>
      <c r="V434" s="631"/>
      <c r="W434" s="631"/>
      <c r="X434" s="631"/>
      <c r="Y434" s="631"/>
      <c r="Z434" s="631"/>
      <c r="AA434" s="631"/>
      <c r="AB434" s="631"/>
      <c r="AC434" s="631"/>
    </row>
    <row r="435">
      <c r="A435" s="178" t="s">
        <v>31979</v>
      </c>
      <c r="B435" s="629" t="s">
        <v>30975</v>
      </c>
      <c r="C435" s="629" t="s">
        <v>8342</v>
      </c>
      <c r="D435" s="629" t="s">
        <v>31034</v>
      </c>
      <c r="E435" s="629"/>
      <c r="F435" s="629" t="s">
        <v>0</v>
      </c>
      <c r="G435" s="632"/>
      <c r="H435" s="627"/>
      <c r="I435" s="584"/>
      <c r="J435" s="584"/>
      <c r="K435" s="633"/>
      <c r="L435" s="584"/>
      <c r="M435" s="584"/>
      <c r="N435" s="584"/>
      <c r="O435" s="631"/>
      <c r="P435" s="631"/>
      <c r="Q435" s="631"/>
      <c r="R435" s="631"/>
      <c r="S435" s="631"/>
      <c r="T435" s="631"/>
      <c r="U435" s="631"/>
      <c r="V435" s="631"/>
      <c r="W435" s="631"/>
      <c r="X435" s="631"/>
      <c r="Y435" s="631"/>
      <c r="Z435" s="631"/>
      <c r="AA435" s="631"/>
      <c r="AB435" s="631"/>
      <c r="AC435" s="631"/>
    </row>
    <row r="436" ht="51.75" customHeight="1">
      <c r="A436" s="425" t="s">
        <v>31980</v>
      </c>
      <c r="B436" s="625" t="s">
        <v>31981</v>
      </c>
      <c r="C436" s="625" t="s">
        <v>31982</v>
      </c>
      <c r="D436" s="625" t="s">
        <v>31983</v>
      </c>
      <c r="E436" s="625"/>
      <c r="F436" s="573" t="s">
        <v>0</v>
      </c>
      <c r="G436" s="573"/>
      <c r="H436" s="627"/>
      <c r="I436" s="587" t="s">
        <v>31984</v>
      </c>
      <c r="J436" s="587" t="s">
        <v>31985</v>
      </c>
      <c r="K436" s="587" t="s">
        <v>31986</v>
      </c>
      <c r="L436" s="587" t="s">
        <v>31987</v>
      </c>
      <c r="M436" s="584"/>
      <c r="N436" s="584"/>
      <c r="O436" s="631"/>
      <c r="P436" s="631"/>
      <c r="Q436" s="631"/>
      <c r="R436" s="631"/>
      <c r="S436" s="631"/>
      <c r="T436" s="631"/>
      <c r="U436" s="631"/>
      <c r="V436" s="631"/>
      <c r="W436" s="631"/>
      <c r="X436" s="631"/>
      <c r="Y436" s="631"/>
      <c r="Z436" s="631"/>
      <c r="AA436" s="631"/>
      <c r="AB436" s="631"/>
      <c r="AC436" s="631"/>
    </row>
    <row r="437">
      <c r="A437" s="425" t="s">
        <v>31988</v>
      </c>
      <c r="B437" s="625" t="s">
        <v>31981</v>
      </c>
      <c r="C437" s="625" t="s">
        <v>31989</v>
      </c>
      <c r="D437" s="625" t="s">
        <v>31990</v>
      </c>
      <c r="E437" s="625"/>
      <c r="F437" s="573"/>
      <c r="G437" s="573"/>
      <c r="H437" s="573"/>
      <c r="I437" s="587"/>
      <c r="J437" s="587"/>
      <c r="K437" s="633"/>
      <c r="L437" s="584"/>
      <c r="M437" s="584"/>
      <c r="N437" s="584"/>
      <c r="O437" s="631"/>
      <c r="P437" s="631"/>
      <c r="Q437" s="631"/>
      <c r="R437" s="631"/>
      <c r="S437" s="631"/>
      <c r="T437" s="631"/>
      <c r="U437" s="631"/>
      <c r="V437" s="631"/>
      <c r="W437" s="631"/>
      <c r="X437" s="631"/>
      <c r="Y437" s="631"/>
      <c r="Z437" s="631"/>
      <c r="AA437" s="631"/>
      <c r="AB437" s="631"/>
      <c r="AC437" s="631"/>
    </row>
    <row r="438">
      <c r="A438" s="573" t="s">
        <v>31991</v>
      </c>
      <c r="B438" s="625"/>
      <c r="C438" s="625" t="s">
        <v>8804</v>
      </c>
      <c r="D438" s="625" t="s">
        <v>264</v>
      </c>
      <c r="E438" s="625"/>
      <c r="F438" s="573"/>
      <c r="G438" s="573"/>
      <c r="H438" s="573" t="s">
        <v>31992</v>
      </c>
      <c r="I438" s="587"/>
      <c r="J438" s="587"/>
      <c r="K438" s="633"/>
      <c r="L438" s="584"/>
      <c r="M438" s="584"/>
      <c r="N438" s="584"/>
      <c r="O438" s="631"/>
      <c r="P438" s="631"/>
      <c r="Q438" s="631"/>
      <c r="R438" s="631"/>
      <c r="S438" s="631"/>
      <c r="T438" s="631"/>
      <c r="U438" s="631"/>
      <c r="V438" s="631"/>
      <c r="W438" s="631"/>
      <c r="X438" s="631"/>
      <c r="Y438" s="631"/>
      <c r="Z438" s="631"/>
      <c r="AA438" s="631"/>
      <c r="AB438" s="631"/>
      <c r="AC438" s="631"/>
    </row>
    <row r="439">
      <c r="A439" s="573" t="s">
        <v>31993</v>
      </c>
      <c r="B439" s="625"/>
      <c r="C439" s="625" t="s">
        <v>31289</v>
      </c>
      <c r="D439" s="625" t="s">
        <v>7845</v>
      </c>
      <c r="E439" s="625"/>
      <c r="F439" s="573"/>
      <c r="G439" s="573"/>
      <c r="H439" s="627"/>
      <c r="I439" s="584"/>
      <c r="J439" s="584"/>
      <c r="K439" s="633"/>
      <c r="L439" s="584"/>
      <c r="M439" s="584"/>
      <c r="N439" s="584"/>
      <c r="O439" s="631"/>
      <c r="P439" s="631"/>
      <c r="Q439" s="631"/>
      <c r="R439" s="631"/>
      <c r="S439" s="631"/>
      <c r="T439" s="631"/>
      <c r="U439" s="631"/>
      <c r="V439" s="631"/>
      <c r="W439" s="631"/>
      <c r="X439" s="631"/>
      <c r="Y439" s="631"/>
      <c r="Z439" s="631"/>
      <c r="AA439" s="631"/>
      <c r="AB439" s="631"/>
      <c r="AC439" s="631"/>
    </row>
    <row r="440">
      <c r="A440" s="573" t="s">
        <v>31994</v>
      </c>
      <c r="B440" s="625" t="s">
        <v>31995</v>
      </c>
      <c r="C440" s="625" t="s">
        <v>31403</v>
      </c>
      <c r="D440" s="625" t="s">
        <v>31711</v>
      </c>
      <c r="E440" s="625"/>
      <c r="F440" s="573"/>
      <c r="G440" s="573"/>
      <c r="H440" s="627"/>
      <c r="I440" s="584"/>
      <c r="J440" s="584"/>
      <c r="K440" s="633"/>
      <c r="L440" s="584"/>
      <c r="M440" s="584"/>
      <c r="N440" s="584"/>
      <c r="O440" s="631"/>
      <c r="P440" s="631"/>
      <c r="Q440" s="631"/>
      <c r="R440" s="631"/>
      <c r="S440" s="631"/>
      <c r="T440" s="631"/>
      <c r="U440" s="631"/>
      <c r="V440" s="631"/>
      <c r="W440" s="631"/>
      <c r="X440" s="631"/>
      <c r="Y440" s="631"/>
      <c r="Z440" s="631"/>
      <c r="AA440" s="631"/>
      <c r="AB440" s="631"/>
      <c r="AC440" s="631"/>
    </row>
    <row r="441">
      <c r="A441" s="573" t="s">
        <v>31996</v>
      </c>
      <c r="B441" s="625" t="s">
        <v>31997</v>
      </c>
      <c r="C441" s="625" t="s">
        <v>31998</v>
      </c>
      <c r="D441" s="625" t="s">
        <v>31999</v>
      </c>
      <c r="E441" s="625"/>
      <c r="F441" s="573"/>
      <c r="G441" s="573"/>
      <c r="H441" s="627"/>
      <c r="I441" s="584"/>
      <c r="J441" s="584"/>
      <c r="K441" s="633"/>
      <c r="L441" s="584"/>
      <c r="M441" s="584"/>
      <c r="N441" s="584"/>
      <c r="O441" s="631"/>
      <c r="P441" s="631"/>
      <c r="Q441" s="631"/>
      <c r="R441" s="631"/>
      <c r="S441" s="631"/>
      <c r="T441" s="631"/>
      <c r="U441" s="631"/>
      <c r="V441" s="631"/>
      <c r="W441" s="631"/>
      <c r="X441" s="631"/>
      <c r="Y441" s="631"/>
      <c r="Z441" s="631"/>
      <c r="AA441" s="631"/>
      <c r="AB441" s="631"/>
      <c r="AC441" s="631"/>
    </row>
    <row r="442">
      <c r="A442" s="573" t="s">
        <v>32000</v>
      </c>
      <c r="B442" s="625" t="s">
        <v>31997</v>
      </c>
      <c r="C442" s="625" t="s">
        <v>30969</v>
      </c>
      <c r="D442" s="625" t="s">
        <v>31999</v>
      </c>
      <c r="E442" s="625"/>
      <c r="F442" s="573"/>
      <c r="G442" s="573"/>
      <c r="H442" s="627"/>
      <c r="I442" s="584"/>
      <c r="J442" s="584"/>
      <c r="K442" s="633"/>
      <c r="L442" s="584"/>
      <c r="M442" s="584"/>
      <c r="N442" s="584"/>
      <c r="O442" s="631"/>
      <c r="P442" s="631"/>
      <c r="Q442" s="631"/>
      <c r="R442" s="631"/>
      <c r="S442" s="631"/>
      <c r="T442" s="631"/>
      <c r="U442" s="631"/>
      <c r="V442" s="631"/>
      <c r="W442" s="631"/>
      <c r="X442" s="631"/>
      <c r="Y442" s="631"/>
      <c r="Z442" s="631"/>
      <c r="AA442" s="631"/>
      <c r="AB442" s="631"/>
      <c r="AC442" s="631"/>
    </row>
    <row r="443">
      <c r="A443" s="573" t="s">
        <v>32001</v>
      </c>
      <c r="B443" s="625" t="s">
        <v>31997</v>
      </c>
      <c r="C443" s="625" t="s">
        <v>13373</v>
      </c>
      <c r="D443" s="625" t="s">
        <v>32002</v>
      </c>
      <c r="E443" s="625"/>
      <c r="F443" s="573"/>
      <c r="G443" s="573"/>
      <c r="H443" s="627"/>
      <c r="I443" s="584"/>
      <c r="J443" s="584"/>
      <c r="K443" s="633"/>
      <c r="L443" s="584"/>
      <c r="M443" s="584"/>
      <c r="N443" s="584"/>
      <c r="O443" s="631"/>
      <c r="P443" s="631"/>
      <c r="Q443" s="631"/>
      <c r="R443" s="631"/>
      <c r="S443" s="631"/>
      <c r="T443" s="631"/>
      <c r="U443" s="631"/>
      <c r="V443" s="631"/>
      <c r="W443" s="631"/>
      <c r="X443" s="631"/>
      <c r="Y443" s="631"/>
      <c r="Z443" s="631"/>
      <c r="AA443" s="631"/>
      <c r="AB443" s="631"/>
      <c r="AC443" s="631"/>
    </row>
    <row r="444">
      <c r="A444" s="573" t="s">
        <v>32001</v>
      </c>
      <c r="B444" s="625" t="s">
        <v>31492</v>
      </c>
      <c r="C444" s="625" t="s">
        <v>31389</v>
      </c>
      <c r="D444" s="625" t="s">
        <v>32003</v>
      </c>
      <c r="E444" s="625"/>
      <c r="F444" s="573"/>
      <c r="G444" s="573"/>
      <c r="H444" s="627"/>
      <c r="I444" s="584"/>
      <c r="J444" s="584"/>
      <c r="K444" s="633"/>
      <c r="L444" s="584"/>
      <c r="M444" s="584"/>
      <c r="N444" s="584"/>
      <c r="O444" s="631"/>
      <c r="P444" s="631"/>
      <c r="Q444" s="631"/>
      <c r="R444" s="631"/>
      <c r="S444" s="631"/>
      <c r="T444" s="631"/>
      <c r="U444" s="631"/>
      <c r="V444" s="631"/>
      <c r="W444" s="631"/>
      <c r="X444" s="631"/>
      <c r="Y444" s="631"/>
      <c r="Z444" s="631"/>
      <c r="AA444" s="631"/>
      <c r="AB444" s="631"/>
      <c r="AC444" s="631"/>
    </row>
    <row r="445">
      <c r="A445" s="573" t="s">
        <v>32004</v>
      </c>
      <c r="B445" s="625" t="s">
        <v>31492</v>
      </c>
      <c r="C445" s="625" t="s">
        <v>32005</v>
      </c>
      <c r="D445" s="625" t="s">
        <v>31711</v>
      </c>
      <c r="E445" s="625"/>
      <c r="F445" s="573"/>
      <c r="G445" s="573"/>
      <c r="H445" s="627"/>
      <c r="I445" s="584"/>
      <c r="J445" s="584"/>
      <c r="K445" s="633"/>
      <c r="L445" s="584"/>
      <c r="M445" s="584"/>
      <c r="N445" s="584"/>
      <c r="O445" s="631"/>
      <c r="P445" s="631"/>
      <c r="Q445" s="631"/>
      <c r="R445" s="631"/>
      <c r="S445" s="631"/>
      <c r="T445" s="631"/>
      <c r="U445" s="631"/>
      <c r="V445" s="631"/>
      <c r="W445" s="631"/>
      <c r="X445" s="631"/>
      <c r="Y445" s="631"/>
      <c r="Z445" s="631"/>
      <c r="AA445" s="631"/>
      <c r="AB445" s="631"/>
      <c r="AC445" s="631"/>
    </row>
    <row r="446">
      <c r="A446" s="573" t="s">
        <v>9611</v>
      </c>
      <c r="B446" s="625"/>
      <c r="C446" s="625"/>
      <c r="D446" s="625" t="s">
        <v>5841</v>
      </c>
      <c r="E446" s="625"/>
      <c r="F446" s="573" t="s">
        <v>32006</v>
      </c>
      <c r="G446" s="573"/>
      <c r="H446" s="627"/>
      <c r="I446" s="584"/>
      <c r="J446" s="584"/>
      <c r="K446" s="633"/>
      <c r="L446" s="584"/>
      <c r="M446" s="584"/>
      <c r="N446" s="584"/>
      <c r="O446" s="631"/>
      <c r="P446" s="631"/>
      <c r="Q446" s="631"/>
      <c r="R446" s="631"/>
      <c r="S446" s="631"/>
      <c r="T446" s="631"/>
      <c r="U446" s="631"/>
      <c r="V446" s="631"/>
      <c r="W446" s="631"/>
      <c r="X446" s="631"/>
      <c r="Y446" s="631"/>
      <c r="Z446" s="631"/>
      <c r="AA446" s="631"/>
      <c r="AB446" s="631"/>
      <c r="AC446" s="631"/>
    </row>
    <row r="447">
      <c r="A447" s="573" t="s">
        <v>11808</v>
      </c>
      <c r="B447" s="625"/>
      <c r="C447" s="625">
        <v>4.1</v>
      </c>
      <c r="D447" s="625" t="s">
        <v>9787</v>
      </c>
      <c r="E447" s="625"/>
      <c r="F447" s="573"/>
      <c r="G447" s="573"/>
      <c r="H447" s="627"/>
      <c r="I447" s="584"/>
      <c r="J447" s="584"/>
      <c r="K447" s="633"/>
      <c r="L447" s="584"/>
      <c r="M447" s="584"/>
      <c r="N447" s="584"/>
      <c r="O447" s="631"/>
      <c r="P447" s="631"/>
      <c r="Q447" s="631"/>
      <c r="R447" s="631"/>
      <c r="S447" s="631"/>
      <c r="T447" s="631"/>
      <c r="U447" s="631"/>
      <c r="V447" s="631"/>
      <c r="W447" s="631"/>
      <c r="X447" s="631"/>
      <c r="Y447" s="631"/>
      <c r="Z447" s="631"/>
      <c r="AA447" s="631"/>
      <c r="AB447" s="631"/>
      <c r="AC447" s="631"/>
    </row>
    <row r="448">
      <c r="A448" s="573" t="s">
        <v>32007</v>
      </c>
      <c r="B448" s="625" t="s">
        <v>32008</v>
      </c>
      <c r="C448" s="625" t="s">
        <v>32009</v>
      </c>
      <c r="D448" s="625" t="s">
        <v>32010</v>
      </c>
      <c r="E448" s="635"/>
      <c r="F448" s="627"/>
      <c r="G448" s="573"/>
      <c r="H448" s="627"/>
      <c r="I448" s="584"/>
      <c r="J448" s="584"/>
      <c r="K448" s="633"/>
      <c r="L448" s="584"/>
      <c r="M448" s="584"/>
      <c r="N448" s="584"/>
      <c r="O448" s="631"/>
      <c r="P448" s="631"/>
      <c r="Q448" s="631"/>
      <c r="R448" s="631"/>
      <c r="S448" s="631"/>
      <c r="T448" s="631"/>
      <c r="U448" s="631"/>
      <c r="V448" s="631"/>
      <c r="W448" s="631"/>
      <c r="X448" s="631"/>
      <c r="Y448" s="631"/>
      <c r="Z448" s="631"/>
      <c r="AA448" s="631"/>
      <c r="AB448" s="631"/>
      <c r="AC448" s="631"/>
    </row>
    <row r="449">
      <c r="A449" s="573" t="s">
        <v>32011</v>
      </c>
      <c r="B449" s="625" t="s">
        <v>31394</v>
      </c>
      <c r="C449" s="625" t="s">
        <v>32012</v>
      </c>
      <c r="D449" s="625" t="s">
        <v>578</v>
      </c>
      <c r="E449" s="635"/>
      <c r="F449" s="627"/>
      <c r="G449" s="573" t="s">
        <v>8754</v>
      </c>
      <c r="H449" s="627"/>
      <c r="I449" s="584"/>
      <c r="J449" s="584"/>
      <c r="K449" s="633"/>
      <c r="L449" s="584"/>
      <c r="M449" s="584"/>
      <c r="N449" s="584"/>
      <c r="O449" s="631"/>
      <c r="P449" s="631"/>
      <c r="Q449" s="631"/>
      <c r="R449" s="631"/>
      <c r="S449" s="631"/>
      <c r="T449" s="631"/>
      <c r="U449" s="631"/>
      <c r="V449" s="631"/>
      <c r="W449" s="631"/>
      <c r="X449" s="631"/>
      <c r="Y449" s="631"/>
      <c r="Z449" s="631"/>
      <c r="AA449" s="631"/>
      <c r="AB449" s="631"/>
      <c r="AC449" s="631"/>
    </row>
    <row r="450">
      <c r="A450" s="573" t="s">
        <v>32013</v>
      </c>
      <c r="B450" s="625" t="s">
        <v>30927</v>
      </c>
      <c r="C450" s="625" t="s">
        <v>32014</v>
      </c>
      <c r="D450" s="625" t="s">
        <v>31589</v>
      </c>
      <c r="E450" s="635"/>
      <c r="F450" s="627"/>
      <c r="G450" s="627"/>
      <c r="H450" s="627"/>
      <c r="I450" s="584"/>
      <c r="J450" s="584"/>
      <c r="K450" s="633"/>
      <c r="L450" s="584"/>
      <c r="M450" s="584"/>
      <c r="N450" s="584"/>
      <c r="O450" s="631"/>
      <c r="P450" s="631"/>
      <c r="Q450" s="631"/>
      <c r="R450" s="631"/>
      <c r="S450" s="631"/>
      <c r="T450" s="631"/>
      <c r="U450" s="631"/>
      <c r="V450" s="631"/>
      <c r="W450" s="631"/>
      <c r="X450" s="631"/>
      <c r="Y450" s="631"/>
      <c r="Z450" s="631"/>
      <c r="AA450" s="631"/>
      <c r="AB450" s="631"/>
      <c r="AC450" s="631"/>
    </row>
    <row r="451">
      <c r="A451" s="573" t="s">
        <v>32015</v>
      </c>
      <c r="B451" s="625" t="s">
        <v>32016</v>
      </c>
      <c r="C451" s="625" t="s">
        <v>32017</v>
      </c>
      <c r="D451" s="625" t="s">
        <v>31367</v>
      </c>
      <c r="E451" s="519" t="s">
        <v>19136</v>
      </c>
      <c r="F451" s="519"/>
      <c r="G451" s="573"/>
      <c r="H451" s="627"/>
      <c r="I451" s="584"/>
      <c r="J451" s="584"/>
      <c r="K451" s="633"/>
      <c r="L451" s="584"/>
      <c r="M451" s="584"/>
      <c r="N451" s="584"/>
      <c r="O451" s="631"/>
      <c r="P451" s="631"/>
      <c r="Q451" s="631"/>
      <c r="R451" s="631"/>
      <c r="S451" s="631"/>
      <c r="T451" s="631"/>
      <c r="U451" s="631"/>
      <c r="V451" s="631"/>
      <c r="W451" s="631"/>
      <c r="X451" s="631"/>
      <c r="Y451" s="631"/>
      <c r="Z451" s="631"/>
      <c r="AA451" s="631"/>
      <c r="AB451" s="631"/>
      <c r="AC451" s="631"/>
    </row>
    <row r="452">
      <c r="A452" s="573" t="s">
        <v>32018</v>
      </c>
      <c r="B452" s="625" t="s">
        <v>32016</v>
      </c>
      <c r="C452" s="625" t="s">
        <v>32019</v>
      </c>
      <c r="D452" s="625" t="s">
        <v>31762</v>
      </c>
      <c r="E452" s="519"/>
      <c r="F452" s="519"/>
      <c r="G452" s="573"/>
      <c r="H452" s="627"/>
      <c r="I452" s="584"/>
      <c r="J452" s="584"/>
      <c r="K452" s="633"/>
      <c r="L452" s="584"/>
      <c r="M452" s="584"/>
      <c r="N452" s="584"/>
      <c r="O452" s="631"/>
      <c r="P452" s="631"/>
      <c r="Q452" s="631"/>
      <c r="R452" s="631"/>
      <c r="S452" s="631"/>
      <c r="T452" s="631"/>
      <c r="U452" s="631"/>
      <c r="V452" s="631"/>
      <c r="W452" s="631"/>
      <c r="X452" s="631"/>
      <c r="Y452" s="631"/>
      <c r="Z452" s="631"/>
      <c r="AA452" s="631"/>
      <c r="AB452" s="631"/>
      <c r="AC452" s="631"/>
    </row>
    <row r="453">
      <c r="A453" s="573" t="s">
        <v>32018</v>
      </c>
      <c r="B453" s="625" t="s">
        <v>32008</v>
      </c>
      <c r="C453" s="625" t="s">
        <v>32020</v>
      </c>
      <c r="D453" s="625" t="s">
        <v>31543</v>
      </c>
      <c r="E453" s="519"/>
      <c r="F453" s="519"/>
      <c r="G453" s="573"/>
      <c r="H453" s="627"/>
      <c r="I453" s="584"/>
      <c r="J453" s="584"/>
      <c r="K453" s="633"/>
      <c r="L453" s="584"/>
      <c r="M453" s="584"/>
      <c r="N453" s="584"/>
      <c r="O453" s="631"/>
      <c r="P453" s="631"/>
      <c r="Q453" s="631"/>
      <c r="R453" s="631"/>
      <c r="S453" s="631"/>
      <c r="T453" s="631"/>
      <c r="U453" s="631"/>
      <c r="V453" s="631"/>
      <c r="W453" s="631"/>
      <c r="X453" s="631"/>
      <c r="Y453" s="631"/>
      <c r="Z453" s="631"/>
      <c r="AA453" s="631"/>
      <c r="AB453" s="631"/>
      <c r="AC453" s="631"/>
    </row>
    <row r="454">
      <c r="A454" s="573" t="s">
        <v>32021</v>
      </c>
      <c r="B454" s="625" t="s">
        <v>32022</v>
      </c>
      <c r="C454" s="625" t="s">
        <v>32023</v>
      </c>
      <c r="D454" s="625" t="s">
        <v>1742</v>
      </c>
      <c r="E454" s="519"/>
      <c r="F454" s="519" t="s">
        <v>32024</v>
      </c>
      <c r="G454" s="573" t="s">
        <v>4053</v>
      </c>
      <c r="H454" s="627"/>
      <c r="I454" s="584"/>
      <c r="J454" s="584"/>
      <c r="K454" s="633"/>
      <c r="L454" s="584"/>
      <c r="M454" s="584"/>
      <c r="N454" s="584"/>
      <c r="O454" s="631"/>
      <c r="P454" s="631"/>
      <c r="Q454" s="631"/>
      <c r="R454" s="631"/>
      <c r="S454" s="631"/>
      <c r="T454" s="631"/>
      <c r="U454" s="631"/>
      <c r="V454" s="631"/>
      <c r="W454" s="631"/>
      <c r="X454" s="631"/>
      <c r="Y454" s="631"/>
      <c r="Z454" s="631"/>
      <c r="AA454" s="631"/>
      <c r="AB454" s="631"/>
      <c r="AC454" s="631"/>
    </row>
    <row r="455">
      <c r="A455" s="573" t="s">
        <v>32018</v>
      </c>
      <c r="B455" s="625" t="s">
        <v>30927</v>
      </c>
      <c r="C455" s="625" t="s">
        <v>32025</v>
      </c>
      <c r="D455" s="625" t="s">
        <v>503</v>
      </c>
      <c r="E455" s="625"/>
      <c r="F455" s="573"/>
      <c r="G455" s="573"/>
      <c r="H455" s="627"/>
      <c r="I455" s="584"/>
      <c r="J455" s="584"/>
      <c r="K455" s="633"/>
      <c r="L455" s="584"/>
      <c r="M455" s="584"/>
      <c r="N455" s="584"/>
      <c r="O455" s="631"/>
      <c r="P455" s="631"/>
      <c r="Q455" s="631"/>
      <c r="R455" s="631"/>
      <c r="S455" s="631"/>
      <c r="T455" s="631"/>
      <c r="U455" s="631"/>
      <c r="V455" s="631"/>
      <c r="W455" s="631"/>
      <c r="X455" s="631"/>
      <c r="Y455" s="631"/>
      <c r="Z455" s="631"/>
      <c r="AA455" s="631"/>
      <c r="AB455" s="631"/>
      <c r="AC455" s="631"/>
    </row>
    <row r="456">
      <c r="A456" s="573" t="s">
        <v>32026</v>
      </c>
      <c r="B456" s="625" t="s">
        <v>32027</v>
      </c>
      <c r="C456" s="625"/>
      <c r="D456" s="625"/>
      <c r="E456" s="625"/>
      <c r="F456" s="573" t="s">
        <v>32028</v>
      </c>
      <c r="G456" s="573" t="s">
        <v>658</v>
      </c>
      <c r="H456" s="627"/>
      <c r="I456" s="584"/>
      <c r="J456" s="584"/>
      <c r="K456" s="633"/>
      <c r="L456" s="584"/>
      <c r="M456" s="584"/>
      <c r="N456" s="584"/>
      <c r="O456" s="631"/>
      <c r="P456" s="631"/>
      <c r="Q456" s="631"/>
      <c r="R456" s="631"/>
      <c r="S456" s="631"/>
      <c r="T456" s="631"/>
      <c r="U456" s="631"/>
      <c r="V456" s="631"/>
      <c r="W456" s="631"/>
      <c r="X456" s="631"/>
      <c r="Y456" s="631"/>
      <c r="Z456" s="631"/>
      <c r="AA456" s="631"/>
      <c r="AB456" s="631"/>
      <c r="AC456" s="631"/>
    </row>
    <row r="457">
      <c r="A457" s="573" t="s">
        <v>2576</v>
      </c>
      <c r="B457" s="625" t="s">
        <v>30998</v>
      </c>
      <c r="C457" s="625" t="s">
        <v>12969</v>
      </c>
      <c r="D457" s="625" t="s">
        <v>32029</v>
      </c>
      <c r="E457" s="635"/>
      <c r="F457" s="627"/>
      <c r="G457" s="627"/>
      <c r="H457" s="627"/>
      <c r="I457" s="584"/>
      <c r="J457" s="584"/>
      <c r="K457" s="633"/>
      <c r="L457" s="584"/>
      <c r="M457" s="584"/>
      <c r="N457" s="584"/>
      <c r="O457" s="631"/>
      <c r="P457" s="631"/>
      <c r="Q457" s="631"/>
      <c r="R457" s="631"/>
      <c r="S457" s="631"/>
      <c r="T457" s="631"/>
      <c r="U457" s="631"/>
      <c r="V457" s="631"/>
      <c r="W457" s="631"/>
      <c r="X457" s="631"/>
      <c r="Y457" s="631"/>
      <c r="Z457" s="631"/>
      <c r="AA457" s="631"/>
      <c r="AB457" s="631"/>
      <c r="AC457" s="631"/>
    </row>
    <row r="458">
      <c r="A458" s="573" t="s">
        <v>32030</v>
      </c>
      <c r="B458" s="625" t="s">
        <v>32031</v>
      </c>
      <c r="C458" s="625" t="s">
        <v>32032</v>
      </c>
      <c r="D458" s="625" t="s">
        <v>32033</v>
      </c>
      <c r="E458" s="625" t="s">
        <v>32034</v>
      </c>
      <c r="F458" s="627"/>
      <c r="G458" s="627"/>
      <c r="H458" s="627"/>
      <c r="I458" s="584"/>
      <c r="J458" s="584"/>
      <c r="K458" s="633"/>
      <c r="L458" s="584"/>
      <c r="M458" s="584"/>
      <c r="N458" s="584"/>
      <c r="O458" s="631"/>
      <c r="P458" s="631"/>
      <c r="Q458" s="631"/>
      <c r="R458" s="631"/>
      <c r="S458" s="631"/>
      <c r="T458" s="631"/>
      <c r="U458" s="631"/>
      <c r="V458" s="631"/>
      <c r="W458" s="631"/>
      <c r="X458" s="631"/>
      <c r="Y458" s="631"/>
      <c r="Z458" s="631"/>
      <c r="AA458" s="631"/>
      <c r="AB458" s="631"/>
      <c r="AC458" s="631"/>
    </row>
    <row r="459">
      <c r="A459" s="573" t="s">
        <v>32035</v>
      </c>
      <c r="B459" s="625" t="s">
        <v>32031</v>
      </c>
      <c r="C459" s="625" t="s">
        <v>31588</v>
      </c>
      <c r="D459" s="625" t="s">
        <v>32036</v>
      </c>
      <c r="E459" s="635"/>
      <c r="F459" s="627"/>
      <c r="G459" s="627"/>
      <c r="H459" s="627"/>
      <c r="I459" s="584"/>
      <c r="J459" s="584"/>
      <c r="K459" s="633"/>
      <c r="L459" s="584"/>
      <c r="M459" s="584"/>
      <c r="N459" s="584"/>
      <c r="O459" s="631"/>
      <c r="P459" s="631"/>
      <c r="Q459" s="631"/>
      <c r="R459" s="631"/>
      <c r="S459" s="631"/>
      <c r="T459" s="631"/>
      <c r="U459" s="631"/>
      <c r="V459" s="631"/>
      <c r="W459" s="631"/>
      <c r="X459" s="631"/>
      <c r="Y459" s="631"/>
      <c r="Z459" s="631"/>
      <c r="AA459" s="631"/>
      <c r="AB459" s="631"/>
      <c r="AC459" s="631"/>
    </row>
    <row r="460">
      <c r="A460" s="573" t="s">
        <v>32037</v>
      </c>
      <c r="B460" s="625" t="s">
        <v>32038</v>
      </c>
      <c r="C460" s="625" t="s">
        <v>32039</v>
      </c>
      <c r="D460" s="625" t="s">
        <v>32040</v>
      </c>
      <c r="E460" s="635"/>
      <c r="F460" s="627"/>
      <c r="G460" s="627"/>
      <c r="H460" s="627"/>
      <c r="I460" s="584"/>
      <c r="J460" s="584"/>
      <c r="K460" s="633"/>
      <c r="L460" s="584"/>
      <c r="M460" s="584"/>
      <c r="N460" s="584"/>
      <c r="O460" s="631"/>
      <c r="P460" s="631"/>
      <c r="Q460" s="631"/>
      <c r="R460" s="631"/>
      <c r="S460" s="631"/>
      <c r="T460" s="631"/>
      <c r="U460" s="631"/>
      <c r="V460" s="631"/>
      <c r="W460" s="631"/>
      <c r="X460" s="631"/>
      <c r="Y460" s="631"/>
      <c r="Z460" s="631"/>
      <c r="AA460" s="631"/>
      <c r="AB460" s="631"/>
      <c r="AC460" s="631"/>
    </row>
    <row r="461">
      <c r="A461" s="573" t="s">
        <v>32041</v>
      </c>
      <c r="B461" s="625" t="s">
        <v>32042</v>
      </c>
      <c r="C461" s="625" t="s">
        <v>8570</v>
      </c>
      <c r="D461" s="625" t="s">
        <v>1527</v>
      </c>
      <c r="E461" s="635"/>
      <c r="F461" s="627"/>
      <c r="G461" s="627"/>
      <c r="H461" s="627"/>
      <c r="I461" s="584"/>
      <c r="J461" s="584"/>
      <c r="K461" s="633"/>
      <c r="L461" s="584"/>
      <c r="M461" s="584"/>
      <c r="N461" s="584"/>
      <c r="O461" s="631"/>
      <c r="P461" s="631"/>
      <c r="Q461" s="631"/>
      <c r="R461" s="631"/>
      <c r="S461" s="631"/>
      <c r="T461" s="631"/>
      <c r="U461" s="631"/>
      <c r="V461" s="631"/>
      <c r="W461" s="631"/>
      <c r="X461" s="631"/>
      <c r="Y461" s="631"/>
      <c r="Z461" s="631"/>
      <c r="AA461" s="631"/>
      <c r="AB461" s="631"/>
      <c r="AC461" s="631"/>
    </row>
    <row r="462">
      <c r="A462" s="573" t="s">
        <v>32043</v>
      </c>
      <c r="B462" s="625" t="s">
        <v>32031</v>
      </c>
      <c r="C462" s="519" t="s">
        <v>32044</v>
      </c>
      <c r="D462" s="519" t="s">
        <v>815</v>
      </c>
      <c r="E462" s="583"/>
      <c r="F462" s="598"/>
      <c r="G462" s="598"/>
      <c r="H462" s="598"/>
      <c r="I462" s="584"/>
      <c r="J462" s="584"/>
      <c r="K462" s="584"/>
      <c r="L462" s="584"/>
      <c r="M462" s="584"/>
      <c r="N462" s="584"/>
      <c r="O462" s="585"/>
      <c r="P462" s="585"/>
      <c r="Q462" s="585"/>
      <c r="R462" s="585"/>
      <c r="S462" s="585"/>
      <c r="T462" s="585"/>
      <c r="U462" s="585"/>
      <c r="V462" s="585"/>
      <c r="W462" s="585"/>
      <c r="X462" s="585"/>
      <c r="Y462" s="585"/>
      <c r="Z462" s="585"/>
      <c r="AA462" s="585"/>
      <c r="AB462" s="585"/>
      <c r="AC462" s="585"/>
    </row>
    <row r="463">
      <c r="A463" s="425" t="s">
        <v>32045</v>
      </c>
      <c r="B463" s="519"/>
      <c r="C463" s="519"/>
      <c r="D463" s="519"/>
      <c r="E463" s="583"/>
      <c r="F463" s="598"/>
      <c r="G463" s="598"/>
      <c r="H463" s="598"/>
      <c r="I463" s="584"/>
      <c r="J463" s="584"/>
      <c r="K463" s="584"/>
      <c r="L463" s="584"/>
      <c r="M463" s="584"/>
      <c r="N463" s="584"/>
      <c r="O463" s="585"/>
      <c r="P463" s="585"/>
      <c r="Q463" s="585"/>
      <c r="R463" s="585"/>
      <c r="S463" s="585"/>
      <c r="T463" s="585"/>
      <c r="U463" s="585"/>
      <c r="V463" s="585"/>
      <c r="W463" s="585"/>
      <c r="X463" s="585"/>
      <c r="Y463" s="585"/>
      <c r="Z463" s="585"/>
      <c r="AA463" s="585"/>
      <c r="AB463" s="585"/>
      <c r="AC463" s="585"/>
    </row>
    <row r="464">
      <c r="A464" s="425" t="s">
        <v>32046</v>
      </c>
      <c r="B464" s="519"/>
      <c r="C464" s="519"/>
      <c r="D464" s="519" t="s">
        <v>4351</v>
      </c>
      <c r="E464" s="519"/>
      <c r="F464" s="425" t="s">
        <v>32047</v>
      </c>
      <c r="G464" s="598"/>
      <c r="H464" s="598"/>
      <c r="I464" s="584"/>
      <c r="J464" s="584"/>
      <c r="K464" s="584"/>
      <c r="L464" s="584"/>
      <c r="M464" s="584"/>
      <c r="N464" s="584"/>
      <c r="O464" s="585"/>
      <c r="P464" s="585"/>
      <c r="Q464" s="585"/>
      <c r="R464" s="585"/>
      <c r="S464" s="585"/>
      <c r="T464" s="585"/>
      <c r="U464" s="585"/>
      <c r="V464" s="585"/>
      <c r="W464" s="585"/>
      <c r="X464" s="585"/>
      <c r="Y464" s="585"/>
      <c r="Z464" s="585"/>
      <c r="AA464" s="585"/>
      <c r="AB464" s="585"/>
      <c r="AC464" s="585"/>
    </row>
    <row r="465">
      <c r="A465" s="663" t="s">
        <v>32048</v>
      </c>
      <c r="B465" s="519"/>
      <c r="C465" s="519" t="s">
        <v>32049</v>
      </c>
      <c r="D465" s="519" t="s">
        <v>4929</v>
      </c>
      <c r="E465" s="583"/>
      <c r="F465" s="598"/>
      <c r="G465" s="598"/>
      <c r="H465" s="598"/>
      <c r="I465" s="584"/>
      <c r="J465" s="584"/>
      <c r="K465" s="587"/>
      <c r="L465" s="587"/>
      <c r="M465" s="587"/>
      <c r="N465" s="587"/>
      <c r="O465" s="585"/>
      <c r="P465" s="585"/>
      <c r="Q465" s="585"/>
      <c r="R465" s="585"/>
      <c r="S465" s="585"/>
      <c r="T465" s="585"/>
      <c r="U465" s="585"/>
      <c r="V465" s="585"/>
      <c r="W465" s="585"/>
      <c r="X465" s="585"/>
      <c r="Y465" s="585"/>
      <c r="Z465" s="585"/>
      <c r="AA465" s="585"/>
      <c r="AB465" s="585"/>
      <c r="AC465" s="585"/>
    </row>
    <row r="466">
      <c r="A466" s="663" t="s">
        <v>32050</v>
      </c>
      <c r="B466" s="519" t="s">
        <v>30975</v>
      </c>
      <c r="C466" s="519" t="s">
        <v>10496</v>
      </c>
      <c r="D466" s="519" t="s">
        <v>32051</v>
      </c>
      <c r="E466" s="583"/>
      <c r="F466" s="598"/>
      <c r="G466" s="598"/>
      <c r="H466" s="598"/>
      <c r="I466" s="584"/>
      <c r="J466" s="584"/>
      <c r="K466" s="587"/>
      <c r="L466" s="587"/>
      <c r="M466" s="587"/>
      <c r="N466" s="587"/>
      <c r="O466" s="585"/>
      <c r="P466" s="585"/>
      <c r="Q466" s="585"/>
      <c r="R466" s="585"/>
      <c r="S466" s="585"/>
      <c r="T466" s="585"/>
      <c r="U466" s="585"/>
      <c r="V466" s="585"/>
      <c r="W466" s="585"/>
      <c r="X466" s="585"/>
      <c r="Y466" s="585"/>
      <c r="Z466" s="585"/>
      <c r="AA466" s="585"/>
      <c r="AB466" s="585"/>
      <c r="AC466" s="585"/>
    </row>
    <row r="467">
      <c r="A467" s="664" t="s">
        <v>32052</v>
      </c>
      <c r="B467" s="665" t="s">
        <v>30975</v>
      </c>
      <c r="C467" s="519" t="s">
        <v>6583</v>
      </c>
      <c r="D467" s="519" t="s">
        <v>224</v>
      </c>
      <c r="E467" s="583"/>
      <c r="F467" s="598"/>
      <c r="G467" s="598"/>
      <c r="H467" s="598"/>
      <c r="I467" s="584"/>
      <c r="J467" s="584"/>
      <c r="K467" s="587"/>
      <c r="L467" s="587"/>
      <c r="M467" s="587"/>
      <c r="N467" s="587"/>
      <c r="O467" s="585"/>
      <c r="P467" s="585"/>
      <c r="Q467" s="585"/>
      <c r="R467" s="585"/>
      <c r="S467" s="585"/>
      <c r="T467" s="585"/>
      <c r="U467" s="585"/>
      <c r="V467" s="585"/>
      <c r="W467" s="585"/>
      <c r="X467" s="585"/>
      <c r="Y467" s="585"/>
      <c r="Z467" s="585"/>
      <c r="AA467" s="585"/>
      <c r="AB467" s="585"/>
      <c r="AC467" s="585"/>
    </row>
    <row r="468">
      <c r="A468" s="663" t="s">
        <v>32053</v>
      </c>
      <c r="B468" s="519" t="s">
        <v>30975</v>
      </c>
      <c r="C468" s="519" t="s">
        <v>32054</v>
      </c>
      <c r="D468" s="519" t="s">
        <v>32055</v>
      </c>
      <c r="E468" s="583"/>
      <c r="F468" s="598"/>
      <c r="G468" s="598"/>
      <c r="H468" s="598"/>
      <c r="I468" s="584"/>
      <c r="J468" s="584"/>
      <c r="K468" s="587"/>
      <c r="L468" s="587"/>
      <c r="M468" s="587"/>
      <c r="N468" s="587"/>
      <c r="O468" s="585"/>
      <c r="P468" s="585"/>
      <c r="Q468" s="585"/>
      <c r="R468" s="585"/>
      <c r="S468" s="585"/>
      <c r="T468" s="585"/>
      <c r="U468" s="585"/>
      <c r="V468" s="585"/>
      <c r="W468" s="585"/>
      <c r="X468" s="585"/>
      <c r="Y468" s="585"/>
      <c r="Z468" s="585"/>
      <c r="AA468" s="585"/>
      <c r="AB468" s="585"/>
      <c r="AC468" s="585"/>
    </row>
    <row r="469" ht="24.75" customHeight="1">
      <c r="A469" s="663" t="s">
        <v>32056</v>
      </c>
      <c r="B469" s="519" t="s">
        <v>30975</v>
      </c>
      <c r="C469" s="519" t="s">
        <v>31922</v>
      </c>
      <c r="D469" s="519" t="s">
        <v>32057</v>
      </c>
      <c r="E469" s="519"/>
      <c r="F469" s="519"/>
      <c r="G469" s="519"/>
      <c r="H469" s="598"/>
      <c r="I469" s="584"/>
      <c r="J469" s="584"/>
      <c r="K469" s="587"/>
      <c r="L469" s="587"/>
      <c r="M469" s="587"/>
      <c r="N469" s="587"/>
      <c r="O469" s="585"/>
      <c r="P469" s="585"/>
      <c r="Q469" s="585"/>
      <c r="R469" s="585"/>
      <c r="S469" s="585"/>
      <c r="T469" s="585"/>
      <c r="U469" s="585"/>
      <c r="V469" s="585"/>
      <c r="W469" s="585"/>
      <c r="X469" s="585"/>
      <c r="Y469" s="585"/>
      <c r="Z469" s="585"/>
      <c r="AA469" s="585"/>
      <c r="AB469" s="585"/>
      <c r="AC469" s="585"/>
    </row>
    <row r="470">
      <c r="A470" s="663" t="s">
        <v>32058</v>
      </c>
      <c r="B470" s="519" t="s">
        <v>32059</v>
      </c>
      <c r="C470" s="519" t="s">
        <v>32060</v>
      </c>
      <c r="D470" s="519" t="s">
        <v>32061</v>
      </c>
      <c r="E470" s="519"/>
      <c r="F470" s="519"/>
      <c r="G470" s="519"/>
      <c r="H470" s="598"/>
      <c r="I470" s="584"/>
      <c r="J470" s="584"/>
      <c r="K470" s="587"/>
      <c r="L470" s="587"/>
      <c r="M470" s="587"/>
      <c r="N470" s="587"/>
      <c r="O470" s="585"/>
      <c r="P470" s="585"/>
      <c r="Q470" s="585"/>
      <c r="R470" s="585"/>
      <c r="S470" s="585"/>
      <c r="T470" s="585"/>
      <c r="U470" s="585"/>
      <c r="V470" s="585"/>
      <c r="W470" s="585"/>
      <c r="X470" s="585"/>
      <c r="Y470" s="585"/>
      <c r="Z470" s="585"/>
      <c r="AA470" s="585"/>
      <c r="AB470" s="585"/>
      <c r="AC470" s="585"/>
    </row>
    <row r="471">
      <c r="A471" s="663" t="s">
        <v>32062</v>
      </c>
      <c r="B471" s="519" t="s">
        <v>32059</v>
      </c>
      <c r="C471" s="519" t="s">
        <v>3809</v>
      </c>
      <c r="D471" s="519" t="s">
        <v>32063</v>
      </c>
      <c r="E471" s="519" t="s">
        <v>31035</v>
      </c>
      <c r="F471" s="519"/>
      <c r="G471" s="519"/>
      <c r="H471" s="598"/>
      <c r="I471" s="584"/>
      <c r="J471" s="584"/>
      <c r="K471" s="587"/>
      <c r="L471" s="587"/>
      <c r="M471" s="587"/>
      <c r="N471" s="587"/>
      <c r="O471" s="585"/>
      <c r="P471" s="585"/>
      <c r="Q471" s="585"/>
      <c r="R471" s="585"/>
      <c r="S471" s="585"/>
      <c r="T471" s="585"/>
      <c r="U471" s="585"/>
      <c r="V471" s="585"/>
      <c r="W471" s="585"/>
      <c r="X471" s="585"/>
      <c r="Y471" s="585"/>
      <c r="Z471" s="585"/>
      <c r="AA471" s="585"/>
      <c r="AB471" s="585"/>
      <c r="AC471" s="585"/>
    </row>
    <row r="472">
      <c r="A472" s="663" t="s">
        <v>32064</v>
      </c>
      <c r="B472" s="519" t="s">
        <v>32059</v>
      </c>
      <c r="C472" s="519" t="s">
        <v>9605</v>
      </c>
      <c r="D472" s="519" t="s">
        <v>32061</v>
      </c>
      <c r="E472" s="519" t="s">
        <v>31035</v>
      </c>
      <c r="F472" s="519"/>
      <c r="G472" s="519"/>
      <c r="H472" s="598"/>
      <c r="I472" s="584"/>
      <c r="J472" s="584"/>
      <c r="K472" s="587"/>
      <c r="L472" s="587"/>
      <c r="M472" s="587"/>
      <c r="N472" s="587"/>
      <c r="O472" s="585"/>
      <c r="P472" s="585"/>
      <c r="Q472" s="585"/>
      <c r="R472" s="585"/>
      <c r="S472" s="585"/>
      <c r="T472" s="585"/>
      <c r="U472" s="585"/>
      <c r="V472" s="585"/>
      <c r="W472" s="585"/>
      <c r="X472" s="585"/>
      <c r="Y472" s="585"/>
      <c r="Z472" s="585"/>
      <c r="AA472" s="585"/>
      <c r="AB472" s="585"/>
      <c r="AC472" s="585"/>
    </row>
    <row r="473">
      <c r="A473" s="663" t="s">
        <v>4481</v>
      </c>
      <c r="B473" s="519" t="s">
        <v>32065</v>
      </c>
      <c r="C473" s="519"/>
      <c r="D473" s="519"/>
      <c r="E473" s="519"/>
      <c r="F473" s="519" t="s">
        <v>32066</v>
      </c>
      <c r="G473" s="519" t="s">
        <v>32067</v>
      </c>
      <c r="H473" s="598"/>
      <c r="I473" s="584"/>
      <c r="J473" s="584"/>
      <c r="K473" s="587"/>
      <c r="L473" s="587"/>
      <c r="M473" s="587"/>
      <c r="N473" s="587"/>
      <c r="O473" s="585"/>
      <c r="P473" s="585"/>
      <c r="Q473" s="585"/>
      <c r="R473" s="585"/>
      <c r="S473" s="585"/>
      <c r="T473" s="585"/>
      <c r="U473" s="585"/>
      <c r="V473" s="585"/>
      <c r="W473" s="585"/>
      <c r="X473" s="585"/>
      <c r="Y473" s="585"/>
      <c r="Z473" s="585"/>
      <c r="AA473" s="585"/>
      <c r="AB473" s="585"/>
      <c r="AC473" s="585"/>
    </row>
    <row r="474">
      <c r="A474" s="663" t="s">
        <v>4481</v>
      </c>
      <c r="B474" s="519" t="s">
        <v>32065</v>
      </c>
      <c r="C474" s="519"/>
      <c r="D474" s="519"/>
      <c r="E474" s="519"/>
      <c r="F474" s="519" t="s">
        <v>32068</v>
      </c>
      <c r="G474" s="519" t="s">
        <v>32069</v>
      </c>
      <c r="H474" s="598"/>
      <c r="I474" s="584"/>
      <c r="J474" s="584"/>
      <c r="K474" s="587"/>
      <c r="L474" s="587"/>
      <c r="M474" s="587">
        <v>40.0</v>
      </c>
      <c r="N474" s="587" t="s">
        <v>32070</v>
      </c>
      <c r="O474" s="585"/>
      <c r="P474" s="585"/>
      <c r="Q474" s="585"/>
      <c r="R474" s="585"/>
      <c r="S474" s="585"/>
      <c r="T474" s="585"/>
      <c r="U474" s="585"/>
      <c r="V474" s="585"/>
      <c r="W474" s="585"/>
      <c r="X474" s="585"/>
      <c r="Y474" s="585"/>
      <c r="Z474" s="585"/>
      <c r="AA474" s="585"/>
      <c r="AB474" s="585"/>
      <c r="AC474" s="585"/>
    </row>
    <row r="475">
      <c r="A475" s="663" t="s">
        <v>32071</v>
      </c>
      <c r="B475" s="519" t="s">
        <v>31379</v>
      </c>
      <c r="C475" s="519" t="s">
        <v>32072</v>
      </c>
      <c r="D475" s="519" t="s">
        <v>2962</v>
      </c>
      <c r="E475" s="583"/>
      <c r="F475" s="598"/>
      <c r="G475" s="598"/>
      <c r="H475" s="598"/>
      <c r="I475" s="584"/>
      <c r="J475" s="584"/>
      <c r="K475" s="587"/>
      <c r="L475" s="587"/>
      <c r="M475" s="584"/>
      <c r="N475" s="584"/>
      <c r="O475" s="585"/>
      <c r="P475" s="585"/>
      <c r="Q475" s="585"/>
      <c r="R475" s="585"/>
      <c r="S475" s="585"/>
      <c r="T475" s="585"/>
      <c r="U475" s="585"/>
      <c r="V475" s="585"/>
      <c r="W475" s="585"/>
      <c r="X475" s="585"/>
      <c r="Y475" s="585"/>
      <c r="Z475" s="585"/>
      <c r="AA475" s="585"/>
      <c r="AB475" s="585"/>
      <c r="AC475" s="585"/>
    </row>
    <row r="476">
      <c r="A476" s="663" t="s">
        <v>32073</v>
      </c>
      <c r="B476" s="519"/>
      <c r="C476" s="519" t="s">
        <v>8804</v>
      </c>
      <c r="D476" s="519" t="s">
        <v>9409</v>
      </c>
      <c r="E476" s="583"/>
      <c r="F476" s="598"/>
      <c r="G476" s="598"/>
      <c r="H476" s="598"/>
      <c r="I476" s="584"/>
      <c r="J476" s="584"/>
      <c r="K476" s="587"/>
      <c r="L476" s="587"/>
      <c r="M476" s="584"/>
      <c r="N476" s="584"/>
      <c r="O476" s="585"/>
      <c r="P476" s="585"/>
      <c r="Q476" s="585"/>
      <c r="R476" s="585"/>
      <c r="S476" s="585"/>
      <c r="T476" s="585"/>
      <c r="U476" s="585"/>
      <c r="V476" s="585"/>
      <c r="W476" s="585"/>
      <c r="X476" s="585"/>
      <c r="Y476" s="585"/>
      <c r="Z476" s="585"/>
      <c r="AA476" s="585"/>
      <c r="AB476" s="585"/>
      <c r="AC476" s="585"/>
    </row>
    <row r="477">
      <c r="A477" s="663" t="s">
        <v>32074</v>
      </c>
      <c r="B477" s="519" t="s">
        <v>32075</v>
      </c>
      <c r="C477" s="519" t="s">
        <v>32076</v>
      </c>
      <c r="D477" s="519" t="s">
        <v>32077</v>
      </c>
      <c r="E477" s="583"/>
      <c r="F477" s="598"/>
      <c r="G477" s="598"/>
      <c r="H477" s="598"/>
      <c r="I477" s="584"/>
      <c r="J477" s="584"/>
      <c r="K477" s="587"/>
      <c r="L477" s="587"/>
      <c r="M477" s="584"/>
      <c r="N477" s="584"/>
      <c r="O477" s="585"/>
      <c r="P477" s="585"/>
      <c r="Q477" s="585"/>
      <c r="R477" s="585"/>
      <c r="S477" s="585"/>
      <c r="T477" s="585"/>
      <c r="U477" s="585"/>
      <c r="V477" s="585"/>
      <c r="W477" s="585"/>
      <c r="X477" s="585"/>
      <c r="Y477" s="585"/>
      <c r="Z477" s="585"/>
      <c r="AA477" s="585"/>
      <c r="AB477" s="585"/>
      <c r="AC477" s="585"/>
    </row>
    <row r="478">
      <c r="A478" s="663" t="s">
        <v>32074</v>
      </c>
      <c r="B478" s="519"/>
      <c r="C478" s="519" t="s">
        <v>32078</v>
      </c>
      <c r="D478" s="519" t="s">
        <v>1678</v>
      </c>
      <c r="E478" s="583"/>
      <c r="F478" s="598"/>
      <c r="G478" s="598"/>
      <c r="H478" s="598"/>
      <c r="I478" s="584"/>
      <c r="J478" s="584"/>
      <c r="K478" s="587"/>
      <c r="L478" s="587"/>
      <c r="M478" s="584"/>
      <c r="N478" s="584"/>
      <c r="O478" s="585"/>
      <c r="P478" s="585"/>
      <c r="Q478" s="585"/>
      <c r="R478" s="585"/>
      <c r="S478" s="585"/>
      <c r="T478" s="585"/>
      <c r="U478" s="585"/>
      <c r="V478" s="585"/>
      <c r="W478" s="585"/>
      <c r="X478" s="585"/>
      <c r="Y478" s="585"/>
      <c r="Z478" s="585"/>
      <c r="AA478" s="585"/>
      <c r="AB478" s="585"/>
      <c r="AC478" s="585"/>
    </row>
    <row r="479">
      <c r="A479" s="663" t="s">
        <v>32079</v>
      </c>
      <c r="B479" s="519" t="s">
        <v>32080</v>
      </c>
      <c r="C479" s="519"/>
      <c r="D479" s="519"/>
      <c r="E479" s="519"/>
      <c r="F479" s="425" t="s">
        <v>32081</v>
      </c>
      <c r="G479" s="425" t="s">
        <v>32082</v>
      </c>
      <c r="H479" s="598"/>
      <c r="I479" s="584"/>
      <c r="J479" s="584"/>
      <c r="K479" s="587"/>
      <c r="L479" s="587"/>
      <c r="M479" s="584"/>
      <c r="N479" s="584"/>
      <c r="O479" s="585"/>
      <c r="P479" s="585"/>
      <c r="Q479" s="585"/>
      <c r="R479" s="585"/>
      <c r="S479" s="585"/>
      <c r="T479" s="585"/>
      <c r="U479" s="585"/>
      <c r="V479" s="585"/>
      <c r="W479" s="585"/>
      <c r="X479" s="585"/>
      <c r="Y479" s="585"/>
      <c r="Z479" s="585"/>
      <c r="AA479" s="585"/>
      <c r="AB479" s="585"/>
      <c r="AC479" s="585"/>
    </row>
    <row r="480">
      <c r="A480" s="663"/>
      <c r="B480" s="519"/>
      <c r="C480" s="519"/>
      <c r="D480" s="519"/>
      <c r="E480" s="519"/>
      <c r="F480" s="425"/>
      <c r="G480" s="425"/>
      <c r="H480" s="598"/>
      <c r="I480" s="584"/>
      <c r="J480" s="584"/>
      <c r="K480" s="587"/>
      <c r="L480" s="587"/>
      <c r="M480" s="584"/>
      <c r="N480" s="584"/>
      <c r="O480" s="585"/>
      <c r="P480" s="585"/>
      <c r="Q480" s="585"/>
      <c r="R480" s="585"/>
      <c r="S480" s="585"/>
      <c r="T480" s="585"/>
      <c r="U480" s="585"/>
      <c r="V480" s="585"/>
      <c r="W480" s="585"/>
      <c r="X480" s="585"/>
      <c r="Y480" s="585"/>
      <c r="Z480" s="585"/>
      <c r="AA480" s="585"/>
      <c r="AB480" s="585"/>
      <c r="AC480" s="585"/>
    </row>
    <row r="481">
      <c r="A481" s="663" t="s">
        <v>32083</v>
      </c>
      <c r="B481" s="519"/>
      <c r="C481" s="519" t="s">
        <v>9799</v>
      </c>
      <c r="D481" s="519" t="s">
        <v>4527</v>
      </c>
      <c r="E481" s="519"/>
      <c r="F481" s="425" t="s">
        <v>32084</v>
      </c>
      <c r="G481" s="425" t="s">
        <v>31435</v>
      </c>
      <c r="H481" s="598"/>
      <c r="I481" s="584"/>
      <c r="J481" s="584"/>
      <c r="K481" s="587"/>
      <c r="L481" s="587"/>
      <c r="M481" s="584"/>
      <c r="N481" s="584"/>
      <c r="O481" s="585"/>
      <c r="P481" s="585"/>
      <c r="Q481" s="585"/>
      <c r="R481" s="585"/>
      <c r="S481" s="585"/>
      <c r="T481" s="585"/>
      <c r="U481" s="585"/>
      <c r="V481" s="585"/>
      <c r="W481" s="585"/>
      <c r="X481" s="585"/>
      <c r="Y481" s="585"/>
      <c r="Z481" s="585"/>
      <c r="AA481" s="585"/>
      <c r="AB481" s="585"/>
      <c r="AC481" s="585"/>
    </row>
    <row r="482">
      <c r="A482" s="663" t="s">
        <v>32083</v>
      </c>
      <c r="B482" s="519" t="s">
        <v>32085</v>
      </c>
      <c r="C482" s="519" t="s">
        <v>32086</v>
      </c>
      <c r="D482" s="519" t="s">
        <v>32087</v>
      </c>
      <c r="E482" s="519" t="s">
        <v>32088</v>
      </c>
      <c r="F482" s="598"/>
      <c r="G482" s="598"/>
      <c r="H482" s="598"/>
      <c r="I482" s="584"/>
      <c r="J482" s="584"/>
      <c r="K482" s="587"/>
      <c r="L482" s="587"/>
      <c r="M482" s="584"/>
      <c r="N482" s="584"/>
      <c r="O482" s="585"/>
      <c r="P482" s="585"/>
      <c r="Q482" s="585"/>
      <c r="R482" s="585"/>
      <c r="S482" s="585"/>
      <c r="T482" s="585"/>
      <c r="U482" s="585"/>
      <c r="V482" s="585"/>
      <c r="W482" s="585"/>
      <c r="X482" s="585"/>
      <c r="Y482" s="585"/>
      <c r="Z482" s="585"/>
      <c r="AA482" s="585"/>
      <c r="AB482" s="585"/>
      <c r="AC482" s="585"/>
    </row>
    <row r="483">
      <c r="A483" s="663" t="s">
        <v>32089</v>
      </c>
      <c r="B483" s="519" t="s">
        <v>32085</v>
      </c>
      <c r="C483" s="519" t="s">
        <v>9039</v>
      </c>
      <c r="D483" s="519" t="s">
        <v>32087</v>
      </c>
      <c r="E483" s="519" t="s">
        <v>32090</v>
      </c>
      <c r="F483" s="598"/>
      <c r="G483" s="598"/>
      <c r="H483" s="598"/>
      <c r="I483" s="584"/>
      <c r="J483" s="584"/>
      <c r="K483" s="587"/>
      <c r="L483" s="587"/>
      <c r="M483" s="584"/>
      <c r="N483" s="584"/>
      <c r="O483" s="585"/>
      <c r="P483" s="585"/>
      <c r="Q483" s="585"/>
      <c r="R483" s="585"/>
      <c r="S483" s="585"/>
      <c r="T483" s="585"/>
      <c r="U483" s="585"/>
      <c r="V483" s="585"/>
      <c r="W483" s="585"/>
      <c r="X483" s="585"/>
      <c r="Y483" s="585"/>
      <c r="Z483" s="585"/>
      <c r="AA483" s="585"/>
      <c r="AB483" s="585"/>
      <c r="AC483" s="585"/>
    </row>
    <row r="484">
      <c r="A484" s="663" t="s">
        <v>12021</v>
      </c>
      <c r="B484" s="519"/>
      <c r="C484" s="519"/>
      <c r="D484" s="519"/>
      <c r="E484" s="583"/>
      <c r="F484" s="598"/>
      <c r="G484" s="598"/>
      <c r="H484" s="598"/>
      <c r="I484" s="584"/>
      <c r="J484" s="584"/>
      <c r="K484" s="587">
        <v>95.0</v>
      </c>
      <c r="L484" s="587" t="s">
        <v>32091</v>
      </c>
      <c r="M484" s="584"/>
      <c r="N484" s="584"/>
      <c r="O484" s="585"/>
      <c r="P484" s="585"/>
      <c r="Q484" s="585"/>
      <c r="R484" s="585"/>
      <c r="S484" s="585"/>
      <c r="T484" s="585"/>
      <c r="U484" s="585"/>
      <c r="V484" s="585"/>
      <c r="W484" s="585"/>
      <c r="X484" s="585"/>
      <c r="Y484" s="585"/>
      <c r="Z484" s="585"/>
      <c r="AA484" s="585"/>
      <c r="AB484" s="585"/>
      <c r="AC484" s="585"/>
    </row>
    <row r="485">
      <c r="A485" s="663" t="s">
        <v>32092</v>
      </c>
      <c r="B485" s="519" t="s">
        <v>30975</v>
      </c>
      <c r="C485" s="519" t="s">
        <v>31150</v>
      </c>
      <c r="D485" s="519" t="s">
        <v>32093</v>
      </c>
      <c r="E485" s="583"/>
      <c r="F485" s="598"/>
      <c r="G485" s="598"/>
      <c r="H485" s="425"/>
      <c r="I485" s="584"/>
      <c r="J485" s="584"/>
      <c r="K485" s="584"/>
      <c r="L485" s="584"/>
      <c r="M485" s="584"/>
      <c r="N485" s="584"/>
      <c r="O485" s="585"/>
      <c r="P485" s="585"/>
      <c r="Q485" s="585"/>
      <c r="R485" s="585"/>
      <c r="S485" s="585"/>
      <c r="T485" s="585"/>
      <c r="U485" s="585"/>
      <c r="V485" s="585"/>
      <c r="W485" s="585"/>
      <c r="X485" s="585"/>
      <c r="Y485" s="585"/>
      <c r="Z485" s="585"/>
      <c r="AA485" s="585"/>
      <c r="AB485" s="585"/>
      <c r="AC485" s="585"/>
    </row>
    <row r="486">
      <c r="A486" s="663" t="s">
        <v>32094</v>
      </c>
      <c r="B486" s="519" t="s">
        <v>32095</v>
      </c>
      <c r="C486" s="519" t="s">
        <v>32096</v>
      </c>
      <c r="D486" s="519" t="s">
        <v>2056</v>
      </c>
      <c r="E486" s="583"/>
      <c r="F486" s="598"/>
      <c r="G486" s="598"/>
      <c r="H486" s="425" t="s">
        <v>32097</v>
      </c>
      <c r="I486" s="584"/>
      <c r="J486" s="584"/>
      <c r="K486" s="584"/>
      <c r="L486" s="584"/>
      <c r="M486" s="584"/>
      <c r="N486" s="584"/>
      <c r="O486" s="585"/>
      <c r="P486" s="585"/>
      <c r="Q486" s="585"/>
      <c r="R486" s="585"/>
      <c r="S486" s="585"/>
      <c r="T486" s="585"/>
      <c r="U486" s="585"/>
      <c r="V486" s="585"/>
      <c r="W486" s="585"/>
      <c r="X486" s="585"/>
      <c r="Y486" s="585"/>
      <c r="Z486" s="585"/>
      <c r="AA486" s="585"/>
      <c r="AB486" s="585"/>
      <c r="AC486" s="585"/>
    </row>
    <row r="487">
      <c r="A487" s="663" t="s">
        <v>11377</v>
      </c>
      <c r="B487" s="519"/>
      <c r="C487" s="519" t="s">
        <v>12861</v>
      </c>
      <c r="D487" s="519" t="s">
        <v>8426</v>
      </c>
      <c r="E487" s="583"/>
      <c r="F487" s="598"/>
      <c r="G487" s="598"/>
      <c r="H487" s="598"/>
      <c r="I487" s="584"/>
      <c r="J487" s="584"/>
      <c r="K487" s="587"/>
      <c r="L487" s="587"/>
      <c r="M487" s="584"/>
      <c r="N487" s="584"/>
      <c r="O487" s="585"/>
      <c r="P487" s="585"/>
      <c r="Q487" s="585"/>
      <c r="R487" s="585"/>
      <c r="S487" s="585"/>
      <c r="T487" s="585"/>
      <c r="U487" s="585"/>
      <c r="V487" s="585"/>
      <c r="W487" s="585"/>
      <c r="X487" s="585"/>
      <c r="Y487" s="585"/>
      <c r="Z487" s="585"/>
      <c r="AA487" s="585"/>
      <c r="AB487" s="585"/>
      <c r="AC487" s="585"/>
    </row>
    <row r="488">
      <c r="A488" s="663" t="s">
        <v>32098</v>
      </c>
      <c r="B488" s="519"/>
      <c r="C488" s="519"/>
      <c r="D488" s="519"/>
      <c r="E488" s="583"/>
      <c r="F488" s="598"/>
      <c r="G488" s="598"/>
      <c r="H488" s="598"/>
      <c r="I488" s="584"/>
      <c r="J488" s="584"/>
      <c r="K488" s="587">
        <v>205.0</v>
      </c>
      <c r="L488" s="587" t="s">
        <v>32099</v>
      </c>
      <c r="M488" s="584"/>
      <c r="N488" s="584"/>
      <c r="O488" s="585"/>
      <c r="P488" s="585"/>
      <c r="Q488" s="585"/>
      <c r="R488" s="585"/>
      <c r="S488" s="585"/>
      <c r="T488" s="585"/>
      <c r="U488" s="585"/>
      <c r="V488" s="585"/>
      <c r="W488" s="585"/>
      <c r="X488" s="585"/>
      <c r="Y488" s="585"/>
      <c r="Z488" s="585"/>
      <c r="AA488" s="585"/>
      <c r="AB488" s="585"/>
      <c r="AC488" s="585"/>
    </row>
    <row r="489">
      <c r="A489" s="663" t="s">
        <v>32100</v>
      </c>
      <c r="B489" s="519" t="s">
        <v>30975</v>
      </c>
      <c r="C489" s="519" t="s">
        <v>13373</v>
      </c>
      <c r="D489" s="519" t="s">
        <v>32101</v>
      </c>
      <c r="E489" s="583"/>
      <c r="F489" s="598"/>
      <c r="G489" s="598"/>
      <c r="H489" s="598"/>
      <c r="I489" s="584"/>
      <c r="J489" s="584"/>
      <c r="K489" s="584"/>
      <c r="L489" s="584"/>
      <c r="M489" s="584"/>
      <c r="N489" s="584"/>
      <c r="O489" s="585"/>
      <c r="P489" s="585"/>
      <c r="Q489" s="585"/>
      <c r="R489" s="585"/>
      <c r="S489" s="585"/>
      <c r="T489" s="585"/>
      <c r="U489" s="585"/>
      <c r="V489" s="585"/>
      <c r="W489" s="585"/>
      <c r="X489" s="585"/>
      <c r="Y489" s="585"/>
      <c r="Z489" s="585"/>
      <c r="AA489" s="585"/>
      <c r="AB489" s="585"/>
      <c r="AC489" s="585"/>
    </row>
    <row r="490">
      <c r="A490" s="663" t="s">
        <v>32102</v>
      </c>
      <c r="B490" s="519"/>
      <c r="C490" s="519"/>
      <c r="D490" s="519"/>
      <c r="E490" s="583"/>
      <c r="F490" s="598"/>
      <c r="G490" s="598"/>
      <c r="H490" s="598"/>
      <c r="I490" s="584"/>
      <c r="J490" s="584"/>
      <c r="K490" s="584"/>
      <c r="L490" s="584"/>
      <c r="M490" s="584"/>
      <c r="N490" s="584"/>
      <c r="O490" s="585"/>
      <c r="P490" s="585"/>
      <c r="Q490" s="585"/>
      <c r="R490" s="585"/>
      <c r="S490" s="585"/>
      <c r="T490" s="585"/>
      <c r="U490" s="585"/>
      <c r="V490" s="585"/>
      <c r="W490" s="585"/>
      <c r="X490" s="585"/>
      <c r="Y490" s="585"/>
      <c r="Z490" s="585"/>
      <c r="AA490" s="585"/>
      <c r="AB490" s="585"/>
      <c r="AC490" s="585"/>
    </row>
    <row r="491">
      <c r="A491" s="663" t="s">
        <v>32103</v>
      </c>
      <c r="B491" s="519" t="s">
        <v>30975</v>
      </c>
      <c r="C491" s="519" t="s">
        <v>32104</v>
      </c>
      <c r="D491" s="519" t="s">
        <v>32105</v>
      </c>
      <c r="E491" s="583"/>
      <c r="F491" s="598"/>
      <c r="G491" s="598"/>
      <c r="H491" s="598"/>
      <c r="I491" s="584"/>
      <c r="J491" s="584"/>
      <c r="K491" s="584"/>
      <c r="L491" s="584"/>
      <c r="M491" s="584"/>
      <c r="N491" s="584"/>
      <c r="O491" s="585"/>
      <c r="P491" s="585"/>
      <c r="Q491" s="585"/>
      <c r="R491" s="585"/>
      <c r="S491" s="585"/>
      <c r="T491" s="585"/>
      <c r="U491" s="585"/>
      <c r="V491" s="585"/>
      <c r="W491" s="585"/>
      <c r="X491" s="585"/>
      <c r="Y491" s="585"/>
      <c r="Z491" s="585"/>
      <c r="AA491" s="585"/>
      <c r="AB491" s="585"/>
      <c r="AC491" s="585"/>
    </row>
    <row r="492">
      <c r="A492" s="663" t="s">
        <v>32106</v>
      </c>
      <c r="B492" s="519"/>
      <c r="C492" s="519"/>
      <c r="D492" s="519"/>
      <c r="E492" s="519"/>
      <c r="F492" s="425"/>
      <c r="G492" s="598"/>
      <c r="H492" s="598"/>
      <c r="I492" s="584"/>
      <c r="J492" s="584"/>
      <c r="K492" s="587">
        <v>124.0</v>
      </c>
      <c r="L492" s="593">
        <v>44440.0</v>
      </c>
      <c r="M492" s="587"/>
      <c r="N492" s="587"/>
      <c r="O492" s="585"/>
      <c r="P492" s="585"/>
      <c r="Q492" s="585"/>
      <c r="R492" s="585"/>
      <c r="S492" s="585"/>
      <c r="T492" s="585"/>
      <c r="U492" s="585"/>
      <c r="V492" s="585"/>
      <c r="W492" s="585"/>
      <c r="X492" s="585"/>
      <c r="Y492" s="585"/>
      <c r="Z492" s="585"/>
      <c r="AA492" s="585"/>
      <c r="AB492" s="585"/>
      <c r="AC492" s="585"/>
    </row>
    <row r="493" ht="29.25" customHeight="1">
      <c r="A493" s="663" t="s">
        <v>32107</v>
      </c>
      <c r="B493" s="519" t="s">
        <v>8518</v>
      </c>
      <c r="C493" s="519" t="s">
        <v>32108</v>
      </c>
      <c r="D493" s="519" t="s">
        <v>32109</v>
      </c>
      <c r="E493" s="519"/>
      <c r="F493" s="425"/>
      <c r="G493" s="598"/>
      <c r="H493" s="598"/>
      <c r="I493" s="584"/>
      <c r="J493" s="584"/>
      <c r="K493" s="584"/>
      <c r="L493" s="584"/>
      <c r="M493" s="587"/>
      <c r="N493" s="587"/>
      <c r="O493" s="585"/>
      <c r="P493" s="585"/>
      <c r="Q493" s="585"/>
      <c r="R493" s="585"/>
      <c r="S493" s="585"/>
      <c r="T493" s="585"/>
      <c r="U493" s="585"/>
      <c r="V493" s="585"/>
      <c r="W493" s="585"/>
      <c r="X493" s="585"/>
      <c r="Y493" s="585"/>
      <c r="Z493" s="585"/>
      <c r="AA493" s="585"/>
      <c r="AB493" s="585"/>
      <c r="AC493" s="585"/>
    </row>
    <row r="494" ht="29.25" customHeight="1">
      <c r="A494" s="663" t="s">
        <v>32110</v>
      </c>
      <c r="B494" s="519" t="s">
        <v>8518</v>
      </c>
      <c r="C494" s="519" t="s">
        <v>30976</v>
      </c>
      <c r="D494" s="519" t="s">
        <v>32111</v>
      </c>
      <c r="E494" s="519" t="s">
        <v>0</v>
      </c>
      <c r="F494" s="425"/>
      <c r="G494" s="598"/>
      <c r="H494" s="598"/>
      <c r="I494" s="584"/>
      <c r="J494" s="584"/>
      <c r="K494" s="584"/>
      <c r="L494" s="584"/>
      <c r="M494" s="587"/>
      <c r="N494" s="587"/>
      <c r="O494" s="585"/>
      <c r="P494" s="585"/>
      <c r="Q494" s="585"/>
      <c r="R494" s="585"/>
      <c r="S494" s="585"/>
      <c r="T494" s="585"/>
      <c r="U494" s="585"/>
      <c r="V494" s="585"/>
      <c r="W494" s="585"/>
      <c r="X494" s="585"/>
      <c r="Y494" s="585"/>
      <c r="Z494" s="585"/>
      <c r="AA494" s="585"/>
      <c r="AB494" s="585"/>
      <c r="AC494" s="585"/>
    </row>
    <row r="495" ht="29.25" customHeight="1">
      <c r="A495" s="663" t="s">
        <v>32112</v>
      </c>
      <c r="B495" s="519" t="s">
        <v>8518</v>
      </c>
      <c r="C495" s="519" t="s">
        <v>31592</v>
      </c>
      <c r="D495" s="519" t="s">
        <v>32111</v>
      </c>
      <c r="E495" s="519"/>
      <c r="F495" s="425"/>
      <c r="G495" s="598"/>
      <c r="H495" s="598"/>
      <c r="I495" s="584"/>
      <c r="J495" s="584"/>
      <c r="K495" s="584"/>
      <c r="L495" s="584"/>
      <c r="M495" s="587"/>
      <c r="N495" s="587"/>
      <c r="O495" s="585"/>
      <c r="P495" s="585"/>
      <c r="Q495" s="585"/>
      <c r="R495" s="585"/>
      <c r="S495" s="585"/>
      <c r="T495" s="585"/>
      <c r="U495" s="585"/>
      <c r="V495" s="585"/>
      <c r="W495" s="585"/>
      <c r="X495" s="585"/>
      <c r="Y495" s="585"/>
      <c r="Z495" s="585"/>
      <c r="AA495" s="585"/>
      <c r="AB495" s="585"/>
      <c r="AC495" s="585"/>
    </row>
    <row r="496" ht="29.25" customHeight="1">
      <c r="A496" s="663" t="s">
        <v>32113</v>
      </c>
      <c r="B496" s="519" t="s">
        <v>8518</v>
      </c>
      <c r="C496" s="519" t="s">
        <v>13131</v>
      </c>
      <c r="D496" s="519" t="s">
        <v>32114</v>
      </c>
      <c r="E496" s="519"/>
      <c r="F496" s="425"/>
      <c r="G496" s="598"/>
      <c r="H496" s="598"/>
      <c r="I496" s="584"/>
      <c r="J496" s="584"/>
      <c r="K496" s="584"/>
      <c r="L496" s="584"/>
      <c r="M496" s="587"/>
      <c r="N496" s="587"/>
      <c r="O496" s="585"/>
      <c r="P496" s="585"/>
      <c r="Q496" s="585"/>
      <c r="R496" s="585"/>
      <c r="S496" s="585"/>
      <c r="T496" s="585"/>
      <c r="U496" s="585"/>
      <c r="V496" s="585"/>
      <c r="W496" s="585"/>
      <c r="X496" s="585"/>
      <c r="Y496" s="585"/>
      <c r="Z496" s="585"/>
      <c r="AA496" s="585"/>
      <c r="AB496" s="585"/>
      <c r="AC496" s="585"/>
    </row>
    <row r="497" ht="29.25" customHeight="1">
      <c r="A497" s="663" t="s">
        <v>32115</v>
      </c>
      <c r="B497" s="519" t="s">
        <v>8518</v>
      </c>
      <c r="C497" s="519" t="s">
        <v>32116</v>
      </c>
      <c r="D497" s="519" t="s">
        <v>32117</v>
      </c>
      <c r="E497" s="519"/>
      <c r="F497" s="425" t="s">
        <v>31161</v>
      </c>
      <c r="G497" s="425"/>
      <c r="H497" s="425"/>
      <c r="I497" s="584"/>
      <c r="J497" s="584"/>
      <c r="K497" s="584"/>
      <c r="L497" s="584"/>
      <c r="M497" s="587"/>
      <c r="N497" s="587"/>
      <c r="O497" s="585"/>
      <c r="P497" s="585"/>
      <c r="Q497" s="585"/>
      <c r="R497" s="585"/>
      <c r="S497" s="585"/>
      <c r="T497" s="585"/>
      <c r="U497" s="585"/>
      <c r="V497" s="585"/>
      <c r="W497" s="585"/>
      <c r="X497" s="585"/>
      <c r="Y497" s="585"/>
      <c r="Z497" s="585"/>
      <c r="AA497" s="585"/>
      <c r="AB497" s="585"/>
      <c r="AC497" s="585"/>
    </row>
    <row r="498" ht="29.25" customHeight="1">
      <c r="A498" s="663" t="s">
        <v>32118</v>
      </c>
      <c r="B498" s="519" t="s">
        <v>8518</v>
      </c>
      <c r="C498" s="519" t="s">
        <v>11596</v>
      </c>
      <c r="D498" s="519" t="s">
        <v>32117</v>
      </c>
      <c r="E498" s="519"/>
      <c r="F498" s="425" t="s">
        <v>31161</v>
      </c>
      <c r="G498" s="425"/>
      <c r="H498" s="425"/>
      <c r="I498" s="584"/>
      <c r="J498" s="584"/>
      <c r="K498" s="584"/>
      <c r="L498" s="584"/>
      <c r="M498" s="587"/>
      <c r="N498" s="587"/>
      <c r="O498" s="585"/>
      <c r="P498" s="585"/>
      <c r="Q498" s="585"/>
      <c r="R498" s="585"/>
      <c r="S498" s="585"/>
      <c r="T498" s="585"/>
      <c r="U498" s="585"/>
      <c r="V498" s="585"/>
      <c r="W498" s="585"/>
      <c r="X498" s="585"/>
      <c r="Y498" s="585"/>
      <c r="Z498" s="585"/>
      <c r="AA498" s="585"/>
      <c r="AB498" s="585"/>
      <c r="AC498" s="585"/>
    </row>
    <row r="499" ht="29.25" customHeight="1">
      <c r="A499" s="663" t="s">
        <v>32119</v>
      </c>
      <c r="B499" s="519" t="s">
        <v>30975</v>
      </c>
      <c r="C499" s="519" t="s">
        <v>32120</v>
      </c>
      <c r="D499" s="519" t="s">
        <v>32121</v>
      </c>
      <c r="E499" s="519"/>
      <c r="F499" s="425"/>
      <c r="G499" s="425"/>
      <c r="H499" s="425"/>
      <c r="I499" s="584"/>
      <c r="J499" s="584"/>
      <c r="K499" s="584"/>
      <c r="L499" s="584"/>
      <c r="M499" s="587"/>
      <c r="N499" s="587"/>
      <c r="O499" s="585"/>
      <c r="P499" s="585"/>
      <c r="Q499" s="585"/>
      <c r="R499" s="585"/>
      <c r="S499" s="585"/>
      <c r="T499" s="585"/>
      <c r="U499" s="585"/>
      <c r="V499" s="585"/>
      <c r="W499" s="585"/>
      <c r="X499" s="585"/>
      <c r="Y499" s="585"/>
      <c r="Z499" s="585"/>
      <c r="AA499" s="585"/>
      <c r="AB499" s="585"/>
      <c r="AC499" s="585"/>
    </row>
    <row r="500" ht="29.25" customHeight="1">
      <c r="A500" s="663" t="s">
        <v>32122</v>
      </c>
      <c r="B500" s="519" t="s">
        <v>30975</v>
      </c>
      <c r="C500" s="519" t="s">
        <v>32123</v>
      </c>
      <c r="D500" s="519" t="s">
        <v>32010</v>
      </c>
      <c r="E500" s="519"/>
      <c r="F500" s="425"/>
      <c r="G500" s="425"/>
      <c r="H500" s="425"/>
      <c r="I500" s="584"/>
      <c r="J500" s="584"/>
      <c r="K500" s="584"/>
      <c r="L500" s="584"/>
      <c r="M500" s="587"/>
      <c r="N500" s="587"/>
      <c r="O500" s="585"/>
      <c r="P500" s="585"/>
      <c r="Q500" s="585"/>
      <c r="R500" s="585"/>
      <c r="S500" s="585"/>
      <c r="T500" s="585"/>
      <c r="U500" s="585"/>
      <c r="V500" s="585"/>
      <c r="W500" s="585"/>
      <c r="X500" s="585"/>
      <c r="Y500" s="585"/>
      <c r="Z500" s="585"/>
      <c r="AA500" s="585"/>
      <c r="AB500" s="585"/>
      <c r="AC500" s="585"/>
    </row>
    <row r="501" ht="29.25" customHeight="1">
      <c r="A501" s="663" t="s">
        <v>32124</v>
      </c>
      <c r="B501" s="519" t="s">
        <v>30975</v>
      </c>
      <c r="C501" s="519" t="s">
        <v>31107</v>
      </c>
      <c r="D501" s="519" t="s">
        <v>32125</v>
      </c>
      <c r="E501" s="519"/>
      <c r="F501" s="425"/>
      <c r="G501" s="425"/>
      <c r="H501" s="425"/>
      <c r="I501" s="584"/>
      <c r="J501" s="584"/>
      <c r="K501" s="584"/>
      <c r="L501" s="584"/>
      <c r="M501" s="587"/>
      <c r="N501" s="587"/>
      <c r="O501" s="585"/>
      <c r="P501" s="585"/>
      <c r="Q501" s="585"/>
      <c r="R501" s="585"/>
      <c r="S501" s="585"/>
      <c r="T501" s="585"/>
      <c r="U501" s="585"/>
      <c r="V501" s="585"/>
      <c r="W501" s="585"/>
      <c r="X501" s="585"/>
      <c r="Y501" s="585"/>
      <c r="Z501" s="585"/>
      <c r="AA501" s="585"/>
      <c r="AB501" s="585"/>
      <c r="AC501" s="585"/>
    </row>
    <row r="502" ht="29.25" customHeight="1">
      <c r="A502" s="663" t="s">
        <v>32126</v>
      </c>
      <c r="B502" s="519" t="s">
        <v>31278</v>
      </c>
      <c r="C502" s="519" t="s">
        <v>32127</v>
      </c>
      <c r="D502" s="519" t="s">
        <v>300</v>
      </c>
      <c r="E502" s="519"/>
      <c r="F502" s="425"/>
      <c r="G502" s="425"/>
      <c r="H502" s="425"/>
      <c r="I502" s="584"/>
      <c r="J502" s="584"/>
      <c r="K502" s="584"/>
      <c r="L502" s="584"/>
      <c r="M502" s="587"/>
      <c r="N502" s="587"/>
      <c r="O502" s="585"/>
      <c r="P502" s="585"/>
      <c r="Q502" s="585"/>
      <c r="R502" s="585"/>
      <c r="S502" s="585"/>
      <c r="T502" s="585"/>
      <c r="U502" s="585"/>
      <c r="V502" s="585"/>
      <c r="W502" s="585"/>
      <c r="X502" s="585"/>
      <c r="Y502" s="585"/>
      <c r="Z502" s="585"/>
      <c r="AA502" s="585"/>
      <c r="AB502" s="585"/>
      <c r="AC502" s="585"/>
    </row>
    <row r="503" ht="29.25" customHeight="1">
      <c r="A503" s="663" t="s">
        <v>32128</v>
      </c>
      <c r="B503" s="519" t="s">
        <v>31278</v>
      </c>
      <c r="C503" s="519" t="s">
        <v>32129</v>
      </c>
      <c r="D503" s="519" t="s">
        <v>390</v>
      </c>
      <c r="E503" s="519"/>
      <c r="F503" s="425" t="s">
        <v>32130</v>
      </c>
      <c r="G503" s="425" t="s">
        <v>32131</v>
      </c>
      <c r="H503" s="425" t="s">
        <v>434</v>
      </c>
      <c r="I503" s="584"/>
      <c r="J503" s="584"/>
      <c r="K503" s="584"/>
      <c r="L503" s="584"/>
      <c r="M503" s="587" t="s">
        <v>32132</v>
      </c>
      <c r="N503" s="587" t="s">
        <v>32133</v>
      </c>
      <c r="O503" s="585"/>
      <c r="P503" s="585"/>
      <c r="Q503" s="585"/>
      <c r="R503" s="585"/>
      <c r="S503" s="585"/>
      <c r="T503" s="585"/>
      <c r="U503" s="585"/>
      <c r="V503" s="585"/>
      <c r="W503" s="585"/>
      <c r="X503" s="585"/>
      <c r="Y503" s="585"/>
      <c r="Z503" s="585"/>
      <c r="AA503" s="585"/>
      <c r="AB503" s="585"/>
      <c r="AC503" s="585"/>
    </row>
    <row r="504">
      <c r="A504" s="573" t="s">
        <v>32134</v>
      </c>
      <c r="B504" s="625" t="s">
        <v>32135</v>
      </c>
      <c r="C504" s="625" t="s">
        <v>10496</v>
      </c>
      <c r="D504" s="625" t="s">
        <v>32136</v>
      </c>
      <c r="E504" s="635"/>
      <c r="F504" s="627"/>
      <c r="G504" s="627"/>
      <c r="H504" s="627"/>
      <c r="I504" s="584"/>
      <c r="J504" s="584"/>
      <c r="K504" s="633"/>
      <c r="L504" s="584"/>
      <c r="M504" s="587">
        <v>395.0</v>
      </c>
      <c r="N504" s="593">
        <v>43960.0</v>
      </c>
      <c r="O504" s="631"/>
      <c r="P504" s="631"/>
      <c r="Q504" s="631"/>
      <c r="R504" s="631"/>
      <c r="S504" s="631"/>
      <c r="T504" s="631"/>
      <c r="U504" s="631"/>
      <c r="V504" s="631"/>
      <c r="W504" s="631"/>
      <c r="X504" s="631"/>
      <c r="Y504" s="631"/>
      <c r="Z504" s="631"/>
      <c r="AA504" s="631"/>
      <c r="AB504" s="631"/>
      <c r="AC504" s="631"/>
    </row>
    <row r="505">
      <c r="A505" s="178" t="s">
        <v>32137</v>
      </c>
      <c r="B505" s="629"/>
      <c r="C505" s="629"/>
      <c r="D505" s="629"/>
      <c r="E505" s="632"/>
      <c r="F505" s="632"/>
      <c r="G505" s="632"/>
      <c r="H505" s="598"/>
      <c r="I505" s="587">
        <v>56.0</v>
      </c>
      <c r="J505" s="593">
        <v>43870.0</v>
      </c>
      <c r="K505" s="587">
        <v>35.0</v>
      </c>
      <c r="L505" s="593">
        <v>43870.0</v>
      </c>
      <c r="M505" s="584"/>
      <c r="N505" s="584"/>
      <c r="O505" s="585"/>
      <c r="P505" s="585"/>
      <c r="Q505" s="585"/>
      <c r="R505" s="585"/>
      <c r="S505" s="585"/>
      <c r="T505" s="585"/>
      <c r="U505" s="585"/>
      <c r="V505" s="585"/>
      <c r="W505" s="585"/>
      <c r="X505" s="585"/>
      <c r="Y505" s="585"/>
      <c r="Z505" s="585"/>
      <c r="AA505" s="585"/>
      <c r="AB505" s="585"/>
      <c r="AC505" s="585"/>
    </row>
    <row r="506">
      <c r="A506" s="178" t="s">
        <v>32138</v>
      </c>
      <c r="B506" s="629" t="s">
        <v>32139</v>
      </c>
      <c r="C506" s="629" t="s">
        <v>890</v>
      </c>
      <c r="D506" s="629" t="s">
        <v>32140</v>
      </c>
      <c r="E506" s="632"/>
      <c r="F506" s="632"/>
      <c r="G506" s="632"/>
      <c r="H506" s="627"/>
      <c r="I506" s="587"/>
      <c r="J506" s="587"/>
      <c r="K506" s="633"/>
      <c r="L506" s="584"/>
      <c r="M506" s="584"/>
      <c r="N506" s="584"/>
      <c r="O506" s="631"/>
      <c r="P506" s="631"/>
      <c r="Q506" s="631"/>
      <c r="R506" s="631"/>
      <c r="S506" s="631"/>
      <c r="T506" s="631"/>
      <c r="U506" s="631"/>
      <c r="V506" s="631"/>
      <c r="W506" s="631"/>
      <c r="X506" s="631"/>
      <c r="Y506" s="631"/>
      <c r="Z506" s="631"/>
      <c r="AA506" s="631"/>
      <c r="AB506" s="631"/>
      <c r="AC506" s="631"/>
    </row>
    <row r="507" ht="21.0" customHeight="1">
      <c r="A507" s="178" t="s">
        <v>32141</v>
      </c>
      <c r="B507" s="629" t="s">
        <v>32142</v>
      </c>
      <c r="C507" s="629" t="s">
        <v>32143</v>
      </c>
      <c r="D507" s="629" t="s">
        <v>31104</v>
      </c>
      <c r="E507" s="632"/>
      <c r="F507" s="632"/>
      <c r="G507" s="632"/>
      <c r="H507" s="627"/>
      <c r="I507" s="587"/>
      <c r="J507" s="587"/>
      <c r="K507" s="633"/>
      <c r="L507" s="584"/>
      <c r="M507" s="584"/>
      <c r="N507" s="584"/>
      <c r="O507" s="631"/>
      <c r="P507" s="631"/>
      <c r="Q507" s="631"/>
      <c r="R507" s="631"/>
      <c r="S507" s="631"/>
      <c r="T507" s="631"/>
      <c r="U507" s="631"/>
      <c r="V507" s="631"/>
      <c r="W507" s="631"/>
      <c r="X507" s="631"/>
      <c r="Y507" s="631"/>
      <c r="Z507" s="631"/>
      <c r="AA507" s="631"/>
      <c r="AB507" s="631"/>
      <c r="AC507" s="631"/>
    </row>
    <row r="508">
      <c r="A508" s="178" t="s">
        <v>32144</v>
      </c>
      <c r="B508" s="629" t="s">
        <v>30998</v>
      </c>
      <c r="C508" s="629" t="s">
        <v>4681</v>
      </c>
      <c r="D508" s="629" t="s">
        <v>31850</v>
      </c>
      <c r="E508" s="632"/>
      <c r="F508" s="632"/>
      <c r="G508" s="632"/>
      <c r="H508" s="627"/>
      <c r="I508" s="587"/>
      <c r="J508" s="587"/>
      <c r="K508" s="633"/>
      <c r="L508" s="584"/>
      <c r="M508" s="584"/>
      <c r="N508" s="584"/>
      <c r="O508" s="631"/>
      <c r="P508" s="631"/>
      <c r="Q508" s="631"/>
      <c r="R508" s="631"/>
      <c r="S508" s="631"/>
      <c r="T508" s="631"/>
      <c r="U508" s="631"/>
      <c r="V508" s="631"/>
      <c r="W508" s="631"/>
      <c r="X508" s="631"/>
      <c r="Y508" s="631"/>
      <c r="Z508" s="631"/>
      <c r="AA508" s="631"/>
      <c r="AB508" s="631"/>
      <c r="AC508" s="631"/>
    </row>
    <row r="509">
      <c r="A509" s="178" t="s">
        <v>32145</v>
      </c>
      <c r="B509" s="629"/>
      <c r="C509" s="629" t="s">
        <v>4681</v>
      </c>
      <c r="D509" s="629" t="s">
        <v>15471</v>
      </c>
      <c r="E509" s="632"/>
      <c r="F509" s="632"/>
      <c r="G509" s="632"/>
      <c r="H509" s="627"/>
      <c r="I509" s="587">
        <v>4.5</v>
      </c>
      <c r="J509" s="587" t="s">
        <v>31781</v>
      </c>
      <c r="K509" s="633"/>
      <c r="L509" s="584"/>
      <c r="M509" s="584"/>
      <c r="N509" s="584"/>
      <c r="O509" s="631"/>
      <c r="P509" s="631"/>
      <c r="Q509" s="631"/>
      <c r="R509" s="631"/>
      <c r="S509" s="631"/>
      <c r="T509" s="631"/>
      <c r="U509" s="631"/>
      <c r="V509" s="631"/>
      <c r="W509" s="631"/>
      <c r="X509" s="631"/>
      <c r="Y509" s="631"/>
      <c r="Z509" s="631"/>
      <c r="AA509" s="631"/>
      <c r="AB509" s="631"/>
      <c r="AC509" s="631"/>
    </row>
    <row r="510">
      <c r="A510" s="178" t="s">
        <v>32146</v>
      </c>
      <c r="B510" s="629" t="s">
        <v>32147</v>
      </c>
      <c r="C510" s="629" t="s">
        <v>32148</v>
      </c>
      <c r="D510" s="629" t="s">
        <v>32149</v>
      </c>
      <c r="E510" s="634" t="s">
        <v>6670</v>
      </c>
      <c r="F510" s="632"/>
      <c r="G510" s="632"/>
      <c r="H510" s="627"/>
      <c r="I510" s="584"/>
      <c r="J510" s="584"/>
      <c r="K510" s="633"/>
      <c r="L510" s="584"/>
      <c r="M510" s="584"/>
      <c r="N510" s="584"/>
      <c r="O510" s="631"/>
      <c r="P510" s="631"/>
      <c r="Q510" s="631"/>
      <c r="R510" s="631"/>
      <c r="S510" s="631"/>
      <c r="T510" s="631"/>
      <c r="U510" s="631"/>
      <c r="V510" s="631"/>
      <c r="W510" s="631"/>
      <c r="X510" s="631"/>
      <c r="Y510" s="631"/>
      <c r="Z510" s="631"/>
      <c r="AA510" s="631"/>
      <c r="AB510" s="631"/>
      <c r="AC510" s="631"/>
    </row>
    <row r="511">
      <c r="A511" s="178" t="s">
        <v>32150</v>
      </c>
      <c r="B511" s="629"/>
      <c r="C511" s="629" t="s">
        <v>32151</v>
      </c>
      <c r="D511" s="629" t="s">
        <v>32152</v>
      </c>
      <c r="E511" s="632"/>
      <c r="F511" s="632"/>
      <c r="G511" s="632"/>
      <c r="H511" s="627"/>
      <c r="I511" s="584"/>
      <c r="J511" s="584"/>
      <c r="K511" s="633"/>
      <c r="L511" s="584"/>
      <c r="M511" s="584"/>
      <c r="N511" s="584"/>
      <c r="O511" s="631"/>
      <c r="P511" s="631"/>
      <c r="Q511" s="631"/>
      <c r="R511" s="631"/>
      <c r="S511" s="631"/>
      <c r="T511" s="631"/>
      <c r="U511" s="631"/>
      <c r="V511" s="631"/>
      <c r="W511" s="631"/>
      <c r="X511" s="631"/>
      <c r="Y511" s="631"/>
      <c r="Z511" s="631"/>
      <c r="AA511" s="631"/>
      <c r="AB511" s="631"/>
      <c r="AC511" s="631"/>
    </row>
    <row r="512">
      <c r="A512" s="178" t="s">
        <v>32153</v>
      </c>
      <c r="B512" s="629" t="s">
        <v>32154</v>
      </c>
      <c r="C512" s="629" t="s">
        <v>32155</v>
      </c>
      <c r="D512" s="629"/>
      <c r="E512" s="632"/>
      <c r="F512" s="632"/>
      <c r="G512" s="632"/>
      <c r="H512" s="627"/>
      <c r="I512" s="587"/>
      <c r="J512" s="593"/>
      <c r="K512" s="633"/>
      <c r="L512" s="584"/>
      <c r="M512" s="584"/>
      <c r="N512" s="584"/>
      <c r="O512" s="631"/>
      <c r="P512" s="631"/>
      <c r="Q512" s="631"/>
      <c r="R512" s="631"/>
      <c r="S512" s="631"/>
      <c r="T512" s="631"/>
      <c r="U512" s="631"/>
      <c r="V512" s="631"/>
      <c r="W512" s="631"/>
      <c r="X512" s="631"/>
      <c r="Y512" s="631"/>
      <c r="Z512" s="631"/>
      <c r="AA512" s="631"/>
      <c r="AB512" s="631"/>
      <c r="AC512" s="631"/>
    </row>
    <row r="513">
      <c r="A513" s="178" t="s">
        <v>32156</v>
      </c>
      <c r="B513" s="629"/>
      <c r="C513" s="629" t="s">
        <v>31395</v>
      </c>
      <c r="D513" s="629" t="s">
        <v>4017</v>
      </c>
      <c r="E513" s="632"/>
      <c r="F513" s="632"/>
      <c r="G513" s="632"/>
      <c r="H513" s="627"/>
      <c r="I513" s="587"/>
      <c r="J513" s="593"/>
      <c r="K513" s="633"/>
      <c r="L513" s="584"/>
      <c r="M513" s="584"/>
      <c r="N513" s="584"/>
      <c r="O513" s="631"/>
      <c r="P513" s="631"/>
      <c r="Q513" s="631"/>
      <c r="R513" s="631"/>
      <c r="S513" s="631"/>
      <c r="T513" s="631"/>
      <c r="U513" s="631"/>
      <c r="V513" s="631"/>
      <c r="W513" s="631"/>
      <c r="X513" s="631"/>
      <c r="Y513" s="631"/>
      <c r="Z513" s="631"/>
      <c r="AA513" s="631"/>
      <c r="AB513" s="631"/>
      <c r="AC513" s="631"/>
    </row>
    <row r="514">
      <c r="A514" s="178" t="s">
        <v>32157</v>
      </c>
      <c r="B514" s="629" t="s">
        <v>30998</v>
      </c>
      <c r="C514" s="629" t="s">
        <v>3100</v>
      </c>
      <c r="D514" s="629" t="s">
        <v>3501</v>
      </c>
      <c r="E514" s="632"/>
      <c r="F514" s="632"/>
      <c r="G514" s="632"/>
      <c r="H514" s="627"/>
      <c r="I514" s="587"/>
      <c r="J514" s="593"/>
      <c r="K514" s="633"/>
      <c r="L514" s="584"/>
      <c r="M514" s="584"/>
      <c r="N514" s="584"/>
      <c r="O514" s="631"/>
      <c r="P514" s="631"/>
      <c r="Q514" s="631"/>
      <c r="R514" s="631"/>
      <c r="S514" s="631"/>
      <c r="T514" s="631"/>
      <c r="U514" s="631"/>
      <c r="V514" s="631"/>
      <c r="W514" s="631"/>
      <c r="X514" s="631"/>
      <c r="Y514" s="631"/>
      <c r="Z514" s="631"/>
      <c r="AA514" s="631"/>
      <c r="AB514" s="631"/>
      <c r="AC514" s="631"/>
    </row>
    <row r="515">
      <c r="A515" s="178" t="s">
        <v>32158</v>
      </c>
      <c r="B515" s="629"/>
      <c r="C515" s="629" t="s">
        <v>6071</v>
      </c>
      <c r="D515" s="629" t="s">
        <v>10650</v>
      </c>
      <c r="E515" s="632"/>
      <c r="F515" s="632"/>
      <c r="G515" s="632"/>
      <c r="H515" s="627"/>
      <c r="I515" s="587"/>
      <c r="J515" s="593"/>
      <c r="K515" s="633"/>
      <c r="L515" s="584"/>
      <c r="M515" s="584"/>
      <c r="N515" s="584"/>
      <c r="O515" s="631"/>
      <c r="P515" s="631"/>
      <c r="Q515" s="631"/>
      <c r="R515" s="631"/>
      <c r="S515" s="631"/>
      <c r="T515" s="631"/>
      <c r="U515" s="631"/>
      <c r="V515" s="631"/>
      <c r="W515" s="631"/>
      <c r="X515" s="631"/>
      <c r="Y515" s="631"/>
      <c r="Z515" s="631"/>
      <c r="AA515" s="631"/>
      <c r="AB515" s="631"/>
      <c r="AC515" s="631"/>
    </row>
    <row r="516">
      <c r="A516" s="178" t="s">
        <v>32159</v>
      </c>
      <c r="B516" s="629" t="s">
        <v>31394</v>
      </c>
      <c r="C516" s="629" t="s">
        <v>4681</v>
      </c>
      <c r="D516" s="629" t="s">
        <v>32160</v>
      </c>
      <c r="E516" s="632"/>
      <c r="F516" s="632"/>
      <c r="G516" s="632"/>
      <c r="H516" s="627"/>
      <c r="I516" s="587"/>
      <c r="J516" s="593"/>
      <c r="K516" s="633"/>
      <c r="L516" s="584"/>
      <c r="M516" s="584"/>
      <c r="N516" s="584"/>
      <c r="O516" s="631"/>
      <c r="P516" s="631"/>
      <c r="Q516" s="631"/>
      <c r="R516" s="631"/>
      <c r="S516" s="631"/>
      <c r="T516" s="631"/>
      <c r="U516" s="631"/>
      <c r="V516" s="631"/>
      <c r="W516" s="631"/>
      <c r="X516" s="631"/>
      <c r="Y516" s="631"/>
      <c r="Z516" s="631"/>
      <c r="AA516" s="631"/>
      <c r="AB516" s="631"/>
      <c r="AC516" s="631"/>
    </row>
    <row r="517">
      <c r="A517" s="178" t="s">
        <v>32161</v>
      </c>
      <c r="B517" s="629" t="s">
        <v>30998</v>
      </c>
      <c r="C517" s="629" t="s">
        <v>4681</v>
      </c>
      <c r="D517" s="629" t="s">
        <v>32160</v>
      </c>
      <c r="E517" s="632"/>
      <c r="F517" s="632"/>
      <c r="G517" s="632"/>
      <c r="H517" s="627"/>
      <c r="I517" s="587"/>
      <c r="J517" s="593"/>
      <c r="K517" s="633"/>
      <c r="L517" s="584"/>
      <c r="M517" s="584"/>
      <c r="N517" s="584"/>
      <c r="O517" s="631"/>
      <c r="P517" s="631"/>
      <c r="Q517" s="631"/>
      <c r="R517" s="631"/>
      <c r="S517" s="631"/>
      <c r="T517" s="631"/>
      <c r="U517" s="631"/>
      <c r="V517" s="631"/>
      <c r="W517" s="631"/>
      <c r="X517" s="631"/>
      <c r="Y517" s="631"/>
      <c r="Z517" s="631"/>
      <c r="AA517" s="631"/>
      <c r="AB517" s="631"/>
      <c r="AC517" s="631"/>
    </row>
    <row r="518">
      <c r="A518" s="178" t="s">
        <v>32162</v>
      </c>
      <c r="B518" s="629" t="s">
        <v>30998</v>
      </c>
      <c r="C518" s="629" t="s">
        <v>6071</v>
      </c>
      <c r="D518" s="629" t="s">
        <v>3486</v>
      </c>
      <c r="E518" s="632"/>
      <c r="F518" s="632"/>
      <c r="G518" s="632"/>
      <c r="H518" s="627"/>
      <c r="I518" s="587"/>
      <c r="J518" s="593"/>
      <c r="K518" s="633"/>
      <c r="L518" s="584"/>
      <c r="M518" s="584"/>
      <c r="N518" s="584"/>
      <c r="O518" s="631"/>
      <c r="P518" s="631"/>
      <c r="Q518" s="631"/>
      <c r="R518" s="631"/>
      <c r="S518" s="631"/>
      <c r="T518" s="631"/>
      <c r="U518" s="631"/>
      <c r="V518" s="631"/>
      <c r="W518" s="631"/>
      <c r="X518" s="631"/>
      <c r="Y518" s="631"/>
      <c r="Z518" s="631"/>
      <c r="AA518" s="631"/>
      <c r="AB518" s="631"/>
      <c r="AC518" s="631"/>
    </row>
    <row r="519">
      <c r="A519" s="178" t="s">
        <v>32163</v>
      </c>
      <c r="B519" s="629"/>
      <c r="C519" s="629" t="s">
        <v>31527</v>
      </c>
      <c r="D519" s="629" t="s">
        <v>9076</v>
      </c>
      <c r="E519" s="632"/>
      <c r="F519" s="632"/>
      <c r="G519" s="632"/>
      <c r="H519" s="627"/>
      <c r="I519" s="587"/>
      <c r="J519" s="593"/>
      <c r="K519" s="633"/>
      <c r="L519" s="584"/>
      <c r="M519" s="584"/>
      <c r="N519" s="584"/>
      <c r="O519" s="631"/>
      <c r="P519" s="631"/>
      <c r="Q519" s="631"/>
      <c r="R519" s="631"/>
      <c r="S519" s="631"/>
      <c r="T519" s="631"/>
      <c r="U519" s="631"/>
      <c r="V519" s="631"/>
      <c r="W519" s="631"/>
      <c r="X519" s="631"/>
      <c r="Y519" s="631"/>
      <c r="Z519" s="631"/>
      <c r="AA519" s="631"/>
      <c r="AB519" s="631"/>
      <c r="AC519" s="631"/>
    </row>
    <row r="520">
      <c r="A520" s="178" t="s">
        <v>32164</v>
      </c>
      <c r="B520" s="629" t="s">
        <v>32165</v>
      </c>
      <c r="C520" s="629" t="s">
        <v>12032</v>
      </c>
      <c r="D520" s="629" t="s">
        <v>113</v>
      </c>
      <c r="E520" s="632"/>
      <c r="F520" s="632"/>
      <c r="G520" s="632"/>
      <c r="H520" s="627"/>
      <c r="I520" s="587"/>
      <c r="J520" s="593"/>
      <c r="K520" s="633"/>
      <c r="L520" s="584"/>
      <c r="M520" s="584"/>
      <c r="N520" s="584"/>
      <c r="O520" s="631"/>
      <c r="P520" s="631"/>
      <c r="Q520" s="631"/>
      <c r="R520" s="631"/>
      <c r="S520" s="631"/>
      <c r="T520" s="631"/>
      <c r="U520" s="631"/>
      <c r="V520" s="631"/>
      <c r="W520" s="631"/>
      <c r="X520" s="631"/>
      <c r="Y520" s="631"/>
      <c r="Z520" s="631"/>
      <c r="AA520" s="631"/>
      <c r="AB520" s="631"/>
      <c r="AC520" s="631"/>
    </row>
    <row r="521">
      <c r="A521" s="178" t="s">
        <v>32150</v>
      </c>
      <c r="B521" s="629" t="s">
        <v>32165</v>
      </c>
      <c r="C521" s="629" t="s">
        <v>31360</v>
      </c>
      <c r="D521" s="629" t="s">
        <v>31613</v>
      </c>
      <c r="E521" s="632"/>
      <c r="F521" s="632"/>
      <c r="G521" s="632"/>
      <c r="H521" s="627"/>
      <c r="I521" s="587"/>
      <c r="J521" s="593"/>
      <c r="K521" s="633"/>
      <c r="L521" s="584"/>
      <c r="M521" s="584"/>
      <c r="N521" s="584"/>
      <c r="O521" s="631"/>
      <c r="P521" s="631"/>
      <c r="Q521" s="631"/>
      <c r="R521" s="631"/>
      <c r="S521" s="631"/>
      <c r="T521" s="631"/>
      <c r="U521" s="631"/>
      <c r="V521" s="631"/>
      <c r="W521" s="631"/>
      <c r="X521" s="631"/>
      <c r="Y521" s="631"/>
      <c r="Z521" s="631"/>
      <c r="AA521" s="631"/>
      <c r="AB521" s="631"/>
      <c r="AC521" s="631"/>
    </row>
    <row r="522">
      <c r="A522" s="178" t="s">
        <v>32166</v>
      </c>
      <c r="B522" s="629" t="s">
        <v>31594</v>
      </c>
      <c r="C522" s="629" t="s">
        <v>4681</v>
      </c>
      <c r="D522" s="629" t="s">
        <v>32167</v>
      </c>
      <c r="E522" s="632"/>
      <c r="F522" s="632"/>
      <c r="G522" s="632"/>
      <c r="H522" s="627"/>
      <c r="I522" s="587" t="s">
        <v>32168</v>
      </c>
      <c r="J522" s="593">
        <v>44024.0</v>
      </c>
      <c r="K522" s="633"/>
      <c r="L522" s="584"/>
      <c r="M522" s="584"/>
      <c r="N522" s="584"/>
      <c r="O522" s="631"/>
      <c r="P522" s="631"/>
      <c r="Q522" s="631"/>
      <c r="R522" s="631"/>
      <c r="S522" s="631"/>
      <c r="T522" s="631"/>
      <c r="U522" s="631"/>
      <c r="V522" s="631"/>
      <c r="W522" s="631"/>
      <c r="X522" s="631"/>
      <c r="Y522" s="631"/>
      <c r="Z522" s="631"/>
      <c r="AA522" s="631"/>
      <c r="AB522" s="631"/>
      <c r="AC522" s="631"/>
    </row>
    <row r="523">
      <c r="A523" s="178" t="s">
        <v>32169</v>
      </c>
      <c r="B523" s="629" t="s">
        <v>32170</v>
      </c>
      <c r="C523" s="629" t="s">
        <v>32171</v>
      </c>
      <c r="D523" s="629" t="s">
        <v>1678</v>
      </c>
      <c r="E523" s="632"/>
      <c r="F523" s="632"/>
      <c r="G523" s="632"/>
      <c r="H523" s="627"/>
      <c r="I523" s="587">
        <v>17.0</v>
      </c>
      <c r="J523" s="587" t="s">
        <v>32172</v>
      </c>
      <c r="K523" s="633"/>
      <c r="L523" s="584"/>
      <c r="M523" s="584"/>
      <c r="N523" s="584"/>
      <c r="O523" s="631"/>
      <c r="P523" s="631"/>
      <c r="Q523" s="631"/>
      <c r="R523" s="631"/>
      <c r="S523" s="631"/>
      <c r="T523" s="631"/>
      <c r="U523" s="631"/>
      <c r="V523" s="631"/>
      <c r="W523" s="631"/>
      <c r="X523" s="631"/>
      <c r="Y523" s="631"/>
      <c r="Z523" s="631"/>
      <c r="AA523" s="631"/>
      <c r="AB523" s="631"/>
      <c r="AC523" s="631"/>
    </row>
    <row r="524">
      <c r="A524" s="178" t="s">
        <v>9226</v>
      </c>
      <c r="B524" s="632"/>
      <c r="C524" s="632"/>
      <c r="D524" s="632"/>
      <c r="E524" s="632"/>
      <c r="F524" s="632"/>
      <c r="G524" s="632"/>
      <c r="H524" s="598"/>
      <c r="I524" s="587"/>
      <c r="J524" s="587"/>
      <c r="K524" s="587" t="s">
        <v>32173</v>
      </c>
      <c r="L524" s="593">
        <v>43930.0</v>
      </c>
      <c r="M524" s="584"/>
      <c r="N524" s="584"/>
      <c r="O524" s="585"/>
      <c r="P524" s="585"/>
      <c r="Q524" s="585"/>
      <c r="R524" s="585"/>
      <c r="S524" s="585"/>
      <c r="T524" s="585"/>
      <c r="U524" s="585"/>
      <c r="V524" s="585"/>
      <c r="W524" s="585"/>
      <c r="X524" s="585"/>
      <c r="Y524" s="585"/>
      <c r="Z524" s="585"/>
      <c r="AA524" s="585"/>
      <c r="AB524" s="585"/>
      <c r="AC524" s="585"/>
    </row>
    <row r="525">
      <c r="A525" s="178" t="s">
        <v>32174</v>
      </c>
      <c r="B525" s="634" t="s">
        <v>30998</v>
      </c>
      <c r="C525" s="634" t="s">
        <v>31001</v>
      </c>
      <c r="D525" s="634" t="s">
        <v>1468</v>
      </c>
      <c r="E525" s="632"/>
      <c r="F525" s="632"/>
      <c r="G525" s="632"/>
      <c r="H525" s="598"/>
      <c r="I525" s="587"/>
      <c r="J525" s="587"/>
      <c r="K525" s="587"/>
      <c r="L525" s="593"/>
      <c r="M525" s="584"/>
      <c r="N525" s="584"/>
      <c r="O525" s="585"/>
      <c r="P525" s="585"/>
      <c r="Q525" s="585"/>
      <c r="R525" s="585"/>
      <c r="S525" s="585"/>
      <c r="T525" s="585"/>
      <c r="U525" s="585"/>
      <c r="V525" s="585"/>
      <c r="W525" s="585"/>
      <c r="X525" s="585"/>
      <c r="Y525" s="585"/>
      <c r="Z525" s="585"/>
      <c r="AA525" s="585"/>
      <c r="AB525" s="585"/>
      <c r="AC525" s="585"/>
    </row>
    <row r="526">
      <c r="A526" s="178" t="s">
        <v>32175</v>
      </c>
      <c r="B526" s="632"/>
      <c r="C526" s="634" t="s">
        <v>2947</v>
      </c>
      <c r="D526" s="634" t="s">
        <v>1493</v>
      </c>
      <c r="E526" s="632"/>
      <c r="F526" s="632"/>
      <c r="G526" s="632"/>
      <c r="H526" s="598"/>
      <c r="I526" s="587"/>
      <c r="J526" s="587"/>
      <c r="K526" s="587"/>
      <c r="L526" s="593"/>
      <c r="M526" s="584"/>
      <c r="N526" s="584"/>
      <c r="O526" s="585"/>
      <c r="P526" s="585"/>
      <c r="Q526" s="585"/>
      <c r="R526" s="585"/>
      <c r="S526" s="585"/>
      <c r="T526" s="585"/>
      <c r="U526" s="585"/>
      <c r="V526" s="585"/>
      <c r="W526" s="585"/>
      <c r="X526" s="585"/>
      <c r="Y526" s="585"/>
      <c r="Z526" s="585"/>
      <c r="AA526" s="585"/>
      <c r="AB526" s="585"/>
      <c r="AC526" s="585"/>
    </row>
    <row r="527">
      <c r="A527" s="178" t="s">
        <v>14738</v>
      </c>
      <c r="B527" s="629"/>
      <c r="C527" s="629" t="s">
        <v>3100</v>
      </c>
      <c r="D527" s="629" t="s">
        <v>32176</v>
      </c>
      <c r="E527" s="632"/>
      <c r="F527" s="632"/>
      <c r="G527" s="632"/>
      <c r="H527" s="627"/>
      <c r="I527" s="587">
        <v>4.5</v>
      </c>
      <c r="J527" s="587" t="s">
        <v>32177</v>
      </c>
      <c r="K527" s="630">
        <v>1.6</v>
      </c>
      <c r="L527" s="587" t="s">
        <v>32177</v>
      </c>
      <c r="M527" s="584"/>
      <c r="N527" s="584"/>
      <c r="O527" s="631"/>
      <c r="P527" s="631"/>
      <c r="Q527" s="631"/>
      <c r="R527" s="631"/>
      <c r="S527" s="631"/>
      <c r="T527" s="631"/>
      <c r="U527" s="631"/>
      <c r="V527" s="631"/>
      <c r="W527" s="631"/>
      <c r="X527" s="631"/>
      <c r="Y527" s="631"/>
      <c r="Z527" s="631"/>
      <c r="AA527" s="631"/>
      <c r="AB527" s="631"/>
      <c r="AC527" s="631"/>
    </row>
    <row r="528">
      <c r="A528" s="573" t="s">
        <v>32178</v>
      </c>
      <c r="B528" s="625"/>
      <c r="C528" s="625" t="s">
        <v>11150</v>
      </c>
      <c r="D528" s="625" t="s">
        <v>17201</v>
      </c>
      <c r="E528" s="635"/>
      <c r="F528" s="627"/>
      <c r="G528" s="627"/>
      <c r="H528" s="627"/>
      <c r="I528" s="584"/>
      <c r="J528" s="584"/>
      <c r="K528" s="633"/>
      <c r="L528" s="584"/>
      <c r="M528" s="584"/>
      <c r="N528" s="584"/>
      <c r="O528" s="631"/>
      <c r="P528" s="631"/>
      <c r="Q528" s="631"/>
      <c r="R528" s="631"/>
      <c r="S528" s="631"/>
      <c r="T528" s="631"/>
      <c r="U528" s="631"/>
      <c r="V528" s="631"/>
      <c r="W528" s="631"/>
      <c r="X528" s="631"/>
      <c r="Y528" s="631"/>
      <c r="Z528" s="631"/>
      <c r="AA528" s="631"/>
      <c r="AB528" s="631"/>
      <c r="AC528" s="631"/>
    </row>
    <row r="529">
      <c r="A529" s="178" t="s">
        <v>32179</v>
      </c>
      <c r="B529" s="629"/>
      <c r="C529" s="629" t="s">
        <v>3443</v>
      </c>
      <c r="D529" s="629" t="s">
        <v>4752</v>
      </c>
      <c r="E529" s="632"/>
      <c r="F529" s="632"/>
      <c r="G529" s="632"/>
      <c r="H529" s="627"/>
      <c r="I529" s="587"/>
      <c r="J529" s="587"/>
      <c r="K529" s="633"/>
      <c r="L529" s="584"/>
      <c r="M529" s="584"/>
      <c r="N529" s="584"/>
      <c r="O529" s="631"/>
      <c r="P529" s="631"/>
      <c r="Q529" s="631"/>
      <c r="R529" s="631"/>
      <c r="S529" s="631"/>
      <c r="T529" s="631"/>
      <c r="U529" s="631"/>
      <c r="V529" s="631"/>
      <c r="W529" s="631"/>
      <c r="X529" s="631"/>
      <c r="Y529" s="631"/>
      <c r="Z529" s="631"/>
      <c r="AA529" s="631"/>
      <c r="AB529" s="631"/>
      <c r="AC529" s="631"/>
    </row>
    <row r="530">
      <c r="A530" s="178" t="s">
        <v>5014</v>
      </c>
      <c r="B530" s="629"/>
      <c r="C530" s="629"/>
      <c r="D530" s="629"/>
      <c r="E530" s="632"/>
      <c r="F530" s="632"/>
      <c r="G530" s="632"/>
      <c r="H530" s="627"/>
      <c r="I530" s="587">
        <v>18.0</v>
      </c>
      <c r="J530" s="587" t="s">
        <v>32180</v>
      </c>
      <c r="K530" s="633"/>
      <c r="L530" s="584"/>
      <c r="M530" s="584"/>
      <c r="N530" s="584"/>
      <c r="O530" s="631"/>
      <c r="P530" s="631"/>
      <c r="Q530" s="631"/>
      <c r="R530" s="631"/>
      <c r="S530" s="631"/>
      <c r="T530" s="631"/>
      <c r="U530" s="631"/>
      <c r="V530" s="631"/>
      <c r="W530" s="631"/>
      <c r="X530" s="631"/>
      <c r="Y530" s="631"/>
      <c r="Z530" s="631"/>
      <c r="AA530" s="631"/>
      <c r="AB530" s="631"/>
      <c r="AC530" s="631"/>
    </row>
    <row r="531">
      <c r="A531" s="178" t="s">
        <v>32181</v>
      </c>
      <c r="B531" s="629" t="s">
        <v>32182</v>
      </c>
      <c r="C531" s="629" t="s">
        <v>13920</v>
      </c>
      <c r="D531" s="629" t="s">
        <v>32183</v>
      </c>
      <c r="E531" s="632"/>
      <c r="F531" s="632"/>
      <c r="G531" s="632"/>
      <c r="H531" s="627"/>
      <c r="I531" s="584"/>
      <c r="J531" s="584"/>
      <c r="K531" s="633"/>
      <c r="L531" s="584"/>
      <c r="M531" s="584"/>
      <c r="N531" s="584"/>
      <c r="O531" s="631"/>
      <c r="P531" s="631"/>
      <c r="Q531" s="631"/>
      <c r="R531" s="631"/>
      <c r="S531" s="631"/>
      <c r="T531" s="631"/>
      <c r="U531" s="631"/>
      <c r="V531" s="631"/>
      <c r="W531" s="631"/>
      <c r="X531" s="631"/>
      <c r="Y531" s="631"/>
      <c r="Z531" s="631"/>
      <c r="AA531" s="631"/>
      <c r="AB531" s="631"/>
      <c r="AC531" s="631"/>
    </row>
    <row r="532">
      <c r="A532" s="178" t="s">
        <v>32184</v>
      </c>
      <c r="B532" s="629"/>
      <c r="C532" s="629" t="s">
        <v>9039</v>
      </c>
      <c r="D532" s="629" t="s">
        <v>16305</v>
      </c>
      <c r="E532" s="632"/>
      <c r="F532" s="632"/>
      <c r="G532" s="632"/>
      <c r="H532" s="627"/>
      <c r="I532" s="584"/>
      <c r="J532" s="584"/>
      <c r="K532" s="633"/>
      <c r="L532" s="584"/>
      <c r="M532" s="584"/>
      <c r="N532" s="584"/>
      <c r="O532" s="631"/>
      <c r="P532" s="631"/>
      <c r="Q532" s="631"/>
      <c r="R532" s="631"/>
      <c r="S532" s="631"/>
      <c r="T532" s="631"/>
      <c r="U532" s="631"/>
      <c r="V532" s="631"/>
      <c r="W532" s="631"/>
      <c r="X532" s="631"/>
      <c r="Y532" s="631"/>
      <c r="Z532" s="631"/>
      <c r="AA532" s="631"/>
      <c r="AB532" s="631"/>
      <c r="AC532" s="631"/>
    </row>
    <row r="533">
      <c r="A533" s="178" t="s">
        <v>32185</v>
      </c>
      <c r="B533" s="629" t="s">
        <v>32186</v>
      </c>
      <c r="C533" s="629" t="s">
        <v>32187</v>
      </c>
      <c r="D533" s="629" t="s">
        <v>32188</v>
      </c>
      <c r="E533" s="632"/>
      <c r="F533" s="632"/>
      <c r="G533" s="632"/>
      <c r="H533" s="627"/>
      <c r="I533" s="584"/>
      <c r="J533" s="584"/>
      <c r="K533" s="633"/>
      <c r="L533" s="584"/>
      <c r="M533" s="584"/>
      <c r="N533" s="584"/>
      <c r="O533" s="631"/>
      <c r="P533" s="631"/>
      <c r="Q533" s="631"/>
      <c r="R533" s="631"/>
      <c r="S533" s="631"/>
      <c r="T533" s="631"/>
      <c r="U533" s="631"/>
      <c r="V533" s="631"/>
      <c r="W533" s="631"/>
      <c r="X533" s="631"/>
      <c r="Y533" s="631"/>
      <c r="Z533" s="631"/>
      <c r="AA533" s="631"/>
      <c r="AB533" s="631"/>
      <c r="AC533" s="631"/>
    </row>
    <row r="534">
      <c r="A534" s="178" t="s">
        <v>32189</v>
      </c>
      <c r="B534" s="629" t="s">
        <v>32186</v>
      </c>
      <c r="C534" s="629" t="s">
        <v>31758</v>
      </c>
      <c r="D534" s="629" t="s">
        <v>192</v>
      </c>
      <c r="E534" s="632"/>
      <c r="F534" s="632"/>
      <c r="G534" s="632"/>
      <c r="H534" s="627"/>
      <c r="I534" s="584"/>
      <c r="J534" s="584"/>
      <c r="K534" s="633"/>
      <c r="L534" s="584"/>
      <c r="M534" s="584"/>
      <c r="N534" s="584"/>
      <c r="O534" s="631"/>
      <c r="P534" s="631"/>
      <c r="Q534" s="631"/>
      <c r="R534" s="631"/>
      <c r="S534" s="631"/>
      <c r="T534" s="631"/>
      <c r="U534" s="631"/>
      <c r="V534" s="631"/>
      <c r="W534" s="631"/>
      <c r="X534" s="631"/>
      <c r="Y534" s="631"/>
      <c r="Z534" s="631"/>
      <c r="AA534" s="631"/>
      <c r="AB534" s="631"/>
      <c r="AC534" s="631"/>
    </row>
    <row r="535">
      <c r="A535" s="178" t="s">
        <v>32190</v>
      </c>
      <c r="B535" s="629" t="s">
        <v>32186</v>
      </c>
      <c r="C535" s="629" t="s">
        <v>32191</v>
      </c>
      <c r="D535" s="629" t="s">
        <v>2337</v>
      </c>
      <c r="E535" s="632"/>
      <c r="F535" s="632"/>
      <c r="G535" s="632"/>
      <c r="H535" s="627"/>
      <c r="I535" s="584"/>
      <c r="J535" s="584"/>
      <c r="K535" s="633"/>
      <c r="L535" s="584"/>
      <c r="M535" s="584"/>
      <c r="N535" s="584"/>
      <c r="O535" s="631"/>
      <c r="P535" s="631"/>
      <c r="Q535" s="631"/>
      <c r="R535" s="631"/>
      <c r="S535" s="631"/>
      <c r="T535" s="631"/>
      <c r="U535" s="631"/>
      <c r="V535" s="631"/>
      <c r="W535" s="631"/>
      <c r="X535" s="631"/>
      <c r="Y535" s="631"/>
      <c r="Z535" s="631"/>
      <c r="AA535" s="631"/>
      <c r="AB535" s="631"/>
      <c r="AC535" s="631"/>
    </row>
    <row r="536">
      <c r="A536" s="178" t="s">
        <v>32192</v>
      </c>
      <c r="B536" s="629" t="s">
        <v>30998</v>
      </c>
      <c r="C536" s="629" t="s">
        <v>6071</v>
      </c>
      <c r="D536" s="629" t="s">
        <v>760</v>
      </c>
      <c r="E536" s="632"/>
      <c r="F536" s="632"/>
      <c r="G536" s="632"/>
      <c r="H536" s="627"/>
      <c r="I536" s="584"/>
      <c r="J536" s="584"/>
      <c r="K536" s="633"/>
      <c r="L536" s="584"/>
      <c r="M536" s="584"/>
      <c r="N536" s="584"/>
      <c r="O536" s="631"/>
      <c r="P536" s="631"/>
      <c r="Q536" s="631"/>
      <c r="R536" s="631"/>
      <c r="S536" s="631"/>
      <c r="T536" s="631"/>
      <c r="U536" s="631"/>
      <c r="V536" s="631"/>
      <c r="W536" s="631"/>
      <c r="X536" s="631"/>
      <c r="Y536" s="631"/>
      <c r="Z536" s="631"/>
      <c r="AA536" s="631"/>
      <c r="AB536" s="631"/>
      <c r="AC536" s="631"/>
    </row>
    <row r="537">
      <c r="A537" s="178" t="s">
        <v>32193</v>
      </c>
      <c r="B537" s="629"/>
      <c r="C537" s="629" t="s">
        <v>3100</v>
      </c>
      <c r="D537" s="629" t="s">
        <v>4965</v>
      </c>
      <c r="E537" s="632"/>
      <c r="F537" s="632"/>
      <c r="G537" s="632"/>
      <c r="H537" s="627"/>
      <c r="I537" s="584"/>
      <c r="J537" s="584"/>
      <c r="K537" s="633"/>
      <c r="L537" s="584"/>
      <c r="M537" s="584"/>
      <c r="N537" s="584"/>
      <c r="O537" s="631"/>
      <c r="P537" s="631"/>
      <c r="Q537" s="631"/>
      <c r="R537" s="631"/>
      <c r="S537" s="631"/>
      <c r="T537" s="631"/>
      <c r="U537" s="631"/>
      <c r="V537" s="631"/>
      <c r="W537" s="631"/>
      <c r="X537" s="631"/>
      <c r="Y537" s="631"/>
      <c r="Z537" s="631"/>
      <c r="AA537" s="631"/>
      <c r="AB537" s="631"/>
      <c r="AC537" s="631"/>
    </row>
    <row r="538">
      <c r="A538" s="178" t="s">
        <v>32193</v>
      </c>
      <c r="B538" s="629" t="s">
        <v>32194</v>
      </c>
      <c r="C538" s="629" t="s">
        <v>32195</v>
      </c>
      <c r="D538" s="629" t="s">
        <v>31518</v>
      </c>
      <c r="E538" s="632"/>
      <c r="F538" s="632"/>
      <c r="G538" s="632"/>
      <c r="H538" s="627"/>
      <c r="I538" s="584"/>
      <c r="J538" s="584"/>
      <c r="K538" s="633"/>
      <c r="L538" s="584"/>
      <c r="M538" s="584"/>
      <c r="N538" s="584"/>
      <c r="O538" s="631"/>
      <c r="P538" s="631"/>
      <c r="Q538" s="631"/>
      <c r="R538" s="631"/>
      <c r="S538" s="631"/>
      <c r="T538" s="631"/>
      <c r="U538" s="631"/>
      <c r="V538" s="631"/>
      <c r="W538" s="631"/>
      <c r="X538" s="631"/>
      <c r="Y538" s="631"/>
      <c r="Z538" s="631"/>
      <c r="AA538" s="631"/>
      <c r="AB538" s="631"/>
      <c r="AC538" s="631"/>
    </row>
    <row r="539">
      <c r="A539" s="178" t="s">
        <v>32196</v>
      </c>
      <c r="B539" s="629" t="s">
        <v>32194</v>
      </c>
      <c r="C539" s="629" t="s">
        <v>32197</v>
      </c>
      <c r="D539" s="629" t="s">
        <v>31518</v>
      </c>
      <c r="E539" s="632"/>
      <c r="F539" s="632"/>
      <c r="G539" s="632"/>
      <c r="H539" s="627"/>
      <c r="I539" s="584"/>
      <c r="J539" s="584"/>
      <c r="K539" s="633"/>
      <c r="L539" s="584"/>
      <c r="M539" s="584"/>
      <c r="N539" s="584"/>
      <c r="O539" s="631"/>
      <c r="P539" s="631"/>
      <c r="Q539" s="631"/>
      <c r="R539" s="631"/>
      <c r="S539" s="631"/>
      <c r="T539" s="631"/>
      <c r="U539" s="631"/>
      <c r="V539" s="631"/>
      <c r="W539" s="631"/>
      <c r="X539" s="631"/>
      <c r="Y539" s="631"/>
      <c r="Z539" s="631"/>
      <c r="AA539" s="631"/>
      <c r="AB539" s="631"/>
      <c r="AC539" s="631"/>
    </row>
    <row r="540">
      <c r="A540" s="178" t="s">
        <v>32198</v>
      </c>
      <c r="B540" s="629" t="s">
        <v>32199</v>
      </c>
      <c r="C540" s="629" t="s">
        <v>4681</v>
      </c>
      <c r="D540" s="629" t="s">
        <v>32200</v>
      </c>
      <c r="E540" s="632"/>
      <c r="F540" s="632"/>
      <c r="G540" s="632"/>
      <c r="H540" s="627"/>
      <c r="I540" s="584"/>
      <c r="J540" s="584"/>
      <c r="K540" s="633"/>
      <c r="L540" s="584"/>
      <c r="M540" s="584"/>
      <c r="N540" s="584"/>
      <c r="O540" s="631"/>
      <c r="P540" s="631"/>
      <c r="Q540" s="631"/>
      <c r="R540" s="631"/>
      <c r="S540" s="631"/>
      <c r="T540" s="631"/>
      <c r="U540" s="631"/>
      <c r="V540" s="631"/>
      <c r="W540" s="631"/>
      <c r="X540" s="631"/>
      <c r="Y540" s="631"/>
      <c r="Z540" s="631"/>
      <c r="AA540" s="631"/>
      <c r="AB540" s="631"/>
      <c r="AC540" s="631"/>
    </row>
    <row r="541">
      <c r="A541" s="178" t="s">
        <v>32201</v>
      </c>
      <c r="B541" s="629" t="s">
        <v>30998</v>
      </c>
      <c r="C541" s="629" t="s">
        <v>4681</v>
      </c>
      <c r="D541" s="629" t="s">
        <v>32183</v>
      </c>
      <c r="E541" s="632"/>
      <c r="F541" s="632"/>
      <c r="G541" s="632"/>
      <c r="H541" s="627"/>
      <c r="I541" s="584"/>
      <c r="J541" s="584"/>
      <c r="K541" s="633"/>
      <c r="L541" s="584"/>
      <c r="M541" s="584"/>
      <c r="N541" s="584"/>
      <c r="O541" s="631"/>
      <c r="P541" s="631"/>
      <c r="Q541" s="631"/>
      <c r="R541" s="631"/>
      <c r="S541" s="631"/>
      <c r="T541" s="631"/>
      <c r="U541" s="631"/>
      <c r="V541" s="631"/>
      <c r="W541" s="631"/>
      <c r="X541" s="631"/>
      <c r="Y541" s="631"/>
      <c r="Z541" s="631"/>
      <c r="AA541" s="631"/>
      <c r="AB541" s="631"/>
      <c r="AC541" s="631"/>
    </row>
    <row r="542">
      <c r="A542" s="178" t="s">
        <v>32202</v>
      </c>
      <c r="B542" s="629" t="s">
        <v>31594</v>
      </c>
      <c r="C542" s="629" t="s">
        <v>31527</v>
      </c>
      <c r="D542" s="629" t="s">
        <v>454</v>
      </c>
      <c r="E542" s="632"/>
      <c r="F542" s="632"/>
      <c r="G542" s="632"/>
      <c r="H542" s="627"/>
      <c r="I542" s="584"/>
      <c r="J542" s="584"/>
      <c r="K542" s="633"/>
      <c r="L542" s="584"/>
      <c r="M542" s="584"/>
      <c r="N542" s="584"/>
      <c r="O542" s="631"/>
      <c r="P542" s="631"/>
      <c r="Q542" s="631"/>
      <c r="R542" s="631"/>
      <c r="S542" s="631"/>
      <c r="T542" s="631"/>
      <c r="U542" s="631"/>
      <c r="V542" s="631"/>
      <c r="W542" s="631"/>
      <c r="X542" s="631"/>
      <c r="Y542" s="631"/>
      <c r="Z542" s="631"/>
      <c r="AA542" s="631"/>
      <c r="AB542" s="631"/>
      <c r="AC542" s="631"/>
    </row>
    <row r="543">
      <c r="A543" s="178" t="s">
        <v>32203</v>
      </c>
      <c r="B543" s="629"/>
      <c r="C543" s="629" t="s">
        <v>31514</v>
      </c>
      <c r="D543" s="629" t="s">
        <v>1066</v>
      </c>
      <c r="E543" s="632"/>
      <c r="F543" s="632"/>
      <c r="G543" s="632"/>
      <c r="H543" s="627"/>
      <c r="I543" s="584"/>
      <c r="J543" s="584"/>
      <c r="K543" s="633"/>
      <c r="L543" s="584"/>
      <c r="M543" s="584"/>
      <c r="N543" s="584"/>
      <c r="O543" s="631"/>
      <c r="P543" s="631"/>
      <c r="Q543" s="631"/>
      <c r="R543" s="631"/>
      <c r="S543" s="631"/>
      <c r="T543" s="631"/>
      <c r="U543" s="631"/>
      <c r="V543" s="631"/>
      <c r="W543" s="631"/>
      <c r="X543" s="631"/>
      <c r="Y543" s="631"/>
      <c r="Z543" s="631"/>
      <c r="AA543" s="631"/>
      <c r="AB543" s="631"/>
      <c r="AC543" s="631"/>
    </row>
    <row r="544">
      <c r="A544" s="178" t="s">
        <v>32204</v>
      </c>
      <c r="B544" s="629" t="s">
        <v>31011</v>
      </c>
      <c r="C544" s="629" t="s">
        <v>31395</v>
      </c>
      <c r="D544" s="629" t="s">
        <v>32205</v>
      </c>
      <c r="E544" s="632"/>
      <c r="F544" s="632"/>
      <c r="G544" s="632"/>
      <c r="H544" s="627"/>
      <c r="I544" s="584"/>
      <c r="J544" s="584"/>
      <c r="K544" s="633"/>
      <c r="L544" s="584"/>
      <c r="M544" s="584"/>
      <c r="N544" s="584"/>
      <c r="O544" s="631"/>
      <c r="P544" s="631"/>
      <c r="Q544" s="631"/>
      <c r="R544" s="631"/>
      <c r="S544" s="631"/>
      <c r="T544" s="631"/>
      <c r="U544" s="631"/>
      <c r="V544" s="631"/>
      <c r="W544" s="631"/>
      <c r="X544" s="631"/>
      <c r="Y544" s="631"/>
      <c r="Z544" s="631"/>
      <c r="AA544" s="631"/>
      <c r="AB544" s="631"/>
      <c r="AC544" s="631"/>
    </row>
    <row r="545">
      <c r="A545" s="178" t="s">
        <v>178</v>
      </c>
      <c r="B545" s="629"/>
      <c r="C545" s="629" t="s">
        <v>11355</v>
      </c>
      <c r="D545" s="629" t="s">
        <v>32206</v>
      </c>
      <c r="E545" s="632"/>
      <c r="F545" s="632"/>
      <c r="G545" s="632"/>
      <c r="H545" s="627"/>
      <c r="I545" s="584"/>
      <c r="J545" s="584"/>
      <c r="K545" s="633"/>
      <c r="L545" s="584"/>
      <c r="M545" s="584"/>
      <c r="N545" s="584"/>
      <c r="O545" s="631"/>
      <c r="P545" s="631"/>
      <c r="Q545" s="631"/>
      <c r="R545" s="631"/>
      <c r="S545" s="631"/>
      <c r="T545" s="631"/>
      <c r="U545" s="631"/>
      <c r="V545" s="631"/>
      <c r="W545" s="631"/>
      <c r="X545" s="631"/>
      <c r="Y545" s="631"/>
      <c r="Z545" s="631"/>
      <c r="AA545" s="631"/>
      <c r="AB545" s="631"/>
      <c r="AC545" s="631"/>
    </row>
    <row r="546">
      <c r="A546" s="178" t="s">
        <v>32207</v>
      </c>
      <c r="B546" s="629" t="s">
        <v>30949</v>
      </c>
      <c r="C546" s="629" t="s">
        <v>32208</v>
      </c>
      <c r="D546" s="629" t="s">
        <v>32209</v>
      </c>
      <c r="E546" s="632"/>
      <c r="F546" s="632"/>
      <c r="G546" s="632"/>
      <c r="H546" s="627"/>
      <c r="I546" s="587"/>
      <c r="J546" s="587"/>
      <c r="K546" s="633"/>
      <c r="L546" s="584"/>
      <c r="M546" s="587"/>
      <c r="N546" s="587"/>
      <c r="O546" s="631"/>
      <c r="P546" s="631"/>
      <c r="Q546" s="631"/>
      <c r="R546" s="631"/>
      <c r="S546" s="631"/>
      <c r="T546" s="631"/>
      <c r="U546" s="631"/>
      <c r="V546" s="631"/>
      <c r="W546" s="631"/>
      <c r="X546" s="631"/>
      <c r="Y546" s="631"/>
      <c r="Z546" s="631"/>
      <c r="AA546" s="631"/>
      <c r="AB546" s="631"/>
      <c r="AC546" s="631"/>
    </row>
    <row r="547">
      <c r="A547" s="178" t="s">
        <v>32210</v>
      </c>
      <c r="B547" s="629" t="s">
        <v>30949</v>
      </c>
      <c r="C547" s="629" t="s">
        <v>31191</v>
      </c>
      <c r="D547" s="629" t="s">
        <v>32211</v>
      </c>
      <c r="E547" s="632"/>
      <c r="F547" s="632"/>
      <c r="G547" s="632"/>
      <c r="H547" s="627"/>
      <c r="I547" s="587"/>
      <c r="J547" s="587"/>
      <c r="K547" s="633"/>
      <c r="L547" s="584"/>
      <c r="M547" s="587"/>
      <c r="N547" s="587"/>
      <c r="O547" s="631"/>
      <c r="P547" s="631"/>
      <c r="Q547" s="631"/>
      <c r="R547" s="631"/>
      <c r="S547" s="631"/>
      <c r="T547" s="631"/>
      <c r="U547" s="631"/>
      <c r="V547" s="631"/>
      <c r="W547" s="631"/>
      <c r="X547" s="631"/>
      <c r="Y547" s="631"/>
      <c r="Z547" s="631"/>
      <c r="AA547" s="631"/>
      <c r="AB547" s="631"/>
      <c r="AC547" s="631"/>
    </row>
    <row r="548">
      <c r="A548" s="178" t="s">
        <v>32212</v>
      </c>
      <c r="B548" s="629" t="s">
        <v>30949</v>
      </c>
      <c r="C548" s="629" t="s">
        <v>11138</v>
      </c>
      <c r="D548" s="629" t="s">
        <v>32061</v>
      </c>
      <c r="E548" s="632"/>
      <c r="F548" s="632"/>
      <c r="G548" s="632"/>
      <c r="H548" s="627"/>
      <c r="I548" s="587"/>
      <c r="J548" s="587"/>
      <c r="K548" s="633"/>
      <c r="L548" s="584"/>
      <c r="M548" s="587"/>
      <c r="N548" s="587"/>
      <c r="O548" s="631"/>
      <c r="P548" s="631"/>
      <c r="Q548" s="631"/>
      <c r="R548" s="631"/>
      <c r="S548" s="631"/>
      <c r="T548" s="631"/>
      <c r="U548" s="631"/>
      <c r="V548" s="631"/>
      <c r="W548" s="631"/>
      <c r="X548" s="631"/>
      <c r="Y548" s="631"/>
      <c r="Z548" s="631"/>
      <c r="AA548" s="631"/>
      <c r="AB548" s="631"/>
      <c r="AC548" s="631"/>
    </row>
    <row r="549" ht="21.0" customHeight="1">
      <c r="A549" s="178" t="s">
        <v>32213</v>
      </c>
      <c r="B549" s="629"/>
      <c r="C549" s="629" t="s">
        <v>3943</v>
      </c>
      <c r="D549" s="629" t="s">
        <v>3034</v>
      </c>
      <c r="E549" s="632"/>
      <c r="F549" s="632"/>
      <c r="G549" s="632"/>
      <c r="H549" s="627"/>
      <c r="I549" s="587"/>
      <c r="J549" s="587"/>
      <c r="K549" s="633"/>
      <c r="L549" s="584"/>
      <c r="M549" s="587"/>
      <c r="N549" s="587"/>
      <c r="O549" s="631"/>
      <c r="P549" s="631"/>
      <c r="Q549" s="631"/>
      <c r="R549" s="631"/>
      <c r="S549" s="631"/>
      <c r="T549" s="631"/>
      <c r="U549" s="631"/>
      <c r="V549" s="631"/>
      <c r="W549" s="631"/>
      <c r="X549" s="631"/>
      <c r="Y549" s="631"/>
      <c r="Z549" s="631"/>
      <c r="AA549" s="631"/>
      <c r="AB549" s="631"/>
      <c r="AC549" s="631"/>
    </row>
    <row r="550" ht="23.25" customHeight="1">
      <c r="A550" s="178" t="s">
        <v>32214</v>
      </c>
      <c r="B550" s="629" t="s">
        <v>30949</v>
      </c>
      <c r="C550" s="629" t="s">
        <v>3809</v>
      </c>
      <c r="D550" s="629" t="s">
        <v>30980</v>
      </c>
      <c r="E550" s="632"/>
      <c r="F550" s="632"/>
      <c r="G550" s="632"/>
      <c r="H550" s="627"/>
      <c r="I550" s="587"/>
      <c r="J550" s="587"/>
      <c r="K550" s="633"/>
      <c r="L550" s="584"/>
      <c r="M550" s="587"/>
      <c r="N550" s="587"/>
      <c r="O550" s="631"/>
      <c r="P550" s="631"/>
      <c r="Q550" s="631"/>
      <c r="R550" s="631"/>
      <c r="S550" s="631"/>
      <c r="T550" s="631"/>
      <c r="U550" s="631"/>
      <c r="V550" s="631"/>
      <c r="W550" s="631"/>
      <c r="X550" s="631"/>
      <c r="Y550" s="631"/>
      <c r="Z550" s="631"/>
      <c r="AA550" s="631"/>
      <c r="AB550" s="631"/>
      <c r="AC550" s="631"/>
    </row>
    <row r="551" ht="23.25" customHeight="1">
      <c r="A551" s="178" t="s">
        <v>32215</v>
      </c>
      <c r="B551" s="629" t="s">
        <v>30949</v>
      </c>
      <c r="C551" s="629" t="s">
        <v>137</v>
      </c>
      <c r="D551" s="629" t="s">
        <v>32216</v>
      </c>
      <c r="E551" s="632"/>
      <c r="F551" s="632"/>
      <c r="G551" s="632"/>
      <c r="H551" s="627"/>
      <c r="I551" s="587"/>
      <c r="J551" s="587"/>
      <c r="K551" s="633"/>
      <c r="L551" s="584"/>
      <c r="M551" s="587"/>
      <c r="N551" s="587"/>
      <c r="O551" s="631"/>
      <c r="P551" s="631"/>
      <c r="Q551" s="631"/>
      <c r="R551" s="631"/>
      <c r="S551" s="631"/>
      <c r="T551" s="631"/>
      <c r="U551" s="631"/>
      <c r="V551" s="631"/>
      <c r="W551" s="631"/>
      <c r="X551" s="631"/>
      <c r="Y551" s="631"/>
      <c r="Z551" s="631"/>
      <c r="AA551" s="631"/>
      <c r="AB551" s="631"/>
      <c r="AC551" s="631"/>
    </row>
    <row r="552" ht="24.75" customHeight="1">
      <c r="A552" s="178" t="s">
        <v>32217</v>
      </c>
      <c r="B552" s="629" t="s">
        <v>30949</v>
      </c>
      <c r="C552" s="629" t="s">
        <v>3943</v>
      </c>
      <c r="D552" s="629" t="s">
        <v>32218</v>
      </c>
      <c r="E552" s="632"/>
      <c r="F552" s="632"/>
      <c r="G552" s="632"/>
      <c r="H552" s="627"/>
      <c r="I552" s="587"/>
      <c r="J552" s="587"/>
      <c r="K552" s="633"/>
      <c r="L552" s="584"/>
      <c r="M552" s="587"/>
      <c r="N552" s="587"/>
      <c r="O552" s="631"/>
      <c r="P552" s="631"/>
      <c r="Q552" s="631"/>
      <c r="R552" s="631"/>
      <c r="S552" s="631"/>
      <c r="T552" s="631"/>
      <c r="U552" s="631"/>
      <c r="V552" s="631"/>
      <c r="W552" s="631"/>
      <c r="X552" s="631"/>
      <c r="Y552" s="631"/>
      <c r="Z552" s="631"/>
      <c r="AA552" s="631"/>
      <c r="AB552" s="631"/>
      <c r="AC552" s="631"/>
    </row>
    <row r="553" ht="25.5" customHeight="1">
      <c r="A553" s="178" t="s">
        <v>32219</v>
      </c>
      <c r="B553" s="629" t="s">
        <v>30949</v>
      </c>
      <c r="C553" s="629" t="s">
        <v>32220</v>
      </c>
      <c r="D553" s="629" t="s">
        <v>31224</v>
      </c>
      <c r="E553" s="632"/>
      <c r="F553" s="632"/>
      <c r="G553" s="632"/>
      <c r="H553" s="627"/>
      <c r="I553" s="587"/>
      <c r="J553" s="587"/>
      <c r="K553" s="633"/>
      <c r="L553" s="584"/>
      <c r="M553" s="587"/>
      <c r="N553" s="587"/>
      <c r="O553" s="631"/>
      <c r="P553" s="631"/>
      <c r="Q553" s="631"/>
      <c r="R553" s="631"/>
      <c r="S553" s="631"/>
      <c r="T553" s="631"/>
      <c r="U553" s="631"/>
      <c r="V553" s="631"/>
      <c r="W553" s="631"/>
      <c r="X553" s="631"/>
      <c r="Y553" s="631"/>
      <c r="Z553" s="631"/>
      <c r="AA553" s="631"/>
      <c r="AB553" s="631"/>
      <c r="AC553" s="631"/>
    </row>
    <row r="554" ht="23.25" customHeight="1">
      <c r="A554" s="178" t="s">
        <v>32221</v>
      </c>
      <c r="B554" s="629" t="s">
        <v>30949</v>
      </c>
      <c r="C554" s="629" t="s">
        <v>3943</v>
      </c>
      <c r="D554" s="629" t="s">
        <v>32218</v>
      </c>
      <c r="E554" s="632"/>
      <c r="F554" s="632"/>
      <c r="G554" s="632"/>
      <c r="H554" s="627"/>
      <c r="I554" s="587"/>
      <c r="J554" s="587"/>
      <c r="K554" s="633"/>
      <c r="L554" s="584"/>
      <c r="M554" s="587"/>
      <c r="N554" s="587"/>
      <c r="O554" s="631"/>
      <c r="P554" s="631"/>
      <c r="Q554" s="631"/>
      <c r="R554" s="631"/>
      <c r="S554" s="631"/>
      <c r="T554" s="631"/>
      <c r="U554" s="631"/>
      <c r="V554" s="631"/>
      <c r="W554" s="631"/>
      <c r="X554" s="631"/>
      <c r="Y554" s="631"/>
      <c r="Z554" s="631"/>
      <c r="AA554" s="631"/>
      <c r="AB554" s="631"/>
      <c r="AC554" s="631"/>
    </row>
    <row r="555" ht="23.25" customHeight="1">
      <c r="A555" s="178" t="s">
        <v>32222</v>
      </c>
      <c r="B555" s="629" t="s">
        <v>30949</v>
      </c>
      <c r="C555" s="629" t="s">
        <v>3809</v>
      </c>
      <c r="D555" s="629" t="s">
        <v>32223</v>
      </c>
      <c r="E555" s="632"/>
      <c r="F555" s="632"/>
      <c r="G555" s="632"/>
      <c r="H555" s="627"/>
      <c r="I555" s="587"/>
      <c r="J555" s="587"/>
      <c r="K555" s="633"/>
      <c r="L555" s="584"/>
      <c r="M555" s="587"/>
      <c r="N555" s="587"/>
      <c r="O555" s="631"/>
      <c r="P555" s="631"/>
      <c r="Q555" s="631"/>
      <c r="R555" s="631"/>
      <c r="S555" s="631"/>
      <c r="T555" s="631"/>
      <c r="U555" s="631"/>
      <c r="V555" s="631"/>
      <c r="W555" s="631"/>
      <c r="X555" s="631"/>
      <c r="Y555" s="631"/>
      <c r="Z555" s="631"/>
      <c r="AA555" s="631"/>
      <c r="AB555" s="631"/>
      <c r="AC555" s="631"/>
    </row>
    <row r="556" ht="30.75" customHeight="1">
      <c r="A556" s="178" t="s">
        <v>32224</v>
      </c>
      <c r="B556" s="629" t="s">
        <v>30949</v>
      </c>
      <c r="C556" s="629" t="s">
        <v>7973</v>
      </c>
      <c r="D556" s="629" t="s">
        <v>31631</v>
      </c>
      <c r="E556" s="632"/>
      <c r="F556" s="632"/>
      <c r="G556" s="632"/>
      <c r="H556" s="627"/>
      <c r="I556" s="587"/>
      <c r="J556" s="587"/>
      <c r="K556" s="633"/>
      <c r="L556" s="584"/>
      <c r="M556" s="587"/>
      <c r="N556" s="587"/>
      <c r="O556" s="631"/>
      <c r="P556" s="631"/>
      <c r="Q556" s="631"/>
      <c r="R556" s="631"/>
      <c r="S556" s="631"/>
      <c r="T556" s="631"/>
      <c r="U556" s="631"/>
      <c r="V556" s="631"/>
      <c r="W556" s="631"/>
      <c r="X556" s="631"/>
      <c r="Y556" s="631"/>
      <c r="Z556" s="631"/>
      <c r="AA556" s="631"/>
      <c r="AB556" s="631"/>
      <c r="AC556" s="631"/>
    </row>
    <row r="557" ht="30.75" customHeight="1">
      <c r="A557" s="178" t="s">
        <v>32225</v>
      </c>
      <c r="B557" s="629" t="s">
        <v>30949</v>
      </c>
      <c r="C557" s="629" t="s">
        <v>32226</v>
      </c>
      <c r="D557" s="629" t="s">
        <v>32227</v>
      </c>
      <c r="E557" s="632"/>
      <c r="F557" s="632"/>
      <c r="G557" s="632"/>
      <c r="H557" s="627"/>
      <c r="I557" s="587"/>
      <c r="J557" s="587"/>
      <c r="K557" s="633"/>
      <c r="L557" s="584"/>
      <c r="M557" s="587"/>
      <c r="N557" s="587"/>
      <c r="O557" s="631"/>
      <c r="P557" s="631"/>
      <c r="Q557" s="631"/>
      <c r="R557" s="631"/>
      <c r="S557" s="631"/>
      <c r="T557" s="631"/>
      <c r="U557" s="631"/>
      <c r="V557" s="631"/>
      <c r="W557" s="631"/>
      <c r="X557" s="631"/>
      <c r="Y557" s="631"/>
      <c r="Z557" s="631"/>
      <c r="AA557" s="631"/>
      <c r="AB557" s="631"/>
      <c r="AC557" s="631"/>
    </row>
    <row r="558" ht="30.75" customHeight="1">
      <c r="A558" s="178" t="s">
        <v>32228</v>
      </c>
      <c r="B558" s="629" t="s">
        <v>30949</v>
      </c>
      <c r="C558" s="629" t="s">
        <v>3495</v>
      </c>
      <c r="D558" s="629" t="s">
        <v>31204</v>
      </c>
      <c r="E558" s="632"/>
      <c r="F558" s="632"/>
      <c r="G558" s="632"/>
      <c r="H558" s="627"/>
      <c r="I558" s="587"/>
      <c r="J558" s="587"/>
      <c r="K558" s="633"/>
      <c r="L558" s="584"/>
      <c r="M558" s="587"/>
      <c r="N558" s="587"/>
      <c r="O558" s="631"/>
      <c r="P558" s="631"/>
      <c r="Q558" s="631"/>
      <c r="R558" s="631"/>
      <c r="S558" s="631"/>
      <c r="T558" s="631"/>
      <c r="U558" s="631"/>
      <c r="V558" s="631"/>
      <c r="W558" s="631"/>
      <c r="X558" s="631"/>
      <c r="Y558" s="631"/>
      <c r="Z558" s="631"/>
      <c r="AA558" s="631"/>
      <c r="AB558" s="631"/>
      <c r="AC558" s="631"/>
    </row>
    <row r="559" ht="30.75" customHeight="1">
      <c r="A559" s="178" t="s">
        <v>32229</v>
      </c>
      <c r="B559" s="629" t="s">
        <v>30949</v>
      </c>
      <c r="C559" s="629" t="s">
        <v>14157</v>
      </c>
      <c r="D559" s="629" t="s">
        <v>32230</v>
      </c>
      <c r="E559" s="632"/>
      <c r="F559" s="632"/>
      <c r="G559" s="632"/>
      <c r="H559" s="627"/>
      <c r="I559" s="587"/>
      <c r="J559" s="587"/>
      <c r="K559" s="633"/>
      <c r="L559" s="584"/>
      <c r="M559" s="587"/>
      <c r="N559" s="587"/>
      <c r="O559" s="631"/>
      <c r="P559" s="631"/>
      <c r="Q559" s="631"/>
      <c r="R559" s="631"/>
      <c r="S559" s="631"/>
      <c r="T559" s="631"/>
      <c r="U559" s="631"/>
      <c r="V559" s="631"/>
      <c r="W559" s="631"/>
      <c r="X559" s="631"/>
      <c r="Y559" s="631"/>
      <c r="Z559" s="631"/>
      <c r="AA559" s="631"/>
      <c r="AB559" s="631"/>
      <c r="AC559" s="631"/>
    </row>
    <row r="560" ht="30.75" customHeight="1">
      <c r="A560" s="178" t="s">
        <v>32231</v>
      </c>
      <c r="B560" s="629" t="s">
        <v>30949</v>
      </c>
      <c r="C560" s="629" t="s">
        <v>8804</v>
      </c>
      <c r="D560" s="629" t="s">
        <v>32232</v>
      </c>
      <c r="E560" s="632"/>
      <c r="F560" s="632"/>
      <c r="G560" s="632"/>
      <c r="H560" s="627"/>
      <c r="I560" s="587"/>
      <c r="J560" s="587"/>
      <c r="K560" s="633"/>
      <c r="L560" s="584"/>
      <c r="M560" s="587"/>
      <c r="N560" s="587"/>
      <c r="O560" s="631"/>
      <c r="P560" s="631"/>
      <c r="Q560" s="631"/>
      <c r="R560" s="631"/>
      <c r="S560" s="631"/>
      <c r="T560" s="631"/>
      <c r="U560" s="631"/>
      <c r="V560" s="631"/>
      <c r="W560" s="631"/>
      <c r="X560" s="631"/>
      <c r="Y560" s="631"/>
      <c r="Z560" s="631"/>
      <c r="AA560" s="631"/>
      <c r="AB560" s="631"/>
      <c r="AC560" s="631"/>
    </row>
    <row r="561" ht="23.25" customHeight="1">
      <c r="A561" s="178" t="s">
        <v>32233</v>
      </c>
      <c r="B561" s="629" t="s">
        <v>30949</v>
      </c>
      <c r="C561" s="629" t="s">
        <v>9170</v>
      </c>
      <c r="D561" s="629" t="s">
        <v>32234</v>
      </c>
      <c r="E561" s="632"/>
      <c r="F561" s="632"/>
      <c r="G561" s="632"/>
      <c r="H561" s="627"/>
      <c r="I561" s="587"/>
      <c r="J561" s="587"/>
      <c r="K561" s="633"/>
      <c r="L561" s="584"/>
      <c r="M561" s="587"/>
      <c r="N561" s="587"/>
      <c r="O561" s="631"/>
      <c r="P561" s="631"/>
      <c r="Q561" s="631"/>
      <c r="R561" s="631"/>
      <c r="S561" s="631"/>
      <c r="T561" s="631"/>
      <c r="U561" s="631"/>
      <c r="V561" s="631"/>
      <c r="W561" s="631"/>
      <c r="X561" s="631"/>
      <c r="Y561" s="631"/>
      <c r="Z561" s="631"/>
      <c r="AA561" s="631"/>
      <c r="AB561" s="631"/>
      <c r="AC561" s="631"/>
    </row>
    <row r="562" ht="23.25" customHeight="1">
      <c r="A562" s="178" t="s">
        <v>32235</v>
      </c>
      <c r="B562" s="629" t="s">
        <v>30949</v>
      </c>
      <c r="C562" s="629" t="s">
        <v>32226</v>
      </c>
      <c r="D562" s="629" t="s">
        <v>31235</v>
      </c>
      <c r="E562" s="632"/>
      <c r="F562" s="632"/>
      <c r="G562" s="632"/>
      <c r="H562" s="627"/>
      <c r="I562" s="587" t="s">
        <v>32236</v>
      </c>
      <c r="J562" s="587" t="s">
        <v>32237</v>
      </c>
      <c r="K562" s="633"/>
      <c r="L562" s="584"/>
      <c r="M562" s="587" t="s">
        <v>32238</v>
      </c>
      <c r="N562" s="587" t="s">
        <v>32237</v>
      </c>
      <c r="O562" s="631"/>
      <c r="P562" s="631"/>
      <c r="Q562" s="631"/>
      <c r="R562" s="631"/>
      <c r="S562" s="631"/>
      <c r="T562" s="631"/>
      <c r="U562" s="631"/>
      <c r="V562" s="631"/>
      <c r="W562" s="631"/>
      <c r="X562" s="631"/>
      <c r="Y562" s="631"/>
      <c r="Z562" s="631"/>
      <c r="AA562" s="631"/>
      <c r="AB562" s="631"/>
      <c r="AC562" s="631"/>
    </row>
    <row r="563">
      <c r="A563" s="178" t="s">
        <v>32239</v>
      </c>
      <c r="B563" s="629" t="s">
        <v>30949</v>
      </c>
      <c r="C563" s="629" t="s">
        <v>9605</v>
      </c>
      <c r="D563" s="629" t="s">
        <v>32240</v>
      </c>
      <c r="E563" s="632"/>
      <c r="F563" s="632"/>
      <c r="G563" s="632"/>
      <c r="H563" s="627"/>
      <c r="I563" s="584"/>
      <c r="J563" s="584"/>
      <c r="K563" s="633"/>
      <c r="L563" s="584"/>
      <c r="M563" s="584"/>
      <c r="N563" s="584"/>
      <c r="O563" s="631"/>
      <c r="P563" s="631"/>
      <c r="Q563" s="631"/>
      <c r="R563" s="631"/>
      <c r="S563" s="631"/>
      <c r="T563" s="631"/>
      <c r="U563" s="631"/>
      <c r="V563" s="631"/>
      <c r="W563" s="631"/>
      <c r="X563" s="631"/>
      <c r="Y563" s="631"/>
      <c r="Z563" s="631"/>
      <c r="AA563" s="631"/>
      <c r="AB563" s="631"/>
      <c r="AC563" s="631"/>
    </row>
    <row r="564">
      <c r="A564" s="178" t="s">
        <v>32241</v>
      </c>
      <c r="B564" s="629" t="s">
        <v>32242</v>
      </c>
      <c r="C564" s="629" t="s">
        <v>3195</v>
      </c>
      <c r="D564" s="629" t="s">
        <v>32243</v>
      </c>
      <c r="E564" s="632"/>
      <c r="F564" s="632"/>
      <c r="G564" s="632"/>
      <c r="H564" s="627"/>
      <c r="I564" s="584"/>
      <c r="J564" s="584"/>
      <c r="K564" s="633"/>
      <c r="L564" s="584"/>
      <c r="M564" s="584"/>
      <c r="N564" s="584"/>
      <c r="O564" s="631"/>
      <c r="P564" s="631"/>
      <c r="Q564" s="631"/>
      <c r="R564" s="631"/>
      <c r="S564" s="631"/>
      <c r="T564" s="631"/>
      <c r="U564" s="631"/>
      <c r="V564" s="631"/>
      <c r="W564" s="631"/>
      <c r="X564" s="631"/>
      <c r="Y564" s="631"/>
      <c r="Z564" s="631"/>
      <c r="AA564" s="631"/>
      <c r="AB564" s="631"/>
      <c r="AC564" s="631"/>
    </row>
    <row r="565">
      <c r="A565" s="178" t="s">
        <v>32244</v>
      </c>
      <c r="B565" s="629" t="s">
        <v>30949</v>
      </c>
      <c r="C565" s="629" t="s">
        <v>32245</v>
      </c>
      <c r="D565" s="629" t="s">
        <v>32246</v>
      </c>
      <c r="E565" s="632"/>
      <c r="F565" s="632"/>
      <c r="G565" s="632"/>
      <c r="H565" s="627"/>
      <c r="I565" s="584"/>
      <c r="J565" s="584"/>
      <c r="K565" s="633"/>
      <c r="L565" s="584"/>
      <c r="M565" s="584"/>
      <c r="N565" s="584"/>
      <c r="O565" s="631"/>
      <c r="P565" s="631"/>
      <c r="Q565" s="631"/>
      <c r="R565" s="631"/>
      <c r="S565" s="631"/>
      <c r="T565" s="631"/>
      <c r="U565" s="631"/>
      <c r="V565" s="631"/>
      <c r="W565" s="631"/>
      <c r="X565" s="631"/>
      <c r="Y565" s="631"/>
      <c r="Z565" s="631"/>
      <c r="AA565" s="631"/>
      <c r="AB565" s="631"/>
      <c r="AC565" s="631"/>
    </row>
    <row r="566">
      <c r="A566" s="178" t="s">
        <v>32247</v>
      </c>
      <c r="B566" s="629"/>
      <c r="C566" s="629" t="s">
        <v>32248</v>
      </c>
      <c r="D566" s="629" t="s">
        <v>7938</v>
      </c>
      <c r="E566" s="632"/>
      <c r="F566" s="632"/>
      <c r="G566" s="632"/>
      <c r="H566" s="627"/>
      <c r="I566" s="584"/>
      <c r="J566" s="584"/>
      <c r="K566" s="633"/>
      <c r="L566" s="584"/>
      <c r="M566" s="584"/>
      <c r="N566" s="584"/>
      <c r="O566" s="631"/>
      <c r="P566" s="631"/>
      <c r="Q566" s="631"/>
      <c r="R566" s="631"/>
      <c r="S566" s="631"/>
      <c r="T566" s="631"/>
      <c r="U566" s="631"/>
      <c r="V566" s="631"/>
      <c r="W566" s="631"/>
      <c r="X566" s="631"/>
      <c r="Y566" s="631"/>
      <c r="Z566" s="631"/>
      <c r="AA566" s="631"/>
      <c r="AB566" s="631"/>
      <c r="AC566" s="631"/>
    </row>
    <row r="567">
      <c r="A567" s="178" t="s">
        <v>32249</v>
      </c>
      <c r="B567" s="629" t="s">
        <v>30949</v>
      </c>
      <c r="C567" s="629" t="s">
        <v>31437</v>
      </c>
      <c r="D567" s="629" t="s">
        <v>31432</v>
      </c>
      <c r="E567" s="632"/>
      <c r="F567" s="632"/>
      <c r="G567" s="632"/>
      <c r="H567" s="627"/>
      <c r="I567" s="584"/>
      <c r="J567" s="584"/>
      <c r="K567" s="633"/>
      <c r="L567" s="584"/>
      <c r="M567" s="584"/>
      <c r="N567" s="584"/>
      <c r="O567" s="631"/>
      <c r="P567" s="631"/>
      <c r="Q567" s="631"/>
      <c r="R567" s="631"/>
      <c r="S567" s="631"/>
      <c r="T567" s="631"/>
      <c r="U567" s="631"/>
      <c r="V567" s="631"/>
      <c r="W567" s="631"/>
      <c r="X567" s="631"/>
      <c r="Y567" s="631"/>
      <c r="Z567" s="631"/>
      <c r="AA567" s="631"/>
      <c r="AB567" s="631"/>
      <c r="AC567" s="631"/>
    </row>
    <row r="568">
      <c r="A568" s="178" t="s">
        <v>32250</v>
      </c>
      <c r="B568" s="629" t="s">
        <v>30949</v>
      </c>
      <c r="C568" s="629" t="s">
        <v>7973</v>
      </c>
      <c r="D568" s="629" t="s">
        <v>32227</v>
      </c>
      <c r="E568" s="632"/>
      <c r="F568" s="632"/>
      <c r="G568" s="632"/>
      <c r="H568" s="627"/>
      <c r="I568" s="584"/>
      <c r="J568" s="584"/>
      <c r="K568" s="633"/>
      <c r="L568" s="584"/>
      <c r="M568" s="584"/>
      <c r="N568" s="584"/>
      <c r="O568" s="631"/>
      <c r="P568" s="631"/>
      <c r="Q568" s="631"/>
      <c r="R568" s="631"/>
      <c r="S568" s="631"/>
      <c r="T568" s="631"/>
      <c r="U568" s="631"/>
      <c r="V568" s="631"/>
      <c r="W568" s="631"/>
      <c r="X568" s="631"/>
      <c r="Y568" s="631"/>
      <c r="Z568" s="631"/>
      <c r="AA568" s="631"/>
      <c r="AB568" s="631"/>
      <c r="AC568" s="631"/>
    </row>
    <row r="569">
      <c r="A569" s="178" t="s">
        <v>32251</v>
      </c>
      <c r="B569" s="629"/>
      <c r="C569" s="629" t="s">
        <v>11043</v>
      </c>
      <c r="D569" s="629" t="s">
        <v>32252</v>
      </c>
      <c r="E569" s="632"/>
      <c r="F569" s="632"/>
      <c r="G569" s="632"/>
      <c r="H569" s="627"/>
      <c r="I569" s="584"/>
      <c r="J569" s="584"/>
      <c r="K569" s="633"/>
      <c r="L569" s="584"/>
      <c r="M569" s="584"/>
      <c r="N569" s="584"/>
      <c r="O569" s="631"/>
      <c r="P569" s="631"/>
      <c r="Q569" s="631"/>
      <c r="R569" s="631"/>
      <c r="S569" s="631"/>
      <c r="T569" s="631"/>
      <c r="U569" s="631"/>
      <c r="V569" s="631"/>
      <c r="W569" s="631"/>
      <c r="X569" s="631"/>
      <c r="Y569" s="631"/>
      <c r="Z569" s="631"/>
      <c r="AA569" s="631"/>
      <c r="AB569" s="631"/>
      <c r="AC569" s="631"/>
    </row>
    <row r="570">
      <c r="A570" s="178" t="s">
        <v>32253</v>
      </c>
      <c r="B570" s="629" t="s">
        <v>30949</v>
      </c>
      <c r="C570" s="629" t="s">
        <v>9605</v>
      </c>
      <c r="D570" s="629" t="s">
        <v>32254</v>
      </c>
      <c r="E570" s="632"/>
      <c r="F570" s="632"/>
      <c r="G570" s="632"/>
      <c r="H570" s="627"/>
      <c r="I570" s="584"/>
      <c r="J570" s="584"/>
      <c r="K570" s="633"/>
      <c r="L570" s="584"/>
      <c r="M570" s="584"/>
      <c r="N570" s="584"/>
      <c r="O570" s="631"/>
      <c r="P570" s="631"/>
      <c r="Q570" s="631"/>
      <c r="R570" s="631"/>
      <c r="S570" s="631"/>
      <c r="T570" s="631"/>
      <c r="U570" s="631"/>
      <c r="V570" s="631"/>
      <c r="W570" s="631"/>
      <c r="X570" s="631"/>
      <c r="Y570" s="631"/>
      <c r="Z570" s="631"/>
      <c r="AA570" s="631"/>
      <c r="AB570" s="631"/>
      <c r="AC570" s="631"/>
    </row>
    <row r="571">
      <c r="A571" s="178" t="s">
        <v>32255</v>
      </c>
      <c r="B571" s="629" t="s">
        <v>30949</v>
      </c>
      <c r="C571" s="629" t="s">
        <v>31078</v>
      </c>
      <c r="D571" s="629" t="s">
        <v>31235</v>
      </c>
      <c r="E571" s="632"/>
      <c r="F571" s="632"/>
      <c r="G571" s="632"/>
      <c r="H571" s="627"/>
      <c r="I571" s="584"/>
      <c r="J571" s="584"/>
      <c r="K571" s="633"/>
      <c r="L571" s="584"/>
      <c r="M571" s="584"/>
      <c r="N571" s="584"/>
      <c r="O571" s="631"/>
      <c r="P571" s="631"/>
      <c r="Q571" s="631"/>
      <c r="R571" s="631"/>
      <c r="S571" s="631"/>
      <c r="T571" s="631"/>
      <c r="U571" s="631"/>
      <c r="V571" s="631"/>
      <c r="W571" s="631"/>
      <c r="X571" s="631"/>
      <c r="Y571" s="631"/>
      <c r="Z571" s="631"/>
      <c r="AA571" s="631"/>
      <c r="AB571" s="631"/>
      <c r="AC571" s="631"/>
    </row>
    <row r="572">
      <c r="A572" s="178" t="s">
        <v>32256</v>
      </c>
      <c r="B572" s="629" t="s">
        <v>30949</v>
      </c>
      <c r="C572" s="629" t="s">
        <v>31078</v>
      </c>
      <c r="D572" s="629" t="s">
        <v>31235</v>
      </c>
      <c r="E572" s="632"/>
      <c r="F572" s="632"/>
      <c r="G572" s="632"/>
      <c r="H572" s="627"/>
      <c r="I572" s="584"/>
      <c r="J572" s="584"/>
      <c r="K572" s="633"/>
      <c r="L572" s="584"/>
      <c r="M572" s="584"/>
      <c r="N572" s="584"/>
      <c r="O572" s="631"/>
      <c r="P572" s="631"/>
      <c r="Q572" s="631"/>
      <c r="R572" s="631"/>
      <c r="S572" s="631"/>
      <c r="T572" s="631"/>
      <c r="U572" s="631"/>
      <c r="V572" s="631"/>
      <c r="W572" s="631"/>
      <c r="X572" s="631"/>
      <c r="Y572" s="631"/>
      <c r="Z572" s="631"/>
      <c r="AA572" s="631"/>
      <c r="AB572" s="631"/>
      <c r="AC572" s="631"/>
    </row>
    <row r="573">
      <c r="A573" s="178" t="s">
        <v>32257</v>
      </c>
      <c r="B573" s="629" t="s">
        <v>30949</v>
      </c>
      <c r="C573" s="629" t="s">
        <v>3943</v>
      </c>
      <c r="D573" s="629" t="s">
        <v>31204</v>
      </c>
      <c r="E573" s="632"/>
      <c r="F573" s="632"/>
      <c r="G573" s="632"/>
      <c r="H573" s="627"/>
      <c r="I573" s="584"/>
      <c r="J573" s="584"/>
      <c r="K573" s="633"/>
      <c r="L573" s="584"/>
      <c r="M573" s="584"/>
      <c r="N573" s="584"/>
      <c r="O573" s="631"/>
      <c r="P573" s="631"/>
      <c r="Q573" s="631"/>
      <c r="R573" s="631"/>
      <c r="S573" s="631"/>
      <c r="T573" s="631"/>
      <c r="U573" s="631"/>
      <c r="V573" s="631"/>
      <c r="W573" s="631"/>
      <c r="X573" s="631"/>
      <c r="Y573" s="631"/>
      <c r="Z573" s="631"/>
      <c r="AA573" s="631"/>
      <c r="AB573" s="631"/>
      <c r="AC573" s="631"/>
    </row>
    <row r="574">
      <c r="A574" s="178" t="s">
        <v>32258</v>
      </c>
      <c r="B574" s="629" t="s">
        <v>30949</v>
      </c>
      <c r="C574" s="629" t="s">
        <v>7973</v>
      </c>
      <c r="D574" s="629" t="s">
        <v>32259</v>
      </c>
      <c r="E574" s="632"/>
      <c r="F574" s="632"/>
      <c r="G574" s="634"/>
      <c r="H574" s="627"/>
      <c r="I574" s="587"/>
      <c r="J574" s="593"/>
      <c r="K574" s="630"/>
      <c r="L574" s="593"/>
      <c r="M574" s="587"/>
      <c r="N574" s="593"/>
      <c r="O574" s="631"/>
      <c r="P574" s="631"/>
      <c r="Q574" s="631"/>
      <c r="R574" s="631"/>
      <c r="S574" s="631"/>
      <c r="T574" s="631"/>
      <c r="U574" s="631"/>
      <c r="V574" s="631"/>
      <c r="W574" s="631"/>
      <c r="X574" s="631"/>
      <c r="Y574" s="631"/>
      <c r="Z574" s="631"/>
      <c r="AA574" s="631"/>
      <c r="AB574" s="631"/>
      <c r="AC574" s="631"/>
    </row>
    <row r="575">
      <c r="A575" s="178" t="s">
        <v>32260</v>
      </c>
      <c r="B575" s="629" t="s">
        <v>30949</v>
      </c>
      <c r="C575" s="629" t="s">
        <v>32261</v>
      </c>
      <c r="D575" s="629" t="s">
        <v>32262</v>
      </c>
      <c r="E575" s="632"/>
      <c r="F575" s="632"/>
      <c r="G575" s="634" t="s">
        <v>0</v>
      </c>
      <c r="H575" s="627"/>
      <c r="I575" s="587"/>
      <c r="J575" s="593"/>
      <c r="K575" s="630"/>
      <c r="L575" s="593"/>
      <c r="M575" s="587"/>
      <c r="N575" s="593"/>
      <c r="O575" s="631"/>
      <c r="P575" s="631"/>
      <c r="Q575" s="631"/>
      <c r="R575" s="631"/>
      <c r="S575" s="631"/>
      <c r="T575" s="631"/>
      <c r="U575" s="631"/>
      <c r="V575" s="631"/>
      <c r="W575" s="631"/>
      <c r="X575" s="631"/>
      <c r="Y575" s="631"/>
      <c r="Z575" s="631"/>
      <c r="AA575" s="631"/>
      <c r="AB575" s="631"/>
      <c r="AC575" s="631"/>
    </row>
    <row r="576">
      <c r="A576" s="178" t="s">
        <v>32263</v>
      </c>
      <c r="B576" s="634" t="s">
        <v>31846</v>
      </c>
      <c r="C576" s="634" t="s">
        <v>32261</v>
      </c>
      <c r="D576" s="634" t="s">
        <v>31476</v>
      </c>
      <c r="E576" s="634" t="s">
        <v>30971</v>
      </c>
      <c r="F576" s="632"/>
      <c r="G576" s="632"/>
      <c r="H576" s="627"/>
      <c r="I576" s="587">
        <v>95.0</v>
      </c>
      <c r="J576" s="593">
        <v>44112.0</v>
      </c>
      <c r="K576" s="630">
        <v>90.0</v>
      </c>
      <c r="L576" s="593">
        <v>44113.0</v>
      </c>
      <c r="M576" s="587">
        <v>60.0</v>
      </c>
      <c r="N576" s="593">
        <v>44113.0</v>
      </c>
      <c r="O576" s="631"/>
      <c r="P576" s="631"/>
      <c r="Q576" s="631"/>
      <c r="R576" s="631"/>
      <c r="S576" s="631"/>
      <c r="T576" s="631"/>
      <c r="U576" s="631"/>
      <c r="V576" s="631"/>
      <c r="W576" s="631"/>
      <c r="X576" s="631"/>
      <c r="Y576" s="631"/>
      <c r="Z576" s="631"/>
      <c r="AA576" s="631"/>
      <c r="AB576" s="631"/>
      <c r="AC576" s="631"/>
    </row>
    <row r="577">
      <c r="A577" s="178" t="s">
        <v>32264</v>
      </c>
      <c r="B577" s="634" t="s">
        <v>31846</v>
      </c>
      <c r="C577" s="634" t="s">
        <v>32265</v>
      </c>
      <c r="D577" s="634" t="s">
        <v>175</v>
      </c>
      <c r="E577" s="632"/>
      <c r="F577" s="632"/>
      <c r="G577" s="632"/>
      <c r="H577" s="627"/>
      <c r="I577" s="587"/>
      <c r="J577" s="593"/>
      <c r="K577" s="630"/>
      <c r="L577" s="587"/>
      <c r="M577" s="584"/>
      <c r="N577" s="584"/>
      <c r="O577" s="631"/>
      <c r="P577" s="631"/>
      <c r="Q577" s="631"/>
      <c r="R577" s="631"/>
      <c r="S577" s="631"/>
      <c r="T577" s="631"/>
      <c r="U577" s="631"/>
      <c r="V577" s="631"/>
      <c r="W577" s="631"/>
      <c r="X577" s="631"/>
      <c r="Y577" s="631"/>
      <c r="Z577" s="631"/>
      <c r="AA577" s="631"/>
      <c r="AB577" s="631"/>
      <c r="AC577" s="631"/>
    </row>
    <row r="578">
      <c r="A578" s="178" t="s">
        <v>32266</v>
      </c>
      <c r="B578" s="634" t="s">
        <v>31846</v>
      </c>
      <c r="C578" s="634" t="s">
        <v>32267</v>
      </c>
      <c r="D578" s="634" t="s">
        <v>32268</v>
      </c>
      <c r="E578" s="632"/>
      <c r="F578" s="632"/>
      <c r="G578" s="632"/>
      <c r="H578" s="627"/>
      <c r="I578" s="587"/>
      <c r="J578" s="593"/>
      <c r="K578" s="630"/>
      <c r="L578" s="587"/>
      <c r="M578" s="584"/>
      <c r="N578" s="584"/>
      <c r="O578" s="631"/>
      <c r="P578" s="631"/>
      <c r="Q578" s="631"/>
      <c r="R578" s="631"/>
      <c r="S578" s="631"/>
      <c r="T578" s="631"/>
      <c r="U578" s="631"/>
      <c r="V578" s="631"/>
      <c r="W578" s="631"/>
      <c r="X578" s="631"/>
      <c r="Y578" s="631"/>
      <c r="Z578" s="631"/>
      <c r="AA578" s="631"/>
      <c r="AB578" s="631"/>
      <c r="AC578" s="631"/>
    </row>
    <row r="579">
      <c r="A579" s="178" t="s">
        <v>32269</v>
      </c>
      <c r="B579" s="634" t="s">
        <v>31846</v>
      </c>
      <c r="C579" s="634" t="s">
        <v>32270</v>
      </c>
      <c r="D579" s="634" t="s">
        <v>31012</v>
      </c>
      <c r="E579" s="632"/>
      <c r="F579" s="632"/>
      <c r="G579" s="632"/>
      <c r="H579" s="627"/>
      <c r="I579" s="587"/>
      <c r="J579" s="593"/>
      <c r="K579" s="630"/>
      <c r="L579" s="587"/>
      <c r="M579" s="584"/>
      <c r="N579" s="584"/>
      <c r="O579" s="631"/>
      <c r="P579" s="631"/>
      <c r="Q579" s="631"/>
      <c r="R579" s="631"/>
      <c r="S579" s="631"/>
      <c r="T579" s="631"/>
      <c r="U579" s="631"/>
      <c r="V579" s="631"/>
      <c r="W579" s="631"/>
      <c r="X579" s="631"/>
      <c r="Y579" s="631"/>
      <c r="Z579" s="631"/>
      <c r="AA579" s="631"/>
      <c r="AB579" s="631"/>
      <c r="AC579" s="631"/>
    </row>
    <row r="580">
      <c r="A580" s="178" t="s">
        <v>32271</v>
      </c>
      <c r="B580" s="634" t="s">
        <v>31846</v>
      </c>
      <c r="C580" s="634" t="s">
        <v>32272</v>
      </c>
      <c r="D580" s="634" t="s">
        <v>31012</v>
      </c>
      <c r="E580" s="632"/>
      <c r="F580" s="632"/>
      <c r="G580" s="632"/>
      <c r="H580" s="627"/>
      <c r="I580" s="587"/>
      <c r="J580" s="593"/>
      <c r="K580" s="630"/>
      <c r="L580" s="587"/>
      <c r="M580" s="584"/>
      <c r="N580" s="584"/>
      <c r="O580" s="631"/>
      <c r="P580" s="631"/>
      <c r="Q580" s="631"/>
      <c r="R580" s="631"/>
      <c r="S580" s="631"/>
      <c r="T580" s="631"/>
      <c r="U580" s="631"/>
      <c r="V580" s="631"/>
      <c r="W580" s="631"/>
      <c r="X580" s="631"/>
      <c r="Y580" s="631"/>
      <c r="Z580" s="631"/>
      <c r="AA580" s="631"/>
      <c r="AB580" s="631"/>
      <c r="AC580" s="631"/>
    </row>
    <row r="581">
      <c r="A581" s="178" t="s">
        <v>32273</v>
      </c>
      <c r="B581" s="634" t="s">
        <v>31846</v>
      </c>
      <c r="C581" s="634" t="s">
        <v>32274</v>
      </c>
      <c r="D581" s="634" t="s">
        <v>32275</v>
      </c>
      <c r="E581" s="632"/>
      <c r="F581" s="632"/>
      <c r="G581" s="632"/>
      <c r="H581" s="627"/>
      <c r="I581" s="587"/>
      <c r="J581" s="593"/>
      <c r="K581" s="630"/>
      <c r="L581" s="587"/>
      <c r="M581" s="584"/>
      <c r="N581" s="584"/>
      <c r="O581" s="631"/>
      <c r="P581" s="631"/>
      <c r="Q581" s="631"/>
      <c r="R581" s="631"/>
      <c r="S581" s="631"/>
      <c r="T581" s="631"/>
      <c r="U581" s="631"/>
      <c r="V581" s="631"/>
      <c r="W581" s="631"/>
      <c r="X581" s="631"/>
      <c r="Y581" s="631"/>
      <c r="Z581" s="631"/>
      <c r="AA581" s="631"/>
      <c r="AB581" s="631"/>
      <c r="AC581" s="631"/>
    </row>
    <row r="582">
      <c r="A582" s="178" t="s">
        <v>32276</v>
      </c>
      <c r="B582" s="634" t="s">
        <v>32277</v>
      </c>
      <c r="C582" s="634" t="s">
        <v>12758</v>
      </c>
      <c r="D582" s="634" t="s">
        <v>1726</v>
      </c>
      <c r="E582" s="632"/>
      <c r="F582" s="632"/>
      <c r="G582" s="632"/>
      <c r="H582" s="627"/>
      <c r="I582" s="587">
        <v>60.0</v>
      </c>
      <c r="J582" s="593">
        <v>44083.0</v>
      </c>
      <c r="K582" s="630">
        <v>42.0</v>
      </c>
      <c r="L582" s="587" t="s">
        <v>31781</v>
      </c>
      <c r="M582" s="584"/>
      <c r="N582" s="584"/>
      <c r="O582" s="631"/>
      <c r="P582" s="631"/>
      <c r="Q582" s="631"/>
      <c r="R582" s="631"/>
      <c r="S582" s="631"/>
      <c r="T582" s="631"/>
      <c r="U582" s="631"/>
      <c r="V582" s="631"/>
      <c r="W582" s="631"/>
      <c r="X582" s="631"/>
      <c r="Y582" s="631"/>
      <c r="Z582" s="631"/>
      <c r="AA582" s="631"/>
      <c r="AB582" s="631"/>
      <c r="AC582" s="631"/>
    </row>
    <row r="583">
      <c r="A583" s="178" t="s">
        <v>32278</v>
      </c>
      <c r="B583" s="629"/>
      <c r="C583" s="629" t="s">
        <v>30950</v>
      </c>
      <c r="D583" s="629" t="s">
        <v>32279</v>
      </c>
      <c r="E583" s="632"/>
      <c r="F583" s="632"/>
      <c r="G583" s="632"/>
      <c r="H583" s="627"/>
      <c r="I583" s="587" t="s">
        <v>32280</v>
      </c>
      <c r="J583" s="587" t="s">
        <v>31903</v>
      </c>
      <c r="K583" s="587">
        <v>96.0</v>
      </c>
      <c r="L583" s="587" t="s">
        <v>32180</v>
      </c>
      <c r="M583" s="584"/>
      <c r="N583" s="584"/>
      <c r="O583" s="631"/>
      <c r="P583" s="631"/>
      <c r="Q583" s="631"/>
      <c r="R583" s="631"/>
      <c r="S583" s="631"/>
      <c r="T583" s="631"/>
      <c r="U583" s="631"/>
      <c r="V583" s="631"/>
      <c r="W583" s="631"/>
      <c r="X583" s="631"/>
      <c r="Y583" s="631"/>
      <c r="Z583" s="631"/>
      <c r="AA583" s="631"/>
      <c r="AB583" s="631"/>
      <c r="AC583" s="631"/>
    </row>
    <row r="584">
      <c r="A584" s="178" t="s">
        <v>32281</v>
      </c>
      <c r="B584" s="629" t="s">
        <v>32282</v>
      </c>
      <c r="C584" s="629" t="s">
        <v>32283</v>
      </c>
      <c r="D584" s="634" t="s">
        <v>32284</v>
      </c>
      <c r="E584" s="632"/>
      <c r="F584" s="634" t="s">
        <v>31035</v>
      </c>
      <c r="G584" s="632"/>
      <c r="H584" s="627"/>
      <c r="I584" s="584"/>
      <c r="J584" s="584"/>
      <c r="K584" s="630" t="s">
        <v>32285</v>
      </c>
      <c r="L584" s="593">
        <v>43899.0</v>
      </c>
      <c r="M584" s="584"/>
      <c r="N584" s="584"/>
      <c r="O584" s="631"/>
      <c r="P584" s="631"/>
      <c r="Q584" s="631"/>
      <c r="R584" s="631"/>
      <c r="S584" s="631"/>
      <c r="T584" s="631"/>
      <c r="U584" s="631"/>
      <c r="V584" s="631"/>
      <c r="W584" s="631"/>
      <c r="X584" s="631"/>
      <c r="Y584" s="631"/>
      <c r="Z584" s="631"/>
      <c r="AA584" s="631"/>
      <c r="AB584" s="631"/>
      <c r="AC584" s="631"/>
    </row>
    <row r="585">
      <c r="A585" s="178" t="s">
        <v>32286</v>
      </c>
      <c r="B585" s="629" t="s">
        <v>30975</v>
      </c>
      <c r="C585" s="629" t="s">
        <v>32287</v>
      </c>
      <c r="D585" s="629" t="s">
        <v>32288</v>
      </c>
      <c r="E585" s="632"/>
      <c r="F585" s="632"/>
      <c r="G585" s="632"/>
      <c r="H585" s="573"/>
      <c r="I585" s="587"/>
      <c r="J585" s="593"/>
      <c r="K585" s="587"/>
      <c r="L585" s="587"/>
      <c r="M585" s="584"/>
      <c r="N585" s="584"/>
      <c r="O585" s="631"/>
      <c r="P585" s="631"/>
      <c r="Q585" s="631"/>
      <c r="R585" s="631"/>
      <c r="S585" s="631"/>
      <c r="T585" s="631"/>
      <c r="U585" s="631"/>
      <c r="V585" s="631"/>
      <c r="W585" s="631"/>
      <c r="X585" s="631"/>
      <c r="Y585" s="631"/>
      <c r="Z585" s="631"/>
      <c r="AA585" s="631"/>
      <c r="AB585" s="631"/>
      <c r="AC585" s="631"/>
    </row>
    <row r="586">
      <c r="A586" s="178" t="s">
        <v>32289</v>
      </c>
      <c r="B586" s="629" t="s">
        <v>21668</v>
      </c>
      <c r="C586" s="629" t="s">
        <v>32290</v>
      </c>
      <c r="D586" s="629" t="s">
        <v>31300</v>
      </c>
      <c r="E586" s="632"/>
      <c r="F586" s="632"/>
      <c r="G586" s="632"/>
      <c r="H586" s="573"/>
      <c r="I586" s="587"/>
      <c r="J586" s="593"/>
      <c r="K586" s="587"/>
      <c r="L586" s="587"/>
      <c r="M586" s="584"/>
      <c r="N586" s="584"/>
      <c r="O586" s="631"/>
      <c r="P586" s="631"/>
      <c r="Q586" s="631"/>
      <c r="R586" s="631"/>
      <c r="S586" s="631"/>
      <c r="T586" s="631"/>
      <c r="U586" s="631"/>
      <c r="V586" s="631"/>
      <c r="W586" s="631"/>
      <c r="X586" s="631"/>
      <c r="Y586" s="631"/>
      <c r="Z586" s="631"/>
      <c r="AA586" s="631"/>
      <c r="AB586" s="631"/>
      <c r="AC586" s="631"/>
    </row>
    <row r="587">
      <c r="A587" s="178" t="s">
        <v>32291</v>
      </c>
      <c r="B587" s="629" t="s">
        <v>31134</v>
      </c>
      <c r="C587" s="629" t="s">
        <v>32292</v>
      </c>
      <c r="D587" s="629" t="s">
        <v>32293</v>
      </c>
      <c r="E587" s="632"/>
      <c r="F587" s="632"/>
      <c r="G587" s="632"/>
      <c r="H587" s="573" t="s">
        <v>32294</v>
      </c>
      <c r="I587" s="587" t="s">
        <v>32295</v>
      </c>
      <c r="J587" s="593">
        <v>43993.0</v>
      </c>
      <c r="K587" s="587" t="s">
        <v>32296</v>
      </c>
      <c r="L587" s="587" t="s">
        <v>32297</v>
      </c>
      <c r="M587" s="584"/>
      <c r="N587" s="584"/>
      <c r="O587" s="631"/>
      <c r="P587" s="631"/>
      <c r="Q587" s="631"/>
      <c r="R587" s="631"/>
      <c r="S587" s="631"/>
      <c r="T587" s="631"/>
      <c r="U587" s="631"/>
      <c r="V587" s="631"/>
      <c r="W587" s="631"/>
      <c r="X587" s="631"/>
      <c r="Y587" s="631"/>
      <c r="Z587" s="631"/>
      <c r="AA587" s="631"/>
      <c r="AB587" s="631"/>
      <c r="AC587" s="631"/>
    </row>
    <row r="588" ht="39.0" customHeight="1">
      <c r="A588" s="178" t="s">
        <v>32298</v>
      </c>
      <c r="B588" s="629" t="s">
        <v>21668</v>
      </c>
      <c r="C588" s="629" t="s">
        <v>32299</v>
      </c>
      <c r="D588" s="629" t="s">
        <v>32300</v>
      </c>
      <c r="E588" s="632"/>
      <c r="F588" s="632"/>
      <c r="G588" s="632"/>
      <c r="H588" s="573"/>
      <c r="I588" s="587"/>
      <c r="J588" s="593"/>
      <c r="K588" s="587"/>
      <c r="L588" s="587"/>
      <c r="M588" s="584"/>
      <c r="N588" s="584"/>
      <c r="O588" s="631"/>
      <c r="P588" s="631"/>
      <c r="Q588" s="631"/>
      <c r="R588" s="631"/>
      <c r="S588" s="631"/>
      <c r="T588" s="631"/>
      <c r="U588" s="631"/>
      <c r="V588" s="631"/>
      <c r="W588" s="631"/>
      <c r="X588" s="631"/>
      <c r="Y588" s="631"/>
      <c r="Z588" s="631"/>
      <c r="AA588" s="631"/>
      <c r="AB588" s="631"/>
      <c r="AC588" s="631"/>
    </row>
    <row r="589">
      <c r="A589" s="178" t="s">
        <v>32301</v>
      </c>
      <c r="B589" s="629" t="s">
        <v>32302</v>
      </c>
      <c r="C589" s="629" t="s">
        <v>32303</v>
      </c>
      <c r="D589" s="629" t="s">
        <v>32304</v>
      </c>
      <c r="E589" s="632"/>
      <c r="F589" s="632"/>
      <c r="G589" s="632"/>
      <c r="H589" s="573"/>
      <c r="I589" s="587"/>
      <c r="J589" s="593"/>
      <c r="K589" s="587"/>
      <c r="L589" s="587"/>
      <c r="M589" s="584"/>
      <c r="N589" s="584"/>
      <c r="O589" s="631"/>
      <c r="P589" s="631"/>
      <c r="Q589" s="631"/>
      <c r="R589" s="631"/>
      <c r="S589" s="631"/>
      <c r="T589" s="631"/>
      <c r="U589" s="631"/>
      <c r="V589" s="631"/>
      <c r="W589" s="631"/>
      <c r="X589" s="631"/>
      <c r="Y589" s="631"/>
      <c r="Z589" s="631"/>
      <c r="AA589" s="631"/>
      <c r="AB589" s="631"/>
      <c r="AC589" s="631"/>
    </row>
    <row r="590">
      <c r="A590" s="178" t="s">
        <v>32291</v>
      </c>
      <c r="B590" s="629" t="s">
        <v>32305</v>
      </c>
      <c r="C590" s="629" t="s">
        <v>32306</v>
      </c>
      <c r="D590" s="629" t="s">
        <v>32307</v>
      </c>
      <c r="E590" s="632"/>
      <c r="F590" s="632"/>
      <c r="G590" s="632"/>
      <c r="H590" s="573"/>
      <c r="I590" s="587"/>
      <c r="J590" s="593"/>
      <c r="K590" s="587"/>
      <c r="L590" s="587"/>
      <c r="M590" s="584"/>
      <c r="N590" s="584"/>
      <c r="O590" s="631"/>
      <c r="P590" s="631"/>
      <c r="Q590" s="631"/>
      <c r="R590" s="631"/>
      <c r="S590" s="631"/>
      <c r="T590" s="631"/>
      <c r="U590" s="631"/>
      <c r="V590" s="631"/>
      <c r="W590" s="631"/>
      <c r="X590" s="631"/>
      <c r="Y590" s="631"/>
      <c r="Z590" s="631"/>
      <c r="AA590" s="631"/>
      <c r="AB590" s="631"/>
      <c r="AC590" s="631"/>
    </row>
    <row r="591">
      <c r="A591" s="178" t="s">
        <v>32291</v>
      </c>
      <c r="B591" s="629" t="s">
        <v>32308</v>
      </c>
      <c r="C591" s="629" t="s">
        <v>13983</v>
      </c>
      <c r="D591" s="629" t="s">
        <v>32309</v>
      </c>
      <c r="E591" s="632"/>
      <c r="F591" s="632"/>
      <c r="G591" s="632"/>
      <c r="H591" s="573"/>
      <c r="I591" s="587"/>
      <c r="J591" s="593"/>
      <c r="K591" s="587"/>
      <c r="L591" s="587"/>
      <c r="M591" s="584"/>
      <c r="N591" s="584"/>
      <c r="O591" s="631"/>
      <c r="P591" s="631"/>
      <c r="Q591" s="631"/>
      <c r="R591" s="631"/>
      <c r="S591" s="631"/>
      <c r="T591" s="631"/>
      <c r="U591" s="631"/>
      <c r="V591" s="631"/>
      <c r="W591" s="631"/>
      <c r="X591" s="631"/>
      <c r="Y591" s="631"/>
      <c r="Z591" s="631"/>
      <c r="AA591" s="631"/>
      <c r="AB591" s="631"/>
      <c r="AC591" s="631"/>
    </row>
    <row r="592">
      <c r="A592" s="178" t="s">
        <v>32310</v>
      </c>
      <c r="B592" s="629" t="s">
        <v>32311</v>
      </c>
      <c r="C592" s="629" t="s">
        <v>9706</v>
      </c>
      <c r="D592" s="629" t="s">
        <v>31812</v>
      </c>
      <c r="E592" s="632"/>
      <c r="F592" s="632"/>
      <c r="G592" s="632"/>
      <c r="H592" s="573"/>
      <c r="I592" s="587"/>
      <c r="J592" s="593"/>
      <c r="K592" s="587"/>
      <c r="L592" s="587"/>
      <c r="M592" s="584"/>
      <c r="N592" s="584"/>
      <c r="O592" s="631"/>
      <c r="P592" s="631"/>
      <c r="Q592" s="631"/>
      <c r="R592" s="631"/>
      <c r="S592" s="631"/>
      <c r="T592" s="631"/>
      <c r="U592" s="631"/>
      <c r="V592" s="631"/>
      <c r="W592" s="631"/>
      <c r="X592" s="631"/>
      <c r="Y592" s="631"/>
      <c r="Z592" s="631"/>
      <c r="AA592" s="631"/>
      <c r="AB592" s="631"/>
      <c r="AC592" s="631"/>
    </row>
    <row r="593">
      <c r="A593" s="178" t="s">
        <v>32310</v>
      </c>
      <c r="B593" s="629" t="s">
        <v>32312</v>
      </c>
      <c r="C593" s="629" t="s">
        <v>32313</v>
      </c>
      <c r="D593" s="629" t="s">
        <v>32314</v>
      </c>
      <c r="E593" s="632"/>
      <c r="F593" s="632"/>
      <c r="G593" s="632"/>
      <c r="H593" s="573"/>
      <c r="I593" s="587"/>
      <c r="J593" s="593"/>
      <c r="K593" s="587"/>
      <c r="L593" s="587"/>
      <c r="M593" s="584"/>
      <c r="N593" s="584"/>
      <c r="O593" s="631"/>
      <c r="P593" s="631"/>
      <c r="Q593" s="631"/>
      <c r="R593" s="631"/>
      <c r="S593" s="631"/>
      <c r="T593" s="631"/>
      <c r="U593" s="631"/>
      <c r="V593" s="631"/>
      <c r="W593" s="631"/>
      <c r="X593" s="631"/>
      <c r="Y593" s="631"/>
      <c r="Z593" s="631"/>
      <c r="AA593" s="631"/>
      <c r="AB593" s="631"/>
      <c r="AC593" s="631"/>
    </row>
    <row r="594">
      <c r="A594" s="178" t="s">
        <v>32310</v>
      </c>
      <c r="B594" s="629" t="s">
        <v>32315</v>
      </c>
      <c r="C594" s="629" t="s">
        <v>32316</v>
      </c>
      <c r="D594" s="629" t="s">
        <v>32314</v>
      </c>
      <c r="E594" s="632"/>
      <c r="F594" s="632"/>
      <c r="G594" s="632"/>
      <c r="H594" s="573"/>
      <c r="I594" s="587"/>
      <c r="J594" s="593"/>
      <c r="K594" s="587"/>
      <c r="L594" s="587"/>
      <c r="M594" s="584"/>
      <c r="N594" s="584"/>
      <c r="O594" s="631"/>
      <c r="P594" s="631"/>
      <c r="Q594" s="631"/>
      <c r="R594" s="631"/>
      <c r="S594" s="631"/>
      <c r="T594" s="631"/>
      <c r="U594" s="631"/>
      <c r="V594" s="631"/>
      <c r="W594" s="631"/>
      <c r="X594" s="631"/>
      <c r="Y594" s="631"/>
      <c r="Z594" s="631"/>
      <c r="AA594" s="631"/>
      <c r="AB594" s="631"/>
      <c r="AC594" s="631"/>
    </row>
    <row r="595">
      <c r="A595" s="573" t="s">
        <v>32317</v>
      </c>
      <c r="B595" s="625"/>
      <c r="C595" s="625"/>
      <c r="D595" s="625"/>
      <c r="E595" s="635"/>
      <c r="F595" s="627"/>
      <c r="G595" s="627"/>
      <c r="H595" s="627"/>
      <c r="I595" s="587">
        <v>2600.0</v>
      </c>
      <c r="J595" s="587" t="s">
        <v>31451</v>
      </c>
      <c r="K595" s="630">
        <v>2350.0</v>
      </c>
      <c r="L595" s="587" t="s">
        <v>31451</v>
      </c>
      <c r="M595" s="584"/>
      <c r="N595" s="584"/>
      <c r="O595" s="631"/>
      <c r="P595" s="631"/>
      <c r="Q595" s="631"/>
      <c r="R595" s="631"/>
      <c r="S595" s="631"/>
      <c r="T595" s="631"/>
      <c r="U595" s="631"/>
      <c r="V595" s="631"/>
      <c r="W595" s="631"/>
      <c r="X595" s="631"/>
      <c r="Y595" s="631"/>
      <c r="Z595" s="631"/>
      <c r="AA595" s="631"/>
      <c r="AB595" s="631"/>
      <c r="AC595" s="631"/>
    </row>
    <row r="596">
      <c r="A596" s="573" t="s">
        <v>32318</v>
      </c>
      <c r="B596" s="625" t="s">
        <v>32319</v>
      </c>
      <c r="C596" s="625"/>
      <c r="D596" s="625"/>
      <c r="E596" s="625"/>
      <c r="F596" s="573" t="s">
        <v>32320</v>
      </c>
      <c r="G596" s="573" t="s">
        <v>1244</v>
      </c>
      <c r="H596" s="627"/>
      <c r="I596" s="584"/>
      <c r="J596" s="584"/>
      <c r="K596" s="633"/>
      <c r="L596" s="584"/>
      <c r="M596" s="584"/>
      <c r="N596" s="584"/>
      <c r="O596" s="631"/>
      <c r="P596" s="631"/>
      <c r="Q596" s="631"/>
      <c r="R596" s="631"/>
      <c r="S596" s="631"/>
      <c r="T596" s="631"/>
      <c r="U596" s="631"/>
      <c r="V596" s="631"/>
      <c r="W596" s="631"/>
      <c r="X596" s="631"/>
      <c r="Y596" s="631"/>
      <c r="Z596" s="631"/>
      <c r="AA596" s="631"/>
      <c r="AB596" s="631"/>
      <c r="AC596" s="631"/>
    </row>
    <row r="597">
      <c r="A597" s="573" t="s">
        <v>7371</v>
      </c>
      <c r="B597" s="625"/>
      <c r="C597" s="625" t="s">
        <v>32321</v>
      </c>
      <c r="D597" s="625" t="s">
        <v>32322</v>
      </c>
      <c r="E597" s="635"/>
      <c r="F597" s="627"/>
      <c r="G597" s="627"/>
      <c r="H597" s="627"/>
      <c r="I597" s="584"/>
      <c r="J597" s="584"/>
      <c r="K597" s="633"/>
      <c r="L597" s="584"/>
      <c r="M597" s="584"/>
      <c r="N597" s="584"/>
      <c r="O597" s="631"/>
      <c r="P597" s="631"/>
      <c r="Q597" s="631"/>
      <c r="R597" s="631"/>
      <c r="S597" s="631"/>
      <c r="T597" s="631"/>
      <c r="U597" s="631"/>
      <c r="V597" s="631"/>
      <c r="W597" s="631"/>
      <c r="X597" s="631"/>
      <c r="Y597" s="631"/>
      <c r="Z597" s="631"/>
      <c r="AA597" s="631"/>
      <c r="AB597" s="631"/>
      <c r="AC597" s="631"/>
    </row>
    <row r="598">
      <c r="A598" s="573" t="s">
        <v>32323</v>
      </c>
      <c r="B598" s="625" t="s">
        <v>32324</v>
      </c>
      <c r="C598" s="625"/>
      <c r="D598" s="625"/>
      <c r="E598" s="625"/>
      <c r="F598" s="573" t="s">
        <v>32325</v>
      </c>
      <c r="G598" s="573" t="s">
        <v>32326</v>
      </c>
      <c r="H598" s="627"/>
      <c r="I598" s="584"/>
      <c r="J598" s="584"/>
      <c r="K598" s="633"/>
      <c r="L598" s="584"/>
      <c r="M598" s="584"/>
      <c r="N598" s="584"/>
      <c r="O598" s="631"/>
      <c r="P598" s="631"/>
      <c r="Q598" s="631"/>
      <c r="R598" s="631"/>
      <c r="S598" s="631"/>
      <c r="T598" s="631"/>
      <c r="U598" s="631"/>
      <c r="V598" s="631"/>
      <c r="W598" s="631"/>
      <c r="X598" s="631"/>
      <c r="Y598" s="631"/>
      <c r="Z598" s="631"/>
      <c r="AA598" s="631"/>
      <c r="AB598" s="631"/>
      <c r="AC598" s="631"/>
    </row>
    <row r="599">
      <c r="A599" s="573" t="s">
        <v>32327</v>
      </c>
      <c r="B599" s="625" t="s">
        <v>32324</v>
      </c>
      <c r="C599" s="625"/>
      <c r="D599" s="625"/>
      <c r="E599" s="625"/>
      <c r="F599" s="573" t="s">
        <v>32328</v>
      </c>
      <c r="G599" s="573" t="s">
        <v>32326</v>
      </c>
      <c r="H599" s="627"/>
      <c r="I599" s="584"/>
      <c r="J599" s="584"/>
      <c r="K599" s="633"/>
      <c r="L599" s="584"/>
      <c r="M599" s="584"/>
      <c r="N599" s="584"/>
      <c r="O599" s="631"/>
      <c r="P599" s="631"/>
      <c r="Q599" s="631"/>
      <c r="R599" s="631"/>
      <c r="S599" s="631"/>
      <c r="T599" s="631"/>
      <c r="U599" s="631"/>
      <c r="V599" s="631"/>
      <c r="W599" s="631"/>
      <c r="X599" s="631"/>
      <c r="Y599" s="631"/>
      <c r="Z599" s="631"/>
      <c r="AA599" s="631"/>
      <c r="AB599" s="631"/>
      <c r="AC599" s="631"/>
    </row>
    <row r="600">
      <c r="A600" s="573" t="s">
        <v>32329</v>
      </c>
      <c r="B600" s="625" t="s">
        <v>32330</v>
      </c>
      <c r="C600" s="625" t="s">
        <v>31183</v>
      </c>
      <c r="D600" s="625" t="s">
        <v>32331</v>
      </c>
      <c r="E600" s="635"/>
      <c r="F600" s="627"/>
      <c r="G600" s="627"/>
      <c r="H600" s="627"/>
      <c r="I600" s="584"/>
      <c r="J600" s="584"/>
      <c r="K600" s="633"/>
      <c r="L600" s="584"/>
      <c r="M600" s="584"/>
      <c r="N600" s="584"/>
      <c r="O600" s="631"/>
      <c r="P600" s="631"/>
      <c r="Q600" s="631"/>
      <c r="R600" s="631"/>
      <c r="S600" s="631"/>
      <c r="T600" s="631"/>
      <c r="U600" s="631"/>
      <c r="V600" s="631"/>
      <c r="W600" s="631"/>
      <c r="X600" s="631"/>
      <c r="Y600" s="631"/>
      <c r="Z600" s="631"/>
      <c r="AA600" s="631"/>
      <c r="AB600" s="631"/>
      <c r="AC600" s="631"/>
    </row>
    <row r="601">
      <c r="A601" s="178"/>
      <c r="B601" s="629"/>
      <c r="C601" s="629"/>
      <c r="D601" s="629"/>
      <c r="E601" s="632"/>
      <c r="F601" s="632"/>
      <c r="G601" s="634"/>
      <c r="H601" s="627"/>
      <c r="I601" s="587"/>
      <c r="J601" s="593"/>
      <c r="K601" s="633"/>
      <c r="L601" s="584"/>
      <c r="M601" s="584"/>
      <c r="N601" s="584"/>
      <c r="O601" s="631"/>
      <c r="P601" s="631"/>
      <c r="Q601" s="631"/>
      <c r="R601" s="631"/>
      <c r="S601" s="631"/>
      <c r="T601" s="631"/>
      <c r="U601" s="631"/>
      <c r="V601" s="631"/>
      <c r="W601" s="631"/>
      <c r="X601" s="631"/>
      <c r="Y601" s="631"/>
      <c r="Z601" s="631"/>
      <c r="AA601" s="631"/>
      <c r="AB601" s="631"/>
      <c r="AC601" s="631"/>
    </row>
    <row r="602">
      <c r="A602" s="178" t="s">
        <v>32332</v>
      </c>
      <c r="B602" s="625" t="s">
        <v>31048</v>
      </c>
      <c r="C602" s="625" t="s">
        <v>32333</v>
      </c>
      <c r="D602" s="625" t="s">
        <v>32334</v>
      </c>
      <c r="E602" s="625" t="s">
        <v>32335</v>
      </c>
      <c r="F602" s="627"/>
      <c r="G602" s="627"/>
      <c r="H602" s="627"/>
      <c r="I602" s="587"/>
      <c r="J602" s="587"/>
      <c r="K602" s="633"/>
      <c r="L602" s="584"/>
      <c r="M602" s="584"/>
      <c r="N602" s="584"/>
      <c r="O602" s="631"/>
      <c r="P602" s="631"/>
      <c r="Q602" s="631"/>
      <c r="R602" s="631"/>
      <c r="S602" s="631"/>
      <c r="T602" s="631"/>
      <c r="U602" s="631"/>
      <c r="V602" s="631"/>
      <c r="W602" s="631"/>
      <c r="X602" s="631"/>
      <c r="Y602" s="631"/>
      <c r="Z602" s="631"/>
      <c r="AA602" s="631"/>
      <c r="AB602" s="631"/>
      <c r="AC602" s="631"/>
    </row>
    <row r="603">
      <c r="A603" s="666" t="s">
        <v>32336</v>
      </c>
      <c r="B603" s="625" t="s">
        <v>31379</v>
      </c>
      <c r="C603" s="625" t="s">
        <v>32337</v>
      </c>
      <c r="D603" s="625" t="s">
        <v>40</v>
      </c>
      <c r="E603" s="635"/>
      <c r="F603" s="627"/>
      <c r="G603" s="627"/>
      <c r="H603" s="627"/>
      <c r="I603" s="587"/>
      <c r="J603" s="587"/>
      <c r="K603" s="633"/>
      <c r="L603" s="584"/>
      <c r="M603" s="584"/>
      <c r="N603" s="584"/>
      <c r="O603" s="631"/>
      <c r="P603" s="631"/>
      <c r="Q603" s="631"/>
      <c r="R603" s="631"/>
      <c r="S603" s="631"/>
      <c r="T603" s="631"/>
      <c r="U603" s="631"/>
      <c r="V603" s="631"/>
      <c r="W603" s="631"/>
      <c r="X603" s="631"/>
      <c r="Y603" s="631"/>
      <c r="Z603" s="631"/>
      <c r="AA603" s="631"/>
      <c r="AB603" s="631"/>
      <c r="AC603" s="631"/>
    </row>
    <row r="604">
      <c r="A604" s="667" t="s">
        <v>32338</v>
      </c>
      <c r="B604" s="625" t="s">
        <v>31379</v>
      </c>
      <c r="C604" s="625" t="s">
        <v>32339</v>
      </c>
      <c r="D604" s="625" t="s">
        <v>32340</v>
      </c>
      <c r="E604" s="635"/>
      <c r="F604" s="627"/>
      <c r="G604" s="627"/>
      <c r="H604" s="627"/>
      <c r="I604" s="587"/>
      <c r="J604" s="587"/>
      <c r="K604" s="633"/>
      <c r="L604" s="584"/>
      <c r="M604" s="584"/>
      <c r="N604" s="584"/>
      <c r="O604" s="631"/>
      <c r="P604" s="631"/>
      <c r="Q604" s="631"/>
      <c r="R604" s="631"/>
      <c r="S604" s="631"/>
      <c r="T604" s="631"/>
      <c r="U604" s="631"/>
      <c r="V604" s="631"/>
      <c r="W604" s="631"/>
      <c r="X604" s="631"/>
      <c r="Y604" s="631"/>
      <c r="Z604" s="631"/>
      <c r="AA604" s="631"/>
      <c r="AB604" s="631"/>
      <c r="AC604" s="631"/>
    </row>
    <row r="605">
      <c r="A605" s="667" t="s">
        <v>32341</v>
      </c>
      <c r="B605" s="668" t="s">
        <v>32342</v>
      </c>
      <c r="C605" s="625" t="s">
        <v>32343</v>
      </c>
      <c r="D605" s="625" t="s">
        <v>31195</v>
      </c>
      <c r="E605" s="635"/>
      <c r="F605" s="627"/>
      <c r="G605" s="627"/>
      <c r="H605" s="627"/>
      <c r="I605" s="587"/>
      <c r="J605" s="587"/>
      <c r="K605" s="633"/>
      <c r="L605" s="584"/>
      <c r="M605" s="584"/>
      <c r="N605" s="584"/>
      <c r="O605" s="631"/>
      <c r="P605" s="631"/>
      <c r="Q605" s="631"/>
      <c r="R605" s="631"/>
      <c r="S605" s="631"/>
      <c r="T605" s="631"/>
      <c r="U605" s="631"/>
      <c r="V605" s="631"/>
      <c r="W605" s="631"/>
      <c r="X605" s="631"/>
      <c r="Y605" s="631"/>
      <c r="Z605" s="631"/>
      <c r="AA605" s="631"/>
      <c r="AB605" s="631"/>
      <c r="AC605" s="631"/>
    </row>
    <row r="606">
      <c r="A606" s="573" t="s">
        <v>32344</v>
      </c>
      <c r="B606" s="625"/>
      <c r="C606" s="625" t="s">
        <v>32345</v>
      </c>
      <c r="D606" s="625" t="s">
        <v>32346</v>
      </c>
      <c r="E606" s="635"/>
      <c r="F606" s="627"/>
      <c r="G606" s="627"/>
      <c r="H606" s="627"/>
      <c r="I606" s="587">
        <v>5.0</v>
      </c>
      <c r="J606" s="587" t="s">
        <v>32347</v>
      </c>
      <c r="K606" s="633"/>
      <c r="L606" s="584"/>
      <c r="M606" s="584"/>
      <c r="N606" s="584"/>
      <c r="O606" s="631"/>
      <c r="P606" s="631"/>
      <c r="Q606" s="631"/>
      <c r="R606" s="631"/>
      <c r="S606" s="631"/>
      <c r="T606" s="631"/>
      <c r="U606" s="631"/>
      <c r="V606" s="631"/>
      <c r="W606" s="631"/>
      <c r="X606" s="631"/>
      <c r="Y606" s="631"/>
      <c r="Z606" s="631"/>
      <c r="AA606" s="631"/>
      <c r="AB606" s="631"/>
      <c r="AC606" s="631"/>
    </row>
    <row r="607">
      <c r="A607" s="573" t="s">
        <v>32348</v>
      </c>
      <c r="B607" s="625" t="s">
        <v>32349</v>
      </c>
      <c r="C607" s="625" t="s">
        <v>31786</v>
      </c>
      <c r="D607" s="625" t="s">
        <v>2281</v>
      </c>
      <c r="E607" s="635"/>
      <c r="F607" s="627"/>
      <c r="G607" s="627"/>
      <c r="H607" s="627"/>
      <c r="I607" s="584"/>
      <c r="J607" s="584"/>
      <c r="K607" s="633"/>
      <c r="L607" s="584"/>
      <c r="M607" s="584"/>
      <c r="N607" s="584"/>
      <c r="O607" s="631"/>
      <c r="P607" s="631"/>
      <c r="Q607" s="631"/>
      <c r="R607" s="631"/>
      <c r="S607" s="631"/>
      <c r="T607" s="631"/>
      <c r="U607" s="631"/>
      <c r="V607" s="631"/>
      <c r="W607" s="631"/>
      <c r="X607" s="631"/>
      <c r="Y607" s="631"/>
      <c r="Z607" s="631"/>
      <c r="AA607" s="631"/>
      <c r="AB607" s="631"/>
      <c r="AC607" s="631"/>
    </row>
    <row r="608">
      <c r="A608" s="573" t="s">
        <v>32350</v>
      </c>
      <c r="B608" s="625" t="s">
        <v>32351</v>
      </c>
      <c r="C608" s="625" t="s">
        <v>2827</v>
      </c>
      <c r="D608" s="625" t="s">
        <v>32352</v>
      </c>
      <c r="E608" s="635"/>
      <c r="F608" s="627"/>
      <c r="G608" s="627"/>
      <c r="H608" s="627"/>
      <c r="I608" s="584"/>
      <c r="J608" s="584"/>
      <c r="K608" s="633"/>
      <c r="L608" s="584"/>
      <c r="M608" s="584"/>
      <c r="N608" s="584"/>
      <c r="O608" s="631"/>
      <c r="P608" s="631"/>
      <c r="Q608" s="631"/>
      <c r="R608" s="631"/>
      <c r="S608" s="631"/>
      <c r="T608" s="631"/>
      <c r="U608" s="631"/>
      <c r="V608" s="631"/>
      <c r="W608" s="631"/>
      <c r="X608" s="631"/>
      <c r="Y608" s="631"/>
      <c r="Z608" s="631"/>
      <c r="AA608" s="631"/>
      <c r="AB608" s="631"/>
      <c r="AC608" s="631"/>
    </row>
    <row r="609">
      <c r="A609" s="573" t="s">
        <v>32353</v>
      </c>
      <c r="B609" s="625" t="s">
        <v>32351</v>
      </c>
      <c r="C609" s="625" t="s">
        <v>32261</v>
      </c>
      <c r="D609" s="625" t="s">
        <v>32205</v>
      </c>
      <c r="E609" s="635"/>
      <c r="F609" s="627"/>
      <c r="G609" s="627"/>
      <c r="H609" s="627"/>
      <c r="I609" s="584"/>
      <c r="J609" s="584"/>
      <c r="K609" s="633"/>
      <c r="L609" s="584"/>
      <c r="M609" s="584"/>
      <c r="N609" s="584"/>
      <c r="O609" s="631"/>
      <c r="P609" s="631"/>
      <c r="Q609" s="631"/>
      <c r="R609" s="631"/>
      <c r="S609" s="631"/>
      <c r="T609" s="631"/>
      <c r="U609" s="631"/>
      <c r="V609" s="631"/>
      <c r="W609" s="631"/>
      <c r="X609" s="631"/>
      <c r="Y609" s="631"/>
      <c r="Z609" s="631"/>
      <c r="AA609" s="631"/>
      <c r="AB609" s="631"/>
      <c r="AC609" s="631"/>
    </row>
    <row r="610">
      <c r="A610" s="573" t="s">
        <v>32354</v>
      </c>
      <c r="B610" s="625" t="s">
        <v>32351</v>
      </c>
      <c r="C610" s="625" t="s">
        <v>31928</v>
      </c>
      <c r="D610" s="625" t="s">
        <v>31069</v>
      </c>
      <c r="E610" s="625" t="s">
        <v>32355</v>
      </c>
      <c r="F610" s="627"/>
      <c r="G610" s="627"/>
      <c r="H610" s="627"/>
      <c r="I610" s="584"/>
      <c r="J610" s="584"/>
      <c r="K610" s="633"/>
      <c r="L610" s="584"/>
      <c r="M610" s="584"/>
      <c r="N610" s="584"/>
      <c r="O610" s="631"/>
      <c r="P610" s="631"/>
      <c r="Q610" s="631"/>
      <c r="R610" s="631"/>
      <c r="S610" s="631"/>
      <c r="T610" s="631"/>
      <c r="U610" s="631"/>
      <c r="V610" s="631"/>
      <c r="W610" s="631"/>
      <c r="X610" s="631"/>
      <c r="Y610" s="631"/>
      <c r="Z610" s="631"/>
      <c r="AA610" s="631"/>
      <c r="AB610" s="631"/>
      <c r="AC610" s="631"/>
    </row>
    <row r="611">
      <c r="A611" s="573" t="s">
        <v>32356</v>
      </c>
      <c r="B611" s="625" t="s">
        <v>32135</v>
      </c>
      <c r="C611" s="625" t="s">
        <v>31078</v>
      </c>
      <c r="D611" s="625" t="s">
        <v>32357</v>
      </c>
      <c r="E611" s="635"/>
      <c r="F611" s="627"/>
      <c r="G611" s="627"/>
      <c r="H611" s="627"/>
      <c r="I611" s="584"/>
      <c r="J611" s="584"/>
      <c r="K611" s="633"/>
      <c r="L611" s="584"/>
      <c r="M611" s="584"/>
      <c r="N611" s="584"/>
      <c r="O611" s="631"/>
      <c r="P611" s="631"/>
      <c r="Q611" s="631"/>
      <c r="R611" s="631"/>
      <c r="S611" s="631"/>
      <c r="T611" s="631"/>
      <c r="U611" s="631"/>
      <c r="V611" s="631"/>
      <c r="W611" s="631"/>
      <c r="X611" s="631"/>
      <c r="Y611" s="631"/>
      <c r="Z611" s="631"/>
      <c r="AA611" s="631"/>
      <c r="AB611" s="631"/>
      <c r="AC611" s="631"/>
    </row>
    <row r="612">
      <c r="A612" s="425" t="s">
        <v>32358</v>
      </c>
      <c r="B612" s="625" t="s">
        <v>32359</v>
      </c>
      <c r="C612" s="625" t="s">
        <v>31771</v>
      </c>
      <c r="D612" s="625" t="s">
        <v>32314</v>
      </c>
      <c r="E612" s="635"/>
      <c r="F612" s="627"/>
      <c r="G612" s="627"/>
      <c r="H612" s="627"/>
      <c r="I612" s="587"/>
      <c r="J612" s="669"/>
      <c r="K612" s="633"/>
      <c r="L612" s="584"/>
      <c r="M612" s="584"/>
      <c r="N612" s="584"/>
      <c r="O612" s="631"/>
      <c r="P612" s="631"/>
      <c r="Q612" s="631"/>
      <c r="R612" s="631"/>
      <c r="S612" s="631"/>
      <c r="T612" s="631"/>
      <c r="U612" s="631"/>
      <c r="V612" s="631"/>
      <c r="W612" s="631"/>
      <c r="X612" s="631"/>
      <c r="Y612" s="631"/>
      <c r="Z612" s="631"/>
      <c r="AA612" s="631"/>
      <c r="AB612" s="631"/>
      <c r="AC612" s="631"/>
    </row>
    <row r="613">
      <c r="A613" s="425" t="s">
        <v>32358</v>
      </c>
      <c r="B613" s="625" t="s">
        <v>32360</v>
      </c>
      <c r="C613" s="625" t="s">
        <v>11569</v>
      </c>
      <c r="D613" s="625" t="s">
        <v>32361</v>
      </c>
      <c r="E613" s="635"/>
      <c r="F613" s="627"/>
      <c r="G613" s="627"/>
      <c r="H613" s="627"/>
      <c r="I613" s="587" t="s">
        <v>32362</v>
      </c>
      <c r="J613" s="669">
        <v>44177.0</v>
      </c>
      <c r="K613" s="633"/>
      <c r="L613" s="584"/>
      <c r="M613" s="584"/>
      <c r="N613" s="584"/>
      <c r="O613" s="631"/>
      <c r="P613" s="631"/>
      <c r="Q613" s="631"/>
      <c r="R613" s="631"/>
      <c r="S613" s="631"/>
      <c r="T613" s="631"/>
      <c r="U613" s="631"/>
      <c r="V613" s="631"/>
      <c r="W613" s="631"/>
      <c r="X613" s="631"/>
      <c r="Y613" s="631"/>
      <c r="Z613" s="631"/>
      <c r="AA613" s="631"/>
      <c r="AB613" s="631"/>
      <c r="AC613" s="631"/>
    </row>
    <row r="614">
      <c r="A614" s="425" t="s">
        <v>32363</v>
      </c>
      <c r="B614" s="625" t="s">
        <v>32282</v>
      </c>
      <c r="C614" s="625" t="s">
        <v>12861</v>
      </c>
      <c r="D614" s="625" t="s">
        <v>853</v>
      </c>
      <c r="E614" s="635"/>
      <c r="F614" s="627"/>
      <c r="G614" s="627"/>
      <c r="H614" s="627"/>
      <c r="I614" s="587"/>
      <c r="J614" s="669"/>
      <c r="K614" s="633"/>
      <c r="L614" s="584"/>
      <c r="M614" s="584"/>
      <c r="N614" s="584"/>
      <c r="O614" s="631"/>
      <c r="P614" s="631"/>
      <c r="Q614" s="631"/>
      <c r="R614" s="631"/>
      <c r="S614" s="631"/>
      <c r="T614" s="631"/>
      <c r="U614" s="631"/>
      <c r="V614" s="631"/>
      <c r="W614" s="631"/>
      <c r="X614" s="631"/>
      <c r="Y614" s="631"/>
      <c r="Z614" s="631"/>
      <c r="AA614" s="631"/>
      <c r="AB614" s="631"/>
      <c r="AC614" s="631"/>
    </row>
    <row r="615">
      <c r="A615" s="573" t="s">
        <v>32364</v>
      </c>
      <c r="B615" s="625"/>
      <c r="C615" s="625" t="s">
        <v>32365</v>
      </c>
      <c r="D615" s="625" t="s">
        <v>32366</v>
      </c>
      <c r="E615" s="635"/>
      <c r="F615" s="627"/>
      <c r="G615" s="627"/>
      <c r="H615" s="627"/>
      <c r="I615" s="584"/>
      <c r="J615" s="584"/>
      <c r="K615" s="633"/>
      <c r="L615" s="584"/>
      <c r="M615" s="584"/>
      <c r="N615" s="584"/>
      <c r="O615" s="631"/>
      <c r="P615" s="631"/>
      <c r="Q615" s="631"/>
      <c r="R615" s="631"/>
      <c r="S615" s="631"/>
      <c r="T615" s="631"/>
      <c r="U615" s="631"/>
      <c r="V615" s="631"/>
      <c r="W615" s="631"/>
      <c r="X615" s="631"/>
      <c r="Y615" s="631"/>
      <c r="Z615" s="631"/>
      <c r="AA615" s="631"/>
      <c r="AB615" s="631"/>
      <c r="AC615" s="631"/>
    </row>
    <row r="616">
      <c r="A616" s="573" t="s">
        <v>32367</v>
      </c>
      <c r="B616" s="625" t="s">
        <v>32368</v>
      </c>
      <c r="C616" s="625" t="s">
        <v>32369</v>
      </c>
      <c r="D616" s="625" t="s">
        <v>32370</v>
      </c>
      <c r="E616" s="635"/>
      <c r="F616" s="627"/>
      <c r="G616" s="627"/>
      <c r="H616" s="627"/>
      <c r="I616" s="584"/>
      <c r="J616" s="584"/>
      <c r="K616" s="633"/>
      <c r="L616" s="584"/>
      <c r="M616" s="584"/>
      <c r="N616" s="584"/>
      <c r="O616" s="631"/>
      <c r="P616" s="631"/>
      <c r="Q616" s="631"/>
      <c r="R616" s="631"/>
      <c r="S616" s="631"/>
      <c r="T616" s="631"/>
      <c r="U616" s="631"/>
      <c r="V616" s="631"/>
      <c r="W616" s="631"/>
      <c r="X616" s="631"/>
      <c r="Y616" s="631"/>
      <c r="Z616" s="631"/>
      <c r="AA616" s="631"/>
      <c r="AB616" s="631"/>
      <c r="AC616" s="631"/>
    </row>
    <row r="617">
      <c r="A617" s="573" t="s">
        <v>32371</v>
      </c>
      <c r="B617" s="625" t="s">
        <v>32368</v>
      </c>
      <c r="C617" s="625" t="s">
        <v>32372</v>
      </c>
      <c r="D617" s="625" t="s">
        <v>1488</v>
      </c>
      <c r="E617" s="635"/>
      <c r="F617" s="627"/>
      <c r="G617" s="627"/>
      <c r="H617" s="627"/>
      <c r="I617" s="584"/>
      <c r="J617" s="584"/>
      <c r="K617" s="633"/>
      <c r="L617" s="584"/>
      <c r="M617" s="584"/>
      <c r="N617" s="584"/>
      <c r="O617" s="631"/>
      <c r="P617" s="631"/>
      <c r="Q617" s="631"/>
      <c r="R617" s="631"/>
      <c r="S617" s="631"/>
      <c r="T617" s="631"/>
      <c r="U617" s="631"/>
      <c r="V617" s="631"/>
      <c r="W617" s="631"/>
      <c r="X617" s="631"/>
      <c r="Y617" s="631"/>
      <c r="Z617" s="631"/>
      <c r="AA617" s="631"/>
      <c r="AB617" s="631"/>
      <c r="AC617" s="631"/>
    </row>
    <row r="618">
      <c r="A618" s="573" t="s">
        <v>32373</v>
      </c>
      <c r="B618" s="625" t="s">
        <v>32368</v>
      </c>
      <c r="C618" s="625" t="s">
        <v>32374</v>
      </c>
      <c r="D618" s="625" t="s">
        <v>32375</v>
      </c>
      <c r="E618" s="635"/>
      <c r="F618" s="627"/>
      <c r="G618" s="627"/>
      <c r="H618" s="627"/>
      <c r="I618" s="584"/>
      <c r="J618" s="584"/>
      <c r="K618" s="633"/>
      <c r="L618" s="584"/>
      <c r="M618" s="584"/>
      <c r="N618" s="584"/>
      <c r="O618" s="631"/>
      <c r="P618" s="631"/>
      <c r="Q618" s="631"/>
      <c r="R618" s="631"/>
      <c r="S618" s="631"/>
      <c r="T618" s="631"/>
      <c r="U618" s="631"/>
      <c r="V618" s="631"/>
      <c r="W618" s="631"/>
      <c r="X618" s="631"/>
      <c r="Y618" s="631"/>
      <c r="Z618" s="631"/>
      <c r="AA618" s="631"/>
      <c r="AB618" s="631"/>
      <c r="AC618" s="631"/>
    </row>
    <row r="619">
      <c r="A619" s="573" t="s">
        <v>32376</v>
      </c>
      <c r="B619" s="625" t="s">
        <v>32368</v>
      </c>
      <c r="C619" s="625" t="s">
        <v>32377</v>
      </c>
      <c r="D619" s="625" t="s">
        <v>31530</v>
      </c>
      <c r="E619" s="635"/>
      <c r="F619" s="627"/>
      <c r="G619" s="627"/>
      <c r="H619" s="627"/>
      <c r="I619" s="584"/>
      <c r="J619" s="584"/>
      <c r="K619" s="633"/>
      <c r="L619" s="584"/>
      <c r="M619" s="584"/>
      <c r="N619" s="584"/>
      <c r="O619" s="631"/>
      <c r="P619" s="631"/>
      <c r="Q619" s="631"/>
      <c r="R619" s="631"/>
      <c r="S619" s="631"/>
      <c r="T619" s="631"/>
      <c r="U619" s="631"/>
      <c r="V619" s="631"/>
      <c r="W619" s="631"/>
      <c r="X619" s="631"/>
      <c r="Y619" s="631"/>
      <c r="Z619" s="631"/>
      <c r="AA619" s="631"/>
      <c r="AB619" s="631"/>
      <c r="AC619" s="631"/>
    </row>
    <row r="620">
      <c r="A620" s="573" t="s">
        <v>32378</v>
      </c>
      <c r="B620" s="625" t="s">
        <v>32368</v>
      </c>
      <c r="C620" s="625" t="s">
        <v>32379</v>
      </c>
      <c r="D620" s="625" t="s">
        <v>32380</v>
      </c>
      <c r="E620" s="635"/>
      <c r="F620" s="627"/>
      <c r="G620" s="627"/>
      <c r="H620" s="627"/>
      <c r="I620" s="584"/>
      <c r="J620" s="584"/>
      <c r="K620" s="633"/>
      <c r="L620" s="584"/>
      <c r="M620" s="584"/>
      <c r="N620" s="584"/>
      <c r="O620" s="631"/>
      <c r="P620" s="631"/>
      <c r="Q620" s="631"/>
      <c r="R620" s="631"/>
      <c r="S620" s="631"/>
      <c r="T620" s="631"/>
      <c r="U620" s="631"/>
      <c r="V620" s="631"/>
      <c r="W620" s="631"/>
      <c r="X620" s="631"/>
      <c r="Y620" s="631"/>
      <c r="Z620" s="631"/>
      <c r="AA620" s="631"/>
      <c r="AB620" s="631"/>
      <c r="AC620" s="631"/>
    </row>
    <row r="621">
      <c r="A621" s="573" t="s">
        <v>32381</v>
      </c>
      <c r="B621" s="625"/>
      <c r="C621" s="625"/>
      <c r="D621" s="625"/>
      <c r="E621" s="635"/>
      <c r="F621" s="627"/>
      <c r="G621" s="627"/>
      <c r="H621" s="627"/>
      <c r="I621" s="584"/>
      <c r="J621" s="584"/>
      <c r="K621" s="633"/>
      <c r="L621" s="584"/>
      <c r="M621" s="584"/>
      <c r="N621" s="584"/>
      <c r="O621" s="631"/>
      <c r="P621" s="631"/>
      <c r="Q621" s="631"/>
      <c r="R621" s="631"/>
      <c r="S621" s="631"/>
      <c r="T621" s="631"/>
      <c r="U621" s="631"/>
      <c r="V621" s="631"/>
      <c r="W621" s="631"/>
      <c r="X621" s="631"/>
      <c r="Y621" s="631"/>
      <c r="Z621" s="631"/>
      <c r="AA621" s="631"/>
      <c r="AB621" s="631"/>
      <c r="AC621" s="631"/>
    </row>
    <row r="622">
      <c r="A622" s="573" t="s">
        <v>32382</v>
      </c>
      <c r="B622" s="625" t="s">
        <v>31598</v>
      </c>
      <c r="C622" s="625" t="s">
        <v>32383</v>
      </c>
      <c r="D622" s="625" t="s">
        <v>32384</v>
      </c>
      <c r="E622" s="625" t="s">
        <v>30971</v>
      </c>
      <c r="F622" s="627"/>
      <c r="G622" s="627"/>
      <c r="H622" s="627"/>
      <c r="I622" s="584"/>
      <c r="J622" s="584"/>
      <c r="K622" s="633"/>
      <c r="L622" s="584"/>
      <c r="M622" s="584"/>
      <c r="N622" s="584"/>
      <c r="O622" s="631"/>
      <c r="P622" s="631"/>
      <c r="Q622" s="631"/>
      <c r="R622" s="631"/>
      <c r="S622" s="631"/>
      <c r="T622" s="631"/>
      <c r="U622" s="631"/>
      <c r="V622" s="631"/>
      <c r="W622" s="631"/>
      <c r="X622" s="631"/>
      <c r="Y622" s="631"/>
      <c r="Z622" s="631"/>
      <c r="AA622" s="631"/>
      <c r="AB622" s="631"/>
      <c r="AC622" s="631"/>
    </row>
    <row r="623">
      <c r="A623" s="573" t="s">
        <v>32385</v>
      </c>
      <c r="B623" s="629" t="s">
        <v>31598</v>
      </c>
      <c r="C623" s="629" t="s">
        <v>32386</v>
      </c>
      <c r="D623" s="629" t="s">
        <v>32387</v>
      </c>
      <c r="E623" s="625" t="s">
        <v>30971</v>
      </c>
      <c r="F623" s="634"/>
      <c r="G623" s="634"/>
      <c r="H623" s="627"/>
      <c r="I623" s="584"/>
      <c r="J623" s="584"/>
      <c r="K623" s="633"/>
      <c r="L623" s="584"/>
      <c r="M623" s="584"/>
      <c r="N623" s="584"/>
      <c r="O623" s="631"/>
      <c r="P623" s="631"/>
      <c r="Q623" s="631"/>
      <c r="R623" s="631"/>
      <c r="S623" s="631"/>
      <c r="T623" s="631"/>
      <c r="U623" s="631"/>
      <c r="V623" s="631"/>
      <c r="W623" s="631"/>
      <c r="X623" s="631"/>
      <c r="Y623" s="631"/>
      <c r="Z623" s="631"/>
      <c r="AA623" s="631"/>
      <c r="AB623" s="631"/>
      <c r="AC623" s="631"/>
    </row>
    <row r="624">
      <c r="A624" s="573" t="s">
        <v>32388</v>
      </c>
      <c r="B624" s="629" t="s">
        <v>31598</v>
      </c>
      <c r="C624" s="629" t="s">
        <v>30915</v>
      </c>
      <c r="D624" s="629" t="s">
        <v>32389</v>
      </c>
      <c r="E624" s="625" t="s">
        <v>30971</v>
      </c>
      <c r="F624" s="634"/>
      <c r="G624" s="634"/>
      <c r="H624" s="627"/>
      <c r="I624" s="584"/>
      <c r="J624" s="584"/>
      <c r="K624" s="633"/>
      <c r="L624" s="584"/>
      <c r="M624" s="584"/>
      <c r="N624" s="584"/>
      <c r="O624" s="631"/>
      <c r="P624" s="631"/>
      <c r="Q624" s="631"/>
      <c r="R624" s="631"/>
      <c r="S624" s="631"/>
      <c r="T624" s="631"/>
      <c r="U624" s="631"/>
      <c r="V624" s="631"/>
      <c r="W624" s="631"/>
      <c r="X624" s="631"/>
      <c r="Y624" s="631"/>
      <c r="Z624" s="631"/>
      <c r="AA624" s="631"/>
      <c r="AB624" s="631"/>
      <c r="AC624" s="631"/>
    </row>
    <row r="625">
      <c r="A625" s="178" t="s">
        <v>19952</v>
      </c>
      <c r="B625" s="629"/>
      <c r="C625" s="629" t="s">
        <v>137</v>
      </c>
      <c r="D625" s="629" t="s">
        <v>32390</v>
      </c>
      <c r="E625" s="634"/>
      <c r="F625" s="634" t="s">
        <v>30928</v>
      </c>
      <c r="G625" s="634" t="s">
        <v>7244</v>
      </c>
      <c r="H625" s="627"/>
      <c r="I625" s="584"/>
      <c r="J625" s="584"/>
      <c r="K625" s="633"/>
      <c r="L625" s="584"/>
      <c r="M625" s="584"/>
      <c r="N625" s="584"/>
      <c r="O625" s="631"/>
      <c r="P625" s="631"/>
      <c r="Q625" s="631"/>
      <c r="R625" s="631"/>
      <c r="S625" s="631"/>
      <c r="T625" s="631"/>
      <c r="U625" s="631"/>
      <c r="V625" s="631"/>
      <c r="W625" s="631"/>
      <c r="X625" s="631"/>
      <c r="Y625" s="631"/>
      <c r="Z625" s="631"/>
      <c r="AA625" s="631"/>
      <c r="AB625" s="631"/>
      <c r="AC625" s="631"/>
    </row>
    <row r="626">
      <c r="A626" s="178" t="s">
        <v>32391</v>
      </c>
      <c r="B626" s="629" t="s">
        <v>8518</v>
      </c>
      <c r="C626" s="629" t="s">
        <v>31403</v>
      </c>
      <c r="D626" s="629" t="s">
        <v>32392</v>
      </c>
      <c r="E626" s="634" t="s">
        <v>31791</v>
      </c>
      <c r="F626" s="632"/>
      <c r="G626" s="632"/>
      <c r="H626" s="627"/>
      <c r="I626" s="584"/>
      <c r="J626" s="584"/>
      <c r="K626" s="633"/>
      <c r="L626" s="584"/>
      <c r="M626" s="584"/>
      <c r="N626" s="584"/>
      <c r="O626" s="631"/>
      <c r="P626" s="631"/>
      <c r="Q626" s="631"/>
      <c r="R626" s="631"/>
      <c r="S626" s="631"/>
      <c r="T626" s="631"/>
      <c r="U626" s="631"/>
      <c r="V626" s="631"/>
      <c r="W626" s="631"/>
      <c r="X626" s="631"/>
      <c r="Y626" s="631"/>
      <c r="Z626" s="631"/>
      <c r="AA626" s="631"/>
      <c r="AB626" s="631"/>
      <c r="AC626" s="631"/>
    </row>
    <row r="627">
      <c r="A627" s="178" t="s">
        <v>32393</v>
      </c>
      <c r="B627" s="629" t="s">
        <v>8518</v>
      </c>
      <c r="C627" s="629" t="s">
        <v>31679</v>
      </c>
      <c r="D627" s="629" t="s">
        <v>31296</v>
      </c>
      <c r="E627" s="632"/>
      <c r="F627" s="632"/>
      <c r="G627" s="632"/>
      <c r="H627" s="627"/>
      <c r="I627" s="584"/>
      <c r="J627" s="584"/>
      <c r="K627" s="633"/>
      <c r="L627" s="584"/>
      <c r="M627" s="584"/>
      <c r="N627" s="584"/>
      <c r="O627" s="631"/>
      <c r="P627" s="631"/>
      <c r="Q627" s="631"/>
      <c r="R627" s="631"/>
      <c r="S627" s="631"/>
      <c r="T627" s="631"/>
      <c r="U627" s="631"/>
      <c r="V627" s="631"/>
      <c r="W627" s="631"/>
      <c r="X627" s="631"/>
      <c r="Y627" s="631"/>
      <c r="Z627" s="631"/>
      <c r="AA627" s="631"/>
      <c r="AB627" s="631"/>
      <c r="AC627" s="631"/>
    </row>
    <row r="628">
      <c r="A628" s="178" t="s">
        <v>32394</v>
      </c>
      <c r="B628" s="629" t="s">
        <v>32395</v>
      </c>
      <c r="C628" s="629" t="s">
        <v>32396</v>
      </c>
      <c r="D628" s="629" t="s">
        <v>32397</v>
      </c>
      <c r="E628" s="632"/>
      <c r="F628" s="632"/>
      <c r="G628" s="632"/>
      <c r="H628" s="627"/>
      <c r="I628" s="584"/>
      <c r="J628" s="584"/>
      <c r="K628" s="633"/>
      <c r="L628" s="584"/>
      <c r="M628" s="584"/>
      <c r="N628" s="584"/>
      <c r="O628" s="631"/>
      <c r="P628" s="631"/>
      <c r="Q628" s="631"/>
      <c r="R628" s="631"/>
      <c r="S628" s="631"/>
      <c r="T628" s="631"/>
      <c r="U628" s="631"/>
      <c r="V628" s="631"/>
      <c r="W628" s="631"/>
      <c r="X628" s="631"/>
      <c r="Y628" s="631"/>
      <c r="Z628" s="631"/>
      <c r="AA628" s="631"/>
      <c r="AB628" s="631"/>
      <c r="AC628" s="631"/>
    </row>
    <row r="629">
      <c r="A629" s="178" t="s">
        <v>32394</v>
      </c>
      <c r="B629" s="629" t="s">
        <v>32398</v>
      </c>
      <c r="C629" s="629" t="s">
        <v>12861</v>
      </c>
      <c r="D629" s="629" t="s">
        <v>32232</v>
      </c>
      <c r="E629" s="634" t="s">
        <v>32335</v>
      </c>
      <c r="F629" s="632"/>
      <c r="G629" s="632"/>
      <c r="H629" s="627"/>
      <c r="I629" s="584"/>
      <c r="J629" s="584"/>
      <c r="K629" s="633"/>
      <c r="L629" s="584"/>
      <c r="M629" s="584"/>
      <c r="N629" s="584"/>
      <c r="O629" s="631"/>
      <c r="P629" s="631"/>
      <c r="Q629" s="631"/>
      <c r="R629" s="631"/>
      <c r="S629" s="631"/>
      <c r="T629" s="631"/>
      <c r="U629" s="631"/>
      <c r="V629" s="631"/>
      <c r="W629" s="631"/>
      <c r="X629" s="631"/>
      <c r="Y629" s="631"/>
      <c r="Z629" s="631"/>
      <c r="AA629" s="631"/>
      <c r="AB629" s="631"/>
      <c r="AC629" s="631"/>
    </row>
    <row r="630">
      <c r="A630" s="178" t="s">
        <v>32399</v>
      </c>
      <c r="B630" s="629" t="s">
        <v>30975</v>
      </c>
      <c r="C630" s="629" t="s">
        <v>9799</v>
      </c>
      <c r="D630" s="629" t="s">
        <v>31579</v>
      </c>
      <c r="E630" s="632"/>
      <c r="F630" s="634" t="s">
        <v>32400</v>
      </c>
      <c r="G630" s="632"/>
      <c r="H630" s="627"/>
      <c r="I630" s="584"/>
      <c r="J630" s="584"/>
      <c r="K630" s="633"/>
      <c r="L630" s="584"/>
      <c r="M630" s="584"/>
      <c r="N630" s="584"/>
      <c r="O630" s="631"/>
      <c r="P630" s="631"/>
      <c r="Q630" s="631"/>
      <c r="R630" s="631"/>
      <c r="S630" s="631"/>
      <c r="T630" s="631"/>
      <c r="U630" s="631"/>
      <c r="V630" s="631"/>
      <c r="W630" s="631"/>
      <c r="X630" s="631"/>
      <c r="Y630" s="631"/>
      <c r="Z630" s="631"/>
      <c r="AA630" s="631"/>
      <c r="AB630" s="631"/>
      <c r="AC630" s="631"/>
    </row>
    <row r="631">
      <c r="A631" s="178" t="s">
        <v>32401</v>
      </c>
      <c r="B631" s="629" t="s">
        <v>30975</v>
      </c>
      <c r="C631" s="629" t="s">
        <v>32402</v>
      </c>
      <c r="D631" s="629" t="s">
        <v>32403</v>
      </c>
      <c r="E631" s="632"/>
      <c r="F631" s="632"/>
      <c r="G631" s="632"/>
      <c r="H631" s="627"/>
      <c r="I631" s="584"/>
      <c r="J631" s="584"/>
      <c r="K631" s="633"/>
      <c r="L631" s="584"/>
      <c r="M631" s="584"/>
      <c r="N631" s="584"/>
      <c r="O631" s="631"/>
      <c r="P631" s="631"/>
      <c r="Q631" s="631"/>
      <c r="R631" s="631"/>
      <c r="S631" s="631"/>
      <c r="T631" s="631"/>
      <c r="U631" s="631"/>
      <c r="V631" s="631"/>
      <c r="W631" s="631"/>
      <c r="X631" s="631"/>
      <c r="Y631" s="631"/>
      <c r="Z631" s="631"/>
      <c r="AA631" s="631"/>
      <c r="AB631" s="631"/>
      <c r="AC631" s="631"/>
    </row>
    <row r="632">
      <c r="A632" s="178" t="s">
        <v>1771</v>
      </c>
      <c r="B632" s="629" t="s">
        <v>32404</v>
      </c>
      <c r="C632" s="629" t="s">
        <v>32405</v>
      </c>
      <c r="D632" s="629" t="s">
        <v>32406</v>
      </c>
      <c r="E632" s="632"/>
      <c r="F632" s="632"/>
      <c r="G632" s="632"/>
      <c r="H632" s="627"/>
      <c r="I632" s="584"/>
      <c r="J632" s="584"/>
      <c r="K632" s="633"/>
      <c r="L632" s="584"/>
      <c r="M632" s="584"/>
      <c r="N632" s="584"/>
      <c r="O632" s="631"/>
      <c r="P632" s="631"/>
      <c r="Q632" s="631"/>
      <c r="R632" s="631"/>
      <c r="S632" s="631"/>
      <c r="T632" s="631"/>
      <c r="U632" s="631"/>
      <c r="V632" s="631"/>
      <c r="W632" s="631"/>
      <c r="X632" s="631"/>
      <c r="Y632" s="631"/>
      <c r="Z632" s="631"/>
      <c r="AA632" s="631"/>
      <c r="AB632" s="631"/>
      <c r="AC632" s="631"/>
    </row>
    <row r="633">
      <c r="A633" s="178" t="s">
        <v>32407</v>
      </c>
      <c r="B633" s="629" t="s">
        <v>32408</v>
      </c>
      <c r="C633" s="629"/>
      <c r="D633" s="629"/>
      <c r="E633" s="634"/>
      <c r="F633" s="634" t="s">
        <v>3305</v>
      </c>
      <c r="G633" s="634" t="s">
        <v>31086</v>
      </c>
      <c r="H633" s="627"/>
      <c r="I633" s="587"/>
      <c r="J633" s="587"/>
      <c r="K633" s="630"/>
      <c r="L633" s="587"/>
      <c r="M633" s="584"/>
      <c r="N633" s="584"/>
      <c r="O633" s="631"/>
      <c r="P633" s="631"/>
      <c r="Q633" s="631"/>
      <c r="R633" s="631"/>
      <c r="S633" s="631"/>
      <c r="T633" s="631"/>
      <c r="U633" s="631"/>
      <c r="V633" s="631"/>
      <c r="W633" s="631"/>
      <c r="X633" s="631"/>
      <c r="Y633" s="631"/>
      <c r="Z633" s="631"/>
      <c r="AA633" s="631"/>
      <c r="AB633" s="631"/>
      <c r="AC633" s="631"/>
    </row>
    <row r="634">
      <c r="A634" s="178" t="s">
        <v>32409</v>
      </c>
      <c r="B634" s="629" t="s">
        <v>31134</v>
      </c>
      <c r="C634" s="629" t="s">
        <v>32410</v>
      </c>
      <c r="D634" s="629" t="s">
        <v>32411</v>
      </c>
      <c r="E634" s="634" t="s">
        <v>32412</v>
      </c>
      <c r="F634" s="634"/>
      <c r="G634" s="634"/>
      <c r="H634" s="627"/>
      <c r="I634" s="587"/>
      <c r="J634" s="587"/>
      <c r="K634" s="630"/>
      <c r="L634" s="587"/>
      <c r="M634" s="584"/>
      <c r="N634" s="584"/>
      <c r="O634" s="631"/>
      <c r="P634" s="631"/>
      <c r="Q634" s="631"/>
      <c r="R634" s="631"/>
      <c r="S634" s="631"/>
      <c r="T634" s="631"/>
      <c r="U634" s="631"/>
      <c r="V634" s="631"/>
      <c r="W634" s="631"/>
      <c r="X634" s="631"/>
      <c r="Y634" s="631"/>
      <c r="Z634" s="631"/>
      <c r="AA634" s="631"/>
      <c r="AB634" s="631"/>
      <c r="AC634" s="631"/>
    </row>
    <row r="635">
      <c r="A635" s="178" t="s">
        <v>5642</v>
      </c>
      <c r="B635" s="629" t="s">
        <v>31134</v>
      </c>
      <c r="C635" s="629" t="s">
        <v>32413</v>
      </c>
      <c r="D635" s="629" t="s">
        <v>31923</v>
      </c>
      <c r="E635" s="634" t="s">
        <v>32412</v>
      </c>
      <c r="F635" s="634" t="s">
        <v>32414</v>
      </c>
      <c r="G635" s="634" t="s">
        <v>4677</v>
      </c>
      <c r="H635" s="627"/>
      <c r="I635" s="587" t="s">
        <v>32415</v>
      </c>
      <c r="J635" s="587" t="s">
        <v>32416</v>
      </c>
      <c r="K635" s="630" t="s">
        <v>32417</v>
      </c>
      <c r="L635" s="587" t="s">
        <v>32416</v>
      </c>
      <c r="M635" s="584"/>
      <c r="N635" s="584"/>
      <c r="O635" s="631"/>
      <c r="P635" s="631"/>
      <c r="Q635" s="631"/>
      <c r="R635" s="631"/>
      <c r="S635" s="631"/>
      <c r="T635" s="631"/>
      <c r="U635" s="631"/>
      <c r="V635" s="631"/>
      <c r="W635" s="631"/>
      <c r="X635" s="631"/>
      <c r="Y635" s="631"/>
      <c r="Z635" s="631"/>
      <c r="AA635" s="631"/>
      <c r="AB635" s="631"/>
      <c r="AC635" s="631"/>
    </row>
    <row r="636">
      <c r="A636" s="573" t="s">
        <v>13809</v>
      </c>
      <c r="B636" s="625" t="s">
        <v>32135</v>
      </c>
      <c r="C636" s="625" t="s">
        <v>32418</v>
      </c>
      <c r="D636" s="625" t="s">
        <v>32346</v>
      </c>
      <c r="E636" s="635"/>
      <c r="F636" s="627"/>
      <c r="G636" s="627"/>
      <c r="H636" s="627"/>
      <c r="I636" s="587">
        <v>520.0</v>
      </c>
      <c r="J636" s="587" t="s">
        <v>30922</v>
      </c>
      <c r="K636" s="630">
        <v>480.0</v>
      </c>
      <c r="L636" s="593">
        <v>43930.0</v>
      </c>
      <c r="M636" s="584"/>
      <c r="N636" s="584"/>
      <c r="O636" s="631"/>
      <c r="P636" s="631"/>
      <c r="Q636" s="631"/>
      <c r="R636" s="631"/>
      <c r="S636" s="631"/>
      <c r="T636" s="631"/>
      <c r="U636" s="631"/>
      <c r="V636" s="631"/>
      <c r="W636" s="631"/>
      <c r="X636" s="631"/>
      <c r="Y636" s="631"/>
      <c r="Z636" s="631"/>
      <c r="AA636" s="631"/>
      <c r="AB636" s="631"/>
      <c r="AC636" s="631"/>
    </row>
    <row r="637">
      <c r="A637" s="573" t="s">
        <v>10844</v>
      </c>
      <c r="B637" s="625"/>
      <c r="C637" s="625"/>
      <c r="D637" s="625"/>
      <c r="E637" s="635"/>
      <c r="F637" s="627"/>
      <c r="G637" s="627"/>
      <c r="H637" s="627"/>
      <c r="I637" s="587"/>
      <c r="J637" s="593"/>
      <c r="K637" s="633"/>
      <c r="L637" s="584"/>
      <c r="M637" s="584"/>
      <c r="N637" s="584"/>
      <c r="O637" s="631"/>
      <c r="P637" s="631"/>
      <c r="Q637" s="631"/>
      <c r="R637" s="631"/>
      <c r="S637" s="631"/>
      <c r="T637" s="631"/>
      <c r="U637" s="631"/>
      <c r="V637" s="631"/>
      <c r="W637" s="631"/>
      <c r="X637" s="631"/>
      <c r="Y637" s="631"/>
      <c r="Z637" s="631"/>
      <c r="AA637" s="631"/>
      <c r="AB637" s="631"/>
      <c r="AC637" s="631"/>
    </row>
    <row r="638">
      <c r="A638" s="178" t="s">
        <v>3705</v>
      </c>
      <c r="B638" s="629" t="s">
        <v>32419</v>
      </c>
      <c r="C638" s="629" t="s">
        <v>11569</v>
      </c>
      <c r="D638" s="629" t="s">
        <v>32420</v>
      </c>
      <c r="E638" s="632"/>
      <c r="F638" s="632"/>
      <c r="G638" s="632"/>
      <c r="H638" s="627"/>
      <c r="I638" s="584"/>
      <c r="J638" s="584"/>
      <c r="K638" s="633"/>
      <c r="L638" s="584"/>
      <c r="M638" s="584"/>
      <c r="N638" s="584"/>
      <c r="O638" s="631"/>
      <c r="P638" s="631"/>
      <c r="Q638" s="631"/>
      <c r="R638" s="631"/>
      <c r="S638" s="631"/>
      <c r="T638" s="631"/>
      <c r="U638" s="631"/>
      <c r="V638" s="631"/>
      <c r="W638" s="631"/>
      <c r="X638" s="631"/>
      <c r="Y638" s="631"/>
      <c r="Z638" s="631"/>
      <c r="AA638" s="631"/>
      <c r="AB638" s="631"/>
      <c r="AC638" s="631"/>
    </row>
    <row r="639">
      <c r="A639" s="178" t="s">
        <v>3705</v>
      </c>
      <c r="B639" s="629" t="s">
        <v>30975</v>
      </c>
      <c r="C639" s="629" t="s">
        <v>32421</v>
      </c>
      <c r="D639" s="629" t="s">
        <v>1036</v>
      </c>
      <c r="E639" s="632"/>
      <c r="F639" s="632"/>
      <c r="G639" s="632"/>
      <c r="H639" s="627"/>
      <c r="I639" s="584"/>
      <c r="J639" s="584"/>
      <c r="K639" s="633"/>
      <c r="L639" s="584"/>
      <c r="M639" s="584"/>
      <c r="N639" s="584"/>
      <c r="O639" s="631"/>
      <c r="P639" s="631"/>
      <c r="Q639" s="631"/>
      <c r="R639" s="631"/>
      <c r="S639" s="631"/>
      <c r="T639" s="631"/>
      <c r="U639" s="631"/>
      <c r="V639" s="631"/>
      <c r="W639" s="631"/>
      <c r="X639" s="631"/>
      <c r="Y639" s="631"/>
      <c r="Z639" s="631"/>
      <c r="AA639" s="631"/>
      <c r="AB639" s="631"/>
      <c r="AC639" s="631"/>
    </row>
    <row r="640">
      <c r="A640" s="573" t="s">
        <v>32422</v>
      </c>
      <c r="B640" s="625" t="s">
        <v>31297</v>
      </c>
      <c r="C640" s="625" t="s">
        <v>32423</v>
      </c>
      <c r="D640" s="625" t="s">
        <v>32424</v>
      </c>
      <c r="E640" s="625"/>
      <c r="F640" s="573" t="s">
        <v>2827</v>
      </c>
      <c r="G640" s="573" t="s">
        <v>8724</v>
      </c>
      <c r="H640" s="627"/>
      <c r="I640" s="587">
        <v>90.0</v>
      </c>
      <c r="J640" s="593">
        <v>44174.0</v>
      </c>
      <c r="K640" s="633"/>
      <c r="L640" s="584"/>
      <c r="M640" s="584"/>
      <c r="N640" s="584"/>
      <c r="O640" s="631"/>
      <c r="P640" s="631"/>
      <c r="Q640" s="631"/>
      <c r="R640" s="631"/>
      <c r="S640" s="631"/>
      <c r="T640" s="631"/>
      <c r="U640" s="631"/>
      <c r="V640" s="631"/>
      <c r="W640" s="631"/>
      <c r="X640" s="631"/>
      <c r="Y640" s="631"/>
      <c r="Z640" s="631"/>
      <c r="AA640" s="631"/>
      <c r="AB640" s="631"/>
      <c r="AC640" s="631"/>
    </row>
    <row r="641">
      <c r="A641" s="178" t="s">
        <v>32425</v>
      </c>
      <c r="B641" s="670" t="s">
        <v>32426</v>
      </c>
      <c r="C641" s="629" t="s">
        <v>32427</v>
      </c>
      <c r="D641" s="629" t="s">
        <v>32428</v>
      </c>
      <c r="E641" s="632"/>
      <c r="F641" s="632"/>
      <c r="G641" s="632"/>
      <c r="H641" s="627"/>
      <c r="I641" s="587"/>
      <c r="J641" s="593"/>
      <c r="K641" s="633"/>
      <c r="L641" s="584"/>
      <c r="M641" s="584"/>
      <c r="N641" s="584"/>
      <c r="O641" s="631"/>
      <c r="P641" s="631"/>
      <c r="Q641" s="631"/>
      <c r="R641" s="631"/>
      <c r="S641" s="631"/>
      <c r="T641" s="631"/>
      <c r="U641" s="631"/>
      <c r="V641" s="631"/>
      <c r="W641" s="631"/>
      <c r="X641" s="631"/>
      <c r="Y641" s="631"/>
      <c r="Z641" s="631"/>
      <c r="AA641" s="631"/>
      <c r="AB641" s="631"/>
      <c r="AC641" s="631"/>
    </row>
    <row r="642">
      <c r="A642" s="178" t="s">
        <v>32429</v>
      </c>
      <c r="B642" s="670" t="s">
        <v>32430</v>
      </c>
      <c r="C642" s="629" t="s">
        <v>11569</v>
      </c>
      <c r="D642" s="629" t="s">
        <v>50</v>
      </c>
      <c r="E642" s="632"/>
      <c r="F642" s="632"/>
      <c r="G642" s="632"/>
      <c r="H642" s="627"/>
      <c r="I642" s="587"/>
      <c r="J642" s="593"/>
      <c r="K642" s="633"/>
      <c r="L642" s="584"/>
      <c r="M642" s="584"/>
      <c r="N642" s="584"/>
      <c r="O642" s="631"/>
      <c r="P642" s="631"/>
      <c r="Q642" s="631"/>
      <c r="R642" s="631"/>
      <c r="S642" s="631"/>
      <c r="T642" s="631"/>
      <c r="U642" s="631"/>
      <c r="V642" s="631"/>
      <c r="W642" s="631"/>
      <c r="X642" s="631"/>
      <c r="Y642" s="631"/>
      <c r="Z642" s="631"/>
      <c r="AA642" s="631"/>
      <c r="AB642" s="631"/>
      <c r="AC642" s="631"/>
    </row>
    <row r="643">
      <c r="A643" s="178" t="s">
        <v>1373</v>
      </c>
      <c r="B643" s="629" t="s">
        <v>32431</v>
      </c>
      <c r="C643" s="629" t="s">
        <v>32432</v>
      </c>
      <c r="D643" s="629" t="s">
        <v>31866</v>
      </c>
      <c r="E643" s="632"/>
      <c r="F643" s="632"/>
      <c r="G643" s="632"/>
      <c r="H643" s="627"/>
      <c r="I643" s="587"/>
      <c r="J643" s="593"/>
      <c r="K643" s="633"/>
      <c r="L643" s="584"/>
      <c r="M643" s="584"/>
      <c r="N643" s="584"/>
      <c r="O643" s="631"/>
      <c r="P643" s="631"/>
      <c r="Q643" s="631"/>
      <c r="R643" s="631"/>
      <c r="S643" s="631"/>
      <c r="T643" s="631"/>
      <c r="U643" s="631"/>
      <c r="V643" s="631"/>
      <c r="W643" s="631"/>
      <c r="X643" s="631"/>
      <c r="Y643" s="631"/>
      <c r="Z643" s="631"/>
      <c r="AA643" s="631"/>
      <c r="AB643" s="631"/>
      <c r="AC643" s="631"/>
    </row>
    <row r="644">
      <c r="A644" s="178" t="s">
        <v>32433</v>
      </c>
      <c r="B644" s="629" t="s">
        <v>32431</v>
      </c>
      <c r="C644" s="629" t="s">
        <v>32434</v>
      </c>
      <c r="D644" s="629" t="s">
        <v>31866</v>
      </c>
      <c r="E644" s="632"/>
      <c r="F644" s="632"/>
      <c r="G644" s="632"/>
      <c r="H644" s="627"/>
      <c r="I644" s="587">
        <v>12.0</v>
      </c>
      <c r="J644" s="593">
        <v>44173.0</v>
      </c>
      <c r="K644" s="633"/>
      <c r="L644" s="584"/>
      <c r="M644" s="584"/>
      <c r="N644" s="584"/>
      <c r="O644" s="631"/>
      <c r="P644" s="631"/>
      <c r="Q644" s="631"/>
      <c r="R644" s="631"/>
      <c r="S644" s="631"/>
      <c r="T644" s="631"/>
      <c r="U644" s="631"/>
      <c r="V644" s="631"/>
      <c r="W644" s="631"/>
      <c r="X644" s="631"/>
      <c r="Y644" s="631"/>
      <c r="Z644" s="631"/>
      <c r="AA644" s="631"/>
      <c r="AB644" s="631"/>
      <c r="AC644" s="631"/>
    </row>
    <row r="645">
      <c r="A645" s="178" t="s">
        <v>32435</v>
      </c>
      <c r="B645" s="629" t="s">
        <v>32431</v>
      </c>
      <c r="C645" s="629" t="s">
        <v>32436</v>
      </c>
      <c r="D645" s="629" t="s">
        <v>32437</v>
      </c>
      <c r="E645" s="632"/>
      <c r="F645" s="632"/>
      <c r="G645" s="632"/>
      <c r="H645" s="627"/>
      <c r="I645" s="587"/>
      <c r="J645" s="593"/>
      <c r="K645" s="633"/>
      <c r="L645" s="584"/>
      <c r="M645" s="584"/>
      <c r="N645" s="584"/>
      <c r="O645" s="631"/>
      <c r="P645" s="631"/>
      <c r="Q645" s="631"/>
      <c r="R645" s="631"/>
      <c r="S645" s="631"/>
      <c r="T645" s="631"/>
      <c r="U645" s="631"/>
      <c r="V645" s="631"/>
      <c r="W645" s="631"/>
      <c r="X645" s="631"/>
      <c r="Y645" s="631"/>
      <c r="Z645" s="631"/>
      <c r="AA645" s="631"/>
      <c r="AB645" s="631"/>
      <c r="AC645" s="631"/>
    </row>
    <row r="646">
      <c r="A646" s="178" t="s">
        <v>32438</v>
      </c>
      <c r="B646" s="629" t="s">
        <v>32439</v>
      </c>
      <c r="C646" s="629" t="s">
        <v>32440</v>
      </c>
      <c r="D646" s="629" t="s">
        <v>30995</v>
      </c>
      <c r="E646" s="632"/>
      <c r="F646" s="632"/>
      <c r="G646" s="632"/>
      <c r="H646" s="627"/>
      <c r="I646" s="587"/>
      <c r="J646" s="593"/>
      <c r="K646" s="633"/>
      <c r="L646" s="584"/>
      <c r="M646" s="584"/>
      <c r="N646" s="584"/>
      <c r="O646" s="631"/>
      <c r="P646" s="631"/>
      <c r="Q646" s="631"/>
      <c r="R646" s="631"/>
      <c r="S646" s="631"/>
      <c r="T646" s="631"/>
      <c r="U646" s="631"/>
      <c r="V646" s="631"/>
      <c r="W646" s="631"/>
      <c r="X646" s="631"/>
      <c r="Y646" s="631"/>
      <c r="Z646" s="631"/>
      <c r="AA646" s="631"/>
      <c r="AB646" s="631"/>
      <c r="AC646" s="631"/>
    </row>
    <row r="647">
      <c r="A647" s="178" t="s">
        <v>32441</v>
      </c>
      <c r="B647" s="629" t="s">
        <v>32442</v>
      </c>
      <c r="C647" s="629" t="s">
        <v>32443</v>
      </c>
      <c r="D647" s="629" t="s">
        <v>32444</v>
      </c>
      <c r="E647" s="634"/>
      <c r="F647" s="634" t="s">
        <v>32445</v>
      </c>
      <c r="G647" s="634" t="s">
        <v>8836</v>
      </c>
      <c r="H647" s="627"/>
      <c r="I647" s="587"/>
      <c r="J647" s="587"/>
      <c r="K647" s="633"/>
      <c r="L647" s="584"/>
      <c r="M647" s="587"/>
      <c r="N647" s="587"/>
      <c r="O647" s="631"/>
      <c r="P647" s="631"/>
      <c r="Q647" s="631"/>
      <c r="R647" s="631"/>
      <c r="S647" s="631"/>
      <c r="T647" s="631"/>
      <c r="U647" s="631"/>
      <c r="V647" s="631"/>
      <c r="W647" s="631"/>
      <c r="X647" s="631"/>
      <c r="Y647" s="631"/>
      <c r="Z647" s="631"/>
      <c r="AA647" s="631"/>
      <c r="AB647" s="631"/>
      <c r="AC647" s="631"/>
    </row>
    <row r="648">
      <c r="A648" s="178" t="s">
        <v>1749</v>
      </c>
      <c r="B648" s="629" t="s">
        <v>32446</v>
      </c>
      <c r="C648" s="629" t="s">
        <v>32447</v>
      </c>
      <c r="D648" s="629" t="s">
        <v>32448</v>
      </c>
      <c r="E648" s="632"/>
      <c r="F648" s="632"/>
      <c r="G648" s="632"/>
      <c r="H648" s="627"/>
      <c r="I648" s="587">
        <v>46.0</v>
      </c>
      <c r="J648" s="587" t="s">
        <v>32449</v>
      </c>
      <c r="K648" s="633"/>
      <c r="L648" s="584"/>
      <c r="M648" s="587">
        <v>55.0</v>
      </c>
      <c r="N648" s="587" t="s">
        <v>32297</v>
      </c>
      <c r="O648" s="631"/>
      <c r="P648" s="631"/>
      <c r="Q648" s="631"/>
      <c r="R648" s="631"/>
      <c r="S648" s="631"/>
      <c r="T648" s="631"/>
      <c r="U648" s="631"/>
      <c r="V648" s="631"/>
      <c r="W648" s="631"/>
      <c r="X648" s="631"/>
      <c r="Y648" s="631"/>
      <c r="Z648" s="631"/>
      <c r="AA648" s="631"/>
      <c r="AB648" s="631"/>
      <c r="AC648" s="631"/>
    </row>
    <row r="649">
      <c r="A649" s="178" t="s">
        <v>32450</v>
      </c>
      <c r="B649" s="629"/>
      <c r="C649" s="629"/>
      <c r="D649" s="629"/>
      <c r="E649" s="632"/>
      <c r="F649" s="632"/>
      <c r="G649" s="632"/>
      <c r="H649" s="627"/>
      <c r="I649" s="587" t="s">
        <v>32451</v>
      </c>
      <c r="J649" s="587" t="s">
        <v>32452</v>
      </c>
      <c r="K649" s="630" t="s">
        <v>32453</v>
      </c>
      <c r="L649" s="587" t="s">
        <v>32452</v>
      </c>
      <c r="M649" s="587" t="s">
        <v>32454</v>
      </c>
      <c r="N649" s="587" t="s">
        <v>32452</v>
      </c>
      <c r="O649" s="631"/>
      <c r="P649" s="631"/>
      <c r="Q649" s="631"/>
      <c r="R649" s="631"/>
      <c r="S649" s="631"/>
      <c r="T649" s="631"/>
      <c r="U649" s="631"/>
      <c r="V649" s="631"/>
      <c r="W649" s="631"/>
      <c r="X649" s="631"/>
      <c r="Y649" s="631"/>
      <c r="Z649" s="631"/>
      <c r="AA649" s="631"/>
      <c r="AB649" s="631"/>
      <c r="AC649" s="631"/>
    </row>
    <row r="650">
      <c r="A650" s="178" t="s">
        <v>32455</v>
      </c>
      <c r="B650" s="629" t="s">
        <v>32456</v>
      </c>
      <c r="C650" s="629" t="s">
        <v>3943</v>
      </c>
      <c r="D650" s="629" t="s">
        <v>31826</v>
      </c>
      <c r="E650" s="634"/>
      <c r="F650" s="634"/>
      <c r="G650" s="634"/>
      <c r="H650" s="627"/>
      <c r="I650" s="584"/>
      <c r="J650" s="584"/>
      <c r="K650" s="630"/>
      <c r="L650" s="587"/>
      <c r="M650" s="587"/>
      <c r="N650" s="587"/>
      <c r="O650" s="631"/>
      <c r="P650" s="631"/>
      <c r="Q650" s="631"/>
      <c r="R650" s="631"/>
      <c r="S650" s="631"/>
      <c r="T650" s="631"/>
      <c r="U650" s="631"/>
      <c r="V650" s="631"/>
      <c r="W650" s="631"/>
      <c r="X650" s="631"/>
      <c r="Y650" s="631"/>
      <c r="Z650" s="631"/>
      <c r="AA650" s="631"/>
      <c r="AB650" s="631"/>
      <c r="AC650" s="631"/>
    </row>
    <row r="651">
      <c r="A651" s="178" t="s">
        <v>32457</v>
      </c>
      <c r="B651" s="629" t="s">
        <v>32458</v>
      </c>
      <c r="C651" s="629" t="s">
        <v>3783</v>
      </c>
      <c r="D651" s="629" t="s">
        <v>32246</v>
      </c>
      <c r="E651" s="634"/>
      <c r="F651" s="634"/>
      <c r="G651" s="634"/>
      <c r="H651" s="627"/>
      <c r="I651" s="584"/>
      <c r="J651" s="584"/>
      <c r="K651" s="630"/>
      <c r="L651" s="587"/>
      <c r="M651" s="587"/>
      <c r="N651" s="587"/>
      <c r="O651" s="631"/>
      <c r="P651" s="631"/>
      <c r="Q651" s="631"/>
      <c r="R651" s="631"/>
      <c r="S651" s="631"/>
      <c r="T651" s="631"/>
      <c r="U651" s="631"/>
      <c r="V651" s="631"/>
      <c r="W651" s="631"/>
      <c r="X651" s="631"/>
      <c r="Y651" s="631"/>
      <c r="Z651" s="631"/>
      <c r="AA651" s="631"/>
      <c r="AB651" s="631"/>
      <c r="AC651" s="631"/>
    </row>
    <row r="652">
      <c r="A652" s="178" t="s">
        <v>32457</v>
      </c>
      <c r="B652" s="629" t="s">
        <v>32456</v>
      </c>
      <c r="C652" s="629" t="s">
        <v>14116</v>
      </c>
      <c r="D652" s="629" t="s">
        <v>32459</v>
      </c>
      <c r="E652" s="634"/>
      <c r="F652" s="634"/>
      <c r="G652" s="634"/>
      <c r="H652" s="627"/>
      <c r="I652" s="584"/>
      <c r="J652" s="584"/>
      <c r="K652" s="630"/>
      <c r="L652" s="587"/>
      <c r="M652" s="587"/>
      <c r="N652" s="587"/>
      <c r="O652" s="631"/>
      <c r="P652" s="631"/>
      <c r="Q652" s="631"/>
      <c r="R652" s="631"/>
      <c r="S652" s="631"/>
      <c r="T652" s="631"/>
      <c r="U652" s="631"/>
      <c r="V652" s="631"/>
      <c r="W652" s="631"/>
      <c r="X652" s="631"/>
      <c r="Y652" s="631"/>
      <c r="Z652" s="631"/>
      <c r="AA652" s="631"/>
      <c r="AB652" s="631"/>
      <c r="AC652" s="631"/>
    </row>
    <row r="653">
      <c r="A653" s="178" t="s">
        <v>32460</v>
      </c>
      <c r="B653" s="629" t="s">
        <v>32458</v>
      </c>
      <c r="C653" s="629" t="s">
        <v>32461</v>
      </c>
      <c r="D653" s="671" t="s">
        <v>32462</v>
      </c>
      <c r="E653" s="634"/>
      <c r="F653" s="634" t="s">
        <v>31035</v>
      </c>
      <c r="G653" s="634"/>
      <c r="H653" s="627"/>
      <c r="I653" s="584"/>
      <c r="J653" s="584"/>
      <c r="K653" s="630"/>
      <c r="L653" s="587"/>
      <c r="M653" s="587"/>
      <c r="N653" s="587"/>
      <c r="O653" s="631"/>
      <c r="P653" s="631"/>
      <c r="Q653" s="631"/>
      <c r="R653" s="631"/>
      <c r="S653" s="631"/>
      <c r="T653" s="631"/>
      <c r="U653" s="631"/>
      <c r="V653" s="631"/>
      <c r="W653" s="631"/>
      <c r="X653" s="631"/>
      <c r="Y653" s="631"/>
      <c r="Z653" s="631"/>
      <c r="AA653" s="631"/>
      <c r="AB653" s="631"/>
      <c r="AC653" s="631"/>
    </row>
    <row r="654">
      <c r="A654" s="178" t="s">
        <v>1550</v>
      </c>
      <c r="B654" s="629" t="s">
        <v>31134</v>
      </c>
      <c r="C654" s="629" t="s">
        <v>2980</v>
      </c>
      <c r="D654" s="671" t="s">
        <v>32067</v>
      </c>
      <c r="E654" s="634"/>
      <c r="F654" s="634" t="s">
        <v>32463</v>
      </c>
      <c r="G654" s="634" t="s">
        <v>32464</v>
      </c>
      <c r="H654" s="627"/>
      <c r="I654" s="584"/>
      <c r="J654" s="584"/>
      <c r="K654" s="630"/>
      <c r="L654" s="587"/>
      <c r="M654" s="587"/>
      <c r="N654" s="587"/>
      <c r="O654" s="631"/>
      <c r="P654" s="631"/>
      <c r="Q654" s="631"/>
      <c r="R654" s="631"/>
      <c r="S654" s="631"/>
      <c r="T654" s="631"/>
      <c r="U654" s="631"/>
      <c r="V654" s="631"/>
      <c r="W654" s="631"/>
      <c r="X654" s="631"/>
      <c r="Y654" s="631"/>
      <c r="Z654" s="631"/>
      <c r="AA654" s="631"/>
      <c r="AB654" s="631"/>
      <c r="AC654" s="631"/>
    </row>
    <row r="655">
      <c r="A655" s="178" t="s">
        <v>32465</v>
      </c>
      <c r="B655" s="629"/>
      <c r="C655" s="629" t="s">
        <v>30950</v>
      </c>
      <c r="D655" s="672" t="s">
        <v>1924</v>
      </c>
      <c r="E655" s="673"/>
      <c r="F655" s="629" t="s">
        <v>32466</v>
      </c>
      <c r="G655" s="632"/>
      <c r="H655" s="627"/>
      <c r="I655" s="584"/>
      <c r="J655" s="584"/>
      <c r="K655" s="630"/>
      <c r="L655" s="587"/>
      <c r="M655" s="587"/>
      <c r="N655" s="587"/>
      <c r="O655" s="631"/>
      <c r="P655" s="631"/>
      <c r="Q655" s="631"/>
      <c r="R655" s="631"/>
      <c r="S655" s="631"/>
      <c r="T655" s="631"/>
      <c r="U655" s="631"/>
      <c r="V655" s="631"/>
      <c r="W655" s="631"/>
      <c r="X655" s="631"/>
      <c r="Y655" s="631"/>
      <c r="Z655" s="631"/>
      <c r="AA655" s="631"/>
      <c r="AB655" s="631"/>
      <c r="AC655" s="631"/>
    </row>
    <row r="656">
      <c r="A656" s="178" t="s">
        <v>32467</v>
      </c>
      <c r="B656" s="629"/>
      <c r="C656" s="629" t="s">
        <v>9799</v>
      </c>
      <c r="D656" s="629" t="s">
        <v>3573</v>
      </c>
      <c r="E656" s="632"/>
      <c r="F656" s="632"/>
      <c r="G656" s="632"/>
      <c r="H656" s="627"/>
      <c r="I656" s="584"/>
      <c r="J656" s="584"/>
      <c r="K656" s="630"/>
      <c r="L656" s="587"/>
      <c r="M656" s="587"/>
      <c r="N656" s="587"/>
      <c r="O656" s="631"/>
      <c r="P656" s="631"/>
      <c r="Q656" s="631"/>
      <c r="R656" s="631"/>
      <c r="S656" s="631"/>
      <c r="T656" s="631"/>
      <c r="U656" s="631"/>
      <c r="V656" s="631"/>
      <c r="W656" s="631"/>
      <c r="X656" s="631"/>
      <c r="Y656" s="631"/>
      <c r="Z656" s="631"/>
      <c r="AA656" s="631"/>
      <c r="AB656" s="631"/>
      <c r="AC656" s="631"/>
    </row>
    <row r="657">
      <c r="A657" s="178" t="s">
        <v>32468</v>
      </c>
      <c r="B657" s="629" t="s">
        <v>31206</v>
      </c>
      <c r="C657" s="629" t="s">
        <v>31567</v>
      </c>
      <c r="D657" s="629" t="s">
        <v>32469</v>
      </c>
      <c r="E657" s="632"/>
      <c r="F657" s="632"/>
      <c r="G657" s="632"/>
      <c r="H657" s="627"/>
      <c r="I657" s="584"/>
      <c r="J657" s="584"/>
      <c r="K657" s="630"/>
      <c r="L657" s="587"/>
      <c r="M657" s="587"/>
      <c r="N657" s="587"/>
      <c r="O657" s="631"/>
      <c r="P657" s="631"/>
      <c r="Q657" s="631"/>
      <c r="R657" s="631"/>
      <c r="S657" s="631"/>
      <c r="T657" s="631"/>
      <c r="U657" s="631"/>
      <c r="V657" s="631"/>
      <c r="W657" s="631"/>
      <c r="X657" s="631"/>
      <c r="Y657" s="631"/>
      <c r="Z657" s="631"/>
      <c r="AA657" s="631"/>
      <c r="AB657" s="631"/>
      <c r="AC657" s="631"/>
    </row>
    <row r="658">
      <c r="A658" s="150" t="s">
        <v>32470</v>
      </c>
      <c r="B658" s="629" t="s">
        <v>31206</v>
      </c>
      <c r="C658" s="629" t="s">
        <v>32471</v>
      </c>
      <c r="D658" s="629" t="s">
        <v>32472</v>
      </c>
      <c r="E658" s="634" t="s">
        <v>32473</v>
      </c>
      <c r="F658" s="632"/>
      <c r="G658" s="632"/>
      <c r="H658" s="627"/>
      <c r="I658" s="584"/>
      <c r="J658" s="584"/>
      <c r="K658" s="630"/>
      <c r="L658" s="587"/>
      <c r="M658" s="587"/>
      <c r="N658" s="587"/>
      <c r="O658" s="631"/>
      <c r="P658" s="631"/>
      <c r="Q658" s="631"/>
      <c r="R658" s="631"/>
      <c r="S658" s="631"/>
      <c r="T658" s="631"/>
      <c r="U658" s="631"/>
      <c r="V658" s="631"/>
      <c r="W658" s="631"/>
      <c r="X658" s="631"/>
      <c r="Y658" s="631"/>
      <c r="Z658" s="631"/>
      <c r="AA658" s="631"/>
      <c r="AB658" s="631"/>
      <c r="AC658" s="631"/>
    </row>
    <row r="659">
      <c r="A659" s="178" t="s">
        <v>32474</v>
      </c>
      <c r="B659" s="629" t="s">
        <v>32475</v>
      </c>
      <c r="C659" s="629" t="s">
        <v>32476</v>
      </c>
      <c r="D659" s="629" t="s">
        <v>32477</v>
      </c>
      <c r="E659" s="632"/>
      <c r="F659" s="632"/>
      <c r="G659" s="632"/>
      <c r="H659" s="627"/>
      <c r="I659" s="584"/>
      <c r="J659" s="584"/>
      <c r="K659" s="630"/>
      <c r="L659" s="587"/>
      <c r="M659" s="587"/>
      <c r="N659" s="587"/>
      <c r="O659" s="631"/>
      <c r="P659" s="631"/>
      <c r="Q659" s="631"/>
      <c r="R659" s="631"/>
      <c r="S659" s="631"/>
      <c r="T659" s="631"/>
      <c r="U659" s="631"/>
      <c r="V659" s="631"/>
      <c r="W659" s="631"/>
      <c r="X659" s="631"/>
      <c r="Y659" s="631"/>
      <c r="Z659" s="631"/>
      <c r="AA659" s="631"/>
      <c r="AB659" s="631"/>
      <c r="AC659" s="631"/>
    </row>
    <row r="660">
      <c r="A660" s="178" t="s">
        <v>32478</v>
      </c>
      <c r="B660" s="629" t="s">
        <v>31594</v>
      </c>
      <c r="C660" s="629" t="s">
        <v>3044</v>
      </c>
      <c r="D660" s="629" t="s">
        <v>32479</v>
      </c>
      <c r="E660" s="634"/>
      <c r="F660" s="634"/>
      <c r="G660" s="632"/>
      <c r="H660" s="627"/>
      <c r="I660" s="584"/>
      <c r="J660" s="584"/>
      <c r="K660" s="630"/>
      <c r="L660" s="587"/>
      <c r="M660" s="587"/>
      <c r="N660" s="587"/>
      <c r="O660" s="631"/>
      <c r="P660" s="631"/>
      <c r="Q660" s="631"/>
      <c r="R660" s="631"/>
      <c r="S660" s="631"/>
      <c r="T660" s="631"/>
      <c r="U660" s="631"/>
      <c r="V660" s="631"/>
      <c r="W660" s="631"/>
      <c r="X660" s="631"/>
      <c r="Y660" s="631"/>
      <c r="Z660" s="631"/>
      <c r="AA660" s="631"/>
      <c r="AB660" s="631"/>
      <c r="AC660" s="631"/>
    </row>
    <row r="661">
      <c r="A661" s="178" t="s">
        <v>32480</v>
      </c>
      <c r="B661" s="629" t="s">
        <v>31594</v>
      </c>
      <c r="C661" s="629" t="s">
        <v>3984</v>
      </c>
      <c r="D661" s="629" t="s">
        <v>32479</v>
      </c>
      <c r="E661" s="634"/>
      <c r="F661" s="634" t="s">
        <v>32426</v>
      </c>
      <c r="G661" s="632"/>
      <c r="H661" s="627"/>
      <c r="I661" s="584"/>
      <c r="J661" s="584"/>
      <c r="K661" s="630"/>
      <c r="L661" s="587"/>
      <c r="M661" s="587"/>
      <c r="N661" s="587"/>
      <c r="O661" s="631"/>
      <c r="P661" s="631"/>
      <c r="Q661" s="631"/>
      <c r="R661" s="631"/>
      <c r="S661" s="631"/>
      <c r="T661" s="631"/>
      <c r="U661" s="631"/>
      <c r="V661" s="631"/>
      <c r="W661" s="631"/>
      <c r="X661" s="631"/>
      <c r="Y661" s="631"/>
      <c r="Z661" s="631"/>
      <c r="AA661" s="631"/>
      <c r="AB661" s="631"/>
      <c r="AC661" s="631"/>
    </row>
    <row r="662">
      <c r="A662" s="178" t="s">
        <v>32481</v>
      </c>
      <c r="B662" s="629" t="s">
        <v>31594</v>
      </c>
      <c r="C662" s="629" t="s">
        <v>3044</v>
      </c>
      <c r="D662" s="629" t="s">
        <v>728</v>
      </c>
      <c r="E662" s="634"/>
      <c r="F662" s="634" t="s">
        <v>32426</v>
      </c>
      <c r="G662" s="632"/>
      <c r="H662" s="627"/>
      <c r="I662" s="584"/>
      <c r="J662" s="584"/>
      <c r="K662" s="630"/>
      <c r="L662" s="587"/>
      <c r="M662" s="587"/>
      <c r="N662" s="587"/>
      <c r="O662" s="631"/>
      <c r="P662" s="631"/>
      <c r="Q662" s="631"/>
      <c r="R662" s="631"/>
      <c r="S662" s="631"/>
      <c r="T662" s="631"/>
      <c r="U662" s="631"/>
      <c r="V662" s="631"/>
      <c r="W662" s="631"/>
      <c r="X662" s="631"/>
      <c r="Y662" s="631"/>
      <c r="Z662" s="631"/>
      <c r="AA662" s="631"/>
      <c r="AB662" s="631"/>
      <c r="AC662" s="631"/>
    </row>
    <row r="663">
      <c r="A663" s="178" t="s">
        <v>19558</v>
      </c>
      <c r="B663" s="629" t="s">
        <v>32482</v>
      </c>
      <c r="C663" s="629" t="s">
        <v>2827</v>
      </c>
      <c r="D663" s="629" t="s">
        <v>31724</v>
      </c>
      <c r="E663" s="632"/>
      <c r="F663" s="632"/>
      <c r="G663" s="632"/>
      <c r="H663" s="627"/>
      <c r="I663" s="584"/>
      <c r="J663" s="584"/>
      <c r="K663" s="630"/>
      <c r="L663" s="587"/>
      <c r="M663" s="587"/>
      <c r="N663" s="587"/>
      <c r="O663" s="631"/>
      <c r="P663" s="631"/>
      <c r="Q663" s="631"/>
      <c r="R663" s="631"/>
      <c r="S663" s="631"/>
      <c r="T663" s="631"/>
      <c r="U663" s="631"/>
      <c r="V663" s="631"/>
      <c r="W663" s="631"/>
      <c r="X663" s="631"/>
      <c r="Y663" s="631"/>
      <c r="Z663" s="631"/>
      <c r="AA663" s="631"/>
      <c r="AB663" s="631"/>
      <c r="AC663" s="631"/>
    </row>
    <row r="664">
      <c r="A664" s="178" t="s">
        <v>32483</v>
      </c>
      <c r="B664" s="629"/>
      <c r="C664" s="629"/>
      <c r="D664" s="629"/>
      <c r="E664" s="632"/>
      <c r="F664" s="632"/>
      <c r="G664" s="632"/>
      <c r="H664" s="627"/>
      <c r="I664" s="584"/>
      <c r="J664" s="584"/>
      <c r="K664" s="630">
        <v>20.0</v>
      </c>
      <c r="L664" s="587" t="s">
        <v>30922</v>
      </c>
      <c r="M664" s="587"/>
      <c r="N664" s="587"/>
      <c r="O664" s="631"/>
      <c r="P664" s="631"/>
      <c r="Q664" s="631"/>
      <c r="R664" s="631"/>
      <c r="S664" s="631"/>
      <c r="T664" s="631"/>
      <c r="U664" s="631"/>
      <c r="V664" s="631"/>
      <c r="W664" s="631"/>
      <c r="X664" s="631"/>
      <c r="Y664" s="631"/>
      <c r="Z664" s="631"/>
      <c r="AA664" s="631"/>
      <c r="AB664" s="631"/>
      <c r="AC664" s="631"/>
    </row>
    <row r="665">
      <c r="A665" s="178" t="s">
        <v>32484</v>
      </c>
      <c r="B665" s="629"/>
      <c r="C665" s="629" t="s">
        <v>11043</v>
      </c>
      <c r="D665" s="629" t="s">
        <v>4881</v>
      </c>
      <c r="E665" s="632"/>
      <c r="F665" s="632"/>
      <c r="G665" s="632"/>
      <c r="H665" s="627"/>
      <c r="I665" s="584"/>
      <c r="J665" s="584"/>
      <c r="K665" s="630"/>
      <c r="L665" s="587"/>
      <c r="M665" s="587"/>
      <c r="N665" s="587"/>
      <c r="O665" s="631"/>
      <c r="P665" s="631"/>
      <c r="Q665" s="631"/>
      <c r="R665" s="631"/>
      <c r="S665" s="631"/>
      <c r="T665" s="631"/>
      <c r="U665" s="631"/>
      <c r="V665" s="631"/>
      <c r="W665" s="631"/>
      <c r="X665" s="631"/>
      <c r="Y665" s="631"/>
      <c r="Z665" s="631"/>
      <c r="AA665" s="631"/>
      <c r="AB665" s="631"/>
      <c r="AC665" s="631"/>
    </row>
    <row r="666">
      <c r="A666" s="178" t="s">
        <v>32485</v>
      </c>
      <c r="B666" s="629" t="s">
        <v>32486</v>
      </c>
      <c r="C666" s="629" t="s">
        <v>32487</v>
      </c>
      <c r="D666" s="629" t="s">
        <v>32488</v>
      </c>
      <c r="E666" s="632"/>
      <c r="F666" s="632"/>
      <c r="G666" s="632"/>
      <c r="H666" s="573"/>
      <c r="I666" s="584"/>
      <c r="J666" s="584"/>
      <c r="K666" s="630"/>
      <c r="L666" s="587"/>
      <c r="M666" s="587"/>
      <c r="N666" s="587"/>
      <c r="O666" s="631"/>
      <c r="P666" s="631"/>
      <c r="Q666" s="631"/>
      <c r="R666" s="631"/>
      <c r="S666" s="631"/>
      <c r="T666" s="631"/>
      <c r="U666" s="631"/>
      <c r="V666" s="631"/>
      <c r="W666" s="631"/>
      <c r="X666" s="631"/>
      <c r="Y666" s="631"/>
      <c r="Z666" s="631"/>
      <c r="AA666" s="631"/>
      <c r="AB666" s="631"/>
      <c r="AC666" s="631"/>
    </row>
    <row r="667">
      <c r="A667" s="178" t="s">
        <v>32489</v>
      </c>
      <c r="B667" s="629" t="s">
        <v>32490</v>
      </c>
      <c r="C667" s="629" t="s">
        <v>31240</v>
      </c>
      <c r="D667" s="629" t="s">
        <v>32491</v>
      </c>
      <c r="E667" s="632"/>
      <c r="F667" s="632"/>
      <c r="G667" s="632"/>
      <c r="H667" s="573" t="s">
        <v>0</v>
      </c>
      <c r="I667" s="584"/>
      <c r="J667" s="584"/>
      <c r="K667" s="630"/>
      <c r="L667" s="587"/>
      <c r="M667" s="587"/>
      <c r="N667" s="587"/>
      <c r="O667" s="631"/>
      <c r="P667" s="631"/>
      <c r="Q667" s="631"/>
      <c r="R667" s="631"/>
      <c r="S667" s="631"/>
      <c r="T667" s="631"/>
      <c r="U667" s="631"/>
      <c r="V667" s="631"/>
      <c r="W667" s="631"/>
      <c r="X667" s="631"/>
      <c r="Y667" s="631"/>
      <c r="Z667" s="631"/>
      <c r="AA667" s="631"/>
      <c r="AB667" s="631"/>
      <c r="AC667" s="631"/>
    </row>
    <row r="668">
      <c r="A668" s="178" t="s">
        <v>32492</v>
      </c>
      <c r="B668" s="629" t="s">
        <v>32493</v>
      </c>
      <c r="C668" s="629" t="s">
        <v>373</v>
      </c>
      <c r="D668" s="629" t="s">
        <v>274</v>
      </c>
      <c r="E668" s="632"/>
      <c r="F668" s="632"/>
      <c r="G668" s="632"/>
      <c r="H668" s="627"/>
      <c r="I668" s="584"/>
      <c r="J668" s="584"/>
      <c r="K668" s="630"/>
      <c r="L668" s="587"/>
      <c r="M668" s="587"/>
      <c r="N668" s="587"/>
      <c r="O668" s="631"/>
      <c r="P668" s="631"/>
      <c r="Q668" s="631"/>
      <c r="R668" s="631"/>
      <c r="S668" s="631"/>
      <c r="T668" s="631"/>
      <c r="U668" s="631"/>
      <c r="V668" s="631"/>
      <c r="W668" s="631"/>
      <c r="X668" s="631"/>
      <c r="Y668" s="631"/>
      <c r="Z668" s="631"/>
      <c r="AA668" s="631"/>
      <c r="AB668" s="631"/>
      <c r="AC668" s="631"/>
    </row>
    <row r="669">
      <c r="A669" s="178" t="s">
        <v>32494</v>
      </c>
      <c r="B669" s="629" t="s">
        <v>32493</v>
      </c>
      <c r="C669" s="629" t="s">
        <v>31567</v>
      </c>
      <c r="D669" s="629" t="s">
        <v>31721</v>
      </c>
      <c r="E669" s="634" t="s">
        <v>31016</v>
      </c>
      <c r="F669" s="634"/>
      <c r="G669" s="632"/>
      <c r="H669" s="627"/>
      <c r="I669" s="584"/>
      <c r="J669" s="584"/>
      <c r="K669" s="630"/>
      <c r="L669" s="587"/>
      <c r="M669" s="587"/>
      <c r="N669" s="587"/>
      <c r="O669" s="631"/>
      <c r="P669" s="631"/>
      <c r="Q669" s="631"/>
      <c r="R669" s="631"/>
      <c r="S669" s="631"/>
      <c r="T669" s="631"/>
      <c r="U669" s="631"/>
      <c r="V669" s="631"/>
      <c r="W669" s="631"/>
      <c r="X669" s="631"/>
      <c r="Y669" s="631"/>
      <c r="Z669" s="631"/>
      <c r="AA669" s="631"/>
      <c r="AB669" s="631"/>
      <c r="AC669" s="631"/>
    </row>
    <row r="670">
      <c r="A670" s="178" t="s">
        <v>5244</v>
      </c>
      <c r="B670" s="629"/>
      <c r="C670" s="629" t="s">
        <v>12824</v>
      </c>
      <c r="D670" s="629" t="s">
        <v>11770</v>
      </c>
      <c r="E670" s="634"/>
      <c r="F670" s="634" t="s">
        <v>0</v>
      </c>
      <c r="G670" s="632"/>
      <c r="H670" s="627"/>
      <c r="I670" s="584"/>
      <c r="J670" s="584"/>
      <c r="K670" s="630" t="s">
        <v>32495</v>
      </c>
      <c r="L670" s="587" t="s">
        <v>31937</v>
      </c>
      <c r="M670" s="587"/>
      <c r="N670" s="587"/>
      <c r="O670" s="631"/>
      <c r="P670" s="631"/>
      <c r="Q670" s="631"/>
      <c r="R670" s="631"/>
      <c r="S670" s="631"/>
      <c r="T670" s="631"/>
      <c r="U670" s="631"/>
      <c r="V670" s="631"/>
      <c r="W670" s="631"/>
      <c r="X670" s="631"/>
      <c r="Y670" s="631"/>
      <c r="Z670" s="631"/>
      <c r="AA670" s="631"/>
      <c r="AB670" s="631"/>
      <c r="AC670" s="631"/>
    </row>
    <row r="671">
      <c r="A671" s="178" t="s">
        <v>501</v>
      </c>
      <c r="B671" s="629" t="s">
        <v>32496</v>
      </c>
      <c r="C671" s="629" t="s">
        <v>13460</v>
      </c>
      <c r="D671" s="629" t="s">
        <v>1458</v>
      </c>
      <c r="E671" s="632"/>
      <c r="F671" s="632"/>
      <c r="G671" s="632"/>
      <c r="H671" s="627"/>
      <c r="I671" s="584"/>
      <c r="J671" s="584"/>
      <c r="K671" s="630"/>
      <c r="L671" s="587"/>
      <c r="M671" s="587"/>
      <c r="N671" s="587"/>
      <c r="O671" s="631"/>
      <c r="P671" s="631"/>
      <c r="Q671" s="631"/>
      <c r="R671" s="631"/>
      <c r="S671" s="631"/>
      <c r="T671" s="631"/>
      <c r="U671" s="631"/>
      <c r="V671" s="631"/>
      <c r="W671" s="631"/>
      <c r="X671" s="631"/>
      <c r="Y671" s="631"/>
      <c r="Z671" s="631"/>
      <c r="AA671" s="631"/>
      <c r="AB671" s="631"/>
      <c r="AC671" s="631"/>
    </row>
    <row r="672">
      <c r="A672" s="178" t="s">
        <v>32497</v>
      </c>
      <c r="B672" s="629" t="s">
        <v>32498</v>
      </c>
      <c r="C672" s="629" t="s">
        <v>12911</v>
      </c>
      <c r="D672" s="629" t="s">
        <v>1277</v>
      </c>
      <c r="E672" s="632"/>
      <c r="F672" s="632"/>
      <c r="G672" s="632"/>
      <c r="H672" s="627"/>
      <c r="I672" s="584"/>
      <c r="J672" s="584"/>
      <c r="K672" s="630">
        <v>6.5</v>
      </c>
      <c r="L672" s="587" t="s">
        <v>32499</v>
      </c>
      <c r="M672" s="587">
        <v>5.0</v>
      </c>
      <c r="N672" s="587" t="s">
        <v>32499</v>
      </c>
      <c r="O672" s="631"/>
      <c r="P672" s="631"/>
      <c r="Q672" s="631"/>
      <c r="R672" s="631"/>
      <c r="S672" s="631"/>
      <c r="T672" s="631"/>
      <c r="U672" s="631"/>
      <c r="V672" s="631"/>
      <c r="W672" s="631"/>
      <c r="X672" s="631"/>
      <c r="Y672" s="631"/>
      <c r="Z672" s="631"/>
      <c r="AA672" s="631"/>
      <c r="AB672" s="631"/>
      <c r="AC672" s="631"/>
    </row>
    <row r="673">
      <c r="A673" s="573" t="s">
        <v>32500</v>
      </c>
      <c r="B673" s="625" t="s">
        <v>32501</v>
      </c>
      <c r="C673" s="625" t="s">
        <v>13967</v>
      </c>
      <c r="D673" s="625" t="s">
        <v>31274</v>
      </c>
      <c r="E673" s="635"/>
      <c r="F673" s="627"/>
      <c r="G673" s="627"/>
      <c r="H673" s="627"/>
      <c r="I673" s="584"/>
      <c r="J673" s="584"/>
      <c r="K673" s="633"/>
      <c r="L673" s="584"/>
      <c r="M673" s="584"/>
      <c r="N673" s="584"/>
      <c r="O673" s="631"/>
      <c r="P673" s="631"/>
      <c r="Q673" s="631"/>
      <c r="R673" s="631"/>
      <c r="S673" s="631"/>
      <c r="T673" s="631"/>
      <c r="U673" s="631"/>
      <c r="V673" s="631"/>
      <c r="W673" s="631"/>
      <c r="X673" s="631"/>
      <c r="Y673" s="631"/>
      <c r="Z673" s="631"/>
      <c r="AA673" s="631"/>
      <c r="AB673" s="631"/>
      <c r="AC673" s="631"/>
    </row>
    <row r="674">
      <c r="A674" s="573" t="s">
        <v>32502</v>
      </c>
      <c r="B674" s="625" t="s">
        <v>32503</v>
      </c>
      <c r="C674" s="625" t="s">
        <v>32504</v>
      </c>
      <c r="D674" s="625" t="s">
        <v>31682</v>
      </c>
      <c r="E674" s="625" t="s">
        <v>32505</v>
      </c>
      <c r="F674" s="627"/>
      <c r="G674" s="627"/>
      <c r="H674" s="627"/>
      <c r="I674" s="584"/>
      <c r="J674" s="584"/>
      <c r="K674" s="633"/>
      <c r="L674" s="584"/>
      <c r="M674" s="584"/>
      <c r="N674" s="584"/>
      <c r="O674" s="631"/>
      <c r="P674" s="631"/>
      <c r="Q674" s="631"/>
      <c r="R674" s="631"/>
      <c r="S674" s="631"/>
      <c r="T674" s="631"/>
      <c r="U674" s="631"/>
      <c r="V674" s="631"/>
      <c r="W674" s="631"/>
      <c r="X674" s="631"/>
      <c r="Y674" s="631"/>
      <c r="Z674" s="631"/>
      <c r="AA674" s="631"/>
      <c r="AB674" s="631"/>
      <c r="AC674" s="631"/>
    </row>
    <row r="675">
      <c r="A675" s="573" t="s">
        <v>32506</v>
      </c>
      <c r="B675" s="625" t="s">
        <v>32507</v>
      </c>
      <c r="C675" s="625" t="s">
        <v>32508</v>
      </c>
      <c r="D675" s="625" t="s">
        <v>32509</v>
      </c>
      <c r="E675" s="635"/>
      <c r="F675" s="627"/>
      <c r="G675" s="627"/>
      <c r="H675" s="627"/>
      <c r="I675" s="584"/>
      <c r="J675" s="584"/>
      <c r="K675" s="633"/>
      <c r="L675" s="584"/>
      <c r="M675" s="584"/>
      <c r="N675" s="584"/>
      <c r="O675" s="631"/>
      <c r="P675" s="631"/>
      <c r="Q675" s="631"/>
      <c r="R675" s="631"/>
      <c r="S675" s="631"/>
      <c r="T675" s="631"/>
      <c r="U675" s="631"/>
      <c r="V675" s="631"/>
      <c r="W675" s="631"/>
      <c r="X675" s="631"/>
      <c r="Y675" s="631"/>
      <c r="Z675" s="631"/>
      <c r="AA675" s="631"/>
      <c r="AB675" s="631"/>
      <c r="AC675" s="631"/>
    </row>
    <row r="676">
      <c r="A676" s="573" t="s">
        <v>32510</v>
      </c>
      <c r="B676" s="625"/>
      <c r="C676" s="625"/>
      <c r="D676" s="625"/>
      <c r="E676" s="635"/>
      <c r="F676" s="627"/>
      <c r="G676" s="627"/>
      <c r="H676" s="573"/>
      <c r="I676" s="584"/>
      <c r="J676" s="584"/>
      <c r="K676" s="633"/>
      <c r="L676" s="584"/>
      <c r="M676" s="584"/>
      <c r="N676" s="584"/>
      <c r="O676" s="631"/>
      <c r="P676" s="631"/>
      <c r="Q676" s="631"/>
      <c r="R676" s="631"/>
      <c r="S676" s="631"/>
      <c r="T676" s="631"/>
      <c r="U676" s="631"/>
      <c r="V676" s="631"/>
      <c r="W676" s="631"/>
      <c r="X676" s="631"/>
      <c r="Y676" s="631"/>
      <c r="Z676" s="631"/>
      <c r="AA676" s="631"/>
      <c r="AB676" s="631"/>
      <c r="AC676" s="631"/>
    </row>
    <row r="677">
      <c r="A677" s="573" t="s">
        <v>32511</v>
      </c>
      <c r="B677" s="625" t="s">
        <v>32512</v>
      </c>
      <c r="C677" s="625" t="s">
        <v>32513</v>
      </c>
      <c r="D677" s="625" t="s">
        <v>32514</v>
      </c>
      <c r="E677" s="625"/>
      <c r="F677" s="573"/>
      <c r="G677" s="627"/>
      <c r="H677" s="573"/>
      <c r="I677" s="584"/>
      <c r="J677" s="584"/>
      <c r="K677" s="633"/>
      <c r="L677" s="584"/>
      <c r="M677" s="584"/>
      <c r="N677" s="584"/>
      <c r="O677" s="631"/>
      <c r="P677" s="631"/>
      <c r="Q677" s="631"/>
      <c r="R677" s="631"/>
      <c r="S677" s="631"/>
      <c r="T677" s="631"/>
      <c r="U677" s="631"/>
      <c r="V677" s="631"/>
      <c r="W677" s="631"/>
      <c r="X677" s="631"/>
      <c r="Y677" s="631"/>
      <c r="Z677" s="631"/>
      <c r="AA677" s="631"/>
      <c r="AB677" s="631"/>
      <c r="AC677" s="631"/>
    </row>
    <row r="678" ht="24.75" customHeight="1">
      <c r="A678" s="425" t="s">
        <v>32515</v>
      </c>
      <c r="B678" s="625" t="s">
        <v>31837</v>
      </c>
      <c r="C678" s="625" t="s">
        <v>32405</v>
      </c>
      <c r="D678" s="625" t="s">
        <v>31565</v>
      </c>
      <c r="E678" s="625"/>
      <c r="F678" s="573"/>
      <c r="G678" s="627"/>
      <c r="H678" s="627"/>
      <c r="I678" s="587"/>
      <c r="J678" s="587"/>
      <c r="K678" s="633"/>
      <c r="L678" s="584"/>
      <c r="M678" s="584"/>
      <c r="N678" s="584"/>
      <c r="O678" s="631"/>
      <c r="P678" s="631"/>
      <c r="Q678" s="631"/>
      <c r="R678" s="631"/>
      <c r="S678" s="631"/>
      <c r="T678" s="631"/>
      <c r="U678" s="631"/>
      <c r="V678" s="631"/>
      <c r="W678" s="631"/>
      <c r="X678" s="631"/>
      <c r="Y678" s="631"/>
      <c r="Z678" s="631"/>
      <c r="AA678" s="631"/>
      <c r="AB678" s="631"/>
      <c r="AC678" s="631"/>
    </row>
    <row r="679">
      <c r="A679" s="425" t="s">
        <v>32516</v>
      </c>
      <c r="B679" s="625" t="s">
        <v>8518</v>
      </c>
      <c r="C679" s="625" t="s">
        <v>32517</v>
      </c>
      <c r="D679" s="625" t="s">
        <v>31202</v>
      </c>
      <c r="E679" s="625"/>
      <c r="F679" s="573"/>
      <c r="G679" s="627"/>
      <c r="H679" s="627"/>
      <c r="I679" s="587"/>
      <c r="J679" s="587"/>
      <c r="K679" s="633"/>
      <c r="L679" s="584"/>
      <c r="M679" s="584"/>
      <c r="N679" s="584"/>
      <c r="O679" s="631"/>
      <c r="P679" s="631"/>
      <c r="Q679" s="631"/>
      <c r="R679" s="631"/>
      <c r="S679" s="631"/>
      <c r="T679" s="631"/>
      <c r="U679" s="631"/>
      <c r="V679" s="631"/>
      <c r="W679" s="631"/>
      <c r="X679" s="631"/>
      <c r="Y679" s="631"/>
      <c r="Z679" s="631"/>
      <c r="AA679" s="631"/>
      <c r="AB679" s="631"/>
      <c r="AC679" s="631"/>
    </row>
    <row r="680">
      <c r="A680" s="425" t="s">
        <v>32518</v>
      </c>
      <c r="B680" s="625" t="s">
        <v>31684</v>
      </c>
      <c r="C680" s="625" t="s">
        <v>32519</v>
      </c>
      <c r="D680" s="625" t="s">
        <v>32520</v>
      </c>
      <c r="E680" s="625"/>
      <c r="F680" s="573"/>
      <c r="G680" s="627"/>
      <c r="H680" s="627"/>
      <c r="I680" s="587" t="s">
        <v>32521</v>
      </c>
      <c r="J680" s="587" t="s">
        <v>32522</v>
      </c>
      <c r="K680" s="633"/>
      <c r="L680" s="584"/>
      <c r="M680" s="584"/>
      <c r="N680" s="584"/>
      <c r="O680" s="631"/>
      <c r="P680" s="631"/>
      <c r="Q680" s="631"/>
      <c r="R680" s="631"/>
      <c r="S680" s="631"/>
      <c r="T680" s="631"/>
      <c r="U680" s="631"/>
      <c r="V680" s="631"/>
      <c r="W680" s="631"/>
      <c r="X680" s="631"/>
      <c r="Y680" s="631"/>
      <c r="Z680" s="631"/>
      <c r="AA680" s="631"/>
      <c r="AB680" s="631"/>
      <c r="AC680" s="631"/>
    </row>
    <row r="681">
      <c r="A681" s="573" t="s">
        <v>851</v>
      </c>
      <c r="B681" s="625" t="s">
        <v>30998</v>
      </c>
      <c r="C681" s="625" t="s">
        <v>890</v>
      </c>
      <c r="D681" s="625" t="s">
        <v>32523</v>
      </c>
      <c r="E681" s="625"/>
      <c r="F681" s="573"/>
      <c r="G681" s="627"/>
      <c r="H681" s="627"/>
      <c r="I681" s="584"/>
      <c r="J681" s="584"/>
      <c r="K681" s="633"/>
      <c r="L681" s="584"/>
      <c r="M681" s="584"/>
      <c r="N681" s="584"/>
      <c r="O681" s="631"/>
      <c r="P681" s="631"/>
      <c r="Q681" s="631"/>
      <c r="R681" s="631"/>
      <c r="S681" s="631"/>
      <c r="T681" s="631"/>
      <c r="U681" s="631"/>
      <c r="V681" s="631"/>
      <c r="W681" s="631"/>
      <c r="X681" s="631"/>
      <c r="Y681" s="631"/>
      <c r="Z681" s="631"/>
      <c r="AA681" s="631"/>
      <c r="AB681" s="631"/>
      <c r="AC681" s="631"/>
    </row>
    <row r="682">
      <c r="A682" s="573" t="s">
        <v>32524</v>
      </c>
      <c r="B682" s="625" t="s">
        <v>32330</v>
      </c>
      <c r="C682" s="625" t="s">
        <v>32421</v>
      </c>
      <c r="D682" s="625" t="s">
        <v>31936</v>
      </c>
      <c r="E682" s="625"/>
      <c r="F682" s="573"/>
      <c r="G682" s="627"/>
      <c r="H682" s="627"/>
      <c r="I682" s="584"/>
      <c r="J682" s="584"/>
      <c r="K682" s="633"/>
      <c r="L682" s="584"/>
      <c r="M682" s="584"/>
      <c r="N682" s="584"/>
      <c r="O682" s="631"/>
      <c r="P682" s="631"/>
      <c r="Q682" s="631"/>
      <c r="R682" s="631"/>
      <c r="S682" s="631"/>
      <c r="T682" s="631"/>
      <c r="U682" s="631"/>
      <c r="V682" s="631"/>
      <c r="W682" s="631"/>
      <c r="X682" s="631"/>
      <c r="Y682" s="631"/>
      <c r="Z682" s="631"/>
      <c r="AA682" s="631"/>
      <c r="AB682" s="631"/>
      <c r="AC682" s="631"/>
    </row>
    <row r="683">
      <c r="A683" s="573" t="s">
        <v>32525</v>
      </c>
      <c r="B683" s="625" t="s">
        <v>32330</v>
      </c>
      <c r="C683" s="625" t="s">
        <v>3495</v>
      </c>
      <c r="D683" s="625" t="s">
        <v>31224</v>
      </c>
      <c r="E683" s="625"/>
      <c r="F683" s="573"/>
      <c r="G683" s="627"/>
      <c r="H683" s="627"/>
      <c r="I683" s="584"/>
      <c r="J683" s="584"/>
      <c r="K683" s="633"/>
      <c r="L683" s="584"/>
      <c r="M683" s="584"/>
      <c r="N683" s="584"/>
      <c r="O683" s="631"/>
      <c r="P683" s="631"/>
      <c r="Q683" s="631"/>
      <c r="R683" s="631"/>
      <c r="S683" s="631"/>
      <c r="T683" s="631"/>
      <c r="U683" s="631"/>
      <c r="V683" s="631"/>
      <c r="W683" s="631"/>
      <c r="X683" s="631"/>
      <c r="Y683" s="631"/>
      <c r="Z683" s="631"/>
      <c r="AA683" s="631"/>
      <c r="AB683" s="631"/>
      <c r="AC683" s="631"/>
    </row>
    <row r="684">
      <c r="A684" s="573" t="s">
        <v>32526</v>
      </c>
      <c r="B684" s="625" t="s">
        <v>32330</v>
      </c>
      <c r="C684" s="625" t="s">
        <v>7973</v>
      </c>
      <c r="D684" s="625" t="s">
        <v>31890</v>
      </c>
      <c r="E684" s="625"/>
      <c r="F684" s="573"/>
      <c r="G684" s="627"/>
      <c r="H684" s="627"/>
      <c r="I684" s="584"/>
      <c r="J684" s="584"/>
      <c r="K684" s="633"/>
      <c r="L684" s="584"/>
      <c r="M684" s="584"/>
      <c r="N684" s="584"/>
      <c r="O684" s="631"/>
      <c r="P684" s="631"/>
      <c r="Q684" s="631"/>
      <c r="R684" s="631"/>
      <c r="S684" s="631"/>
      <c r="T684" s="631"/>
      <c r="U684" s="631"/>
      <c r="V684" s="631"/>
      <c r="W684" s="631"/>
      <c r="X684" s="631"/>
      <c r="Y684" s="631"/>
      <c r="Z684" s="631"/>
      <c r="AA684" s="631"/>
      <c r="AB684" s="631"/>
      <c r="AC684" s="631"/>
    </row>
    <row r="685">
      <c r="A685" s="573" t="s">
        <v>32527</v>
      </c>
      <c r="B685" s="625" t="s">
        <v>32330</v>
      </c>
      <c r="C685" s="625" t="s">
        <v>9605</v>
      </c>
      <c r="D685" s="625" t="s">
        <v>32528</v>
      </c>
      <c r="E685" s="625"/>
      <c r="F685" s="573" t="s">
        <v>0</v>
      </c>
      <c r="G685" s="627"/>
      <c r="H685" s="627"/>
      <c r="I685" s="584"/>
      <c r="J685" s="584"/>
      <c r="K685" s="633"/>
      <c r="L685" s="584"/>
      <c r="M685" s="584"/>
      <c r="N685" s="584"/>
      <c r="O685" s="631"/>
      <c r="P685" s="631"/>
      <c r="Q685" s="631"/>
      <c r="R685" s="631"/>
      <c r="S685" s="631"/>
      <c r="T685" s="631"/>
      <c r="U685" s="631"/>
      <c r="V685" s="631"/>
      <c r="W685" s="631"/>
      <c r="X685" s="631"/>
      <c r="Y685" s="631"/>
      <c r="Z685" s="631"/>
      <c r="AA685" s="631"/>
      <c r="AB685" s="631"/>
      <c r="AC685" s="631"/>
    </row>
    <row r="686">
      <c r="A686" s="573" t="s">
        <v>32529</v>
      </c>
      <c r="B686" s="625" t="s">
        <v>32530</v>
      </c>
      <c r="C686" s="625" t="s">
        <v>32531</v>
      </c>
      <c r="D686" s="625" t="s">
        <v>1299</v>
      </c>
      <c r="E686" s="625"/>
      <c r="F686" s="573"/>
      <c r="G686" s="627"/>
      <c r="H686" s="627"/>
      <c r="I686" s="584"/>
      <c r="J686" s="584"/>
      <c r="K686" s="633"/>
      <c r="L686" s="584"/>
      <c r="M686" s="584"/>
      <c r="N686" s="584"/>
      <c r="O686" s="631"/>
      <c r="P686" s="631"/>
      <c r="Q686" s="631"/>
      <c r="R686" s="631"/>
      <c r="S686" s="631"/>
      <c r="T686" s="631"/>
      <c r="U686" s="631"/>
      <c r="V686" s="631"/>
      <c r="W686" s="631"/>
      <c r="X686" s="631"/>
      <c r="Y686" s="631"/>
      <c r="Z686" s="631"/>
      <c r="AA686" s="631"/>
      <c r="AB686" s="631"/>
      <c r="AC686" s="631"/>
    </row>
    <row r="687">
      <c r="A687" s="573" t="s">
        <v>8372</v>
      </c>
      <c r="B687" s="625"/>
      <c r="C687" s="625"/>
      <c r="D687" s="625"/>
      <c r="E687" s="625"/>
      <c r="F687" s="573" t="s">
        <v>32532</v>
      </c>
      <c r="G687" s="627"/>
      <c r="H687" s="627"/>
      <c r="I687" s="584"/>
      <c r="J687" s="584"/>
      <c r="K687" s="633"/>
      <c r="L687" s="584"/>
      <c r="M687" s="584"/>
      <c r="N687" s="584"/>
      <c r="O687" s="631"/>
      <c r="P687" s="631"/>
      <c r="Q687" s="631"/>
      <c r="R687" s="631"/>
      <c r="S687" s="631"/>
      <c r="T687" s="631"/>
      <c r="U687" s="631"/>
      <c r="V687" s="631"/>
      <c r="W687" s="631"/>
      <c r="X687" s="631"/>
      <c r="Y687" s="631"/>
      <c r="Z687" s="631"/>
      <c r="AA687" s="631"/>
      <c r="AB687" s="631"/>
      <c r="AC687" s="631"/>
    </row>
    <row r="688">
      <c r="A688" s="573" t="s">
        <v>32533</v>
      </c>
      <c r="B688" s="625" t="s">
        <v>31011</v>
      </c>
      <c r="C688" s="625" t="s">
        <v>31360</v>
      </c>
      <c r="D688" s="625" t="s">
        <v>31880</v>
      </c>
      <c r="E688" s="635"/>
      <c r="F688" s="627"/>
      <c r="G688" s="627"/>
      <c r="H688" s="627"/>
      <c r="I688" s="584"/>
      <c r="J688" s="584"/>
      <c r="K688" s="633"/>
      <c r="L688" s="584"/>
      <c r="M688" s="584"/>
      <c r="N688" s="584"/>
      <c r="O688" s="631"/>
      <c r="P688" s="631"/>
      <c r="Q688" s="631"/>
      <c r="R688" s="631"/>
      <c r="S688" s="631"/>
      <c r="T688" s="631"/>
      <c r="U688" s="631"/>
      <c r="V688" s="631"/>
      <c r="W688" s="631"/>
      <c r="X688" s="631"/>
      <c r="Y688" s="631"/>
      <c r="Z688" s="631"/>
      <c r="AA688" s="631"/>
      <c r="AB688" s="631"/>
      <c r="AC688" s="631"/>
    </row>
    <row r="689">
      <c r="A689" s="573" t="s">
        <v>32534</v>
      </c>
      <c r="B689" s="625" t="s">
        <v>30998</v>
      </c>
      <c r="C689" s="625" t="s">
        <v>9110</v>
      </c>
      <c r="D689" s="625" t="s">
        <v>31880</v>
      </c>
      <c r="E689" s="635"/>
      <c r="F689" s="627"/>
      <c r="G689" s="627"/>
      <c r="H689" s="627"/>
      <c r="I689" s="584"/>
      <c r="J689" s="584"/>
      <c r="K689" s="633"/>
      <c r="L689" s="584"/>
      <c r="M689" s="584"/>
      <c r="N689" s="584"/>
      <c r="O689" s="631"/>
      <c r="P689" s="631"/>
      <c r="Q689" s="631"/>
      <c r="R689" s="631"/>
      <c r="S689" s="631"/>
      <c r="T689" s="631"/>
      <c r="U689" s="631"/>
      <c r="V689" s="631"/>
      <c r="W689" s="631"/>
      <c r="X689" s="631"/>
      <c r="Y689" s="631"/>
      <c r="Z689" s="631"/>
      <c r="AA689" s="631"/>
      <c r="AB689" s="631"/>
      <c r="AC689" s="631"/>
    </row>
    <row r="690">
      <c r="A690" s="573" t="s">
        <v>32535</v>
      </c>
      <c r="B690" s="625"/>
      <c r="C690" s="625" t="s">
        <v>7507</v>
      </c>
      <c r="D690" s="625" t="s">
        <v>4858</v>
      </c>
      <c r="E690" s="635"/>
      <c r="F690" s="627"/>
      <c r="G690" s="627"/>
      <c r="H690" s="627"/>
      <c r="I690" s="587"/>
      <c r="J690" s="587"/>
      <c r="K690" s="633"/>
      <c r="L690" s="584"/>
      <c r="M690" s="584"/>
      <c r="N690" s="584"/>
      <c r="O690" s="631"/>
      <c r="P690" s="631"/>
      <c r="Q690" s="631"/>
      <c r="R690" s="631"/>
      <c r="S690" s="631"/>
      <c r="T690" s="631"/>
      <c r="U690" s="631"/>
      <c r="V690" s="631"/>
      <c r="W690" s="631"/>
      <c r="X690" s="631"/>
      <c r="Y690" s="631"/>
      <c r="Z690" s="631"/>
      <c r="AA690" s="631"/>
      <c r="AB690" s="631"/>
      <c r="AC690" s="631"/>
    </row>
    <row r="691">
      <c r="A691" s="573" t="s">
        <v>32536</v>
      </c>
      <c r="B691" s="625" t="s">
        <v>32537</v>
      </c>
      <c r="C691" s="625" t="s">
        <v>30965</v>
      </c>
      <c r="D691" s="625" t="s">
        <v>394</v>
      </c>
      <c r="E691" s="635"/>
      <c r="F691" s="627"/>
      <c r="G691" s="627"/>
      <c r="H691" s="627"/>
      <c r="I691" s="587"/>
      <c r="J691" s="587"/>
      <c r="K691" s="633"/>
      <c r="L691" s="584"/>
      <c r="M691" s="584"/>
      <c r="N691" s="584"/>
      <c r="O691" s="631"/>
      <c r="P691" s="631"/>
      <c r="Q691" s="631"/>
      <c r="R691" s="631"/>
      <c r="S691" s="631"/>
      <c r="T691" s="631"/>
      <c r="U691" s="631"/>
      <c r="V691" s="631"/>
      <c r="W691" s="631"/>
      <c r="X691" s="631"/>
      <c r="Y691" s="631"/>
      <c r="Z691" s="631"/>
      <c r="AA691" s="631"/>
      <c r="AB691" s="631"/>
      <c r="AC691" s="631"/>
    </row>
    <row r="692">
      <c r="A692" s="573" t="s">
        <v>32538</v>
      </c>
      <c r="B692" s="625" t="s">
        <v>32537</v>
      </c>
      <c r="C692" s="625" t="s">
        <v>32539</v>
      </c>
      <c r="D692" s="625" t="s">
        <v>418</v>
      </c>
      <c r="E692" s="635"/>
      <c r="F692" s="627"/>
      <c r="G692" s="627"/>
      <c r="H692" s="627"/>
      <c r="I692" s="587"/>
      <c r="J692" s="587"/>
      <c r="K692" s="633"/>
      <c r="L692" s="584"/>
      <c r="M692" s="584"/>
      <c r="N692" s="584"/>
      <c r="O692" s="631"/>
      <c r="P692" s="631"/>
      <c r="Q692" s="631"/>
      <c r="R692" s="631"/>
      <c r="S692" s="631"/>
      <c r="T692" s="631"/>
      <c r="U692" s="631"/>
      <c r="V692" s="631"/>
      <c r="W692" s="631"/>
      <c r="X692" s="631"/>
      <c r="Y692" s="631"/>
      <c r="Z692" s="631"/>
      <c r="AA692" s="631"/>
      <c r="AB692" s="631"/>
      <c r="AC692" s="631"/>
    </row>
    <row r="693">
      <c r="A693" s="573" t="s">
        <v>32540</v>
      </c>
      <c r="B693" s="625" t="s">
        <v>32541</v>
      </c>
      <c r="C693" s="625" t="s">
        <v>30942</v>
      </c>
      <c r="D693" s="625" t="s">
        <v>32542</v>
      </c>
      <c r="E693" s="635"/>
      <c r="F693" s="627"/>
      <c r="G693" s="627"/>
      <c r="H693" s="627"/>
      <c r="I693" s="587"/>
      <c r="J693" s="587" t="s">
        <v>32449</v>
      </c>
      <c r="K693" s="633"/>
      <c r="L693" s="584"/>
      <c r="M693" s="584"/>
      <c r="N693" s="584"/>
      <c r="O693" s="631"/>
      <c r="P693" s="631"/>
      <c r="Q693" s="631"/>
      <c r="R693" s="631"/>
      <c r="S693" s="631"/>
      <c r="T693" s="631"/>
      <c r="U693" s="631"/>
      <c r="V693" s="631"/>
      <c r="W693" s="631"/>
      <c r="X693" s="631"/>
      <c r="Y693" s="631"/>
      <c r="Z693" s="631"/>
      <c r="AA693" s="631"/>
      <c r="AB693" s="631"/>
      <c r="AC693" s="631"/>
    </row>
    <row r="694">
      <c r="A694" s="573" t="s">
        <v>32543</v>
      </c>
      <c r="B694" s="625" t="s">
        <v>32544</v>
      </c>
      <c r="C694" s="625" t="s">
        <v>30976</v>
      </c>
      <c r="D694" s="625" t="s">
        <v>32545</v>
      </c>
      <c r="E694" s="625"/>
      <c r="F694" s="625"/>
      <c r="G694" s="625"/>
      <c r="H694" s="627"/>
      <c r="I694" s="584"/>
      <c r="J694" s="584"/>
      <c r="K694" s="633"/>
      <c r="L694" s="584"/>
      <c r="M694" s="584"/>
      <c r="N694" s="584"/>
      <c r="O694" s="631"/>
      <c r="P694" s="631"/>
      <c r="Q694" s="631"/>
      <c r="R694" s="631"/>
      <c r="S694" s="631"/>
      <c r="T694" s="631"/>
      <c r="U694" s="631"/>
      <c r="V694" s="631"/>
      <c r="W694" s="631"/>
      <c r="X694" s="631"/>
      <c r="Y694" s="631"/>
      <c r="Z694" s="631"/>
      <c r="AA694" s="631"/>
      <c r="AB694" s="631"/>
      <c r="AC694" s="631"/>
    </row>
    <row r="695">
      <c r="A695" s="573" t="s">
        <v>32543</v>
      </c>
      <c r="B695" s="625" t="s">
        <v>32546</v>
      </c>
      <c r="C695" s="625" t="s">
        <v>32547</v>
      </c>
      <c r="D695" s="625" t="s">
        <v>32545</v>
      </c>
      <c r="E695" s="625"/>
      <c r="F695" s="625"/>
      <c r="G695" s="625"/>
      <c r="H695" s="627"/>
      <c r="I695" s="584"/>
      <c r="J695" s="584"/>
      <c r="K695" s="633"/>
      <c r="L695" s="584"/>
      <c r="M695" s="584"/>
      <c r="N695" s="584"/>
      <c r="O695" s="631"/>
      <c r="P695" s="631"/>
      <c r="Q695" s="631"/>
      <c r="R695" s="631"/>
      <c r="S695" s="631"/>
      <c r="T695" s="631"/>
      <c r="U695" s="631"/>
      <c r="V695" s="631"/>
      <c r="W695" s="631"/>
      <c r="X695" s="631"/>
      <c r="Y695" s="631"/>
      <c r="Z695" s="631"/>
      <c r="AA695" s="631"/>
      <c r="AB695" s="631"/>
      <c r="AC695" s="631"/>
    </row>
    <row r="696">
      <c r="A696" s="573" t="s">
        <v>32548</v>
      </c>
      <c r="B696" s="625" t="s">
        <v>32549</v>
      </c>
      <c r="C696" s="625" t="s">
        <v>32550</v>
      </c>
      <c r="D696" s="625" t="s">
        <v>32551</v>
      </c>
      <c r="E696" s="625" t="s">
        <v>32552</v>
      </c>
      <c r="F696" s="625" t="s">
        <v>31649</v>
      </c>
      <c r="G696" s="625" t="s">
        <v>32553</v>
      </c>
      <c r="H696" s="627"/>
      <c r="I696" s="584"/>
      <c r="J696" s="584"/>
      <c r="K696" s="633"/>
      <c r="L696" s="584"/>
      <c r="M696" s="584"/>
      <c r="N696" s="584"/>
      <c r="O696" s="631"/>
      <c r="P696" s="631"/>
      <c r="Q696" s="631"/>
      <c r="R696" s="631"/>
      <c r="S696" s="631"/>
      <c r="T696" s="631"/>
      <c r="U696" s="631"/>
      <c r="V696" s="631"/>
      <c r="W696" s="631"/>
      <c r="X696" s="631"/>
      <c r="Y696" s="631"/>
      <c r="Z696" s="631"/>
      <c r="AA696" s="631"/>
      <c r="AB696" s="631"/>
      <c r="AC696" s="631"/>
    </row>
    <row r="697" ht="39.75" customHeight="1">
      <c r="A697" s="573" t="s">
        <v>32554</v>
      </c>
      <c r="B697" s="625" t="s">
        <v>32549</v>
      </c>
      <c r="C697" s="625" t="s">
        <v>32555</v>
      </c>
      <c r="D697" s="625" t="s">
        <v>32556</v>
      </c>
      <c r="E697" s="625" t="s">
        <v>32552</v>
      </c>
      <c r="F697" s="627"/>
      <c r="G697" s="627"/>
      <c r="H697" s="627"/>
      <c r="I697" s="584"/>
      <c r="J697" s="584"/>
      <c r="K697" s="633"/>
      <c r="L697" s="584"/>
      <c r="M697" s="584"/>
      <c r="N697" s="584"/>
      <c r="O697" s="631"/>
      <c r="P697" s="631"/>
      <c r="Q697" s="631"/>
      <c r="R697" s="631"/>
      <c r="S697" s="631"/>
      <c r="T697" s="631"/>
      <c r="U697" s="631"/>
      <c r="V697" s="631"/>
      <c r="W697" s="631"/>
      <c r="X697" s="631"/>
      <c r="Y697" s="631"/>
      <c r="Z697" s="631"/>
      <c r="AA697" s="631"/>
      <c r="AB697" s="631"/>
      <c r="AC697" s="631"/>
    </row>
    <row r="698">
      <c r="A698" s="573" t="s">
        <v>32557</v>
      </c>
      <c r="B698" s="625" t="s">
        <v>32558</v>
      </c>
      <c r="C698" s="625" t="s">
        <v>32559</v>
      </c>
      <c r="D698" s="625" t="s">
        <v>31422</v>
      </c>
      <c r="E698" s="635"/>
      <c r="F698" s="627"/>
      <c r="G698" s="627"/>
      <c r="H698" s="627"/>
      <c r="I698" s="584"/>
      <c r="J698" s="584"/>
      <c r="K698" s="633"/>
      <c r="L698" s="584"/>
      <c r="M698" s="584"/>
      <c r="N698" s="584"/>
      <c r="O698" s="631"/>
      <c r="P698" s="631"/>
      <c r="Q698" s="631"/>
      <c r="R698" s="631"/>
      <c r="S698" s="631"/>
      <c r="T698" s="631"/>
      <c r="U698" s="631"/>
      <c r="V698" s="631"/>
      <c r="W698" s="631"/>
      <c r="X698" s="631"/>
      <c r="Y698" s="631"/>
      <c r="Z698" s="631"/>
      <c r="AA698" s="631"/>
      <c r="AB698" s="631"/>
      <c r="AC698" s="631"/>
    </row>
    <row r="699">
      <c r="A699" s="573" t="s">
        <v>32560</v>
      </c>
      <c r="B699" s="625" t="s">
        <v>32561</v>
      </c>
      <c r="C699" s="625" t="s">
        <v>31727</v>
      </c>
      <c r="D699" s="625" t="s">
        <v>32562</v>
      </c>
      <c r="E699" s="635"/>
      <c r="F699" s="627"/>
      <c r="G699" s="627"/>
      <c r="H699" s="627"/>
      <c r="I699" s="584"/>
      <c r="J699" s="584"/>
      <c r="K699" s="633"/>
      <c r="L699" s="584"/>
      <c r="M699" s="584"/>
      <c r="N699" s="584"/>
      <c r="O699" s="631"/>
      <c r="P699" s="631"/>
      <c r="Q699" s="631"/>
      <c r="R699" s="631"/>
      <c r="S699" s="631"/>
      <c r="T699" s="631"/>
      <c r="U699" s="631"/>
      <c r="V699" s="631"/>
      <c r="W699" s="631"/>
      <c r="X699" s="631"/>
      <c r="Y699" s="631"/>
      <c r="Z699" s="631"/>
      <c r="AA699" s="631"/>
      <c r="AB699" s="631"/>
      <c r="AC699" s="631"/>
    </row>
    <row r="700">
      <c r="A700" s="573" t="s">
        <v>32563</v>
      </c>
      <c r="B700" s="625" t="s">
        <v>32564</v>
      </c>
      <c r="C700" s="625" t="s">
        <v>32565</v>
      </c>
      <c r="D700" s="625" t="s">
        <v>32566</v>
      </c>
      <c r="E700" s="635"/>
      <c r="F700" s="627"/>
      <c r="G700" s="627"/>
      <c r="H700" s="627"/>
      <c r="I700" s="584"/>
      <c r="J700" s="584"/>
      <c r="K700" s="633"/>
      <c r="L700" s="584"/>
      <c r="M700" s="584"/>
      <c r="N700" s="584"/>
      <c r="O700" s="631"/>
      <c r="P700" s="631"/>
      <c r="Q700" s="631"/>
      <c r="R700" s="631"/>
      <c r="S700" s="631"/>
      <c r="T700" s="631"/>
      <c r="U700" s="631"/>
      <c r="V700" s="631"/>
      <c r="W700" s="631"/>
      <c r="X700" s="631"/>
      <c r="Y700" s="631"/>
      <c r="Z700" s="631"/>
      <c r="AA700" s="631"/>
      <c r="AB700" s="631"/>
      <c r="AC700" s="631"/>
    </row>
    <row r="701">
      <c r="A701" s="573" t="s">
        <v>32567</v>
      </c>
      <c r="B701" s="625" t="s">
        <v>32568</v>
      </c>
      <c r="C701" s="625" t="s">
        <v>32569</v>
      </c>
      <c r="D701" s="625" t="s">
        <v>32570</v>
      </c>
      <c r="E701" s="625" t="s">
        <v>32571</v>
      </c>
      <c r="F701" s="627"/>
      <c r="G701" s="627"/>
      <c r="H701" s="627"/>
      <c r="I701" s="584"/>
      <c r="J701" s="584"/>
      <c r="K701" s="633"/>
      <c r="L701" s="584"/>
      <c r="M701" s="584"/>
      <c r="N701" s="584"/>
      <c r="O701" s="631"/>
      <c r="P701" s="631"/>
      <c r="Q701" s="631"/>
      <c r="R701" s="631"/>
      <c r="S701" s="631"/>
      <c r="T701" s="631"/>
      <c r="U701" s="631"/>
      <c r="V701" s="631"/>
      <c r="W701" s="631"/>
      <c r="X701" s="631"/>
      <c r="Y701" s="631"/>
      <c r="Z701" s="631"/>
      <c r="AA701" s="631"/>
      <c r="AB701" s="631"/>
      <c r="AC701" s="631"/>
    </row>
    <row r="702">
      <c r="A702" s="573" t="s">
        <v>32572</v>
      </c>
      <c r="B702" s="625" t="s">
        <v>32573</v>
      </c>
      <c r="C702" s="625" t="s">
        <v>32261</v>
      </c>
      <c r="D702" s="625" t="s">
        <v>31076</v>
      </c>
      <c r="E702" s="635"/>
      <c r="F702" s="627"/>
      <c r="G702" s="627"/>
      <c r="H702" s="627"/>
      <c r="I702" s="584"/>
      <c r="J702" s="584"/>
      <c r="K702" s="633"/>
      <c r="L702" s="584"/>
      <c r="M702" s="584"/>
      <c r="N702" s="584"/>
      <c r="O702" s="631"/>
      <c r="P702" s="631"/>
      <c r="Q702" s="631"/>
      <c r="R702" s="631"/>
      <c r="S702" s="631"/>
      <c r="T702" s="631"/>
      <c r="U702" s="631"/>
      <c r="V702" s="631"/>
      <c r="W702" s="631"/>
      <c r="X702" s="631"/>
      <c r="Y702" s="631"/>
      <c r="Z702" s="631"/>
      <c r="AA702" s="631"/>
      <c r="AB702" s="631"/>
      <c r="AC702" s="631"/>
    </row>
    <row r="703" ht="40.5" customHeight="1">
      <c r="A703" s="641" t="s">
        <v>32574</v>
      </c>
      <c r="B703" s="519" t="s">
        <v>32575</v>
      </c>
      <c r="C703" s="519" t="s">
        <v>2969</v>
      </c>
      <c r="D703" s="519" t="s">
        <v>30956</v>
      </c>
      <c r="E703" s="583"/>
      <c r="F703" s="598"/>
      <c r="G703" s="598"/>
      <c r="H703" s="598"/>
      <c r="I703" s="587" t="s">
        <v>32576</v>
      </c>
      <c r="J703" s="587" t="s">
        <v>32577</v>
      </c>
      <c r="K703" s="587">
        <v>170.0</v>
      </c>
      <c r="L703" s="587" t="s">
        <v>32578</v>
      </c>
      <c r="M703" s="584"/>
      <c r="N703" s="584"/>
      <c r="O703" s="585"/>
      <c r="P703" s="585"/>
      <c r="Q703" s="585"/>
      <c r="R703" s="585"/>
      <c r="S703" s="585"/>
      <c r="T703" s="585"/>
      <c r="U703" s="585"/>
      <c r="V703" s="585"/>
      <c r="W703" s="585"/>
      <c r="X703" s="585"/>
      <c r="Y703" s="585"/>
      <c r="Z703" s="585"/>
      <c r="AA703" s="585"/>
      <c r="AB703" s="585"/>
      <c r="AC703" s="585"/>
    </row>
    <row r="704">
      <c r="A704" s="674" t="s">
        <v>32579</v>
      </c>
      <c r="B704" s="519" t="s">
        <v>32575</v>
      </c>
      <c r="C704" s="625" t="s">
        <v>10496</v>
      </c>
      <c r="D704" s="625" t="s">
        <v>32580</v>
      </c>
      <c r="E704" s="675"/>
      <c r="F704" s="675"/>
      <c r="G704" s="627"/>
      <c r="H704" s="627"/>
      <c r="I704" s="584"/>
      <c r="J704" s="584"/>
      <c r="K704" s="633"/>
      <c r="L704" s="584"/>
      <c r="M704" s="584"/>
      <c r="N704" s="584"/>
      <c r="O704" s="631"/>
      <c r="P704" s="631"/>
      <c r="Q704" s="631"/>
      <c r="R704" s="631"/>
      <c r="S704" s="631"/>
      <c r="T704" s="631"/>
      <c r="U704" s="631"/>
      <c r="V704" s="631"/>
      <c r="W704" s="631"/>
      <c r="X704" s="631"/>
      <c r="Y704" s="631"/>
      <c r="Z704" s="631"/>
      <c r="AA704" s="631"/>
      <c r="AB704" s="631"/>
      <c r="AC704" s="631"/>
    </row>
    <row r="705">
      <c r="A705" s="573" t="s">
        <v>32581</v>
      </c>
      <c r="B705" s="625" t="s">
        <v>31598</v>
      </c>
      <c r="C705" s="625" t="s">
        <v>32582</v>
      </c>
      <c r="D705" s="625" t="s">
        <v>31079</v>
      </c>
      <c r="E705" s="676" t="s">
        <v>32583</v>
      </c>
      <c r="F705" s="676"/>
      <c r="G705" s="627"/>
      <c r="H705" s="627"/>
      <c r="I705" s="584"/>
      <c r="J705" s="584"/>
      <c r="K705" s="633"/>
      <c r="L705" s="584"/>
      <c r="M705" s="584"/>
      <c r="N705" s="584"/>
      <c r="O705" s="631"/>
      <c r="P705" s="631"/>
      <c r="Q705" s="631"/>
      <c r="R705" s="631"/>
      <c r="S705" s="631"/>
      <c r="T705" s="631"/>
      <c r="U705" s="631"/>
      <c r="V705" s="631"/>
      <c r="W705" s="631"/>
      <c r="X705" s="631"/>
      <c r="Y705" s="631"/>
      <c r="Z705" s="631"/>
      <c r="AA705" s="631"/>
      <c r="AB705" s="631"/>
      <c r="AC705" s="631"/>
    </row>
    <row r="706">
      <c r="A706" s="573" t="s">
        <v>32581</v>
      </c>
      <c r="B706" s="625" t="s">
        <v>32584</v>
      </c>
      <c r="C706" s="625" t="s">
        <v>32585</v>
      </c>
      <c r="D706" s="625" t="s">
        <v>4564</v>
      </c>
      <c r="E706" s="676"/>
      <c r="F706" s="676" t="s">
        <v>32586</v>
      </c>
      <c r="G706" s="627"/>
      <c r="H706" s="627"/>
      <c r="I706" s="584"/>
      <c r="J706" s="584"/>
      <c r="K706" s="633"/>
      <c r="L706" s="584"/>
      <c r="M706" s="584"/>
      <c r="N706" s="584"/>
      <c r="O706" s="631"/>
      <c r="P706" s="631"/>
      <c r="Q706" s="631"/>
      <c r="R706" s="631"/>
      <c r="S706" s="631"/>
      <c r="T706" s="631"/>
      <c r="U706" s="631"/>
      <c r="V706" s="631"/>
      <c r="W706" s="631"/>
      <c r="X706" s="631"/>
      <c r="Y706" s="631"/>
      <c r="Z706" s="631"/>
      <c r="AA706" s="631"/>
      <c r="AB706" s="631"/>
      <c r="AC706" s="631"/>
    </row>
    <row r="707">
      <c r="A707" s="425" t="s">
        <v>32587</v>
      </c>
      <c r="B707" s="519" t="s">
        <v>32568</v>
      </c>
      <c r="C707" s="519" t="s">
        <v>32588</v>
      </c>
      <c r="D707" s="519" t="s">
        <v>31821</v>
      </c>
      <c r="E707" s="519"/>
      <c r="F707" s="425" t="s">
        <v>31078</v>
      </c>
      <c r="G707" s="425" t="s">
        <v>7975</v>
      </c>
      <c r="H707" s="598"/>
      <c r="I707" s="587">
        <v>9.734303381E9</v>
      </c>
      <c r="J707" s="584"/>
      <c r="K707" s="587"/>
      <c r="L707" s="593"/>
      <c r="M707" s="584"/>
      <c r="N707" s="584"/>
      <c r="O707" s="585"/>
      <c r="P707" s="585"/>
      <c r="Q707" s="585"/>
      <c r="R707" s="585"/>
      <c r="S707" s="585"/>
      <c r="T707" s="585"/>
      <c r="U707" s="585"/>
      <c r="V707" s="585"/>
      <c r="W707" s="585"/>
      <c r="X707" s="585"/>
      <c r="Y707" s="585"/>
      <c r="Z707" s="585"/>
      <c r="AA707" s="585"/>
      <c r="AB707" s="585"/>
      <c r="AC707" s="585"/>
    </row>
    <row r="708">
      <c r="A708" s="425" t="s">
        <v>32589</v>
      </c>
      <c r="B708" s="519"/>
      <c r="C708" s="519"/>
      <c r="D708" s="519"/>
      <c r="E708" s="583"/>
      <c r="F708" s="598"/>
      <c r="G708" s="598"/>
      <c r="H708" s="598"/>
      <c r="I708" s="584"/>
      <c r="J708" s="584"/>
      <c r="K708" s="587">
        <v>67.0</v>
      </c>
      <c r="L708" s="593">
        <v>43839.0</v>
      </c>
      <c r="M708" s="584"/>
      <c r="N708" s="584"/>
      <c r="O708" s="585"/>
      <c r="P708" s="585"/>
      <c r="Q708" s="585"/>
      <c r="R708" s="585"/>
      <c r="S708" s="585"/>
      <c r="T708" s="585"/>
      <c r="U708" s="585"/>
      <c r="V708" s="585"/>
      <c r="W708" s="585"/>
      <c r="X708" s="585"/>
      <c r="Y708" s="585"/>
      <c r="Z708" s="585"/>
      <c r="AA708" s="585"/>
      <c r="AB708" s="585"/>
      <c r="AC708" s="585"/>
    </row>
    <row r="709">
      <c r="A709" s="573" t="s">
        <v>32590</v>
      </c>
      <c r="B709" s="625" t="s">
        <v>30975</v>
      </c>
      <c r="C709" s="625" t="s">
        <v>12861</v>
      </c>
      <c r="D709" s="625" t="s">
        <v>31445</v>
      </c>
      <c r="E709" s="635"/>
      <c r="F709" s="627"/>
      <c r="G709" s="627"/>
      <c r="H709" s="627"/>
      <c r="I709" s="584"/>
      <c r="J709" s="584"/>
      <c r="K709" s="630">
        <v>21.0</v>
      </c>
      <c r="L709" s="587" t="s">
        <v>32591</v>
      </c>
      <c r="M709" s="584"/>
      <c r="N709" s="584"/>
      <c r="O709" s="631"/>
      <c r="P709" s="631"/>
      <c r="Q709" s="631"/>
      <c r="R709" s="631"/>
      <c r="S709" s="631"/>
      <c r="T709" s="631"/>
      <c r="U709" s="631"/>
      <c r="V709" s="631"/>
      <c r="W709" s="631"/>
      <c r="X709" s="631"/>
      <c r="Y709" s="631"/>
      <c r="Z709" s="631"/>
      <c r="AA709" s="631"/>
      <c r="AB709" s="631"/>
      <c r="AC709" s="631"/>
    </row>
    <row r="710">
      <c r="A710" s="425" t="s">
        <v>32592</v>
      </c>
      <c r="B710" s="519"/>
      <c r="C710" s="519" t="s">
        <v>31428</v>
      </c>
      <c r="D710" s="519" t="s">
        <v>10717</v>
      </c>
      <c r="E710" s="519"/>
      <c r="F710" s="425" t="s">
        <v>32593</v>
      </c>
      <c r="G710" s="425" t="s">
        <v>8480</v>
      </c>
      <c r="H710" s="598"/>
      <c r="I710" s="584"/>
      <c r="J710" s="584"/>
      <c r="K710" s="587" t="s">
        <v>32594</v>
      </c>
      <c r="L710" s="587" t="s">
        <v>30922</v>
      </c>
      <c r="M710" s="584"/>
      <c r="N710" s="584"/>
      <c r="O710" s="631"/>
      <c r="P710" s="631"/>
      <c r="Q710" s="631"/>
      <c r="R710" s="631"/>
      <c r="S710" s="631"/>
      <c r="T710" s="631"/>
      <c r="U710" s="631"/>
      <c r="V710" s="631"/>
      <c r="W710" s="631"/>
      <c r="X710" s="631"/>
      <c r="Y710" s="631"/>
      <c r="Z710" s="631"/>
      <c r="AA710" s="631"/>
      <c r="AB710" s="631"/>
      <c r="AC710" s="631"/>
    </row>
    <row r="711">
      <c r="A711" s="425" t="s">
        <v>22</v>
      </c>
      <c r="B711" s="625" t="s">
        <v>32595</v>
      </c>
      <c r="C711" s="635"/>
      <c r="D711" s="635"/>
      <c r="E711" s="625"/>
      <c r="F711" s="573" t="s">
        <v>32596</v>
      </c>
      <c r="G711" s="573" t="s">
        <v>2521</v>
      </c>
      <c r="H711" s="573"/>
      <c r="I711" s="587">
        <v>26.0</v>
      </c>
      <c r="J711" s="593">
        <v>43930.0</v>
      </c>
      <c r="K711" s="630" t="s">
        <v>32597</v>
      </c>
      <c r="L711" s="593">
        <v>43930.0</v>
      </c>
      <c r="M711" s="584"/>
      <c r="N711" s="584"/>
      <c r="O711" s="631"/>
      <c r="P711" s="631"/>
      <c r="Q711" s="631"/>
      <c r="R711" s="631"/>
      <c r="S711" s="631"/>
      <c r="T711" s="631"/>
      <c r="U711" s="631"/>
      <c r="V711" s="631"/>
      <c r="W711" s="631"/>
      <c r="X711" s="631"/>
      <c r="Y711" s="631"/>
      <c r="Z711" s="631"/>
      <c r="AA711" s="631"/>
      <c r="AB711" s="631"/>
      <c r="AC711" s="631"/>
    </row>
    <row r="712">
      <c r="A712" s="573" t="s">
        <v>32598</v>
      </c>
      <c r="B712" s="625" t="s">
        <v>32599</v>
      </c>
      <c r="C712" s="625" t="s">
        <v>31679</v>
      </c>
      <c r="D712" s="625" t="s">
        <v>32600</v>
      </c>
      <c r="E712" s="635"/>
      <c r="F712" s="627"/>
      <c r="G712" s="627"/>
      <c r="H712" s="627"/>
      <c r="I712" s="584"/>
      <c r="J712" s="584"/>
      <c r="K712" s="633"/>
      <c r="L712" s="584"/>
      <c r="M712" s="584"/>
      <c r="N712" s="584"/>
      <c r="O712" s="631"/>
      <c r="P712" s="631"/>
      <c r="Q712" s="631"/>
      <c r="R712" s="631"/>
      <c r="S712" s="631"/>
      <c r="T712" s="631"/>
      <c r="U712" s="631"/>
      <c r="V712" s="631"/>
      <c r="W712" s="631"/>
      <c r="X712" s="631"/>
      <c r="Y712" s="631"/>
      <c r="Z712" s="631"/>
      <c r="AA712" s="631"/>
      <c r="AB712" s="631"/>
      <c r="AC712" s="631"/>
    </row>
    <row r="713">
      <c r="A713" s="573" t="s">
        <v>32601</v>
      </c>
      <c r="B713" s="625" t="s">
        <v>32599</v>
      </c>
      <c r="C713" s="625" t="s">
        <v>9170</v>
      </c>
      <c r="D713" s="625" t="s">
        <v>32602</v>
      </c>
      <c r="E713" s="635"/>
      <c r="F713" s="627"/>
      <c r="G713" s="627"/>
      <c r="H713" s="627"/>
      <c r="I713" s="584"/>
      <c r="J713" s="584"/>
      <c r="K713" s="633"/>
      <c r="L713" s="584"/>
      <c r="M713" s="584"/>
      <c r="N713" s="584"/>
      <c r="O713" s="631"/>
      <c r="P713" s="631"/>
      <c r="Q713" s="631"/>
      <c r="R713" s="631"/>
      <c r="S713" s="631"/>
      <c r="T713" s="631"/>
      <c r="U713" s="631"/>
      <c r="V713" s="631"/>
      <c r="W713" s="631"/>
      <c r="X713" s="631"/>
      <c r="Y713" s="631"/>
      <c r="Z713" s="631"/>
      <c r="AA713" s="631"/>
      <c r="AB713" s="631"/>
      <c r="AC713" s="631"/>
    </row>
    <row r="714">
      <c r="A714" s="573" t="s">
        <v>32603</v>
      </c>
      <c r="B714" s="625" t="s">
        <v>32599</v>
      </c>
      <c r="C714" s="625" t="s">
        <v>32604</v>
      </c>
      <c r="D714" s="625" t="s">
        <v>838</v>
      </c>
      <c r="E714" s="635"/>
      <c r="F714" s="627"/>
      <c r="G714" s="627"/>
      <c r="H714" s="627"/>
      <c r="I714" s="584"/>
      <c r="J714" s="584"/>
      <c r="K714" s="633"/>
      <c r="L714" s="584"/>
      <c r="M714" s="584"/>
      <c r="N714" s="584"/>
      <c r="O714" s="631"/>
      <c r="P714" s="631"/>
      <c r="Q714" s="631"/>
      <c r="R714" s="631"/>
      <c r="S714" s="631"/>
      <c r="T714" s="631"/>
      <c r="U714" s="631"/>
      <c r="V714" s="631"/>
      <c r="W714" s="631"/>
      <c r="X714" s="631"/>
      <c r="Y714" s="631"/>
      <c r="Z714" s="631"/>
      <c r="AA714" s="631"/>
      <c r="AB714" s="631"/>
      <c r="AC714" s="631"/>
    </row>
    <row r="715">
      <c r="A715" s="573" t="s">
        <v>32605</v>
      </c>
      <c r="B715" s="625" t="s">
        <v>30998</v>
      </c>
      <c r="C715" s="625" t="s">
        <v>8800</v>
      </c>
      <c r="D715" s="625" t="s">
        <v>838</v>
      </c>
      <c r="E715" s="635"/>
      <c r="F715" s="627"/>
      <c r="G715" s="627"/>
      <c r="H715" s="627"/>
      <c r="I715" s="584"/>
      <c r="J715" s="584"/>
      <c r="K715" s="633"/>
      <c r="L715" s="584"/>
      <c r="M715" s="584"/>
      <c r="N715" s="584"/>
      <c r="O715" s="631"/>
      <c r="P715" s="631"/>
      <c r="Q715" s="631"/>
      <c r="R715" s="631"/>
      <c r="S715" s="631"/>
      <c r="T715" s="631"/>
      <c r="U715" s="631"/>
      <c r="V715" s="631"/>
      <c r="W715" s="631"/>
      <c r="X715" s="631"/>
      <c r="Y715" s="631"/>
      <c r="Z715" s="631"/>
      <c r="AA715" s="631"/>
      <c r="AB715" s="631"/>
      <c r="AC715" s="631"/>
    </row>
    <row r="716">
      <c r="A716" s="573" t="s">
        <v>32606</v>
      </c>
      <c r="B716" s="625" t="s">
        <v>31075</v>
      </c>
      <c r="C716" s="625" t="s">
        <v>32607</v>
      </c>
      <c r="D716" s="625" t="s">
        <v>31832</v>
      </c>
      <c r="E716" s="635"/>
      <c r="F716" s="627"/>
      <c r="G716" s="627"/>
      <c r="H716" s="627"/>
      <c r="I716" s="584"/>
      <c r="J716" s="584"/>
      <c r="K716" s="633"/>
      <c r="L716" s="584"/>
      <c r="M716" s="584"/>
      <c r="N716" s="584"/>
      <c r="O716" s="631"/>
      <c r="P716" s="631"/>
      <c r="Q716" s="631"/>
      <c r="R716" s="631"/>
      <c r="S716" s="631"/>
      <c r="T716" s="631"/>
      <c r="U716" s="631"/>
      <c r="V716" s="631"/>
      <c r="W716" s="631"/>
      <c r="X716" s="631"/>
      <c r="Y716" s="631"/>
      <c r="Z716" s="631"/>
      <c r="AA716" s="631"/>
      <c r="AB716" s="631"/>
      <c r="AC716" s="631"/>
    </row>
    <row r="717">
      <c r="A717" s="573" t="s">
        <v>32608</v>
      </c>
      <c r="B717" s="625" t="s">
        <v>32609</v>
      </c>
      <c r="C717" s="625" t="s">
        <v>31647</v>
      </c>
      <c r="D717" s="625" t="s">
        <v>31222</v>
      </c>
      <c r="E717" s="635"/>
      <c r="F717" s="627"/>
      <c r="G717" s="627"/>
      <c r="H717" s="627"/>
      <c r="I717" s="584"/>
      <c r="J717" s="584"/>
      <c r="K717" s="633"/>
      <c r="L717" s="584"/>
      <c r="M717" s="584"/>
      <c r="N717" s="584"/>
      <c r="O717" s="631"/>
      <c r="P717" s="631"/>
      <c r="Q717" s="631"/>
      <c r="R717" s="631"/>
      <c r="S717" s="631"/>
      <c r="T717" s="631"/>
      <c r="U717" s="631"/>
      <c r="V717" s="631"/>
      <c r="W717" s="631"/>
      <c r="X717" s="631"/>
      <c r="Y717" s="631"/>
      <c r="Z717" s="631"/>
      <c r="AA717" s="631"/>
      <c r="AB717" s="631"/>
      <c r="AC717" s="631"/>
    </row>
    <row r="718">
      <c r="A718" s="573" t="s">
        <v>32610</v>
      </c>
      <c r="B718" s="625" t="s">
        <v>31068</v>
      </c>
      <c r="C718" s="625" t="s">
        <v>32611</v>
      </c>
      <c r="D718" s="625" t="s">
        <v>32612</v>
      </c>
      <c r="E718" s="635"/>
      <c r="F718" s="627"/>
      <c r="G718" s="627"/>
      <c r="H718" s="627"/>
      <c r="I718" s="584"/>
      <c r="J718" s="584"/>
      <c r="K718" s="633"/>
      <c r="L718" s="584"/>
      <c r="M718" s="584"/>
      <c r="N718" s="584"/>
      <c r="O718" s="631"/>
      <c r="P718" s="631"/>
      <c r="Q718" s="631"/>
      <c r="R718" s="631"/>
      <c r="S718" s="631"/>
      <c r="T718" s="631"/>
      <c r="U718" s="631"/>
      <c r="V718" s="631"/>
      <c r="W718" s="631"/>
      <c r="X718" s="631"/>
      <c r="Y718" s="631"/>
      <c r="Z718" s="631"/>
      <c r="AA718" s="631"/>
      <c r="AB718" s="631"/>
      <c r="AC718" s="631"/>
    </row>
    <row r="719">
      <c r="A719" s="573" t="s">
        <v>32613</v>
      </c>
      <c r="B719" s="625"/>
      <c r="C719" s="625" t="s">
        <v>32614</v>
      </c>
      <c r="D719" s="625" t="s">
        <v>32615</v>
      </c>
      <c r="E719" s="635"/>
      <c r="F719" s="627"/>
      <c r="G719" s="627"/>
      <c r="H719" s="627"/>
      <c r="I719" s="584"/>
      <c r="J719" s="584"/>
      <c r="K719" s="633"/>
      <c r="L719" s="584"/>
      <c r="M719" s="584"/>
      <c r="N719" s="584"/>
      <c r="O719" s="631"/>
      <c r="P719" s="631"/>
      <c r="Q719" s="631"/>
      <c r="R719" s="631"/>
      <c r="S719" s="631"/>
      <c r="T719" s="631"/>
      <c r="U719" s="631"/>
      <c r="V719" s="631"/>
      <c r="W719" s="631"/>
      <c r="X719" s="631"/>
      <c r="Y719" s="631"/>
      <c r="Z719" s="631"/>
      <c r="AA719" s="631"/>
      <c r="AB719" s="631"/>
      <c r="AC719" s="631"/>
    </row>
    <row r="720" ht="29.25" customHeight="1">
      <c r="A720" s="573" t="s">
        <v>5450</v>
      </c>
      <c r="B720" s="625" t="s">
        <v>32616</v>
      </c>
      <c r="C720" s="625" t="s">
        <v>32617</v>
      </c>
      <c r="D720" s="625" t="s">
        <v>32618</v>
      </c>
      <c r="E720" s="635"/>
      <c r="F720" s="627"/>
      <c r="G720" s="627"/>
      <c r="H720" s="627"/>
      <c r="I720" s="584"/>
      <c r="J720" s="584"/>
      <c r="K720" s="633"/>
      <c r="L720" s="584"/>
      <c r="M720" s="584"/>
      <c r="N720" s="584"/>
      <c r="O720" s="631"/>
      <c r="P720" s="631"/>
      <c r="Q720" s="631"/>
      <c r="R720" s="631"/>
      <c r="S720" s="631"/>
      <c r="T720" s="631"/>
      <c r="U720" s="631"/>
      <c r="V720" s="631"/>
      <c r="W720" s="631"/>
      <c r="X720" s="631"/>
      <c r="Y720" s="631"/>
      <c r="Z720" s="631"/>
      <c r="AA720" s="631"/>
      <c r="AB720" s="631"/>
      <c r="AC720" s="631"/>
    </row>
    <row r="721">
      <c r="A721" s="573" t="s">
        <v>5450</v>
      </c>
      <c r="B721" s="677" t="s">
        <v>31037</v>
      </c>
      <c r="C721" s="677" t="s">
        <v>32619</v>
      </c>
      <c r="D721" s="625" t="s">
        <v>32491</v>
      </c>
      <c r="E721" s="635"/>
      <c r="F721" s="627"/>
      <c r="G721" s="627"/>
      <c r="H721" s="573"/>
      <c r="I721" s="584"/>
      <c r="J721" s="584"/>
      <c r="K721" s="633"/>
      <c r="L721" s="584"/>
      <c r="M721" s="584"/>
      <c r="N721" s="584"/>
      <c r="O721" s="631"/>
      <c r="P721" s="631"/>
      <c r="Q721" s="631"/>
      <c r="R721" s="631"/>
      <c r="S721" s="631"/>
      <c r="T721" s="631"/>
      <c r="U721" s="631"/>
      <c r="V721" s="631"/>
      <c r="W721" s="631"/>
      <c r="X721" s="631"/>
      <c r="Y721" s="631"/>
      <c r="Z721" s="631"/>
      <c r="AA721" s="631"/>
      <c r="AB721" s="631"/>
      <c r="AC721" s="631"/>
    </row>
    <row r="722">
      <c r="A722" s="573" t="s">
        <v>32620</v>
      </c>
      <c r="B722" s="678" t="s">
        <v>32621</v>
      </c>
      <c r="C722" s="678" t="s">
        <v>31191</v>
      </c>
      <c r="D722" s="625" t="s">
        <v>32622</v>
      </c>
      <c r="E722" s="679" t="s">
        <v>31035</v>
      </c>
      <c r="F722" s="680"/>
      <c r="G722" s="627"/>
      <c r="H722" s="573"/>
      <c r="I722" s="584"/>
      <c r="J722" s="584"/>
      <c r="K722" s="633"/>
      <c r="L722" s="584"/>
      <c r="M722" s="584"/>
      <c r="N722" s="584"/>
      <c r="O722" s="631"/>
      <c r="P722" s="631"/>
      <c r="Q722" s="631"/>
      <c r="R722" s="631"/>
      <c r="S722" s="631"/>
      <c r="T722" s="631"/>
      <c r="U722" s="631"/>
      <c r="V722" s="631"/>
      <c r="W722" s="631"/>
      <c r="X722" s="631"/>
      <c r="Y722" s="631"/>
      <c r="Z722" s="631"/>
      <c r="AA722" s="631"/>
      <c r="AB722" s="631"/>
      <c r="AC722" s="631"/>
    </row>
    <row r="723">
      <c r="A723" s="573" t="s">
        <v>32620</v>
      </c>
      <c r="B723" s="678" t="s">
        <v>32623</v>
      </c>
      <c r="C723" s="678" t="s">
        <v>32624</v>
      </c>
      <c r="D723" s="625" t="s">
        <v>32625</v>
      </c>
      <c r="E723" s="681"/>
      <c r="F723" s="680"/>
      <c r="G723" s="627"/>
      <c r="H723" s="573"/>
      <c r="I723" s="584"/>
      <c r="J723" s="584"/>
      <c r="K723" s="633"/>
      <c r="L723" s="584"/>
      <c r="M723" s="584"/>
      <c r="N723" s="584"/>
      <c r="O723" s="631"/>
      <c r="P723" s="631"/>
      <c r="Q723" s="631"/>
      <c r="R723" s="631"/>
      <c r="S723" s="631"/>
      <c r="T723" s="631"/>
      <c r="U723" s="631"/>
      <c r="V723" s="631"/>
      <c r="W723" s="631"/>
      <c r="X723" s="631"/>
      <c r="Y723" s="631"/>
      <c r="Z723" s="631"/>
      <c r="AA723" s="631"/>
      <c r="AB723" s="631"/>
      <c r="AC723" s="631"/>
    </row>
    <row r="724">
      <c r="A724" s="682" t="s">
        <v>32626</v>
      </c>
      <c r="B724" s="683" t="s">
        <v>32627</v>
      </c>
      <c r="C724" s="683" t="s">
        <v>31150</v>
      </c>
      <c r="D724" s="625" t="s">
        <v>32622</v>
      </c>
      <c r="E724" s="681"/>
      <c r="F724" s="680"/>
      <c r="G724" s="627"/>
      <c r="H724" s="573"/>
      <c r="I724" s="584"/>
      <c r="J724" s="584"/>
      <c r="K724" s="633"/>
      <c r="L724" s="584"/>
      <c r="M724" s="584"/>
      <c r="N724" s="584"/>
      <c r="O724" s="631"/>
      <c r="P724" s="631"/>
      <c r="Q724" s="631"/>
      <c r="R724" s="631"/>
      <c r="S724" s="631"/>
      <c r="T724" s="631"/>
      <c r="U724" s="631"/>
      <c r="V724" s="631"/>
      <c r="W724" s="631"/>
      <c r="X724" s="631"/>
      <c r="Y724" s="631"/>
      <c r="Z724" s="631"/>
      <c r="AA724" s="631"/>
      <c r="AB724" s="631"/>
      <c r="AC724" s="631"/>
    </row>
    <row r="725" ht="23.25" customHeight="1">
      <c r="A725" s="682" t="s">
        <v>32628</v>
      </c>
      <c r="B725" s="683" t="s">
        <v>32627</v>
      </c>
      <c r="C725" s="683" t="s">
        <v>4099</v>
      </c>
      <c r="D725" s="625" t="s">
        <v>32093</v>
      </c>
      <c r="E725" s="635"/>
      <c r="F725" s="627"/>
      <c r="G725" s="627"/>
      <c r="H725" s="573"/>
      <c r="I725" s="584"/>
      <c r="J725" s="584"/>
      <c r="K725" s="633"/>
      <c r="L725" s="584"/>
      <c r="M725" s="584"/>
      <c r="N725" s="584"/>
      <c r="O725" s="631"/>
      <c r="P725" s="631"/>
      <c r="Q725" s="631"/>
      <c r="R725" s="631"/>
      <c r="S725" s="631"/>
      <c r="T725" s="631"/>
      <c r="U725" s="631"/>
      <c r="V725" s="631"/>
      <c r="W725" s="631"/>
      <c r="X725" s="631"/>
      <c r="Y725" s="631"/>
      <c r="Z725" s="631"/>
      <c r="AA725" s="631"/>
      <c r="AB725" s="631"/>
      <c r="AC725" s="631"/>
    </row>
    <row r="726">
      <c r="A726" s="425" t="s">
        <v>10426</v>
      </c>
      <c r="B726" s="625"/>
      <c r="C726" s="625"/>
      <c r="D726" s="625"/>
      <c r="E726" s="635"/>
      <c r="F726" s="627"/>
      <c r="G726" s="627"/>
      <c r="H726" s="573" t="s">
        <v>32629</v>
      </c>
      <c r="I726" s="584"/>
      <c r="J726" s="584"/>
      <c r="K726" s="633"/>
      <c r="L726" s="584"/>
      <c r="M726" s="587">
        <v>61.5</v>
      </c>
      <c r="N726" s="593">
        <v>44084.0</v>
      </c>
      <c r="O726" s="631"/>
      <c r="P726" s="631"/>
      <c r="Q726" s="631"/>
      <c r="R726" s="631"/>
      <c r="S726" s="631"/>
      <c r="T726" s="631"/>
      <c r="U726" s="631"/>
      <c r="V726" s="631"/>
      <c r="W726" s="631"/>
      <c r="X726" s="631"/>
      <c r="Y726" s="631"/>
      <c r="Z726" s="631"/>
      <c r="AA726" s="631"/>
      <c r="AB726" s="631"/>
      <c r="AC726" s="631"/>
    </row>
    <row r="727">
      <c r="A727" s="573" t="s">
        <v>32630</v>
      </c>
      <c r="B727" s="625" t="s">
        <v>32631</v>
      </c>
      <c r="C727" s="625"/>
      <c r="D727" s="625" t="s">
        <v>32632</v>
      </c>
      <c r="E727" s="625" t="s">
        <v>31161</v>
      </c>
      <c r="F727" s="573"/>
      <c r="G727" s="627"/>
      <c r="H727" s="627"/>
      <c r="I727" s="584"/>
      <c r="J727" s="584"/>
      <c r="K727" s="633"/>
      <c r="L727" s="584"/>
      <c r="M727" s="584"/>
      <c r="N727" s="584"/>
      <c r="O727" s="631"/>
      <c r="P727" s="631"/>
      <c r="Q727" s="631"/>
      <c r="R727" s="631"/>
      <c r="S727" s="631"/>
      <c r="T727" s="631"/>
      <c r="U727" s="631"/>
      <c r="V727" s="631"/>
      <c r="W727" s="631"/>
      <c r="X727" s="631"/>
      <c r="Y727" s="631"/>
      <c r="Z727" s="631"/>
      <c r="AA727" s="631"/>
      <c r="AB727" s="631"/>
      <c r="AC727" s="631"/>
    </row>
    <row r="728">
      <c r="A728" s="573" t="s">
        <v>32633</v>
      </c>
      <c r="B728" s="625" t="s">
        <v>31852</v>
      </c>
      <c r="C728" s="625" t="s">
        <v>31542</v>
      </c>
      <c r="D728" s="625" t="s">
        <v>31108</v>
      </c>
      <c r="E728" s="625"/>
      <c r="F728" s="573" t="s">
        <v>32634</v>
      </c>
      <c r="G728" s="627"/>
      <c r="H728" s="627"/>
      <c r="I728" s="584"/>
      <c r="J728" s="584"/>
      <c r="K728" s="633"/>
      <c r="L728" s="584"/>
      <c r="M728" s="584"/>
      <c r="N728" s="584"/>
      <c r="O728" s="631"/>
      <c r="P728" s="631"/>
      <c r="Q728" s="631"/>
      <c r="R728" s="631"/>
      <c r="S728" s="631"/>
      <c r="T728" s="631"/>
      <c r="U728" s="631"/>
      <c r="V728" s="631"/>
      <c r="W728" s="631"/>
      <c r="X728" s="631"/>
      <c r="Y728" s="631"/>
      <c r="Z728" s="631"/>
      <c r="AA728" s="631"/>
      <c r="AB728" s="631"/>
      <c r="AC728" s="631"/>
    </row>
    <row r="729">
      <c r="A729" s="573" t="s">
        <v>32635</v>
      </c>
      <c r="B729" s="625"/>
      <c r="C729" s="625" t="s">
        <v>31514</v>
      </c>
      <c r="D729" s="684">
        <v>44053.0</v>
      </c>
      <c r="E729" s="635"/>
      <c r="F729" s="627"/>
      <c r="G729" s="627"/>
      <c r="H729" s="627"/>
      <c r="I729" s="584"/>
      <c r="J729" s="584"/>
      <c r="K729" s="633"/>
      <c r="L729" s="584"/>
      <c r="M729" s="584"/>
      <c r="N729" s="584"/>
      <c r="O729" s="631"/>
      <c r="P729" s="631"/>
      <c r="Q729" s="631"/>
      <c r="R729" s="631"/>
      <c r="S729" s="631"/>
      <c r="T729" s="631"/>
      <c r="U729" s="631"/>
      <c r="V729" s="631"/>
      <c r="W729" s="631"/>
      <c r="X729" s="631"/>
      <c r="Y729" s="631"/>
      <c r="Z729" s="631"/>
      <c r="AA729" s="631"/>
      <c r="AB729" s="631"/>
      <c r="AC729" s="631"/>
    </row>
    <row r="730">
      <c r="A730" s="573" t="s">
        <v>32636</v>
      </c>
      <c r="B730" s="625" t="s">
        <v>8518</v>
      </c>
      <c r="C730" s="625" t="s">
        <v>32321</v>
      </c>
      <c r="D730" s="625" t="s">
        <v>31352</v>
      </c>
      <c r="E730" s="625" t="s">
        <v>31161</v>
      </c>
      <c r="F730" s="627"/>
      <c r="G730" s="627"/>
      <c r="H730" s="627"/>
      <c r="I730" s="584"/>
      <c r="J730" s="584"/>
      <c r="K730" s="633"/>
      <c r="L730" s="584"/>
      <c r="M730" s="584"/>
      <c r="N730" s="584"/>
      <c r="O730" s="631"/>
      <c r="P730" s="631"/>
      <c r="Q730" s="631"/>
      <c r="R730" s="631"/>
      <c r="S730" s="631"/>
      <c r="T730" s="631"/>
      <c r="U730" s="631"/>
      <c r="V730" s="631"/>
      <c r="W730" s="631"/>
      <c r="X730" s="631"/>
      <c r="Y730" s="631"/>
      <c r="Z730" s="631"/>
      <c r="AA730" s="631"/>
      <c r="AB730" s="631"/>
      <c r="AC730" s="631"/>
    </row>
    <row r="731">
      <c r="A731" s="573" t="s">
        <v>32637</v>
      </c>
      <c r="B731" s="625" t="s">
        <v>31858</v>
      </c>
      <c r="C731" s="625" t="s">
        <v>31928</v>
      </c>
      <c r="D731" s="625" t="s">
        <v>31254</v>
      </c>
      <c r="E731" s="635"/>
      <c r="F731" s="627"/>
      <c r="G731" s="627"/>
      <c r="H731" s="627"/>
      <c r="I731" s="584"/>
      <c r="J731" s="584"/>
      <c r="K731" s="633"/>
      <c r="L731" s="584"/>
      <c r="M731" s="584"/>
      <c r="N731" s="584"/>
      <c r="O731" s="631"/>
      <c r="P731" s="631"/>
      <c r="Q731" s="631"/>
      <c r="R731" s="631"/>
      <c r="S731" s="631"/>
      <c r="T731" s="631"/>
      <c r="U731" s="631"/>
      <c r="V731" s="631"/>
      <c r="W731" s="631"/>
      <c r="X731" s="631"/>
      <c r="Y731" s="631"/>
      <c r="Z731" s="631"/>
      <c r="AA731" s="631"/>
      <c r="AB731" s="631"/>
      <c r="AC731" s="631"/>
    </row>
    <row r="732">
      <c r="A732" s="573" t="s">
        <v>32637</v>
      </c>
      <c r="B732" s="625" t="s">
        <v>32456</v>
      </c>
      <c r="C732" s="625" t="s">
        <v>32638</v>
      </c>
      <c r="D732" s="625" t="s">
        <v>31147</v>
      </c>
      <c r="E732" s="625"/>
      <c r="F732" s="627"/>
      <c r="G732" s="627"/>
      <c r="H732" s="627"/>
      <c r="I732" s="584"/>
      <c r="J732" s="584"/>
      <c r="K732" s="633"/>
      <c r="L732" s="584"/>
      <c r="M732" s="584"/>
      <c r="N732" s="584"/>
      <c r="O732" s="631"/>
      <c r="P732" s="631"/>
      <c r="Q732" s="631"/>
      <c r="R732" s="631"/>
      <c r="S732" s="631"/>
      <c r="T732" s="631"/>
      <c r="U732" s="631"/>
      <c r="V732" s="631"/>
      <c r="W732" s="631"/>
      <c r="X732" s="631"/>
      <c r="Y732" s="631"/>
      <c r="Z732" s="631"/>
      <c r="AA732" s="631"/>
      <c r="AB732" s="631"/>
      <c r="AC732" s="631"/>
    </row>
    <row r="733">
      <c r="A733" s="573" t="s">
        <v>32639</v>
      </c>
      <c r="B733" s="625" t="s">
        <v>32640</v>
      </c>
      <c r="C733" s="625" t="s">
        <v>31679</v>
      </c>
      <c r="D733" s="625" t="s">
        <v>32641</v>
      </c>
      <c r="E733" s="625" t="s">
        <v>19136</v>
      </c>
      <c r="F733" s="627"/>
      <c r="G733" s="627"/>
      <c r="H733" s="627"/>
      <c r="I733" s="584"/>
      <c r="J733" s="584"/>
      <c r="K733" s="633"/>
      <c r="L733" s="584"/>
      <c r="M733" s="584"/>
      <c r="N733" s="584"/>
      <c r="O733" s="631"/>
      <c r="P733" s="631"/>
      <c r="Q733" s="631"/>
      <c r="R733" s="631"/>
      <c r="S733" s="631"/>
      <c r="T733" s="631"/>
      <c r="U733" s="631"/>
      <c r="V733" s="631"/>
      <c r="W733" s="631"/>
      <c r="X733" s="631"/>
      <c r="Y733" s="631"/>
      <c r="Z733" s="631"/>
      <c r="AA733" s="631"/>
      <c r="AB733" s="631"/>
      <c r="AC733" s="631"/>
    </row>
    <row r="734">
      <c r="A734" s="573" t="s">
        <v>32642</v>
      </c>
      <c r="B734" s="625" t="s">
        <v>31858</v>
      </c>
      <c r="C734" s="625" t="s">
        <v>13373</v>
      </c>
      <c r="D734" s="625" t="s">
        <v>32643</v>
      </c>
      <c r="E734" s="635"/>
      <c r="F734" s="627"/>
      <c r="G734" s="627"/>
      <c r="H734" s="627"/>
      <c r="I734" s="584"/>
      <c r="J734" s="584"/>
      <c r="K734" s="633"/>
      <c r="L734" s="584"/>
      <c r="M734" s="587"/>
      <c r="N734" s="587"/>
      <c r="O734" s="631"/>
      <c r="P734" s="631"/>
      <c r="Q734" s="631"/>
      <c r="R734" s="631"/>
      <c r="S734" s="631"/>
      <c r="T734" s="631"/>
      <c r="U734" s="631"/>
      <c r="V734" s="631"/>
      <c r="W734" s="631"/>
      <c r="X734" s="631"/>
      <c r="Y734" s="631"/>
      <c r="Z734" s="631"/>
      <c r="AA734" s="631"/>
      <c r="AB734" s="631"/>
      <c r="AC734" s="631"/>
    </row>
    <row r="735">
      <c r="A735" s="573" t="s">
        <v>32644</v>
      </c>
      <c r="B735" s="625"/>
      <c r="C735" s="625"/>
      <c r="D735" s="625"/>
      <c r="E735" s="635"/>
      <c r="F735" s="627"/>
      <c r="G735" s="627"/>
      <c r="H735" s="627"/>
      <c r="I735" s="584"/>
      <c r="J735" s="584"/>
      <c r="K735" s="633"/>
      <c r="L735" s="584"/>
      <c r="M735" s="587">
        <v>825.0</v>
      </c>
      <c r="N735" s="587" t="s">
        <v>31864</v>
      </c>
      <c r="O735" s="631"/>
      <c r="P735" s="631"/>
      <c r="Q735" s="631"/>
      <c r="R735" s="631"/>
      <c r="S735" s="631"/>
      <c r="T735" s="631"/>
      <c r="U735" s="631"/>
      <c r="V735" s="631"/>
      <c r="W735" s="631"/>
      <c r="X735" s="631"/>
      <c r="Y735" s="631"/>
      <c r="Z735" s="631"/>
      <c r="AA735" s="631"/>
      <c r="AB735" s="631"/>
      <c r="AC735" s="631"/>
    </row>
    <row r="736">
      <c r="A736" s="573" t="s">
        <v>32645</v>
      </c>
      <c r="B736" s="625"/>
      <c r="C736" s="625" t="s">
        <v>890</v>
      </c>
      <c r="D736" s="625" t="s">
        <v>5272</v>
      </c>
      <c r="E736" s="635"/>
      <c r="F736" s="627"/>
      <c r="G736" s="627"/>
      <c r="H736" s="627"/>
      <c r="I736" s="584"/>
      <c r="J736" s="584"/>
      <c r="K736" s="633"/>
      <c r="L736" s="584"/>
      <c r="M736" s="584"/>
      <c r="N736" s="584"/>
      <c r="O736" s="631"/>
      <c r="P736" s="631"/>
      <c r="Q736" s="631"/>
      <c r="R736" s="631"/>
      <c r="S736" s="631"/>
      <c r="T736" s="631"/>
      <c r="U736" s="631"/>
      <c r="V736" s="631"/>
      <c r="W736" s="631"/>
      <c r="X736" s="631"/>
      <c r="Y736" s="631"/>
      <c r="Z736" s="631"/>
      <c r="AA736" s="631"/>
      <c r="AB736" s="631"/>
      <c r="AC736" s="631"/>
    </row>
    <row r="737">
      <c r="A737" s="573" t="s">
        <v>1182</v>
      </c>
      <c r="B737" s="625"/>
      <c r="C737" s="625" t="s">
        <v>3984</v>
      </c>
      <c r="D737" s="625" t="s">
        <v>10073</v>
      </c>
      <c r="E737" s="635"/>
      <c r="F737" s="627"/>
      <c r="G737" s="627"/>
      <c r="H737" s="627"/>
      <c r="I737" s="584"/>
      <c r="J737" s="584"/>
      <c r="K737" s="633"/>
      <c r="L737" s="584"/>
      <c r="M737" s="584"/>
      <c r="N737" s="584"/>
      <c r="O737" s="631"/>
      <c r="P737" s="631"/>
      <c r="Q737" s="631"/>
      <c r="R737" s="631"/>
      <c r="S737" s="631"/>
      <c r="T737" s="631"/>
      <c r="U737" s="631"/>
      <c r="V737" s="631"/>
      <c r="W737" s="631"/>
      <c r="X737" s="631"/>
      <c r="Y737" s="631"/>
      <c r="Z737" s="631"/>
      <c r="AA737" s="631"/>
      <c r="AB737" s="631"/>
      <c r="AC737" s="631"/>
    </row>
    <row r="738">
      <c r="A738" s="573" t="s">
        <v>32646</v>
      </c>
      <c r="B738" s="625" t="s">
        <v>30998</v>
      </c>
      <c r="C738" s="625" t="s">
        <v>3369</v>
      </c>
      <c r="D738" s="625" t="s">
        <v>32647</v>
      </c>
      <c r="E738" s="635"/>
      <c r="F738" s="627"/>
      <c r="G738" s="627"/>
      <c r="H738" s="627"/>
      <c r="I738" s="587"/>
      <c r="J738" s="587"/>
      <c r="K738" s="633"/>
      <c r="L738" s="584"/>
      <c r="M738" s="587">
        <v>4.5</v>
      </c>
      <c r="N738" s="587" t="s">
        <v>32099</v>
      </c>
      <c r="O738" s="631"/>
      <c r="P738" s="631"/>
      <c r="Q738" s="631"/>
      <c r="R738" s="631"/>
      <c r="S738" s="631"/>
      <c r="T738" s="631"/>
      <c r="U738" s="631"/>
      <c r="V738" s="631"/>
      <c r="W738" s="631"/>
      <c r="X738" s="631"/>
      <c r="Y738" s="631"/>
      <c r="Z738" s="631"/>
      <c r="AA738" s="631"/>
      <c r="AB738" s="631"/>
      <c r="AC738" s="631"/>
    </row>
    <row r="739">
      <c r="A739" s="573" t="s">
        <v>5450</v>
      </c>
      <c r="B739" s="625" t="s">
        <v>31037</v>
      </c>
      <c r="C739" s="625" t="s">
        <v>32648</v>
      </c>
      <c r="D739" s="625" t="s">
        <v>32649</v>
      </c>
      <c r="E739" s="635"/>
      <c r="F739" s="627"/>
      <c r="G739" s="627"/>
      <c r="H739" s="627"/>
      <c r="I739" s="587"/>
      <c r="J739" s="587"/>
      <c r="K739" s="633"/>
      <c r="L739" s="584"/>
      <c r="M739" s="633"/>
      <c r="N739" s="584"/>
      <c r="O739" s="631"/>
      <c r="P739" s="631"/>
      <c r="Q739" s="631"/>
      <c r="R739" s="631"/>
      <c r="S739" s="631"/>
      <c r="T739" s="631"/>
      <c r="U739" s="631"/>
      <c r="V739" s="631"/>
      <c r="W739" s="631"/>
      <c r="X739" s="631"/>
      <c r="Y739" s="631"/>
      <c r="Z739" s="631"/>
      <c r="AA739" s="631"/>
      <c r="AB739" s="631"/>
      <c r="AC739" s="631"/>
    </row>
    <row r="740" ht="39.75" customHeight="1">
      <c r="A740" s="573" t="s">
        <v>32650</v>
      </c>
      <c r="B740" s="625" t="s">
        <v>31379</v>
      </c>
      <c r="C740" s="625" t="s">
        <v>32651</v>
      </c>
      <c r="D740" s="625" t="s">
        <v>31147</v>
      </c>
      <c r="E740" s="635"/>
      <c r="F740" s="627"/>
      <c r="G740" s="627"/>
      <c r="H740" s="627"/>
      <c r="I740" s="587"/>
      <c r="J740" s="587"/>
      <c r="K740" s="633"/>
      <c r="L740" s="584"/>
      <c r="M740" s="633"/>
      <c r="N740" s="584"/>
      <c r="O740" s="631"/>
      <c r="P740" s="631"/>
      <c r="Q740" s="631"/>
      <c r="R740" s="631"/>
      <c r="S740" s="631"/>
      <c r="T740" s="631"/>
      <c r="U740" s="631"/>
      <c r="V740" s="631"/>
      <c r="W740" s="631"/>
      <c r="X740" s="631"/>
      <c r="Y740" s="631"/>
      <c r="Z740" s="631"/>
      <c r="AA740" s="631"/>
      <c r="AB740" s="631"/>
      <c r="AC740" s="631"/>
    </row>
    <row r="741" ht="15.0" customHeight="1">
      <c r="A741" s="573" t="s">
        <v>32652</v>
      </c>
      <c r="B741" s="635"/>
      <c r="C741" s="635"/>
      <c r="D741" s="635"/>
      <c r="E741" s="635"/>
      <c r="F741" s="627"/>
      <c r="G741" s="627"/>
      <c r="H741" s="627"/>
      <c r="I741" s="587" t="s">
        <v>32653</v>
      </c>
      <c r="J741" s="587" t="s">
        <v>12051</v>
      </c>
      <c r="K741" s="633"/>
      <c r="L741" s="584"/>
      <c r="M741" s="633"/>
      <c r="N741" s="584"/>
      <c r="O741" s="631"/>
      <c r="P741" s="631"/>
      <c r="Q741" s="631"/>
      <c r="R741" s="631"/>
      <c r="S741" s="631"/>
      <c r="T741" s="631"/>
      <c r="U741" s="631"/>
      <c r="V741" s="631"/>
      <c r="W741" s="631"/>
      <c r="X741" s="631"/>
      <c r="Y741" s="631"/>
      <c r="Z741" s="631"/>
      <c r="AA741" s="631"/>
      <c r="AB741" s="631"/>
      <c r="AC741" s="631"/>
    </row>
    <row r="742">
      <c r="A742" s="663" t="s">
        <v>2660</v>
      </c>
      <c r="B742" s="677" t="s">
        <v>32654</v>
      </c>
      <c r="C742" s="685" t="s">
        <v>32655</v>
      </c>
      <c r="D742" s="685" t="s">
        <v>32656</v>
      </c>
      <c r="E742" s="685"/>
      <c r="F742" s="663"/>
      <c r="G742" s="663"/>
      <c r="H742" s="686"/>
      <c r="I742" s="687"/>
      <c r="J742" s="687"/>
      <c r="K742" s="687"/>
      <c r="L742" s="584"/>
      <c r="M742" s="584"/>
      <c r="N742" s="584"/>
      <c r="O742" s="631"/>
      <c r="P742" s="631"/>
      <c r="Q742" s="631"/>
      <c r="R742" s="631"/>
      <c r="S742" s="631"/>
      <c r="T742" s="631"/>
      <c r="U742" s="631"/>
      <c r="V742" s="631"/>
      <c r="W742" s="631"/>
      <c r="X742" s="631"/>
      <c r="Y742" s="631"/>
      <c r="Z742" s="631"/>
      <c r="AA742" s="631"/>
      <c r="AB742" s="631"/>
      <c r="AC742" s="631"/>
    </row>
    <row r="743">
      <c r="A743" s="688" t="s">
        <v>872</v>
      </c>
      <c r="B743" s="677" t="s">
        <v>32654</v>
      </c>
      <c r="C743" s="677" t="s">
        <v>32657</v>
      </c>
      <c r="D743" s="677" t="s">
        <v>32658</v>
      </c>
      <c r="E743" s="689"/>
      <c r="F743" s="690"/>
      <c r="G743" s="690"/>
      <c r="H743" s="690"/>
      <c r="I743" s="687"/>
      <c r="J743" s="687"/>
      <c r="K743" s="691"/>
      <c r="L743" s="584"/>
      <c r="M743" s="584"/>
      <c r="N743" s="584"/>
      <c r="O743" s="631"/>
      <c r="P743" s="631"/>
      <c r="Q743" s="631"/>
      <c r="R743" s="631"/>
      <c r="S743" s="631"/>
      <c r="T743" s="631"/>
      <c r="U743" s="631"/>
      <c r="V743" s="631"/>
      <c r="W743" s="631"/>
      <c r="X743" s="631"/>
      <c r="Y743" s="631"/>
      <c r="Z743" s="631"/>
      <c r="AA743" s="631"/>
      <c r="AB743" s="631"/>
      <c r="AC743" s="631"/>
    </row>
    <row r="744">
      <c r="A744" s="692" t="s">
        <v>32659</v>
      </c>
      <c r="B744" s="625" t="s">
        <v>32660</v>
      </c>
      <c r="C744" s="625" t="s">
        <v>32261</v>
      </c>
      <c r="D744" s="625" t="s">
        <v>954</v>
      </c>
      <c r="E744" s="635"/>
      <c r="F744" s="627"/>
      <c r="G744" s="627"/>
      <c r="H744" s="627"/>
      <c r="I744" s="584"/>
      <c r="J744" s="584"/>
      <c r="K744" s="693"/>
      <c r="L744" s="660"/>
      <c r="M744" s="660"/>
      <c r="N744" s="660"/>
      <c r="O744" s="631"/>
      <c r="P744" s="631"/>
      <c r="Q744" s="631"/>
      <c r="R744" s="631"/>
      <c r="S744" s="631"/>
      <c r="T744" s="631"/>
      <c r="U744" s="631"/>
      <c r="V744" s="631"/>
      <c r="W744" s="631"/>
      <c r="X744" s="631"/>
      <c r="Y744" s="631"/>
      <c r="Z744" s="631"/>
      <c r="AA744" s="631"/>
      <c r="AB744" s="631"/>
      <c r="AC744" s="631"/>
    </row>
    <row r="745">
      <c r="A745" s="573" t="s">
        <v>32661</v>
      </c>
      <c r="B745" s="625" t="s">
        <v>32662</v>
      </c>
      <c r="C745" s="625" t="s">
        <v>890</v>
      </c>
      <c r="D745" s="625"/>
      <c r="E745" s="635"/>
      <c r="F745" s="627"/>
      <c r="G745" s="627"/>
      <c r="H745" s="627"/>
      <c r="I745" s="584"/>
      <c r="J745" s="584"/>
      <c r="K745" s="693"/>
      <c r="L745" s="660"/>
      <c r="M745" s="660"/>
      <c r="N745" s="660"/>
      <c r="O745" s="631"/>
      <c r="P745" s="631"/>
      <c r="Q745" s="631"/>
      <c r="R745" s="631"/>
      <c r="S745" s="631"/>
      <c r="T745" s="631"/>
      <c r="U745" s="631"/>
      <c r="V745" s="631"/>
      <c r="W745" s="631"/>
      <c r="X745" s="631"/>
      <c r="Y745" s="631"/>
      <c r="Z745" s="631"/>
      <c r="AA745" s="631"/>
      <c r="AB745" s="631"/>
      <c r="AC745" s="631"/>
    </row>
    <row r="746">
      <c r="A746" s="573" t="s">
        <v>32663</v>
      </c>
      <c r="B746" s="625" t="s">
        <v>31037</v>
      </c>
      <c r="C746" s="625" t="s">
        <v>12388</v>
      </c>
      <c r="D746" s="625" t="s">
        <v>31589</v>
      </c>
      <c r="E746" s="635"/>
      <c r="F746" s="627"/>
      <c r="G746" s="627"/>
      <c r="H746" s="627"/>
      <c r="I746" s="584"/>
      <c r="J746" s="584"/>
      <c r="K746" s="693"/>
      <c r="L746" s="660"/>
      <c r="M746" s="660"/>
      <c r="N746" s="660"/>
      <c r="O746" s="631"/>
      <c r="P746" s="631"/>
      <c r="Q746" s="631"/>
      <c r="R746" s="631"/>
      <c r="S746" s="631"/>
      <c r="T746" s="631"/>
      <c r="U746" s="631"/>
      <c r="V746" s="631"/>
      <c r="W746" s="631"/>
      <c r="X746" s="631"/>
      <c r="Y746" s="631"/>
      <c r="Z746" s="631"/>
      <c r="AA746" s="631"/>
      <c r="AB746" s="631"/>
      <c r="AC746" s="631"/>
    </row>
    <row r="747">
      <c r="A747" s="631"/>
      <c r="B747" s="694"/>
      <c r="C747" s="694"/>
      <c r="D747" s="694"/>
      <c r="E747" s="694"/>
      <c r="F747" s="631"/>
      <c r="G747" s="631"/>
      <c r="H747" s="631"/>
      <c r="I747" s="660"/>
      <c r="J747" s="660"/>
      <c r="K747" s="693"/>
      <c r="L747" s="660"/>
      <c r="M747" s="660"/>
      <c r="N747" s="660"/>
      <c r="O747" s="631"/>
      <c r="P747" s="631"/>
      <c r="Q747" s="631"/>
      <c r="R747" s="631"/>
      <c r="S747" s="631"/>
      <c r="T747" s="631"/>
      <c r="U747" s="631"/>
      <c r="V747" s="631"/>
      <c r="W747" s="631"/>
      <c r="X747" s="631"/>
      <c r="Y747" s="631"/>
      <c r="Z747" s="631"/>
      <c r="AA747" s="631"/>
      <c r="AB747" s="631"/>
      <c r="AC747" s="631"/>
    </row>
    <row r="748">
      <c r="A748" s="631"/>
      <c r="B748" s="694"/>
      <c r="C748" s="694"/>
      <c r="D748" s="694"/>
      <c r="E748" s="694"/>
      <c r="F748" s="631"/>
      <c r="G748" s="631"/>
      <c r="H748" s="631"/>
      <c r="I748" s="660"/>
      <c r="J748" s="660"/>
      <c r="K748" s="693"/>
      <c r="L748" s="660"/>
      <c r="M748" s="660"/>
      <c r="N748" s="660"/>
      <c r="O748" s="631"/>
      <c r="P748" s="631"/>
      <c r="Q748" s="631"/>
      <c r="R748" s="631"/>
      <c r="S748" s="631"/>
      <c r="T748" s="631"/>
      <c r="U748" s="631"/>
      <c r="V748" s="631"/>
      <c r="W748" s="631"/>
      <c r="X748" s="631"/>
      <c r="Y748" s="631"/>
      <c r="Z748" s="631"/>
      <c r="AA748" s="631"/>
      <c r="AB748" s="631"/>
      <c r="AC748" s="631"/>
    </row>
    <row r="749">
      <c r="A749" s="631"/>
      <c r="B749" s="694"/>
      <c r="C749" s="694"/>
      <c r="D749" s="694"/>
      <c r="E749" s="694"/>
      <c r="F749" s="631"/>
      <c r="G749" s="631"/>
      <c r="H749" s="631"/>
      <c r="I749" s="660"/>
      <c r="J749" s="660"/>
      <c r="K749" s="693"/>
      <c r="L749" s="660"/>
      <c r="M749" s="660"/>
      <c r="N749" s="660"/>
      <c r="O749" s="631"/>
      <c r="P749" s="631"/>
      <c r="Q749" s="631"/>
      <c r="R749" s="631"/>
      <c r="S749" s="631"/>
      <c r="T749" s="631"/>
      <c r="U749" s="631"/>
      <c r="V749" s="631"/>
      <c r="W749" s="631"/>
      <c r="X749" s="631"/>
      <c r="Y749" s="631"/>
      <c r="Z749" s="631"/>
      <c r="AA749" s="631"/>
      <c r="AB749" s="631"/>
      <c r="AC749" s="631"/>
    </row>
    <row r="750">
      <c r="A750" s="631"/>
      <c r="B750" s="694"/>
      <c r="C750" s="694"/>
      <c r="D750" s="694"/>
      <c r="E750" s="694"/>
      <c r="F750" s="631"/>
      <c r="G750" s="631"/>
      <c r="H750" s="631"/>
      <c r="I750" s="660"/>
      <c r="J750" s="660"/>
      <c r="K750" s="693"/>
      <c r="L750" s="660"/>
      <c r="M750" s="660"/>
      <c r="N750" s="660"/>
      <c r="O750" s="631"/>
      <c r="P750" s="631"/>
      <c r="Q750" s="631"/>
      <c r="R750" s="631"/>
      <c r="S750" s="631"/>
      <c r="T750" s="631"/>
      <c r="U750" s="631"/>
      <c r="V750" s="631"/>
      <c r="W750" s="631"/>
      <c r="X750" s="631"/>
      <c r="Y750" s="631"/>
      <c r="Z750" s="631"/>
      <c r="AA750" s="631"/>
      <c r="AB750" s="631"/>
      <c r="AC750" s="631"/>
    </row>
    <row r="751">
      <c r="A751" s="631"/>
      <c r="B751" s="694"/>
      <c r="C751" s="694"/>
      <c r="D751" s="694"/>
      <c r="E751" s="694"/>
      <c r="F751" s="631"/>
      <c r="G751" s="631"/>
      <c r="H751" s="631"/>
      <c r="I751" s="660"/>
      <c r="J751" s="660"/>
      <c r="K751" s="693"/>
      <c r="L751" s="660"/>
      <c r="M751" s="660"/>
      <c r="N751" s="660"/>
      <c r="O751" s="631"/>
      <c r="P751" s="631"/>
      <c r="Q751" s="631"/>
      <c r="R751" s="631"/>
      <c r="S751" s="631"/>
      <c r="T751" s="631"/>
      <c r="U751" s="631"/>
      <c r="V751" s="631"/>
      <c r="W751" s="631"/>
      <c r="X751" s="631"/>
      <c r="Y751" s="631"/>
      <c r="Z751" s="631"/>
      <c r="AA751" s="631"/>
      <c r="AB751" s="631"/>
      <c r="AC751" s="631"/>
    </row>
    <row r="752">
      <c r="A752" s="631"/>
      <c r="B752" s="694"/>
      <c r="C752" s="694"/>
      <c r="D752" s="694"/>
      <c r="E752" s="694"/>
      <c r="F752" s="631"/>
      <c r="G752" s="631"/>
      <c r="H752" s="631"/>
      <c r="I752" s="660"/>
      <c r="J752" s="660"/>
      <c r="K752" s="693"/>
      <c r="L752" s="660"/>
      <c r="M752" s="660"/>
      <c r="N752" s="660"/>
      <c r="O752" s="631"/>
      <c r="P752" s="631"/>
      <c r="Q752" s="631"/>
      <c r="R752" s="631"/>
      <c r="S752" s="631"/>
      <c r="T752" s="631"/>
      <c r="U752" s="631"/>
      <c r="V752" s="631"/>
      <c r="W752" s="631"/>
      <c r="X752" s="631"/>
      <c r="Y752" s="631"/>
      <c r="Z752" s="631"/>
      <c r="AA752" s="631"/>
      <c r="AB752" s="631"/>
      <c r="AC752" s="631"/>
    </row>
    <row r="753">
      <c r="A753" s="631"/>
      <c r="B753" s="694"/>
      <c r="C753" s="694"/>
      <c r="D753" s="694"/>
      <c r="E753" s="694"/>
      <c r="F753" s="631"/>
      <c r="G753" s="631"/>
      <c r="H753" s="631"/>
      <c r="I753" s="660"/>
      <c r="J753" s="660"/>
      <c r="K753" s="693"/>
      <c r="L753" s="660"/>
      <c r="M753" s="660"/>
      <c r="N753" s="660"/>
      <c r="O753" s="631"/>
      <c r="P753" s="631"/>
      <c r="Q753" s="631"/>
      <c r="R753" s="631"/>
      <c r="S753" s="631"/>
      <c r="T753" s="631"/>
      <c r="U753" s="631"/>
      <c r="V753" s="631"/>
      <c r="W753" s="631"/>
      <c r="X753" s="631"/>
      <c r="Y753" s="631"/>
      <c r="Z753" s="631"/>
      <c r="AA753" s="631"/>
      <c r="AB753" s="631"/>
      <c r="AC753" s="631"/>
    </row>
    <row r="754">
      <c r="A754" s="631"/>
      <c r="B754" s="694"/>
      <c r="C754" s="694"/>
      <c r="D754" s="694"/>
      <c r="E754" s="694"/>
      <c r="F754" s="631"/>
      <c r="G754" s="631"/>
      <c r="H754" s="631"/>
      <c r="I754" s="660"/>
      <c r="J754" s="660"/>
      <c r="K754" s="693"/>
      <c r="L754" s="660"/>
      <c r="M754" s="660"/>
      <c r="N754" s="660"/>
      <c r="O754" s="631"/>
      <c r="P754" s="631"/>
      <c r="Q754" s="631"/>
      <c r="R754" s="631"/>
      <c r="S754" s="631"/>
      <c r="T754" s="631"/>
      <c r="U754" s="631"/>
      <c r="V754" s="631"/>
      <c r="W754" s="631"/>
      <c r="X754" s="631"/>
      <c r="Y754" s="631"/>
      <c r="Z754" s="631"/>
      <c r="AA754" s="631"/>
      <c r="AB754" s="631"/>
      <c r="AC754" s="631"/>
    </row>
    <row r="755">
      <c r="A755" s="631"/>
      <c r="B755" s="694"/>
      <c r="C755" s="694"/>
      <c r="D755" s="694"/>
      <c r="E755" s="694"/>
      <c r="F755" s="631"/>
      <c r="G755" s="631"/>
      <c r="H755" s="631"/>
      <c r="I755" s="660"/>
      <c r="J755" s="660"/>
      <c r="K755" s="693"/>
      <c r="L755" s="660"/>
      <c r="M755" s="660"/>
      <c r="N755" s="660"/>
      <c r="O755" s="631"/>
      <c r="P755" s="631"/>
      <c r="Q755" s="631"/>
      <c r="R755" s="631"/>
      <c r="S755" s="631"/>
      <c r="T755" s="631"/>
      <c r="U755" s="631"/>
      <c r="V755" s="631"/>
      <c r="W755" s="631"/>
      <c r="X755" s="631"/>
      <c r="Y755" s="631"/>
      <c r="Z755" s="631"/>
      <c r="AA755" s="631"/>
      <c r="AB755" s="631"/>
      <c r="AC755" s="631"/>
    </row>
    <row r="756">
      <c r="A756" s="631"/>
      <c r="B756" s="694"/>
      <c r="C756" s="694"/>
      <c r="D756" s="694"/>
      <c r="E756" s="694"/>
      <c r="F756" s="631"/>
      <c r="G756" s="631"/>
      <c r="H756" s="631"/>
      <c r="I756" s="660"/>
      <c r="J756" s="660"/>
      <c r="K756" s="693"/>
      <c r="L756" s="660"/>
      <c r="M756" s="660"/>
      <c r="N756" s="660"/>
      <c r="O756" s="631"/>
      <c r="P756" s="631"/>
      <c r="Q756" s="631"/>
      <c r="R756" s="631"/>
      <c r="S756" s="631"/>
      <c r="T756" s="631"/>
      <c r="U756" s="631"/>
      <c r="V756" s="631"/>
      <c r="W756" s="631"/>
      <c r="X756" s="631"/>
      <c r="Y756" s="631"/>
      <c r="Z756" s="631"/>
      <c r="AA756" s="631"/>
      <c r="AB756" s="631"/>
      <c r="AC756" s="631"/>
    </row>
    <row r="757">
      <c r="A757" s="631"/>
      <c r="B757" s="694"/>
      <c r="C757" s="694"/>
      <c r="D757" s="694"/>
      <c r="E757" s="694"/>
      <c r="F757" s="631"/>
      <c r="G757" s="631"/>
      <c r="H757" s="631"/>
      <c r="I757" s="660"/>
      <c r="J757" s="660"/>
      <c r="K757" s="693"/>
      <c r="L757" s="660"/>
      <c r="M757" s="660"/>
      <c r="N757" s="660"/>
      <c r="O757" s="631"/>
      <c r="P757" s="631"/>
      <c r="Q757" s="631"/>
      <c r="R757" s="631"/>
      <c r="S757" s="631"/>
      <c r="T757" s="631"/>
      <c r="U757" s="631"/>
      <c r="V757" s="631"/>
      <c r="W757" s="631"/>
      <c r="X757" s="631"/>
      <c r="Y757" s="631"/>
      <c r="Z757" s="631"/>
      <c r="AA757" s="631"/>
      <c r="AB757" s="631"/>
      <c r="AC757" s="631"/>
    </row>
    <row r="758">
      <c r="A758" s="631"/>
      <c r="B758" s="694"/>
      <c r="C758" s="694"/>
      <c r="D758" s="694"/>
      <c r="E758" s="694"/>
      <c r="F758" s="631"/>
      <c r="G758" s="631"/>
      <c r="H758" s="631"/>
      <c r="I758" s="660"/>
      <c r="J758" s="660"/>
      <c r="K758" s="693"/>
      <c r="L758" s="660"/>
      <c r="M758" s="660"/>
      <c r="N758" s="660"/>
      <c r="O758" s="631"/>
      <c r="P758" s="631"/>
      <c r="Q758" s="631"/>
      <c r="R758" s="631"/>
      <c r="S758" s="631"/>
      <c r="T758" s="631"/>
      <c r="U758" s="631"/>
      <c r="V758" s="631"/>
      <c r="W758" s="631"/>
      <c r="X758" s="631"/>
      <c r="Y758" s="631"/>
      <c r="Z758" s="631"/>
      <c r="AA758" s="631"/>
      <c r="AB758" s="631"/>
      <c r="AC758" s="631"/>
    </row>
    <row r="759">
      <c r="A759" s="631"/>
      <c r="B759" s="694"/>
      <c r="C759" s="694"/>
      <c r="D759" s="694"/>
      <c r="E759" s="694"/>
      <c r="F759" s="631"/>
      <c r="G759" s="631"/>
      <c r="H759" s="631"/>
      <c r="I759" s="660"/>
      <c r="J759" s="660"/>
      <c r="K759" s="693"/>
      <c r="L759" s="660"/>
      <c r="M759" s="660"/>
      <c r="N759" s="660"/>
      <c r="O759" s="631"/>
      <c r="P759" s="631"/>
      <c r="Q759" s="631"/>
      <c r="R759" s="631"/>
      <c r="S759" s="631"/>
      <c r="T759" s="631"/>
      <c r="U759" s="631"/>
      <c r="V759" s="631"/>
      <c r="W759" s="631"/>
      <c r="X759" s="631"/>
      <c r="Y759" s="631"/>
      <c r="Z759" s="631"/>
      <c r="AA759" s="631"/>
      <c r="AB759" s="631"/>
      <c r="AC759" s="631"/>
    </row>
    <row r="760">
      <c r="A760" s="631"/>
      <c r="B760" s="694"/>
      <c r="C760" s="694"/>
      <c r="D760" s="694"/>
      <c r="E760" s="694"/>
      <c r="F760" s="631"/>
      <c r="G760" s="631"/>
      <c r="H760" s="631"/>
      <c r="I760" s="660"/>
      <c r="J760" s="660"/>
      <c r="K760" s="693"/>
      <c r="L760" s="660"/>
      <c r="M760" s="660"/>
      <c r="N760" s="660"/>
      <c r="O760" s="631"/>
      <c r="P760" s="631"/>
      <c r="Q760" s="631"/>
      <c r="R760" s="631"/>
      <c r="S760" s="631"/>
      <c r="T760" s="631"/>
      <c r="U760" s="631"/>
      <c r="V760" s="631"/>
      <c r="W760" s="631"/>
      <c r="X760" s="631"/>
      <c r="Y760" s="631"/>
      <c r="Z760" s="631"/>
      <c r="AA760" s="631"/>
      <c r="AB760" s="631"/>
      <c r="AC760" s="631"/>
    </row>
    <row r="761">
      <c r="A761" s="631"/>
      <c r="B761" s="694"/>
      <c r="C761" s="694"/>
      <c r="D761" s="694"/>
      <c r="E761" s="694"/>
      <c r="F761" s="631"/>
      <c r="G761" s="631"/>
      <c r="H761" s="631"/>
      <c r="I761" s="660"/>
      <c r="J761" s="660"/>
      <c r="K761" s="693"/>
      <c r="L761" s="660"/>
      <c r="M761" s="660"/>
      <c r="N761" s="660"/>
      <c r="O761" s="631"/>
      <c r="P761" s="631"/>
      <c r="Q761" s="631"/>
      <c r="R761" s="631"/>
      <c r="S761" s="631"/>
      <c r="T761" s="631"/>
      <c r="U761" s="631"/>
      <c r="V761" s="631"/>
      <c r="W761" s="631"/>
      <c r="X761" s="631"/>
      <c r="Y761" s="631"/>
      <c r="Z761" s="631"/>
      <c r="AA761" s="631"/>
      <c r="AB761" s="631"/>
      <c r="AC761" s="631"/>
    </row>
    <row r="762">
      <c r="A762" s="631"/>
      <c r="B762" s="694"/>
      <c r="C762" s="694"/>
      <c r="D762" s="694"/>
      <c r="E762" s="694"/>
      <c r="F762" s="631"/>
      <c r="G762" s="631"/>
      <c r="H762" s="631"/>
      <c r="I762" s="660"/>
      <c r="J762" s="660"/>
      <c r="K762" s="693"/>
      <c r="L762" s="660"/>
      <c r="M762" s="660"/>
      <c r="N762" s="660"/>
      <c r="O762" s="631"/>
      <c r="P762" s="631"/>
      <c r="Q762" s="631"/>
      <c r="R762" s="631"/>
      <c r="S762" s="631"/>
      <c r="T762" s="631"/>
      <c r="U762" s="631"/>
      <c r="V762" s="631"/>
      <c r="W762" s="631"/>
      <c r="X762" s="631"/>
      <c r="Y762" s="631"/>
      <c r="Z762" s="631"/>
      <c r="AA762" s="631"/>
      <c r="AB762" s="631"/>
      <c r="AC762" s="631"/>
    </row>
    <row r="763">
      <c r="A763" s="631"/>
      <c r="B763" s="694"/>
      <c r="C763" s="694"/>
      <c r="D763" s="694"/>
      <c r="E763" s="694"/>
      <c r="F763" s="631"/>
      <c r="G763" s="631"/>
      <c r="H763" s="631"/>
      <c r="I763" s="660"/>
      <c r="J763" s="660"/>
      <c r="K763" s="693"/>
      <c r="L763" s="660"/>
      <c r="M763" s="660"/>
      <c r="N763" s="660"/>
      <c r="O763" s="631"/>
      <c r="P763" s="631"/>
      <c r="Q763" s="631"/>
      <c r="R763" s="631"/>
      <c r="S763" s="631"/>
      <c r="T763" s="631"/>
      <c r="U763" s="631"/>
      <c r="V763" s="631"/>
      <c r="W763" s="631"/>
      <c r="X763" s="631"/>
      <c r="Y763" s="631"/>
      <c r="Z763" s="631"/>
      <c r="AA763" s="631"/>
      <c r="AB763" s="631"/>
      <c r="AC763" s="631"/>
    </row>
    <row r="764">
      <c r="A764" s="631"/>
      <c r="B764" s="694"/>
      <c r="C764" s="694"/>
      <c r="D764" s="694"/>
      <c r="E764" s="694"/>
      <c r="F764" s="631"/>
      <c r="G764" s="631"/>
      <c r="H764" s="631"/>
      <c r="I764" s="660"/>
      <c r="J764" s="660"/>
      <c r="K764" s="693"/>
      <c r="L764" s="660"/>
      <c r="M764" s="660"/>
      <c r="N764" s="660"/>
      <c r="O764" s="631"/>
      <c r="P764" s="631"/>
      <c r="Q764" s="631"/>
      <c r="R764" s="631"/>
      <c r="S764" s="631"/>
      <c r="T764" s="631"/>
      <c r="U764" s="631"/>
      <c r="V764" s="631"/>
      <c r="W764" s="631"/>
      <c r="X764" s="631"/>
      <c r="Y764" s="631"/>
      <c r="Z764" s="631"/>
      <c r="AA764" s="631"/>
      <c r="AB764" s="631"/>
      <c r="AC764" s="631"/>
    </row>
    <row r="765">
      <c r="A765" s="631"/>
      <c r="B765" s="694"/>
      <c r="C765" s="694"/>
      <c r="D765" s="694"/>
      <c r="E765" s="694"/>
      <c r="F765" s="631"/>
      <c r="G765" s="631"/>
      <c r="H765" s="631"/>
      <c r="I765" s="660"/>
      <c r="J765" s="660"/>
      <c r="K765" s="693"/>
      <c r="L765" s="660"/>
      <c r="M765" s="660"/>
      <c r="N765" s="660"/>
      <c r="O765" s="631"/>
      <c r="P765" s="631"/>
      <c r="Q765" s="631"/>
      <c r="R765" s="631"/>
      <c r="S765" s="631"/>
      <c r="T765" s="631"/>
      <c r="U765" s="631"/>
      <c r="V765" s="631"/>
      <c r="W765" s="631"/>
      <c r="X765" s="631"/>
      <c r="Y765" s="631"/>
      <c r="Z765" s="631"/>
      <c r="AA765" s="631"/>
      <c r="AB765" s="631"/>
      <c r="AC765" s="631"/>
    </row>
    <row r="766">
      <c r="A766" s="631"/>
      <c r="B766" s="694"/>
      <c r="C766" s="694"/>
      <c r="D766" s="694"/>
      <c r="E766" s="694"/>
      <c r="F766" s="631"/>
      <c r="G766" s="631"/>
      <c r="H766" s="631"/>
      <c r="I766" s="660"/>
      <c r="J766" s="660"/>
      <c r="K766" s="693"/>
      <c r="L766" s="660"/>
      <c r="M766" s="660"/>
      <c r="N766" s="660"/>
      <c r="O766" s="631"/>
      <c r="P766" s="631"/>
      <c r="Q766" s="631"/>
      <c r="R766" s="631"/>
      <c r="S766" s="631"/>
      <c r="T766" s="631"/>
      <c r="U766" s="631"/>
      <c r="V766" s="631"/>
      <c r="W766" s="631"/>
      <c r="X766" s="631"/>
      <c r="Y766" s="631"/>
      <c r="Z766" s="631"/>
      <c r="AA766" s="631"/>
      <c r="AB766" s="631"/>
      <c r="AC766" s="631"/>
    </row>
    <row r="767">
      <c r="A767" s="631"/>
      <c r="B767" s="694"/>
      <c r="C767" s="694"/>
      <c r="D767" s="694"/>
      <c r="E767" s="694"/>
      <c r="F767" s="631"/>
      <c r="G767" s="631"/>
      <c r="H767" s="631"/>
      <c r="I767" s="660"/>
      <c r="J767" s="660"/>
      <c r="K767" s="693"/>
      <c r="L767" s="660"/>
      <c r="M767" s="660"/>
      <c r="N767" s="660"/>
      <c r="O767" s="631"/>
      <c r="P767" s="631"/>
      <c r="Q767" s="631"/>
      <c r="R767" s="631"/>
      <c r="S767" s="631"/>
      <c r="T767" s="631"/>
      <c r="U767" s="631"/>
      <c r="V767" s="631"/>
      <c r="W767" s="631"/>
      <c r="X767" s="631"/>
      <c r="Y767" s="631"/>
      <c r="Z767" s="631"/>
      <c r="AA767" s="631"/>
      <c r="AB767" s="631"/>
      <c r="AC767" s="631"/>
    </row>
    <row r="768">
      <c r="A768" s="631"/>
      <c r="B768" s="694"/>
      <c r="C768" s="694"/>
      <c r="D768" s="694"/>
      <c r="E768" s="694"/>
      <c r="F768" s="631"/>
      <c r="G768" s="631"/>
      <c r="H768" s="631"/>
      <c r="I768" s="660"/>
      <c r="J768" s="660"/>
      <c r="K768" s="693"/>
      <c r="L768" s="660"/>
      <c r="M768" s="660"/>
      <c r="N768" s="660"/>
      <c r="O768" s="631"/>
      <c r="P768" s="631"/>
      <c r="Q768" s="631"/>
      <c r="R768" s="631"/>
      <c r="S768" s="631"/>
      <c r="T768" s="631"/>
      <c r="U768" s="631"/>
      <c r="V768" s="631"/>
      <c r="W768" s="631"/>
      <c r="X768" s="631"/>
      <c r="Y768" s="631"/>
      <c r="Z768" s="631"/>
      <c r="AA768" s="631"/>
      <c r="AB768" s="631"/>
      <c r="AC768" s="631"/>
    </row>
    <row r="769">
      <c r="A769" s="631"/>
      <c r="B769" s="694"/>
      <c r="C769" s="694"/>
      <c r="D769" s="694"/>
      <c r="E769" s="694"/>
      <c r="F769" s="631"/>
      <c r="G769" s="631"/>
      <c r="H769" s="631"/>
      <c r="I769" s="660"/>
      <c r="J769" s="660"/>
      <c r="K769" s="693"/>
      <c r="L769" s="660"/>
      <c r="M769" s="660"/>
      <c r="N769" s="660"/>
      <c r="O769" s="631"/>
      <c r="P769" s="631"/>
      <c r="Q769" s="631"/>
      <c r="R769" s="631"/>
      <c r="S769" s="631"/>
      <c r="T769" s="631"/>
      <c r="U769" s="631"/>
      <c r="V769" s="631"/>
      <c r="W769" s="631"/>
      <c r="X769" s="631"/>
      <c r="Y769" s="631"/>
      <c r="Z769" s="631"/>
      <c r="AA769" s="631"/>
      <c r="AB769" s="631"/>
      <c r="AC769" s="631"/>
    </row>
    <row r="770">
      <c r="A770" s="631"/>
      <c r="B770" s="694"/>
      <c r="C770" s="694"/>
      <c r="D770" s="694"/>
      <c r="E770" s="694"/>
      <c r="F770" s="631"/>
      <c r="G770" s="631"/>
      <c r="H770" s="631"/>
      <c r="I770" s="660"/>
      <c r="J770" s="660"/>
      <c r="K770" s="693"/>
      <c r="L770" s="660"/>
      <c r="M770" s="660"/>
      <c r="N770" s="660"/>
      <c r="O770" s="631"/>
      <c r="P770" s="631"/>
      <c r="Q770" s="631"/>
      <c r="R770" s="631"/>
      <c r="S770" s="631"/>
      <c r="T770" s="631"/>
      <c r="U770" s="631"/>
      <c r="V770" s="631"/>
      <c r="W770" s="631"/>
      <c r="X770" s="631"/>
      <c r="Y770" s="631"/>
      <c r="Z770" s="631"/>
      <c r="AA770" s="631"/>
      <c r="AB770" s="631"/>
      <c r="AC770" s="631"/>
    </row>
    <row r="771">
      <c r="A771" s="631"/>
      <c r="B771" s="694"/>
      <c r="C771" s="694"/>
      <c r="D771" s="694"/>
      <c r="E771" s="694"/>
      <c r="F771" s="631"/>
      <c r="G771" s="631"/>
      <c r="H771" s="631"/>
      <c r="I771" s="660"/>
      <c r="J771" s="660"/>
      <c r="K771" s="693"/>
      <c r="L771" s="660"/>
      <c r="M771" s="660"/>
      <c r="N771" s="660"/>
      <c r="O771" s="631"/>
      <c r="P771" s="631"/>
      <c r="Q771" s="631"/>
      <c r="R771" s="631"/>
      <c r="S771" s="631"/>
      <c r="T771" s="631"/>
      <c r="U771" s="631"/>
      <c r="V771" s="631"/>
      <c r="W771" s="631"/>
      <c r="X771" s="631"/>
      <c r="Y771" s="631"/>
      <c r="Z771" s="631"/>
      <c r="AA771" s="631"/>
      <c r="AB771" s="631"/>
      <c r="AC771" s="631"/>
    </row>
    <row r="772">
      <c r="A772" s="631"/>
      <c r="B772" s="694"/>
      <c r="C772" s="694"/>
      <c r="D772" s="694"/>
      <c r="E772" s="694"/>
      <c r="F772" s="631"/>
      <c r="G772" s="631"/>
      <c r="H772" s="631"/>
      <c r="I772" s="660"/>
      <c r="J772" s="660"/>
      <c r="K772" s="693"/>
      <c r="L772" s="660"/>
      <c r="M772" s="660"/>
      <c r="N772" s="660"/>
      <c r="O772" s="631"/>
      <c r="P772" s="631"/>
      <c r="Q772" s="631"/>
      <c r="R772" s="631"/>
      <c r="S772" s="631"/>
      <c r="T772" s="631"/>
      <c r="U772" s="631"/>
      <c r="V772" s="631"/>
      <c r="W772" s="631"/>
      <c r="X772" s="631"/>
      <c r="Y772" s="631"/>
      <c r="Z772" s="631"/>
      <c r="AA772" s="631"/>
      <c r="AB772" s="631"/>
      <c r="AC772" s="631"/>
    </row>
    <row r="773">
      <c r="A773" s="631"/>
      <c r="B773" s="694"/>
      <c r="C773" s="694"/>
      <c r="D773" s="694"/>
      <c r="E773" s="694"/>
      <c r="F773" s="631"/>
      <c r="G773" s="631"/>
      <c r="H773" s="631"/>
      <c r="I773" s="579"/>
      <c r="J773" s="579"/>
      <c r="K773" s="694"/>
      <c r="L773" s="579"/>
      <c r="M773" s="579"/>
      <c r="N773" s="579"/>
      <c r="O773" s="631"/>
      <c r="P773" s="631"/>
      <c r="Q773" s="631"/>
      <c r="R773" s="631"/>
      <c r="S773" s="631"/>
      <c r="T773" s="631"/>
      <c r="U773" s="631"/>
      <c r="V773" s="631"/>
      <c r="W773" s="631"/>
      <c r="X773" s="631"/>
      <c r="Y773" s="631"/>
      <c r="Z773" s="631"/>
      <c r="AA773" s="631"/>
      <c r="AB773" s="631"/>
      <c r="AC773" s="631"/>
    </row>
    <row r="774">
      <c r="A774" s="631"/>
      <c r="B774" s="694"/>
      <c r="C774" s="694"/>
      <c r="D774" s="694"/>
      <c r="E774" s="694"/>
      <c r="F774" s="631"/>
      <c r="G774" s="631"/>
      <c r="H774" s="631"/>
      <c r="I774" s="579"/>
      <c r="J774" s="579"/>
      <c r="K774" s="694"/>
      <c r="L774" s="579"/>
      <c r="M774" s="579"/>
      <c r="N774" s="579"/>
      <c r="O774" s="631"/>
      <c r="P774" s="631"/>
      <c r="Q774" s="631"/>
      <c r="R774" s="631"/>
      <c r="S774" s="631"/>
      <c r="T774" s="631"/>
      <c r="U774" s="631"/>
      <c r="V774" s="631"/>
      <c r="W774" s="631"/>
      <c r="X774" s="631"/>
      <c r="Y774" s="631"/>
      <c r="Z774" s="631"/>
      <c r="AA774" s="631"/>
      <c r="AB774" s="631"/>
      <c r="AC774" s="631"/>
    </row>
    <row r="775">
      <c r="A775" s="631"/>
      <c r="B775" s="694"/>
      <c r="C775" s="694"/>
      <c r="D775" s="694"/>
      <c r="E775" s="694"/>
      <c r="F775" s="631"/>
      <c r="G775" s="631"/>
      <c r="H775" s="631"/>
      <c r="I775" s="579"/>
      <c r="J775" s="579"/>
      <c r="K775" s="694"/>
      <c r="L775" s="579"/>
      <c r="M775" s="579"/>
      <c r="N775" s="579"/>
      <c r="O775" s="631"/>
      <c r="P775" s="631"/>
      <c r="Q775" s="631"/>
      <c r="R775" s="631"/>
      <c r="S775" s="631"/>
      <c r="T775" s="631"/>
      <c r="U775" s="631"/>
      <c r="V775" s="631"/>
      <c r="W775" s="631"/>
      <c r="X775" s="631"/>
      <c r="Y775" s="631"/>
      <c r="Z775" s="631"/>
      <c r="AA775" s="631"/>
      <c r="AB775" s="631"/>
      <c r="AC775" s="631"/>
    </row>
    <row r="776">
      <c r="A776" s="631"/>
      <c r="B776" s="694"/>
      <c r="C776" s="694"/>
      <c r="D776" s="694"/>
      <c r="E776" s="694"/>
      <c r="F776" s="631"/>
      <c r="G776" s="631"/>
      <c r="H776" s="631"/>
      <c r="I776" s="579"/>
      <c r="J776" s="579"/>
      <c r="K776" s="694"/>
      <c r="L776" s="579"/>
      <c r="M776" s="579"/>
      <c r="N776" s="579"/>
      <c r="O776" s="631"/>
      <c r="P776" s="631"/>
      <c r="Q776" s="631"/>
      <c r="R776" s="631"/>
      <c r="S776" s="631"/>
      <c r="T776" s="631"/>
      <c r="U776" s="631"/>
      <c r="V776" s="631"/>
      <c r="W776" s="631"/>
      <c r="X776" s="631"/>
      <c r="Y776" s="631"/>
      <c r="Z776" s="631"/>
      <c r="AA776" s="631"/>
      <c r="AB776" s="631"/>
      <c r="AC776" s="631"/>
    </row>
    <row r="777">
      <c r="A777" s="631"/>
      <c r="B777" s="694"/>
      <c r="C777" s="694"/>
      <c r="D777" s="694"/>
      <c r="E777" s="694"/>
      <c r="F777" s="631"/>
      <c r="G777" s="631"/>
      <c r="H777" s="631"/>
      <c r="I777" s="579"/>
      <c r="J777" s="579"/>
      <c r="K777" s="694"/>
      <c r="L777" s="579"/>
      <c r="M777" s="579"/>
      <c r="N777" s="579"/>
      <c r="O777" s="631"/>
      <c r="P777" s="631"/>
      <c r="Q777" s="631"/>
      <c r="R777" s="631"/>
      <c r="S777" s="631"/>
      <c r="T777" s="631"/>
      <c r="U777" s="631"/>
      <c r="V777" s="631"/>
      <c r="W777" s="631"/>
      <c r="X777" s="631"/>
      <c r="Y777" s="631"/>
      <c r="Z777" s="631"/>
      <c r="AA777" s="631"/>
      <c r="AB777" s="631"/>
      <c r="AC777" s="631"/>
    </row>
    <row r="778">
      <c r="A778" s="631"/>
      <c r="B778" s="694"/>
      <c r="C778" s="694"/>
      <c r="D778" s="694"/>
      <c r="E778" s="694"/>
      <c r="F778" s="631"/>
      <c r="G778" s="631"/>
      <c r="H778" s="631"/>
      <c r="I778" s="579"/>
      <c r="J778" s="579"/>
      <c r="K778" s="694"/>
      <c r="L778" s="579"/>
      <c r="M778" s="579"/>
      <c r="N778" s="579"/>
      <c r="O778" s="631"/>
      <c r="P778" s="631"/>
      <c r="Q778" s="631"/>
      <c r="R778" s="631"/>
      <c r="S778" s="631"/>
      <c r="T778" s="631"/>
      <c r="U778" s="631"/>
      <c r="V778" s="631"/>
      <c r="W778" s="631"/>
      <c r="X778" s="631"/>
      <c r="Y778" s="631"/>
      <c r="Z778" s="631"/>
      <c r="AA778" s="631"/>
      <c r="AB778" s="631"/>
      <c r="AC778" s="631"/>
    </row>
    <row r="779">
      <c r="A779" s="631"/>
      <c r="B779" s="694"/>
      <c r="C779" s="694"/>
      <c r="D779" s="694"/>
      <c r="E779" s="694"/>
      <c r="F779" s="631"/>
      <c r="G779" s="631"/>
      <c r="H779" s="631"/>
      <c r="I779" s="579"/>
      <c r="J779" s="579"/>
      <c r="K779" s="694"/>
      <c r="L779" s="579"/>
      <c r="M779" s="579"/>
      <c r="N779" s="579"/>
      <c r="O779" s="631"/>
      <c r="P779" s="631"/>
      <c r="Q779" s="631"/>
      <c r="R779" s="631"/>
      <c r="S779" s="631"/>
      <c r="T779" s="631"/>
      <c r="U779" s="631"/>
      <c r="V779" s="631"/>
      <c r="W779" s="631"/>
      <c r="X779" s="631"/>
      <c r="Y779" s="631"/>
      <c r="Z779" s="631"/>
      <c r="AA779" s="631"/>
      <c r="AB779" s="631"/>
      <c r="AC779" s="631"/>
    </row>
    <row r="780">
      <c r="A780" s="631"/>
      <c r="B780" s="694"/>
      <c r="C780" s="694"/>
      <c r="D780" s="694"/>
      <c r="E780" s="694"/>
      <c r="F780" s="631"/>
      <c r="G780" s="631"/>
      <c r="H780" s="631"/>
      <c r="I780" s="579"/>
      <c r="J780" s="579"/>
      <c r="K780" s="694"/>
      <c r="L780" s="579"/>
      <c r="M780" s="579"/>
      <c r="N780" s="579"/>
      <c r="O780" s="631"/>
      <c r="P780" s="631"/>
      <c r="Q780" s="631"/>
      <c r="R780" s="631"/>
      <c r="S780" s="631"/>
      <c r="T780" s="631"/>
      <c r="U780" s="631"/>
      <c r="V780" s="631"/>
      <c r="W780" s="631"/>
      <c r="X780" s="631"/>
      <c r="Y780" s="631"/>
      <c r="Z780" s="631"/>
      <c r="AA780" s="631"/>
      <c r="AB780" s="631"/>
      <c r="AC780" s="631"/>
    </row>
    <row r="781">
      <c r="A781" s="631"/>
      <c r="B781" s="694"/>
      <c r="C781" s="694"/>
      <c r="D781" s="694"/>
      <c r="E781" s="694"/>
      <c r="F781" s="631"/>
      <c r="G781" s="631"/>
      <c r="H781" s="631"/>
      <c r="I781" s="579"/>
      <c r="J781" s="579"/>
      <c r="K781" s="694"/>
      <c r="L781" s="579"/>
      <c r="M781" s="579"/>
      <c r="N781" s="579"/>
      <c r="O781" s="631"/>
      <c r="P781" s="631"/>
      <c r="Q781" s="631"/>
      <c r="R781" s="631"/>
      <c r="S781" s="631"/>
      <c r="T781" s="631"/>
      <c r="U781" s="631"/>
      <c r="V781" s="631"/>
      <c r="W781" s="631"/>
      <c r="X781" s="631"/>
      <c r="Y781" s="631"/>
      <c r="Z781" s="631"/>
      <c r="AA781" s="631"/>
      <c r="AB781" s="631"/>
      <c r="AC781" s="631"/>
    </row>
    <row r="782">
      <c r="A782" s="631"/>
      <c r="B782" s="694"/>
      <c r="C782" s="694"/>
      <c r="D782" s="694"/>
      <c r="E782" s="694"/>
      <c r="F782" s="631"/>
      <c r="G782" s="631"/>
      <c r="H782" s="631"/>
      <c r="I782" s="579"/>
      <c r="J782" s="579"/>
      <c r="K782" s="694"/>
      <c r="L782" s="579"/>
      <c r="M782" s="579"/>
      <c r="N782" s="579"/>
      <c r="O782" s="631"/>
      <c r="P782" s="631"/>
      <c r="Q782" s="631"/>
      <c r="R782" s="631"/>
      <c r="S782" s="631"/>
      <c r="T782" s="631"/>
      <c r="U782" s="631"/>
      <c r="V782" s="631"/>
      <c r="W782" s="631"/>
      <c r="X782" s="631"/>
      <c r="Y782" s="631"/>
      <c r="Z782" s="631"/>
      <c r="AA782" s="631"/>
      <c r="AB782" s="631"/>
      <c r="AC782" s="631"/>
    </row>
    <row r="783">
      <c r="A783" s="631"/>
      <c r="B783" s="694"/>
      <c r="C783" s="694"/>
      <c r="D783" s="694"/>
      <c r="E783" s="694"/>
      <c r="F783" s="631"/>
      <c r="G783" s="631"/>
      <c r="H783" s="631"/>
      <c r="I783" s="579"/>
      <c r="J783" s="579"/>
      <c r="K783" s="694"/>
      <c r="L783" s="579"/>
      <c r="M783" s="579"/>
      <c r="N783" s="579"/>
      <c r="O783" s="631"/>
      <c r="P783" s="631"/>
      <c r="Q783" s="631"/>
      <c r="R783" s="631"/>
      <c r="S783" s="631"/>
      <c r="T783" s="631"/>
      <c r="U783" s="631"/>
      <c r="V783" s="631"/>
      <c r="W783" s="631"/>
      <c r="X783" s="631"/>
      <c r="Y783" s="631"/>
      <c r="Z783" s="631"/>
      <c r="AA783" s="631"/>
      <c r="AB783" s="631"/>
      <c r="AC783" s="631"/>
    </row>
    <row r="784">
      <c r="A784" s="631"/>
      <c r="B784" s="694"/>
      <c r="C784" s="694"/>
      <c r="D784" s="694"/>
      <c r="E784" s="694"/>
      <c r="F784" s="631"/>
      <c r="G784" s="631"/>
      <c r="H784" s="631"/>
      <c r="I784" s="579"/>
      <c r="J784" s="579"/>
      <c r="K784" s="694"/>
      <c r="L784" s="579"/>
      <c r="M784" s="579"/>
      <c r="N784" s="579"/>
      <c r="O784" s="631"/>
      <c r="P784" s="631"/>
      <c r="Q784" s="631"/>
      <c r="R784" s="631"/>
      <c r="S784" s="631"/>
      <c r="T784" s="631"/>
      <c r="U784" s="631"/>
      <c r="V784" s="631"/>
      <c r="W784" s="631"/>
      <c r="X784" s="631"/>
      <c r="Y784" s="631"/>
      <c r="Z784" s="631"/>
      <c r="AA784" s="631"/>
      <c r="AB784" s="631"/>
      <c r="AC784" s="631"/>
    </row>
    <row r="785">
      <c r="A785" s="631"/>
      <c r="B785" s="694"/>
      <c r="C785" s="694"/>
      <c r="D785" s="694"/>
      <c r="E785" s="694"/>
      <c r="F785" s="631"/>
      <c r="G785" s="631"/>
      <c r="H785" s="631"/>
      <c r="I785" s="579"/>
      <c r="J785" s="579"/>
      <c r="K785" s="694"/>
      <c r="L785" s="579"/>
      <c r="M785" s="579"/>
      <c r="N785" s="579"/>
      <c r="O785" s="631"/>
      <c r="P785" s="631"/>
      <c r="Q785" s="631"/>
      <c r="R785" s="631"/>
      <c r="S785" s="631"/>
      <c r="T785" s="631"/>
      <c r="U785" s="631"/>
      <c r="V785" s="631"/>
      <c r="W785" s="631"/>
      <c r="X785" s="631"/>
      <c r="Y785" s="631"/>
      <c r="Z785" s="631"/>
      <c r="AA785" s="631"/>
      <c r="AB785" s="631"/>
      <c r="AC785" s="631"/>
    </row>
    <row r="786">
      <c r="A786" s="631"/>
      <c r="B786" s="694"/>
      <c r="C786" s="694"/>
      <c r="D786" s="694"/>
      <c r="E786" s="694"/>
      <c r="F786" s="631"/>
      <c r="G786" s="631"/>
      <c r="H786" s="631"/>
      <c r="I786" s="579"/>
      <c r="J786" s="579"/>
      <c r="K786" s="694"/>
      <c r="L786" s="579"/>
      <c r="M786" s="579"/>
      <c r="N786" s="579"/>
      <c r="O786" s="631"/>
      <c r="P786" s="631"/>
      <c r="Q786" s="631"/>
      <c r="R786" s="631"/>
      <c r="S786" s="631"/>
      <c r="T786" s="631"/>
      <c r="U786" s="631"/>
      <c r="V786" s="631"/>
      <c r="W786" s="631"/>
      <c r="X786" s="631"/>
      <c r="Y786" s="631"/>
      <c r="Z786" s="631"/>
      <c r="AA786" s="631"/>
      <c r="AB786" s="631"/>
      <c r="AC786" s="631"/>
    </row>
    <row r="787">
      <c r="A787" s="631"/>
      <c r="B787" s="694"/>
      <c r="C787" s="694"/>
      <c r="D787" s="694"/>
      <c r="E787" s="694"/>
      <c r="F787" s="631"/>
      <c r="G787" s="631"/>
      <c r="H787" s="631"/>
      <c r="I787" s="579"/>
      <c r="J787" s="579"/>
      <c r="K787" s="694"/>
      <c r="L787" s="579"/>
      <c r="M787" s="579"/>
      <c r="N787" s="579"/>
      <c r="O787" s="631"/>
      <c r="P787" s="631"/>
      <c r="Q787" s="631"/>
      <c r="R787" s="631"/>
      <c r="S787" s="631"/>
      <c r="T787" s="631"/>
      <c r="U787" s="631"/>
      <c r="V787" s="631"/>
      <c r="W787" s="631"/>
      <c r="X787" s="631"/>
      <c r="Y787" s="631"/>
      <c r="Z787" s="631"/>
      <c r="AA787" s="631"/>
      <c r="AB787" s="631"/>
      <c r="AC787" s="631"/>
    </row>
    <row r="788">
      <c r="A788" s="631"/>
      <c r="B788" s="694"/>
      <c r="C788" s="694"/>
      <c r="D788" s="694"/>
      <c r="E788" s="694"/>
      <c r="F788" s="631"/>
      <c r="G788" s="631"/>
      <c r="H788" s="631"/>
      <c r="I788" s="579"/>
      <c r="J788" s="579"/>
      <c r="K788" s="694"/>
      <c r="L788" s="579"/>
      <c r="M788" s="579"/>
      <c r="N788" s="579"/>
      <c r="O788" s="631"/>
      <c r="P788" s="631"/>
      <c r="Q788" s="631"/>
      <c r="R788" s="631"/>
      <c r="S788" s="631"/>
      <c r="T788" s="631"/>
      <c r="U788" s="631"/>
      <c r="V788" s="631"/>
      <c r="W788" s="631"/>
      <c r="X788" s="631"/>
      <c r="Y788" s="631"/>
      <c r="Z788" s="631"/>
      <c r="AA788" s="631"/>
      <c r="AB788" s="631"/>
      <c r="AC788" s="631"/>
    </row>
    <row r="789">
      <c r="A789" s="631"/>
      <c r="B789" s="694"/>
      <c r="C789" s="694"/>
      <c r="D789" s="694"/>
      <c r="E789" s="694"/>
      <c r="F789" s="631"/>
      <c r="G789" s="631"/>
      <c r="H789" s="631"/>
      <c r="I789" s="579"/>
      <c r="J789" s="579"/>
      <c r="K789" s="694"/>
      <c r="L789" s="579"/>
      <c r="M789" s="579"/>
      <c r="N789" s="579"/>
      <c r="O789" s="631"/>
      <c r="P789" s="631"/>
      <c r="Q789" s="631"/>
      <c r="R789" s="631"/>
      <c r="S789" s="631"/>
      <c r="T789" s="631"/>
      <c r="U789" s="631"/>
      <c r="V789" s="631"/>
      <c r="W789" s="631"/>
      <c r="X789" s="631"/>
      <c r="Y789" s="631"/>
      <c r="Z789" s="631"/>
      <c r="AA789" s="631"/>
      <c r="AB789" s="631"/>
      <c r="AC789" s="631"/>
    </row>
    <row r="790">
      <c r="A790" s="631"/>
      <c r="B790" s="694"/>
      <c r="C790" s="694"/>
      <c r="D790" s="694"/>
      <c r="E790" s="694"/>
      <c r="F790" s="631"/>
      <c r="G790" s="631"/>
      <c r="H790" s="631"/>
      <c r="I790" s="579"/>
      <c r="J790" s="579"/>
      <c r="K790" s="694"/>
      <c r="L790" s="579"/>
      <c r="M790" s="579"/>
      <c r="N790" s="579"/>
      <c r="O790" s="631"/>
      <c r="P790" s="631"/>
      <c r="Q790" s="631"/>
      <c r="R790" s="631"/>
      <c r="S790" s="631"/>
      <c r="T790" s="631"/>
      <c r="U790" s="631"/>
      <c r="V790" s="631"/>
      <c r="W790" s="631"/>
      <c r="X790" s="631"/>
      <c r="Y790" s="631"/>
      <c r="Z790" s="631"/>
      <c r="AA790" s="631"/>
      <c r="AB790" s="631"/>
      <c r="AC790" s="631"/>
    </row>
    <row r="791">
      <c r="A791" s="631"/>
      <c r="B791" s="694"/>
      <c r="C791" s="694"/>
      <c r="D791" s="694"/>
      <c r="E791" s="694"/>
      <c r="F791" s="631"/>
      <c r="G791" s="631"/>
      <c r="H791" s="631"/>
      <c r="I791" s="579"/>
      <c r="J791" s="579"/>
      <c r="K791" s="694"/>
      <c r="L791" s="579"/>
      <c r="M791" s="579"/>
      <c r="N791" s="579"/>
      <c r="O791" s="631"/>
      <c r="P791" s="631"/>
      <c r="Q791" s="631"/>
      <c r="R791" s="631"/>
      <c r="S791" s="631"/>
      <c r="T791" s="631"/>
      <c r="U791" s="631"/>
      <c r="V791" s="631"/>
      <c r="W791" s="631"/>
      <c r="X791" s="631"/>
      <c r="Y791" s="631"/>
      <c r="Z791" s="631"/>
      <c r="AA791" s="631"/>
      <c r="AB791" s="631"/>
      <c r="AC791" s="631"/>
    </row>
    <row r="792">
      <c r="A792" s="631"/>
      <c r="B792" s="694"/>
      <c r="C792" s="694"/>
      <c r="D792" s="694"/>
      <c r="E792" s="694"/>
      <c r="F792" s="631"/>
      <c r="G792" s="631"/>
      <c r="H792" s="631"/>
      <c r="I792" s="579"/>
      <c r="J792" s="579"/>
      <c r="K792" s="694"/>
      <c r="L792" s="579"/>
      <c r="M792" s="579"/>
      <c r="N792" s="579"/>
      <c r="O792" s="631"/>
      <c r="P792" s="631"/>
      <c r="Q792" s="631"/>
      <c r="R792" s="631"/>
      <c r="S792" s="631"/>
      <c r="T792" s="631"/>
      <c r="U792" s="631"/>
      <c r="V792" s="631"/>
      <c r="W792" s="631"/>
      <c r="X792" s="631"/>
      <c r="Y792" s="631"/>
      <c r="Z792" s="631"/>
      <c r="AA792" s="631"/>
      <c r="AB792" s="631"/>
      <c r="AC792" s="631"/>
    </row>
    <row r="793">
      <c r="A793" s="631"/>
      <c r="B793" s="694"/>
      <c r="C793" s="694"/>
      <c r="D793" s="694"/>
      <c r="E793" s="694"/>
      <c r="F793" s="631"/>
      <c r="G793" s="631"/>
      <c r="H793" s="631"/>
      <c r="I793" s="579"/>
      <c r="J793" s="579"/>
      <c r="K793" s="694"/>
      <c r="L793" s="579"/>
      <c r="M793" s="579"/>
      <c r="N793" s="579"/>
      <c r="O793" s="631"/>
      <c r="P793" s="631"/>
      <c r="Q793" s="631"/>
      <c r="R793" s="631"/>
      <c r="S793" s="631"/>
      <c r="T793" s="631"/>
      <c r="U793" s="631"/>
      <c r="V793" s="631"/>
      <c r="W793" s="631"/>
      <c r="X793" s="631"/>
      <c r="Y793" s="631"/>
      <c r="Z793" s="631"/>
      <c r="AA793" s="631"/>
      <c r="AB793" s="631"/>
      <c r="AC793" s="631"/>
    </row>
    <row r="794">
      <c r="A794" s="631"/>
      <c r="B794" s="694"/>
      <c r="C794" s="694"/>
      <c r="D794" s="694"/>
      <c r="E794" s="694"/>
      <c r="F794" s="631"/>
      <c r="G794" s="631"/>
      <c r="H794" s="631"/>
      <c r="I794" s="579"/>
      <c r="J794" s="579"/>
      <c r="K794" s="694"/>
      <c r="L794" s="579"/>
      <c r="M794" s="579"/>
      <c r="N794" s="579"/>
      <c r="O794" s="631"/>
      <c r="P794" s="631"/>
      <c r="Q794" s="631"/>
      <c r="R794" s="631"/>
      <c r="S794" s="631"/>
      <c r="T794" s="631"/>
      <c r="U794" s="631"/>
      <c r="V794" s="631"/>
      <c r="W794" s="631"/>
      <c r="X794" s="631"/>
      <c r="Y794" s="631"/>
      <c r="Z794" s="631"/>
      <c r="AA794" s="631"/>
      <c r="AB794" s="631"/>
      <c r="AC794" s="631"/>
    </row>
    <row r="795">
      <c r="A795" s="631"/>
      <c r="B795" s="694"/>
      <c r="C795" s="694"/>
      <c r="D795" s="694"/>
      <c r="E795" s="694"/>
      <c r="F795" s="631"/>
      <c r="G795" s="631"/>
      <c r="H795" s="631"/>
      <c r="I795" s="579"/>
      <c r="J795" s="579"/>
      <c r="K795" s="694"/>
      <c r="L795" s="579"/>
      <c r="M795" s="579"/>
      <c r="N795" s="579"/>
      <c r="O795" s="631"/>
      <c r="P795" s="631"/>
      <c r="Q795" s="631"/>
      <c r="R795" s="631"/>
      <c r="S795" s="631"/>
      <c r="T795" s="631"/>
      <c r="U795" s="631"/>
      <c r="V795" s="631"/>
      <c r="W795" s="631"/>
      <c r="X795" s="631"/>
      <c r="Y795" s="631"/>
      <c r="Z795" s="631"/>
      <c r="AA795" s="631"/>
      <c r="AB795" s="631"/>
      <c r="AC795" s="631"/>
    </row>
    <row r="796">
      <c r="A796" s="631"/>
      <c r="B796" s="694"/>
      <c r="C796" s="694"/>
      <c r="D796" s="694"/>
      <c r="E796" s="694"/>
      <c r="F796" s="631"/>
      <c r="G796" s="631"/>
      <c r="H796" s="631"/>
      <c r="I796" s="579"/>
      <c r="J796" s="579"/>
      <c r="K796" s="694"/>
      <c r="L796" s="579"/>
      <c r="M796" s="579"/>
      <c r="N796" s="579"/>
      <c r="O796" s="631"/>
      <c r="P796" s="631"/>
      <c r="Q796" s="631"/>
      <c r="R796" s="631"/>
      <c r="S796" s="631"/>
      <c r="T796" s="631"/>
      <c r="U796" s="631"/>
      <c r="V796" s="631"/>
      <c r="W796" s="631"/>
      <c r="X796" s="631"/>
      <c r="Y796" s="631"/>
      <c r="Z796" s="631"/>
      <c r="AA796" s="631"/>
      <c r="AB796" s="631"/>
      <c r="AC796" s="631"/>
    </row>
    <row r="797">
      <c r="A797" s="631"/>
      <c r="B797" s="694"/>
      <c r="C797" s="694"/>
      <c r="D797" s="694"/>
      <c r="E797" s="694"/>
      <c r="F797" s="631"/>
      <c r="G797" s="631"/>
      <c r="H797" s="631"/>
      <c r="I797" s="579"/>
      <c r="J797" s="579"/>
      <c r="K797" s="694"/>
      <c r="L797" s="579"/>
      <c r="M797" s="579"/>
      <c r="N797" s="579"/>
      <c r="O797" s="631"/>
      <c r="P797" s="631"/>
      <c r="Q797" s="631"/>
      <c r="R797" s="631"/>
      <c r="S797" s="631"/>
      <c r="T797" s="631"/>
      <c r="U797" s="631"/>
      <c r="V797" s="631"/>
      <c r="W797" s="631"/>
      <c r="X797" s="631"/>
      <c r="Y797" s="631"/>
      <c r="Z797" s="631"/>
      <c r="AA797" s="631"/>
      <c r="AB797" s="631"/>
      <c r="AC797" s="631"/>
    </row>
    <row r="798">
      <c r="A798" s="631"/>
      <c r="B798" s="694"/>
      <c r="C798" s="694"/>
      <c r="D798" s="694"/>
      <c r="E798" s="694"/>
      <c r="F798" s="631"/>
      <c r="G798" s="631"/>
      <c r="H798" s="631"/>
      <c r="I798" s="579"/>
      <c r="J798" s="579"/>
      <c r="K798" s="694"/>
      <c r="L798" s="579"/>
      <c r="M798" s="579"/>
      <c r="N798" s="579"/>
      <c r="O798" s="631"/>
      <c r="P798" s="631"/>
      <c r="Q798" s="631"/>
      <c r="R798" s="631"/>
      <c r="S798" s="631"/>
      <c r="T798" s="631"/>
      <c r="U798" s="631"/>
      <c r="V798" s="631"/>
      <c r="W798" s="631"/>
      <c r="X798" s="631"/>
      <c r="Y798" s="631"/>
      <c r="Z798" s="631"/>
      <c r="AA798" s="631"/>
      <c r="AB798" s="631"/>
      <c r="AC798" s="631"/>
    </row>
    <row r="799">
      <c r="A799" s="631"/>
      <c r="B799" s="694"/>
      <c r="C799" s="694"/>
      <c r="D799" s="694"/>
      <c r="E799" s="694"/>
      <c r="F799" s="631"/>
      <c r="G799" s="631"/>
      <c r="H799" s="631"/>
      <c r="I799" s="579"/>
      <c r="J799" s="579"/>
      <c r="K799" s="694"/>
      <c r="L799" s="579"/>
      <c r="M799" s="579"/>
      <c r="N799" s="579"/>
      <c r="O799" s="631"/>
      <c r="P799" s="631"/>
      <c r="Q799" s="631"/>
      <c r="R799" s="631"/>
      <c r="S799" s="631"/>
      <c r="T799" s="631"/>
      <c r="U799" s="631"/>
      <c r="V799" s="631"/>
      <c r="W799" s="631"/>
      <c r="X799" s="631"/>
      <c r="Y799" s="631"/>
      <c r="Z799" s="631"/>
      <c r="AA799" s="631"/>
      <c r="AB799" s="631"/>
      <c r="AC799" s="631"/>
    </row>
    <row r="800">
      <c r="A800" s="631"/>
      <c r="B800" s="694"/>
      <c r="C800" s="694"/>
      <c r="D800" s="694"/>
      <c r="E800" s="694"/>
      <c r="F800" s="631"/>
      <c r="G800" s="631"/>
      <c r="H800" s="631"/>
      <c r="I800" s="579"/>
      <c r="J800" s="579"/>
      <c r="K800" s="694"/>
      <c r="L800" s="579"/>
      <c r="M800" s="579"/>
      <c r="N800" s="579"/>
      <c r="O800" s="631"/>
      <c r="P800" s="631"/>
      <c r="Q800" s="631"/>
      <c r="R800" s="631"/>
      <c r="S800" s="631"/>
      <c r="T800" s="631"/>
      <c r="U800" s="631"/>
      <c r="V800" s="631"/>
      <c r="W800" s="631"/>
      <c r="X800" s="631"/>
      <c r="Y800" s="631"/>
      <c r="Z800" s="631"/>
      <c r="AA800" s="631"/>
      <c r="AB800" s="631"/>
      <c r="AC800" s="631"/>
    </row>
    <row r="801">
      <c r="A801" s="631"/>
      <c r="B801" s="694"/>
      <c r="C801" s="694"/>
      <c r="D801" s="694"/>
      <c r="E801" s="694"/>
      <c r="F801" s="631"/>
      <c r="G801" s="631"/>
      <c r="H801" s="631"/>
      <c r="I801" s="579"/>
      <c r="J801" s="579"/>
      <c r="K801" s="694"/>
      <c r="L801" s="579"/>
      <c r="M801" s="579"/>
      <c r="N801" s="579"/>
      <c r="O801" s="631"/>
      <c r="P801" s="631"/>
      <c r="Q801" s="631"/>
      <c r="R801" s="631"/>
      <c r="S801" s="631"/>
      <c r="T801" s="631"/>
      <c r="U801" s="631"/>
      <c r="V801" s="631"/>
      <c r="W801" s="631"/>
      <c r="X801" s="631"/>
      <c r="Y801" s="631"/>
      <c r="Z801" s="631"/>
      <c r="AA801" s="631"/>
      <c r="AB801" s="631"/>
      <c r="AC801" s="631"/>
    </row>
    <row r="802">
      <c r="A802" s="631"/>
      <c r="B802" s="694"/>
      <c r="C802" s="694"/>
      <c r="D802" s="694"/>
      <c r="E802" s="694"/>
      <c r="F802" s="631"/>
      <c r="G802" s="631"/>
      <c r="H802" s="631"/>
      <c r="I802" s="579"/>
      <c r="J802" s="579"/>
      <c r="K802" s="694"/>
      <c r="L802" s="579"/>
      <c r="M802" s="579"/>
      <c r="N802" s="579"/>
      <c r="O802" s="631"/>
      <c r="P802" s="631"/>
      <c r="Q802" s="631"/>
      <c r="R802" s="631"/>
      <c r="S802" s="631"/>
      <c r="T802" s="631"/>
      <c r="U802" s="631"/>
      <c r="V802" s="631"/>
      <c r="W802" s="631"/>
      <c r="X802" s="631"/>
      <c r="Y802" s="631"/>
      <c r="Z802" s="631"/>
      <c r="AA802" s="631"/>
      <c r="AB802" s="631"/>
      <c r="AC802" s="631"/>
    </row>
    <row r="803">
      <c r="A803" s="631"/>
      <c r="B803" s="694"/>
      <c r="C803" s="694"/>
      <c r="D803" s="694"/>
      <c r="E803" s="694"/>
      <c r="F803" s="631"/>
      <c r="G803" s="631"/>
      <c r="H803" s="631"/>
      <c r="I803" s="579"/>
      <c r="J803" s="579"/>
      <c r="K803" s="694"/>
      <c r="L803" s="579"/>
      <c r="M803" s="579"/>
      <c r="N803" s="579"/>
      <c r="O803" s="631"/>
      <c r="P803" s="631"/>
      <c r="Q803" s="631"/>
      <c r="R803" s="631"/>
      <c r="S803" s="631"/>
      <c r="T803" s="631"/>
      <c r="U803" s="631"/>
      <c r="V803" s="631"/>
      <c r="W803" s="631"/>
      <c r="X803" s="631"/>
      <c r="Y803" s="631"/>
      <c r="Z803" s="631"/>
      <c r="AA803" s="631"/>
      <c r="AB803" s="631"/>
      <c r="AC803" s="631"/>
    </row>
    <row r="804">
      <c r="A804" s="631"/>
      <c r="B804" s="694"/>
      <c r="C804" s="694"/>
      <c r="D804" s="694"/>
      <c r="E804" s="694"/>
      <c r="F804" s="631"/>
      <c r="G804" s="631"/>
      <c r="H804" s="631"/>
      <c r="I804" s="579"/>
      <c r="J804" s="579"/>
      <c r="K804" s="694"/>
      <c r="L804" s="579"/>
      <c r="M804" s="579"/>
      <c r="N804" s="579"/>
      <c r="O804" s="631"/>
      <c r="P804" s="631"/>
      <c r="Q804" s="631"/>
      <c r="R804" s="631"/>
      <c r="S804" s="631"/>
      <c r="T804" s="631"/>
      <c r="U804" s="631"/>
      <c r="V804" s="631"/>
      <c r="W804" s="631"/>
      <c r="X804" s="631"/>
      <c r="Y804" s="631"/>
      <c r="Z804" s="631"/>
      <c r="AA804" s="631"/>
      <c r="AB804" s="631"/>
      <c r="AC804" s="631"/>
    </row>
    <row r="805">
      <c r="A805" s="631"/>
      <c r="B805" s="694"/>
      <c r="C805" s="694"/>
      <c r="D805" s="694"/>
      <c r="E805" s="694"/>
      <c r="F805" s="631"/>
      <c r="G805" s="631"/>
      <c r="H805" s="631"/>
      <c r="I805" s="579"/>
      <c r="J805" s="579"/>
      <c r="K805" s="694"/>
      <c r="L805" s="579"/>
      <c r="M805" s="579"/>
      <c r="N805" s="579"/>
      <c r="O805" s="631"/>
      <c r="P805" s="631"/>
      <c r="Q805" s="631"/>
      <c r="R805" s="631"/>
      <c r="S805" s="631"/>
      <c r="T805" s="631"/>
      <c r="U805" s="631"/>
      <c r="V805" s="631"/>
      <c r="W805" s="631"/>
      <c r="X805" s="631"/>
      <c r="Y805" s="631"/>
      <c r="Z805" s="631"/>
      <c r="AA805" s="631"/>
      <c r="AB805" s="631"/>
      <c r="AC805" s="631"/>
    </row>
    <row r="806">
      <c r="A806" s="631"/>
      <c r="B806" s="694"/>
      <c r="C806" s="694"/>
      <c r="D806" s="694"/>
      <c r="E806" s="694"/>
      <c r="F806" s="631"/>
      <c r="G806" s="631"/>
      <c r="H806" s="631"/>
      <c r="I806" s="579"/>
      <c r="J806" s="579"/>
      <c r="K806" s="694"/>
      <c r="L806" s="579"/>
      <c r="M806" s="579"/>
      <c r="N806" s="579"/>
      <c r="O806" s="631"/>
      <c r="P806" s="631"/>
      <c r="Q806" s="631"/>
      <c r="R806" s="631"/>
      <c r="S806" s="631"/>
      <c r="T806" s="631"/>
      <c r="U806" s="631"/>
      <c r="V806" s="631"/>
      <c r="W806" s="631"/>
      <c r="X806" s="631"/>
      <c r="Y806" s="631"/>
      <c r="Z806" s="631"/>
      <c r="AA806" s="631"/>
      <c r="AB806" s="631"/>
      <c r="AC806" s="631"/>
    </row>
    <row r="807">
      <c r="A807" s="631"/>
      <c r="B807" s="694"/>
      <c r="C807" s="694"/>
      <c r="D807" s="694"/>
      <c r="E807" s="694"/>
      <c r="F807" s="631"/>
      <c r="G807" s="631"/>
      <c r="H807" s="631"/>
      <c r="I807" s="579"/>
      <c r="J807" s="579"/>
      <c r="K807" s="694"/>
      <c r="L807" s="579"/>
      <c r="M807" s="579"/>
      <c r="N807" s="579"/>
      <c r="O807" s="631"/>
      <c r="P807" s="631"/>
      <c r="Q807" s="631"/>
      <c r="R807" s="631"/>
      <c r="S807" s="631"/>
      <c r="T807" s="631"/>
      <c r="U807" s="631"/>
      <c r="V807" s="631"/>
      <c r="W807" s="631"/>
      <c r="X807" s="631"/>
      <c r="Y807" s="631"/>
      <c r="Z807" s="631"/>
      <c r="AA807" s="631"/>
      <c r="AB807" s="631"/>
      <c r="AC807" s="631"/>
    </row>
    <row r="808">
      <c r="A808" s="631"/>
      <c r="B808" s="694"/>
      <c r="C808" s="694"/>
      <c r="D808" s="694"/>
      <c r="E808" s="694"/>
      <c r="F808" s="631"/>
      <c r="G808" s="631"/>
      <c r="H808" s="631"/>
      <c r="I808" s="579"/>
      <c r="J808" s="579"/>
      <c r="K808" s="694"/>
      <c r="L808" s="579"/>
      <c r="M808" s="579"/>
      <c r="N808" s="579"/>
      <c r="O808" s="631"/>
      <c r="P808" s="631"/>
      <c r="Q808" s="631"/>
      <c r="R808" s="631"/>
      <c r="S808" s="631"/>
      <c r="T808" s="631"/>
      <c r="U808" s="631"/>
      <c r="V808" s="631"/>
      <c r="W808" s="631"/>
      <c r="X808" s="631"/>
      <c r="Y808" s="631"/>
      <c r="Z808" s="631"/>
      <c r="AA808" s="631"/>
      <c r="AB808" s="631"/>
      <c r="AC808" s="631"/>
    </row>
    <row r="809">
      <c r="A809" s="631"/>
      <c r="B809" s="694"/>
      <c r="C809" s="694"/>
      <c r="D809" s="694"/>
      <c r="E809" s="694"/>
      <c r="F809" s="631"/>
      <c r="G809" s="631"/>
      <c r="H809" s="631"/>
      <c r="I809" s="579"/>
      <c r="J809" s="579"/>
      <c r="K809" s="694"/>
      <c r="L809" s="579"/>
      <c r="M809" s="579"/>
      <c r="N809" s="579"/>
      <c r="O809" s="631"/>
      <c r="P809" s="631"/>
      <c r="Q809" s="631"/>
      <c r="R809" s="631"/>
      <c r="S809" s="631"/>
      <c r="T809" s="631"/>
      <c r="U809" s="631"/>
      <c r="V809" s="631"/>
      <c r="W809" s="631"/>
      <c r="X809" s="631"/>
      <c r="Y809" s="631"/>
      <c r="Z809" s="631"/>
      <c r="AA809" s="631"/>
      <c r="AB809" s="631"/>
      <c r="AC809" s="631"/>
    </row>
    <row r="810">
      <c r="A810" s="631"/>
      <c r="B810" s="694"/>
      <c r="C810" s="694"/>
      <c r="D810" s="694"/>
      <c r="E810" s="694"/>
      <c r="F810" s="631"/>
      <c r="G810" s="631"/>
      <c r="H810" s="631"/>
      <c r="I810" s="579"/>
      <c r="J810" s="579"/>
      <c r="K810" s="694"/>
      <c r="L810" s="579"/>
      <c r="M810" s="579"/>
      <c r="N810" s="579"/>
      <c r="O810" s="631"/>
      <c r="P810" s="631"/>
      <c r="Q810" s="631"/>
      <c r="R810" s="631"/>
      <c r="S810" s="631"/>
      <c r="T810" s="631"/>
      <c r="U810" s="631"/>
      <c r="V810" s="631"/>
      <c r="W810" s="631"/>
      <c r="X810" s="631"/>
      <c r="Y810" s="631"/>
      <c r="Z810" s="631"/>
      <c r="AA810" s="631"/>
      <c r="AB810" s="631"/>
      <c r="AC810" s="631"/>
    </row>
    <row r="811">
      <c r="A811" s="631"/>
      <c r="B811" s="694"/>
      <c r="C811" s="694"/>
      <c r="D811" s="694"/>
      <c r="E811" s="694"/>
      <c r="F811" s="631"/>
      <c r="G811" s="631"/>
      <c r="H811" s="631"/>
      <c r="I811" s="579"/>
      <c r="J811" s="579"/>
      <c r="K811" s="694"/>
      <c r="L811" s="579"/>
      <c r="M811" s="579"/>
      <c r="N811" s="579"/>
      <c r="O811" s="631"/>
      <c r="P811" s="631"/>
      <c r="Q811" s="631"/>
      <c r="R811" s="631"/>
      <c r="S811" s="631"/>
      <c r="T811" s="631"/>
      <c r="U811" s="631"/>
      <c r="V811" s="631"/>
      <c r="W811" s="631"/>
      <c r="X811" s="631"/>
      <c r="Y811" s="631"/>
      <c r="Z811" s="631"/>
      <c r="AA811" s="631"/>
      <c r="AB811" s="631"/>
      <c r="AC811" s="631"/>
    </row>
    <row r="812">
      <c r="A812" s="631"/>
      <c r="B812" s="694"/>
      <c r="C812" s="694"/>
      <c r="D812" s="694"/>
      <c r="E812" s="694"/>
      <c r="F812" s="631"/>
      <c r="G812" s="631"/>
      <c r="H812" s="631"/>
      <c r="I812" s="579"/>
      <c r="J812" s="579"/>
      <c r="K812" s="694"/>
      <c r="L812" s="579"/>
      <c r="M812" s="579"/>
      <c r="N812" s="579"/>
      <c r="O812" s="631"/>
      <c r="P812" s="631"/>
      <c r="Q812" s="631"/>
      <c r="R812" s="631"/>
      <c r="S812" s="631"/>
      <c r="T812" s="631"/>
      <c r="U812" s="631"/>
      <c r="V812" s="631"/>
      <c r="W812" s="631"/>
      <c r="X812" s="631"/>
      <c r="Y812" s="631"/>
      <c r="Z812" s="631"/>
      <c r="AA812" s="631"/>
      <c r="AB812" s="631"/>
      <c r="AC812" s="631"/>
    </row>
    <row r="813">
      <c r="A813" s="631"/>
      <c r="B813" s="694"/>
      <c r="C813" s="694"/>
      <c r="D813" s="694"/>
      <c r="E813" s="694"/>
      <c r="F813" s="631"/>
      <c r="G813" s="631"/>
      <c r="H813" s="631"/>
      <c r="I813" s="579"/>
      <c r="J813" s="579"/>
      <c r="K813" s="694"/>
      <c r="L813" s="579"/>
      <c r="M813" s="579"/>
      <c r="N813" s="579"/>
      <c r="O813" s="631"/>
      <c r="P813" s="631"/>
      <c r="Q813" s="631"/>
      <c r="R813" s="631"/>
      <c r="S813" s="631"/>
      <c r="T813" s="631"/>
      <c r="U813" s="631"/>
      <c r="V813" s="631"/>
      <c r="W813" s="631"/>
      <c r="X813" s="631"/>
      <c r="Y813" s="631"/>
      <c r="Z813" s="631"/>
      <c r="AA813" s="631"/>
      <c r="AB813" s="631"/>
      <c r="AC813" s="631"/>
    </row>
    <row r="814">
      <c r="A814" s="631"/>
      <c r="B814" s="694"/>
      <c r="C814" s="694"/>
      <c r="D814" s="694"/>
      <c r="E814" s="694"/>
      <c r="F814" s="631"/>
      <c r="G814" s="631"/>
      <c r="H814" s="631"/>
      <c r="I814" s="579"/>
      <c r="J814" s="579"/>
      <c r="K814" s="694"/>
      <c r="L814" s="579"/>
      <c r="M814" s="579"/>
      <c r="N814" s="579"/>
      <c r="O814" s="631"/>
      <c r="P814" s="631"/>
      <c r="Q814" s="631"/>
      <c r="R814" s="631"/>
      <c r="S814" s="631"/>
      <c r="T814" s="631"/>
      <c r="U814" s="631"/>
      <c r="V814" s="631"/>
      <c r="W814" s="631"/>
      <c r="X814" s="631"/>
      <c r="Y814" s="631"/>
      <c r="Z814" s="631"/>
      <c r="AA814" s="631"/>
      <c r="AB814" s="631"/>
      <c r="AC814" s="631"/>
    </row>
    <row r="815">
      <c r="A815" s="631"/>
      <c r="B815" s="694"/>
      <c r="C815" s="694"/>
      <c r="D815" s="694"/>
      <c r="E815" s="694"/>
      <c r="F815" s="631"/>
      <c r="G815" s="631"/>
      <c r="H815" s="631"/>
      <c r="I815" s="579"/>
      <c r="J815" s="579"/>
      <c r="K815" s="694"/>
      <c r="L815" s="579"/>
      <c r="M815" s="579"/>
      <c r="N815" s="579"/>
      <c r="O815" s="631"/>
      <c r="P815" s="631"/>
      <c r="Q815" s="631"/>
      <c r="R815" s="631"/>
      <c r="S815" s="631"/>
      <c r="T815" s="631"/>
      <c r="U815" s="631"/>
      <c r="V815" s="631"/>
      <c r="W815" s="631"/>
      <c r="X815" s="631"/>
      <c r="Y815" s="631"/>
      <c r="Z815" s="631"/>
      <c r="AA815" s="631"/>
      <c r="AB815" s="631"/>
      <c r="AC815" s="631"/>
    </row>
    <row r="816">
      <c r="A816" s="631"/>
      <c r="B816" s="694"/>
      <c r="C816" s="694"/>
      <c r="D816" s="694"/>
      <c r="E816" s="694"/>
      <c r="F816" s="631"/>
      <c r="G816" s="631"/>
      <c r="H816" s="631"/>
      <c r="I816" s="579"/>
      <c r="J816" s="579"/>
      <c r="K816" s="694"/>
      <c r="L816" s="579"/>
      <c r="M816" s="579"/>
      <c r="N816" s="579"/>
      <c r="O816" s="631"/>
      <c r="P816" s="631"/>
      <c r="Q816" s="631"/>
      <c r="R816" s="631"/>
      <c r="S816" s="631"/>
      <c r="T816" s="631"/>
      <c r="U816" s="631"/>
      <c r="V816" s="631"/>
      <c r="W816" s="631"/>
      <c r="X816" s="631"/>
      <c r="Y816" s="631"/>
      <c r="Z816" s="631"/>
      <c r="AA816" s="631"/>
      <c r="AB816" s="631"/>
      <c r="AC816" s="631"/>
    </row>
    <row r="817">
      <c r="A817" s="631"/>
      <c r="B817" s="694"/>
      <c r="C817" s="694"/>
      <c r="D817" s="694"/>
      <c r="E817" s="694"/>
      <c r="F817" s="631"/>
      <c r="G817" s="631"/>
      <c r="H817" s="631"/>
      <c r="I817" s="579"/>
      <c r="J817" s="579"/>
      <c r="K817" s="694"/>
      <c r="L817" s="579"/>
      <c r="M817" s="579"/>
      <c r="N817" s="579"/>
      <c r="O817" s="631"/>
      <c r="P817" s="631"/>
      <c r="Q817" s="631"/>
      <c r="R817" s="631"/>
      <c r="S817" s="631"/>
      <c r="T817" s="631"/>
      <c r="U817" s="631"/>
      <c r="V817" s="631"/>
      <c r="W817" s="631"/>
      <c r="X817" s="631"/>
      <c r="Y817" s="631"/>
      <c r="Z817" s="631"/>
      <c r="AA817" s="631"/>
      <c r="AB817" s="631"/>
      <c r="AC817" s="631"/>
    </row>
    <row r="818">
      <c r="A818" s="631"/>
      <c r="B818" s="694"/>
      <c r="C818" s="694"/>
      <c r="D818" s="694"/>
      <c r="E818" s="694"/>
      <c r="F818" s="631"/>
      <c r="G818" s="631"/>
      <c r="H818" s="631"/>
      <c r="I818" s="579"/>
      <c r="J818" s="579"/>
      <c r="K818" s="694"/>
      <c r="L818" s="579"/>
      <c r="M818" s="579"/>
      <c r="N818" s="579"/>
      <c r="O818" s="631"/>
      <c r="P818" s="631"/>
      <c r="Q818" s="631"/>
      <c r="R818" s="631"/>
      <c r="S818" s="631"/>
      <c r="T818" s="631"/>
      <c r="U818" s="631"/>
      <c r="V818" s="631"/>
      <c r="W818" s="631"/>
      <c r="X818" s="631"/>
      <c r="Y818" s="631"/>
      <c r="Z818" s="631"/>
      <c r="AA818" s="631"/>
      <c r="AB818" s="631"/>
      <c r="AC818" s="631"/>
    </row>
    <row r="819">
      <c r="A819" s="631"/>
      <c r="B819" s="694"/>
      <c r="C819" s="694"/>
      <c r="D819" s="694"/>
      <c r="E819" s="694"/>
      <c r="F819" s="631"/>
      <c r="G819" s="631"/>
      <c r="H819" s="631"/>
      <c r="I819" s="579"/>
      <c r="J819" s="579"/>
      <c r="K819" s="694"/>
      <c r="L819" s="579"/>
      <c r="M819" s="579"/>
      <c r="N819" s="579"/>
      <c r="O819" s="631"/>
      <c r="P819" s="631"/>
      <c r="Q819" s="631"/>
      <c r="R819" s="631"/>
      <c r="S819" s="631"/>
      <c r="T819" s="631"/>
      <c r="U819" s="631"/>
      <c r="V819" s="631"/>
      <c r="W819" s="631"/>
      <c r="X819" s="631"/>
      <c r="Y819" s="631"/>
      <c r="Z819" s="631"/>
      <c r="AA819" s="631"/>
      <c r="AB819" s="631"/>
      <c r="AC819" s="631"/>
    </row>
    <row r="820">
      <c r="A820" s="631"/>
      <c r="B820" s="694"/>
      <c r="C820" s="694"/>
      <c r="D820" s="694"/>
      <c r="E820" s="694"/>
      <c r="F820" s="631"/>
      <c r="G820" s="631"/>
      <c r="H820" s="631"/>
      <c r="I820" s="579"/>
      <c r="J820" s="579"/>
      <c r="K820" s="694"/>
      <c r="L820" s="579"/>
      <c r="M820" s="579"/>
      <c r="N820" s="579"/>
      <c r="O820" s="631"/>
      <c r="P820" s="631"/>
      <c r="Q820" s="631"/>
      <c r="R820" s="631"/>
      <c r="S820" s="631"/>
      <c r="T820" s="631"/>
      <c r="U820" s="631"/>
      <c r="V820" s="631"/>
      <c r="W820" s="631"/>
      <c r="X820" s="631"/>
      <c r="Y820" s="631"/>
      <c r="Z820" s="631"/>
      <c r="AA820" s="631"/>
      <c r="AB820" s="631"/>
      <c r="AC820" s="631"/>
    </row>
    <row r="821">
      <c r="A821" s="631"/>
      <c r="B821" s="694"/>
      <c r="C821" s="694"/>
      <c r="D821" s="694"/>
      <c r="E821" s="694"/>
      <c r="F821" s="631"/>
      <c r="G821" s="631"/>
      <c r="H821" s="631"/>
      <c r="I821" s="579"/>
      <c r="J821" s="579"/>
      <c r="K821" s="694"/>
      <c r="L821" s="579"/>
      <c r="M821" s="579"/>
      <c r="N821" s="579"/>
      <c r="O821" s="631"/>
      <c r="P821" s="631"/>
      <c r="Q821" s="631"/>
      <c r="R821" s="631"/>
      <c r="S821" s="631"/>
      <c r="T821" s="631"/>
      <c r="U821" s="631"/>
      <c r="V821" s="631"/>
      <c r="W821" s="631"/>
      <c r="X821" s="631"/>
      <c r="Y821" s="631"/>
      <c r="Z821" s="631"/>
      <c r="AA821" s="631"/>
      <c r="AB821" s="631"/>
      <c r="AC821" s="631"/>
    </row>
    <row r="822">
      <c r="A822" s="631"/>
      <c r="B822" s="694"/>
      <c r="C822" s="694"/>
      <c r="D822" s="694"/>
      <c r="E822" s="694"/>
      <c r="F822" s="631"/>
      <c r="G822" s="631"/>
      <c r="H822" s="631"/>
      <c r="I822" s="579"/>
      <c r="J822" s="579"/>
      <c r="K822" s="694"/>
      <c r="L822" s="579"/>
      <c r="M822" s="579"/>
      <c r="N822" s="579"/>
      <c r="O822" s="631"/>
      <c r="P822" s="631"/>
      <c r="Q822" s="631"/>
      <c r="R822" s="631"/>
      <c r="S822" s="631"/>
      <c r="T822" s="631"/>
      <c r="U822" s="631"/>
      <c r="V822" s="631"/>
      <c r="W822" s="631"/>
      <c r="X822" s="631"/>
      <c r="Y822" s="631"/>
      <c r="Z822" s="631"/>
      <c r="AA822" s="631"/>
      <c r="AB822" s="631"/>
      <c r="AC822" s="631"/>
    </row>
    <row r="823">
      <c r="A823" s="631"/>
      <c r="B823" s="694"/>
      <c r="C823" s="694"/>
      <c r="D823" s="694"/>
      <c r="E823" s="694"/>
      <c r="F823" s="631"/>
      <c r="G823" s="631"/>
      <c r="H823" s="631"/>
      <c r="I823" s="579"/>
      <c r="J823" s="579"/>
      <c r="K823" s="694"/>
      <c r="L823" s="579"/>
      <c r="M823" s="579"/>
      <c r="N823" s="579"/>
      <c r="O823" s="631"/>
      <c r="P823" s="631"/>
      <c r="Q823" s="631"/>
      <c r="R823" s="631"/>
      <c r="S823" s="631"/>
      <c r="T823" s="631"/>
      <c r="U823" s="631"/>
      <c r="V823" s="631"/>
      <c r="W823" s="631"/>
      <c r="X823" s="631"/>
      <c r="Y823" s="631"/>
      <c r="Z823" s="631"/>
      <c r="AA823" s="631"/>
      <c r="AB823" s="631"/>
      <c r="AC823" s="631"/>
    </row>
    <row r="824">
      <c r="A824" s="631"/>
      <c r="B824" s="694"/>
      <c r="C824" s="694"/>
      <c r="D824" s="694"/>
      <c r="E824" s="694"/>
      <c r="F824" s="631"/>
      <c r="G824" s="631"/>
      <c r="H824" s="631"/>
      <c r="I824" s="579"/>
      <c r="J824" s="579"/>
      <c r="K824" s="694"/>
      <c r="L824" s="579"/>
      <c r="M824" s="579"/>
      <c r="N824" s="579"/>
      <c r="O824" s="631"/>
      <c r="P824" s="631"/>
      <c r="Q824" s="631"/>
      <c r="R824" s="631"/>
      <c r="S824" s="631"/>
      <c r="T824" s="631"/>
      <c r="U824" s="631"/>
      <c r="V824" s="631"/>
      <c r="W824" s="631"/>
      <c r="X824" s="631"/>
      <c r="Y824" s="631"/>
      <c r="Z824" s="631"/>
      <c r="AA824" s="631"/>
      <c r="AB824" s="631"/>
      <c r="AC824" s="631"/>
    </row>
    <row r="825">
      <c r="A825" s="631"/>
      <c r="B825" s="694"/>
      <c r="C825" s="694"/>
      <c r="D825" s="694"/>
      <c r="E825" s="694"/>
      <c r="F825" s="631"/>
      <c r="G825" s="631"/>
      <c r="H825" s="631"/>
      <c r="I825" s="579"/>
      <c r="J825" s="579"/>
      <c r="K825" s="694"/>
      <c r="L825" s="579"/>
      <c r="M825" s="579"/>
      <c r="N825" s="579"/>
      <c r="O825" s="631"/>
      <c r="P825" s="631"/>
      <c r="Q825" s="631"/>
      <c r="R825" s="631"/>
      <c r="S825" s="631"/>
      <c r="T825" s="631"/>
      <c r="U825" s="631"/>
      <c r="V825" s="631"/>
      <c r="W825" s="631"/>
      <c r="X825" s="631"/>
      <c r="Y825" s="631"/>
      <c r="Z825" s="631"/>
      <c r="AA825" s="631"/>
      <c r="AB825" s="631"/>
      <c r="AC825" s="631"/>
    </row>
    <row r="826">
      <c r="A826" s="631"/>
      <c r="B826" s="694"/>
      <c r="C826" s="694"/>
      <c r="D826" s="694"/>
      <c r="E826" s="694"/>
      <c r="F826" s="631"/>
      <c r="G826" s="631"/>
      <c r="H826" s="631"/>
      <c r="I826" s="579"/>
      <c r="J826" s="579"/>
      <c r="K826" s="694"/>
      <c r="L826" s="579"/>
      <c r="M826" s="579"/>
      <c r="N826" s="579"/>
      <c r="O826" s="631"/>
      <c r="P826" s="631"/>
      <c r="Q826" s="631"/>
      <c r="R826" s="631"/>
      <c r="S826" s="631"/>
      <c r="T826" s="631"/>
      <c r="U826" s="631"/>
      <c r="V826" s="631"/>
      <c r="W826" s="631"/>
      <c r="X826" s="631"/>
      <c r="Y826" s="631"/>
      <c r="Z826" s="631"/>
      <c r="AA826" s="631"/>
      <c r="AB826" s="631"/>
      <c r="AC826" s="631"/>
    </row>
    <row r="827">
      <c r="A827" s="631"/>
      <c r="B827" s="694"/>
      <c r="C827" s="694"/>
      <c r="D827" s="694"/>
      <c r="E827" s="694"/>
      <c r="F827" s="631"/>
      <c r="G827" s="631"/>
      <c r="H827" s="631"/>
      <c r="I827" s="579"/>
      <c r="J827" s="579"/>
      <c r="K827" s="694"/>
      <c r="L827" s="579"/>
      <c r="M827" s="579"/>
      <c r="N827" s="579"/>
      <c r="O827" s="631"/>
      <c r="P827" s="631"/>
      <c r="Q827" s="631"/>
      <c r="R827" s="631"/>
      <c r="S827" s="631"/>
      <c r="T827" s="631"/>
      <c r="U827" s="631"/>
      <c r="V827" s="631"/>
      <c r="W827" s="631"/>
      <c r="X827" s="631"/>
      <c r="Y827" s="631"/>
      <c r="Z827" s="631"/>
      <c r="AA827" s="631"/>
      <c r="AB827" s="631"/>
      <c r="AC827" s="631"/>
    </row>
    <row r="828">
      <c r="A828" s="631"/>
      <c r="B828" s="694"/>
      <c r="C828" s="694"/>
      <c r="D828" s="694"/>
      <c r="E828" s="694"/>
      <c r="F828" s="631"/>
      <c r="G828" s="631"/>
      <c r="H828" s="631"/>
      <c r="I828" s="579"/>
      <c r="J828" s="579"/>
      <c r="K828" s="694"/>
      <c r="L828" s="579"/>
      <c r="M828" s="579"/>
      <c r="N828" s="579"/>
      <c r="O828" s="631"/>
      <c r="P828" s="631"/>
      <c r="Q828" s="631"/>
      <c r="R828" s="631"/>
      <c r="S828" s="631"/>
      <c r="T828" s="631"/>
      <c r="U828" s="631"/>
      <c r="V828" s="631"/>
      <c r="W828" s="631"/>
      <c r="X828" s="631"/>
      <c r="Y828" s="631"/>
      <c r="Z828" s="631"/>
      <c r="AA828" s="631"/>
      <c r="AB828" s="631"/>
      <c r="AC828" s="631"/>
    </row>
    <row r="829">
      <c r="A829" s="631"/>
      <c r="B829" s="694"/>
      <c r="C829" s="694"/>
      <c r="D829" s="694"/>
      <c r="E829" s="694"/>
      <c r="F829" s="631"/>
      <c r="G829" s="631"/>
      <c r="H829" s="631"/>
      <c r="I829" s="579"/>
      <c r="J829" s="579"/>
      <c r="K829" s="694"/>
      <c r="L829" s="579"/>
      <c r="M829" s="579"/>
      <c r="N829" s="579"/>
      <c r="O829" s="631"/>
      <c r="P829" s="631"/>
      <c r="Q829" s="631"/>
      <c r="R829" s="631"/>
      <c r="S829" s="631"/>
      <c r="T829" s="631"/>
      <c r="U829" s="631"/>
      <c r="V829" s="631"/>
      <c r="W829" s="631"/>
      <c r="X829" s="631"/>
      <c r="Y829" s="631"/>
      <c r="Z829" s="631"/>
      <c r="AA829" s="631"/>
      <c r="AB829" s="631"/>
      <c r="AC829" s="631"/>
    </row>
    <row r="830">
      <c r="A830" s="631"/>
      <c r="B830" s="694"/>
      <c r="C830" s="694"/>
      <c r="D830" s="694"/>
      <c r="E830" s="694"/>
      <c r="F830" s="631"/>
      <c r="G830" s="631"/>
      <c r="H830" s="631"/>
      <c r="I830" s="579"/>
      <c r="J830" s="579"/>
      <c r="K830" s="694"/>
      <c r="L830" s="579"/>
      <c r="M830" s="579"/>
      <c r="N830" s="579"/>
      <c r="O830" s="631"/>
      <c r="P830" s="631"/>
      <c r="Q830" s="631"/>
      <c r="R830" s="631"/>
      <c r="S830" s="631"/>
      <c r="T830" s="631"/>
      <c r="U830" s="631"/>
      <c r="V830" s="631"/>
      <c r="W830" s="631"/>
      <c r="X830" s="631"/>
      <c r="Y830" s="631"/>
      <c r="Z830" s="631"/>
      <c r="AA830" s="631"/>
      <c r="AB830" s="631"/>
      <c r="AC830" s="631"/>
    </row>
    <row r="831">
      <c r="A831" s="631"/>
      <c r="B831" s="694"/>
      <c r="C831" s="694"/>
      <c r="D831" s="694"/>
      <c r="E831" s="694"/>
      <c r="F831" s="631"/>
      <c r="G831" s="631"/>
      <c r="H831" s="631"/>
      <c r="I831" s="579"/>
      <c r="J831" s="579"/>
      <c r="K831" s="694"/>
      <c r="L831" s="579"/>
      <c r="M831" s="579"/>
      <c r="N831" s="579"/>
      <c r="O831" s="631"/>
      <c r="P831" s="631"/>
      <c r="Q831" s="631"/>
      <c r="R831" s="631"/>
      <c r="S831" s="631"/>
      <c r="T831" s="631"/>
      <c r="U831" s="631"/>
      <c r="V831" s="631"/>
      <c r="W831" s="631"/>
      <c r="X831" s="631"/>
      <c r="Y831" s="631"/>
      <c r="Z831" s="631"/>
      <c r="AA831" s="631"/>
      <c r="AB831" s="631"/>
      <c r="AC831" s="631"/>
    </row>
    <row r="832">
      <c r="A832" s="631"/>
      <c r="B832" s="694"/>
      <c r="C832" s="694"/>
      <c r="D832" s="694"/>
      <c r="E832" s="694"/>
      <c r="F832" s="631"/>
      <c r="G832" s="631"/>
      <c r="H832" s="631"/>
      <c r="I832" s="579"/>
      <c r="J832" s="579"/>
      <c r="K832" s="694"/>
      <c r="L832" s="579"/>
      <c r="M832" s="579"/>
      <c r="N832" s="579"/>
      <c r="O832" s="631"/>
      <c r="P832" s="631"/>
      <c r="Q832" s="631"/>
      <c r="R832" s="631"/>
      <c r="S832" s="631"/>
      <c r="T832" s="631"/>
      <c r="U832" s="631"/>
      <c r="V832" s="631"/>
      <c r="W832" s="631"/>
      <c r="X832" s="631"/>
      <c r="Y832" s="631"/>
      <c r="Z832" s="631"/>
      <c r="AA832" s="631"/>
      <c r="AB832" s="631"/>
      <c r="AC832" s="631"/>
    </row>
    <row r="833">
      <c r="A833" s="631"/>
      <c r="B833" s="694"/>
      <c r="C833" s="694"/>
      <c r="D833" s="694"/>
      <c r="E833" s="694"/>
      <c r="F833" s="631"/>
      <c r="G833" s="631"/>
      <c r="H833" s="631"/>
      <c r="I833" s="579"/>
      <c r="J833" s="579"/>
      <c r="K833" s="694"/>
      <c r="L833" s="579"/>
      <c r="M833" s="579"/>
      <c r="N833" s="579"/>
      <c r="O833" s="631"/>
      <c r="P833" s="631"/>
      <c r="Q833" s="631"/>
      <c r="R833" s="631"/>
      <c r="S833" s="631"/>
      <c r="T833" s="631"/>
      <c r="U833" s="631"/>
      <c r="V833" s="631"/>
      <c r="W833" s="631"/>
      <c r="X833" s="631"/>
      <c r="Y833" s="631"/>
      <c r="Z833" s="631"/>
      <c r="AA833" s="631"/>
      <c r="AB833" s="631"/>
      <c r="AC833" s="631"/>
    </row>
    <row r="834">
      <c r="A834" s="631"/>
      <c r="B834" s="694"/>
      <c r="C834" s="694"/>
      <c r="D834" s="694"/>
      <c r="E834" s="694"/>
      <c r="F834" s="631"/>
      <c r="G834" s="631"/>
      <c r="H834" s="631"/>
      <c r="I834" s="579"/>
      <c r="J834" s="579"/>
      <c r="K834" s="694"/>
      <c r="L834" s="579"/>
      <c r="M834" s="579"/>
      <c r="N834" s="579"/>
      <c r="O834" s="631"/>
      <c r="P834" s="631"/>
      <c r="Q834" s="631"/>
      <c r="R834" s="631"/>
      <c r="S834" s="631"/>
      <c r="T834" s="631"/>
      <c r="U834" s="631"/>
      <c r="V834" s="631"/>
      <c r="W834" s="631"/>
      <c r="X834" s="631"/>
      <c r="Y834" s="631"/>
      <c r="Z834" s="631"/>
      <c r="AA834" s="631"/>
      <c r="AB834" s="631"/>
      <c r="AC834" s="631"/>
    </row>
    <row r="835">
      <c r="A835" s="631"/>
      <c r="B835" s="694"/>
      <c r="C835" s="694"/>
      <c r="D835" s="694"/>
      <c r="E835" s="694"/>
      <c r="F835" s="631"/>
      <c r="G835" s="631"/>
      <c r="H835" s="631"/>
      <c r="I835" s="579"/>
      <c r="J835" s="579"/>
      <c r="K835" s="694"/>
      <c r="L835" s="579"/>
      <c r="M835" s="579"/>
      <c r="N835" s="579"/>
      <c r="O835" s="631"/>
      <c r="P835" s="631"/>
      <c r="Q835" s="631"/>
      <c r="R835" s="631"/>
      <c r="S835" s="631"/>
      <c r="T835" s="631"/>
      <c r="U835" s="631"/>
      <c r="V835" s="631"/>
      <c r="W835" s="631"/>
      <c r="X835" s="631"/>
      <c r="Y835" s="631"/>
      <c r="Z835" s="631"/>
      <c r="AA835" s="631"/>
      <c r="AB835" s="631"/>
      <c r="AC835" s="631"/>
    </row>
    <row r="836">
      <c r="A836" s="631"/>
      <c r="B836" s="694"/>
      <c r="C836" s="694"/>
      <c r="D836" s="694"/>
      <c r="E836" s="694"/>
      <c r="F836" s="631"/>
      <c r="G836" s="631"/>
      <c r="H836" s="631"/>
      <c r="I836" s="579"/>
      <c r="J836" s="579"/>
      <c r="K836" s="694"/>
      <c r="L836" s="579"/>
      <c r="M836" s="579"/>
      <c r="N836" s="579"/>
      <c r="O836" s="631"/>
      <c r="P836" s="631"/>
      <c r="Q836" s="631"/>
      <c r="R836" s="631"/>
      <c r="S836" s="631"/>
      <c r="T836" s="631"/>
      <c r="U836" s="631"/>
      <c r="V836" s="631"/>
      <c r="W836" s="631"/>
      <c r="X836" s="631"/>
      <c r="Y836" s="631"/>
      <c r="Z836" s="631"/>
      <c r="AA836" s="631"/>
      <c r="AB836" s="631"/>
      <c r="AC836" s="631"/>
    </row>
    <row r="837">
      <c r="A837" s="631"/>
      <c r="B837" s="694"/>
      <c r="C837" s="694"/>
      <c r="D837" s="694"/>
      <c r="E837" s="694"/>
      <c r="F837" s="631"/>
      <c r="G837" s="631"/>
      <c r="H837" s="631"/>
      <c r="I837" s="579"/>
      <c r="J837" s="579"/>
      <c r="K837" s="694"/>
      <c r="L837" s="579"/>
      <c r="M837" s="579"/>
      <c r="N837" s="579"/>
      <c r="O837" s="631"/>
      <c r="P837" s="631"/>
      <c r="Q837" s="631"/>
      <c r="R837" s="631"/>
      <c r="S837" s="631"/>
      <c r="T837" s="631"/>
      <c r="U837" s="631"/>
      <c r="V837" s="631"/>
      <c r="W837" s="631"/>
      <c r="X837" s="631"/>
      <c r="Y837" s="631"/>
      <c r="Z837" s="631"/>
      <c r="AA837" s="631"/>
      <c r="AB837" s="631"/>
      <c r="AC837" s="631"/>
    </row>
    <row r="838">
      <c r="A838" s="631"/>
      <c r="B838" s="694"/>
      <c r="C838" s="694"/>
      <c r="D838" s="694"/>
      <c r="E838" s="694"/>
      <c r="F838" s="631"/>
      <c r="G838" s="631"/>
      <c r="H838" s="631"/>
      <c r="I838" s="579"/>
      <c r="J838" s="579"/>
      <c r="K838" s="694"/>
      <c r="L838" s="579"/>
      <c r="M838" s="579"/>
      <c r="N838" s="579"/>
      <c r="O838" s="631"/>
      <c r="P838" s="631"/>
      <c r="Q838" s="631"/>
      <c r="R838" s="631"/>
      <c r="S838" s="631"/>
      <c r="T838" s="631"/>
      <c r="U838" s="631"/>
      <c r="V838" s="631"/>
      <c r="W838" s="631"/>
      <c r="X838" s="631"/>
      <c r="Y838" s="631"/>
      <c r="Z838" s="631"/>
      <c r="AA838" s="631"/>
      <c r="AB838" s="631"/>
      <c r="AC838" s="631"/>
    </row>
    <row r="839">
      <c r="A839" s="631"/>
      <c r="B839" s="694"/>
      <c r="C839" s="694"/>
      <c r="D839" s="694"/>
      <c r="E839" s="694"/>
      <c r="F839" s="631"/>
      <c r="G839" s="631"/>
      <c r="H839" s="631"/>
      <c r="I839" s="579"/>
      <c r="J839" s="579"/>
      <c r="K839" s="694"/>
      <c r="L839" s="579"/>
      <c r="M839" s="579"/>
      <c r="N839" s="579"/>
      <c r="O839" s="631"/>
      <c r="P839" s="631"/>
      <c r="Q839" s="631"/>
      <c r="R839" s="631"/>
      <c r="S839" s="631"/>
      <c r="T839" s="631"/>
      <c r="U839" s="631"/>
      <c r="V839" s="631"/>
      <c r="W839" s="631"/>
      <c r="X839" s="631"/>
      <c r="Y839" s="631"/>
      <c r="Z839" s="631"/>
      <c r="AA839" s="631"/>
      <c r="AB839" s="631"/>
      <c r="AC839" s="631"/>
    </row>
    <row r="840">
      <c r="A840" s="631"/>
      <c r="B840" s="694"/>
      <c r="C840" s="694"/>
      <c r="D840" s="694"/>
      <c r="E840" s="694"/>
      <c r="F840" s="631"/>
      <c r="G840" s="631"/>
      <c r="H840" s="631"/>
      <c r="I840" s="579"/>
      <c r="J840" s="579"/>
      <c r="K840" s="694"/>
      <c r="L840" s="579"/>
      <c r="M840" s="579"/>
      <c r="N840" s="579"/>
      <c r="O840" s="631"/>
      <c r="P840" s="631"/>
      <c r="Q840" s="631"/>
      <c r="R840" s="631"/>
      <c r="S840" s="631"/>
      <c r="T840" s="631"/>
      <c r="U840" s="631"/>
      <c r="V840" s="631"/>
      <c r="W840" s="631"/>
      <c r="X840" s="631"/>
      <c r="Y840" s="631"/>
      <c r="Z840" s="631"/>
      <c r="AA840" s="631"/>
      <c r="AB840" s="631"/>
      <c r="AC840" s="631"/>
    </row>
    <row r="841">
      <c r="A841" s="631"/>
      <c r="B841" s="694"/>
      <c r="C841" s="694"/>
      <c r="D841" s="694"/>
      <c r="E841" s="694"/>
      <c r="F841" s="631"/>
      <c r="G841" s="631"/>
      <c r="H841" s="631"/>
      <c r="I841" s="579"/>
      <c r="J841" s="579"/>
      <c r="K841" s="694"/>
      <c r="L841" s="579"/>
      <c r="M841" s="579"/>
      <c r="N841" s="579"/>
      <c r="O841" s="631"/>
      <c r="P841" s="631"/>
      <c r="Q841" s="631"/>
      <c r="R841" s="631"/>
      <c r="S841" s="631"/>
      <c r="T841" s="631"/>
      <c r="U841" s="631"/>
      <c r="V841" s="631"/>
      <c r="W841" s="631"/>
      <c r="X841" s="631"/>
      <c r="Y841" s="631"/>
      <c r="Z841" s="631"/>
      <c r="AA841" s="631"/>
      <c r="AB841" s="631"/>
      <c r="AC841" s="631"/>
    </row>
    <row r="842">
      <c r="A842" s="631"/>
      <c r="B842" s="694"/>
      <c r="C842" s="694"/>
      <c r="D842" s="694"/>
      <c r="E842" s="694"/>
      <c r="F842" s="631"/>
      <c r="G842" s="631"/>
      <c r="H842" s="631"/>
      <c r="I842" s="579"/>
      <c r="J842" s="579"/>
      <c r="K842" s="694"/>
      <c r="L842" s="579"/>
      <c r="M842" s="579"/>
      <c r="N842" s="579"/>
      <c r="O842" s="631"/>
      <c r="P842" s="631"/>
      <c r="Q842" s="631"/>
      <c r="R842" s="631"/>
      <c r="S842" s="631"/>
      <c r="T842" s="631"/>
      <c r="U842" s="631"/>
      <c r="V842" s="631"/>
      <c r="W842" s="631"/>
      <c r="X842" s="631"/>
      <c r="Y842" s="631"/>
      <c r="Z842" s="631"/>
      <c r="AA842" s="631"/>
      <c r="AB842" s="631"/>
      <c r="AC842" s="631"/>
    </row>
    <row r="843">
      <c r="A843" s="631"/>
      <c r="B843" s="694"/>
      <c r="C843" s="694"/>
      <c r="D843" s="694"/>
      <c r="E843" s="694"/>
      <c r="F843" s="631"/>
      <c r="G843" s="631"/>
      <c r="H843" s="631"/>
      <c r="I843" s="579"/>
      <c r="J843" s="579"/>
      <c r="K843" s="694"/>
      <c r="L843" s="579"/>
      <c r="M843" s="579"/>
      <c r="N843" s="579"/>
      <c r="O843" s="631"/>
      <c r="P843" s="631"/>
      <c r="Q843" s="631"/>
      <c r="R843" s="631"/>
      <c r="S843" s="631"/>
      <c r="T843" s="631"/>
      <c r="U843" s="631"/>
      <c r="V843" s="631"/>
      <c r="W843" s="631"/>
      <c r="X843" s="631"/>
      <c r="Y843" s="631"/>
      <c r="Z843" s="631"/>
      <c r="AA843" s="631"/>
      <c r="AB843" s="631"/>
      <c r="AC843" s="631"/>
    </row>
    <row r="844">
      <c r="A844" s="631"/>
      <c r="B844" s="694"/>
      <c r="C844" s="694"/>
      <c r="D844" s="694"/>
      <c r="E844" s="694"/>
      <c r="F844" s="631"/>
      <c r="G844" s="631"/>
      <c r="H844" s="631"/>
      <c r="I844" s="579"/>
      <c r="J844" s="579"/>
      <c r="K844" s="694"/>
      <c r="L844" s="579"/>
      <c r="M844" s="579"/>
      <c r="N844" s="579"/>
      <c r="O844" s="631"/>
      <c r="P844" s="631"/>
      <c r="Q844" s="631"/>
      <c r="R844" s="631"/>
      <c r="S844" s="631"/>
      <c r="T844" s="631"/>
      <c r="U844" s="631"/>
      <c r="V844" s="631"/>
      <c r="W844" s="631"/>
      <c r="X844" s="631"/>
      <c r="Y844" s="631"/>
      <c r="Z844" s="631"/>
      <c r="AA844" s="631"/>
      <c r="AB844" s="631"/>
      <c r="AC844" s="631"/>
    </row>
    <row r="845">
      <c r="A845" s="631"/>
      <c r="B845" s="694"/>
      <c r="C845" s="694"/>
      <c r="D845" s="694"/>
      <c r="E845" s="694"/>
      <c r="F845" s="631"/>
      <c r="G845" s="631"/>
      <c r="H845" s="631"/>
      <c r="I845" s="579"/>
      <c r="J845" s="579"/>
      <c r="K845" s="694"/>
      <c r="L845" s="579"/>
      <c r="M845" s="579"/>
      <c r="N845" s="579"/>
      <c r="O845" s="631"/>
      <c r="P845" s="631"/>
      <c r="Q845" s="631"/>
      <c r="R845" s="631"/>
      <c r="S845" s="631"/>
      <c r="T845" s="631"/>
      <c r="U845" s="631"/>
      <c r="V845" s="631"/>
      <c r="W845" s="631"/>
      <c r="X845" s="631"/>
      <c r="Y845" s="631"/>
      <c r="Z845" s="631"/>
      <c r="AA845" s="631"/>
      <c r="AB845" s="631"/>
      <c r="AC845" s="631"/>
    </row>
    <row r="846">
      <c r="A846" s="631"/>
      <c r="B846" s="694"/>
      <c r="C846" s="694"/>
      <c r="D846" s="694"/>
      <c r="E846" s="694"/>
      <c r="F846" s="631"/>
      <c r="G846" s="631"/>
      <c r="H846" s="631"/>
      <c r="I846" s="579"/>
      <c r="J846" s="579"/>
      <c r="K846" s="694"/>
      <c r="L846" s="579"/>
      <c r="M846" s="579"/>
      <c r="N846" s="579"/>
      <c r="O846" s="631"/>
      <c r="P846" s="631"/>
      <c r="Q846" s="631"/>
      <c r="R846" s="631"/>
      <c r="S846" s="631"/>
      <c r="T846" s="631"/>
      <c r="U846" s="631"/>
      <c r="V846" s="631"/>
      <c r="W846" s="631"/>
      <c r="X846" s="631"/>
      <c r="Y846" s="631"/>
      <c r="Z846" s="631"/>
      <c r="AA846" s="631"/>
      <c r="AB846" s="631"/>
      <c r="AC846" s="631"/>
    </row>
    <row r="847">
      <c r="A847" s="631"/>
      <c r="B847" s="694"/>
      <c r="C847" s="694"/>
      <c r="D847" s="694"/>
      <c r="E847" s="694"/>
      <c r="F847" s="631"/>
      <c r="G847" s="631"/>
      <c r="H847" s="631"/>
      <c r="I847" s="579"/>
      <c r="J847" s="579"/>
      <c r="K847" s="694"/>
      <c r="L847" s="579"/>
      <c r="M847" s="579"/>
      <c r="N847" s="579"/>
      <c r="O847" s="631"/>
      <c r="P847" s="631"/>
      <c r="Q847" s="631"/>
      <c r="R847" s="631"/>
      <c r="S847" s="631"/>
      <c r="T847" s="631"/>
      <c r="U847" s="631"/>
      <c r="V847" s="631"/>
      <c r="W847" s="631"/>
      <c r="X847" s="631"/>
      <c r="Y847" s="631"/>
      <c r="Z847" s="631"/>
      <c r="AA847" s="631"/>
      <c r="AB847" s="631"/>
      <c r="AC847" s="631"/>
    </row>
    <row r="848">
      <c r="A848" s="631"/>
      <c r="B848" s="694"/>
      <c r="C848" s="694"/>
      <c r="D848" s="694"/>
      <c r="E848" s="694"/>
      <c r="F848" s="631"/>
      <c r="G848" s="631"/>
      <c r="H848" s="631"/>
      <c r="I848" s="579"/>
      <c r="J848" s="579"/>
      <c r="K848" s="694"/>
      <c r="L848" s="579"/>
      <c r="M848" s="579"/>
      <c r="N848" s="579"/>
      <c r="O848" s="631"/>
      <c r="P848" s="631"/>
      <c r="Q848" s="631"/>
      <c r="R848" s="631"/>
      <c r="S848" s="631"/>
      <c r="T848" s="631"/>
      <c r="U848" s="631"/>
      <c r="V848" s="631"/>
      <c r="W848" s="631"/>
      <c r="X848" s="631"/>
      <c r="Y848" s="631"/>
      <c r="Z848" s="631"/>
      <c r="AA848" s="631"/>
      <c r="AB848" s="631"/>
      <c r="AC848" s="631"/>
    </row>
    <row r="849">
      <c r="A849" s="631"/>
      <c r="B849" s="694"/>
      <c r="C849" s="694"/>
      <c r="D849" s="694"/>
      <c r="E849" s="694"/>
      <c r="F849" s="631"/>
      <c r="G849" s="631"/>
      <c r="H849" s="631"/>
      <c r="I849" s="579"/>
      <c r="J849" s="579"/>
      <c r="K849" s="694"/>
      <c r="L849" s="579"/>
      <c r="M849" s="579"/>
      <c r="N849" s="579"/>
      <c r="O849" s="631"/>
      <c r="P849" s="631"/>
      <c r="Q849" s="631"/>
      <c r="R849" s="631"/>
      <c r="S849" s="631"/>
      <c r="T849" s="631"/>
      <c r="U849" s="631"/>
      <c r="V849" s="631"/>
      <c r="W849" s="631"/>
      <c r="X849" s="631"/>
      <c r="Y849" s="631"/>
      <c r="Z849" s="631"/>
      <c r="AA849" s="631"/>
      <c r="AB849" s="631"/>
      <c r="AC849" s="631"/>
    </row>
    <row r="850">
      <c r="A850" s="631"/>
      <c r="B850" s="694"/>
      <c r="C850" s="694"/>
      <c r="D850" s="694"/>
      <c r="E850" s="694"/>
      <c r="F850" s="631"/>
      <c r="G850" s="631"/>
      <c r="H850" s="631"/>
      <c r="I850" s="579"/>
      <c r="J850" s="579"/>
      <c r="K850" s="694"/>
      <c r="L850" s="579"/>
      <c r="M850" s="579"/>
      <c r="N850" s="579"/>
      <c r="O850" s="631"/>
      <c r="P850" s="631"/>
      <c r="Q850" s="631"/>
      <c r="R850" s="631"/>
      <c r="S850" s="631"/>
      <c r="T850" s="631"/>
      <c r="U850" s="631"/>
      <c r="V850" s="631"/>
      <c r="W850" s="631"/>
      <c r="X850" s="631"/>
      <c r="Y850" s="631"/>
      <c r="Z850" s="631"/>
      <c r="AA850" s="631"/>
      <c r="AB850" s="631"/>
      <c r="AC850" s="631"/>
    </row>
    <row r="851">
      <c r="A851" s="631"/>
      <c r="B851" s="694"/>
      <c r="C851" s="694"/>
      <c r="D851" s="694"/>
      <c r="E851" s="694"/>
      <c r="F851" s="631"/>
      <c r="G851" s="631"/>
      <c r="H851" s="631"/>
      <c r="I851" s="579"/>
      <c r="J851" s="579"/>
      <c r="K851" s="694"/>
      <c r="L851" s="579"/>
      <c r="M851" s="579"/>
      <c r="N851" s="579"/>
      <c r="O851" s="631"/>
      <c r="P851" s="631"/>
      <c r="Q851" s="631"/>
      <c r="R851" s="631"/>
      <c r="S851" s="631"/>
      <c r="T851" s="631"/>
      <c r="U851" s="631"/>
      <c r="V851" s="631"/>
      <c r="W851" s="631"/>
      <c r="X851" s="631"/>
      <c r="Y851" s="631"/>
      <c r="Z851" s="631"/>
      <c r="AA851" s="631"/>
      <c r="AB851" s="631"/>
      <c r="AC851" s="631"/>
    </row>
    <row r="852">
      <c r="A852" s="631"/>
      <c r="B852" s="694"/>
      <c r="C852" s="694"/>
      <c r="D852" s="694"/>
      <c r="E852" s="694"/>
      <c r="F852" s="631"/>
      <c r="G852" s="631"/>
      <c r="H852" s="631"/>
      <c r="I852" s="579"/>
      <c r="J852" s="579"/>
      <c r="K852" s="694"/>
      <c r="L852" s="579"/>
      <c r="M852" s="579"/>
      <c r="N852" s="579"/>
      <c r="O852" s="631"/>
      <c r="P852" s="631"/>
      <c r="Q852" s="631"/>
      <c r="R852" s="631"/>
      <c r="S852" s="631"/>
      <c r="T852" s="631"/>
      <c r="U852" s="631"/>
      <c r="V852" s="631"/>
      <c r="W852" s="631"/>
      <c r="X852" s="631"/>
      <c r="Y852" s="631"/>
      <c r="Z852" s="631"/>
      <c r="AA852" s="631"/>
      <c r="AB852" s="631"/>
      <c r="AC852" s="631"/>
    </row>
    <row r="853">
      <c r="A853" s="631"/>
      <c r="B853" s="694"/>
      <c r="C853" s="694"/>
      <c r="D853" s="694"/>
      <c r="E853" s="694"/>
      <c r="F853" s="631"/>
      <c r="G853" s="631"/>
      <c r="H853" s="631"/>
      <c r="I853" s="579"/>
      <c r="J853" s="579"/>
      <c r="K853" s="694"/>
      <c r="L853" s="579"/>
      <c r="M853" s="579"/>
      <c r="N853" s="579"/>
      <c r="O853" s="631"/>
      <c r="P853" s="631"/>
      <c r="Q853" s="631"/>
      <c r="R853" s="631"/>
      <c r="S853" s="631"/>
      <c r="T853" s="631"/>
      <c r="U853" s="631"/>
      <c r="V853" s="631"/>
      <c r="W853" s="631"/>
      <c r="X853" s="631"/>
      <c r="Y853" s="631"/>
      <c r="Z853" s="631"/>
      <c r="AA853" s="631"/>
      <c r="AB853" s="631"/>
      <c r="AC853" s="631"/>
    </row>
    <row r="854">
      <c r="A854" s="631"/>
      <c r="B854" s="694"/>
      <c r="C854" s="694"/>
      <c r="D854" s="694"/>
      <c r="E854" s="694"/>
      <c r="F854" s="631"/>
      <c r="G854" s="631"/>
      <c r="H854" s="631"/>
      <c r="I854" s="579"/>
      <c r="J854" s="579"/>
      <c r="K854" s="694"/>
      <c r="L854" s="579"/>
      <c r="M854" s="579"/>
      <c r="N854" s="579"/>
      <c r="O854" s="631"/>
      <c r="P854" s="631"/>
      <c r="Q854" s="631"/>
      <c r="R854" s="631"/>
      <c r="S854" s="631"/>
      <c r="T854" s="631"/>
      <c r="U854" s="631"/>
      <c r="V854" s="631"/>
      <c r="W854" s="631"/>
      <c r="X854" s="631"/>
      <c r="Y854" s="631"/>
      <c r="Z854" s="631"/>
      <c r="AA854" s="631"/>
      <c r="AB854" s="631"/>
      <c r="AC854" s="631"/>
    </row>
    <row r="855">
      <c r="A855" s="631"/>
      <c r="B855" s="694"/>
      <c r="C855" s="694"/>
      <c r="D855" s="694"/>
      <c r="E855" s="694"/>
      <c r="F855" s="631"/>
      <c r="G855" s="631"/>
      <c r="H855" s="631"/>
      <c r="I855" s="579"/>
      <c r="J855" s="579"/>
      <c r="K855" s="694"/>
      <c r="L855" s="579"/>
      <c r="M855" s="579"/>
      <c r="N855" s="579"/>
      <c r="O855" s="631"/>
      <c r="P855" s="631"/>
      <c r="Q855" s="631"/>
      <c r="R855" s="631"/>
      <c r="S855" s="631"/>
      <c r="T855" s="631"/>
      <c r="U855" s="631"/>
      <c r="V855" s="631"/>
      <c r="W855" s="631"/>
      <c r="X855" s="631"/>
      <c r="Y855" s="631"/>
      <c r="Z855" s="631"/>
      <c r="AA855" s="631"/>
      <c r="AB855" s="631"/>
      <c r="AC855" s="631"/>
    </row>
    <row r="856">
      <c r="A856" s="631"/>
      <c r="B856" s="694"/>
      <c r="C856" s="694"/>
      <c r="D856" s="694"/>
      <c r="E856" s="694"/>
      <c r="F856" s="631"/>
      <c r="G856" s="631"/>
      <c r="H856" s="631"/>
      <c r="I856" s="579"/>
      <c r="J856" s="579"/>
      <c r="K856" s="694"/>
      <c r="L856" s="579"/>
      <c r="M856" s="579"/>
      <c r="N856" s="579"/>
      <c r="O856" s="631"/>
      <c r="P856" s="631"/>
      <c r="Q856" s="631"/>
      <c r="R856" s="631"/>
      <c r="S856" s="631"/>
      <c r="T856" s="631"/>
      <c r="U856" s="631"/>
      <c r="V856" s="631"/>
      <c r="W856" s="631"/>
      <c r="X856" s="631"/>
      <c r="Y856" s="631"/>
      <c r="Z856" s="631"/>
      <c r="AA856" s="631"/>
      <c r="AB856" s="631"/>
      <c r="AC856" s="631"/>
    </row>
    <row r="857">
      <c r="A857" s="631"/>
      <c r="B857" s="694"/>
      <c r="C857" s="694"/>
      <c r="D857" s="694"/>
      <c r="E857" s="694"/>
      <c r="F857" s="631"/>
      <c r="G857" s="631"/>
      <c r="H857" s="631"/>
      <c r="I857" s="579"/>
      <c r="J857" s="579"/>
      <c r="K857" s="694"/>
      <c r="L857" s="579"/>
      <c r="M857" s="579"/>
      <c r="N857" s="579"/>
      <c r="O857" s="631"/>
      <c r="P857" s="631"/>
      <c r="Q857" s="631"/>
      <c r="R857" s="631"/>
      <c r="S857" s="631"/>
      <c r="T857" s="631"/>
      <c r="U857" s="631"/>
      <c r="V857" s="631"/>
      <c r="W857" s="631"/>
      <c r="X857" s="631"/>
      <c r="Y857" s="631"/>
      <c r="Z857" s="631"/>
      <c r="AA857" s="631"/>
      <c r="AB857" s="631"/>
      <c r="AC857" s="631"/>
    </row>
    <row r="858">
      <c r="A858" s="631"/>
      <c r="B858" s="694"/>
      <c r="C858" s="694"/>
      <c r="D858" s="694"/>
      <c r="E858" s="694"/>
      <c r="F858" s="631"/>
      <c r="G858" s="631"/>
      <c r="H858" s="631"/>
      <c r="I858" s="579"/>
      <c r="J858" s="579"/>
      <c r="K858" s="694"/>
      <c r="L858" s="579"/>
      <c r="M858" s="579"/>
      <c r="N858" s="579"/>
      <c r="O858" s="631"/>
      <c r="P858" s="631"/>
      <c r="Q858" s="631"/>
      <c r="R858" s="631"/>
      <c r="S858" s="631"/>
      <c r="T858" s="631"/>
      <c r="U858" s="631"/>
      <c r="V858" s="631"/>
      <c r="W858" s="631"/>
      <c r="X858" s="631"/>
      <c r="Y858" s="631"/>
      <c r="Z858" s="631"/>
      <c r="AA858" s="631"/>
      <c r="AB858" s="631"/>
      <c r="AC858" s="631"/>
    </row>
    <row r="859">
      <c r="A859" s="631"/>
      <c r="B859" s="694"/>
      <c r="C859" s="694"/>
      <c r="D859" s="694"/>
      <c r="E859" s="694"/>
      <c r="F859" s="631"/>
      <c r="G859" s="631"/>
      <c r="H859" s="631"/>
      <c r="I859" s="579"/>
      <c r="J859" s="579"/>
      <c r="K859" s="694"/>
      <c r="L859" s="579"/>
      <c r="M859" s="579"/>
      <c r="N859" s="579"/>
      <c r="O859" s="631"/>
      <c r="P859" s="631"/>
      <c r="Q859" s="631"/>
      <c r="R859" s="631"/>
      <c r="S859" s="631"/>
      <c r="T859" s="631"/>
      <c r="U859" s="631"/>
      <c r="V859" s="631"/>
      <c r="W859" s="631"/>
      <c r="X859" s="631"/>
      <c r="Y859" s="631"/>
      <c r="Z859" s="631"/>
      <c r="AA859" s="631"/>
      <c r="AB859" s="631"/>
      <c r="AC859" s="631"/>
    </row>
    <row r="860">
      <c r="A860" s="631"/>
      <c r="B860" s="694"/>
      <c r="C860" s="694"/>
      <c r="D860" s="694"/>
      <c r="E860" s="694"/>
      <c r="F860" s="631"/>
      <c r="G860" s="631"/>
      <c r="H860" s="631"/>
      <c r="I860" s="579"/>
      <c r="J860" s="579"/>
      <c r="K860" s="694"/>
      <c r="L860" s="579"/>
      <c r="M860" s="579"/>
      <c r="N860" s="579"/>
      <c r="O860" s="631"/>
      <c r="P860" s="631"/>
      <c r="Q860" s="631"/>
      <c r="R860" s="631"/>
      <c r="S860" s="631"/>
      <c r="T860" s="631"/>
      <c r="U860" s="631"/>
      <c r="V860" s="631"/>
      <c r="W860" s="631"/>
      <c r="X860" s="631"/>
      <c r="Y860" s="631"/>
      <c r="Z860" s="631"/>
      <c r="AA860" s="631"/>
      <c r="AB860" s="631"/>
      <c r="AC860" s="631"/>
    </row>
    <row r="861">
      <c r="A861" s="631"/>
      <c r="B861" s="694"/>
      <c r="C861" s="694"/>
      <c r="D861" s="694"/>
      <c r="E861" s="694"/>
      <c r="F861" s="631"/>
      <c r="G861" s="631"/>
      <c r="H861" s="631"/>
      <c r="I861" s="579"/>
      <c r="J861" s="579"/>
      <c r="K861" s="694"/>
      <c r="L861" s="579"/>
      <c r="M861" s="579"/>
      <c r="N861" s="579"/>
      <c r="O861" s="631"/>
      <c r="P861" s="631"/>
      <c r="Q861" s="631"/>
      <c r="R861" s="631"/>
      <c r="S861" s="631"/>
      <c r="T861" s="631"/>
      <c r="U861" s="631"/>
      <c r="V861" s="631"/>
      <c r="W861" s="631"/>
      <c r="X861" s="631"/>
      <c r="Y861" s="631"/>
      <c r="Z861" s="631"/>
      <c r="AA861" s="631"/>
      <c r="AB861" s="631"/>
      <c r="AC861" s="631"/>
    </row>
    <row r="862">
      <c r="A862" s="631"/>
      <c r="B862" s="694"/>
      <c r="C862" s="694"/>
      <c r="D862" s="694"/>
      <c r="E862" s="694"/>
      <c r="F862" s="631"/>
      <c r="G862" s="631"/>
      <c r="H862" s="631"/>
      <c r="I862" s="579"/>
      <c r="J862" s="579"/>
      <c r="K862" s="694"/>
      <c r="L862" s="579"/>
      <c r="M862" s="579"/>
      <c r="N862" s="579"/>
      <c r="O862" s="631"/>
      <c r="P862" s="631"/>
      <c r="Q862" s="631"/>
      <c r="R862" s="631"/>
      <c r="S862" s="631"/>
      <c r="T862" s="631"/>
      <c r="U862" s="631"/>
      <c r="V862" s="631"/>
      <c r="W862" s="631"/>
      <c r="X862" s="631"/>
      <c r="Y862" s="631"/>
      <c r="Z862" s="631"/>
      <c r="AA862" s="631"/>
      <c r="AB862" s="631"/>
      <c r="AC862" s="631"/>
    </row>
    <row r="863">
      <c r="A863" s="631"/>
      <c r="B863" s="694"/>
      <c r="C863" s="694"/>
      <c r="D863" s="694"/>
      <c r="E863" s="694"/>
      <c r="F863" s="631"/>
      <c r="G863" s="631"/>
      <c r="H863" s="631"/>
      <c r="I863" s="579"/>
      <c r="J863" s="579"/>
      <c r="K863" s="694"/>
      <c r="L863" s="579"/>
      <c r="M863" s="579"/>
      <c r="N863" s="579"/>
      <c r="O863" s="631"/>
      <c r="P863" s="631"/>
      <c r="Q863" s="631"/>
      <c r="R863" s="631"/>
      <c r="S863" s="631"/>
      <c r="T863" s="631"/>
      <c r="U863" s="631"/>
      <c r="V863" s="631"/>
      <c r="W863" s="631"/>
      <c r="X863" s="631"/>
      <c r="Y863" s="631"/>
      <c r="Z863" s="631"/>
      <c r="AA863" s="631"/>
      <c r="AB863" s="631"/>
      <c r="AC863" s="631"/>
    </row>
    <row r="864">
      <c r="A864" s="631"/>
      <c r="B864" s="694"/>
      <c r="C864" s="694"/>
      <c r="D864" s="694"/>
      <c r="E864" s="694"/>
      <c r="F864" s="631"/>
      <c r="G864" s="631"/>
      <c r="H864" s="631"/>
      <c r="I864" s="579"/>
      <c r="J864" s="579"/>
      <c r="K864" s="694"/>
      <c r="L864" s="579"/>
      <c r="M864" s="579"/>
      <c r="N864" s="579"/>
      <c r="O864" s="631"/>
      <c r="P864" s="631"/>
      <c r="Q864" s="631"/>
      <c r="R864" s="631"/>
      <c r="S864" s="631"/>
      <c r="T864" s="631"/>
      <c r="U864" s="631"/>
      <c r="V864" s="631"/>
      <c r="W864" s="631"/>
      <c r="X864" s="631"/>
      <c r="Y864" s="631"/>
      <c r="Z864" s="631"/>
      <c r="AA864" s="631"/>
      <c r="AB864" s="631"/>
      <c r="AC864" s="631"/>
    </row>
    <row r="865">
      <c r="A865" s="631"/>
      <c r="B865" s="694"/>
      <c r="C865" s="694"/>
      <c r="D865" s="694"/>
      <c r="E865" s="694"/>
      <c r="F865" s="631"/>
      <c r="G865" s="631"/>
      <c r="H865" s="631"/>
      <c r="I865" s="579"/>
      <c r="J865" s="579"/>
      <c r="K865" s="694"/>
      <c r="L865" s="579"/>
      <c r="M865" s="579"/>
      <c r="N865" s="579"/>
      <c r="O865" s="631"/>
      <c r="P865" s="631"/>
      <c r="Q865" s="631"/>
      <c r="R865" s="631"/>
      <c r="S865" s="631"/>
      <c r="T865" s="631"/>
      <c r="U865" s="631"/>
      <c r="V865" s="631"/>
      <c r="W865" s="631"/>
      <c r="X865" s="631"/>
      <c r="Y865" s="631"/>
      <c r="Z865" s="631"/>
      <c r="AA865" s="631"/>
      <c r="AB865" s="631"/>
      <c r="AC865" s="631"/>
    </row>
    <row r="866">
      <c r="A866" s="631"/>
      <c r="B866" s="694"/>
      <c r="C866" s="694"/>
      <c r="D866" s="694"/>
      <c r="E866" s="694"/>
      <c r="F866" s="631"/>
      <c r="G866" s="631"/>
      <c r="H866" s="631"/>
      <c r="I866" s="579"/>
      <c r="J866" s="579"/>
      <c r="K866" s="694"/>
      <c r="L866" s="579"/>
      <c r="M866" s="579"/>
      <c r="N866" s="579"/>
      <c r="O866" s="631"/>
      <c r="P866" s="631"/>
      <c r="Q866" s="631"/>
      <c r="R866" s="631"/>
      <c r="S866" s="631"/>
      <c r="T866" s="631"/>
      <c r="U866" s="631"/>
      <c r="V866" s="631"/>
      <c r="W866" s="631"/>
      <c r="X866" s="631"/>
      <c r="Y866" s="631"/>
      <c r="Z866" s="631"/>
      <c r="AA866" s="631"/>
      <c r="AB866" s="631"/>
      <c r="AC866" s="631"/>
    </row>
    <row r="867">
      <c r="A867" s="631"/>
      <c r="B867" s="694"/>
      <c r="C867" s="694"/>
      <c r="D867" s="694"/>
      <c r="E867" s="694"/>
      <c r="F867" s="631"/>
      <c r="G867" s="631"/>
      <c r="H867" s="631"/>
      <c r="I867" s="579"/>
      <c r="J867" s="579"/>
      <c r="K867" s="694"/>
      <c r="L867" s="579"/>
      <c r="M867" s="579"/>
      <c r="N867" s="579"/>
      <c r="O867" s="631"/>
      <c r="P867" s="631"/>
      <c r="Q867" s="631"/>
      <c r="R867" s="631"/>
      <c r="S867" s="631"/>
      <c r="T867" s="631"/>
      <c r="U867" s="631"/>
      <c r="V867" s="631"/>
      <c r="W867" s="631"/>
      <c r="X867" s="631"/>
      <c r="Y867" s="631"/>
      <c r="Z867" s="631"/>
      <c r="AA867" s="631"/>
      <c r="AB867" s="631"/>
      <c r="AC867" s="631"/>
    </row>
    <row r="868">
      <c r="A868" s="631"/>
      <c r="B868" s="694"/>
      <c r="C868" s="694"/>
      <c r="D868" s="694"/>
      <c r="E868" s="694"/>
      <c r="F868" s="631"/>
      <c r="G868" s="631"/>
      <c r="H868" s="631"/>
      <c r="I868" s="579"/>
      <c r="J868" s="579"/>
      <c r="K868" s="694"/>
      <c r="L868" s="579"/>
      <c r="M868" s="579"/>
      <c r="N868" s="579"/>
      <c r="O868" s="631"/>
      <c r="P868" s="631"/>
      <c r="Q868" s="631"/>
      <c r="R868" s="631"/>
      <c r="S868" s="631"/>
      <c r="T868" s="631"/>
      <c r="U868" s="631"/>
      <c r="V868" s="631"/>
      <c r="W868" s="631"/>
      <c r="X868" s="631"/>
      <c r="Y868" s="631"/>
      <c r="Z868" s="631"/>
      <c r="AA868" s="631"/>
      <c r="AB868" s="631"/>
      <c r="AC868" s="631"/>
    </row>
    <row r="869">
      <c r="A869" s="631"/>
      <c r="B869" s="694"/>
      <c r="C869" s="694"/>
      <c r="D869" s="694"/>
      <c r="E869" s="694"/>
      <c r="F869" s="631"/>
      <c r="G869" s="631"/>
      <c r="H869" s="631"/>
      <c r="I869" s="579"/>
      <c r="J869" s="579"/>
      <c r="K869" s="694"/>
      <c r="L869" s="579"/>
      <c r="M869" s="579"/>
      <c r="N869" s="579"/>
      <c r="O869" s="631"/>
      <c r="P869" s="631"/>
      <c r="Q869" s="631"/>
      <c r="R869" s="631"/>
      <c r="S869" s="631"/>
      <c r="T869" s="631"/>
      <c r="U869" s="631"/>
      <c r="V869" s="631"/>
      <c r="W869" s="631"/>
      <c r="X869" s="631"/>
      <c r="Y869" s="631"/>
      <c r="Z869" s="631"/>
      <c r="AA869" s="631"/>
      <c r="AB869" s="631"/>
      <c r="AC869" s="631"/>
    </row>
    <row r="870">
      <c r="A870" s="631"/>
      <c r="B870" s="694"/>
      <c r="C870" s="694"/>
      <c r="D870" s="694"/>
      <c r="E870" s="694"/>
      <c r="F870" s="631"/>
      <c r="G870" s="631"/>
      <c r="H870" s="631"/>
      <c r="I870" s="579"/>
      <c r="J870" s="579"/>
      <c r="K870" s="694"/>
      <c r="L870" s="579"/>
      <c r="M870" s="579"/>
      <c r="N870" s="579"/>
      <c r="O870" s="631"/>
      <c r="P870" s="631"/>
      <c r="Q870" s="631"/>
      <c r="R870" s="631"/>
      <c r="S870" s="631"/>
      <c r="T870" s="631"/>
      <c r="U870" s="631"/>
      <c r="V870" s="631"/>
      <c r="W870" s="631"/>
      <c r="X870" s="631"/>
      <c r="Y870" s="631"/>
      <c r="Z870" s="631"/>
      <c r="AA870" s="631"/>
      <c r="AB870" s="631"/>
      <c r="AC870" s="631"/>
    </row>
    <row r="871">
      <c r="A871" s="631"/>
      <c r="B871" s="694"/>
      <c r="C871" s="694"/>
      <c r="D871" s="694"/>
      <c r="E871" s="694"/>
      <c r="F871" s="631"/>
      <c r="G871" s="631"/>
      <c r="H871" s="631"/>
      <c r="I871" s="579"/>
      <c r="J871" s="579"/>
      <c r="K871" s="694"/>
      <c r="L871" s="579"/>
      <c r="M871" s="579"/>
      <c r="N871" s="579"/>
      <c r="O871" s="631"/>
      <c r="P871" s="631"/>
      <c r="Q871" s="631"/>
      <c r="R871" s="631"/>
      <c r="S871" s="631"/>
      <c r="T871" s="631"/>
      <c r="U871" s="631"/>
      <c r="V871" s="631"/>
      <c r="W871" s="631"/>
      <c r="X871" s="631"/>
      <c r="Y871" s="631"/>
      <c r="Z871" s="631"/>
      <c r="AA871" s="631"/>
      <c r="AB871" s="631"/>
      <c r="AC871" s="631"/>
    </row>
    <row r="872">
      <c r="A872" s="631"/>
      <c r="B872" s="694"/>
      <c r="C872" s="694"/>
      <c r="D872" s="694"/>
      <c r="E872" s="694"/>
      <c r="F872" s="631"/>
      <c r="G872" s="631"/>
      <c r="H872" s="631"/>
      <c r="I872" s="579"/>
      <c r="J872" s="579"/>
      <c r="K872" s="694"/>
      <c r="L872" s="579"/>
      <c r="M872" s="579"/>
      <c r="N872" s="579"/>
      <c r="O872" s="631"/>
      <c r="P872" s="631"/>
      <c r="Q872" s="631"/>
      <c r="R872" s="631"/>
      <c r="S872" s="631"/>
      <c r="T872" s="631"/>
      <c r="U872" s="631"/>
      <c r="V872" s="631"/>
      <c r="W872" s="631"/>
      <c r="X872" s="631"/>
      <c r="Y872" s="631"/>
      <c r="Z872" s="631"/>
      <c r="AA872" s="631"/>
      <c r="AB872" s="631"/>
      <c r="AC872" s="631"/>
    </row>
    <row r="873">
      <c r="A873" s="631"/>
      <c r="B873" s="694"/>
      <c r="C873" s="694"/>
      <c r="D873" s="694"/>
      <c r="E873" s="694"/>
      <c r="F873" s="631"/>
      <c r="G873" s="631"/>
      <c r="H873" s="631"/>
      <c r="I873" s="579"/>
      <c r="J873" s="579"/>
      <c r="K873" s="694"/>
      <c r="L873" s="579"/>
      <c r="M873" s="579"/>
      <c r="N873" s="579"/>
      <c r="O873" s="631"/>
      <c r="P873" s="631"/>
      <c r="Q873" s="631"/>
      <c r="R873" s="631"/>
      <c r="S873" s="631"/>
      <c r="T873" s="631"/>
      <c r="U873" s="631"/>
      <c r="V873" s="631"/>
      <c r="W873" s="631"/>
      <c r="X873" s="631"/>
      <c r="Y873" s="631"/>
      <c r="Z873" s="631"/>
      <c r="AA873" s="631"/>
      <c r="AB873" s="631"/>
      <c r="AC873" s="631"/>
    </row>
    <row r="874">
      <c r="A874" s="631"/>
      <c r="B874" s="694"/>
      <c r="C874" s="694"/>
      <c r="D874" s="694"/>
      <c r="E874" s="694"/>
      <c r="F874" s="631"/>
      <c r="G874" s="631"/>
      <c r="H874" s="631"/>
      <c r="I874" s="579"/>
      <c r="J874" s="579"/>
      <c r="K874" s="694"/>
      <c r="L874" s="579"/>
      <c r="M874" s="579"/>
      <c r="N874" s="579"/>
      <c r="O874" s="631"/>
      <c r="P874" s="631"/>
      <c r="Q874" s="631"/>
      <c r="R874" s="631"/>
      <c r="S874" s="631"/>
      <c r="T874" s="631"/>
      <c r="U874" s="631"/>
      <c r="V874" s="631"/>
      <c r="W874" s="631"/>
      <c r="X874" s="631"/>
      <c r="Y874" s="631"/>
      <c r="Z874" s="631"/>
      <c r="AA874" s="631"/>
      <c r="AB874" s="631"/>
      <c r="AC874" s="631"/>
    </row>
    <row r="875">
      <c r="A875" s="631"/>
      <c r="B875" s="694"/>
      <c r="C875" s="694"/>
      <c r="D875" s="694"/>
      <c r="E875" s="694"/>
      <c r="F875" s="631"/>
      <c r="G875" s="631"/>
      <c r="H875" s="631"/>
      <c r="I875" s="579"/>
      <c r="J875" s="579"/>
      <c r="K875" s="694"/>
      <c r="L875" s="579"/>
      <c r="M875" s="579"/>
      <c r="N875" s="579"/>
      <c r="O875" s="631"/>
      <c r="P875" s="631"/>
      <c r="Q875" s="631"/>
      <c r="R875" s="631"/>
      <c r="S875" s="631"/>
      <c r="T875" s="631"/>
      <c r="U875" s="631"/>
      <c r="V875" s="631"/>
      <c r="W875" s="631"/>
      <c r="X875" s="631"/>
      <c r="Y875" s="631"/>
      <c r="Z875" s="631"/>
      <c r="AA875" s="631"/>
      <c r="AB875" s="631"/>
      <c r="AC875" s="631"/>
    </row>
    <row r="876">
      <c r="A876" s="631"/>
      <c r="B876" s="694"/>
      <c r="C876" s="694"/>
      <c r="D876" s="694"/>
      <c r="E876" s="694"/>
      <c r="F876" s="631"/>
      <c r="G876" s="631"/>
      <c r="H876" s="631"/>
      <c r="I876" s="579"/>
      <c r="J876" s="579"/>
      <c r="K876" s="694"/>
      <c r="L876" s="579"/>
      <c r="M876" s="579"/>
      <c r="N876" s="579"/>
      <c r="O876" s="631"/>
      <c r="P876" s="631"/>
      <c r="Q876" s="631"/>
      <c r="R876" s="631"/>
      <c r="S876" s="631"/>
      <c r="T876" s="631"/>
      <c r="U876" s="631"/>
      <c r="V876" s="631"/>
      <c r="W876" s="631"/>
      <c r="X876" s="631"/>
      <c r="Y876" s="631"/>
      <c r="Z876" s="631"/>
      <c r="AA876" s="631"/>
      <c r="AB876" s="631"/>
      <c r="AC876" s="631"/>
    </row>
    <row r="877">
      <c r="A877" s="631"/>
      <c r="B877" s="694"/>
      <c r="C877" s="694"/>
      <c r="D877" s="694"/>
      <c r="E877" s="694"/>
      <c r="F877" s="631"/>
      <c r="G877" s="631"/>
      <c r="H877" s="631"/>
      <c r="I877" s="579"/>
      <c r="J877" s="579"/>
      <c r="K877" s="694"/>
      <c r="L877" s="579"/>
      <c r="M877" s="579"/>
      <c r="N877" s="579"/>
      <c r="O877" s="631"/>
      <c r="P877" s="631"/>
      <c r="Q877" s="631"/>
      <c r="R877" s="631"/>
      <c r="S877" s="631"/>
      <c r="T877" s="631"/>
      <c r="U877" s="631"/>
      <c r="V877" s="631"/>
      <c r="W877" s="631"/>
      <c r="X877" s="631"/>
      <c r="Y877" s="631"/>
      <c r="Z877" s="631"/>
      <c r="AA877" s="631"/>
      <c r="AB877" s="631"/>
      <c r="AC877" s="631"/>
    </row>
    <row r="878">
      <c r="A878" s="631"/>
      <c r="B878" s="694"/>
      <c r="C878" s="694"/>
      <c r="D878" s="694"/>
      <c r="E878" s="694"/>
      <c r="F878" s="631"/>
      <c r="G878" s="631"/>
      <c r="H878" s="631"/>
      <c r="I878" s="579"/>
      <c r="J878" s="579"/>
      <c r="K878" s="694"/>
      <c r="L878" s="579"/>
      <c r="M878" s="579"/>
      <c r="N878" s="579"/>
      <c r="O878" s="631"/>
      <c r="P878" s="631"/>
      <c r="Q878" s="631"/>
      <c r="R878" s="631"/>
      <c r="S878" s="631"/>
      <c r="T878" s="631"/>
      <c r="U878" s="631"/>
      <c r="V878" s="631"/>
      <c r="W878" s="631"/>
      <c r="X878" s="631"/>
      <c r="Y878" s="631"/>
      <c r="Z878" s="631"/>
      <c r="AA878" s="631"/>
      <c r="AB878" s="631"/>
      <c r="AC878" s="631"/>
    </row>
    <row r="879">
      <c r="A879" s="631"/>
      <c r="B879" s="694"/>
      <c r="C879" s="694"/>
      <c r="D879" s="694"/>
      <c r="E879" s="694"/>
      <c r="F879" s="631"/>
      <c r="G879" s="631"/>
      <c r="H879" s="631"/>
      <c r="I879" s="579"/>
      <c r="J879" s="579"/>
      <c r="K879" s="694"/>
      <c r="L879" s="579"/>
      <c r="M879" s="579"/>
      <c r="N879" s="579"/>
      <c r="O879" s="631"/>
      <c r="P879" s="631"/>
      <c r="Q879" s="631"/>
      <c r="R879" s="631"/>
      <c r="S879" s="631"/>
      <c r="T879" s="631"/>
      <c r="U879" s="631"/>
      <c r="V879" s="631"/>
      <c r="W879" s="631"/>
      <c r="X879" s="631"/>
      <c r="Y879" s="631"/>
      <c r="Z879" s="631"/>
      <c r="AA879" s="631"/>
      <c r="AB879" s="631"/>
      <c r="AC879" s="631"/>
    </row>
    <row r="880">
      <c r="A880" s="631"/>
      <c r="B880" s="694"/>
      <c r="C880" s="694"/>
      <c r="D880" s="694"/>
      <c r="E880" s="694"/>
      <c r="F880" s="631"/>
      <c r="G880" s="631"/>
      <c r="H880" s="631"/>
      <c r="I880" s="579"/>
      <c r="J880" s="579"/>
      <c r="K880" s="694"/>
      <c r="L880" s="579"/>
      <c r="M880" s="579"/>
      <c r="N880" s="579"/>
      <c r="O880" s="631"/>
      <c r="P880" s="631"/>
      <c r="Q880" s="631"/>
      <c r="R880" s="631"/>
      <c r="S880" s="631"/>
      <c r="T880" s="631"/>
      <c r="U880" s="631"/>
      <c r="V880" s="631"/>
      <c r="W880" s="631"/>
      <c r="X880" s="631"/>
      <c r="Y880" s="631"/>
      <c r="Z880" s="631"/>
      <c r="AA880" s="631"/>
      <c r="AB880" s="631"/>
      <c r="AC880" s="631"/>
    </row>
    <row r="881">
      <c r="A881" s="631"/>
      <c r="B881" s="694"/>
      <c r="C881" s="694"/>
      <c r="D881" s="694"/>
      <c r="E881" s="694"/>
      <c r="F881" s="631"/>
      <c r="G881" s="631"/>
      <c r="H881" s="631"/>
      <c r="I881" s="579"/>
      <c r="J881" s="579"/>
      <c r="K881" s="694"/>
      <c r="L881" s="579"/>
      <c r="M881" s="579"/>
      <c r="N881" s="579"/>
      <c r="O881" s="631"/>
      <c r="P881" s="631"/>
      <c r="Q881" s="631"/>
      <c r="R881" s="631"/>
      <c r="S881" s="631"/>
      <c r="T881" s="631"/>
      <c r="U881" s="631"/>
      <c r="V881" s="631"/>
      <c r="W881" s="631"/>
      <c r="X881" s="631"/>
      <c r="Y881" s="631"/>
      <c r="Z881" s="631"/>
      <c r="AA881" s="631"/>
      <c r="AB881" s="631"/>
      <c r="AC881" s="631"/>
    </row>
    <row r="882">
      <c r="A882" s="631"/>
      <c r="B882" s="694"/>
      <c r="C882" s="694"/>
      <c r="D882" s="694"/>
      <c r="E882" s="694"/>
      <c r="F882" s="631"/>
      <c r="G882" s="631"/>
      <c r="H882" s="631"/>
      <c r="I882" s="579"/>
      <c r="J882" s="579"/>
      <c r="K882" s="694"/>
      <c r="L882" s="579"/>
      <c r="M882" s="579"/>
      <c r="N882" s="579"/>
      <c r="O882" s="631"/>
      <c r="P882" s="631"/>
      <c r="Q882" s="631"/>
      <c r="R882" s="631"/>
      <c r="S882" s="631"/>
      <c r="T882" s="631"/>
      <c r="U882" s="631"/>
      <c r="V882" s="631"/>
      <c r="W882" s="631"/>
      <c r="X882" s="631"/>
      <c r="Y882" s="631"/>
      <c r="Z882" s="631"/>
      <c r="AA882" s="631"/>
      <c r="AB882" s="631"/>
      <c r="AC882" s="631"/>
    </row>
    <row r="883">
      <c r="A883" s="631"/>
      <c r="B883" s="694"/>
      <c r="C883" s="694"/>
      <c r="D883" s="694"/>
      <c r="E883" s="694"/>
      <c r="F883" s="631"/>
      <c r="G883" s="631"/>
      <c r="H883" s="631"/>
      <c r="I883" s="579"/>
      <c r="J883" s="579"/>
      <c r="K883" s="694"/>
      <c r="L883" s="579"/>
      <c r="M883" s="579"/>
      <c r="N883" s="579"/>
      <c r="O883" s="631"/>
      <c r="P883" s="631"/>
      <c r="Q883" s="631"/>
      <c r="R883" s="631"/>
      <c r="S883" s="631"/>
      <c r="T883" s="631"/>
      <c r="U883" s="631"/>
      <c r="V883" s="631"/>
      <c r="W883" s="631"/>
      <c r="X883" s="631"/>
      <c r="Y883" s="631"/>
      <c r="Z883" s="631"/>
      <c r="AA883" s="631"/>
      <c r="AB883" s="631"/>
      <c r="AC883" s="631"/>
    </row>
    <row r="884">
      <c r="A884" s="631"/>
      <c r="B884" s="694"/>
      <c r="C884" s="694"/>
      <c r="D884" s="694"/>
      <c r="E884" s="694"/>
      <c r="F884" s="631"/>
      <c r="G884" s="631"/>
      <c r="H884" s="631"/>
      <c r="I884" s="579"/>
      <c r="J884" s="579"/>
      <c r="K884" s="694"/>
      <c r="L884" s="579"/>
      <c r="M884" s="579"/>
      <c r="N884" s="579"/>
      <c r="O884" s="631"/>
      <c r="P884" s="631"/>
      <c r="Q884" s="631"/>
      <c r="R884" s="631"/>
      <c r="S884" s="631"/>
      <c r="T884" s="631"/>
      <c r="U884" s="631"/>
      <c r="V884" s="631"/>
      <c r="W884" s="631"/>
      <c r="X884" s="631"/>
      <c r="Y884" s="631"/>
      <c r="Z884" s="631"/>
      <c r="AA884" s="631"/>
      <c r="AB884" s="631"/>
      <c r="AC884" s="631"/>
    </row>
    <row r="885">
      <c r="A885" s="631"/>
      <c r="B885" s="694"/>
      <c r="C885" s="694"/>
      <c r="D885" s="694"/>
      <c r="E885" s="694"/>
      <c r="F885" s="631"/>
      <c r="G885" s="631"/>
      <c r="H885" s="631"/>
      <c r="I885" s="579"/>
      <c r="J885" s="579"/>
      <c r="K885" s="694"/>
      <c r="L885" s="579"/>
      <c r="M885" s="579"/>
      <c r="N885" s="579"/>
      <c r="O885" s="631"/>
      <c r="P885" s="631"/>
      <c r="Q885" s="631"/>
      <c r="R885" s="631"/>
      <c r="S885" s="631"/>
      <c r="T885" s="631"/>
      <c r="U885" s="631"/>
      <c r="V885" s="631"/>
      <c r="W885" s="631"/>
      <c r="X885" s="631"/>
      <c r="Y885" s="631"/>
      <c r="Z885" s="631"/>
      <c r="AA885" s="631"/>
      <c r="AB885" s="631"/>
      <c r="AC885" s="631"/>
    </row>
    <row r="886">
      <c r="A886" s="631"/>
      <c r="B886" s="694"/>
      <c r="C886" s="694"/>
      <c r="D886" s="694"/>
      <c r="E886" s="694"/>
      <c r="F886" s="631"/>
      <c r="G886" s="631"/>
      <c r="H886" s="631"/>
      <c r="I886" s="579"/>
      <c r="J886" s="579"/>
      <c r="K886" s="694"/>
      <c r="L886" s="579"/>
      <c r="M886" s="579"/>
      <c r="N886" s="579"/>
      <c r="O886" s="631"/>
      <c r="P886" s="631"/>
      <c r="Q886" s="631"/>
      <c r="R886" s="631"/>
      <c r="S886" s="631"/>
      <c r="T886" s="631"/>
      <c r="U886" s="631"/>
      <c r="V886" s="631"/>
      <c r="W886" s="631"/>
      <c r="X886" s="631"/>
      <c r="Y886" s="631"/>
      <c r="Z886" s="631"/>
      <c r="AA886" s="631"/>
      <c r="AB886" s="631"/>
      <c r="AC886" s="631"/>
    </row>
    <row r="887">
      <c r="A887" s="631"/>
      <c r="B887" s="694"/>
      <c r="C887" s="694"/>
      <c r="D887" s="694"/>
      <c r="E887" s="694"/>
      <c r="F887" s="631"/>
      <c r="G887" s="631"/>
      <c r="H887" s="631"/>
      <c r="I887" s="579"/>
      <c r="J887" s="579"/>
      <c r="K887" s="694"/>
      <c r="L887" s="579"/>
      <c r="M887" s="579"/>
      <c r="N887" s="579"/>
      <c r="O887" s="631"/>
      <c r="P887" s="631"/>
      <c r="Q887" s="631"/>
      <c r="R887" s="631"/>
      <c r="S887" s="631"/>
      <c r="T887" s="631"/>
      <c r="U887" s="631"/>
      <c r="V887" s="631"/>
      <c r="W887" s="631"/>
      <c r="X887" s="631"/>
      <c r="Y887" s="631"/>
      <c r="Z887" s="631"/>
      <c r="AA887" s="631"/>
      <c r="AB887" s="631"/>
      <c r="AC887" s="631"/>
    </row>
    <row r="888">
      <c r="A888" s="631"/>
      <c r="B888" s="694"/>
      <c r="C888" s="694"/>
      <c r="D888" s="694"/>
      <c r="E888" s="694"/>
      <c r="F888" s="631"/>
      <c r="G888" s="631"/>
      <c r="H888" s="631"/>
      <c r="I888" s="579"/>
      <c r="J888" s="579"/>
      <c r="K888" s="694"/>
      <c r="L888" s="579"/>
      <c r="M888" s="579"/>
      <c r="N888" s="579"/>
      <c r="O888" s="631"/>
      <c r="P888" s="631"/>
      <c r="Q888" s="631"/>
      <c r="R888" s="631"/>
      <c r="S888" s="631"/>
      <c r="T888" s="631"/>
      <c r="U888" s="631"/>
      <c r="V888" s="631"/>
      <c r="W888" s="631"/>
      <c r="X888" s="631"/>
      <c r="Y888" s="631"/>
      <c r="Z888" s="631"/>
      <c r="AA888" s="631"/>
      <c r="AB888" s="631"/>
      <c r="AC888" s="631"/>
    </row>
    <row r="889">
      <c r="A889" s="631"/>
      <c r="B889" s="694"/>
      <c r="C889" s="694"/>
      <c r="D889" s="694"/>
      <c r="E889" s="694"/>
      <c r="F889" s="631"/>
      <c r="G889" s="631"/>
      <c r="H889" s="631"/>
      <c r="I889" s="579"/>
      <c r="J889" s="579"/>
      <c r="K889" s="694"/>
      <c r="L889" s="579"/>
      <c r="M889" s="579"/>
      <c r="N889" s="579"/>
      <c r="O889" s="631"/>
      <c r="P889" s="631"/>
      <c r="Q889" s="631"/>
      <c r="R889" s="631"/>
      <c r="S889" s="631"/>
      <c r="T889" s="631"/>
      <c r="U889" s="631"/>
      <c r="V889" s="631"/>
      <c r="W889" s="631"/>
      <c r="X889" s="631"/>
      <c r="Y889" s="631"/>
      <c r="Z889" s="631"/>
      <c r="AA889" s="631"/>
      <c r="AB889" s="631"/>
      <c r="AC889" s="631"/>
    </row>
    <row r="890">
      <c r="A890" s="631"/>
      <c r="B890" s="694"/>
      <c r="C890" s="694"/>
      <c r="D890" s="694"/>
      <c r="E890" s="694"/>
      <c r="F890" s="631"/>
      <c r="G890" s="631"/>
      <c r="H890" s="631"/>
      <c r="I890" s="579"/>
      <c r="J890" s="579"/>
      <c r="K890" s="694"/>
      <c r="L890" s="579"/>
      <c r="M890" s="579"/>
      <c r="N890" s="579"/>
      <c r="O890" s="631"/>
      <c r="P890" s="631"/>
      <c r="Q890" s="631"/>
      <c r="R890" s="631"/>
      <c r="S890" s="631"/>
      <c r="T890" s="631"/>
      <c r="U890" s="631"/>
      <c r="V890" s="631"/>
      <c r="W890" s="631"/>
      <c r="X890" s="631"/>
      <c r="Y890" s="631"/>
      <c r="Z890" s="631"/>
      <c r="AA890" s="631"/>
      <c r="AB890" s="631"/>
      <c r="AC890" s="631"/>
    </row>
    <row r="891">
      <c r="A891" s="631"/>
      <c r="B891" s="694"/>
      <c r="C891" s="694"/>
      <c r="D891" s="694"/>
      <c r="E891" s="694"/>
      <c r="F891" s="631"/>
      <c r="G891" s="631"/>
      <c r="H891" s="631"/>
      <c r="I891" s="579"/>
      <c r="J891" s="579"/>
      <c r="K891" s="694"/>
      <c r="L891" s="579"/>
      <c r="M891" s="579"/>
      <c r="N891" s="579"/>
      <c r="O891" s="631"/>
      <c r="P891" s="631"/>
      <c r="Q891" s="631"/>
      <c r="R891" s="631"/>
      <c r="S891" s="631"/>
      <c r="T891" s="631"/>
      <c r="U891" s="631"/>
      <c r="V891" s="631"/>
      <c r="W891" s="631"/>
      <c r="X891" s="631"/>
      <c r="Y891" s="631"/>
      <c r="Z891" s="631"/>
      <c r="AA891" s="631"/>
      <c r="AB891" s="631"/>
      <c r="AC891" s="631"/>
    </row>
    <row r="892">
      <c r="A892" s="631"/>
      <c r="B892" s="694"/>
      <c r="C892" s="694"/>
      <c r="D892" s="694"/>
      <c r="E892" s="694"/>
      <c r="F892" s="631"/>
      <c r="G892" s="631"/>
      <c r="H892" s="631"/>
      <c r="I892" s="579"/>
      <c r="J892" s="579"/>
      <c r="K892" s="694"/>
      <c r="L892" s="579"/>
      <c r="M892" s="579"/>
      <c r="N892" s="579"/>
      <c r="O892" s="631"/>
      <c r="P892" s="631"/>
      <c r="Q892" s="631"/>
      <c r="R892" s="631"/>
      <c r="S892" s="631"/>
      <c r="T892" s="631"/>
      <c r="U892" s="631"/>
      <c r="V892" s="631"/>
      <c r="W892" s="631"/>
      <c r="X892" s="631"/>
      <c r="Y892" s="631"/>
      <c r="Z892" s="631"/>
      <c r="AA892" s="631"/>
      <c r="AB892" s="631"/>
      <c r="AC892" s="631"/>
    </row>
    <row r="893">
      <c r="A893" s="631"/>
      <c r="B893" s="694"/>
      <c r="C893" s="694"/>
      <c r="D893" s="694"/>
      <c r="E893" s="694"/>
      <c r="F893" s="631"/>
      <c r="G893" s="631"/>
      <c r="H893" s="631"/>
      <c r="I893" s="579"/>
      <c r="J893" s="579"/>
      <c r="K893" s="694"/>
      <c r="L893" s="579"/>
      <c r="M893" s="579"/>
      <c r="N893" s="579"/>
      <c r="O893" s="631"/>
      <c r="P893" s="631"/>
      <c r="Q893" s="631"/>
      <c r="R893" s="631"/>
      <c r="S893" s="631"/>
      <c r="T893" s="631"/>
      <c r="U893" s="631"/>
      <c r="V893" s="631"/>
      <c r="W893" s="631"/>
      <c r="X893" s="631"/>
      <c r="Y893" s="631"/>
      <c r="Z893" s="631"/>
      <c r="AA893" s="631"/>
      <c r="AB893" s="631"/>
      <c r="AC893" s="631"/>
    </row>
    <row r="894">
      <c r="A894" s="631"/>
      <c r="B894" s="694"/>
      <c r="C894" s="694"/>
      <c r="D894" s="694"/>
      <c r="E894" s="694"/>
      <c r="F894" s="631"/>
      <c r="G894" s="631"/>
      <c r="H894" s="631"/>
      <c r="I894" s="579"/>
      <c r="J894" s="579"/>
      <c r="K894" s="694"/>
      <c r="L894" s="579"/>
      <c r="M894" s="579"/>
      <c r="N894" s="579"/>
      <c r="O894" s="631"/>
      <c r="P894" s="631"/>
      <c r="Q894" s="631"/>
      <c r="R894" s="631"/>
      <c r="S894" s="631"/>
      <c r="T894" s="631"/>
      <c r="U894" s="631"/>
      <c r="V894" s="631"/>
      <c r="W894" s="631"/>
      <c r="X894" s="631"/>
      <c r="Y894" s="631"/>
      <c r="Z894" s="631"/>
      <c r="AA894" s="631"/>
      <c r="AB894" s="631"/>
      <c r="AC894" s="631"/>
    </row>
    <row r="895">
      <c r="A895" s="631"/>
      <c r="B895" s="694"/>
      <c r="C895" s="694"/>
      <c r="D895" s="694"/>
      <c r="E895" s="694"/>
      <c r="F895" s="631"/>
      <c r="G895" s="631"/>
      <c r="H895" s="631"/>
      <c r="I895" s="579"/>
      <c r="J895" s="579"/>
      <c r="K895" s="694"/>
      <c r="L895" s="579"/>
      <c r="M895" s="579"/>
      <c r="N895" s="579"/>
      <c r="O895" s="631"/>
      <c r="P895" s="631"/>
      <c r="Q895" s="631"/>
      <c r="R895" s="631"/>
      <c r="S895" s="631"/>
      <c r="T895" s="631"/>
      <c r="U895" s="631"/>
      <c r="V895" s="631"/>
      <c r="W895" s="631"/>
      <c r="X895" s="631"/>
      <c r="Y895" s="631"/>
      <c r="Z895" s="631"/>
      <c r="AA895" s="631"/>
      <c r="AB895" s="631"/>
      <c r="AC895" s="631"/>
    </row>
    <row r="896">
      <c r="A896" s="631"/>
      <c r="B896" s="694"/>
      <c r="C896" s="694"/>
      <c r="D896" s="694"/>
      <c r="E896" s="694"/>
      <c r="F896" s="631"/>
      <c r="G896" s="631"/>
      <c r="H896" s="631"/>
      <c r="I896" s="579"/>
      <c r="J896" s="579"/>
      <c r="K896" s="694"/>
      <c r="L896" s="579"/>
      <c r="M896" s="579"/>
      <c r="N896" s="579"/>
      <c r="O896" s="631"/>
      <c r="P896" s="631"/>
      <c r="Q896" s="631"/>
      <c r="R896" s="631"/>
      <c r="S896" s="631"/>
      <c r="T896" s="631"/>
      <c r="U896" s="631"/>
      <c r="V896" s="631"/>
      <c r="W896" s="631"/>
      <c r="X896" s="631"/>
      <c r="Y896" s="631"/>
      <c r="Z896" s="631"/>
      <c r="AA896" s="631"/>
      <c r="AB896" s="631"/>
      <c r="AC896" s="631"/>
    </row>
    <row r="897">
      <c r="A897" s="631"/>
      <c r="B897" s="694"/>
      <c r="C897" s="694"/>
      <c r="D897" s="694"/>
      <c r="E897" s="694"/>
      <c r="F897" s="631"/>
      <c r="G897" s="631"/>
      <c r="H897" s="631"/>
      <c r="I897" s="579"/>
      <c r="J897" s="579"/>
      <c r="K897" s="694"/>
      <c r="L897" s="579"/>
      <c r="M897" s="579"/>
      <c r="N897" s="579"/>
      <c r="O897" s="631"/>
      <c r="P897" s="631"/>
      <c r="Q897" s="631"/>
      <c r="R897" s="631"/>
      <c r="S897" s="631"/>
      <c r="T897" s="631"/>
      <c r="U897" s="631"/>
      <c r="V897" s="631"/>
      <c r="W897" s="631"/>
      <c r="X897" s="631"/>
      <c r="Y897" s="631"/>
      <c r="Z897" s="631"/>
      <c r="AA897" s="631"/>
      <c r="AB897" s="631"/>
      <c r="AC897" s="631"/>
    </row>
    <row r="898">
      <c r="A898" s="631"/>
      <c r="B898" s="694"/>
      <c r="C898" s="694"/>
      <c r="D898" s="694"/>
      <c r="E898" s="694"/>
      <c r="F898" s="631"/>
      <c r="G898" s="631"/>
      <c r="H898" s="631"/>
      <c r="I898" s="579"/>
      <c r="J898" s="579"/>
      <c r="K898" s="694"/>
      <c r="L898" s="579"/>
      <c r="M898" s="579"/>
      <c r="N898" s="579"/>
      <c r="O898" s="631"/>
      <c r="P898" s="631"/>
      <c r="Q898" s="631"/>
      <c r="R898" s="631"/>
      <c r="S898" s="631"/>
      <c r="T898" s="631"/>
      <c r="U898" s="631"/>
      <c r="V898" s="631"/>
      <c r="W898" s="631"/>
      <c r="X898" s="631"/>
      <c r="Y898" s="631"/>
      <c r="Z898" s="631"/>
      <c r="AA898" s="631"/>
      <c r="AB898" s="631"/>
      <c r="AC898" s="631"/>
    </row>
    <row r="899">
      <c r="A899" s="631"/>
      <c r="B899" s="694"/>
      <c r="C899" s="694"/>
      <c r="D899" s="694"/>
      <c r="E899" s="694"/>
      <c r="F899" s="631"/>
      <c r="G899" s="631"/>
      <c r="H899" s="631"/>
      <c r="I899" s="579"/>
      <c r="J899" s="579"/>
      <c r="K899" s="694"/>
      <c r="L899" s="579"/>
      <c r="M899" s="579"/>
      <c r="N899" s="579"/>
      <c r="O899" s="631"/>
      <c r="P899" s="631"/>
      <c r="Q899" s="631"/>
      <c r="R899" s="631"/>
      <c r="S899" s="631"/>
      <c r="T899" s="631"/>
      <c r="U899" s="631"/>
      <c r="V899" s="631"/>
      <c r="W899" s="631"/>
      <c r="X899" s="631"/>
      <c r="Y899" s="631"/>
      <c r="Z899" s="631"/>
      <c r="AA899" s="631"/>
      <c r="AB899" s="631"/>
      <c r="AC899" s="631"/>
    </row>
    <row r="900">
      <c r="A900" s="631"/>
      <c r="B900" s="694"/>
      <c r="C900" s="694"/>
      <c r="D900" s="694"/>
      <c r="E900" s="694"/>
      <c r="F900" s="631"/>
      <c r="G900" s="631"/>
      <c r="H900" s="631"/>
      <c r="I900" s="579"/>
      <c r="J900" s="579"/>
      <c r="K900" s="694"/>
      <c r="L900" s="579"/>
      <c r="M900" s="579"/>
      <c r="N900" s="579"/>
      <c r="O900" s="631"/>
      <c r="P900" s="631"/>
      <c r="Q900" s="631"/>
      <c r="R900" s="631"/>
      <c r="S900" s="631"/>
      <c r="T900" s="631"/>
      <c r="U900" s="631"/>
      <c r="V900" s="631"/>
      <c r="W900" s="631"/>
      <c r="X900" s="631"/>
      <c r="Y900" s="631"/>
      <c r="Z900" s="631"/>
      <c r="AA900" s="631"/>
      <c r="AB900" s="631"/>
      <c r="AC900" s="631"/>
    </row>
    <row r="901">
      <c r="A901" s="631"/>
      <c r="B901" s="694"/>
      <c r="C901" s="694"/>
      <c r="D901" s="694"/>
      <c r="E901" s="694"/>
      <c r="F901" s="631"/>
      <c r="G901" s="631"/>
      <c r="H901" s="631"/>
      <c r="I901" s="579"/>
      <c r="J901" s="579"/>
      <c r="K901" s="694"/>
      <c r="L901" s="579"/>
      <c r="M901" s="579"/>
      <c r="N901" s="579"/>
      <c r="O901" s="631"/>
      <c r="P901" s="631"/>
      <c r="Q901" s="631"/>
      <c r="R901" s="631"/>
      <c r="S901" s="631"/>
      <c r="T901" s="631"/>
      <c r="U901" s="631"/>
      <c r="V901" s="631"/>
      <c r="W901" s="631"/>
      <c r="X901" s="631"/>
      <c r="Y901" s="631"/>
      <c r="Z901" s="631"/>
      <c r="AA901" s="631"/>
      <c r="AB901" s="631"/>
      <c r="AC901" s="631"/>
    </row>
    <row r="902">
      <c r="A902" s="631"/>
      <c r="B902" s="694"/>
      <c r="C902" s="694"/>
      <c r="D902" s="694"/>
      <c r="E902" s="694"/>
      <c r="F902" s="631"/>
      <c r="G902" s="631"/>
      <c r="H902" s="631"/>
      <c r="I902" s="579"/>
      <c r="J902" s="579"/>
      <c r="K902" s="694"/>
      <c r="L902" s="579"/>
      <c r="M902" s="579"/>
      <c r="N902" s="579"/>
      <c r="O902" s="631"/>
      <c r="P902" s="631"/>
      <c r="Q902" s="631"/>
      <c r="R902" s="631"/>
      <c r="S902" s="631"/>
      <c r="T902" s="631"/>
      <c r="U902" s="631"/>
      <c r="V902" s="631"/>
      <c r="W902" s="631"/>
      <c r="X902" s="631"/>
      <c r="Y902" s="631"/>
      <c r="Z902" s="631"/>
      <c r="AA902" s="631"/>
      <c r="AB902" s="631"/>
      <c r="AC902" s="631"/>
    </row>
    <row r="903">
      <c r="A903" s="631"/>
      <c r="B903" s="694"/>
      <c r="C903" s="694"/>
      <c r="D903" s="694"/>
      <c r="E903" s="694"/>
      <c r="F903" s="631"/>
      <c r="G903" s="631"/>
      <c r="H903" s="631"/>
      <c r="I903" s="579"/>
      <c r="J903" s="579"/>
      <c r="K903" s="694"/>
      <c r="L903" s="579"/>
      <c r="M903" s="579"/>
      <c r="N903" s="579"/>
      <c r="O903" s="631"/>
      <c r="P903" s="631"/>
      <c r="Q903" s="631"/>
      <c r="R903" s="631"/>
      <c r="S903" s="631"/>
      <c r="T903" s="631"/>
      <c r="U903" s="631"/>
      <c r="V903" s="631"/>
      <c r="W903" s="631"/>
      <c r="X903" s="631"/>
      <c r="Y903" s="631"/>
      <c r="Z903" s="631"/>
      <c r="AA903" s="631"/>
      <c r="AB903" s="631"/>
      <c r="AC903" s="631"/>
    </row>
    <row r="904">
      <c r="A904" s="631"/>
      <c r="B904" s="694"/>
      <c r="C904" s="694"/>
      <c r="D904" s="694"/>
      <c r="E904" s="694"/>
      <c r="F904" s="631"/>
      <c r="G904" s="631"/>
      <c r="H904" s="631"/>
      <c r="I904" s="579"/>
      <c r="J904" s="579"/>
      <c r="K904" s="694"/>
      <c r="L904" s="579"/>
      <c r="M904" s="579"/>
      <c r="N904" s="579"/>
      <c r="O904" s="631"/>
      <c r="P904" s="631"/>
      <c r="Q904" s="631"/>
      <c r="R904" s="631"/>
      <c r="S904" s="631"/>
      <c r="T904" s="631"/>
      <c r="U904" s="631"/>
      <c r="V904" s="631"/>
      <c r="W904" s="631"/>
      <c r="X904" s="631"/>
      <c r="Y904" s="631"/>
      <c r="Z904" s="631"/>
      <c r="AA904" s="631"/>
      <c r="AB904" s="631"/>
      <c r="AC904" s="631"/>
    </row>
    <row r="905">
      <c r="A905" s="631"/>
      <c r="B905" s="694"/>
      <c r="C905" s="694"/>
      <c r="D905" s="694"/>
      <c r="E905" s="694"/>
      <c r="F905" s="631"/>
      <c r="G905" s="631"/>
      <c r="H905" s="631"/>
      <c r="I905" s="579"/>
      <c r="J905" s="579"/>
      <c r="K905" s="694"/>
      <c r="L905" s="579"/>
      <c r="M905" s="579"/>
      <c r="N905" s="579"/>
      <c r="O905" s="631"/>
      <c r="P905" s="631"/>
      <c r="Q905" s="631"/>
      <c r="R905" s="631"/>
      <c r="S905" s="631"/>
      <c r="T905" s="631"/>
      <c r="U905" s="631"/>
      <c r="V905" s="631"/>
      <c r="W905" s="631"/>
      <c r="X905" s="631"/>
      <c r="Y905" s="631"/>
      <c r="Z905" s="631"/>
      <c r="AA905" s="631"/>
      <c r="AB905" s="631"/>
      <c r="AC905" s="631"/>
    </row>
    <row r="906">
      <c r="A906" s="631"/>
      <c r="B906" s="694"/>
      <c r="C906" s="694"/>
      <c r="D906" s="694"/>
      <c r="E906" s="694"/>
      <c r="F906" s="631"/>
      <c r="G906" s="631"/>
      <c r="H906" s="631"/>
      <c r="I906" s="579"/>
      <c r="J906" s="579"/>
      <c r="K906" s="694"/>
      <c r="L906" s="579"/>
      <c r="M906" s="579"/>
      <c r="N906" s="579"/>
      <c r="O906" s="631"/>
      <c r="P906" s="631"/>
      <c r="Q906" s="631"/>
      <c r="R906" s="631"/>
      <c r="S906" s="631"/>
      <c r="T906" s="631"/>
      <c r="U906" s="631"/>
      <c r="V906" s="631"/>
      <c r="W906" s="631"/>
      <c r="X906" s="631"/>
      <c r="Y906" s="631"/>
      <c r="Z906" s="631"/>
      <c r="AA906" s="631"/>
      <c r="AB906" s="631"/>
      <c r="AC906" s="631"/>
    </row>
    <row r="907">
      <c r="A907" s="631"/>
      <c r="B907" s="694"/>
      <c r="C907" s="694"/>
      <c r="D907" s="694"/>
      <c r="E907" s="694"/>
      <c r="F907" s="631"/>
      <c r="G907" s="631"/>
      <c r="H907" s="631"/>
      <c r="I907" s="579"/>
      <c r="J907" s="579"/>
      <c r="K907" s="694"/>
      <c r="L907" s="579"/>
      <c r="M907" s="579"/>
      <c r="N907" s="579"/>
      <c r="O907" s="631"/>
      <c r="P907" s="631"/>
      <c r="Q907" s="631"/>
      <c r="R907" s="631"/>
      <c r="S907" s="631"/>
      <c r="T907" s="631"/>
      <c r="U907" s="631"/>
      <c r="V907" s="631"/>
      <c r="W907" s="631"/>
      <c r="X907" s="631"/>
      <c r="Y907" s="631"/>
      <c r="Z907" s="631"/>
      <c r="AA907" s="631"/>
      <c r="AB907" s="631"/>
      <c r="AC907" s="631"/>
    </row>
    <row r="908">
      <c r="A908" s="631"/>
      <c r="B908" s="694"/>
      <c r="C908" s="694"/>
      <c r="D908" s="694"/>
      <c r="E908" s="694"/>
      <c r="F908" s="631"/>
      <c r="G908" s="631"/>
      <c r="H908" s="631"/>
      <c r="I908" s="579"/>
      <c r="J908" s="579"/>
      <c r="K908" s="694"/>
      <c r="L908" s="579"/>
      <c r="M908" s="579"/>
      <c r="N908" s="579"/>
      <c r="O908" s="631"/>
      <c r="P908" s="631"/>
      <c r="Q908" s="631"/>
      <c r="R908" s="631"/>
      <c r="S908" s="631"/>
      <c r="T908" s="631"/>
      <c r="U908" s="631"/>
      <c r="V908" s="631"/>
      <c r="W908" s="631"/>
      <c r="X908" s="631"/>
      <c r="Y908" s="631"/>
      <c r="Z908" s="631"/>
      <c r="AA908" s="631"/>
      <c r="AB908" s="631"/>
      <c r="AC908" s="631"/>
    </row>
    <row r="909">
      <c r="A909" s="631"/>
      <c r="B909" s="694"/>
      <c r="C909" s="694"/>
      <c r="D909" s="694"/>
      <c r="E909" s="694"/>
      <c r="F909" s="631"/>
      <c r="G909" s="631"/>
      <c r="H909" s="631"/>
      <c r="I909" s="579"/>
      <c r="J909" s="579"/>
      <c r="K909" s="694"/>
      <c r="L909" s="579"/>
      <c r="M909" s="579"/>
      <c r="N909" s="579"/>
      <c r="O909" s="631"/>
      <c r="P909" s="631"/>
      <c r="Q909" s="631"/>
      <c r="R909" s="631"/>
      <c r="S909" s="631"/>
      <c r="T909" s="631"/>
      <c r="U909" s="631"/>
      <c r="V909" s="631"/>
      <c r="W909" s="631"/>
      <c r="X909" s="631"/>
      <c r="Y909" s="631"/>
      <c r="Z909" s="631"/>
      <c r="AA909" s="631"/>
      <c r="AB909" s="631"/>
      <c r="AC909" s="631"/>
    </row>
    <row r="910">
      <c r="A910" s="631"/>
      <c r="B910" s="694"/>
      <c r="C910" s="694"/>
      <c r="D910" s="694"/>
      <c r="E910" s="694"/>
      <c r="F910" s="631"/>
      <c r="G910" s="631"/>
      <c r="H910" s="631"/>
      <c r="I910" s="579"/>
      <c r="J910" s="579"/>
      <c r="K910" s="694"/>
      <c r="L910" s="579"/>
      <c r="M910" s="579"/>
      <c r="N910" s="579"/>
      <c r="O910" s="631"/>
      <c r="P910" s="631"/>
      <c r="Q910" s="631"/>
      <c r="R910" s="631"/>
      <c r="S910" s="631"/>
      <c r="T910" s="631"/>
      <c r="U910" s="631"/>
      <c r="V910" s="631"/>
      <c r="W910" s="631"/>
      <c r="X910" s="631"/>
      <c r="Y910" s="631"/>
      <c r="Z910" s="631"/>
      <c r="AA910" s="631"/>
      <c r="AB910" s="631"/>
      <c r="AC910" s="631"/>
    </row>
    <row r="911">
      <c r="A911" s="631"/>
      <c r="B911" s="694"/>
      <c r="C911" s="694"/>
      <c r="D911" s="694"/>
      <c r="E911" s="694"/>
      <c r="F911" s="631"/>
      <c r="G911" s="631"/>
      <c r="H911" s="631"/>
      <c r="I911" s="579"/>
      <c r="J911" s="579"/>
      <c r="K911" s="694"/>
      <c r="L911" s="579"/>
      <c r="M911" s="579"/>
      <c r="N911" s="579"/>
      <c r="O911" s="631"/>
      <c r="P911" s="631"/>
      <c r="Q911" s="631"/>
      <c r="R911" s="631"/>
      <c r="S911" s="631"/>
      <c r="T911" s="631"/>
      <c r="U911" s="631"/>
      <c r="V911" s="631"/>
      <c r="W911" s="631"/>
      <c r="X911" s="631"/>
      <c r="Y911" s="631"/>
      <c r="Z911" s="631"/>
      <c r="AA911" s="631"/>
      <c r="AB911" s="631"/>
      <c r="AC911" s="631"/>
    </row>
    <row r="912">
      <c r="A912" s="631"/>
      <c r="B912" s="694"/>
      <c r="C912" s="694"/>
      <c r="D912" s="694"/>
      <c r="E912" s="694"/>
      <c r="F912" s="631"/>
      <c r="G912" s="631"/>
      <c r="H912" s="631"/>
      <c r="I912" s="579"/>
      <c r="J912" s="579"/>
      <c r="K912" s="694"/>
      <c r="L912" s="579"/>
      <c r="M912" s="579"/>
      <c r="N912" s="579"/>
      <c r="O912" s="631"/>
      <c r="P912" s="631"/>
      <c r="Q912" s="631"/>
      <c r="R912" s="631"/>
      <c r="S912" s="631"/>
      <c r="T912" s="631"/>
      <c r="U912" s="631"/>
      <c r="V912" s="631"/>
      <c r="W912" s="631"/>
      <c r="X912" s="631"/>
      <c r="Y912" s="631"/>
      <c r="Z912" s="631"/>
      <c r="AA912" s="631"/>
      <c r="AB912" s="631"/>
      <c r="AC912" s="631"/>
    </row>
    <row r="913">
      <c r="A913" s="631"/>
      <c r="B913" s="694"/>
      <c r="C913" s="694"/>
      <c r="D913" s="694"/>
      <c r="E913" s="694"/>
      <c r="F913" s="631"/>
      <c r="G913" s="631"/>
      <c r="H913" s="631"/>
      <c r="I913" s="579"/>
      <c r="J913" s="579"/>
      <c r="K913" s="694"/>
      <c r="L913" s="579"/>
      <c r="M913" s="579"/>
      <c r="N913" s="579"/>
      <c r="O913" s="631"/>
      <c r="P913" s="631"/>
      <c r="Q913" s="631"/>
      <c r="R913" s="631"/>
      <c r="S913" s="631"/>
      <c r="T913" s="631"/>
      <c r="U913" s="631"/>
      <c r="V913" s="631"/>
      <c r="W913" s="631"/>
      <c r="X913" s="631"/>
      <c r="Y913" s="631"/>
      <c r="Z913" s="631"/>
      <c r="AA913" s="631"/>
      <c r="AB913" s="631"/>
      <c r="AC913" s="631"/>
    </row>
    <row r="914">
      <c r="A914" s="631"/>
      <c r="B914" s="694"/>
      <c r="C914" s="694"/>
      <c r="D914" s="694"/>
      <c r="E914" s="694"/>
      <c r="F914" s="631"/>
      <c r="G914" s="631"/>
      <c r="H914" s="631"/>
      <c r="I914" s="579"/>
      <c r="J914" s="579"/>
      <c r="K914" s="694"/>
      <c r="L914" s="579"/>
      <c r="M914" s="579"/>
      <c r="N914" s="579"/>
      <c r="O914" s="631"/>
      <c r="P914" s="631"/>
      <c r="Q914" s="631"/>
      <c r="R914" s="631"/>
      <c r="S914" s="631"/>
      <c r="T914" s="631"/>
      <c r="U914" s="631"/>
      <c r="V914" s="631"/>
      <c r="W914" s="631"/>
      <c r="X914" s="631"/>
      <c r="Y914" s="631"/>
      <c r="Z914" s="631"/>
      <c r="AA914" s="631"/>
      <c r="AB914" s="631"/>
      <c r="AC914" s="631"/>
    </row>
    <row r="915">
      <c r="A915" s="631"/>
      <c r="B915" s="694"/>
      <c r="C915" s="694"/>
      <c r="D915" s="694"/>
      <c r="E915" s="694"/>
      <c r="F915" s="631"/>
      <c r="G915" s="631"/>
      <c r="H915" s="631"/>
      <c r="I915" s="579"/>
      <c r="J915" s="579"/>
      <c r="K915" s="694"/>
      <c r="L915" s="579"/>
      <c r="M915" s="579"/>
      <c r="N915" s="579"/>
      <c r="O915" s="631"/>
      <c r="P915" s="631"/>
      <c r="Q915" s="631"/>
      <c r="R915" s="631"/>
      <c r="S915" s="631"/>
      <c r="T915" s="631"/>
      <c r="U915" s="631"/>
      <c r="V915" s="631"/>
      <c r="W915" s="631"/>
      <c r="X915" s="631"/>
      <c r="Y915" s="631"/>
      <c r="Z915" s="631"/>
      <c r="AA915" s="631"/>
      <c r="AB915" s="631"/>
      <c r="AC915" s="631"/>
    </row>
    <row r="916">
      <c r="A916" s="631"/>
      <c r="B916" s="694"/>
      <c r="C916" s="694"/>
      <c r="D916" s="694"/>
      <c r="E916" s="694"/>
      <c r="F916" s="631"/>
      <c r="G916" s="631"/>
      <c r="H916" s="631"/>
      <c r="I916" s="579"/>
      <c r="J916" s="579"/>
      <c r="K916" s="694"/>
      <c r="L916" s="579"/>
      <c r="M916" s="579"/>
      <c r="N916" s="579"/>
      <c r="O916" s="631"/>
      <c r="P916" s="631"/>
      <c r="Q916" s="631"/>
      <c r="R916" s="631"/>
      <c r="S916" s="631"/>
      <c r="T916" s="631"/>
      <c r="U916" s="631"/>
      <c r="V916" s="631"/>
      <c r="W916" s="631"/>
      <c r="X916" s="631"/>
      <c r="Y916" s="631"/>
      <c r="Z916" s="631"/>
      <c r="AA916" s="631"/>
      <c r="AB916" s="631"/>
      <c r="AC916" s="631"/>
    </row>
    <row r="917">
      <c r="A917" s="631"/>
      <c r="B917" s="694"/>
      <c r="C917" s="694"/>
      <c r="D917" s="694"/>
      <c r="E917" s="694"/>
      <c r="F917" s="631"/>
      <c r="G917" s="631"/>
      <c r="H917" s="631"/>
      <c r="I917" s="579"/>
      <c r="J917" s="579"/>
      <c r="K917" s="694"/>
      <c r="L917" s="579"/>
      <c r="M917" s="579"/>
      <c r="N917" s="579"/>
      <c r="O917" s="631"/>
      <c r="P917" s="631"/>
      <c r="Q917" s="631"/>
      <c r="R917" s="631"/>
      <c r="S917" s="631"/>
      <c r="T917" s="631"/>
      <c r="U917" s="631"/>
      <c r="V917" s="631"/>
      <c r="W917" s="631"/>
      <c r="X917" s="631"/>
      <c r="Y917" s="631"/>
      <c r="Z917" s="631"/>
      <c r="AA917" s="631"/>
      <c r="AB917" s="631"/>
      <c r="AC917" s="631"/>
    </row>
    <row r="918">
      <c r="A918" s="631"/>
      <c r="B918" s="694"/>
      <c r="C918" s="694"/>
      <c r="D918" s="694"/>
      <c r="E918" s="694"/>
      <c r="F918" s="631"/>
      <c r="G918" s="631"/>
      <c r="H918" s="631"/>
      <c r="I918" s="579"/>
      <c r="J918" s="579"/>
      <c r="K918" s="694"/>
      <c r="L918" s="579"/>
      <c r="M918" s="579"/>
      <c r="N918" s="579"/>
      <c r="O918" s="631"/>
      <c r="P918" s="631"/>
      <c r="Q918" s="631"/>
      <c r="R918" s="631"/>
      <c r="S918" s="631"/>
      <c r="T918" s="631"/>
      <c r="U918" s="631"/>
      <c r="V918" s="631"/>
      <c r="W918" s="631"/>
      <c r="X918" s="631"/>
      <c r="Y918" s="631"/>
      <c r="Z918" s="631"/>
      <c r="AA918" s="631"/>
      <c r="AB918" s="631"/>
      <c r="AC918" s="631"/>
    </row>
    <row r="919">
      <c r="A919" s="631"/>
      <c r="B919" s="694"/>
      <c r="C919" s="694"/>
      <c r="D919" s="694"/>
      <c r="E919" s="694"/>
      <c r="F919" s="631"/>
      <c r="G919" s="631"/>
      <c r="H919" s="631"/>
      <c r="I919" s="579"/>
      <c r="J919" s="579"/>
      <c r="K919" s="694"/>
      <c r="L919" s="579"/>
      <c r="M919" s="579"/>
      <c r="N919" s="579"/>
      <c r="O919" s="631"/>
      <c r="P919" s="631"/>
      <c r="Q919" s="631"/>
      <c r="R919" s="631"/>
      <c r="S919" s="631"/>
      <c r="T919" s="631"/>
      <c r="U919" s="631"/>
      <c r="V919" s="631"/>
      <c r="W919" s="631"/>
      <c r="X919" s="631"/>
      <c r="Y919" s="631"/>
      <c r="Z919" s="631"/>
      <c r="AA919" s="631"/>
      <c r="AB919" s="631"/>
      <c r="AC919" s="631"/>
    </row>
    <row r="920">
      <c r="A920" s="631"/>
      <c r="B920" s="694"/>
      <c r="C920" s="694"/>
      <c r="D920" s="694"/>
      <c r="E920" s="694"/>
      <c r="F920" s="631"/>
      <c r="G920" s="631"/>
      <c r="H920" s="631"/>
      <c r="I920" s="579"/>
      <c r="J920" s="579"/>
      <c r="K920" s="694"/>
      <c r="L920" s="579"/>
      <c r="M920" s="579"/>
      <c r="N920" s="579"/>
      <c r="O920" s="631"/>
      <c r="P920" s="631"/>
      <c r="Q920" s="631"/>
      <c r="R920" s="631"/>
      <c r="S920" s="631"/>
      <c r="T920" s="631"/>
      <c r="U920" s="631"/>
      <c r="V920" s="631"/>
      <c r="W920" s="631"/>
      <c r="X920" s="631"/>
      <c r="Y920" s="631"/>
      <c r="Z920" s="631"/>
      <c r="AA920" s="631"/>
      <c r="AB920" s="631"/>
      <c r="AC920" s="631"/>
    </row>
    <row r="921">
      <c r="A921" s="631"/>
      <c r="B921" s="694"/>
      <c r="C921" s="694"/>
      <c r="D921" s="694"/>
      <c r="E921" s="694"/>
      <c r="F921" s="631"/>
      <c r="G921" s="631"/>
      <c r="H921" s="631"/>
      <c r="I921" s="579"/>
      <c r="J921" s="579"/>
      <c r="K921" s="694"/>
      <c r="L921" s="579"/>
      <c r="M921" s="579"/>
      <c r="N921" s="579"/>
      <c r="O921" s="631"/>
      <c r="P921" s="631"/>
      <c r="Q921" s="631"/>
      <c r="R921" s="631"/>
      <c r="S921" s="631"/>
      <c r="T921" s="631"/>
      <c r="U921" s="631"/>
      <c r="V921" s="631"/>
      <c r="W921" s="631"/>
      <c r="X921" s="631"/>
      <c r="Y921" s="631"/>
      <c r="Z921" s="631"/>
      <c r="AA921" s="631"/>
      <c r="AB921" s="631"/>
      <c r="AC921" s="631"/>
    </row>
    <row r="922">
      <c r="A922" s="631"/>
      <c r="B922" s="694"/>
      <c r="C922" s="694"/>
      <c r="D922" s="694"/>
      <c r="E922" s="694"/>
      <c r="F922" s="631"/>
      <c r="G922" s="631"/>
      <c r="H922" s="631"/>
      <c r="I922" s="579"/>
      <c r="J922" s="579"/>
      <c r="K922" s="694"/>
      <c r="L922" s="579"/>
      <c r="M922" s="579"/>
      <c r="N922" s="579"/>
      <c r="O922" s="631"/>
      <c r="P922" s="631"/>
      <c r="Q922" s="631"/>
      <c r="R922" s="631"/>
      <c r="S922" s="631"/>
      <c r="T922" s="631"/>
      <c r="U922" s="631"/>
      <c r="V922" s="631"/>
      <c r="W922" s="631"/>
      <c r="X922" s="631"/>
      <c r="Y922" s="631"/>
      <c r="Z922" s="631"/>
      <c r="AA922" s="631"/>
      <c r="AB922" s="631"/>
      <c r="AC922" s="631"/>
    </row>
    <row r="923">
      <c r="A923" s="631"/>
      <c r="B923" s="694"/>
      <c r="C923" s="694"/>
      <c r="D923" s="694"/>
      <c r="E923" s="694"/>
      <c r="F923" s="631"/>
      <c r="G923" s="631"/>
      <c r="H923" s="631"/>
      <c r="I923" s="579"/>
      <c r="J923" s="579"/>
      <c r="K923" s="694"/>
      <c r="L923" s="579"/>
      <c r="M923" s="579"/>
      <c r="N923" s="579"/>
      <c r="O923" s="631"/>
      <c r="P923" s="631"/>
      <c r="Q923" s="631"/>
      <c r="R923" s="631"/>
      <c r="S923" s="631"/>
      <c r="T923" s="631"/>
      <c r="U923" s="631"/>
      <c r="V923" s="631"/>
      <c r="W923" s="631"/>
      <c r="X923" s="631"/>
      <c r="Y923" s="631"/>
      <c r="Z923" s="631"/>
      <c r="AA923" s="631"/>
      <c r="AB923" s="631"/>
      <c r="AC923" s="631"/>
    </row>
    <row r="924">
      <c r="A924" s="631"/>
      <c r="B924" s="694"/>
      <c r="C924" s="694"/>
      <c r="D924" s="694"/>
      <c r="E924" s="694"/>
      <c r="F924" s="631"/>
      <c r="G924" s="631"/>
      <c r="H924" s="631"/>
      <c r="I924" s="579"/>
      <c r="J924" s="579"/>
      <c r="K924" s="694"/>
      <c r="L924" s="579"/>
      <c r="M924" s="579"/>
      <c r="N924" s="579"/>
      <c r="O924" s="631"/>
      <c r="P924" s="631"/>
      <c r="Q924" s="631"/>
      <c r="R924" s="631"/>
      <c r="S924" s="631"/>
      <c r="T924" s="631"/>
      <c r="U924" s="631"/>
      <c r="V924" s="631"/>
      <c r="W924" s="631"/>
      <c r="X924" s="631"/>
      <c r="Y924" s="631"/>
      <c r="Z924" s="631"/>
      <c r="AA924" s="631"/>
      <c r="AB924" s="631"/>
      <c r="AC924" s="631"/>
    </row>
    <row r="925">
      <c r="A925" s="631"/>
      <c r="B925" s="694"/>
      <c r="C925" s="694"/>
      <c r="D925" s="694"/>
      <c r="E925" s="694"/>
      <c r="F925" s="631"/>
      <c r="G925" s="631"/>
      <c r="H925" s="631"/>
      <c r="I925" s="579"/>
      <c r="J925" s="579"/>
      <c r="K925" s="694"/>
      <c r="L925" s="579"/>
      <c r="M925" s="579"/>
      <c r="N925" s="579"/>
      <c r="O925" s="631"/>
      <c r="P925" s="631"/>
      <c r="Q925" s="631"/>
      <c r="R925" s="631"/>
      <c r="S925" s="631"/>
      <c r="T925" s="631"/>
      <c r="U925" s="631"/>
      <c r="V925" s="631"/>
      <c r="W925" s="631"/>
      <c r="X925" s="631"/>
      <c r="Y925" s="631"/>
      <c r="Z925" s="631"/>
      <c r="AA925" s="631"/>
      <c r="AB925" s="631"/>
      <c r="AC925" s="631"/>
    </row>
    <row r="926">
      <c r="A926" s="631"/>
      <c r="B926" s="694"/>
      <c r="C926" s="694"/>
      <c r="D926" s="694"/>
      <c r="E926" s="694"/>
      <c r="F926" s="631"/>
      <c r="G926" s="631"/>
      <c r="H926" s="631"/>
      <c r="I926" s="579"/>
      <c r="J926" s="579"/>
      <c r="K926" s="694"/>
      <c r="L926" s="579"/>
      <c r="M926" s="579"/>
      <c r="N926" s="579"/>
      <c r="O926" s="631"/>
      <c r="P926" s="631"/>
      <c r="Q926" s="631"/>
      <c r="R926" s="631"/>
      <c r="S926" s="631"/>
      <c r="T926" s="631"/>
      <c r="U926" s="631"/>
      <c r="V926" s="631"/>
      <c r="W926" s="631"/>
      <c r="X926" s="631"/>
      <c r="Y926" s="631"/>
      <c r="Z926" s="631"/>
      <c r="AA926" s="631"/>
      <c r="AB926" s="631"/>
      <c r="AC926" s="631"/>
    </row>
    <row r="927">
      <c r="A927" s="631"/>
      <c r="B927" s="694"/>
      <c r="C927" s="694"/>
      <c r="D927" s="694"/>
      <c r="E927" s="694"/>
      <c r="F927" s="631"/>
      <c r="G927" s="631"/>
      <c r="H927" s="631"/>
      <c r="I927" s="579"/>
      <c r="J927" s="579"/>
      <c r="K927" s="694"/>
      <c r="L927" s="579"/>
      <c r="M927" s="579"/>
      <c r="N927" s="579"/>
      <c r="O927" s="631"/>
      <c r="P927" s="631"/>
      <c r="Q927" s="631"/>
      <c r="R927" s="631"/>
      <c r="S927" s="631"/>
      <c r="T927" s="631"/>
      <c r="U927" s="631"/>
      <c r="V927" s="631"/>
      <c r="W927" s="631"/>
      <c r="X927" s="631"/>
      <c r="Y927" s="631"/>
      <c r="Z927" s="631"/>
      <c r="AA927" s="631"/>
      <c r="AB927" s="631"/>
      <c r="AC927" s="631"/>
    </row>
    <row r="928">
      <c r="A928" s="631"/>
      <c r="B928" s="694"/>
      <c r="C928" s="694"/>
      <c r="D928" s="694"/>
      <c r="E928" s="694"/>
      <c r="F928" s="631"/>
      <c r="G928" s="631"/>
      <c r="H928" s="631"/>
      <c r="I928" s="579"/>
      <c r="J928" s="579"/>
      <c r="K928" s="694"/>
      <c r="L928" s="579"/>
      <c r="M928" s="579"/>
      <c r="N928" s="579"/>
      <c r="O928" s="631"/>
      <c r="P928" s="631"/>
      <c r="Q928" s="631"/>
      <c r="R928" s="631"/>
      <c r="S928" s="631"/>
      <c r="T928" s="631"/>
      <c r="U928" s="631"/>
      <c r="V928" s="631"/>
      <c r="W928" s="631"/>
      <c r="X928" s="631"/>
      <c r="Y928" s="631"/>
      <c r="Z928" s="631"/>
      <c r="AA928" s="631"/>
      <c r="AB928" s="631"/>
      <c r="AC928" s="631"/>
    </row>
    <row r="929">
      <c r="A929" s="631"/>
      <c r="B929" s="694"/>
      <c r="C929" s="694"/>
      <c r="D929" s="694"/>
      <c r="E929" s="694"/>
      <c r="F929" s="631"/>
      <c r="G929" s="631"/>
      <c r="H929" s="631"/>
      <c r="I929" s="579"/>
      <c r="J929" s="579"/>
      <c r="K929" s="694"/>
      <c r="L929" s="579"/>
      <c r="M929" s="579"/>
      <c r="N929" s="579"/>
      <c r="O929" s="631"/>
      <c r="P929" s="631"/>
      <c r="Q929" s="631"/>
      <c r="R929" s="631"/>
      <c r="S929" s="631"/>
      <c r="T929" s="631"/>
      <c r="U929" s="631"/>
      <c r="V929" s="631"/>
      <c r="W929" s="631"/>
      <c r="X929" s="631"/>
      <c r="Y929" s="631"/>
      <c r="Z929" s="631"/>
      <c r="AA929" s="631"/>
      <c r="AB929" s="631"/>
      <c r="AC929" s="631"/>
    </row>
    <row r="930">
      <c r="A930" s="631"/>
      <c r="B930" s="694"/>
      <c r="C930" s="694"/>
      <c r="D930" s="694"/>
      <c r="E930" s="694"/>
      <c r="F930" s="631"/>
      <c r="G930" s="631"/>
      <c r="H930" s="631"/>
      <c r="I930" s="579"/>
      <c r="J930" s="579"/>
      <c r="K930" s="694"/>
      <c r="L930" s="579"/>
      <c r="M930" s="579"/>
      <c r="N930" s="579"/>
      <c r="O930" s="631"/>
      <c r="P930" s="631"/>
      <c r="Q930" s="631"/>
      <c r="R930" s="631"/>
      <c r="S930" s="631"/>
      <c r="T930" s="631"/>
      <c r="U930" s="631"/>
      <c r="V930" s="631"/>
      <c r="W930" s="631"/>
      <c r="X930" s="631"/>
      <c r="Y930" s="631"/>
      <c r="Z930" s="631"/>
      <c r="AA930" s="631"/>
      <c r="AB930" s="631"/>
      <c r="AC930" s="631"/>
    </row>
    <row r="931">
      <c r="A931" s="631"/>
      <c r="B931" s="694"/>
      <c r="C931" s="694"/>
      <c r="D931" s="694"/>
      <c r="E931" s="694"/>
      <c r="F931" s="631"/>
      <c r="G931" s="631"/>
      <c r="H931" s="631"/>
      <c r="I931" s="579"/>
      <c r="J931" s="579"/>
      <c r="K931" s="694"/>
      <c r="L931" s="579"/>
      <c r="M931" s="579"/>
      <c r="N931" s="579"/>
      <c r="O931" s="631"/>
      <c r="P931" s="631"/>
      <c r="Q931" s="631"/>
      <c r="R931" s="631"/>
      <c r="S931" s="631"/>
      <c r="T931" s="631"/>
      <c r="U931" s="631"/>
      <c r="V931" s="631"/>
      <c r="W931" s="631"/>
      <c r="X931" s="631"/>
      <c r="Y931" s="631"/>
      <c r="Z931" s="631"/>
      <c r="AA931" s="631"/>
      <c r="AB931" s="631"/>
      <c r="AC931" s="631"/>
    </row>
    <row r="932">
      <c r="A932" s="631"/>
      <c r="B932" s="694"/>
      <c r="C932" s="694"/>
      <c r="D932" s="694"/>
      <c r="E932" s="694"/>
      <c r="F932" s="631"/>
      <c r="G932" s="631"/>
      <c r="H932" s="631"/>
      <c r="I932" s="579"/>
      <c r="J932" s="579"/>
      <c r="K932" s="694"/>
      <c r="L932" s="579"/>
      <c r="M932" s="579"/>
      <c r="N932" s="579"/>
      <c r="O932" s="631"/>
      <c r="P932" s="631"/>
      <c r="Q932" s="631"/>
      <c r="R932" s="631"/>
      <c r="S932" s="631"/>
      <c r="T932" s="631"/>
      <c r="U932" s="631"/>
      <c r="V932" s="631"/>
      <c r="W932" s="631"/>
      <c r="X932" s="631"/>
      <c r="Y932" s="631"/>
      <c r="Z932" s="631"/>
      <c r="AA932" s="631"/>
      <c r="AB932" s="631"/>
      <c r="AC932" s="631"/>
    </row>
    <row r="933">
      <c r="A933" s="631"/>
      <c r="B933" s="694"/>
      <c r="C933" s="694"/>
      <c r="D933" s="694"/>
      <c r="E933" s="694"/>
      <c r="F933" s="631"/>
      <c r="G933" s="631"/>
      <c r="H933" s="631"/>
      <c r="I933" s="579"/>
      <c r="J933" s="579"/>
      <c r="K933" s="694"/>
      <c r="L933" s="579"/>
      <c r="M933" s="579"/>
      <c r="N933" s="579"/>
      <c r="O933" s="631"/>
      <c r="P933" s="631"/>
      <c r="Q933" s="631"/>
      <c r="R933" s="631"/>
      <c r="S933" s="631"/>
      <c r="T933" s="631"/>
      <c r="U933" s="631"/>
      <c r="V933" s="631"/>
      <c r="W933" s="631"/>
      <c r="X933" s="631"/>
      <c r="Y933" s="631"/>
      <c r="Z933" s="631"/>
      <c r="AA933" s="631"/>
      <c r="AB933" s="631"/>
      <c r="AC933" s="631"/>
    </row>
    <row r="934">
      <c r="A934" s="631"/>
      <c r="B934" s="694"/>
      <c r="C934" s="694"/>
      <c r="D934" s="694"/>
      <c r="E934" s="694"/>
      <c r="F934" s="631"/>
      <c r="G934" s="631"/>
      <c r="H934" s="631"/>
      <c r="I934" s="579"/>
      <c r="J934" s="579"/>
      <c r="K934" s="694"/>
      <c r="L934" s="579"/>
      <c r="M934" s="579"/>
      <c r="N934" s="579"/>
      <c r="O934" s="631"/>
      <c r="P934" s="631"/>
      <c r="Q934" s="631"/>
      <c r="R934" s="631"/>
      <c r="S934" s="631"/>
      <c r="T934" s="631"/>
      <c r="U934" s="631"/>
      <c r="V934" s="631"/>
      <c r="W934" s="631"/>
      <c r="X934" s="631"/>
      <c r="Y934" s="631"/>
      <c r="Z934" s="631"/>
      <c r="AA934" s="631"/>
      <c r="AB934" s="631"/>
      <c r="AC934" s="631"/>
    </row>
    <row r="935">
      <c r="A935" s="631"/>
      <c r="B935" s="694"/>
      <c r="C935" s="694"/>
      <c r="D935" s="694"/>
      <c r="E935" s="694"/>
      <c r="F935" s="631"/>
      <c r="G935" s="631"/>
      <c r="H935" s="631"/>
      <c r="I935" s="579"/>
      <c r="J935" s="579"/>
      <c r="K935" s="694"/>
      <c r="L935" s="579"/>
      <c r="M935" s="579"/>
      <c r="N935" s="579"/>
      <c r="O935" s="631"/>
      <c r="P935" s="631"/>
      <c r="Q935" s="631"/>
      <c r="R935" s="631"/>
      <c r="S935" s="631"/>
      <c r="T935" s="631"/>
      <c r="U935" s="631"/>
      <c r="V935" s="631"/>
      <c r="W935" s="631"/>
      <c r="X935" s="631"/>
      <c r="Y935" s="631"/>
      <c r="Z935" s="631"/>
      <c r="AA935" s="631"/>
      <c r="AB935" s="631"/>
      <c r="AC935" s="631"/>
    </row>
    <row r="936">
      <c r="A936" s="631"/>
      <c r="B936" s="694"/>
      <c r="C936" s="694"/>
      <c r="D936" s="694"/>
      <c r="E936" s="694"/>
      <c r="F936" s="631"/>
      <c r="G936" s="631"/>
      <c r="H936" s="631"/>
      <c r="I936" s="579"/>
      <c r="J936" s="579"/>
      <c r="K936" s="694"/>
      <c r="L936" s="579"/>
      <c r="M936" s="579"/>
      <c r="N936" s="579"/>
      <c r="O936" s="631"/>
      <c r="P936" s="631"/>
      <c r="Q936" s="631"/>
      <c r="R936" s="631"/>
      <c r="S936" s="631"/>
      <c r="T936" s="631"/>
      <c r="U936" s="631"/>
      <c r="V936" s="631"/>
      <c r="W936" s="631"/>
      <c r="X936" s="631"/>
      <c r="Y936" s="631"/>
      <c r="Z936" s="631"/>
      <c r="AA936" s="631"/>
      <c r="AB936" s="631"/>
      <c r="AC936" s="631"/>
    </row>
    <row r="937">
      <c r="A937" s="631"/>
      <c r="B937" s="694"/>
      <c r="C937" s="694"/>
      <c r="D937" s="694"/>
      <c r="E937" s="694"/>
      <c r="F937" s="631"/>
      <c r="G937" s="631"/>
      <c r="H937" s="631"/>
      <c r="I937" s="579"/>
      <c r="J937" s="579"/>
      <c r="K937" s="694"/>
      <c r="L937" s="579"/>
      <c r="M937" s="579"/>
      <c r="N937" s="579"/>
      <c r="O937" s="631"/>
      <c r="P937" s="631"/>
      <c r="Q937" s="631"/>
      <c r="R937" s="631"/>
      <c r="S937" s="631"/>
      <c r="T937" s="631"/>
      <c r="U937" s="631"/>
      <c r="V937" s="631"/>
      <c r="W937" s="631"/>
      <c r="X937" s="631"/>
      <c r="Y937" s="631"/>
      <c r="Z937" s="631"/>
      <c r="AA937" s="631"/>
      <c r="AB937" s="631"/>
      <c r="AC937" s="631"/>
    </row>
    <row r="938">
      <c r="A938" s="631"/>
      <c r="B938" s="694"/>
      <c r="C938" s="694"/>
      <c r="D938" s="694"/>
      <c r="E938" s="694"/>
      <c r="F938" s="631"/>
      <c r="G938" s="631"/>
      <c r="H938" s="631"/>
      <c r="I938" s="579"/>
      <c r="J938" s="579"/>
      <c r="K938" s="694"/>
      <c r="L938" s="579"/>
      <c r="M938" s="579"/>
      <c r="N938" s="579"/>
      <c r="O938" s="631"/>
      <c r="P938" s="631"/>
      <c r="Q938" s="631"/>
      <c r="R938" s="631"/>
      <c r="S938" s="631"/>
      <c r="T938" s="631"/>
      <c r="U938" s="631"/>
      <c r="V938" s="631"/>
      <c r="W938" s="631"/>
      <c r="X938" s="631"/>
      <c r="Y938" s="631"/>
      <c r="Z938" s="631"/>
      <c r="AA938" s="631"/>
      <c r="AB938" s="631"/>
      <c r="AC938" s="631"/>
    </row>
    <row r="939">
      <c r="A939" s="631"/>
      <c r="B939" s="694"/>
      <c r="C939" s="694"/>
      <c r="D939" s="694"/>
      <c r="E939" s="694"/>
      <c r="F939" s="631"/>
      <c r="G939" s="631"/>
      <c r="H939" s="631"/>
      <c r="I939" s="579"/>
      <c r="J939" s="579"/>
      <c r="K939" s="694"/>
      <c r="L939" s="579"/>
      <c r="M939" s="579"/>
      <c r="N939" s="579"/>
      <c r="O939" s="631"/>
      <c r="P939" s="631"/>
      <c r="Q939" s="631"/>
      <c r="R939" s="631"/>
      <c r="S939" s="631"/>
      <c r="T939" s="631"/>
      <c r="U939" s="631"/>
      <c r="V939" s="631"/>
      <c r="W939" s="631"/>
      <c r="X939" s="631"/>
      <c r="Y939" s="631"/>
      <c r="Z939" s="631"/>
      <c r="AA939" s="631"/>
      <c r="AB939" s="631"/>
      <c r="AC939" s="631"/>
    </row>
    <row r="940">
      <c r="A940" s="631"/>
      <c r="B940" s="694"/>
      <c r="C940" s="694"/>
      <c r="D940" s="694"/>
      <c r="E940" s="694"/>
      <c r="F940" s="631"/>
      <c r="G940" s="631"/>
      <c r="H940" s="631"/>
      <c r="I940" s="579"/>
      <c r="J940" s="579"/>
      <c r="K940" s="694"/>
      <c r="L940" s="579"/>
      <c r="M940" s="579"/>
      <c r="N940" s="579"/>
      <c r="O940" s="631"/>
      <c r="P940" s="631"/>
      <c r="Q940" s="631"/>
      <c r="R940" s="631"/>
      <c r="S940" s="631"/>
      <c r="T940" s="631"/>
      <c r="U940" s="631"/>
      <c r="V940" s="631"/>
      <c r="W940" s="631"/>
      <c r="X940" s="631"/>
      <c r="Y940" s="631"/>
      <c r="Z940" s="631"/>
      <c r="AA940" s="631"/>
      <c r="AB940" s="631"/>
      <c r="AC940" s="631"/>
    </row>
    <row r="941">
      <c r="A941" s="631"/>
      <c r="B941" s="694"/>
      <c r="C941" s="694"/>
      <c r="D941" s="694"/>
      <c r="E941" s="694"/>
      <c r="F941" s="631"/>
      <c r="G941" s="631"/>
      <c r="H941" s="631"/>
      <c r="I941" s="579"/>
      <c r="J941" s="579"/>
      <c r="K941" s="694"/>
      <c r="L941" s="579"/>
      <c r="M941" s="579"/>
      <c r="N941" s="579"/>
      <c r="O941" s="631"/>
      <c r="P941" s="631"/>
      <c r="Q941" s="631"/>
      <c r="R941" s="631"/>
      <c r="S941" s="631"/>
      <c r="T941" s="631"/>
      <c r="U941" s="631"/>
      <c r="V941" s="631"/>
      <c r="W941" s="631"/>
      <c r="X941" s="631"/>
      <c r="Y941" s="631"/>
      <c r="Z941" s="631"/>
      <c r="AA941" s="631"/>
      <c r="AB941" s="631"/>
      <c r="AC941" s="631"/>
    </row>
    <row r="942">
      <c r="A942" s="631"/>
      <c r="B942" s="694"/>
      <c r="C942" s="694"/>
      <c r="D942" s="694"/>
      <c r="E942" s="694"/>
      <c r="F942" s="631"/>
      <c r="G942" s="631"/>
      <c r="H942" s="631"/>
      <c r="I942" s="579"/>
      <c r="J942" s="579"/>
      <c r="K942" s="694"/>
      <c r="L942" s="579"/>
      <c r="M942" s="579"/>
      <c r="N942" s="579"/>
      <c r="O942" s="631"/>
      <c r="P942" s="631"/>
      <c r="Q942" s="631"/>
      <c r="R942" s="631"/>
      <c r="S942" s="631"/>
      <c r="T942" s="631"/>
      <c r="U942" s="631"/>
      <c r="V942" s="631"/>
      <c r="W942" s="631"/>
      <c r="X942" s="631"/>
      <c r="Y942" s="631"/>
      <c r="Z942" s="631"/>
      <c r="AA942" s="631"/>
      <c r="AB942" s="631"/>
      <c r="AC942" s="631"/>
    </row>
    <row r="943">
      <c r="A943" s="631"/>
      <c r="B943" s="694"/>
      <c r="C943" s="694"/>
      <c r="D943" s="694"/>
      <c r="E943" s="694"/>
      <c r="F943" s="631"/>
      <c r="G943" s="631"/>
      <c r="H943" s="631"/>
      <c r="I943" s="579"/>
      <c r="J943" s="579"/>
      <c r="K943" s="694"/>
      <c r="L943" s="579"/>
      <c r="M943" s="579"/>
      <c r="N943" s="579"/>
      <c r="O943" s="631"/>
      <c r="P943" s="631"/>
      <c r="Q943" s="631"/>
      <c r="R943" s="631"/>
      <c r="S943" s="631"/>
      <c r="T943" s="631"/>
      <c r="U943" s="631"/>
      <c r="V943" s="631"/>
      <c r="W943" s="631"/>
      <c r="X943" s="631"/>
      <c r="Y943" s="631"/>
      <c r="Z943" s="631"/>
      <c r="AA943" s="631"/>
      <c r="AB943" s="631"/>
      <c r="AC943" s="631"/>
    </row>
    <row r="944">
      <c r="A944" s="631"/>
      <c r="B944" s="694"/>
      <c r="C944" s="694"/>
      <c r="D944" s="694"/>
      <c r="E944" s="694"/>
      <c r="F944" s="631"/>
      <c r="G944" s="631"/>
      <c r="H944" s="631"/>
      <c r="I944" s="579"/>
      <c r="J944" s="579"/>
      <c r="K944" s="694"/>
      <c r="L944" s="579"/>
      <c r="M944" s="579"/>
      <c r="N944" s="579"/>
      <c r="O944" s="631"/>
      <c r="P944" s="631"/>
      <c r="Q944" s="631"/>
      <c r="R944" s="631"/>
      <c r="S944" s="631"/>
      <c r="T944" s="631"/>
      <c r="U944" s="631"/>
      <c r="V944" s="631"/>
      <c r="W944" s="631"/>
      <c r="X944" s="631"/>
      <c r="Y944" s="631"/>
      <c r="Z944" s="631"/>
      <c r="AA944" s="631"/>
      <c r="AB944" s="631"/>
      <c r="AC944" s="631"/>
    </row>
    <row r="945">
      <c r="A945" s="631"/>
      <c r="B945" s="694"/>
      <c r="C945" s="694"/>
      <c r="D945" s="694"/>
      <c r="E945" s="694"/>
      <c r="F945" s="631"/>
      <c r="G945" s="631"/>
      <c r="H945" s="631"/>
      <c r="I945" s="579"/>
      <c r="J945" s="579"/>
      <c r="K945" s="694"/>
      <c r="L945" s="579"/>
      <c r="M945" s="579"/>
      <c r="N945" s="579"/>
      <c r="O945" s="631"/>
      <c r="P945" s="631"/>
      <c r="Q945" s="631"/>
      <c r="R945" s="631"/>
      <c r="S945" s="631"/>
      <c r="T945" s="631"/>
      <c r="U945" s="631"/>
      <c r="V945" s="631"/>
      <c r="W945" s="631"/>
      <c r="X945" s="631"/>
      <c r="Y945" s="631"/>
      <c r="Z945" s="631"/>
      <c r="AA945" s="631"/>
      <c r="AB945" s="631"/>
      <c r="AC945" s="631"/>
    </row>
    <row r="946">
      <c r="A946" s="631"/>
      <c r="B946" s="694"/>
      <c r="C946" s="694"/>
      <c r="D946" s="694"/>
      <c r="E946" s="694"/>
      <c r="F946" s="631"/>
      <c r="G946" s="631"/>
      <c r="H946" s="631"/>
      <c r="I946" s="579"/>
      <c r="J946" s="579"/>
      <c r="K946" s="694"/>
      <c r="L946" s="579"/>
      <c r="M946" s="579"/>
      <c r="N946" s="579"/>
      <c r="O946" s="631"/>
      <c r="P946" s="631"/>
      <c r="Q946" s="631"/>
      <c r="R946" s="631"/>
      <c r="S946" s="631"/>
      <c r="T946" s="631"/>
      <c r="U946" s="631"/>
      <c r="V946" s="631"/>
      <c r="W946" s="631"/>
      <c r="X946" s="631"/>
      <c r="Y946" s="631"/>
      <c r="Z946" s="631"/>
      <c r="AA946" s="631"/>
      <c r="AB946" s="631"/>
      <c r="AC946" s="631"/>
    </row>
    <row r="947">
      <c r="A947" s="631"/>
      <c r="B947" s="694"/>
      <c r="C947" s="694"/>
      <c r="D947" s="694"/>
      <c r="E947" s="694"/>
      <c r="F947" s="631"/>
      <c r="G947" s="631"/>
      <c r="H947" s="631"/>
      <c r="I947" s="579"/>
      <c r="J947" s="579"/>
      <c r="K947" s="694"/>
      <c r="L947" s="579"/>
      <c r="M947" s="579"/>
      <c r="N947" s="579"/>
      <c r="O947" s="631"/>
      <c r="P947" s="631"/>
      <c r="Q947" s="631"/>
      <c r="R947" s="631"/>
      <c r="S947" s="631"/>
      <c r="T947" s="631"/>
      <c r="U947" s="631"/>
      <c r="V947" s="631"/>
      <c r="W947" s="631"/>
      <c r="X947" s="631"/>
      <c r="Y947" s="631"/>
      <c r="Z947" s="631"/>
      <c r="AA947" s="631"/>
      <c r="AB947" s="631"/>
      <c r="AC947" s="631"/>
    </row>
    <row r="948">
      <c r="A948" s="631"/>
      <c r="B948" s="694"/>
      <c r="C948" s="694"/>
      <c r="D948" s="694"/>
      <c r="E948" s="694"/>
      <c r="F948" s="631"/>
      <c r="G948" s="631"/>
      <c r="H948" s="631"/>
      <c r="I948" s="579"/>
      <c r="J948" s="579"/>
      <c r="K948" s="694"/>
      <c r="L948" s="579"/>
      <c r="M948" s="579"/>
      <c r="N948" s="579"/>
      <c r="O948" s="631"/>
      <c r="P948" s="631"/>
      <c r="Q948" s="631"/>
      <c r="R948" s="631"/>
      <c r="S948" s="631"/>
      <c r="T948" s="631"/>
      <c r="U948" s="631"/>
      <c r="V948" s="631"/>
      <c r="W948" s="631"/>
      <c r="X948" s="631"/>
      <c r="Y948" s="631"/>
      <c r="Z948" s="631"/>
      <c r="AA948" s="631"/>
      <c r="AB948" s="631"/>
      <c r="AC948" s="631"/>
    </row>
    <row r="949">
      <c r="A949" s="631"/>
      <c r="B949" s="694"/>
      <c r="C949" s="694"/>
      <c r="D949" s="694"/>
      <c r="E949" s="694"/>
      <c r="F949" s="631"/>
      <c r="G949" s="631"/>
      <c r="H949" s="631"/>
      <c r="I949" s="579"/>
      <c r="J949" s="579"/>
      <c r="K949" s="694"/>
      <c r="L949" s="579"/>
      <c r="M949" s="579"/>
      <c r="N949" s="579"/>
      <c r="O949" s="631"/>
      <c r="P949" s="631"/>
      <c r="Q949" s="631"/>
      <c r="R949" s="631"/>
      <c r="S949" s="631"/>
      <c r="T949" s="631"/>
      <c r="U949" s="631"/>
      <c r="V949" s="631"/>
      <c r="W949" s="631"/>
      <c r="X949" s="631"/>
      <c r="Y949" s="631"/>
      <c r="Z949" s="631"/>
      <c r="AA949" s="631"/>
      <c r="AB949" s="631"/>
      <c r="AC949" s="631"/>
    </row>
    <row r="950">
      <c r="A950" s="631"/>
      <c r="B950" s="694"/>
      <c r="C950" s="694"/>
      <c r="D950" s="694"/>
      <c r="E950" s="694"/>
      <c r="F950" s="631"/>
      <c r="G950" s="631"/>
      <c r="H950" s="631"/>
      <c r="I950" s="579"/>
      <c r="J950" s="579"/>
      <c r="K950" s="694"/>
      <c r="L950" s="579"/>
      <c r="M950" s="579"/>
      <c r="N950" s="579"/>
      <c r="O950" s="631"/>
      <c r="P950" s="631"/>
      <c r="Q950" s="631"/>
      <c r="R950" s="631"/>
      <c r="S950" s="631"/>
      <c r="T950" s="631"/>
      <c r="U950" s="631"/>
      <c r="V950" s="631"/>
      <c r="W950" s="631"/>
      <c r="X950" s="631"/>
      <c r="Y950" s="631"/>
      <c r="Z950" s="631"/>
      <c r="AA950" s="631"/>
      <c r="AB950" s="631"/>
      <c r="AC950" s="631"/>
    </row>
    <row r="951">
      <c r="A951" s="631"/>
      <c r="B951" s="694"/>
      <c r="C951" s="694"/>
      <c r="D951" s="694"/>
      <c r="E951" s="694"/>
      <c r="F951" s="631"/>
      <c r="G951" s="631"/>
      <c r="H951" s="631"/>
      <c r="I951" s="579"/>
      <c r="J951" s="579"/>
      <c r="K951" s="694"/>
      <c r="L951" s="579"/>
      <c r="M951" s="579"/>
      <c r="N951" s="579"/>
      <c r="O951" s="631"/>
      <c r="P951" s="631"/>
      <c r="Q951" s="631"/>
      <c r="R951" s="631"/>
      <c r="S951" s="631"/>
      <c r="T951" s="631"/>
      <c r="U951" s="631"/>
      <c r="V951" s="631"/>
      <c r="W951" s="631"/>
      <c r="X951" s="631"/>
      <c r="Y951" s="631"/>
      <c r="Z951" s="631"/>
      <c r="AA951" s="631"/>
      <c r="AB951" s="631"/>
      <c r="AC951" s="631"/>
    </row>
    <row r="952">
      <c r="A952" s="631"/>
      <c r="B952" s="694"/>
      <c r="C952" s="694"/>
      <c r="D952" s="694"/>
      <c r="E952" s="694"/>
      <c r="F952" s="631"/>
      <c r="G952" s="631"/>
      <c r="H952" s="631"/>
      <c r="I952" s="579"/>
      <c r="J952" s="579"/>
      <c r="K952" s="694"/>
      <c r="L952" s="579"/>
      <c r="M952" s="579"/>
      <c r="N952" s="579"/>
      <c r="O952" s="631"/>
      <c r="P952" s="631"/>
      <c r="Q952" s="631"/>
      <c r="R952" s="631"/>
      <c r="S952" s="631"/>
      <c r="T952" s="631"/>
      <c r="U952" s="631"/>
      <c r="V952" s="631"/>
      <c r="W952" s="631"/>
      <c r="X952" s="631"/>
      <c r="Y952" s="631"/>
      <c r="Z952" s="631"/>
      <c r="AA952" s="631"/>
      <c r="AB952" s="631"/>
      <c r="AC952" s="631"/>
    </row>
    <row r="953">
      <c r="A953" s="631"/>
      <c r="B953" s="694"/>
      <c r="C953" s="694"/>
      <c r="D953" s="694"/>
      <c r="E953" s="694"/>
      <c r="F953" s="631"/>
      <c r="G953" s="631"/>
      <c r="H953" s="631"/>
      <c r="I953" s="579"/>
      <c r="J953" s="579"/>
      <c r="K953" s="694"/>
      <c r="L953" s="579"/>
      <c r="M953" s="579"/>
      <c r="N953" s="579"/>
      <c r="O953" s="631"/>
      <c r="P953" s="631"/>
      <c r="Q953" s="631"/>
      <c r="R953" s="631"/>
      <c r="S953" s="631"/>
      <c r="T953" s="631"/>
      <c r="U953" s="631"/>
      <c r="V953" s="631"/>
      <c r="W953" s="631"/>
      <c r="X953" s="631"/>
      <c r="Y953" s="631"/>
      <c r="Z953" s="631"/>
      <c r="AA953" s="631"/>
      <c r="AB953" s="631"/>
      <c r="AC953" s="631"/>
    </row>
    <row r="954">
      <c r="A954" s="631"/>
      <c r="B954" s="694"/>
      <c r="C954" s="694"/>
      <c r="D954" s="694"/>
      <c r="E954" s="694"/>
      <c r="F954" s="631"/>
      <c r="G954" s="631"/>
      <c r="H954" s="631"/>
      <c r="I954" s="579"/>
      <c r="J954" s="579"/>
      <c r="K954" s="694"/>
      <c r="L954" s="579"/>
      <c r="M954" s="579"/>
      <c r="N954" s="579"/>
      <c r="O954" s="631"/>
      <c r="P954" s="631"/>
      <c r="Q954" s="631"/>
      <c r="R954" s="631"/>
      <c r="S954" s="631"/>
      <c r="T954" s="631"/>
      <c r="U954" s="631"/>
      <c r="V954" s="631"/>
      <c r="W954" s="631"/>
      <c r="X954" s="631"/>
      <c r="Y954" s="631"/>
      <c r="Z954" s="631"/>
      <c r="AA954" s="631"/>
      <c r="AB954" s="631"/>
      <c r="AC954" s="631"/>
    </row>
    <row r="955">
      <c r="A955" s="631"/>
      <c r="B955" s="694"/>
      <c r="C955" s="694"/>
      <c r="D955" s="694"/>
      <c r="E955" s="694"/>
      <c r="F955" s="631"/>
      <c r="G955" s="631"/>
      <c r="H955" s="631"/>
      <c r="I955" s="579"/>
      <c r="J955" s="579"/>
      <c r="K955" s="694"/>
      <c r="L955" s="579"/>
      <c r="M955" s="579"/>
      <c r="N955" s="579"/>
      <c r="O955" s="631"/>
      <c r="P955" s="631"/>
      <c r="Q955" s="631"/>
      <c r="R955" s="631"/>
      <c r="S955" s="631"/>
      <c r="T955" s="631"/>
      <c r="U955" s="631"/>
      <c r="V955" s="631"/>
      <c r="W955" s="631"/>
      <c r="X955" s="631"/>
      <c r="Y955" s="631"/>
      <c r="Z955" s="631"/>
      <c r="AA955" s="631"/>
      <c r="AB955" s="631"/>
      <c r="AC955" s="631"/>
    </row>
    <row r="956">
      <c r="A956" s="631"/>
      <c r="B956" s="694"/>
      <c r="C956" s="694"/>
      <c r="D956" s="694"/>
      <c r="E956" s="694"/>
      <c r="F956" s="631"/>
      <c r="G956" s="631"/>
      <c r="H956" s="631"/>
      <c r="I956" s="579"/>
      <c r="J956" s="579"/>
      <c r="K956" s="694"/>
      <c r="L956" s="579"/>
      <c r="M956" s="579"/>
      <c r="N956" s="579"/>
      <c r="O956" s="631"/>
      <c r="P956" s="631"/>
      <c r="Q956" s="631"/>
      <c r="R956" s="631"/>
      <c r="S956" s="631"/>
      <c r="T956" s="631"/>
      <c r="U956" s="631"/>
      <c r="V956" s="631"/>
      <c r="W956" s="631"/>
      <c r="X956" s="631"/>
      <c r="Y956" s="631"/>
      <c r="Z956" s="631"/>
      <c r="AA956" s="631"/>
      <c r="AB956" s="631"/>
      <c r="AC956" s="631"/>
    </row>
    <row r="957">
      <c r="A957" s="631"/>
      <c r="B957" s="694"/>
      <c r="C957" s="694"/>
      <c r="D957" s="694"/>
      <c r="E957" s="694"/>
      <c r="F957" s="631"/>
      <c r="G957" s="631"/>
      <c r="H957" s="631"/>
      <c r="I957" s="579"/>
      <c r="J957" s="579"/>
      <c r="K957" s="694"/>
      <c r="L957" s="579"/>
      <c r="M957" s="579"/>
      <c r="N957" s="579"/>
      <c r="O957" s="631"/>
      <c r="P957" s="631"/>
      <c r="Q957" s="631"/>
      <c r="R957" s="631"/>
      <c r="S957" s="631"/>
      <c r="T957" s="631"/>
      <c r="U957" s="631"/>
      <c r="V957" s="631"/>
      <c r="W957" s="631"/>
      <c r="X957" s="631"/>
      <c r="Y957" s="631"/>
      <c r="Z957" s="631"/>
      <c r="AA957" s="631"/>
      <c r="AB957" s="631"/>
      <c r="AC957" s="631"/>
    </row>
    <row r="958">
      <c r="A958" s="631"/>
      <c r="B958" s="694"/>
      <c r="C958" s="694"/>
      <c r="D958" s="694"/>
      <c r="E958" s="694"/>
      <c r="F958" s="631"/>
      <c r="G958" s="631"/>
      <c r="H958" s="631"/>
      <c r="I958" s="579"/>
      <c r="J958" s="579"/>
      <c r="K958" s="694"/>
      <c r="L958" s="579"/>
      <c r="M958" s="579"/>
      <c r="N958" s="579"/>
      <c r="O958" s="631"/>
      <c r="P958" s="631"/>
      <c r="Q958" s="631"/>
      <c r="R958" s="631"/>
      <c r="S958" s="631"/>
      <c r="T958" s="631"/>
      <c r="U958" s="631"/>
      <c r="V958" s="631"/>
      <c r="W958" s="631"/>
      <c r="X958" s="631"/>
      <c r="Y958" s="631"/>
      <c r="Z958" s="631"/>
      <c r="AA958" s="631"/>
      <c r="AB958" s="631"/>
      <c r="AC958" s="631"/>
    </row>
    <row r="959">
      <c r="A959" s="631"/>
      <c r="B959" s="694"/>
      <c r="C959" s="694"/>
      <c r="D959" s="694"/>
      <c r="E959" s="694"/>
      <c r="F959" s="631"/>
      <c r="G959" s="631"/>
      <c r="H959" s="631"/>
      <c r="I959" s="579"/>
      <c r="J959" s="579"/>
      <c r="K959" s="694"/>
      <c r="L959" s="579"/>
      <c r="M959" s="579"/>
      <c r="N959" s="579"/>
      <c r="O959" s="631"/>
      <c r="P959" s="631"/>
      <c r="Q959" s="631"/>
      <c r="R959" s="631"/>
      <c r="S959" s="631"/>
      <c r="T959" s="631"/>
      <c r="U959" s="631"/>
      <c r="V959" s="631"/>
      <c r="W959" s="631"/>
      <c r="X959" s="631"/>
      <c r="Y959" s="631"/>
      <c r="Z959" s="631"/>
      <c r="AA959" s="631"/>
      <c r="AB959" s="631"/>
      <c r="AC959" s="631"/>
    </row>
    <row r="960">
      <c r="A960" s="631"/>
      <c r="B960" s="694"/>
      <c r="C960" s="694"/>
      <c r="D960" s="694"/>
      <c r="E960" s="694"/>
      <c r="F960" s="631"/>
      <c r="G960" s="631"/>
      <c r="H960" s="631"/>
      <c r="I960" s="579"/>
      <c r="J960" s="579"/>
      <c r="K960" s="694"/>
      <c r="L960" s="579"/>
      <c r="M960" s="579"/>
      <c r="N960" s="579"/>
      <c r="O960" s="631"/>
      <c r="P960" s="631"/>
      <c r="Q960" s="631"/>
      <c r="R960" s="631"/>
      <c r="S960" s="631"/>
      <c r="T960" s="631"/>
      <c r="U960" s="631"/>
      <c r="V960" s="631"/>
      <c r="W960" s="631"/>
      <c r="X960" s="631"/>
      <c r="Y960" s="631"/>
      <c r="Z960" s="631"/>
      <c r="AA960" s="631"/>
      <c r="AB960" s="631"/>
      <c r="AC960" s="631"/>
    </row>
    <row r="961">
      <c r="A961" s="631"/>
      <c r="B961" s="694"/>
      <c r="C961" s="694"/>
      <c r="D961" s="694"/>
      <c r="E961" s="694"/>
      <c r="F961" s="631"/>
      <c r="G961" s="631"/>
      <c r="H961" s="631"/>
      <c r="I961" s="579"/>
      <c r="J961" s="579"/>
      <c r="K961" s="694"/>
      <c r="L961" s="579"/>
      <c r="M961" s="579"/>
      <c r="N961" s="579"/>
      <c r="O961" s="631"/>
      <c r="P961" s="631"/>
      <c r="Q961" s="631"/>
      <c r="R961" s="631"/>
      <c r="S961" s="631"/>
      <c r="T961" s="631"/>
      <c r="U961" s="631"/>
      <c r="V961" s="631"/>
      <c r="W961" s="631"/>
      <c r="X961" s="631"/>
      <c r="Y961" s="631"/>
      <c r="Z961" s="631"/>
      <c r="AA961" s="631"/>
      <c r="AB961" s="631"/>
      <c r="AC961" s="631"/>
    </row>
    <row r="962">
      <c r="A962" s="631"/>
      <c r="B962" s="694"/>
      <c r="C962" s="694"/>
      <c r="D962" s="694"/>
      <c r="E962" s="694"/>
      <c r="F962" s="631"/>
      <c r="G962" s="631"/>
      <c r="H962" s="631"/>
      <c r="I962" s="579"/>
      <c r="J962" s="579"/>
      <c r="K962" s="694"/>
      <c r="L962" s="579"/>
      <c r="M962" s="579"/>
      <c r="N962" s="579"/>
      <c r="O962" s="631"/>
      <c r="P962" s="631"/>
      <c r="Q962" s="631"/>
      <c r="R962" s="631"/>
      <c r="S962" s="631"/>
      <c r="T962" s="631"/>
      <c r="U962" s="631"/>
      <c r="V962" s="631"/>
      <c r="W962" s="631"/>
      <c r="X962" s="631"/>
      <c r="Y962" s="631"/>
      <c r="Z962" s="631"/>
      <c r="AA962" s="631"/>
      <c r="AB962" s="631"/>
      <c r="AC962" s="631"/>
    </row>
    <row r="963">
      <c r="A963" s="631"/>
      <c r="B963" s="694"/>
      <c r="C963" s="694"/>
      <c r="D963" s="694"/>
      <c r="E963" s="694"/>
      <c r="F963" s="631"/>
      <c r="G963" s="631"/>
      <c r="H963" s="631"/>
      <c r="I963" s="579"/>
      <c r="J963" s="579"/>
      <c r="K963" s="694"/>
      <c r="L963" s="579"/>
      <c r="M963" s="579"/>
      <c r="N963" s="579"/>
      <c r="O963" s="631"/>
      <c r="P963" s="631"/>
      <c r="Q963" s="631"/>
      <c r="R963" s="631"/>
      <c r="S963" s="631"/>
      <c r="T963" s="631"/>
      <c r="U963" s="631"/>
      <c r="V963" s="631"/>
      <c r="W963" s="631"/>
      <c r="X963" s="631"/>
      <c r="Y963" s="631"/>
      <c r="Z963" s="631"/>
      <c r="AA963" s="631"/>
      <c r="AB963" s="631"/>
      <c r="AC963" s="631"/>
    </row>
    <row r="964">
      <c r="A964" s="631"/>
      <c r="B964" s="694"/>
      <c r="C964" s="694"/>
      <c r="D964" s="694"/>
      <c r="E964" s="694"/>
      <c r="F964" s="631"/>
      <c r="G964" s="631"/>
      <c r="H964" s="631"/>
      <c r="I964" s="579"/>
      <c r="J964" s="579"/>
      <c r="K964" s="694"/>
      <c r="L964" s="579"/>
      <c r="M964" s="579"/>
      <c r="N964" s="579"/>
      <c r="O964" s="631"/>
      <c r="P964" s="631"/>
      <c r="Q964" s="631"/>
      <c r="R964" s="631"/>
      <c r="S964" s="631"/>
      <c r="T964" s="631"/>
      <c r="U964" s="631"/>
      <c r="V964" s="631"/>
      <c r="W964" s="631"/>
      <c r="X964" s="631"/>
      <c r="Y964" s="631"/>
      <c r="Z964" s="631"/>
      <c r="AA964" s="631"/>
      <c r="AB964" s="631"/>
      <c r="AC964" s="631"/>
    </row>
    <row r="965">
      <c r="A965" s="631"/>
      <c r="B965" s="694"/>
      <c r="C965" s="694"/>
      <c r="D965" s="694"/>
      <c r="E965" s="694"/>
      <c r="F965" s="631"/>
      <c r="G965" s="631"/>
      <c r="H965" s="631"/>
      <c r="I965" s="579"/>
      <c r="J965" s="579"/>
      <c r="K965" s="694"/>
      <c r="L965" s="579"/>
      <c r="M965" s="579"/>
      <c r="N965" s="579"/>
      <c r="O965" s="631"/>
      <c r="P965" s="631"/>
      <c r="Q965" s="631"/>
      <c r="R965" s="631"/>
      <c r="S965" s="631"/>
      <c r="T965" s="631"/>
      <c r="U965" s="631"/>
      <c r="V965" s="631"/>
      <c r="W965" s="631"/>
      <c r="X965" s="631"/>
      <c r="Y965" s="631"/>
      <c r="Z965" s="631"/>
      <c r="AA965" s="631"/>
      <c r="AB965" s="631"/>
      <c r="AC965" s="631"/>
    </row>
    <row r="966">
      <c r="A966" s="631"/>
      <c r="B966" s="694"/>
      <c r="C966" s="694"/>
      <c r="D966" s="694"/>
      <c r="E966" s="694"/>
      <c r="F966" s="631"/>
      <c r="G966" s="631"/>
      <c r="H966" s="631"/>
      <c r="I966" s="579"/>
      <c r="J966" s="579"/>
      <c r="K966" s="694"/>
      <c r="L966" s="579"/>
      <c r="M966" s="579"/>
      <c r="N966" s="579"/>
      <c r="O966" s="631"/>
      <c r="P966" s="631"/>
      <c r="Q966" s="631"/>
      <c r="R966" s="631"/>
      <c r="S966" s="631"/>
      <c r="T966" s="631"/>
      <c r="U966" s="631"/>
      <c r="V966" s="631"/>
      <c r="W966" s="631"/>
      <c r="X966" s="631"/>
      <c r="Y966" s="631"/>
      <c r="Z966" s="631"/>
      <c r="AA966" s="631"/>
      <c r="AB966" s="631"/>
      <c r="AC966" s="631"/>
    </row>
    <row r="967">
      <c r="A967" s="631"/>
      <c r="B967" s="694"/>
      <c r="C967" s="694"/>
      <c r="D967" s="694"/>
      <c r="E967" s="694"/>
      <c r="F967" s="631"/>
      <c r="G967" s="631"/>
      <c r="H967" s="631"/>
      <c r="I967" s="579"/>
      <c r="J967" s="579"/>
      <c r="K967" s="694"/>
      <c r="L967" s="579"/>
      <c r="M967" s="579"/>
      <c r="N967" s="579"/>
      <c r="O967" s="631"/>
      <c r="P967" s="631"/>
      <c r="Q967" s="631"/>
      <c r="R967" s="631"/>
      <c r="S967" s="631"/>
      <c r="T967" s="631"/>
      <c r="U967" s="631"/>
      <c r="V967" s="631"/>
      <c r="W967" s="631"/>
      <c r="X967" s="631"/>
      <c r="Y967" s="631"/>
      <c r="Z967" s="631"/>
      <c r="AA967" s="631"/>
      <c r="AB967" s="631"/>
      <c r="AC967" s="631"/>
    </row>
    <row r="968">
      <c r="A968" s="631"/>
      <c r="B968" s="694"/>
      <c r="C968" s="694"/>
      <c r="D968" s="694"/>
      <c r="E968" s="694"/>
      <c r="F968" s="631"/>
      <c r="G968" s="631"/>
      <c r="H968" s="631"/>
      <c r="I968" s="579"/>
      <c r="J968" s="579"/>
      <c r="K968" s="694"/>
      <c r="L968" s="579"/>
      <c r="M968" s="579"/>
      <c r="N968" s="579"/>
      <c r="O968" s="631"/>
      <c r="P968" s="631"/>
      <c r="Q968" s="631"/>
      <c r="R968" s="631"/>
      <c r="S968" s="631"/>
      <c r="T968" s="631"/>
      <c r="U968" s="631"/>
      <c r="V968" s="631"/>
      <c r="W968" s="631"/>
      <c r="X968" s="631"/>
      <c r="Y968" s="631"/>
      <c r="Z968" s="631"/>
      <c r="AA968" s="631"/>
      <c r="AB968" s="631"/>
      <c r="AC968" s="631"/>
    </row>
    <row r="969">
      <c r="A969" s="631"/>
      <c r="B969" s="694"/>
      <c r="C969" s="694"/>
      <c r="D969" s="694"/>
      <c r="E969" s="694"/>
      <c r="F969" s="631"/>
      <c r="G969" s="631"/>
      <c r="H969" s="631"/>
      <c r="I969" s="579"/>
      <c r="J969" s="579"/>
      <c r="K969" s="694"/>
      <c r="L969" s="579"/>
      <c r="M969" s="579"/>
      <c r="N969" s="579"/>
      <c r="O969" s="631"/>
      <c r="P969" s="631"/>
      <c r="Q969" s="631"/>
      <c r="R969" s="631"/>
      <c r="S969" s="631"/>
      <c r="T969" s="631"/>
      <c r="U969" s="631"/>
      <c r="V969" s="631"/>
      <c r="W969" s="631"/>
      <c r="X969" s="631"/>
      <c r="Y969" s="631"/>
      <c r="Z969" s="631"/>
      <c r="AA969" s="631"/>
      <c r="AB969" s="631"/>
      <c r="AC969" s="631"/>
    </row>
    <row r="970">
      <c r="A970" s="631"/>
      <c r="B970" s="694"/>
      <c r="C970" s="694"/>
      <c r="D970" s="694"/>
      <c r="E970" s="694"/>
      <c r="F970" s="631"/>
      <c r="G970" s="631"/>
      <c r="H970" s="631"/>
      <c r="I970" s="579"/>
      <c r="J970" s="579"/>
      <c r="K970" s="694"/>
      <c r="L970" s="579"/>
      <c r="M970" s="579"/>
      <c r="N970" s="579"/>
      <c r="O970" s="631"/>
      <c r="P970" s="631"/>
      <c r="Q970" s="631"/>
      <c r="R970" s="631"/>
      <c r="S970" s="631"/>
      <c r="T970" s="631"/>
      <c r="U970" s="631"/>
      <c r="V970" s="631"/>
      <c r="W970" s="631"/>
      <c r="X970" s="631"/>
      <c r="Y970" s="631"/>
      <c r="Z970" s="631"/>
      <c r="AA970" s="631"/>
      <c r="AB970" s="631"/>
      <c r="AC970" s="631"/>
    </row>
    <row r="971">
      <c r="A971" s="631"/>
      <c r="B971" s="694"/>
      <c r="C971" s="694"/>
      <c r="D971" s="694"/>
      <c r="E971" s="694"/>
      <c r="F971" s="631"/>
      <c r="G971" s="631"/>
      <c r="H971" s="631"/>
      <c r="I971" s="579"/>
      <c r="J971" s="579"/>
      <c r="K971" s="694"/>
      <c r="L971" s="579"/>
      <c r="M971" s="579"/>
      <c r="N971" s="579"/>
      <c r="O971" s="631"/>
      <c r="P971" s="631"/>
      <c r="Q971" s="631"/>
      <c r="R971" s="631"/>
      <c r="S971" s="631"/>
      <c r="T971" s="631"/>
      <c r="U971" s="631"/>
      <c r="V971" s="631"/>
      <c r="W971" s="631"/>
      <c r="X971" s="631"/>
      <c r="Y971" s="631"/>
      <c r="Z971" s="631"/>
      <c r="AA971" s="631"/>
      <c r="AB971" s="631"/>
      <c r="AC971" s="631"/>
    </row>
    <row r="972">
      <c r="A972" s="631"/>
      <c r="B972" s="694"/>
      <c r="C972" s="694"/>
      <c r="D972" s="694"/>
      <c r="E972" s="694"/>
      <c r="F972" s="631"/>
      <c r="G972" s="631"/>
      <c r="H972" s="631"/>
      <c r="I972" s="579"/>
      <c r="J972" s="579"/>
      <c r="K972" s="694"/>
      <c r="L972" s="579"/>
      <c r="M972" s="579"/>
      <c r="N972" s="579"/>
      <c r="O972" s="631"/>
      <c r="P972" s="631"/>
      <c r="Q972" s="631"/>
      <c r="R972" s="631"/>
      <c r="S972" s="631"/>
      <c r="T972" s="631"/>
      <c r="U972" s="631"/>
      <c r="V972" s="631"/>
      <c r="W972" s="631"/>
      <c r="X972" s="631"/>
      <c r="Y972" s="631"/>
      <c r="Z972" s="631"/>
      <c r="AA972" s="631"/>
      <c r="AB972" s="631"/>
      <c r="AC972" s="631"/>
    </row>
    <row r="973">
      <c r="A973" s="631"/>
      <c r="B973" s="694"/>
      <c r="C973" s="694"/>
      <c r="D973" s="694"/>
      <c r="E973" s="694"/>
      <c r="F973" s="631"/>
      <c r="G973" s="631"/>
      <c r="H973" s="631"/>
      <c r="I973" s="579"/>
      <c r="J973" s="579"/>
      <c r="K973" s="694"/>
      <c r="L973" s="579"/>
      <c r="M973" s="579"/>
      <c r="N973" s="579"/>
      <c r="O973" s="631"/>
      <c r="P973" s="631"/>
      <c r="Q973" s="631"/>
      <c r="R973" s="631"/>
      <c r="S973" s="631"/>
      <c r="T973" s="631"/>
      <c r="U973" s="631"/>
      <c r="V973" s="631"/>
      <c r="W973" s="631"/>
      <c r="X973" s="631"/>
      <c r="Y973" s="631"/>
      <c r="Z973" s="631"/>
      <c r="AA973" s="631"/>
      <c r="AB973" s="631"/>
      <c r="AC973" s="631"/>
    </row>
    <row r="974">
      <c r="A974" s="631"/>
      <c r="B974" s="694"/>
      <c r="C974" s="694"/>
      <c r="D974" s="694"/>
      <c r="E974" s="694"/>
      <c r="F974" s="631"/>
      <c r="G974" s="631"/>
      <c r="H974" s="631"/>
      <c r="I974" s="579"/>
      <c r="J974" s="579"/>
      <c r="K974" s="694"/>
      <c r="L974" s="579"/>
      <c r="M974" s="579"/>
      <c r="N974" s="579"/>
      <c r="O974" s="631"/>
      <c r="P974" s="631"/>
      <c r="Q974" s="631"/>
      <c r="R974" s="631"/>
      <c r="S974" s="631"/>
      <c r="T974" s="631"/>
      <c r="U974" s="631"/>
      <c r="V974" s="631"/>
      <c r="W974" s="631"/>
      <c r="X974" s="631"/>
      <c r="Y974" s="631"/>
      <c r="Z974" s="631"/>
      <c r="AA974" s="631"/>
      <c r="AB974" s="631"/>
      <c r="AC974" s="631"/>
    </row>
    <row r="975">
      <c r="A975" s="631"/>
      <c r="B975" s="694"/>
      <c r="C975" s="694"/>
      <c r="D975" s="694"/>
      <c r="E975" s="694"/>
      <c r="F975" s="631"/>
      <c r="G975" s="631"/>
      <c r="H975" s="631"/>
      <c r="I975" s="579"/>
      <c r="J975" s="579"/>
      <c r="K975" s="694"/>
      <c r="L975" s="579"/>
      <c r="M975" s="579"/>
      <c r="N975" s="579"/>
      <c r="O975" s="631"/>
      <c r="P975" s="631"/>
      <c r="Q975" s="631"/>
      <c r="R975" s="631"/>
      <c r="S975" s="631"/>
      <c r="T975" s="631"/>
      <c r="U975" s="631"/>
      <c r="V975" s="631"/>
      <c r="W975" s="631"/>
      <c r="X975" s="631"/>
      <c r="Y975" s="631"/>
      <c r="Z975" s="631"/>
      <c r="AA975" s="631"/>
      <c r="AB975" s="631"/>
      <c r="AC975" s="631"/>
    </row>
    <row r="976">
      <c r="A976" s="631"/>
      <c r="B976" s="694"/>
      <c r="C976" s="694"/>
      <c r="D976" s="694"/>
      <c r="E976" s="694"/>
      <c r="F976" s="631"/>
      <c r="G976" s="631"/>
      <c r="H976" s="631"/>
      <c r="I976" s="579"/>
      <c r="J976" s="579"/>
      <c r="K976" s="694"/>
      <c r="L976" s="579"/>
      <c r="M976" s="579"/>
      <c r="N976" s="579"/>
      <c r="O976" s="631"/>
      <c r="P976" s="631"/>
      <c r="Q976" s="631"/>
      <c r="R976" s="631"/>
      <c r="S976" s="631"/>
      <c r="T976" s="631"/>
      <c r="U976" s="631"/>
      <c r="V976" s="631"/>
      <c r="W976" s="631"/>
      <c r="X976" s="631"/>
      <c r="Y976" s="631"/>
      <c r="Z976" s="631"/>
      <c r="AA976" s="631"/>
      <c r="AB976" s="631"/>
      <c r="AC976" s="631"/>
    </row>
    <row r="977">
      <c r="A977" s="631"/>
      <c r="B977" s="694"/>
      <c r="C977" s="694"/>
      <c r="D977" s="694"/>
      <c r="E977" s="694"/>
      <c r="F977" s="631"/>
      <c r="G977" s="631"/>
      <c r="H977" s="631"/>
      <c r="I977" s="579"/>
      <c r="J977" s="579"/>
      <c r="K977" s="694"/>
      <c r="L977" s="579"/>
      <c r="M977" s="579"/>
      <c r="N977" s="579"/>
      <c r="O977" s="631"/>
      <c r="P977" s="631"/>
      <c r="Q977" s="631"/>
      <c r="R977" s="631"/>
      <c r="S977" s="631"/>
      <c r="T977" s="631"/>
      <c r="U977" s="631"/>
      <c r="V977" s="631"/>
      <c r="W977" s="631"/>
      <c r="X977" s="631"/>
      <c r="Y977" s="631"/>
      <c r="Z977" s="631"/>
      <c r="AA977" s="631"/>
      <c r="AB977" s="631"/>
      <c r="AC977" s="631"/>
    </row>
    <row r="978">
      <c r="A978" s="631"/>
      <c r="B978" s="694"/>
      <c r="C978" s="694"/>
      <c r="D978" s="694"/>
      <c r="E978" s="694"/>
      <c r="F978" s="631"/>
      <c r="G978" s="631"/>
      <c r="H978" s="631"/>
      <c r="I978" s="579"/>
      <c r="J978" s="579"/>
      <c r="K978" s="694"/>
      <c r="L978" s="579"/>
      <c r="M978" s="579"/>
      <c r="N978" s="579"/>
      <c r="O978" s="631"/>
      <c r="P978" s="631"/>
      <c r="Q978" s="631"/>
      <c r="R978" s="631"/>
      <c r="S978" s="631"/>
      <c r="T978" s="631"/>
      <c r="U978" s="631"/>
      <c r="V978" s="631"/>
      <c r="W978" s="631"/>
      <c r="X978" s="631"/>
      <c r="Y978" s="631"/>
      <c r="Z978" s="631"/>
      <c r="AA978" s="631"/>
      <c r="AB978" s="631"/>
      <c r="AC978" s="631"/>
    </row>
    <row r="979">
      <c r="A979" s="631"/>
      <c r="B979" s="694"/>
      <c r="C979" s="694"/>
      <c r="D979" s="694"/>
      <c r="E979" s="694"/>
      <c r="F979" s="631"/>
      <c r="G979" s="631"/>
      <c r="H979" s="631"/>
      <c r="I979" s="579"/>
      <c r="J979" s="579"/>
      <c r="K979" s="694"/>
      <c r="L979" s="579"/>
      <c r="M979" s="579"/>
      <c r="N979" s="579"/>
      <c r="O979" s="631"/>
      <c r="P979" s="631"/>
      <c r="Q979" s="631"/>
      <c r="R979" s="631"/>
      <c r="S979" s="631"/>
      <c r="T979" s="631"/>
      <c r="U979" s="631"/>
      <c r="V979" s="631"/>
      <c r="W979" s="631"/>
      <c r="X979" s="631"/>
      <c r="Y979" s="631"/>
      <c r="Z979" s="631"/>
      <c r="AA979" s="631"/>
      <c r="AB979" s="631"/>
      <c r="AC979" s="631"/>
    </row>
    <row r="980">
      <c r="A980" s="631"/>
      <c r="B980" s="694"/>
      <c r="C980" s="694"/>
      <c r="D980" s="694"/>
      <c r="E980" s="694"/>
      <c r="F980" s="631"/>
      <c r="G980" s="631"/>
      <c r="H980" s="631"/>
      <c r="I980" s="579"/>
      <c r="J980" s="579"/>
      <c r="K980" s="694"/>
      <c r="L980" s="579"/>
      <c r="M980" s="579"/>
      <c r="N980" s="579"/>
      <c r="O980" s="631"/>
      <c r="P980" s="631"/>
      <c r="Q980" s="631"/>
      <c r="R980" s="631"/>
      <c r="S980" s="631"/>
      <c r="T980" s="631"/>
      <c r="U980" s="631"/>
      <c r="V980" s="631"/>
      <c r="W980" s="631"/>
      <c r="X980" s="631"/>
      <c r="Y980" s="631"/>
      <c r="Z980" s="631"/>
      <c r="AA980" s="631"/>
      <c r="AB980" s="631"/>
      <c r="AC980" s="631"/>
    </row>
    <row r="981">
      <c r="A981" s="631"/>
      <c r="B981" s="694"/>
      <c r="C981" s="694"/>
      <c r="D981" s="694"/>
      <c r="E981" s="694"/>
      <c r="F981" s="631"/>
      <c r="G981" s="631"/>
      <c r="H981" s="631"/>
      <c r="I981" s="579"/>
      <c r="J981" s="579"/>
      <c r="K981" s="694"/>
      <c r="L981" s="579"/>
      <c r="M981" s="579"/>
      <c r="N981" s="579"/>
      <c r="O981" s="631"/>
      <c r="P981" s="631"/>
      <c r="Q981" s="631"/>
      <c r="R981" s="631"/>
      <c r="S981" s="631"/>
      <c r="T981" s="631"/>
      <c r="U981" s="631"/>
      <c r="V981" s="631"/>
      <c r="W981" s="631"/>
      <c r="X981" s="631"/>
      <c r="Y981" s="631"/>
      <c r="Z981" s="631"/>
      <c r="AA981" s="631"/>
      <c r="AB981" s="631"/>
      <c r="AC981" s="631"/>
    </row>
    <row r="982">
      <c r="A982" s="631"/>
      <c r="B982" s="694"/>
      <c r="C982" s="694"/>
      <c r="D982" s="694"/>
      <c r="E982" s="694"/>
      <c r="F982" s="631"/>
      <c r="G982" s="631"/>
      <c r="H982" s="631"/>
      <c r="I982" s="579"/>
      <c r="J982" s="579"/>
      <c r="K982" s="694"/>
      <c r="L982" s="579"/>
      <c r="M982" s="579"/>
      <c r="N982" s="579"/>
      <c r="O982" s="631"/>
      <c r="P982" s="631"/>
      <c r="Q982" s="631"/>
      <c r="R982" s="631"/>
      <c r="S982" s="631"/>
      <c r="T982" s="631"/>
      <c r="U982" s="631"/>
      <c r="V982" s="631"/>
      <c r="W982" s="631"/>
      <c r="X982" s="631"/>
      <c r="Y982" s="631"/>
      <c r="Z982" s="631"/>
      <c r="AA982" s="631"/>
      <c r="AB982" s="631"/>
      <c r="AC982" s="631"/>
    </row>
    <row r="983">
      <c r="A983" s="631"/>
      <c r="B983" s="694"/>
      <c r="C983" s="694"/>
      <c r="D983" s="694"/>
      <c r="E983" s="694"/>
      <c r="F983" s="631"/>
      <c r="G983" s="631"/>
      <c r="H983" s="631"/>
      <c r="I983" s="579"/>
      <c r="J983" s="579"/>
      <c r="K983" s="694"/>
      <c r="L983" s="579"/>
      <c r="M983" s="579"/>
      <c r="N983" s="579"/>
      <c r="O983" s="631"/>
      <c r="P983" s="631"/>
      <c r="Q983" s="631"/>
      <c r="R983" s="631"/>
      <c r="S983" s="631"/>
      <c r="T983" s="631"/>
      <c r="U983" s="631"/>
      <c r="V983" s="631"/>
      <c r="W983" s="631"/>
      <c r="X983" s="631"/>
      <c r="Y983" s="631"/>
      <c r="Z983" s="631"/>
      <c r="AA983" s="631"/>
      <c r="AB983" s="631"/>
      <c r="AC983" s="631"/>
    </row>
    <row r="984">
      <c r="A984" s="631"/>
      <c r="B984" s="694"/>
      <c r="C984" s="694"/>
      <c r="D984" s="694"/>
      <c r="E984" s="694"/>
      <c r="F984" s="631"/>
      <c r="G984" s="631"/>
      <c r="H984" s="631"/>
      <c r="I984" s="579"/>
      <c r="J984" s="579"/>
      <c r="K984" s="694"/>
      <c r="L984" s="579"/>
      <c r="M984" s="579"/>
      <c r="N984" s="579"/>
      <c r="O984" s="631"/>
      <c r="P984" s="631"/>
      <c r="Q984" s="631"/>
      <c r="R984" s="631"/>
      <c r="S984" s="631"/>
      <c r="T984" s="631"/>
      <c r="U984" s="631"/>
      <c r="V984" s="631"/>
      <c r="W984" s="631"/>
      <c r="X984" s="631"/>
      <c r="Y984" s="631"/>
      <c r="Z984" s="631"/>
      <c r="AA984" s="631"/>
      <c r="AB984" s="631"/>
      <c r="AC984" s="631"/>
    </row>
    <row r="985">
      <c r="A985" s="631"/>
      <c r="B985" s="694"/>
      <c r="C985" s="694"/>
      <c r="D985" s="694"/>
      <c r="E985" s="694"/>
      <c r="F985" s="631"/>
      <c r="G985" s="631"/>
      <c r="H985" s="631"/>
      <c r="I985" s="579"/>
      <c r="J985" s="579"/>
      <c r="K985" s="694"/>
      <c r="L985" s="579"/>
      <c r="M985" s="579"/>
      <c r="N985" s="579"/>
      <c r="O985" s="631"/>
      <c r="P985" s="631"/>
      <c r="Q985" s="631"/>
      <c r="R985" s="631"/>
      <c r="S985" s="631"/>
      <c r="T985" s="631"/>
      <c r="U985" s="631"/>
      <c r="V985" s="631"/>
      <c r="W985" s="631"/>
      <c r="X985" s="631"/>
      <c r="Y985" s="631"/>
      <c r="Z985" s="631"/>
      <c r="AA985" s="631"/>
      <c r="AB985" s="631"/>
      <c r="AC985" s="631"/>
    </row>
    <row r="986">
      <c r="A986" s="631"/>
      <c r="B986" s="694"/>
      <c r="C986" s="694"/>
      <c r="D986" s="694"/>
      <c r="E986" s="694"/>
      <c r="F986" s="631"/>
      <c r="G986" s="631"/>
      <c r="H986" s="631"/>
      <c r="I986" s="579"/>
      <c r="J986" s="579"/>
      <c r="K986" s="694"/>
      <c r="L986" s="579"/>
      <c r="M986" s="579"/>
      <c r="N986" s="579"/>
      <c r="O986" s="631"/>
      <c r="P986" s="631"/>
      <c r="Q986" s="631"/>
      <c r="R986" s="631"/>
      <c r="S986" s="631"/>
      <c r="T986" s="631"/>
      <c r="U986" s="631"/>
      <c r="V986" s="631"/>
      <c r="W986" s="631"/>
      <c r="X986" s="631"/>
      <c r="Y986" s="631"/>
      <c r="Z986" s="631"/>
      <c r="AA986" s="631"/>
      <c r="AB986" s="631"/>
      <c r="AC986" s="631"/>
    </row>
    <row r="987">
      <c r="A987" s="631"/>
      <c r="B987" s="694"/>
      <c r="C987" s="694"/>
      <c r="D987" s="694"/>
      <c r="E987" s="694"/>
      <c r="F987" s="631"/>
      <c r="G987" s="631"/>
      <c r="H987" s="631"/>
      <c r="I987" s="579"/>
      <c r="J987" s="579"/>
      <c r="K987" s="694"/>
      <c r="L987" s="579"/>
      <c r="M987" s="579"/>
      <c r="N987" s="579"/>
      <c r="O987" s="631"/>
      <c r="P987" s="631"/>
      <c r="Q987" s="631"/>
      <c r="R987" s="631"/>
      <c r="S987" s="631"/>
      <c r="T987" s="631"/>
      <c r="U987" s="631"/>
      <c r="V987" s="631"/>
      <c r="W987" s="631"/>
      <c r="X987" s="631"/>
      <c r="Y987" s="631"/>
      <c r="Z987" s="631"/>
      <c r="AA987" s="631"/>
      <c r="AB987" s="631"/>
      <c r="AC987" s="631"/>
    </row>
    <row r="988">
      <c r="A988" s="631"/>
      <c r="B988" s="694"/>
      <c r="C988" s="694"/>
      <c r="D988" s="694"/>
      <c r="E988" s="694"/>
      <c r="F988" s="631"/>
      <c r="G988" s="631"/>
      <c r="H988" s="631"/>
      <c r="I988" s="579"/>
      <c r="J988" s="579"/>
      <c r="K988" s="694"/>
      <c r="L988" s="579"/>
      <c r="M988" s="579"/>
      <c r="N988" s="579"/>
      <c r="O988" s="631"/>
      <c r="P988" s="631"/>
      <c r="Q988" s="631"/>
      <c r="R988" s="631"/>
      <c r="S988" s="631"/>
      <c r="T988" s="631"/>
      <c r="U988" s="631"/>
      <c r="V988" s="631"/>
      <c r="W988" s="631"/>
      <c r="X988" s="631"/>
      <c r="Y988" s="631"/>
      <c r="Z988" s="631"/>
      <c r="AA988" s="631"/>
      <c r="AB988" s="631"/>
      <c r="AC988" s="631"/>
    </row>
    <row r="989">
      <c r="A989" s="631"/>
      <c r="B989" s="694"/>
      <c r="C989" s="694"/>
      <c r="D989" s="694"/>
      <c r="E989" s="694"/>
      <c r="F989" s="631"/>
      <c r="G989" s="631"/>
      <c r="H989" s="631"/>
      <c r="I989" s="579"/>
      <c r="J989" s="579"/>
      <c r="K989" s="694"/>
      <c r="L989" s="579"/>
      <c r="M989" s="579"/>
      <c r="N989" s="579"/>
      <c r="O989" s="631"/>
      <c r="P989" s="631"/>
      <c r="Q989" s="631"/>
      <c r="R989" s="631"/>
      <c r="S989" s="631"/>
      <c r="T989" s="631"/>
      <c r="U989" s="631"/>
      <c r="V989" s="631"/>
      <c r="W989" s="631"/>
      <c r="X989" s="631"/>
      <c r="Y989" s="631"/>
      <c r="Z989" s="631"/>
      <c r="AA989" s="631"/>
      <c r="AB989" s="631"/>
      <c r="AC989" s="631"/>
    </row>
    <row r="990">
      <c r="A990" s="631"/>
      <c r="B990" s="694"/>
      <c r="C990" s="694"/>
      <c r="D990" s="694"/>
      <c r="E990" s="694"/>
      <c r="F990" s="631"/>
      <c r="G990" s="631"/>
      <c r="H990" s="631"/>
      <c r="I990" s="579"/>
      <c r="J990" s="579"/>
      <c r="K990" s="694"/>
      <c r="L990" s="579"/>
      <c r="M990" s="579"/>
      <c r="N990" s="579"/>
      <c r="O990" s="631"/>
      <c r="P990" s="631"/>
      <c r="Q990" s="631"/>
      <c r="R990" s="631"/>
      <c r="S990" s="631"/>
      <c r="T990" s="631"/>
      <c r="U990" s="631"/>
      <c r="V990" s="631"/>
      <c r="W990" s="631"/>
      <c r="X990" s="631"/>
      <c r="Y990" s="631"/>
      <c r="Z990" s="631"/>
      <c r="AA990" s="631"/>
      <c r="AB990" s="631"/>
      <c r="AC990" s="631"/>
    </row>
    <row r="991">
      <c r="A991" s="631"/>
      <c r="B991" s="694"/>
      <c r="C991" s="694"/>
      <c r="D991" s="694"/>
      <c r="E991" s="694"/>
      <c r="F991" s="631"/>
      <c r="G991" s="631"/>
      <c r="H991" s="631"/>
      <c r="I991" s="579"/>
      <c r="J991" s="579"/>
      <c r="K991" s="694"/>
      <c r="L991" s="579"/>
      <c r="M991" s="579"/>
      <c r="N991" s="579"/>
      <c r="O991" s="631"/>
      <c r="P991" s="631"/>
      <c r="Q991" s="631"/>
      <c r="R991" s="631"/>
      <c r="S991" s="631"/>
      <c r="T991" s="631"/>
      <c r="U991" s="631"/>
      <c r="V991" s="631"/>
      <c r="W991" s="631"/>
      <c r="X991" s="631"/>
      <c r="Y991" s="631"/>
      <c r="Z991" s="631"/>
      <c r="AA991" s="631"/>
      <c r="AB991" s="631"/>
      <c r="AC991" s="631"/>
    </row>
    <row r="992">
      <c r="A992" s="631"/>
      <c r="B992" s="694"/>
      <c r="C992" s="694"/>
      <c r="D992" s="694"/>
      <c r="E992" s="694"/>
      <c r="F992" s="631"/>
      <c r="G992" s="631"/>
      <c r="H992" s="631"/>
      <c r="I992" s="579"/>
      <c r="J992" s="579"/>
      <c r="K992" s="694"/>
      <c r="L992" s="579"/>
      <c r="M992" s="579"/>
      <c r="N992" s="579"/>
      <c r="O992" s="631"/>
      <c r="P992" s="631"/>
      <c r="Q992" s="631"/>
      <c r="R992" s="631"/>
      <c r="S992" s="631"/>
      <c r="T992" s="631"/>
      <c r="U992" s="631"/>
      <c r="V992" s="631"/>
      <c r="W992" s="631"/>
      <c r="X992" s="631"/>
      <c r="Y992" s="631"/>
      <c r="Z992" s="631"/>
      <c r="AA992" s="631"/>
      <c r="AB992" s="631"/>
      <c r="AC992" s="631"/>
    </row>
    <row r="993">
      <c r="A993" s="631"/>
      <c r="B993" s="694"/>
      <c r="C993" s="694"/>
      <c r="D993" s="694"/>
      <c r="E993" s="694"/>
      <c r="F993" s="631"/>
      <c r="G993" s="631"/>
      <c r="H993" s="631"/>
      <c r="I993" s="579"/>
      <c r="J993" s="579"/>
      <c r="K993" s="694"/>
      <c r="L993" s="579"/>
      <c r="M993" s="579"/>
      <c r="N993" s="579"/>
      <c r="O993" s="631"/>
      <c r="P993" s="631"/>
      <c r="Q993" s="631"/>
      <c r="R993" s="631"/>
      <c r="S993" s="631"/>
      <c r="T993" s="631"/>
      <c r="U993" s="631"/>
      <c r="V993" s="631"/>
      <c r="W993" s="631"/>
      <c r="X993" s="631"/>
      <c r="Y993" s="631"/>
      <c r="Z993" s="631"/>
      <c r="AA993" s="631"/>
      <c r="AB993" s="631"/>
      <c r="AC993" s="631"/>
    </row>
    <row r="994">
      <c r="A994" s="631"/>
      <c r="B994" s="694"/>
      <c r="C994" s="694"/>
      <c r="D994" s="694"/>
      <c r="E994" s="694"/>
      <c r="F994" s="631"/>
      <c r="G994" s="631"/>
      <c r="H994" s="631"/>
      <c r="I994" s="579"/>
      <c r="J994" s="579"/>
      <c r="K994" s="694"/>
      <c r="L994" s="579"/>
      <c r="M994" s="579"/>
      <c r="N994" s="579"/>
      <c r="O994" s="631"/>
      <c r="P994" s="631"/>
      <c r="Q994" s="631"/>
      <c r="R994" s="631"/>
      <c r="S994" s="631"/>
      <c r="T994" s="631"/>
      <c r="U994" s="631"/>
      <c r="V994" s="631"/>
      <c r="W994" s="631"/>
      <c r="X994" s="631"/>
      <c r="Y994" s="631"/>
      <c r="Z994" s="631"/>
      <c r="AA994" s="631"/>
      <c r="AB994" s="631"/>
      <c r="AC994" s="631"/>
    </row>
    <row r="995">
      <c r="A995" s="631"/>
      <c r="B995" s="694"/>
      <c r="C995" s="694"/>
      <c r="D995" s="694"/>
      <c r="E995" s="694"/>
      <c r="F995" s="631"/>
      <c r="G995" s="631"/>
      <c r="H995" s="631"/>
      <c r="I995" s="579"/>
      <c r="J995" s="579"/>
      <c r="K995" s="694"/>
      <c r="L995" s="579"/>
      <c r="M995" s="579"/>
      <c r="N995" s="579"/>
      <c r="O995" s="631"/>
      <c r="P995" s="631"/>
      <c r="Q995" s="631"/>
      <c r="R995" s="631"/>
      <c r="S995" s="631"/>
      <c r="T995" s="631"/>
      <c r="U995" s="631"/>
      <c r="V995" s="631"/>
      <c r="W995" s="631"/>
      <c r="X995" s="631"/>
      <c r="Y995" s="631"/>
      <c r="Z995" s="631"/>
      <c r="AA995" s="631"/>
      <c r="AB995" s="631"/>
      <c r="AC995" s="631"/>
    </row>
    <row r="996">
      <c r="A996" s="631"/>
      <c r="B996" s="694"/>
      <c r="C996" s="694"/>
      <c r="D996" s="694"/>
      <c r="E996" s="694"/>
      <c r="F996" s="631"/>
      <c r="G996" s="631"/>
      <c r="H996" s="631"/>
      <c r="I996" s="579"/>
      <c r="J996" s="579"/>
      <c r="K996" s="694"/>
      <c r="L996" s="579"/>
      <c r="M996" s="579"/>
      <c r="N996" s="579"/>
      <c r="O996" s="631"/>
      <c r="P996" s="631"/>
      <c r="Q996" s="631"/>
      <c r="R996" s="631"/>
      <c r="S996" s="631"/>
      <c r="T996" s="631"/>
      <c r="U996" s="631"/>
      <c r="V996" s="631"/>
      <c r="W996" s="631"/>
      <c r="X996" s="631"/>
      <c r="Y996" s="631"/>
      <c r="Z996" s="631"/>
      <c r="AA996" s="631"/>
      <c r="AB996" s="631"/>
      <c r="AC996" s="631"/>
    </row>
    <row r="997">
      <c r="A997" s="631"/>
      <c r="B997" s="694"/>
      <c r="C997" s="694"/>
      <c r="D997" s="694"/>
      <c r="E997" s="694"/>
      <c r="F997" s="631"/>
      <c r="G997" s="631"/>
      <c r="H997" s="631"/>
      <c r="I997" s="579"/>
      <c r="J997" s="579"/>
      <c r="K997" s="694"/>
      <c r="L997" s="579"/>
      <c r="M997" s="579"/>
      <c r="N997" s="579"/>
      <c r="O997" s="631"/>
      <c r="P997" s="631"/>
      <c r="Q997" s="631"/>
      <c r="R997" s="631"/>
      <c r="S997" s="631"/>
      <c r="T997" s="631"/>
      <c r="U997" s="631"/>
      <c r="V997" s="631"/>
      <c r="W997" s="631"/>
      <c r="X997" s="631"/>
      <c r="Y997" s="631"/>
      <c r="Z997" s="631"/>
      <c r="AA997" s="631"/>
      <c r="AB997" s="631"/>
      <c r="AC997" s="631"/>
    </row>
    <row r="998">
      <c r="A998" s="631"/>
      <c r="B998" s="694"/>
      <c r="C998" s="694"/>
      <c r="D998" s="694"/>
      <c r="E998" s="694"/>
      <c r="F998" s="631"/>
      <c r="G998" s="631"/>
      <c r="H998" s="631"/>
      <c r="I998" s="579"/>
      <c r="J998" s="579"/>
      <c r="K998" s="694"/>
      <c r="L998" s="579"/>
      <c r="M998" s="579"/>
      <c r="N998" s="579"/>
      <c r="O998" s="631"/>
      <c r="P998" s="631"/>
      <c r="Q998" s="631"/>
      <c r="R998" s="631"/>
      <c r="S998" s="631"/>
      <c r="T998" s="631"/>
      <c r="U998" s="631"/>
      <c r="V998" s="631"/>
      <c r="W998" s="631"/>
      <c r="X998" s="631"/>
      <c r="Y998" s="631"/>
      <c r="Z998" s="631"/>
      <c r="AA998" s="631"/>
      <c r="AB998" s="631"/>
      <c r="AC998" s="631"/>
    </row>
    <row r="999">
      <c r="A999" s="631"/>
      <c r="B999" s="694"/>
      <c r="C999" s="694"/>
      <c r="D999" s="694"/>
      <c r="E999" s="694"/>
      <c r="F999" s="631"/>
      <c r="G999" s="631"/>
      <c r="H999" s="631"/>
      <c r="I999" s="579"/>
      <c r="J999" s="579"/>
      <c r="K999" s="694"/>
      <c r="L999" s="579"/>
      <c r="M999" s="579"/>
      <c r="N999" s="579"/>
      <c r="O999" s="631"/>
      <c r="P999" s="631"/>
      <c r="Q999" s="631"/>
      <c r="R999" s="631"/>
      <c r="S999" s="631"/>
      <c r="T999" s="631"/>
      <c r="U999" s="631"/>
      <c r="V999" s="631"/>
      <c r="W999" s="631"/>
      <c r="X999" s="631"/>
      <c r="Y999" s="631"/>
      <c r="Z999" s="631"/>
      <c r="AA999" s="631"/>
      <c r="AB999" s="631"/>
      <c r="AC999" s="631"/>
    </row>
    <row r="1000">
      <c r="A1000" s="631"/>
      <c r="B1000" s="694"/>
      <c r="C1000" s="694"/>
      <c r="D1000" s="694"/>
      <c r="E1000" s="694"/>
      <c r="F1000" s="631"/>
      <c r="G1000" s="631"/>
      <c r="H1000" s="631"/>
      <c r="I1000" s="579"/>
      <c r="J1000" s="579"/>
      <c r="K1000" s="694"/>
      <c r="L1000" s="579"/>
      <c r="M1000" s="579"/>
      <c r="N1000" s="579"/>
      <c r="O1000" s="631"/>
      <c r="P1000" s="631"/>
      <c r="Q1000" s="631"/>
      <c r="R1000" s="631"/>
      <c r="S1000" s="631"/>
      <c r="T1000" s="631"/>
      <c r="U1000" s="631"/>
      <c r="V1000" s="631"/>
      <c r="W1000" s="631"/>
      <c r="X1000" s="631"/>
      <c r="Y1000" s="631"/>
      <c r="Z1000" s="631"/>
      <c r="AA1000" s="631"/>
      <c r="AB1000" s="631"/>
      <c r="AC1000" s="631"/>
    </row>
    <row r="1001">
      <c r="A1001" s="631"/>
      <c r="B1001" s="694"/>
      <c r="C1001" s="694"/>
      <c r="D1001" s="694"/>
      <c r="E1001" s="694"/>
      <c r="F1001" s="631"/>
      <c r="G1001" s="631"/>
      <c r="H1001" s="631"/>
      <c r="I1001" s="579"/>
      <c r="J1001" s="579"/>
      <c r="K1001" s="694"/>
      <c r="L1001" s="579"/>
      <c r="M1001" s="579"/>
      <c r="N1001" s="579"/>
      <c r="O1001" s="631"/>
      <c r="P1001" s="631"/>
      <c r="Q1001" s="631"/>
      <c r="R1001" s="631"/>
      <c r="S1001" s="631"/>
      <c r="T1001" s="631"/>
      <c r="U1001" s="631"/>
      <c r="V1001" s="631"/>
      <c r="W1001" s="631"/>
      <c r="X1001" s="631"/>
      <c r="Y1001" s="631"/>
      <c r="Z1001" s="631"/>
      <c r="AA1001" s="631"/>
      <c r="AB1001" s="631"/>
      <c r="AC1001" s="631"/>
    </row>
    <row r="1002">
      <c r="A1002" s="631"/>
      <c r="B1002" s="694"/>
      <c r="C1002" s="694"/>
      <c r="D1002" s="694"/>
      <c r="E1002" s="694"/>
      <c r="F1002" s="631"/>
      <c r="G1002" s="631"/>
      <c r="H1002" s="631"/>
      <c r="I1002" s="579"/>
      <c r="J1002" s="579"/>
      <c r="K1002" s="694"/>
      <c r="L1002" s="579"/>
      <c r="M1002" s="579"/>
      <c r="N1002" s="579"/>
      <c r="O1002" s="631"/>
      <c r="P1002" s="631"/>
      <c r="Q1002" s="631"/>
      <c r="R1002" s="631"/>
      <c r="S1002" s="631"/>
      <c r="T1002" s="631"/>
      <c r="U1002" s="631"/>
      <c r="V1002" s="631"/>
      <c r="W1002" s="631"/>
      <c r="X1002" s="631"/>
      <c r="Y1002" s="631"/>
      <c r="Z1002" s="631"/>
      <c r="AA1002" s="631"/>
      <c r="AB1002" s="631"/>
      <c r="AC1002" s="631"/>
    </row>
    <row r="1003">
      <c r="A1003" s="631"/>
      <c r="B1003" s="694"/>
      <c r="C1003" s="694"/>
      <c r="D1003" s="694"/>
      <c r="E1003" s="694"/>
      <c r="F1003" s="631"/>
      <c r="G1003" s="631"/>
      <c r="H1003" s="631"/>
      <c r="I1003" s="579"/>
      <c r="J1003" s="579"/>
      <c r="K1003" s="694"/>
      <c r="L1003" s="579"/>
      <c r="M1003" s="579"/>
      <c r="N1003" s="579"/>
      <c r="O1003" s="631"/>
      <c r="P1003" s="631"/>
      <c r="Q1003" s="631"/>
      <c r="R1003" s="631"/>
      <c r="S1003" s="631"/>
      <c r="T1003" s="631"/>
      <c r="U1003" s="631"/>
      <c r="V1003" s="631"/>
      <c r="W1003" s="631"/>
      <c r="X1003" s="631"/>
      <c r="Y1003" s="631"/>
      <c r="Z1003" s="631"/>
      <c r="AA1003" s="631"/>
      <c r="AB1003" s="631"/>
      <c r="AC1003" s="631"/>
    </row>
    <row r="1004">
      <c r="A1004" s="631"/>
      <c r="B1004" s="694"/>
      <c r="C1004" s="694"/>
      <c r="D1004" s="694"/>
      <c r="E1004" s="694"/>
      <c r="F1004" s="631"/>
      <c r="G1004" s="631"/>
      <c r="H1004" s="631"/>
      <c r="I1004" s="579"/>
      <c r="J1004" s="579"/>
      <c r="K1004" s="694"/>
      <c r="L1004" s="579"/>
      <c r="M1004" s="579"/>
      <c r="N1004" s="579"/>
      <c r="O1004" s="631"/>
      <c r="P1004" s="631"/>
      <c r="Q1004" s="631"/>
      <c r="R1004" s="631"/>
      <c r="S1004" s="631"/>
      <c r="T1004" s="631"/>
      <c r="U1004" s="631"/>
      <c r="V1004" s="631"/>
      <c r="W1004" s="631"/>
      <c r="X1004" s="631"/>
      <c r="Y1004" s="631"/>
      <c r="Z1004" s="631"/>
      <c r="AA1004" s="631"/>
      <c r="AB1004" s="631"/>
      <c r="AC1004" s="631"/>
    </row>
    <row r="1005">
      <c r="A1005" s="631"/>
      <c r="B1005" s="694"/>
      <c r="C1005" s="694"/>
      <c r="D1005" s="694"/>
      <c r="E1005" s="694"/>
      <c r="F1005" s="631"/>
      <c r="G1005" s="631"/>
      <c r="H1005" s="631"/>
      <c r="I1005" s="579"/>
      <c r="J1005" s="579"/>
      <c r="K1005" s="694"/>
      <c r="L1005" s="579"/>
      <c r="M1005" s="579"/>
      <c r="N1005" s="579"/>
      <c r="O1005" s="631"/>
      <c r="P1005" s="631"/>
      <c r="Q1005" s="631"/>
      <c r="R1005" s="631"/>
      <c r="S1005" s="631"/>
      <c r="T1005" s="631"/>
      <c r="U1005" s="631"/>
      <c r="V1005" s="631"/>
      <c r="W1005" s="631"/>
      <c r="X1005" s="631"/>
      <c r="Y1005" s="631"/>
      <c r="Z1005" s="631"/>
      <c r="AA1005" s="631"/>
      <c r="AB1005" s="631"/>
      <c r="AC1005" s="631"/>
    </row>
    <row r="1006">
      <c r="A1006" s="631"/>
      <c r="B1006" s="694"/>
      <c r="C1006" s="694"/>
      <c r="D1006" s="694"/>
      <c r="E1006" s="694"/>
      <c r="F1006" s="631"/>
      <c r="G1006" s="631"/>
      <c r="H1006" s="631"/>
      <c r="I1006" s="579"/>
      <c r="J1006" s="579"/>
      <c r="K1006" s="694"/>
      <c r="L1006" s="579"/>
      <c r="M1006" s="579"/>
      <c r="N1006" s="579"/>
      <c r="O1006" s="631"/>
      <c r="P1006" s="631"/>
      <c r="Q1006" s="631"/>
      <c r="R1006" s="631"/>
      <c r="S1006" s="631"/>
      <c r="T1006" s="631"/>
      <c r="U1006" s="631"/>
      <c r="V1006" s="631"/>
      <c r="W1006" s="631"/>
      <c r="X1006" s="631"/>
      <c r="Y1006" s="631"/>
      <c r="Z1006" s="631"/>
      <c r="AA1006" s="631"/>
      <c r="AB1006" s="631"/>
      <c r="AC1006" s="631"/>
    </row>
    <row r="1007">
      <c r="A1007" s="631"/>
      <c r="B1007" s="694"/>
      <c r="C1007" s="694"/>
      <c r="D1007" s="694"/>
      <c r="E1007" s="694"/>
      <c r="F1007" s="631"/>
      <c r="G1007" s="631"/>
      <c r="H1007" s="631"/>
      <c r="I1007" s="579"/>
      <c r="J1007" s="579"/>
      <c r="K1007" s="694"/>
      <c r="L1007" s="579"/>
      <c r="M1007" s="579"/>
      <c r="N1007" s="579"/>
      <c r="O1007" s="631"/>
      <c r="P1007" s="631"/>
      <c r="Q1007" s="631"/>
      <c r="R1007" s="631"/>
      <c r="S1007" s="631"/>
      <c r="T1007" s="631"/>
      <c r="U1007" s="631"/>
      <c r="V1007" s="631"/>
      <c r="W1007" s="631"/>
      <c r="X1007" s="631"/>
      <c r="Y1007" s="631"/>
      <c r="Z1007" s="631"/>
      <c r="AA1007" s="631"/>
      <c r="AB1007" s="631"/>
      <c r="AC1007" s="631"/>
    </row>
    <row r="1008">
      <c r="A1008" s="631"/>
      <c r="B1008" s="694"/>
      <c r="C1008" s="694"/>
      <c r="D1008" s="694"/>
      <c r="E1008" s="694"/>
      <c r="F1008" s="631"/>
      <c r="G1008" s="631"/>
      <c r="H1008" s="631"/>
      <c r="I1008" s="579"/>
      <c r="J1008" s="579"/>
      <c r="K1008" s="694"/>
      <c r="L1008" s="579"/>
      <c r="M1008" s="579"/>
      <c r="N1008" s="579"/>
      <c r="O1008" s="631"/>
      <c r="P1008" s="631"/>
      <c r="Q1008" s="631"/>
      <c r="R1008" s="631"/>
      <c r="S1008" s="631"/>
      <c r="T1008" s="631"/>
      <c r="U1008" s="631"/>
      <c r="V1008" s="631"/>
      <c r="W1008" s="631"/>
      <c r="X1008" s="631"/>
      <c r="Y1008" s="631"/>
      <c r="Z1008" s="631"/>
      <c r="AA1008" s="631"/>
      <c r="AB1008" s="631"/>
      <c r="AC1008" s="631"/>
    </row>
    <row r="1009">
      <c r="A1009" s="631"/>
      <c r="B1009" s="694"/>
      <c r="C1009" s="694"/>
      <c r="D1009" s="694"/>
      <c r="E1009" s="694"/>
      <c r="F1009" s="631"/>
      <c r="G1009" s="631"/>
      <c r="H1009" s="631"/>
      <c r="I1009" s="579"/>
      <c r="J1009" s="579"/>
      <c r="K1009" s="694"/>
      <c r="L1009" s="579"/>
      <c r="M1009" s="579"/>
      <c r="N1009" s="579"/>
      <c r="O1009" s="631"/>
      <c r="P1009" s="631"/>
      <c r="Q1009" s="631"/>
      <c r="R1009" s="631"/>
      <c r="S1009" s="631"/>
      <c r="T1009" s="631"/>
      <c r="U1009" s="631"/>
      <c r="V1009" s="631"/>
      <c r="W1009" s="631"/>
      <c r="X1009" s="631"/>
      <c r="Y1009" s="631"/>
      <c r="Z1009" s="631"/>
      <c r="AA1009" s="631"/>
      <c r="AB1009" s="631"/>
      <c r="AC1009" s="631"/>
    </row>
    <row r="1010">
      <c r="A1010" s="631"/>
      <c r="B1010" s="694"/>
      <c r="C1010" s="694"/>
      <c r="D1010" s="694"/>
      <c r="E1010" s="694"/>
      <c r="F1010" s="631"/>
      <c r="G1010" s="631"/>
      <c r="H1010" s="631"/>
      <c r="I1010" s="579"/>
      <c r="J1010" s="579"/>
      <c r="K1010" s="694"/>
      <c r="L1010" s="579"/>
      <c r="M1010" s="579"/>
      <c r="N1010" s="579"/>
      <c r="O1010" s="631"/>
      <c r="P1010" s="631"/>
      <c r="Q1010" s="631"/>
      <c r="R1010" s="631"/>
      <c r="S1010" s="631"/>
      <c r="T1010" s="631"/>
      <c r="U1010" s="631"/>
      <c r="V1010" s="631"/>
      <c r="W1010" s="631"/>
      <c r="X1010" s="631"/>
      <c r="Y1010" s="631"/>
      <c r="Z1010" s="631"/>
      <c r="AA1010" s="631"/>
      <c r="AB1010" s="631"/>
      <c r="AC1010" s="631"/>
    </row>
    <row r="1011">
      <c r="A1011" s="631"/>
      <c r="B1011" s="694"/>
      <c r="C1011" s="694"/>
      <c r="D1011" s="694"/>
      <c r="E1011" s="694"/>
      <c r="F1011" s="631"/>
      <c r="G1011" s="631"/>
      <c r="H1011" s="631"/>
      <c r="I1011" s="579"/>
      <c r="J1011" s="579"/>
      <c r="K1011" s="694"/>
      <c r="L1011" s="579"/>
      <c r="M1011" s="579"/>
      <c r="N1011" s="579"/>
      <c r="O1011" s="631"/>
      <c r="P1011" s="631"/>
      <c r="Q1011" s="631"/>
      <c r="R1011" s="631"/>
      <c r="S1011" s="631"/>
      <c r="T1011" s="631"/>
      <c r="U1011" s="631"/>
      <c r="V1011" s="631"/>
      <c r="W1011" s="631"/>
      <c r="X1011" s="631"/>
      <c r="Y1011" s="631"/>
      <c r="Z1011" s="631"/>
      <c r="AA1011" s="631"/>
      <c r="AB1011" s="631"/>
      <c r="AC1011" s="631"/>
    </row>
    <row r="1012">
      <c r="A1012" s="631"/>
      <c r="B1012" s="694"/>
      <c r="C1012" s="694"/>
      <c r="D1012" s="694"/>
      <c r="E1012" s="694"/>
      <c r="F1012" s="631"/>
      <c r="G1012" s="631"/>
      <c r="H1012" s="631"/>
      <c r="I1012" s="579"/>
      <c r="J1012" s="579"/>
      <c r="K1012" s="694"/>
      <c r="L1012" s="579"/>
      <c r="M1012" s="579"/>
      <c r="N1012" s="579"/>
      <c r="O1012" s="631"/>
      <c r="P1012" s="631"/>
      <c r="Q1012" s="631"/>
      <c r="R1012" s="631"/>
      <c r="S1012" s="631"/>
      <c r="T1012" s="631"/>
      <c r="U1012" s="631"/>
      <c r="V1012" s="631"/>
      <c r="W1012" s="631"/>
      <c r="X1012" s="631"/>
      <c r="Y1012" s="631"/>
      <c r="Z1012" s="631"/>
      <c r="AA1012" s="631"/>
      <c r="AB1012" s="631"/>
      <c r="AC1012" s="631"/>
    </row>
    <row r="1013">
      <c r="A1013" s="631"/>
      <c r="B1013" s="694"/>
      <c r="C1013" s="694"/>
      <c r="D1013" s="694"/>
      <c r="E1013" s="694"/>
      <c r="F1013" s="631"/>
      <c r="G1013" s="631"/>
      <c r="H1013" s="631"/>
      <c r="I1013" s="579"/>
      <c r="J1013" s="579"/>
      <c r="K1013" s="694"/>
      <c r="L1013" s="579"/>
      <c r="M1013" s="579"/>
      <c r="N1013" s="579"/>
      <c r="O1013" s="631"/>
      <c r="P1013" s="631"/>
      <c r="Q1013" s="631"/>
      <c r="R1013" s="631"/>
      <c r="S1013" s="631"/>
      <c r="T1013" s="631"/>
      <c r="U1013" s="631"/>
      <c r="V1013" s="631"/>
      <c r="W1013" s="631"/>
      <c r="X1013" s="631"/>
      <c r="Y1013" s="631"/>
      <c r="Z1013" s="631"/>
      <c r="AA1013" s="631"/>
      <c r="AB1013" s="631"/>
      <c r="AC1013" s="631"/>
    </row>
    <row r="1014">
      <c r="A1014" s="631"/>
      <c r="B1014" s="694"/>
      <c r="C1014" s="694"/>
      <c r="D1014" s="694"/>
      <c r="E1014" s="694"/>
      <c r="F1014" s="631"/>
      <c r="G1014" s="631"/>
      <c r="H1014" s="631"/>
      <c r="I1014" s="579"/>
      <c r="J1014" s="579"/>
      <c r="K1014" s="694"/>
      <c r="L1014" s="579"/>
      <c r="M1014" s="579"/>
      <c r="N1014" s="579"/>
      <c r="O1014" s="631"/>
      <c r="P1014" s="631"/>
      <c r="Q1014" s="631"/>
      <c r="R1014" s="631"/>
      <c r="S1014" s="631"/>
      <c r="T1014" s="631"/>
      <c r="U1014" s="631"/>
      <c r="V1014" s="631"/>
      <c r="W1014" s="631"/>
      <c r="X1014" s="631"/>
      <c r="Y1014" s="631"/>
      <c r="Z1014" s="631"/>
      <c r="AA1014" s="631"/>
      <c r="AB1014" s="631"/>
      <c r="AC1014" s="631"/>
    </row>
    <row r="1015">
      <c r="A1015" s="631"/>
      <c r="B1015" s="694"/>
      <c r="C1015" s="694"/>
      <c r="D1015" s="694"/>
      <c r="E1015" s="694"/>
      <c r="F1015" s="631"/>
      <c r="G1015" s="631"/>
      <c r="H1015" s="631"/>
      <c r="I1015" s="579"/>
      <c r="J1015" s="579"/>
      <c r="K1015" s="694"/>
      <c r="L1015" s="579"/>
      <c r="M1015" s="579"/>
      <c r="N1015" s="579"/>
      <c r="O1015" s="631"/>
      <c r="P1015" s="631"/>
      <c r="Q1015" s="631"/>
      <c r="R1015" s="631"/>
      <c r="S1015" s="631"/>
      <c r="T1015" s="631"/>
      <c r="U1015" s="631"/>
      <c r="V1015" s="631"/>
      <c r="W1015" s="631"/>
      <c r="X1015" s="631"/>
      <c r="Y1015" s="631"/>
      <c r="Z1015" s="631"/>
      <c r="AA1015" s="631"/>
      <c r="AB1015" s="631"/>
      <c r="AC1015" s="631"/>
    </row>
    <row r="1016">
      <c r="A1016" s="631"/>
      <c r="B1016" s="694"/>
      <c r="C1016" s="694"/>
      <c r="D1016" s="694"/>
      <c r="E1016" s="694"/>
      <c r="F1016" s="631"/>
      <c r="G1016" s="631"/>
      <c r="H1016" s="631"/>
      <c r="I1016" s="579"/>
      <c r="J1016" s="579"/>
      <c r="K1016" s="694"/>
      <c r="L1016" s="579"/>
      <c r="M1016" s="579"/>
      <c r="N1016" s="579"/>
      <c r="O1016" s="631"/>
      <c r="P1016" s="631"/>
      <c r="Q1016" s="631"/>
      <c r="R1016" s="631"/>
      <c r="S1016" s="631"/>
      <c r="T1016" s="631"/>
      <c r="U1016" s="631"/>
      <c r="V1016" s="631"/>
      <c r="W1016" s="631"/>
      <c r="X1016" s="631"/>
      <c r="Y1016" s="631"/>
      <c r="Z1016" s="631"/>
      <c r="AA1016" s="631"/>
      <c r="AB1016" s="631"/>
      <c r="AC1016" s="631"/>
    </row>
    <row r="1017">
      <c r="A1017" s="631"/>
      <c r="B1017" s="694"/>
      <c r="C1017" s="694"/>
      <c r="D1017" s="694"/>
      <c r="E1017" s="694"/>
      <c r="F1017" s="631"/>
      <c r="G1017" s="631"/>
      <c r="H1017" s="631"/>
      <c r="I1017" s="579"/>
      <c r="J1017" s="579"/>
      <c r="K1017" s="694"/>
      <c r="L1017" s="579"/>
      <c r="M1017" s="579"/>
      <c r="N1017" s="579"/>
      <c r="O1017" s="631"/>
      <c r="P1017" s="631"/>
      <c r="Q1017" s="631"/>
      <c r="R1017" s="631"/>
      <c r="S1017" s="631"/>
      <c r="T1017" s="631"/>
      <c r="U1017" s="631"/>
      <c r="V1017" s="631"/>
      <c r="W1017" s="631"/>
      <c r="X1017" s="631"/>
      <c r="Y1017" s="631"/>
      <c r="Z1017" s="631"/>
      <c r="AA1017" s="631"/>
      <c r="AB1017" s="631"/>
      <c r="AC1017" s="631"/>
    </row>
    <row r="1018">
      <c r="A1018" s="631"/>
      <c r="B1018" s="694"/>
      <c r="C1018" s="694"/>
      <c r="D1018" s="694"/>
      <c r="E1018" s="694"/>
      <c r="F1018" s="631"/>
      <c r="G1018" s="631"/>
      <c r="H1018" s="631"/>
      <c r="I1018" s="579"/>
      <c r="J1018" s="579"/>
      <c r="K1018" s="694"/>
      <c r="L1018" s="579"/>
      <c r="M1018" s="579"/>
      <c r="N1018" s="579"/>
      <c r="O1018" s="631"/>
      <c r="P1018" s="631"/>
      <c r="Q1018" s="631"/>
      <c r="R1018" s="631"/>
      <c r="S1018" s="631"/>
      <c r="T1018" s="631"/>
      <c r="U1018" s="631"/>
      <c r="V1018" s="631"/>
      <c r="W1018" s="631"/>
      <c r="X1018" s="631"/>
      <c r="Y1018" s="631"/>
      <c r="Z1018" s="631"/>
      <c r="AA1018" s="631"/>
      <c r="AB1018" s="631"/>
      <c r="AC1018" s="631"/>
    </row>
    <row r="1019">
      <c r="A1019" s="631"/>
      <c r="B1019" s="694"/>
      <c r="C1019" s="694"/>
      <c r="D1019" s="694"/>
      <c r="E1019" s="694"/>
      <c r="F1019" s="631"/>
      <c r="G1019" s="631"/>
      <c r="H1019" s="631"/>
      <c r="I1019" s="579"/>
      <c r="J1019" s="579"/>
      <c r="K1019" s="694"/>
      <c r="L1019" s="579"/>
      <c r="M1019" s="579"/>
      <c r="N1019" s="579"/>
      <c r="O1019" s="631"/>
      <c r="P1019" s="631"/>
      <c r="Q1019" s="631"/>
      <c r="R1019" s="631"/>
      <c r="S1019" s="631"/>
      <c r="T1019" s="631"/>
      <c r="U1019" s="631"/>
      <c r="V1019" s="631"/>
      <c r="W1019" s="631"/>
      <c r="X1019" s="631"/>
      <c r="Y1019" s="631"/>
      <c r="Z1019" s="631"/>
      <c r="AA1019" s="631"/>
      <c r="AB1019" s="631"/>
      <c r="AC1019" s="631"/>
    </row>
    <row r="1020">
      <c r="A1020" s="631"/>
      <c r="B1020" s="694"/>
      <c r="C1020" s="694"/>
      <c r="D1020" s="694"/>
      <c r="E1020" s="694"/>
      <c r="F1020" s="631"/>
      <c r="G1020" s="631"/>
      <c r="H1020" s="631"/>
      <c r="I1020" s="579"/>
      <c r="J1020" s="579"/>
      <c r="K1020" s="694"/>
      <c r="L1020" s="579"/>
      <c r="M1020" s="579"/>
      <c r="N1020" s="579"/>
      <c r="O1020" s="631"/>
      <c r="P1020" s="631"/>
      <c r="Q1020" s="631"/>
      <c r="R1020" s="631"/>
      <c r="S1020" s="631"/>
      <c r="T1020" s="631"/>
      <c r="U1020" s="631"/>
      <c r="V1020" s="631"/>
      <c r="W1020" s="631"/>
      <c r="X1020" s="631"/>
      <c r="Y1020" s="631"/>
      <c r="Z1020" s="631"/>
      <c r="AA1020" s="631"/>
      <c r="AB1020" s="631"/>
      <c r="AC1020" s="631"/>
    </row>
    <row r="1021">
      <c r="A1021" s="631"/>
      <c r="B1021" s="694"/>
      <c r="C1021" s="694"/>
      <c r="D1021" s="694"/>
      <c r="E1021" s="694"/>
      <c r="F1021" s="631"/>
      <c r="G1021" s="631"/>
      <c r="H1021" s="631"/>
      <c r="I1021" s="579"/>
      <c r="J1021" s="579"/>
      <c r="K1021" s="694"/>
      <c r="L1021" s="579"/>
      <c r="M1021" s="579"/>
      <c r="N1021" s="579"/>
      <c r="O1021" s="631"/>
      <c r="P1021" s="631"/>
      <c r="Q1021" s="631"/>
      <c r="R1021" s="631"/>
      <c r="S1021" s="631"/>
      <c r="T1021" s="631"/>
      <c r="U1021" s="631"/>
      <c r="V1021" s="631"/>
      <c r="W1021" s="631"/>
      <c r="X1021" s="631"/>
      <c r="Y1021" s="631"/>
      <c r="Z1021" s="631"/>
      <c r="AA1021" s="631"/>
      <c r="AB1021" s="631"/>
      <c r="AC1021" s="631"/>
    </row>
    <row r="1022">
      <c r="A1022" s="631"/>
      <c r="B1022" s="694"/>
      <c r="C1022" s="694"/>
      <c r="D1022" s="694"/>
      <c r="E1022" s="694"/>
      <c r="F1022" s="631"/>
      <c r="G1022" s="631"/>
      <c r="H1022" s="631"/>
      <c r="I1022" s="579"/>
      <c r="J1022" s="579"/>
      <c r="K1022" s="694"/>
      <c r="L1022" s="579"/>
      <c r="M1022" s="579"/>
      <c r="N1022" s="579"/>
      <c r="O1022" s="631"/>
      <c r="P1022" s="631"/>
      <c r="Q1022" s="631"/>
      <c r="R1022" s="631"/>
      <c r="S1022" s="631"/>
      <c r="T1022" s="631"/>
      <c r="U1022" s="631"/>
      <c r="V1022" s="631"/>
      <c r="W1022" s="631"/>
      <c r="X1022" s="631"/>
      <c r="Y1022" s="631"/>
      <c r="Z1022" s="631"/>
      <c r="AA1022" s="631"/>
      <c r="AB1022" s="631"/>
      <c r="AC1022" s="631"/>
    </row>
    <row r="1023">
      <c r="A1023" s="631"/>
      <c r="B1023" s="694"/>
      <c r="C1023" s="694"/>
      <c r="D1023" s="694"/>
      <c r="E1023" s="694"/>
      <c r="F1023" s="631"/>
      <c r="G1023" s="631"/>
      <c r="H1023" s="631"/>
      <c r="I1023" s="579"/>
      <c r="J1023" s="579"/>
      <c r="K1023" s="694"/>
      <c r="L1023" s="579"/>
      <c r="M1023" s="579"/>
      <c r="N1023" s="579"/>
      <c r="O1023" s="631"/>
      <c r="P1023" s="631"/>
      <c r="Q1023" s="631"/>
      <c r="R1023" s="631"/>
      <c r="S1023" s="631"/>
      <c r="T1023" s="631"/>
      <c r="U1023" s="631"/>
      <c r="V1023" s="631"/>
      <c r="W1023" s="631"/>
      <c r="X1023" s="631"/>
      <c r="Y1023" s="631"/>
      <c r="Z1023" s="631"/>
      <c r="AA1023" s="631"/>
      <c r="AB1023" s="631"/>
      <c r="AC1023" s="631"/>
    </row>
    <row r="1024">
      <c r="A1024" s="631"/>
      <c r="B1024" s="694"/>
      <c r="C1024" s="694"/>
      <c r="D1024" s="694"/>
      <c r="E1024" s="694"/>
      <c r="F1024" s="631"/>
      <c r="G1024" s="631"/>
      <c r="H1024" s="631"/>
      <c r="I1024" s="579"/>
      <c r="J1024" s="579"/>
      <c r="K1024" s="694"/>
      <c r="L1024" s="579"/>
      <c r="M1024" s="579"/>
      <c r="N1024" s="579"/>
      <c r="O1024" s="631"/>
      <c r="P1024" s="631"/>
      <c r="Q1024" s="631"/>
      <c r="R1024" s="631"/>
      <c r="S1024" s="631"/>
      <c r="T1024" s="631"/>
      <c r="U1024" s="631"/>
      <c r="V1024" s="631"/>
      <c r="W1024" s="631"/>
      <c r="X1024" s="631"/>
      <c r="Y1024" s="631"/>
      <c r="Z1024" s="631"/>
      <c r="AA1024" s="631"/>
      <c r="AB1024" s="631"/>
      <c r="AC1024" s="631"/>
    </row>
    <row r="1025">
      <c r="A1025" s="631"/>
      <c r="B1025" s="694"/>
      <c r="C1025" s="694"/>
      <c r="D1025" s="694"/>
      <c r="E1025" s="694"/>
      <c r="F1025" s="631"/>
      <c r="G1025" s="631"/>
      <c r="H1025" s="631"/>
      <c r="I1025" s="579"/>
      <c r="J1025" s="579"/>
      <c r="K1025" s="694"/>
      <c r="L1025" s="579"/>
      <c r="M1025" s="579"/>
      <c r="N1025" s="579"/>
      <c r="O1025" s="631"/>
      <c r="P1025" s="631"/>
      <c r="Q1025" s="631"/>
      <c r="R1025" s="631"/>
      <c r="S1025" s="631"/>
      <c r="T1025" s="631"/>
      <c r="U1025" s="631"/>
      <c r="V1025" s="631"/>
      <c r="W1025" s="631"/>
      <c r="X1025" s="631"/>
      <c r="Y1025" s="631"/>
      <c r="Z1025" s="631"/>
      <c r="AA1025" s="631"/>
      <c r="AB1025" s="631"/>
      <c r="AC1025" s="631"/>
    </row>
    <row r="1026">
      <c r="A1026" s="631"/>
      <c r="B1026" s="694"/>
      <c r="C1026" s="694"/>
      <c r="D1026" s="694"/>
      <c r="E1026" s="694"/>
      <c r="F1026" s="631"/>
      <c r="G1026" s="631"/>
      <c r="H1026" s="631"/>
      <c r="I1026" s="579"/>
      <c r="J1026" s="579"/>
      <c r="K1026" s="694"/>
      <c r="L1026" s="579"/>
      <c r="M1026" s="579"/>
      <c r="N1026" s="579"/>
      <c r="O1026" s="631"/>
      <c r="P1026" s="631"/>
      <c r="Q1026" s="631"/>
      <c r="R1026" s="631"/>
      <c r="S1026" s="631"/>
      <c r="T1026" s="631"/>
      <c r="U1026" s="631"/>
      <c r="V1026" s="631"/>
      <c r="W1026" s="631"/>
      <c r="X1026" s="631"/>
      <c r="Y1026" s="631"/>
      <c r="Z1026" s="631"/>
      <c r="AA1026" s="631"/>
      <c r="AB1026" s="631"/>
      <c r="AC1026" s="631"/>
    </row>
    <row r="1027">
      <c r="A1027" s="631"/>
      <c r="B1027" s="694"/>
      <c r="C1027" s="694"/>
      <c r="D1027" s="694"/>
      <c r="E1027" s="694"/>
      <c r="F1027" s="631"/>
      <c r="G1027" s="631"/>
      <c r="H1027" s="631"/>
      <c r="I1027" s="579"/>
      <c r="J1027" s="579"/>
      <c r="K1027" s="694"/>
      <c r="L1027" s="579"/>
      <c r="M1027" s="579"/>
      <c r="N1027" s="579"/>
      <c r="O1027" s="631"/>
      <c r="P1027" s="631"/>
      <c r="Q1027" s="631"/>
      <c r="R1027" s="631"/>
      <c r="S1027" s="631"/>
      <c r="T1027" s="631"/>
      <c r="U1027" s="631"/>
      <c r="V1027" s="631"/>
      <c r="W1027" s="631"/>
      <c r="X1027" s="631"/>
      <c r="Y1027" s="631"/>
      <c r="Z1027" s="631"/>
      <c r="AA1027" s="631"/>
      <c r="AB1027" s="631"/>
      <c r="AC1027" s="631"/>
    </row>
    <row r="1028">
      <c r="A1028" s="631"/>
      <c r="B1028" s="694"/>
      <c r="C1028" s="694"/>
      <c r="D1028" s="694"/>
      <c r="E1028" s="694"/>
      <c r="F1028" s="631"/>
      <c r="G1028" s="631"/>
      <c r="H1028" s="631"/>
      <c r="I1028" s="579"/>
      <c r="J1028" s="579"/>
      <c r="K1028" s="694"/>
      <c r="L1028" s="579"/>
      <c r="M1028" s="579"/>
      <c r="N1028" s="579"/>
      <c r="O1028" s="631"/>
      <c r="P1028" s="631"/>
      <c r="Q1028" s="631"/>
      <c r="R1028" s="631"/>
      <c r="S1028" s="631"/>
      <c r="T1028" s="631"/>
      <c r="U1028" s="631"/>
      <c r="V1028" s="631"/>
      <c r="W1028" s="631"/>
      <c r="X1028" s="631"/>
      <c r="Y1028" s="631"/>
      <c r="Z1028" s="631"/>
      <c r="AA1028" s="631"/>
      <c r="AB1028" s="631"/>
      <c r="AC1028" s="631"/>
    </row>
    <row r="1029">
      <c r="A1029" s="631"/>
      <c r="B1029" s="694"/>
      <c r="C1029" s="694"/>
      <c r="D1029" s="694"/>
      <c r="E1029" s="694"/>
      <c r="F1029" s="631"/>
      <c r="G1029" s="631"/>
      <c r="H1029" s="631"/>
      <c r="I1029" s="579"/>
      <c r="J1029" s="579"/>
      <c r="K1029" s="694"/>
      <c r="L1029" s="579"/>
      <c r="M1029" s="579"/>
      <c r="N1029" s="579"/>
      <c r="O1029" s="631"/>
      <c r="P1029" s="631"/>
      <c r="Q1029" s="631"/>
      <c r="R1029" s="631"/>
      <c r="S1029" s="631"/>
      <c r="T1029" s="631"/>
      <c r="U1029" s="631"/>
      <c r="V1029" s="631"/>
      <c r="W1029" s="631"/>
      <c r="X1029" s="631"/>
      <c r="Y1029" s="631"/>
      <c r="Z1029" s="631"/>
      <c r="AA1029" s="631"/>
      <c r="AB1029" s="631"/>
      <c r="AC1029" s="631"/>
    </row>
    <row r="1030">
      <c r="A1030" s="631"/>
      <c r="B1030" s="694"/>
      <c r="C1030" s="694"/>
      <c r="D1030" s="694"/>
      <c r="E1030" s="694"/>
      <c r="F1030" s="631"/>
      <c r="G1030" s="631"/>
      <c r="H1030" s="631"/>
      <c r="I1030" s="579"/>
      <c r="J1030" s="579"/>
      <c r="K1030" s="694"/>
      <c r="L1030" s="579"/>
      <c r="M1030" s="579"/>
      <c r="N1030" s="579"/>
      <c r="O1030" s="631"/>
      <c r="P1030" s="631"/>
      <c r="Q1030" s="631"/>
      <c r="R1030" s="631"/>
      <c r="S1030" s="631"/>
      <c r="T1030" s="631"/>
      <c r="U1030" s="631"/>
      <c r="V1030" s="631"/>
      <c r="W1030" s="631"/>
      <c r="X1030" s="631"/>
      <c r="Y1030" s="631"/>
      <c r="Z1030" s="631"/>
      <c r="AA1030" s="631"/>
      <c r="AB1030" s="631"/>
      <c r="AC1030" s="631"/>
    </row>
    <row r="1031">
      <c r="A1031" s="631"/>
      <c r="B1031" s="694"/>
      <c r="C1031" s="694"/>
      <c r="D1031" s="694"/>
      <c r="E1031" s="694"/>
      <c r="F1031" s="631"/>
      <c r="G1031" s="631"/>
      <c r="H1031" s="631"/>
      <c r="I1031" s="579"/>
      <c r="J1031" s="579"/>
      <c r="K1031" s="694"/>
      <c r="L1031" s="579"/>
      <c r="M1031" s="579"/>
      <c r="N1031" s="579"/>
      <c r="O1031" s="631"/>
      <c r="P1031" s="631"/>
      <c r="Q1031" s="631"/>
      <c r="R1031" s="631"/>
      <c r="S1031" s="631"/>
      <c r="T1031" s="631"/>
      <c r="U1031" s="631"/>
      <c r="V1031" s="631"/>
      <c r="W1031" s="631"/>
      <c r="X1031" s="631"/>
      <c r="Y1031" s="631"/>
      <c r="Z1031" s="631"/>
      <c r="AA1031" s="631"/>
      <c r="AB1031" s="631"/>
      <c r="AC1031" s="631"/>
    </row>
    <row r="1032">
      <c r="A1032" s="631"/>
      <c r="B1032" s="694"/>
      <c r="C1032" s="694"/>
      <c r="D1032" s="694"/>
      <c r="E1032" s="694"/>
      <c r="F1032" s="631"/>
      <c r="G1032" s="631"/>
      <c r="H1032" s="631"/>
      <c r="I1032" s="579"/>
      <c r="J1032" s="579"/>
      <c r="K1032" s="694"/>
      <c r="L1032" s="579"/>
      <c r="M1032" s="579"/>
      <c r="N1032" s="579"/>
      <c r="O1032" s="631"/>
      <c r="P1032" s="631"/>
      <c r="Q1032" s="631"/>
      <c r="R1032" s="631"/>
      <c r="S1032" s="631"/>
      <c r="T1032" s="631"/>
      <c r="U1032" s="631"/>
      <c r="V1032" s="631"/>
      <c r="W1032" s="631"/>
      <c r="X1032" s="631"/>
      <c r="Y1032" s="631"/>
      <c r="Z1032" s="631"/>
      <c r="AA1032" s="631"/>
      <c r="AB1032" s="631"/>
      <c r="AC1032" s="631"/>
    </row>
    <row r="1033">
      <c r="A1033" s="631"/>
      <c r="B1033" s="694"/>
      <c r="C1033" s="694"/>
      <c r="D1033" s="694"/>
      <c r="E1033" s="694"/>
      <c r="F1033" s="631"/>
      <c r="G1033" s="631"/>
      <c r="H1033" s="631"/>
      <c r="I1033" s="579"/>
      <c r="J1033" s="579"/>
      <c r="K1033" s="694"/>
      <c r="L1033" s="579"/>
      <c r="M1033" s="579"/>
      <c r="N1033" s="579"/>
      <c r="O1033" s="631"/>
      <c r="P1033" s="631"/>
      <c r="Q1033" s="631"/>
      <c r="R1033" s="631"/>
      <c r="S1033" s="631"/>
      <c r="T1033" s="631"/>
      <c r="U1033" s="631"/>
      <c r="V1033" s="631"/>
      <c r="W1033" s="631"/>
      <c r="X1033" s="631"/>
      <c r="Y1033" s="631"/>
      <c r="Z1033" s="631"/>
      <c r="AA1033" s="631"/>
      <c r="AB1033" s="631"/>
      <c r="AC1033" s="631"/>
    </row>
    <row r="1034">
      <c r="A1034" s="631"/>
      <c r="B1034" s="694"/>
      <c r="C1034" s="694"/>
      <c r="D1034" s="694"/>
      <c r="E1034" s="694"/>
      <c r="F1034" s="631"/>
      <c r="G1034" s="631"/>
      <c r="H1034" s="631"/>
      <c r="I1034" s="579"/>
      <c r="J1034" s="579"/>
      <c r="K1034" s="694"/>
      <c r="L1034" s="579"/>
      <c r="M1034" s="579"/>
      <c r="N1034" s="579"/>
      <c r="O1034" s="631"/>
      <c r="P1034" s="631"/>
      <c r="Q1034" s="631"/>
      <c r="R1034" s="631"/>
      <c r="S1034" s="631"/>
      <c r="T1034" s="631"/>
      <c r="U1034" s="631"/>
      <c r="V1034" s="631"/>
      <c r="W1034" s="631"/>
      <c r="X1034" s="631"/>
      <c r="Y1034" s="631"/>
      <c r="Z1034" s="631"/>
      <c r="AA1034" s="631"/>
      <c r="AB1034" s="631"/>
      <c r="AC1034" s="631"/>
    </row>
    <row r="1035">
      <c r="A1035" s="631"/>
      <c r="B1035" s="694"/>
      <c r="C1035" s="694"/>
      <c r="D1035" s="694"/>
      <c r="E1035" s="694"/>
      <c r="F1035" s="631"/>
      <c r="G1035" s="631"/>
      <c r="H1035" s="631"/>
      <c r="I1035" s="579"/>
      <c r="J1035" s="579"/>
      <c r="K1035" s="694"/>
      <c r="L1035" s="579"/>
      <c r="M1035" s="579"/>
      <c r="N1035" s="579"/>
      <c r="O1035" s="631"/>
      <c r="P1035" s="631"/>
      <c r="Q1035" s="631"/>
      <c r="R1035" s="631"/>
      <c r="S1035" s="631"/>
      <c r="T1035" s="631"/>
      <c r="U1035" s="631"/>
      <c r="V1035" s="631"/>
      <c r="W1035" s="631"/>
      <c r="X1035" s="631"/>
      <c r="Y1035" s="631"/>
      <c r="Z1035" s="631"/>
      <c r="AA1035" s="631"/>
      <c r="AB1035" s="631"/>
      <c r="AC1035" s="631"/>
    </row>
    <row r="1036">
      <c r="A1036" s="631"/>
      <c r="B1036" s="694"/>
      <c r="C1036" s="694"/>
      <c r="D1036" s="694"/>
      <c r="E1036" s="694"/>
      <c r="F1036" s="631"/>
      <c r="G1036" s="631"/>
      <c r="H1036" s="631"/>
      <c r="I1036" s="579"/>
      <c r="J1036" s="579"/>
      <c r="K1036" s="694"/>
      <c r="L1036" s="579"/>
      <c r="M1036" s="579"/>
      <c r="N1036" s="579"/>
      <c r="O1036" s="631"/>
      <c r="P1036" s="631"/>
      <c r="Q1036" s="631"/>
      <c r="R1036" s="631"/>
      <c r="S1036" s="631"/>
      <c r="T1036" s="631"/>
      <c r="U1036" s="631"/>
      <c r="V1036" s="631"/>
      <c r="W1036" s="631"/>
      <c r="X1036" s="631"/>
      <c r="Y1036" s="631"/>
      <c r="Z1036" s="631"/>
      <c r="AA1036" s="631"/>
      <c r="AB1036" s="631"/>
      <c r="AC1036" s="631"/>
    </row>
    <row r="1037">
      <c r="A1037" s="631"/>
      <c r="B1037" s="694"/>
      <c r="C1037" s="694"/>
      <c r="D1037" s="694"/>
      <c r="E1037" s="694"/>
      <c r="F1037" s="631"/>
      <c r="G1037" s="631"/>
      <c r="H1037" s="631"/>
      <c r="I1037" s="579"/>
      <c r="J1037" s="579"/>
      <c r="K1037" s="694"/>
      <c r="L1037" s="579"/>
      <c r="M1037" s="579"/>
      <c r="N1037" s="579"/>
      <c r="O1037" s="631"/>
      <c r="P1037" s="631"/>
      <c r="Q1037" s="631"/>
      <c r="R1037" s="631"/>
      <c r="S1037" s="631"/>
      <c r="T1037" s="631"/>
      <c r="U1037" s="631"/>
      <c r="V1037" s="631"/>
      <c r="W1037" s="631"/>
      <c r="X1037" s="631"/>
      <c r="Y1037" s="631"/>
      <c r="Z1037" s="631"/>
      <c r="AA1037" s="631"/>
      <c r="AB1037" s="631"/>
      <c r="AC1037" s="631"/>
    </row>
    <row r="1038">
      <c r="A1038" s="631"/>
      <c r="B1038" s="694"/>
      <c r="C1038" s="694"/>
      <c r="D1038" s="694"/>
      <c r="E1038" s="694"/>
      <c r="F1038" s="631"/>
      <c r="G1038" s="631"/>
      <c r="H1038" s="631"/>
      <c r="I1038" s="579"/>
      <c r="J1038" s="579"/>
      <c r="K1038" s="694"/>
      <c r="L1038" s="579"/>
      <c r="M1038" s="579"/>
      <c r="N1038" s="579"/>
      <c r="O1038" s="631"/>
      <c r="P1038" s="631"/>
      <c r="Q1038" s="631"/>
      <c r="R1038" s="631"/>
      <c r="S1038" s="631"/>
      <c r="T1038" s="631"/>
      <c r="U1038" s="631"/>
      <c r="V1038" s="631"/>
      <c r="W1038" s="631"/>
      <c r="X1038" s="631"/>
      <c r="Y1038" s="631"/>
      <c r="Z1038" s="631"/>
      <c r="AA1038" s="631"/>
      <c r="AB1038" s="631"/>
      <c r="AC1038" s="631"/>
    </row>
    <row r="1039">
      <c r="A1039" s="631"/>
      <c r="B1039" s="694"/>
      <c r="C1039" s="694"/>
      <c r="D1039" s="694"/>
      <c r="E1039" s="694"/>
      <c r="F1039" s="631"/>
      <c r="G1039" s="631"/>
      <c r="H1039" s="631"/>
      <c r="I1039" s="579"/>
      <c r="J1039" s="579"/>
      <c r="K1039" s="694"/>
      <c r="L1039" s="579"/>
      <c r="M1039" s="579"/>
      <c r="N1039" s="579"/>
      <c r="O1039" s="631"/>
      <c r="P1039" s="631"/>
      <c r="Q1039" s="631"/>
      <c r="R1039" s="631"/>
      <c r="S1039" s="631"/>
      <c r="T1039" s="631"/>
      <c r="U1039" s="631"/>
      <c r="V1039" s="631"/>
      <c r="W1039" s="631"/>
      <c r="X1039" s="631"/>
      <c r="Y1039" s="631"/>
      <c r="Z1039" s="631"/>
      <c r="AA1039" s="631"/>
      <c r="AB1039" s="631"/>
      <c r="AC1039" s="631"/>
    </row>
    <row r="1040">
      <c r="A1040" s="631"/>
      <c r="B1040" s="694"/>
      <c r="C1040" s="694"/>
      <c r="D1040" s="694"/>
      <c r="E1040" s="694"/>
      <c r="F1040" s="631"/>
      <c r="G1040" s="631"/>
      <c r="H1040" s="631"/>
      <c r="I1040" s="579"/>
      <c r="J1040" s="579"/>
      <c r="K1040" s="694"/>
      <c r="L1040" s="579"/>
      <c r="M1040" s="579"/>
      <c r="N1040" s="579"/>
      <c r="O1040" s="631"/>
      <c r="P1040" s="631"/>
      <c r="Q1040" s="631"/>
      <c r="R1040" s="631"/>
      <c r="S1040" s="631"/>
      <c r="T1040" s="631"/>
      <c r="U1040" s="631"/>
      <c r="V1040" s="631"/>
      <c r="W1040" s="631"/>
      <c r="X1040" s="631"/>
      <c r="Y1040" s="631"/>
      <c r="Z1040" s="631"/>
      <c r="AA1040" s="631"/>
      <c r="AB1040" s="631"/>
      <c r="AC1040" s="631"/>
    </row>
    <row r="1041">
      <c r="A1041" s="631"/>
      <c r="B1041" s="694"/>
      <c r="C1041" s="694"/>
      <c r="D1041" s="694"/>
      <c r="E1041" s="694"/>
      <c r="F1041" s="631"/>
      <c r="G1041" s="631"/>
      <c r="H1041" s="631"/>
      <c r="I1041" s="579"/>
      <c r="J1041" s="579"/>
      <c r="K1041" s="694"/>
      <c r="L1041" s="579"/>
      <c r="M1041" s="579"/>
      <c r="N1041" s="579"/>
      <c r="O1041" s="631"/>
      <c r="P1041" s="631"/>
      <c r="Q1041" s="631"/>
      <c r="R1041" s="631"/>
      <c r="S1041" s="631"/>
      <c r="T1041" s="631"/>
      <c r="U1041" s="631"/>
      <c r="V1041" s="631"/>
      <c r="W1041" s="631"/>
      <c r="X1041" s="631"/>
      <c r="Y1041" s="631"/>
      <c r="Z1041" s="631"/>
      <c r="AA1041" s="631"/>
      <c r="AB1041" s="631"/>
      <c r="AC1041" s="631"/>
    </row>
    <row r="1042">
      <c r="A1042" s="631"/>
      <c r="B1042" s="694"/>
      <c r="C1042" s="694"/>
      <c r="D1042" s="694"/>
      <c r="E1042" s="694"/>
      <c r="F1042" s="631"/>
      <c r="G1042" s="631"/>
      <c r="H1042" s="631"/>
      <c r="I1042" s="579"/>
      <c r="J1042" s="579"/>
      <c r="K1042" s="694"/>
      <c r="L1042" s="579"/>
      <c r="M1042" s="579"/>
      <c r="N1042" s="579"/>
      <c r="O1042" s="631"/>
      <c r="P1042" s="631"/>
      <c r="Q1042" s="631"/>
      <c r="R1042" s="631"/>
      <c r="S1042" s="631"/>
      <c r="T1042" s="631"/>
      <c r="U1042" s="631"/>
      <c r="V1042" s="631"/>
      <c r="W1042" s="631"/>
      <c r="X1042" s="631"/>
      <c r="Y1042" s="631"/>
      <c r="Z1042" s="631"/>
      <c r="AA1042" s="631"/>
      <c r="AB1042" s="631"/>
      <c r="AC1042" s="631"/>
    </row>
    <row r="1043">
      <c r="A1043" s="631"/>
      <c r="B1043" s="694"/>
      <c r="C1043" s="694"/>
      <c r="D1043" s="694"/>
      <c r="E1043" s="694"/>
      <c r="F1043" s="631"/>
      <c r="G1043" s="631"/>
      <c r="H1043" s="631"/>
      <c r="I1043" s="579"/>
      <c r="J1043" s="579"/>
      <c r="K1043" s="694"/>
      <c r="L1043" s="579"/>
      <c r="M1043" s="579"/>
      <c r="N1043" s="579"/>
      <c r="O1043" s="631"/>
      <c r="P1043" s="631"/>
      <c r="Q1043" s="631"/>
      <c r="R1043" s="631"/>
      <c r="S1043" s="631"/>
      <c r="T1043" s="631"/>
      <c r="U1043" s="631"/>
      <c r="V1043" s="631"/>
      <c r="W1043" s="631"/>
      <c r="X1043" s="631"/>
      <c r="Y1043" s="631"/>
      <c r="Z1043" s="631"/>
      <c r="AA1043" s="631"/>
      <c r="AB1043" s="631"/>
      <c r="AC1043" s="631"/>
    </row>
    <row r="1044">
      <c r="A1044" s="631"/>
      <c r="B1044" s="694"/>
      <c r="C1044" s="694"/>
      <c r="D1044" s="694"/>
      <c r="E1044" s="694"/>
      <c r="F1044" s="631"/>
      <c r="G1044" s="631"/>
      <c r="H1044" s="631"/>
      <c r="I1044" s="579"/>
      <c r="J1044" s="579"/>
      <c r="K1044" s="694"/>
      <c r="L1044" s="579"/>
      <c r="M1044" s="579"/>
      <c r="N1044" s="579"/>
      <c r="O1044" s="631"/>
      <c r="P1044" s="631"/>
      <c r="Q1044" s="631"/>
      <c r="R1044" s="631"/>
      <c r="S1044" s="631"/>
      <c r="T1044" s="631"/>
      <c r="U1044" s="631"/>
      <c r="V1044" s="631"/>
      <c r="W1044" s="631"/>
      <c r="X1044" s="631"/>
      <c r="Y1044" s="631"/>
      <c r="Z1044" s="631"/>
      <c r="AA1044" s="631"/>
      <c r="AB1044" s="631"/>
      <c r="AC1044" s="631"/>
    </row>
    <row r="1045">
      <c r="A1045" s="631"/>
      <c r="B1045" s="694"/>
      <c r="C1045" s="694"/>
      <c r="D1045" s="694"/>
      <c r="E1045" s="694"/>
      <c r="F1045" s="631"/>
      <c r="G1045" s="631"/>
      <c r="H1045" s="631"/>
      <c r="I1045" s="579"/>
      <c r="J1045" s="579"/>
      <c r="K1045" s="694"/>
      <c r="L1045" s="579"/>
      <c r="M1045" s="579"/>
      <c r="N1045" s="579"/>
      <c r="O1045" s="631"/>
      <c r="P1045" s="631"/>
      <c r="Q1045" s="631"/>
      <c r="R1045" s="631"/>
      <c r="S1045" s="631"/>
      <c r="T1045" s="631"/>
      <c r="U1045" s="631"/>
      <c r="V1045" s="631"/>
      <c r="W1045" s="631"/>
      <c r="X1045" s="631"/>
      <c r="Y1045" s="631"/>
      <c r="Z1045" s="631"/>
      <c r="AA1045" s="631"/>
      <c r="AB1045" s="631"/>
      <c r="AC1045" s="631"/>
    </row>
    <row r="1046">
      <c r="A1046" s="631"/>
      <c r="B1046" s="694"/>
      <c r="C1046" s="694"/>
      <c r="D1046" s="694"/>
      <c r="E1046" s="694"/>
      <c r="F1046" s="631"/>
      <c r="G1046" s="631"/>
      <c r="H1046" s="631"/>
      <c r="I1046" s="579"/>
      <c r="J1046" s="579"/>
      <c r="K1046" s="694"/>
      <c r="L1046" s="579"/>
      <c r="M1046" s="579"/>
      <c r="N1046" s="579"/>
      <c r="O1046" s="631"/>
      <c r="P1046" s="631"/>
      <c r="Q1046" s="631"/>
      <c r="R1046" s="631"/>
      <c r="S1046" s="631"/>
      <c r="T1046" s="631"/>
      <c r="U1046" s="631"/>
      <c r="V1046" s="631"/>
      <c r="W1046" s="631"/>
      <c r="X1046" s="631"/>
      <c r="Y1046" s="631"/>
      <c r="Z1046" s="631"/>
      <c r="AA1046" s="631"/>
      <c r="AB1046" s="631"/>
      <c r="AC1046" s="631"/>
    </row>
    <row r="1047">
      <c r="A1047" s="631"/>
      <c r="B1047" s="694"/>
      <c r="C1047" s="694"/>
      <c r="D1047" s="694"/>
      <c r="E1047" s="694"/>
      <c r="F1047" s="631"/>
      <c r="G1047" s="631"/>
      <c r="H1047" s="631"/>
      <c r="I1047" s="579"/>
      <c r="J1047" s="579"/>
      <c r="K1047" s="694"/>
      <c r="L1047" s="579"/>
      <c r="M1047" s="579"/>
      <c r="N1047" s="579"/>
      <c r="O1047" s="631"/>
      <c r="P1047" s="631"/>
      <c r="Q1047" s="631"/>
      <c r="R1047" s="631"/>
      <c r="S1047" s="631"/>
      <c r="T1047" s="631"/>
      <c r="U1047" s="631"/>
      <c r="V1047" s="631"/>
      <c r="W1047" s="631"/>
      <c r="X1047" s="631"/>
      <c r="Y1047" s="631"/>
      <c r="Z1047" s="631"/>
      <c r="AA1047" s="631"/>
      <c r="AB1047" s="631"/>
      <c r="AC1047" s="631"/>
    </row>
    <row r="1048">
      <c r="A1048" s="631"/>
      <c r="B1048" s="694"/>
      <c r="C1048" s="694"/>
      <c r="D1048" s="694"/>
      <c r="E1048" s="694"/>
      <c r="F1048" s="631"/>
      <c r="G1048" s="631"/>
      <c r="H1048" s="631"/>
      <c r="I1048" s="579"/>
      <c r="J1048" s="579"/>
      <c r="K1048" s="694"/>
      <c r="L1048" s="579"/>
      <c r="M1048" s="579"/>
      <c r="N1048" s="579"/>
      <c r="O1048" s="631"/>
      <c r="P1048" s="631"/>
      <c r="Q1048" s="631"/>
      <c r="R1048" s="631"/>
      <c r="S1048" s="631"/>
      <c r="T1048" s="631"/>
      <c r="U1048" s="631"/>
      <c r="V1048" s="631"/>
      <c r="W1048" s="631"/>
      <c r="X1048" s="631"/>
      <c r="Y1048" s="631"/>
      <c r="Z1048" s="631"/>
      <c r="AA1048" s="631"/>
      <c r="AB1048" s="631"/>
      <c r="AC1048" s="631"/>
    </row>
    <row r="1049">
      <c r="A1049" s="631"/>
      <c r="B1049" s="694"/>
      <c r="C1049" s="694"/>
      <c r="D1049" s="694"/>
      <c r="E1049" s="694"/>
      <c r="F1049" s="631"/>
      <c r="G1049" s="631"/>
      <c r="H1049" s="631"/>
      <c r="I1049" s="579"/>
      <c r="J1049" s="579"/>
      <c r="K1049" s="694"/>
      <c r="L1049" s="579"/>
      <c r="M1049" s="579"/>
      <c r="N1049" s="579"/>
      <c r="O1049" s="631"/>
      <c r="P1049" s="631"/>
      <c r="Q1049" s="631"/>
      <c r="R1049" s="631"/>
      <c r="S1049" s="631"/>
      <c r="T1049" s="631"/>
      <c r="U1049" s="631"/>
      <c r="V1049" s="631"/>
      <c r="W1049" s="631"/>
      <c r="X1049" s="631"/>
      <c r="Y1049" s="631"/>
      <c r="Z1049" s="631"/>
      <c r="AA1049" s="631"/>
      <c r="AB1049" s="631"/>
      <c r="AC1049" s="631"/>
    </row>
    <row r="1050">
      <c r="A1050" s="631"/>
      <c r="B1050" s="694"/>
      <c r="C1050" s="694"/>
      <c r="D1050" s="694"/>
      <c r="E1050" s="694"/>
      <c r="F1050" s="631"/>
      <c r="G1050" s="631"/>
      <c r="H1050" s="631"/>
      <c r="I1050" s="579"/>
      <c r="J1050" s="579"/>
      <c r="K1050" s="694"/>
      <c r="L1050" s="579"/>
      <c r="M1050" s="579"/>
      <c r="N1050" s="579"/>
      <c r="O1050" s="631"/>
      <c r="P1050" s="631"/>
      <c r="Q1050" s="631"/>
      <c r="R1050" s="631"/>
      <c r="S1050" s="631"/>
      <c r="T1050" s="631"/>
      <c r="U1050" s="631"/>
      <c r="V1050" s="631"/>
      <c r="W1050" s="631"/>
      <c r="X1050" s="631"/>
      <c r="Y1050" s="631"/>
      <c r="Z1050" s="631"/>
      <c r="AA1050" s="631"/>
      <c r="AB1050" s="631"/>
      <c r="AC1050" s="631"/>
    </row>
    <row r="1051">
      <c r="A1051" s="631"/>
      <c r="B1051" s="694"/>
      <c r="C1051" s="694"/>
      <c r="D1051" s="694"/>
      <c r="E1051" s="694"/>
      <c r="F1051" s="631"/>
      <c r="G1051" s="631"/>
      <c r="H1051" s="631"/>
      <c r="I1051" s="579"/>
      <c r="J1051" s="579"/>
      <c r="K1051" s="694"/>
      <c r="L1051" s="579"/>
      <c r="M1051" s="579"/>
      <c r="N1051" s="579"/>
      <c r="O1051" s="631"/>
      <c r="P1051" s="631"/>
      <c r="Q1051" s="631"/>
      <c r="R1051" s="631"/>
      <c r="S1051" s="631"/>
      <c r="T1051" s="631"/>
      <c r="U1051" s="631"/>
      <c r="V1051" s="631"/>
      <c r="W1051" s="631"/>
      <c r="X1051" s="631"/>
      <c r="Y1051" s="631"/>
      <c r="Z1051" s="631"/>
      <c r="AA1051" s="631"/>
      <c r="AB1051" s="631"/>
      <c r="AC1051" s="631"/>
    </row>
    <row r="1052">
      <c r="A1052" s="631"/>
      <c r="B1052" s="694"/>
      <c r="C1052" s="694"/>
      <c r="D1052" s="694"/>
      <c r="E1052" s="694"/>
      <c r="F1052" s="631"/>
      <c r="G1052" s="631"/>
      <c r="H1052" s="631"/>
      <c r="I1052" s="579"/>
      <c r="J1052" s="579"/>
      <c r="K1052" s="694"/>
      <c r="L1052" s="579"/>
      <c r="M1052" s="579"/>
      <c r="N1052" s="579"/>
      <c r="O1052" s="631"/>
      <c r="P1052" s="631"/>
      <c r="Q1052" s="631"/>
      <c r="R1052" s="631"/>
      <c r="S1052" s="631"/>
      <c r="T1052" s="631"/>
      <c r="U1052" s="631"/>
      <c r="V1052" s="631"/>
      <c r="W1052" s="631"/>
      <c r="X1052" s="631"/>
      <c r="Y1052" s="631"/>
      <c r="Z1052" s="631"/>
      <c r="AA1052" s="631"/>
      <c r="AB1052" s="631"/>
      <c r="AC1052" s="631"/>
    </row>
    <row r="1053">
      <c r="A1053" s="631"/>
      <c r="B1053" s="694"/>
      <c r="C1053" s="694"/>
      <c r="D1053" s="694"/>
      <c r="E1053" s="694"/>
      <c r="F1053" s="631"/>
      <c r="G1053" s="631"/>
      <c r="H1053" s="631"/>
      <c r="I1053" s="579"/>
      <c r="J1053" s="579"/>
      <c r="K1053" s="694"/>
      <c r="L1053" s="579"/>
      <c r="M1053" s="579"/>
      <c r="N1053" s="579"/>
      <c r="O1053" s="631"/>
      <c r="P1053" s="631"/>
      <c r="Q1053" s="631"/>
      <c r="R1053" s="631"/>
      <c r="S1053" s="631"/>
      <c r="T1053" s="631"/>
      <c r="U1053" s="631"/>
      <c r="V1053" s="631"/>
      <c r="W1053" s="631"/>
      <c r="X1053" s="631"/>
      <c r="Y1053" s="631"/>
      <c r="Z1053" s="631"/>
      <c r="AA1053" s="631"/>
      <c r="AB1053" s="631"/>
      <c r="AC1053" s="631"/>
    </row>
    <row r="1054">
      <c r="A1054" s="631"/>
      <c r="B1054" s="694"/>
      <c r="C1054" s="694"/>
      <c r="D1054" s="694"/>
      <c r="E1054" s="694"/>
      <c r="F1054" s="631"/>
      <c r="G1054" s="631"/>
      <c r="H1054" s="631"/>
      <c r="I1054" s="579"/>
      <c r="J1054" s="579"/>
      <c r="K1054" s="694"/>
      <c r="L1054" s="579"/>
      <c r="M1054" s="579"/>
      <c r="N1054" s="579"/>
      <c r="O1054" s="631"/>
      <c r="P1054" s="631"/>
      <c r="Q1054" s="631"/>
      <c r="R1054" s="631"/>
      <c r="S1054" s="631"/>
      <c r="T1054" s="631"/>
      <c r="U1054" s="631"/>
      <c r="V1054" s="631"/>
      <c r="W1054" s="631"/>
      <c r="X1054" s="631"/>
      <c r="Y1054" s="631"/>
      <c r="Z1054" s="631"/>
      <c r="AA1054" s="631"/>
      <c r="AB1054" s="631"/>
      <c r="AC1054" s="631"/>
    </row>
    <row r="1055">
      <c r="A1055" s="631"/>
      <c r="B1055" s="694"/>
      <c r="C1055" s="694"/>
      <c r="D1055" s="694"/>
      <c r="E1055" s="694"/>
      <c r="F1055" s="631"/>
      <c r="G1055" s="631"/>
      <c r="H1055" s="631"/>
      <c r="I1055" s="579"/>
      <c r="J1055" s="579"/>
      <c r="K1055" s="694"/>
      <c r="L1055" s="579"/>
      <c r="M1055" s="579"/>
      <c r="N1055" s="579"/>
      <c r="O1055" s="631"/>
      <c r="P1055" s="631"/>
      <c r="Q1055" s="631"/>
      <c r="R1055" s="631"/>
      <c r="S1055" s="631"/>
      <c r="T1055" s="631"/>
      <c r="U1055" s="631"/>
      <c r="V1055" s="631"/>
      <c r="W1055" s="631"/>
      <c r="X1055" s="631"/>
      <c r="Y1055" s="631"/>
      <c r="Z1055" s="631"/>
      <c r="AA1055" s="631"/>
      <c r="AB1055" s="631"/>
      <c r="AC1055" s="631"/>
    </row>
    <row r="1056">
      <c r="A1056" s="631"/>
      <c r="B1056" s="694"/>
      <c r="C1056" s="694"/>
      <c r="D1056" s="694"/>
      <c r="E1056" s="694"/>
      <c r="F1056" s="631"/>
      <c r="G1056" s="631"/>
      <c r="H1056" s="631"/>
      <c r="I1056" s="579"/>
      <c r="J1056" s="579"/>
      <c r="K1056" s="694"/>
      <c r="L1056" s="579"/>
      <c r="M1056" s="579"/>
      <c r="N1056" s="579"/>
      <c r="O1056" s="631"/>
      <c r="P1056" s="631"/>
      <c r="Q1056" s="631"/>
      <c r="R1056" s="631"/>
      <c r="S1056" s="631"/>
      <c r="T1056" s="631"/>
      <c r="U1056" s="631"/>
      <c r="V1056" s="631"/>
      <c r="W1056" s="631"/>
      <c r="X1056" s="631"/>
      <c r="Y1056" s="631"/>
      <c r="Z1056" s="631"/>
      <c r="AA1056" s="631"/>
      <c r="AB1056" s="631"/>
      <c r="AC1056" s="631"/>
    </row>
    <row r="1057">
      <c r="A1057" s="631"/>
      <c r="B1057" s="694"/>
      <c r="C1057" s="694"/>
      <c r="D1057" s="694"/>
      <c r="E1057" s="694"/>
      <c r="F1057" s="631"/>
      <c r="G1057" s="631"/>
      <c r="H1057" s="631"/>
      <c r="I1057" s="579"/>
      <c r="J1057" s="579"/>
      <c r="K1057" s="694"/>
      <c r="L1057" s="579"/>
      <c r="M1057" s="579"/>
      <c r="N1057" s="579"/>
      <c r="O1057" s="631"/>
      <c r="P1057" s="631"/>
      <c r="Q1057" s="631"/>
      <c r="R1057" s="631"/>
      <c r="S1057" s="631"/>
      <c r="T1057" s="631"/>
      <c r="U1057" s="631"/>
      <c r="V1057" s="631"/>
      <c r="W1057" s="631"/>
      <c r="X1057" s="631"/>
      <c r="Y1057" s="631"/>
      <c r="Z1057" s="631"/>
      <c r="AA1057" s="631"/>
      <c r="AB1057" s="631"/>
      <c r="AC1057" s="631"/>
    </row>
    <row r="1058">
      <c r="A1058" s="631"/>
      <c r="B1058" s="694"/>
      <c r="C1058" s="694"/>
      <c r="D1058" s="694"/>
      <c r="E1058" s="694"/>
      <c r="F1058" s="631"/>
      <c r="G1058" s="631"/>
      <c r="H1058" s="631"/>
      <c r="I1058" s="579"/>
      <c r="J1058" s="579"/>
      <c r="K1058" s="694"/>
      <c r="L1058" s="579"/>
      <c r="M1058" s="579"/>
      <c r="N1058" s="579"/>
      <c r="O1058" s="631"/>
      <c r="P1058" s="631"/>
      <c r="Q1058" s="631"/>
      <c r="R1058" s="631"/>
      <c r="S1058" s="631"/>
      <c r="T1058" s="631"/>
      <c r="U1058" s="631"/>
      <c r="V1058" s="631"/>
      <c r="W1058" s="631"/>
      <c r="X1058" s="631"/>
      <c r="Y1058" s="631"/>
      <c r="Z1058" s="631"/>
      <c r="AA1058" s="631"/>
      <c r="AB1058" s="631"/>
      <c r="AC1058" s="631"/>
    </row>
    <row r="1059">
      <c r="A1059" s="631"/>
      <c r="B1059" s="694"/>
      <c r="C1059" s="694"/>
      <c r="D1059" s="694"/>
      <c r="E1059" s="694"/>
      <c r="F1059" s="631"/>
      <c r="G1059" s="631"/>
      <c r="H1059" s="631"/>
      <c r="I1059" s="579"/>
      <c r="J1059" s="579"/>
      <c r="K1059" s="694"/>
      <c r="L1059" s="579"/>
      <c r="M1059" s="579"/>
      <c r="N1059" s="579"/>
      <c r="O1059" s="631"/>
      <c r="P1059" s="631"/>
      <c r="Q1059" s="631"/>
      <c r="R1059" s="631"/>
      <c r="S1059" s="631"/>
      <c r="T1059" s="631"/>
      <c r="U1059" s="631"/>
      <c r="V1059" s="631"/>
      <c r="W1059" s="631"/>
      <c r="X1059" s="631"/>
      <c r="Y1059" s="631"/>
      <c r="Z1059" s="631"/>
      <c r="AA1059" s="631"/>
      <c r="AB1059" s="631"/>
      <c r="AC1059" s="631"/>
    </row>
    <row r="1060">
      <c r="A1060" s="631"/>
      <c r="B1060" s="694"/>
      <c r="C1060" s="694"/>
      <c r="D1060" s="694"/>
      <c r="E1060" s="694"/>
      <c r="F1060" s="631"/>
      <c r="G1060" s="631"/>
      <c r="H1060" s="631"/>
      <c r="I1060" s="579"/>
      <c r="J1060" s="579"/>
      <c r="K1060" s="694"/>
      <c r="L1060" s="579"/>
      <c r="M1060" s="579"/>
      <c r="N1060" s="579"/>
      <c r="O1060" s="631"/>
      <c r="P1060" s="631"/>
      <c r="Q1060" s="631"/>
      <c r="R1060" s="631"/>
      <c r="S1060" s="631"/>
      <c r="T1060" s="631"/>
      <c r="U1060" s="631"/>
      <c r="V1060" s="631"/>
      <c r="W1060" s="631"/>
      <c r="X1060" s="631"/>
      <c r="Y1060" s="631"/>
      <c r="Z1060" s="631"/>
      <c r="AA1060" s="631"/>
      <c r="AB1060" s="631"/>
      <c r="AC1060" s="631"/>
    </row>
    <row r="1061">
      <c r="A1061" s="631"/>
      <c r="B1061" s="694"/>
      <c r="C1061" s="694"/>
      <c r="D1061" s="694"/>
      <c r="E1061" s="694"/>
      <c r="F1061" s="631"/>
      <c r="G1061" s="631"/>
      <c r="H1061" s="631"/>
      <c r="I1061" s="579"/>
      <c r="J1061" s="579"/>
      <c r="K1061" s="694"/>
      <c r="L1061" s="579"/>
      <c r="M1061" s="579"/>
      <c r="N1061" s="579"/>
      <c r="O1061" s="631"/>
      <c r="P1061" s="631"/>
      <c r="Q1061" s="631"/>
      <c r="R1061" s="631"/>
      <c r="S1061" s="631"/>
      <c r="T1061" s="631"/>
      <c r="U1061" s="631"/>
      <c r="V1061" s="631"/>
      <c r="W1061" s="631"/>
      <c r="X1061" s="631"/>
      <c r="Y1061" s="631"/>
      <c r="Z1061" s="631"/>
      <c r="AA1061" s="631"/>
      <c r="AB1061" s="631"/>
      <c r="AC1061" s="631"/>
    </row>
    <row r="1062">
      <c r="A1062" s="631"/>
      <c r="B1062" s="694"/>
      <c r="C1062" s="694"/>
      <c r="D1062" s="694"/>
      <c r="E1062" s="694"/>
      <c r="F1062" s="631"/>
      <c r="G1062" s="631"/>
      <c r="H1062" s="631"/>
      <c r="I1062" s="579"/>
      <c r="J1062" s="579"/>
      <c r="K1062" s="694"/>
      <c r="L1062" s="579"/>
      <c r="M1062" s="579"/>
      <c r="N1062" s="579"/>
      <c r="O1062" s="631"/>
      <c r="P1062" s="631"/>
      <c r="Q1062" s="631"/>
      <c r="R1062" s="631"/>
      <c r="S1062" s="631"/>
      <c r="T1062" s="631"/>
      <c r="U1062" s="631"/>
      <c r="V1062" s="631"/>
      <c r="W1062" s="631"/>
      <c r="X1062" s="631"/>
      <c r="Y1062" s="631"/>
      <c r="Z1062" s="631"/>
      <c r="AA1062" s="631"/>
      <c r="AB1062" s="631"/>
      <c r="AC1062" s="631"/>
    </row>
    <row r="1063">
      <c r="A1063" s="631"/>
      <c r="B1063" s="694"/>
      <c r="C1063" s="694"/>
      <c r="D1063" s="694"/>
      <c r="E1063" s="694"/>
      <c r="F1063" s="631"/>
      <c r="G1063" s="631"/>
      <c r="H1063" s="631"/>
      <c r="I1063" s="579"/>
      <c r="J1063" s="579"/>
      <c r="K1063" s="694"/>
      <c r="L1063" s="579"/>
      <c r="M1063" s="579"/>
      <c r="N1063" s="579"/>
      <c r="O1063" s="631"/>
      <c r="P1063" s="631"/>
      <c r="Q1063" s="631"/>
      <c r="R1063" s="631"/>
      <c r="S1063" s="631"/>
      <c r="T1063" s="631"/>
      <c r="U1063" s="631"/>
      <c r="V1063" s="631"/>
      <c r="W1063" s="631"/>
      <c r="X1063" s="631"/>
      <c r="Y1063" s="631"/>
      <c r="Z1063" s="631"/>
      <c r="AA1063" s="631"/>
      <c r="AB1063" s="631"/>
      <c r="AC1063" s="631"/>
    </row>
    <row r="1064">
      <c r="A1064" s="631"/>
      <c r="B1064" s="694"/>
      <c r="C1064" s="694"/>
      <c r="D1064" s="694"/>
      <c r="E1064" s="694"/>
      <c r="F1064" s="631"/>
      <c r="G1064" s="631"/>
      <c r="H1064" s="631"/>
      <c r="I1064" s="579"/>
      <c r="J1064" s="579"/>
      <c r="K1064" s="694"/>
      <c r="L1064" s="579"/>
      <c r="M1064" s="579"/>
      <c r="N1064" s="579"/>
      <c r="O1064" s="631"/>
      <c r="P1064" s="631"/>
      <c r="Q1064" s="631"/>
      <c r="R1064" s="631"/>
      <c r="S1064" s="631"/>
      <c r="T1064" s="631"/>
      <c r="U1064" s="631"/>
      <c r="V1064" s="631"/>
      <c r="W1064" s="631"/>
      <c r="X1064" s="631"/>
      <c r="Y1064" s="631"/>
      <c r="Z1064" s="631"/>
      <c r="AA1064" s="631"/>
      <c r="AB1064" s="631"/>
      <c r="AC1064" s="631"/>
    </row>
    <row r="1065">
      <c r="A1065" s="631"/>
      <c r="B1065" s="694"/>
      <c r="C1065" s="694"/>
      <c r="D1065" s="694"/>
      <c r="E1065" s="694"/>
      <c r="F1065" s="631"/>
      <c r="G1065" s="631"/>
      <c r="H1065" s="631"/>
      <c r="I1065" s="579"/>
      <c r="J1065" s="579"/>
      <c r="K1065" s="694"/>
      <c r="L1065" s="579"/>
      <c r="M1065" s="579"/>
      <c r="N1065" s="579"/>
      <c r="O1065" s="631"/>
      <c r="P1065" s="631"/>
      <c r="Q1065" s="631"/>
      <c r="R1065" s="631"/>
      <c r="S1065" s="631"/>
      <c r="T1065" s="631"/>
      <c r="U1065" s="631"/>
      <c r="V1065" s="631"/>
      <c r="W1065" s="631"/>
      <c r="X1065" s="631"/>
      <c r="Y1065" s="631"/>
      <c r="Z1065" s="631"/>
      <c r="AA1065" s="631"/>
      <c r="AB1065" s="631"/>
      <c r="AC1065" s="631"/>
    </row>
    <row r="1066">
      <c r="A1066" s="631"/>
      <c r="B1066" s="694"/>
      <c r="C1066" s="694"/>
      <c r="D1066" s="694"/>
      <c r="E1066" s="694"/>
      <c r="F1066" s="631"/>
      <c r="G1066" s="631"/>
      <c r="H1066" s="631"/>
      <c r="I1066" s="579"/>
      <c r="J1066" s="579"/>
      <c r="K1066" s="694"/>
      <c r="L1066" s="579"/>
      <c r="M1066" s="579"/>
      <c r="N1066" s="579"/>
      <c r="O1066" s="631"/>
      <c r="P1066" s="631"/>
      <c r="Q1066" s="631"/>
      <c r="R1066" s="631"/>
      <c r="S1066" s="631"/>
      <c r="T1066" s="631"/>
      <c r="U1066" s="631"/>
      <c r="V1066" s="631"/>
      <c r="W1066" s="631"/>
      <c r="X1066" s="631"/>
      <c r="Y1066" s="631"/>
      <c r="Z1066" s="631"/>
      <c r="AA1066" s="631"/>
      <c r="AB1066" s="631"/>
      <c r="AC1066" s="631"/>
    </row>
    <row r="1067">
      <c r="A1067" s="631"/>
      <c r="B1067" s="694"/>
      <c r="C1067" s="694"/>
      <c r="D1067" s="694"/>
      <c r="E1067" s="694"/>
      <c r="F1067" s="631"/>
      <c r="G1067" s="631"/>
      <c r="H1067" s="631"/>
      <c r="I1067" s="579"/>
      <c r="J1067" s="579"/>
      <c r="K1067" s="694"/>
      <c r="L1067" s="579"/>
      <c r="M1067" s="579"/>
      <c r="N1067" s="579"/>
      <c r="O1067" s="631"/>
      <c r="P1067" s="631"/>
      <c r="Q1067" s="631"/>
      <c r="R1067" s="631"/>
      <c r="S1067" s="631"/>
      <c r="T1067" s="631"/>
      <c r="U1067" s="631"/>
      <c r="V1067" s="631"/>
      <c r="W1067" s="631"/>
      <c r="X1067" s="631"/>
      <c r="Y1067" s="631"/>
      <c r="Z1067" s="631"/>
      <c r="AA1067" s="631"/>
      <c r="AB1067" s="631"/>
      <c r="AC1067" s="631"/>
    </row>
    <row r="1068">
      <c r="A1068" s="631"/>
      <c r="B1068" s="694"/>
      <c r="C1068" s="694"/>
      <c r="D1068" s="694"/>
      <c r="E1068" s="694"/>
      <c r="F1068" s="631"/>
      <c r="G1068" s="631"/>
      <c r="H1068" s="631"/>
      <c r="I1068" s="579"/>
      <c r="J1068" s="579"/>
      <c r="K1068" s="694"/>
      <c r="L1068" s="579"/>
      <c r="M1068" s="579"/>
      <c r="N1068" s="579"/>
      <c r="O1068" s="631"/>
      <c r="P1068" s="631"/>
      <c r="Q1068" s="631"/>
      <c r="R1068" s="631"/>
      <c r="S1068" s="631"/>
      <c r="T1068" s="631"/>
      <c r="U1068" s="631"/>
      <c r="V1068" s="631"/>
      <c r="W1068" s="631"/>
      <c r="X1068" s="631"/>
      <c r="Y1068" s="631"/>
      <c r="Z1068" s="631"/>
      <c r="AA1068" s="631"/>
      <c r="AB1068" s="631"/>
      <c r="AC1068" s="631"/>
    </row>
    <row r="1069">
      <c r="A1069" s="631"/>
      <c r="B1069" s="694"/>
      <c r="C1069" s="694"/>
      <c r="D1069" s="694"/>
      <c r="E1069" s="694"/>
      <c r="F1069" s="631"/>
      <c r="G1069" s="631"/>
      <c r="H1069" s="631"/>
      <c r="I1069" s="579"/>
      <c r="J1069" s="579"/>
      <c r="K1069" s="694"/>
      <c r="L1069" s="579"/>
      <c r="M1069" s="579"/>
      <c r="N1069" s="579"/>
      <c r="O1069" s="631"/>
      <c r="P1069" s="631"/>
      <c r="Q1069" s="631"/>
      <c r="R1069" s="631"/>
      <c r="S1069" s="631"/>
      <c r="T1069" s="631"/>
      <c r="U1069" s="631"/>
      <c r="V1069" s="631"/>
      <c r="W1069" s="631"/>
      <c r="X1069" s="631"/>
      <c r="Y1069" s="631"/>
      <c r="Z1069" s="631"/>
      <c r="AA1069" s="631"/>
      <c r="AB1069" s="631"/>
      <c r="AC1069" s="631"/>
    </row>
    <row r="1070">
      <c r="A1070" s="631"/>
      <c r="B1070" s="694"/>
      <c r="C1070" s="694"/>
      <c r="D1070" s="694"/>
      <c r="E1070" s="694"/>
      <c r="F1070" s="631"/>
      <c r="G1070" s="631"/>
      <c r="H1070" s="631"/>
      <c r="I1070" s="579"/>
      <c r="J1070" s="579"/>
      <c r="K1070" s="694"/>
      <c r="L1070" s="579"/>
      <c r="M1070" s="579"/>
      <c r="N1070" s="579"/>
      <c r="O1070" s="631"/>
      <c r="P1070" s="631"/>
      <c r="Q1070" s="631"/>
      <c r="R1070" s="631"/>
      <c r="S1070" s="631"/>
      <c r="T1070" s="631"/>
      <c r="U1070" s="631"/>
      <c r="V1070" s="631"/>
      <c r="W1070" s="631"/>
      <c r="X1070" s="631"/>
      <c r="Y1070" s="631"/>
      <c r="Z1070" s="631"/>
      <c r="AA1070" s="631"/>
      <c r="AB1070" s="631"/>
      <c r="AC1070" s="631"/>
    </row>
    <row r="1071">
      <c r="A1071" s="631"/>
      <c r="B1071" s="694"/>
      <c r="C1071" s="694"/>
      <c r="D1071" s="694"/>
      <c r="E1071" s="694"/>
      <c r="F1071" s="631"/>
      <c r="G1071" s="631"/>
      <c r="H1071" s="631"/>
      <c r="I1071" s="579"/>
      <c r="J1071" s="579"/>
      <c r="K1071" s="694"/>
      <c r="L1071" s="579"/>
      <c r="M1071" s="579"/>
      <c r="N1071" s="579"/>
      <c r="O1071" s="631"/>
      <c r="P1071" s="631"/>
      <c r="Q1071" s="631"/>
      <c r="R1071" s="631"/>
      <c r="S1071" s="631"/>
      <c r="T1071" s="631"/>
      <c r="U1071" s="631"/>
      <c r="V1071" s="631"/>
      <c r="W1071" s="631"/>
      <c r="X1071" s="631"/>
      <c r="Y1071" s="631"/>
      <c r="Z1071" s="631"/>
      <c r="AA1071" s="631"/>
      <c r="AB1071" s="631"/>
      <c r="AC1071" s="631"/>
    </row>
    <row r="1072">
      <c r="A1072" s="631"/>
      <c r="B1072" s="694"/>
      <c r="C1072" s="694"/>
      <c r="D1072" s="694"/>
      <c r="E1072" s="694"/>
      <c r="F1072" s="631"/>
      <c r="G1072" s="631"/>
      <c r="H1072" s="631"/>
      <c r="I1072" s="579"/>
      <c r="J1072" s="579"/>
      <c r="K1072" s="694"/>
      <c r="L1072" s="579"/>
      <c r="M1072" s="579"/>
      <c r="N1072" s="579"/>
      <c r="O1072" s="631"/>
      <c r="P1072" s="631"/>
      <c r="Q1072" s="631"/>
      <c r="R1072" s="631"/>
      <c r="S1072" s="631"/>
      <c r="T1072" s="631"/>
      <c r="U1072" s="631"/>
      <c r="V1072" s="631"/>
      <c r="W1072" s="631"/>
      <c r="X1072" s="631"/>
      <c r="Y1072" s="631"/>
      <c r="Z1072" s="631"/>
      <c r="AA1072" s="631"/>
      <c r="AB1072" s="631"/>
      <c r="AC1072" s="631"/>
    </row>
    <row r="1073">
      <c r="A1073" s="631"/>
      <c r="B1073" s="694"/>
      <c r="C1073" s="694"/>
      <c r="D1073" s="694"/>
      <c r="E1073" s="694"/>
      <c r="F1073" s="631"/>
      <c r="G1073" s="631"/>
      <c r="H1073" s="631"/>
      <c r="I1073" s="579"/>
      <c r="J1073" s="579"/>
      <c r="K1073" s="694"/>
      <c r="L1073" s="579"/>
      <c r="M1073" s="579"/>
      <c r="N1073" s="579"/>
      <c r="O1073" s="631"/>
      <c r="P1073" s="631"/>
      <c r="Q1073" s="631"/>
      <c r="R1073" s="631"/>
      <c r="S1073" s="631"/>
      <c r="T1073" s="631"/>
      <c r="U1073" s="631"/>
      <c r="V1073" s="631"/>
      <c r="W1073" s="631"/>
      <c r="X1073" s="631"/>
      <c r="Y1073" s="631"/>
      <c r="Z1073" s="631"/>
      <c r="AA1073" s="631"/>
      <c r="AB1073" s="631"/>
      <c r="AC1073" s="631"/>
    </row>
    <row r="1074">
      <c r="A1074" s="631"/>
      <c r="B1074" s="694"/>
      <c r="C1074" s="694"/>
      <c r="D1074" s="694"/>
      <c r="E1074" s="694"/>
      <c r="F1074" s="631"/>
      <c r="G1074" s="631"/>
      <c r="H1074" s="631"/>
      <c r="I1074" s="579"/>
      <c r="J1074" s="579"/>
      <c r="K1074" s="694"/>
      <c r="L1074" s="579"/>
      <c r="M1074" s="579"/>
      <c r="N1074" s="579"/>
      <c r="O1074" s="631"/>
      <c r="P1074" s="631"/>
      <c r="Q1074" s="631"/>
      <c r="R1074" s="631"/>
      <c r="S1074" s="631"/>
      <c r="T1074" s="631"/>
      <c r="U1074" s="631"/>
      <c r="V1074" s="631"/>
      <c r="W1074" s="631"/>
      <c r="X1074" s="631"/>
      <c r="Y1074" s="631"/>
      <c r="Z1074" s="631"/>
      <c r="AA1074" s="631"/>
      <c r="AB1074" s="631"/>
      <c r="AC1074" s="631"/>
    </row>
    <row r="1075">
      <c r="A1075" s="631"/>
      <c r="B1075" s="694"/>
      <c r="C1075" s="694"/>
      <c r="D1075" s="694"/>
      <c r="E1075" s="694"/>
      <c r="F1075" s="631"/>
      <c r="G1075" s="631"/>
      <c r="H1075" s="631"/>
      <c r="I1075" s="579"/>
      <c r="J1075" s="579"/>
      <c r="K1075" s="694"/>
      <c r="L1075" s="579"/>
      <c r="M1075" s="579"/>
      <c r="N1075" s="579"/>
      <c r="O1075" s="631"/>
      <c r="P1075" s="631"/>
      <c r="Q1075" s="631"/>
      <c r="R1075" s="631"/>
      <c r="S1075" s="631"/>
      <c r="T1075" s="631"/>
      <c r="U1075" s="631"/>
      <c r="V1075" s="631"/>
      <c r="W1075" s="631"/>
      <c r="X1075" s="631"/>
      <c r="Y1075" s="631"/>
      <c r="Z1075" s="631"/>
      <c r="AA1075" s="631"/>
      <c r="AB1075" s="631"/>
      <c r="AC1075" s="631"/>
    </row>
    <row r="1076">
      <c r="A1076" s="631"/>
      <c r="B1076" s="694"/>
      <c r="C1076" s="694"/>
      <c r="D1076" s="694"/>
      <c r="E1076" s="694"/>
      <c r="F1076" s="631"/>
      <c r="G1076" s="631"/>
      <c r="H1076" s="631"/>
      <c r="I1076" s="579"/>
      <c r="J1076" s="579"/>
      <c r="K1076" s="694"/>
      <c r="L1076" s="579"/>
      <c r="M1076" s="579"/>
      <c r="N1076" s="579"/>
      <c r="O1076" s="631"/>
      <c r="P1076" s="631"/>
      <c r="Q1076" s="631"/>
      <c r="R1076" s="631"/>
      <c r="S1076" s="631"/>
      <c r="T1076" s="631"/>
      <c r="U1076" s="631"/>
      <c r="V1076" s="631"/>
      <c r="W1076" s="631"/>
      <c r="X1076" s="631"/>
      <c r="Y1076" s="631"/>
      <c r="Z1076" s="631"/>
      <c r="AA1076" s="631"/>
      <c r="AB1076" s="631"/>
      <c r="AC1076" s="631"/>
    </row>
    <row r="1077">
      <c r="A1077" s="631"/>
      <c r="B1077" s="694"/>
      <c r="C1077" s="694"/>
      <c r="D1077" s="694"/>
      <c r="E1077" s="694"/>
      <c r="F1077" s="631"/>
      <c r="G1077" s="631"/>
      <c r="H1077" s="631"/>
      <c r="I1077" s="579"/>
      <c r="J1077" s="579"/>
      <c r="K1077" s="694"/>
      <c r="L1077" s="579"/>
      <c r="M1077" s="579"/>
      <c r="N1077" s="579"/>
      <c r="O1077" s="631"/>
      <c r="P1077" s="631"/>
      <c r="Q1077" s="631"/>
      <c r="R1077" s="631"/>
      <c r="S1077" s="631"/>
      <c r="T1077" s="631"/>
      <c r="U1077" s="631"/>
      <c r="V1077" s="631"/>
      <c r="W1077" s="631"/>
      <c r="X1077" s="631"/>
      <c r="Y1077" s="631"/>
      <c r="Z1077" s="631"/>
      <c r="AA1077" s="631"/>
      <c r="AB1077" s="631"/>
      <c r="AC1077" s="631"/>
    </row>
    <row r="1078">
      <c r="A1078" s="631"/>
      <c r="B1078" s="694"/>
      <c r="C1078" s="694"/>
      <c r="D1078" s="694"/>
      <c r="E1078" s="694"/>
      <c r="F1078" s="631"/>
      <c r="G1078" s="631"/>
      <c r="H1078" s="631"/>
      <c r="I1078" s="579"/>
      <c r="J1078" s="579"/>
      <c r="K1078" s="694"/>
      <c r="L1078" s="579"/>
      <c r="M1078" s="579"/>
      <c r="N1078" s="579"/>
      <c r="O1078" s="631"/>
      <c r="P1078" s="631"/>
      <c r="Q1078" s="631"/>
      <c r="R1078" s="631"/>
      <c r="S1078" s="631"/>
      <c r="T1078" s="631"/>
      <c r="U1078" s="631"/>
      <c r="V1078" s="631"/>
      <c r="W1078" s="631"/>
      <c r="X1078" s="631"/>
      <c r="Y1078" s="631"/>
      <c r="Z1078" s="631"/>
      <c r="AA1078" s="631"/>
      <c r="AB1078" s="631"/>
      <c r="AC1078" s="631"/>
    </row>
    <row r="1079">
      <c r="A1079" s="631"/>
      <c r="B1079" s="694"/>
      <c r="C1079" s="694"/>
      <c r="D1079" s="694"/>
      <c r="E1079" s="694"/>
      <c r="F1079" s="631"/>
      <c r="G1079" s="631"/>
      <c r="H1079" s="631"/>
      <c r="I1079" s="579"/>
      <c r="J1079" s="579"/>
      <c r="K1079" s="694"/>
      <c r="L1079" s="579"/>
      <c r="M1079" s="579"/>
      <c r="N1079" s="579"/>
      <c r="O1079" s="631"/>
      <c r="P1079" s="631"/>
      <c r="Q1079" s="631"/>
      <c r="R1079" s="631"/>
      <c r="S1079" s="631"/>
      <c r="T1079" s="631"/>
      <c r="U1079" s="631"/>
      <c r="V1079" s="631"/>
      <c r="W1079" s="631"/>
      <c r="X1079" s="631"/>
      <c r="Y1079" s="631"/>
      <c r="Z1079" s="631"/>
      <c r="AA1079" s="631"/>
      <c r="AB1079" s="631"/>
      <c r="AC1079" s="631"/>
    </row>
    <row r="1080">
      <c r="A1080" s="631"/>
      <c r="B1080" s="694"/>
      <c r="C1080" s="694"/>
      <c r="D1080" s="694"/>
      <c r="E1080" s="694"/>
      <c r="F1080" s="631"/>
      <c r="G1080" s="631"/>
      <c r="H1080" s="631"/>
      <c r="I1080" s="579"/>
      <c r="J1080" s="579"/>
      <c r="K1080" s="694"/>
      <c r="L1080" s="579"/>
      <c r="M1080" s="579"/>
      <c r="N1080" s="579"/>
      <c r="O1080" s="631"/>
      <c r="P1080" s="631"/>
      <c r="Q1080" s="631"/>
      <c r="R1080" s="631"/>
      <c r="S1080" s="631"/>
      <c r="T1080" s="631"/>
      <c r="U1080" s="631"/>
      <c r="V1080" s="631"/>
      <c r="W1080" s="631"/>
      <c r="X1080" s="631"/>
      <c r="Y1080" s="631"/>
      <c r="Z1080" s="631"/>
      <c r="AA1080" s="631"/>
      <c r="AB1080" s="631"/>
      <c r="AC1080" s="631"/>
    </row>
    <row r="1081">
      <c r="A1081" s="631"/>
      <c r="B1081" s="694"/>
      <c r="C1081" s="694"/>
      <c r="D1081" s="694"/>
      <c r="E1081" s="694"/>
      <c r="F1081" s="631"/>
      <c r="G1081" s="631"/>
      <c r="H1081" s="631"/>
      <c r="I1081" s="579"/>
      <c r="J1081" s="579"/>
      <c r="K1081" s="694"/>
      <c r="L1081" s="579"/>
      <c r="M1081" s="579"/>
      <c r="N1081" s="579"/>
      <c r="O1081" s="631"/>
      <c r="P1081" s="631"/>
      <c r="Q1081" s="631"/>
      <c r="R1081" s="631"/>
      <c r="S1081" s="631"/>
      <c r="T1081" s="631"/>
      <c r="U1081" s="631"/>
      <c r="V1081" s="631"/>
      <c r="W1081" s="631"/>
      <c r="X1081" s="631"/>
      <c r="Y1081" s="631"/>
      <c r="Z1081" s="631"/>
      <c r="AA1081" s="631"/>
      <c r="AB1081" s="631"/>
      <c r="AC1081" s="631"/>
    </row>
    <row r="1082">
      <c r="A1082" s="631"/>
      <c r="B1082" s="694"/>
      <c r="C1082" s="694"/>
      <c r="D1082" s="694"/>
      <c r="E1082" s="694"/>
      <c r="F1082" s="631"/>
      <c r="G1082" s="631"/>
      <c r="H1082" s="631"/>
      <c r="I1082" s="579"/>
      <c r="J1082" s="579"/>
      <c r="K1082" s="694"/>
      <c r="L1082" s="579"/>
      <c r="M1082" s="579"/>
      <c r="N1082" s="579"/>
      <c r="O1082" s="631"/>
      <c r="P1082" s="631"/>
      <c r="Q1082" s="631"/>
      <c r="R1082" s="631"/>
      <c r="S1082" s="631"/>
      <c r="T1082" s="631"/>
      <c r="U1082" s="631"/>
      <c r="V1082" s="631"/>
      <c r="W1082" s="631"/>
      <c r="X1082" s="631"/>
      <c r="Y1082" s="631"/>
      <c r="Z1082" s="631"/>
      <c r="AA1082" s="631"/>
      <c r="AB1082" s="631"/>
      <c r="AC1082" s="631"/>
    </row>
    <row r="1083">
      <c r="A1083" s="631"/>
      <c r="B1083" s="694"/>
      <c r="C1083" s="694"/>
      <c r="D1083" s="694"/>
      <c r="E1083" s="694"/>
      <c r="F1083" s="631"/>
      <c r="G1083" s="631"/>
      <c r="H1083" s="631"/>
      <c r="I1083" s="579"/>
      <c r="J1083" s="579"/>
      <c r="K1083" s="694"/>
      <c r="L1083" s="579"/>
      <c r="M1083" s="579"/>
      <c r="N1083" s="579"/>
      <c r="O1083" s="631"/>
      <c r="P1083" s="631"/>
      <c r="Q1083" s="631"/>
      <c r="R1083" s="631"/>
      <c r="S1083" s="631"/>
      <c r="T1083" s="631"/>
      <c r="U1083" s="631"/>
      <c r="V1083" s="631"/>
      <c r="W1083" s="631"/>
      <c r="X1083" s="631"/>
      <c r="Y1083" s="631"/>
      <c r="Z1083" s="631"/>
      <c r="AA1083" s="631"/>
      <c r="AB1083" s="631"/>
      <c r="AC1083" s="631"/>
    </row>
    <row r="1084">
      <c r="A1084" s="631"/>
      <c r="B1084" s="694"/>
      <c r="C1084" s="694"/>
      <c r="D1084" s="694"/>
      <c r="E1084" s="694"/>
      <c r="F1084" s="631"/>
      <c r="G1084" s="631"/>
      <c r="H1084" s="631"/>
      <c r="I1084" s="579"/>
      <c r="J1084" s="579"/>
      <c r="K1084" s="694"/>
      <c r="L1084" s="579"/>
      <c r="M1084" s="579"/>
      <c r="N1084" s="579"/>
      <c r="O1084" s="631"/>
      <c r="P1084" s="631"/>
      <c r="Q1084" s="631"/>
      <c r="R1084" s="631"/>
      <c r="S1084" s="631"/>
      <c r="T1084" s="631"/>
      <c r="U1084" s="631"/>
      <c r="V1084" s="631"/>
      <c r="W1084" s="631"/>
      <c r="X1084" s="631"/>
      <c r="Y1084" s="631"/>
      <c r="Z1084" s="631"/>
      <c r="AA1084" s="631"/>
      <c r="AB1084" s="631"/>
      <c r="AC1084" s="631"/>
    </row>
    <row r="1085">
      <c r="A1085" s="631"/>
      <c r="B1085" s="694"/>
      <c r="C1085" s="694"/>
      <c r="D1085" s="694"/>
      <c r="E1085" s="694"/>
      <c r="F1085" s="631"/>
      <c r="G1085" s="631"/>
      <c r="H1085" s="631"/>
      <c r="I1085" s="579"/>
      <c r="J1085" s="579"/>
      <c r="K1085" s="694"/>
      <c r="L1085" s="579"/>
      <c r="M1085" s="579"/>
      <c r="N1085" s="579"/>
      <c r="O1085" s="631"/>
      <c r="P1085" s="631"/>
      <c r="Q1085" s="631"/>
      <c r="R1085" s="631"/>
      <c r="S1085" s="631"/>
      <c r="T1085" s="631"/>
      <c r="U1085" s="631"/>
      <c r="V1085" s="631"/>
      <c r="W1085" s="631"/>
      <c r="X1085" s="631"/>
      <c r="Y1085" s="631"/>
      <c r="Z1085" s="631"/>
      <c r="AA1085" s="631"/>
      <c r="AB1085" s="631"/>
      <c r="AC1085" s="631"/>
    </row>
    <row r="1086">
      <c r="A1086" s="631"/>
      <c r="B1086" s="694"/>
      <c r="C1086" s="694"/>
      <c r="D1086" s="694"/>
      <c r="E1086" s="694"/>
      <c r="F1086" s="631"/>
      <c r="G1086" s="631"/>
      <c r="H1086" s="631"/>
      <c r="I1086" s="579"/>
      <c r="J1086" s="579"/>
      <c r="K1086" s="694"/>
      <c r="L1086" s="579"/>
      <c r="M1086" s="579"/>
      <c r="N1086" s="579"/>
      <c r="O1086" s="631"/>
      <c r="P1086" s="631"/>
      <c r="Q1086" s="631"/>
      <c r="R1086" s="631"/>
      <c r="S1086" s="631"/>
      <c r="T1086" s="631"/>
      <c r="U1086" s="631"/>
      <c r="V1086" s="631"/>
      <c r="W1086" s="631"/>
      <c r="X1086" s="631"/>
      <c r="Y1086" s="631"/>
      <c r="Z1086" s="631"/>
      <c r="AA1086" s="631"/>
      <c r="AB1086" s="631"/>
      <c r="AC1086" s="631"/>
    </row>
    <row r="1087">
      <c r="A1087" s="631"/>
      <c r="B1087" s="694"/>
      <c r="C1087" s="694"/>
      <c r="D1087" s="694"/>
      <c r="E1087" s="694"/>
      <c r="F1087" s="631"/>
      <c r="G1087" s="631"/>
      <c r="H1087" s="631"/>
      <c r="I1087" s="579"/>
      <c r="J1087" s="579"/>
      <c r="K1087" s="694"/>
      <c r="L1087" s="579"/>
      <c r="M1087" s="579"/>
      <c r="N1087" s="579"/>
      <c r="O1087" s="631"/>
      <c r="P1087" s="631"/>
      <c r="Q1087" s="631"/>
      <c r="R1087" s="631"/>
      <c r="S1087" s="631"/>
      <c r="T1087" s="631"/>
      <c r="U1087" s="631"/>
      <c r="V1087" s="631"/>
      <c r="W1087" s="631"/>
      <c r="X1087" s="631"/>
      <c r="Y1087" s="631"/>
      <c r="Z1087" s="631"/>
      <c r="AA1087" s="631"/>
      <c r="AB1087" s="631"/>
      <c r="AC1087" s="631"/>
    </row>
    <row r="1088">
      <c r="A1088" s="631"/>
      <c r="B1088" s="694"/>
      <c r="C1088" s="694"/>
      <c r="D1088" s="694"/>
      <c r="E1088" s="694"/>
      <c r="F1088" s="631"/>
      <c r="G1088" s="631"/>
      <c r="H1088" s="631"/>
      <c r="I1088" s="579"/>
      <c r="J1088" s="579"/>
      <c r="K1088" s="694"/>
      <c r="L1088" s="579"/>
      <c r="M1088" s="579"/>
      <c r="N1088" s="579"/>
      <c r="O1088" s="631"/>
      <c r="P1088" s="631"/>
      <c r="Q1088" s="631"/>
      <c r="R1088" s="631"/>
      <c r="S1088" s="631"/>
      <c r="T1088" s="631"/>
      <c r="U1088" s="631"/>
      <c r="V1088" s="631"/>
      <c r="W1088" s="631"/>
      <c r="X1088" s="631"/>
      <c r="Y1088" s="631"/>
      <c r="Z1088" s="631"/>
      <c r="AA1088" s="631"/>
      <c r="AB1088" s="631"/>
      <c r="AC1088" s="631"/>
    </row>
    <row r="1089">
      <c r="A1089" s="631"/>
      <c r="B1089" s="694"/>
      <c r="C1089" s="694"/>
      <c r="D1089" s="694"/>
      <c r="E1089" s="694"/>
      <c r="F1089" s="631"/>
      <c r="G1089" s="631"/>
      <c r="H1089" s="631"/>
      <c r="I1089" s="579"/>
      <c r="J1089" s="579"/>
      <c r="K1089" s="694"/>
      <c r="L1089" s="579"/>
      <c r="M1089" s="579"/>
      <c r="N1089" s="579"/>
      <c r="O1089" s="631"/>
      <c r="P1089" s="631"/>
      <c r="Q1089" s="631"/>
      <c r="R1089" s="631"/>
      <c r="S1089" s="631"/>
      <c r="T1089" s="631"/>
      <c r="U1089" s="631"/>
      <c r="V1089" s="631"/>
      <c r="W1089" s="631"/>
      <c r="X1089" s="631"/>
      <c r="Y1089" s="631"/>
      <c r="Z1089" s="631"/>
      <c r="AA1089" s="631"/>
      <c r="AB1089" s="631"/>
      <c r="AC1089" s="631"/>
    </row>
    <row r="1090">
      <c r="A1090" s="631"/>
      <c r="B1090" s="694"/>
      <c r="C1090" s="694"/>
      <c r="D1090" s="694"/>
      <c r="E1090" s="694"/>
      <c r="F1090" s="631"/>
      <c r="G1090" s="631"/>
      <c r="H1090" s="631"/>
      <c r="I1090" s="579"/>
      <c r="J1090" s="579"/>
      <c r="K1090" s="694"/>
      <c r="L1090" s="579"/>
      <c r="M1090" s="579"/>
      <c r="N1090" s="579"/>
      <c r="O1090" s="631"/>
      <c r="P1090" s="631"/>
      <c r="Q1090" s="631"/>
      <c r="R1090" s="631"/>
      <c r="S1090" s="631"/>
      <c r="T1090" s="631"/>
      <c r="U1090" s="631"/>
      <c r="V1090" s="631"/>
      <c r="W1090" s="631"/>
      <c r="X1090" s="631"/>
      <c r="Y1090" s="631"/>
      <c r="Z1090" s="631"/>
      <c r="AA1090" s="631"/>
      <c r="AB1090" s="631"/>
      <c r="AC1090" s="631"/>
    </row>
    <row r="1091">
      <c r="A1091" s="631"/>
      <c r="B1091" s="694"/>
      <c r="C1091" s="694"/>
      <c r="D1091" s="694"/>
      <c r="E1091" s="694"/>
      <c r="F1091" s="631"/>
      <c r="G1091" s="631"/>
      <c r="H1091" s="631"/>
      <c r="I1091" s="579"/>
      <c r="J1091" s="579"/>
      <c r="K1091" s="694"/>
      <c r="L1091" s="579"/>
      <c r="M1091" s="579"/>
      <c r="N1091" s="579"/>
      <c r="O1091" s="631"/>
      <c r="P1091" s="631"/>
      <c r="Q1091" s="631"/>
      <c r="R1091" s="631"/>
      <c r="S1091" s="631"/>
      <c r="T1091" s="631"/>
      <c r="U1091" s="631"/>
      <c r="V1091" s="631"/>
      <c r="W1091" s="631"/>
      <c r="X1091" s="631"/>
      <c r="Y1091" s="631"/>
      <c r="Z1091" s="631"/>
      <c r="AA1091" s="631"/>
      <c r="AB1091" s="631"/>
      <c r="AC1091" s="631"/>
    </row>
    <row r="1092">
      <c r="A1092" s="631"/>
      <c r="B1092" s="694"/>
      <c r="C1092" s="694"/>
      <c r="D1092" s="694"/>
      <c r="E1092" s="694"/>
      <c r="F1092" s="631"/>
      <c r="G1092" s="631"/>
      <c r="H1092" s="631"/>
      <c r="I1092" s="579"/>
      <c r="J1092" s="579"/>
      <c r="K1092" s="694"/>
      <c r="L1092" s="579"/>
      <c r="M1092" s="579"/>
      <c r="N1092" s="579"/>
      <c r="O1092" s="631"/>
      <c r="P1092" s="631"/>
      <c r="Q1092" s="631"/>
      <c r="R1092" s="631"/>
      <c r="S1092" s="631"/>
      <c r="T1092" s="631"/>
      <c r="U1092" s="631"/>
      <c r="V1092" s="631"/>
      <c r="W1092" s="631"/>
      <c r="X1092" s="631"/>
      <c r="Y1092" s="631"/>
      <c r="Z1092" s="631"/>
      <c r="AA1092" s="631"/>
      <c r="AB1092" s="631"/>
      <c r="AC1092" s="631"/>
    </row>
    <row r="1093">
      <c r="A1093" s="631"/>
      <c r="B1093" s="694"/>
      <c r="C1093" s="694"/>
      <c r="D1093" s="694"/>
      <c r="E1093" s="694"/>
      <c r="F1093" s="631"/>
      <c r="G1093" s="631"/>
      <c r="H1093" s="631"/>
      <c r="I1093" s="579"/>
      <c r="J1093" s="579"/>
      <c r="K1093" s="694"/>
      <c r="L1093" s="579"/>
      <c r="M1093" s="579"/>
      <c r="N1093" s="579"/>
      <c r="O1093" s="631"/>
      <c r="P1093" s="631"/>
      <c r="Q1093" s="631"/>
      <c r="R1093" s="631"/>
      <c r="S1093" s="631"/>
      <c r="T1093" s="631"/>
      <c r="U1093" s="631"/>
      <c r="V1093" s="631"/>
      <c r="W1093" s="631"/>
      <c r="X1093" s="631"/>
      <c r="Y1093" s="631"/>
      <c r="Z1093" s="631"/>
      <c r="AA1093" s="631"/>
      <c r="AB1093" s="631"/>
      <c r="AC1093" s="631"/>
    </row>
    <row r="1094">
      <c r="A1094" s="631"/>
      <c r="B1094" s="694"/>
      <c r="C1094" s="694"/>
      <c r="D1094" s="694"/>
      <c r="E1094" s="694"/>
      <c r="F1094" s="631"/>
      <c r="G1094" s="631"/>
      <c r="H1094" s="631"/>
      <c r="I1094" s="579"/>
      <c r="J1094" s="579"/>
      <c r="K1094" s="694"/>
      <c r="L1094" s="579"/>
      <c r="M1094" s="579"/>
      <c r="N1094" s="579"/>
      <c r="O1094" s="631"/>
      <c r="P1094" s="631"/>
      <c r="Q1094" s="631"/>
      <c r="R1094" s="631"/>
      <c r="S1094" s="631"/>
      <c r="T1094" s="631"/>
      <c r="U1094" s="631"/>
      <c r="V1094" s="631"/>
      <c r="W1094" s="631"/>
      <c r="X1094" s="631"/>
      <c r="Y1094" s="631"/>
      <c r="Z1094" s="631"/>
      <c r="AA1094" s="631"/>
      <c r="AB1094" s="631"/>
      <c r="AC1094" s="631"/>
    </row>
    <row r="1095">
      <c r="A1095" s="631"/>
      <c r="B1095" s="694"/>
      <c r="C1095" s="694"/>
      <c r="D1095" s="694"/>
      <c r="E1095" s="694"/>
      <c r="F1095" s="631"/>
      <c r="G1095" s="631"/>
      <c r="H1095" s="631"/>
      <c r="I1095" s="579"/>
      <c r="J1095" s="579"/>
      <c r="K1095" s="694"/>
      <c r="L1095" s="579"/>
      <c r="M1095" s="579"/>
      <c r="N1095" s="579"/>
      <c r="O1095" s="631"/>
      <c r="P1095" s="631"/>
      <c r="Q1095" s="631"/>
      <c r="R1095" s="631"/>
      <c r="S1095" s="631"/>
      <c r="T1095" s="631"/>
      <c r="U1095" s="631"/>
      <c r="V1095" s="631"/>
      <c r="W1095" s="631"/>
      <c r="X1095" s="631"/>
      <c r="Y1095" s="631"/>
      <c r="Z1095" s="631"/>
      <c r="AA1095" s="631"/>
      <c r="AB1095" s="631"/>
      <c r="AC1095" s="631"/>
    </row>
    <row r="1096">
      <c r="A1096" s="631"/>
      <c r="B1096" s="694"/>
      <c r="C1096" s="694"/>
      <c r="D1096" s="694"/>
      <c r="E1096" s="694"/>
      <c r="F1096" s="631"/>
      <c r="G1096" s="631"/>
      <c r="H1096" s="631"/>
      <c r="I1096" s="579"/>
      <c r="J1096" s="579"/>
      <c r="K1096" s="694"/>
      <c r="L1096" s="579"/>
      <c r="M1096" s="579"/>
      <c r="N1096" s="579"/>
      <c r="O1096" s="631"/>
      <c r="P1096" s="631"/>
      <c r="Q1096" s="631"/>
      <c r="R1096" s="631"/>
      <c r="S1096" s="631"/>
      <c r="T1096" s="631"/>
      <c r="U1096" s="631"/>
      <c r="V1096" s="631"/>
      <c r="W1096" s="631"/>
      <c r="X1096" s="631"/>
      <c r="Y1096" s="631"/>
      <c r="Z1096" s="631"/>
      <c r="AA1096" s="631"/>
      <c r="AB1096" s="631"/>
      <c r="AC1096" s="631"/>
    </row>
    <row r="1097">
      <c r="A1097" s="631"/>
      <c r="B1097" s="694"/>
      <c r="C1097" s="694"/>
      <c r="D1097" s="694"/>
      <c r="E1097" s="694"/>
      <c r="F1097" s="631"/>
      <c r="G1097" s="631"/>
      <c r="H1097" s="631"/>
      <c r="I1097" s="579"/>
      <c r="J1097" s="579"/>
      <c r="K1097" s="694"/>
      <c r="L1097" s="579"/>
      <c r="M1097" s="579"/>
      <c r="N1097" s="579"/>
      <c r="O1097" s="631"/>
      <c r="P1097" s="631"/>
      <c r="Q1097" s="631"/>
      <c r="R1097" s="631"/>
      <c r="S1097" s="631"/>
      <c r="T1097" s="631"/>
      <c r="U1097" s="631"/>
      <c r="V1097" s="631"/>
      <c r="W1097" s="631"/>
      <c r="X1097" s="631"/>
      <c r="Y1097" s="631"/>
      <c r="Z1097" s="631"/>
      <c r="AA1097" s="631"/>
      <c r="AB1097" s="631"/>
      <c r="AC1097" s="631"/>
    </row>
    <row r="1098">
      <c r="A1098" s="631"/>
      <c r="B1098" s="694"/>
      <c r="C1098" s="694"/>
      <c r="D1098" s="694"/>
      <c r="E1098" s="694"/>
      <c r="F1098" s="631"/>
      <c r="G1098" s="631"/>
      <c r="H1098" s="631"/>
      <c r="I1098" s="579"/>
      <c r="J1098" s="579"/>
      <c r="K1098" s="694"/>
      <c r="L1098" s="579"/>
      <c r="M1098" s="579"/>
      <c r="N1098" s="579"/>
      <c r="O1098" s="631"/>
      <c r="P1098" s="631"/>
      <c r="Q1098" s="631"/>
      <c r="R1098" s="631"/>
      <c r="S1098" s="631"/>
      <c r="T1098" s="631"/>
      <c r="U1098" s="631"/>
      <c r="V1098" s="631"/>
      <c r="W1098" s="631"/>
      <c r="X1098" s="631"/>
      <c r="Y1098" s="631"/>
      <c r="Z1098" s="631"/>
      <c r="AA1098" s="631"/>
      <c r="AB1098" s="631"/>
      <c r="AC1098" s="631"/>
    </row>
    <row r="1099">
      <c r="A1099" s="631"/>
      <c r="B1099" s="694"/>
      <c r="C1099" s="694"/>
      <c r="D1099" s="694"/>
      <c r="E1099" s="694"/>
      <c r="F1099" s="631"/>
      <c r="G1099" s="631"/>
      <c r="H1099" s="631"/>
      <c r="I1099" s="579"/>
      <c r="J1099" s="579"/>
      <c r="K1099" s="694"/>
      <c r="L1099" s="579"/>
      <c r="M1099" s="579"/>
      <c r="N1099" s="579"/>
      <c r="O1099" s="631"/>
      <c r="P1099" s="631"/>
      <c r="Q1099" s="631"/>
      <c r="R1099" s="631"/>
      <c r="S1099" s="631"/>
      <c r="T1099" s="631"/>
      <c r="U1099" s="631"/>
      <c r="V1099" s="631"/>
      <c r="W1099" s="631"/>
      <c r="X1099" s="631"/>
      <c r="Y1099" s="631"/>
      <c r="Z1099" s="631"/>
      <c r="AA1099" s="631"/>
      <c r="AB1099" s="631"/>
      <c r="AC1099" s="631"/>
    </row>
    <row r="1100">
      <c r="A1100" s="631"/>
      <c r="B1100" s="694"/>
      <c r="C1100" s="694"/>
      <c r="D1100" s="694"/>
      <c r="E1100" s="694"/>
      <c r="F1100" s="631"/>
      <c r="G1100" s="631"/>
      <c r="H1100" s="631"/>
      <c r="I1100" s="579"/>
      <c r="J1100" s="579"/>
      <c r="K1100" s="694"/>
      <c r="L1100" s="579"/>
      <c r="M1100" s="579"/>
      <c r="N1100" s="579"/>
      <c r="O1100" s="631"/>
      <c r="P1100" s="631"/>
      <c r="Q1100" s="631"/>
      <c r="R1100" s="631"/>
      <c r="S1100" s="631"/>
      <c r="T1100" s="631"/>
      <c r="U1100" s="631"/>
      <c r="V1100" s="631"/>
      <c r="W1100" s="631"/>
      <c r="X1100" s="631"/>
      <c r="Y1100" s="631"/>
      <c r="Z1100" s="631"/>
      <c r="AA1100" s="631"/>
      <c r="AB1100" s="631"/>
      <c r="AC1100" s="631"/>
    </row>
    <row r="1101">
      <c r="A1101" s="631"/>
      <c r="B1101" s="694"/>
      <c r="C1101" s="694"/>
      <c r="D1101" s="694"/>
      <c r="E1101" s="694"/>
      <c r="F1101" s="631"/>
      <c r="G1101" s="631"/>
      <c r="H1101" s="631"/>
      <c r="I1101" s="579"/>
      <c r="J1101" s="579"/>
      <c r="K1101" s="694"/>
      <c r="L1101" s="579"/>
      <c r="M1101" s="579"/>
      <c r="N1101" s="579"/>
      <c r="O1101" s="631"/>
      <c r="P1101" s="631"/>
      <c r="Q1101" s="631"/>
      <c r="R1101" s="631"/>
      <c r="S1101" s="631"/>
      <c r="T1101" s="631"/>
      <c r="U1101" s="631"/>
      <c r="V1101" s="631"/>
      <c r="W1101" s="631"/>
      <c r="X1101" s="631"/>
      <c r="Y1101" s="631"/>
      <c r="Z1101" s="631"/>
      <c r="AA1101" s="631"/>
      <c r="AB1101" s="631"/>
      <c r="AC1101" s="631"/>
    </row>
    <row r="1102">
      <c r="A1102" s="631"/>
      <c r="B1102" s="694"/>
      <c r="C1102" s="694"/>
      <c r="D1102" s="694"/>
      <c r="E1102" s="694"/>
      <c r="F1102" s="631"/>
      <c r="G1102" s="631"/>
      <c r="H1102" s="631"/>
      <c r="I1102" s="579"/>
      <c r="J1102" s="579"/>
      <c r="K1102" s="694"/>
      <c r="L1102" s="579"/>
      <c r="M1102" s="579"/>
      <c r="N1102" s="579"/>
      <c r="O1102" s="631"/>
      <c r="P1102" s="631"/>
      <c r="Q1102" s="631"/>
      <c r="R1102" s="631"/>
      <c r="S1102" s="631"/>
      <c r="T1102" s="631"/>
      <c r="U1102" s="631"/>
      <c r="V1102" s="631"/>
      <c r="W1102" s="631"/>
      <c r="X1102" s="631"/>
      <c r="Y1102" s="631"/>
      <c r="Z1102" s="631"/>
      <c r="AA1102" s="631"/>
      <c r="AB1102" s="631"/>
      <c r="AC1102" s="631"/>
    </row>
    <row r="1103">
      <c r="A1103" s="631"/>
      <c r="B1103" s="694"/>
      <c r="C1103" s="694"/>
      <c r="D1103" s="694"/>
      <c r="E1103" s="694"/>
      <c r="F1103" s="631"/>
      <c r="G1103" s="631"/>
      <c r="H1103" s="631"/>
      <c r="I1103" s="579"/>
      <c r="J1103" s="579"/>
      <c r="K1103" s="694"/>
      <c r="L1103" s="579"/>
      <c r="M1103" s="579"/>
      <c r="N1103" s="579"/>
      <c r="O1103" s="631"/>
      <c r="P1103" s="631"/>
      <c r="Q1103" s="631"/>
      <c r="R1103" s="631"/>
      <c r="S1103" s="631"/>
      <c r="T1103" s="631"/>
      <c r="U1103" s="631"/>
      <c r="V1103" s="631"/>
      <c r="W1103" s="631"/>
      <c r="X1103" s="631"/>
      <c r="Y1103" s="631"/>
      <c r="Z1103" s="631"/>
      <c r="AA1103" s="631"/>
      <c r="AB1103" s="631"/>
      <c r="AC1103" s="631"/>
    </row>
    <row r="1104">
      <c r="A1104" s="631"/>
      <c r="B1104" s="694"/>
      <c r="C1104" s="694"/>
      <c r="D1104" s="694"/>
      <c r="E1104" s="694"/>
      <c r="F1104" s="631"/>
      <c r="G1104" s="631"/>
      <c r="H1104" s="631"/>
      <c r="I1104" s="579"/>
      <c r="J1104" s="579"/>
      <c r="K1104" s="694"/>
      <c r="L1104" s="579"/>
      <c r="M1104" s="579"/>
      <c r="N1104" s="579"/>
      <c r="O1104" s="631"/>
      <c r="P1104" s="631"/>
      <c r="Q1104" s="631"/>
      <c r="R1104" s="631"/>
      <c r="S1104" s="631"/>
      <c r="T1104" s="631"/>
      <c r="U1104" s="631"/>
      <c r="V1104" s="631"/>
      <c r="W1104" s="631"/>
      <c r="X1104" s="631"/>
      <c r="Y1104" s="631"/>
      <c r="Z1104" s="631"/>
      <c r="AA1104" s="631"/>
      <c r="AB1104" s="631"/>
      <c r="AC1104" s="631"/>
    </row>
    <row r="1105">
      <c r="A1105" s="631"/>
      <c r="B1105" s="694"/>
      <c r="C1105" s="694"/>
      <c r="D1105" s="694"/>
      <c r="E1105" s="694"/>
      <c r="F1105" s="631"/>
      <c r="G1105" s="631"/>
      <c r="H1105" s="631"/>
      <c r="I1105" s="579"/>
      <c r="J1105" s="579"/>
      <c r="K1105" s="694"/>
      <c r="L1105" s="579"/>
      <c r="M1105" s="579"/>
      <c r="N1105" s="579"/>
      <c r="O1105" s="631"/>
      <c r="P1105" s="631"/>
      <c r="Q1105" s="631"/>
      <c r="R1105" s="631"/>
      <c r="S1105" s="631"/>
      <c r="T1105" s="631"/>
      <c r="U1105" s="631"/>
      <c r="V1105" s="631"/>
      <c r="W1105" s="631"/>
      <c r="X1105" s="631"/>
      <c r="Y1105" s="631"/>
      <c r="Z1105" s="631"/>
      <c r="AA1105" s="631"/>
      <c r="AB1105" s="631"/>
      <c r="AC1105" s="631"/>
    </row>
    <row r="1106">
      <c r="A1106" s="631"/>
      <c r="B1106" s="694"/>
      <c r="C1106" s="694"/>
      <c r="D1106" s="694"/>
      <c r="E1106" s="694"/>
      <c r="F1106" s="631"/>
      <c r="G1106" s="631"/>
      <c r="H1106" s="631"/>
      <c r="I1106" s="579"/>
      <c r="J1106" s="579"/>
      <c r="K1106" s="694"/>
      <c r="L1106" s="579"/>
      <c r="M1106" s="579"/>
      <c r="N1106" s="579"/>
      <c r="O1106" s="631"/>
      <c r="P1106" s="631"/>
      <c r="Q1106" s="631"/>
      <c r="R1106" s="631"/>
      <c r="S1106" s="631"/>
      <c r="T1106" s="631"/>
      <c r="U1106" s="631"/>
      <c r="V1106" s="631"/>
      <c r="W1106" s="631"/>
      <c r="X1106" s="631"/>
      <c r="Y1106" s="631"/>
      <c r="Z1106" s="631"/>
      <c r="AA1106" s="631"/>
      <c r="AB1106" s="631"/>
      <c r="AC1106" s="631"/>
    </row>
    <row r="1107">
      <c r="A1107" s="631"/>
      <c r="B1107" s="694"/>
      <c r="C1107" s="694"/>
      <c r="D1107" s="694"/>
      <c r="E1107" s="694"/>
      <c r="F1107" s="631"/>
      <c r="G1107" s="631"/>
      <c r="H1107" s="631"/>
      <c r="I1107" s="579"/>
      <c r="J1107" s="579"/>
      <c r="K1107" s="694"/>
      <c r="L1107" s="579"/>
      <c r="M1107" s="579"/>
      <c r="N1107" s="579"/>
      <c r="O1107" s="631"/>
      <c r="P1107" s="631"/>
      <c r="Q1107" s="631"/>
      <c r="R1107" s="631"/>
      <c r="S1107" s="631"/>
      <c r="T1107" s="631"/>
      <c r="U1107" s="631"/>
      <c r="V1107" s="631"/>
      <c r="W1107" s="631"/>
      <c r="X1107" s="631"/>
      <c r="Y1107" s="631"/>
      <c r="Z1107" s="631"/>
      <c r="AA1107" s="631"/>
      <c r="AB1107" s="631"/>
      <c r="AC1107" s="631"/>
    </row>
    <row r="1108">
      <c r="A1108" s="631"/>
      <c r="B1108" s="694"/>
      <c r="C1108" s="694"/>
      <c r="D1108" s="694"/>
      <c r="E1108" s="694"/>
      <c r="F1108" s="631"/>
      <c r="G1108" s="631"/>
      <c r="H1108" s="631"/>
      <c r="I1108" s="579"/>
      <c r="J1108" s="579"/>
      <c r="K1108" s="694"/>
      <c r="L1108" s="579"/>
      <c r="M1108" s="579"/>
      <c r="N1108" s="579"/>
      <c r="O1108" s="631"/>
      <c r="P1108" s="631"/>
      <c r="Q1108" s="631"/>
      <c r="R1108" s="631"/>
      <c r="S1108" s="631"/>
      <c r="T1108" s="631"/>
      <c r="U1108" s="631"/>
      <c r="V1108" s="631"/>
      <c r="W1108" s="631"/>
      <c r="X1108" s="631"/>
      <c r="Y1108" s="631"/>
      <c r="Z1108" s="631"/>
      <c r="AA1108" s="631"/>
      <c r="AB1108" s="631"/>
      <c r="AC1108" s="631"/>
    </row>
    <row r="1109">
      <c r="A1109" s="631"/>
      <c r="B1109" s="694"/>
      <c r="C1109" s="694"/>
      <c r="D1109" s="694"/>
      <c r="E1109" s="694"/>
      <c r="F1109" s="631"/>
      <c r="G1109" s="631"/>
      <c r="H1109" s="631"/>
      <c r="I1109" s="579"/>
      <c r="J1109" s="579"/>
      <c r="K1109" s="694"/>
      <c r="L1109" s="579"/>
      <c r="M1109" s="579"/>
      <c r="N1109" s="579"/>
      <c r="O1109" s="631"/>
      <c r="P1109" s="631"/>
      <c r="Q1109" s="631"/>
      <c r="R1109" s="631"/>
      <c r="S1109" s="631"/>
      <c r="T1109" s="631"/>
      <c r="U1109" s="631"/>
      <c r="V1109" s="631"/>
      <c r="W1109" s="631"/>
      <c r="X1109" s="631"/>
      <c r="Y1109" s="631"/>
      <c r="Z1109" s="631"/>
      <c r="AA1109" s="631"/>
      <c r="AB1109" s="631"/>
      <c r="AC1109" s="631"/>
    </row>
    <row r="1110">
      <c r="A1110" s="631"/>
      <c r="B1110" s="694"/>
      <c r="C1110" s="694"/>
      <c r="D1110" s="694"/>
      <c r="E1110" s="694"/>
      <c r="F1110" s="631"/>
      <c r="G1110" s="631"/>
      <c r="H1110" s="631"/>
      <c r="I1110" s="579"/>
      <c r="J1110" s="579"/>
      <c r="K1110" s="694"/>
      <c r="L1110" s="579"/>
      <c r="M1110" s="579"/>
      <c r="N1110" s="579"/>
      <c r="O1110" s="631"/>
      <c r="P1110" s="631"/>
      <c r="Q1110" s="631"/>
      <c r="R1110" s="631"/>
      <c r="S1110" s="631"/>
      <c r="T1110" s="631"/>
      <c r="U1110" s="631"/>
      <c r="V1110" s="631"/>
      <c r="W1110" s="631"/>
      <c r="X1110" s="631"/>
      <c r="Y1110" s="631"/>
      <c r="Z1110" s="631"/>
      <c r="AA1110" s="631"/>
      <c r="AB1110" s="631"/>
      <c r="AC1110" s="631"/>
    </row>
    <row r="1111">
      <c r="A1111" s="631"/>
      <c r="B1111" s="694"/>
      <c r="C1111" s="694"/>
      <c r="D1111" s="694"/>
      <c r="E1111" s="694"/>
      <c r="F1111" s="631"/>
      <c r="G1111" s="631"/>
      <c r="H1111" s="631"/>
      <c r="I1111" s="579"/>
      <c r="J1111" s="579"/>
      <c r="K1111" s="694"/>
      <c r="L1111" s="579"/>
      <c r="M1111" s="579"/>
      <c r="N1111" s="579"/>
      <c r="O1111" s="631"/>
      <c r="P1111" s="631"/>
      <c r="Q1111" s="631"/>
      <c r="R1111" s="631"/>
      <c r="S1111" s="631"/>
      <c r="T1111" s="631"/>
      <c r="U1111" s="631"/>
      <c r="V1111" s="631"/>
      <c r="W1111" s="631"/>
      <c r="X1111" s="631"/>
      <c r="Y1111" s="631"/>
      <c r="Z1111" s="631"/>
      <c r="AA1111" s="631"/>
      <c r="AB1111" s="631"/>
      <c r="AC1111" s="631"/>
    </row>
    <row r="1112">
      <c r="A1112" s="631"/>
      <c r="B1112" s="694"/>
      <c r="C1112" s="694"/>
      <c r="D1112" s="694"/>
      <c r="E1112" s="694"/>
      <c r="F1112" s="631"/>
      <c r="G1112" s="631"/>
      <c r="H1112" s="631"/>
      <c r="I1112" s="579"/>
      <c r="J1112" s="579"/>
      <c r="K1112" s="694"/>
      <c r="L1112" s="579"/>
      <c r="M1112" s="579"/>
      <c r="N1112" s="579"/>
      <c r="O1112" s="631"/>
      <c r="P1112" s="631"/>
      <c r="Q1112" s="631"/>
      <c r="R1112" s="631"/>
      <c r="S1112" s="631"/>
      <c r="T1112" s="631"/>
      <c r="U1112" s="631"/>
      <c r="V1112" s="631"/>
      <c r="W1112" s="631"/>
      <c r="X1112" s="631"/>
      <c r="Y1112" s="631"/>
      <c r="Z1112" s="631"/>
      <c r="AA1112" s="631"/>
      <c r="AB1112" s="631"/>
      <c r="AC1112" s="631"/>
    </row>
    <row r="1113">
      <c r="A1113" s="631"/>
      <c r="B1113" s="694"/>
      <c r="C1113" s="694"/>
      <c r="D1113" s="694"/>
      <c r="E1113" s="694"/>
      <c r="F1113" s="631"/>
      <c r="G1113" s="631"/>
      <c r="H1113" s="631"/>
      <c r="I1113" s="579"/>
      <c r="J1113" s="579"/>
      <c r="K1113" s="694"/>
      <c r="L1113" s="579"/>
      <c r="M1113" s="579"/>
      <c r="N1113" s="579"/>
      <c r="O1113" s="631"/>
      <c r="P1113" s="631"/>
      <c r="Q1113" s="631"/>
      <c r="R1113" s="631"/>
      <c r="S1113" s="631"/>
      <c r="T1113" s="631"/>
      <c r="U1113" s="631"/>
      <c r="V1113" s="631"/>
      <c r="W1113" s="631"/>
      <c r="X1113" s="631"/>
      <c r="Y1113" s="631"/>
      <c r="Z1113" s="631"/>
      <c r="AA1113" s="631"/>
      <c r="AB1113" s="631"/>
      <c r="AC1113" s="631"/>
    </row>
    <row r="1114">
      <c r="A1114" s="631"/>
      <c r="B1114" s="694"/>
      <c r="C1114" s="694"/>
      <c r="D1114" s="694"/>
      <c r="E1114" s="694"/>
      <c r="F1114" s="631"/>
      <c r="G1114" s="631"/>
      <c r="H1114" s="631"/>
      <c r="I1114" s="579"/>
      <c r="J1114" s="579"/>
      <c r="K1114" s="694"/>
      <c r="L1114" s="579"/>
      <c r="M1114" s="579"/>
      <c r="N1114" s="579"/>
      <c r="O1114" s="631"/>
      <c r="P1114" s="631"/>
      <c r="Q1114" s="631"/>
      <c r="R1114" s="631"/>
      <c r="S1114" s="631"/>
      <c r="T1114" s="631"/>
      <c r="U1114" s="631"/>
      <c r="V1114" s="631"/>
      <c r="W1114" s="631"/>
      <c r="X1114" s="631"/>
      <c r="Y1114" s="631"/>
      <c r="Z1114" s="631"/>
      <c r="AA1114" s="631"/>
      <c r="AB1114" s="631"/>
      <c r="AC1114" s="631"/>
    </row>
    <row r="1115">
      <c r="A1115" s="631"/>
      <c r="B1115" s="694"/>
      <c r="C1115" s="694"/>
      <c r="D1115" s="694"/>
      <c r="E1115" s="694"/>
      <c r="F1115" s="631"/>
      <c r="G1115" s="631"/>
      <c r="H1115" s="631"/>
      <c r="I1115" s="579"/>
      <c r="J1115" s="579"/>
      <c r="K1115" s="694"/>
      <c r="L1115" s="579"/>
      <c r="M1115" s="579"/>
      <c r="N1115" s="579"/>
      <c r="O1115" s="631"/>
      <c r="P1115" s="631"/>
      <c r="Q1115" s="631"/>
      <c r="R1115" s="631"/>
      <c r="S1115" s="631"/>
      <c r="T1115" s="631"/>
      <c r="U1115" s="631"/>
      <c r="V1115" s="631"/>
      <c r="W1115" s="631"/>
      <c r="X1115" s="631"/>
      <c r="Y1115" s="631"/>
      <c r="Z1115" s="631"/>
      <c r="AA1115" s="631"/>
      <c r="AB1115" s="631"/>
      <c r="AC1115" s="631"/>
    </row>
    <row r="1116">
      <c r="A1116" s="631"/>
      <c r="B1116" s="694"/>
      <c r="C1116" s="694"/>
      <c r="D1116" s="694"/>
      <c r="E1116" s="694"/>
      <c r="F1116" s="631"/>
      <c r="G1116" s="631"/>
      <c r="H1116" s="631"/>
      <c r="I1116" s="579"/>
      <c r="J1116" s="579"/>
      <c r="K1116" s="694"/>
      <c r="L1116" s="579"/>
      <c r="M1116" s="579"/>
      <c r="N1116" s="579"/>
      <c r="O1116" s="631"/>
      <c r="P1116" s="631"/>
      <c r="Q1116" s="631"/>
      <c r="R1116" s="631"/>
      <c r="S1116" s="631"/>
      <c r="T1116" s="631"/>
      <c r="U1116" s="631"/>
      <c r="V1116" s="631"/>
      <c r="W1116" s="631"/>
      <c r="X1116" s="631"/>
      <c r="Y1116" s="631"/>
      <c r="Z1116" s="631"/>
      <c r="AA1116" s="631"/>
      <c r="AB1116" s="631"/>
      <c r="AC1116" s="631"/>
    </row>
    <row r="1117">
      <c r="A1117" s="631"/>
      <c r="B1117" s="694"/>
      <c r="C1117" s="694"/>
      <c r="D1117" s="694"/>
      <c r="E1117" s="694"/>
      <c r="F1117" s="631"/>
      <c r="G1117" s="631"/>
      <c r="H1117" s="631"/>
      <c r="I1117" s="579"/>
      <c r="J1117" s="579"/>
      <c r="K1117" s="694"/>
      <c r="L1117" s="579"/>
      <c r="M1117" s="579"/>
      <c r="N1117" s="579"/>
      <c r="O1117" s="631"/>
      <c r="P1117" s="631"/>
      <c r="Q1117" s="631"/>
      <c r="R1117" s="631"/>
      <c r="S1117" s="631"/>
      <c r="T1117" s="631"/>
      <c r="U1117" s="631"/>
      <c r="V1117" s="631"/>
      <c r="W1117" s="631"/>
      <c r="X1117" s="631"/>
      <c r="Y1117" s="631"/>
      <c r="Z1117" s="631"/>
      <c r="AA1117" s="631"/>
      <c r="AB1117" s="631"/>
      <c r="AC1117" s="631"/>
    </row>
    <row r="1118">
      <c r="A1118" s="631"/>
      <c r="B1118" s="694"/>
      <c r="C1118" s="694"/>
      <c r="D1118" s="694"/>
      <c r="E1118" s="694"/>
      <c r="F1118" s="631"/>
      <c r="G1118" s="631"/>
      <c r="H1118" s="631"/>
      <c r="I1118" s="579"/>
      <c r="J1118" s="579"/>
      <c r="K1118" s="694"/>
      <c r="L1118" s="579"/>
      <c r="M1118" s="579"/>
      <c r="N1118" s="579"/>
      <c r="O1118" s="631"/>
      <c r="P1118" s="631"/>
      <c r="Q1118" s="631"/>
      <c r="R1118" s="631"/>
      <c r="S1118" s="631"/>
      <c r="T1118" s="631"/>
      <c r="U1118" s="631"/>
      <c r="V1118" s="631"/>
      <c r="W1118" s="631"/>
      <c r="X1118" s="631"/>
      <c r="Y1118" s="631"/>
      <c r="Z1118" s="631"/>
      <c r="AA1118" s="631"/>
      <c r="AB1118" s="631"/>
      <c r="AC1118" s="631"/>
    </row>
    <row r="1119">
      <c r="A1119" s="631"/>
      <c r="B1119" s="694"/>
      <c r="C1119" s="694"/>
      <c r="D1119" s="694"/>
      <c r="E1119" s="694"/>
      <c r="F1119" s="631"/>
      <c r="G1119" s="631"/>
      <c r="H1119" s="631"/>
      <c r="I1119" s="579"/>
      <c r="J1119" s="579"/>
      <c r="K1119" s="694"/>
      <c r="L1119" s="579"/>
      <c r="M1119" s="579"/>
      <c r="N1119" s="579"/>
      <c r="O1119" s="631"/>
      <c r="P1119" s="631"/>
      <c r="Q1119" s="631"/>
      <c r="R1119" s="631"/>
      <c r="S1119" s="631"/>
      <c r="T1119" s="631"/>
      <c r="U1119" s="631"/>
      <c r="V1119" s="631"/>
      <c r="W1119" s="631"/>
      <c r="X1119" s="631"/>
      <c r="Y1119" s="631"/>
      <c r="Z1119" s="631"/>
      <c r="AA1119" s="631"/>
      <c r="AB1119" s="631"/>
      <c r="AC1119" s="631"/>
    </row>
    <row r="1120">
      <c r="A1120" s="631"/>
      <c r="B1120" s="694"/>
      <c r="C1120" s="694"/>
      <c r="D1120" s="694"/>
      <c r="E1120" s="694"/>
      <c r="F1120" s="631"/>
      <c r="G1120" s="631"/>
      <c r="H1120" s="631"/>
      <c r="I1120" s="579"/>
      <c r="J1120" s="579"/>
      <c r="K1120" s="694"/>
      <c r="L1120" s="579"/>
      <c r="M1120" s="579"/>
      <c r="N1120" s="579"/>
      <c r="O1120" s="631"/>
      <c r="P1120" s="631"/>
      <c r="Q1120" s="631"/>
      <c r="R1120" s="631"/>
      <c r="S1120" s="631"/>
      <c r="T1120" s="631"/>
      <c r="U1120" s="631"/>
      <c r="V1120" s="631"/>
      <c r="W1120" s="631"/>
      <c r="X1120" s="631"/>
      <c r="Y1120" s="631"/>
      <c r="Z1120" s="631"/>
      <c r="AA1120" s="631"/>
      <c r="AB1120" s="631"/>
      <c r="AC1120" s="631"/>
    </row>
    <row r="1121">
      <c r="A1121" s="631"/>
      <c r="B1121" s="694"/>
      <c r="C1121" s="694"/>
      <c r="D1121" s="694"/>
      <c r="E1121" s="694"/>
      <c r="F1121" s="631"/>
      <c r="G1121" s="631"/>
      <c r="H1121" s="631"/>
      <c r="I1121" s="579"/>
      <c r="J1121" s="579"/>
      <c r="K1121" s="694"/>
      <c r="L1121" s="579"/>
      <c r="M1121" s="579"/>
      <c r="N1121" s="579"/>
      <c r="O1121" s="631"/>
      <c r="P1121" s="631"/>
      <c r="Q1121" s="631"/>
      <c r="R1121" s="631"/>
      <c r="S1121" s="631"/>
      <c r="T1121" s="631"/>
      <c r="U1121" s="631"/>
      <c r="V1121" s="631"/>
      <c r="W1121" s="631"/>
      <c r="X1121" s="631"/>
      <c r="Y1121" s="631"/>
      <c r="Z1121" s="631"/>
      <c r="AA1121" s="631"/>
      <c r="AB1121" s="631"/>
      <c r="AC1121" s="631"/>
    </row>
    <row r="1122">
      <c r="A1122" s="631"/>
      <c r="B1122" s="694"/>
      <c r="C1122" s="694"/>
      <c r="D1122" s="694"/>
      <c r="E1122" s="694"/>
      <c r="F1122" s="631"/>
      <c r="G1122" s="631"/>
      <c r="H1122" s="631"/>
      <c r="I1122" s="579"/>
      <c r="J1122" s="579"/>
      <c r="K1122" s="694"/>
      <c r="L1122" s="579"/>
      <c r="M1122" s="579"/>
      <c r="N1122" s="579"/>
      <c r="O1122" s="631"/>
      <c r="P1122" s="631"/>
      <c r="Q1122" s="631"/>
      <c r="R1122" s="631"/>
      <c r="S1122" s="631"/>
      <c r="T1122" s="631"/>
      <c r="U1122" s="631"/>
      <c r="V1122" s="631"/>
      <c r="W1122" s="631"/>
      <c r="X1122" s="631"/>
      <c r="Y1122" s="631"/>
      <c r="Z1122" s="631"/>
      <c r="AA1122" s="631"/>
      <c r="AB1122" s="631"/>
      <c r="AC1122" s="631"/>
    </row>
    <row r="1123">
      <c r="A1123" s="631"/>
      <c r="B1123" s="694"/>
      <c r="C1123" s="694"/>
      <c r="D1123" s="694"/>
      <c r="E1123" s="694"/>
      <c r="F1123" s="631"/>
      <c r="G1123" s="631"/>
      <c r="H1123" s="631"/>
      <c r="I1123" s="579"/>
      <c r="J1123" s="579"/>
      <c r="K1123" s="694"/>
      <c r="L1123" s="579"/>
      <c r="M1123" s="579"/>
      <c r="N1123" s="579"/>
      <c r="O1123" s="631"/>
      <c r="P1123" s="631"/>
      <c r="Q1123" s="631"/>
      <c r="R1123" s="631"/>
      <c r="S1123" s="631"/>
      <c r="T1123" s="631"/>
      <c r="U1123" s="631"/>
      <c r="V1123" s="631"/>
      <c r="W1123" s="631"/>
      <c r="X1123" s="631"/>
      <c r="Y1123" s="631"/>
      <c r="Z1123" s="631"/>
      <c r="AA1123" s="631"/>
      <c r="AB1123" s="631"/>
      <c r="AC1123" s="631"/>
    </row>
    <row r="1124">
      <c r="A1124" s="631"/>
      <c r="B1124" s="694"/>
      <c r="C1124" s="694"/>
      <c r="D1124" s="694"/>
      <c r="E1124" s="694"/>
      <c r="F1124" s="631"/>
      <c r="G1124" s="631"/>
      <c r="H1124" s="631"/>
      <c r="I1124" s="579"/>
      <c r="J1124" s="579"/>
      <c r="K1124" s="694"/>
      <c r="L1124" s="579"/>
      <c r="M1124" s="579"/>
      <c r="N1124" s="579"/>
      <c r="O1124" s="631"/>
      <c r="P1124" s="631"/>
      <c r="Q1124" s="631"/>
      <c r="R1124" s="631"/>
      <c r="S1124" s="631"/>
      <c r="T1124" s="631"/>
      <c r="U1124" s="631"/>
      <c r="V1124" s="631"/>
      <c r="W1124" s="631"/>
      <c r="X1124" s="631"/>
      <c r="Y1124" s="631"/>
      <c r="Z1124" s="631"/>
      <c r="AA1124" s="631"/>
      <c r="AB1124" s="631"/>
      <c r="AC1124" s="631"/>
    </row>
    <row r="1125">
      <c r="A1125" s="631"/>
      <c r="B1125" s="694"/>
      <c r="C1125" s="694"/>
      <c r="D1125" s="694"/>
      <c r="E1125" s="694"/>
      <c r="F1125" s="631"/>
      <c r="G1125" s="631"/>
      <c r="H1125" s="631"/>
      <c r="I1125" s="579"/>
      <c r="J1125" s="579"/>
      <c r="K1125" s="694"/>
      <c r="L1125" s="579"/>
      <c r="M1125" s="579"/>
      <c r="N1125" s="579"/>
      <c r="O1125" s="631"/>
      <c r="P1125" s="631"/>
      <c r="Q1125" s="631"/>
      <c r="R1125" s="631"/>
      <c r="S1125" s="631"/>
      <c r="T1125" s="631"/>
      <c r="U1125" s="631"/>
      <c r="V1125" s="631"/>
      <c r="W1125" s="631"/>
      <c r="X1125" s="631"/>
      <c r="Y1125" s="631"/>
      <c r="Z1125" s="631"/>
      <c r="AA1125" s="631"/>
      <c r="AB1125" s="631"/>
      <c r="AC1125" s="631"/>
    </row>
    <row r="1126">
      <c r="A1126" s="631"/>
      <c r="B1126" s="694"/>
      <c r="C1126" s="694"/>
      <c r="D1126" s="694"/>
      <c r="E1126" s="694"/>
      <c r="F1126" s="631"/>
      <c r="G1126" s="631"/>
      <c r="H1126" s="631"/>
      <c r="I1126" s="579"/>
      <c r="J1126" s="579"/>
      <c r="K1126" s="694"/>
      <c r="L1126" s="579"/>
      <c r="M1126" s="579"/>
      <c r="N1126" s="579"/>
      <c r="O1126" s="631"/>
      <c r="P1126" s="631"/>
      <c r="Q1126" s="631"/>
      <c r="R1126" s="631"/>
      <c r="S1126" s="631"/>
      <c r="T1126" s="631"/>
      <c r="U1126" s="631"/>
      <c r="V1126" s="631"/>
      <c r="W1126" s="631"/>
      <c r="X1126" s="631"/>
      <c r="Y1126" s="631"/>
      <c r="Z1126" s="631"/>
      <c r="AA1126" s="631"/>
      <c r="AB1126" s="631"/>
      <c r="AC1126" s="631"/>
    </row>
    <row r="1127">
      <c r="A1127" s="631"/>
      <c r="B1127" s="694"/>
      <c r="C1127" s="694"/>
      <c r="D1127" s="694"/>
      <c r="E1127" s="694"/>
      <c r="F1127" s="631"/>
      <c r="G1127" s="631"/>
      <c r="H1127" s="631"/>
      <c r="I1127" s="579"/>
      <c r="J1127" s="579"/>
      <c r="K1127" s="694"/>
      <c r="L1127" s="579"/>
      <c r="M1127" s="579"/>
      <c r="N1127" s="579"/>
      <c r="O1127" s="631"/>
      <c r="P1127" s="631"/>
      <c r="Q1127" s="631"/>
      <c r="R1127" s="631"/>
      <c r="S1127" s="631"/>
      <c r="T1127" s="631"/>
      <c r="U1127" s="631"/>
      <c r="V1127" s="631"/>
      <c r="W1127" s="631"/>
      <c r="X1127" s="631"/>
      <c r="Y1127" s="631"/>
      <c r="Z1127" s="631"/>
      <c r="AA1127" s="631"/>
      <c r="AB1127" s="631"/>
      <c r="AC1127" s="631"/>
    </row>
    <row r="1128">
      <c r="A1128" s="631"/>
      <c r="B1128" s="694"/>
      <c r="C1128" s="694"/>
      <c r="D1128" s="694"/>
      <c r="E1128" s="694"/>
      <c r="F1128" s="631"/>
      <c r="G1128" s="631"/>
      <c r="H1128" s="631"/>
      <c r="I1128" s="579"/>
      <c r="J1128" s="579"/>
      <c r="K1128" s="694"/>
      <c r="L1128" s="579"/>
      <c r="M1128" s="579"/>
      <c r="N1128" s="579"/>
      <c r="O1128" s="631"/>
      <c r="P1128" s="631"/>
      <c r="Q1128" s="631"/>
      <c r="R1128" s="631"/>
      <c r="S1128" s="631"/>
      <c r="T1128" s="631"/>
      <c r="U1128" s="631"/>
      <c r="V1128" s="631"/>
      <c r="W1128" s="631"/>
      <c r="X1128" s="631"/>
      <c r="Y1128" s="631"/>
      <c r="Z1128" s="631"/>
      <c r="AA1128" s="631"/>
      <c r="AB1128" s="631"/>
      <c r="AC1128" s="631"/>
    </row>
    <row r="1129">
      <c r="A1129" s="631"/>
      <c r="B1129" s="694"/>
      <c r="C1129" s="694"/>
      <c r="D1129" s="694"/>
      <c r="E1129" s="694"/>
      <c r="F1129" s="631"/>
      <c r="G1129" s="631"/>
      <c r="H1129" s="631"/>
      <c r="I1129" s="579"/>
      <c r="J1129" s="579"/>
      <c r="K1129" s="694"/>
      <c r="L1129" s="579"/>
      <c r="M1129" s="579"/>
      <c r="N1129" s="579"/>
      <c r="O1129" s="631"/>
      <c r="P1129" s="631"/>
      <c r="Q1129" s="631"/>
      <c r="R1129" s="631"/>
      <c r="S1129" s="631"/>
      <c r="T1129" s="631"/>
      <c r="U1129" s="631"/>
      <c r="V1129" s="631"/>
      <c r="W1129" s="631"/>
      <c r="X1129" s="631"/>
      <c r="Y1129" s="631"/>
      <c r="Z1129" s="631"/>
      <c r="AA1129" s="631"/>
      <c r="AB1129" s="631"/>
      <c r="AC1129" s="631"/>
    </row>
    <row r="1130">
      <c r="A1130" s="631"/>
      <c r="B1130" s="694"/>
      <c r="C1130" s="694"/>
      <c r="D1130" s="694"/>
      <c r="E1130" s="694"/>
      <c r="F1130" s="631"/>
      <c r="G1130" s="631"/>
      <c r="H1130" s="631"/>
      <c r="I1130" s="579"/>
      <c r="J1130" s="579"/>
      <c r="K1130" s="694"/>
      <c r="L1130" s="579"/>
      <c r="M1130" s="579"/>
      <c r="N1130" s="579"/>
      <c r="O1130" s="631"/>
      <c r="P1130" s="631"/>
      <c r="Q1130" s="631"/>
      <c r="R1130" s="631"/>
      <c r="S1130" s="631"/>
      <c r="T1130" s="631"/>
      <c r="U1130" s="631"/>
      <c r="V1130" s="631"/>
      <c r="W1130" s="631"/>
      <c r="X1130" s="631"/>
      <c r="Y1130" s="631"/>
      <c r="Z1130" s="631"/>
      <c r="AA1130" s="631"/>
      <c r="AB1130" s="631"/>
      <c r="AC1130" s="631"/>
    </row>
    <row r="1131">
      <c r="A1131" s="631"/>
      <c r="B1131" s="694"/>
      <c r="C1131" s="694"/>
      <c r="D1131" s="694"/>
      <c r="E1131" s="694"/>
      <c r="F1131" s="631"/>
      <c r="G1131" s="631"/>
      <c r="H1131" s="631"/>
      <c r="I1131" s="579"/>
      <c r="J1131" s="579"/>
      <c r="K1131" s="694"/>
      <c r="L1131" s="579"/>
      <c r="M1131" s="579"/>
      <c r="N1131" s="579"/>
      <c r="O1131" s="631"/>
      <c r="P1131" s="631"/>
      <c r="Q1131" s="631"/>
      <c r="R1131" s="631"/>
      <c r="S1131" s="631"/>
      <c r="T1131" s="631"/>
      <c r="U1131" s="631"/>
      <c r="V1131" s="631"/>
      <c r="W1131" s="631"/>
      <c r="X1131" s="631"/>
      <c r="Y1131" s="631"/>
      <c r="Z1131" s="631"/>
      <c r="AA1131" s="631"/>
      <c r="AB1131" s="631"/>
      <c r="AC1131" s="631"/>
    </row>
    <row r="1132">
      <c r="A1132" s="631"/>
      <c r="B1132" s="694"/>
      <c r="C1132" s="694"/>
      <c r="D1132" s="694"/>
      <c r="E1132" s="694"/>
      <c r="F1132" s="631"/>
      <c r="G1132" s="631"/>
      <c r="H1132" s="631"/>
      <c r="I1132" s="579"/>
      <c r="J1132" s="579"/>
      <c r="K1132" s="694"/>
      <c r="L1132" s="579"/>
      <c r="M1132" s="579"/>
      <c r="N1132" s="579"/>
      <c r="O1132" s="631"/>
      <c r="P1132" s="631"/>
      <c r="Q1132" s="631"/>
      <c r="R1132" s="631"/>
      <c r="S1132" s="631"/>
      <c r="T1132" s="631"/>
      <c r="U1132" s="631"/>
      <c r="V1132" s="631"/>
      <c r="W1132" s="631"/>
      <c r="X1132" s="631"/>
      <c r="Y1132" s="631"/>
      <c r="Z1132" s="631"/>
      <c r="AA1132" s="631"/>
      <c r="AB1132" s="631"/>
      <c r="AC1132" s="631"/>
    </row>
    <row r="1133">
      <c r="A1133" s="631"/>
      <c r="B1133" s="694"/>
      <c r="C1133" s="694"/>
      <c r="D1133" s="694"/>
      <c r="E1133" s="694"/>
      <c r="F1133" s="631"/>
      <c r="G1133" s="631"/>
      <c r="H1133" s="631"/>
      <c r="I1133" s="579"/>
      <c r="J1133" s="579"/>
      <c r="K1133" s="694"/>
      <c r="L1133" s="579"/>
      <c r="M1133" s="579"/>
      <c r="N1133" s="579"/>
      <c r="O1133" s="631"/>
      <c r="P1133" s="631"/>
      <c r="Q1133" s="631"/>
      <c r="R1133" s="631"/>
      <c r="S1133" s="631"/>
      <c r="T1133" s="631"/>
      <c r="U1133" s="631"/>
      <c r="V1133" s="631"/>
      <c r="W1133" s="631"/>
      <c r="X1133" s="631"/>
      <c r="Y1133" s="631"/>
      <c r="Z1133" s="631"/>
      <c r="AA1133" s="631"/>
      <c r="AB1133" s="631"/>
      <c r="AC1133" s="631"/>
    </row>
    <row r="1134">
      <c r="A1134" s="631"/>
      <c r="B1134" s="694"/>
      <c r="C1134" s="694"/>
      <c r="D1134" s="694"/>
      <c r="E1134" s="694"/>
      <c r="F1134" s="631"/>
      <c r="G1134" s="631"/>
      <c r="H1134" s="631"/>
      <c r="I1134" s="579"/>
      <c r="J1134" s="579"/>
      <c r="K1134" s="694"/>
      <c r="L1134" s="579"/>
      <c r="M1134" s="579"/>
      <c r="N1134" s="579"/>
      <c r="O1134" s="631"/>
      <c r="P1134" s="631"/>
      <c r="Q1134" s="631"/>
      <c r="R1134" s="631"/>
      <c r="S1134" s="631"/>
      <c r="T1134" s="631"/>
      <c r="U1134" s="631"/>
      <c r="V1134" s="631"/>
      <c r="W1134" s="631"/>
      <c r="X1134" s="631"/>
      <c r="Y1134" s="631"/>
      <c r="Z1134" s="631"/>
      <c r="AA1134" s="631"/>
      <c r="AB1134" s="631"/>
      <c r="AC1134" s="631"/>
    </row>
    <row r="1135">
      <c r="A1135" s="631"/>
      <c r="B1135" s="694"/>
      <c r="C1135" s="694"/>
      <c r="D1135" s="694"/>
      <c r="E1135" s="694"/>
      <c r="F1135" s="631"/>
      <c r="G1135" s="631"/>
      <c r="H1135" s="631"/>
      <c r="I1135" s="579"/>
      <c r="J1135" s="579"/>
      <c r="K1135" s="694"/>
      <c r="L1135" s="579"/>
      <c r="M1135" s="579"/>
      <c r="N1135" s="579"/>
      <c r="O1135" s="631"/>
      <c r="P1135" s="631"/>
      <c r="Q1135" s="631"/>
      <c r="R1135" s="631"/>
      <c r="S1135" s="631"/>
      <c r="T1135" s="631"/>
      <c r="U1135" s="631"/>
      <c r="V1135" s="631"/>
      <c r="W1135" s="631"/>
      <c r="X1135" s="631"/>
      <c r="Y1135" s="631"/>
      <c r="Z1135" s="631"/>
      <c r="AA1135" s="631"/>
      <c r="AB1135" s="631"/>
      <c r="AC1135" s="631"/>
    </row>
    <row r="1136">
      <c r="A1136" s="631"/>
      <c r="B1136" s="694"/>
      <c r="C1136" s="694"/>
      <c r="D1136" s="694"/>
      <c r="E1136" s="694"/>
      <c r="F1136" s="631"/>
      <c r="G1136" s="631"/>
      <c r="H1136" s="631"/>
      <c r="I1136" s="579"/>
      <c r="J1136" s="579"/>
      <c r="K1136" s="694"/>
      <c r="L1136" s="579"/>
      <c r="M1136" s="579"/>
      <c r="N1136" s="579"/>
      <c r="O1136" s="631"/>
      <c r="P1136" s="631"/>
      <c r="Q1136" s="631"/>
      <c r="R1136" s="631"/>
      <c r="S1136" s="631"/>
      <c r="T1136" s="631"/>
      <c r="U1136" s="631"/>
      <c r="V1136" s="631"/>
      <c r="W1136" s="631"/>
      <c r="X1136" s="631"/>
      <c r="Y1136" s="631"/>
      <c r="Z1136" s="631"/>
      <c r="AA1136" s="631"/>
      <c r="AB1136" s="631"/>
      <c r="AC1136" s="631"/>
    </row>
    <row r="1137">
      <c r="A1137" s="631"/>
      <c r="B1137" s="694"/>
      <c r="C1137" s="694"/>
      <c r="D1137" s="694"/>
      <c r="E1137" s="694"/>
      <c r="F1137" s="631"/>
      <c r="G1137" s="631"/>
      <c r="H1137" s="631"/>
      <c r="I1137" s="579"/>
      <c r="J1137" s="579"/>
      <c r="K1137" s="694"/>
      <c r="L1137" s="579"/>
      <c r="M1137" s="579"/>
      <c r="N1137" s="579"/>
      <c r="O1137" s="631"/>
      <c r="P1137" s="631"/>
      <c r="Q1137" s="631"/>
      <c r="R1137" s="631"/>
      <c r="S1137" s="631"/>
      <c r="T1137" s="631"/>
      <c r="U1137" s="631"/>
      <c r="V1137" s="631"/>
      <c r="W1137" s="631"/>
      <c r="X1137" s="631"/>
      <c r="Y1137" s="631"/>
      <c r="Z1137" s="631"/>
      <c r="AA1137" s="631"/>
      <c r="AB1137" s="631"/>
      <c r="AC1137" s="631"/>
    </row>
    <row r="1138">
      <c r="A1138" s="631"/>
      <c r="B1138" s="694"/>
      <c r="C1138" s="694"/>
      <c r="D1138" s="694"/>
      <c r="E1138" s="694"/>
      <c r="F1138" s="631"/>
      <c r="G1138" s="631"/>
      <c r="H1138" s="631"/>
      <c r="I1138" s="579"/>
      <c r="J1138" s="579"/>
      <c r="K1138" s="694"/>
      <c r="L1138" s="579"/>
      <c r="M1138" s="579"/>
      <c r="N1138" s="579"/>
      <c r="O1138" s="631"/>
      <c r="P1138" s="631"/>
      <c r="Q1138" s="631"/>
      <c r="R1138" s="631"/>
      <c r="S1138" s="631"/>
      <c r="T1138" s="631"/>
      <c r="U1138" s="631"/>
      <c r="V1138" s="631"/>
      <c r="W1138" s="631"/>
      <c r="X1138" s="631"/>
      <c r="Y1138" s="631"/>
      <c r="Z1138" s="631"/>
      <c r="AA1138" s="631"/>
      <c r="AB1138" s="631"/>
      <c r="AC1138" s="631"/>
    </row>
    <row r="1139">
      <c r="A1139" s="631"/>
      <c r="B1139" s="694"/>
      <c r="C1139" s="694"/>
      <c r="D1139" s="694"/>
      <c r="E1139" s="694"/>
      <c r="F1139" s="631"/>
      <c r="G1139" s="631"/>
      <c r="H1139" s="631"/>
      <c r="I1139" s="579"/>
      <c r="J1139" s="579"/>
      <c r="K1139" s="694"/>
      <c r="L1139" s="579"/>
      <c r="M1139" s="579"/>
      <c r="N1139" s="579"/>
      <c r="O1139" s="631"/>
      <c r="P1139" s="631"/>
      <c r="Q1139" s="631"/>
      <c r="R1139" s="631"/>
      <c r="S1139" s="631"/>
      <c r="T1139" s="631"/>
      <c r="U1139" s="631"/>
      <c r="V1139" s="631"/>
      <c r="W1139" s="631"/>
      <c r="X1139" s="631"/>
      <c r="Y1139" s="631"/>
      <c r="Z1139" s="631"/>
      <c r="AA1139" s="631"/>
      <c r="AB1139" s="631"/>
      <c r="AC1139" s="631"/>
    </row>
    <row r="1140">
      <c r="A1140" s="631"/>
      <c r="B1140" s="694"/>
      <c r="C1140" s="694"/>
      <c r="D1140" s="694"/>
      <c r="E1140" s="694"/>
      <c r="F1140" s="631"/>
      <c r="G1140" s="631"/>
      <c r="H1140" s="631"/>
      <c r="I1140" s="579"/>
      <c r="J1140" s="579"/>
      <c r="K1140" s="694"/>
      <c r="L1140" s="579"/>
      <c r="M1140" s="579"/>
      <c r="N1140" s="579"/>
      <c r="O1140" s="631"/>
      <c r="P1140" s="631"/>
      <c r="Q1140" s="631"/>
      <c r="R1140" s="631"/>
      <c r="S1140" s="631"/>
      <c r="T1140" s="631"/>
      <c r="U1140" s="631"/>
      <c r="V1140" s="631"/>
      <c r="W1140" s="631"/>
      <c r="X1140" s="631"/>
      <c r="Y1140" s="631"/>
      <c r="Z1140" s="631"/>
      <c r="AA1140" s="631"/>
      <c r="AB1140" s="631"/>
      <c r="AC1140" s="631"/>
    </row>
    <row r="1141">
      <c r="A1141" s="631"/>
      <c r="B1141" s="694"/>
      <c r="C1141" s="694"/>
      <c r="D1141" s="694"/>
      <c r="E1141" s="694"/>
      <c r="F1141" s="631"/>
      <c r="G1141" s="631"/>
      <c r="H1141" s="631"/>
      <c r="I1141" s="579"/>
      <c r="J1141" s="579"/>
      <c r="K1141" s="694"/>
      <c r="L1141" s="579"/>
      <c r="M1141" s="579"/>
      <c r="N1141" s="579"/>
      <c r="O1141" s="631"/>
      <c r="P1141" s="631"/>
      <c r="Q1141" s="631"/>
      <c r="R1141" s="631"/>
      <c r="S1141" s="631"/>
      <c r="T1141" s="631"/>
      <c r="U1141" s="631"/>
      <c r="V1141" s="631"/>
      <c r="W1141" s="631"/>
      <c r="X1141" s="631"/>
      <c r="Y1141" s="631"/>
      <c r="Z1141" s="631"/>
      <c r="AA1141" s="631"/>
      <c r="AB1141" s="631"/>
      <c r="AC1141" s="631"/>
    </row>
    <row r="1142">
      <c r="A1142" s="631"/>
      <c r="B1142" s="694"/>
      <c r="C1142" s="694"/>
      <c r="D1142" s="694"/>
      <c r="E1142" s="694"/>
      <c r="F1142" s="631"/>
      <c r="G1142" s="631"/>
      <c r="H1142" s="631"/>
      <c r="I1142" s="579"/>
      <c r="J1142" s="579"/>
      <c r="K1142" s="694"/>
      <c r="L1142" s="579"/>
      <c r="M1142" s="579"/>
      <c r="N1142" s="579"/>
      <c r="O1142" s="631"/>
      <c r="P1142" s="631"/>
      <c r="Q1142" s="631"/>
      <c r="R1142" s="631"/>
      <c r="S1142" s="631"/>
      <c r="T1142" s="631"/>
      <c r="U1142" s="631"/>
      <c r="V1142" s="631"/>
      <c r="W1142" s="631"/>
      <c r="X1142" s="631"/>
      <c r="Y1142" s="631"/>
      <c r="Z1142" s="631"/>
      <c r="AA1142" s="631"/>
      <c r="AB1142" s="631"/>
      <c r="AC1142" s="631"/>
    </row>
    <row r="1143">
      <c r="A1143" s="631"/>
      <c r="B1143" s="694"/>
      <c r="C1143" s="694"/>
      <c r="D1143" s="694"/>
      <c r="E1143" s="694"/>
      <c r="F1143" s="631"/>
      <c r="G1143" s="631"/>
      <c r="H1143" s="631"/>
      <c r="I1143" s="579"/>
      <c r="J1143" s="579"/>
      <c r="K1143" s="694"/>
      <c r="L1143" s="579"/>
      <c r="M1143" s="579"/>
      <c r="N1143" s="579"/>
      <c r="O1143" s="631"/>
      <c r="P1143" s="631"/>
      <c r="Q1143" s="631"/>
      <c r="R1143" s="631"/>
      <c r="S1143" s="631"/>
      <c r="T1143" s="631"/>
      <c r="U1143" s="631"/>
      <c r="V1143" s="631"/>
      <c r="W1143" s="631"/>
      <c r="X1143" s="631"/>
      <c r="Y1143" s="631"/>
      <c r="Z1143" s="631"/>
      <c r="AA1143" s="631"/>
      <c r="AB1143" s="631"/>
      <c r="AC1143" s="631"/>
    </row>
    <row r="1144">
      <c r="A1144" s="631"/>
      <c r="B1144" s="694"/>
      <c r="C1144" s="694"/>
      <c r="D1144" s="694"/>
      <c r="E1144" s="694"/>
      <c r="F1144" s="631"/>
      <c r="G1144" s="631"/>
      <c r="H1144" s="631"/>
      <c r="I1144" s="579"/>
      <c r="J1144" s="579"/>
      <c r="K1144" s="694"/>
      <c r="L1144" s="579"/>
      <c r="M1144" s="579"/>
      <c r="N1144" s="579"/>
      <c r="O1144" s="631"/>
      <c r="P1144" s="631"/>
      <c r="Q1144" s="631"/>
      <c r="R1144" s="631"/>
      <c r="S1144" s="631"/>
      <c r="T1144" s="631"/>
      <c r="U1144" s="631"/>
      <c r="V1144" s="631"/>
      <c r="W1144" s="631"/>
      <c r="X1144" s="631"/>
      <c r="Y1144" s="631"/>
      <c r="Z1144" s="631"/>
      <c r="AA1144" s="631"/>
      <c r="AB1144" s="631"/>
      <c r="AC1144" s="631"/>
    </row>
    <row r="1145">
      <c r="A1145" s="631"/>
      <c r="B1145" s="694"/>
      <c r="C1145" s="694"/>
      <c r="D1145" s="694"/>
      <c r="E1145" s="694"/>
      <c r="F1145" s="631"/>
      <c r="G1145" s="631"/>
      <c r="H1145" s="631"/>
      <c r="I1145" s="579"/>
      <c r="J1145" s="579"/>
      <c r="K1145" s="694"/>
      <c r="L1145" s="579"/>
      <c r="M1145" s="579"/>
      <c r="N1145" s="579"/>
      <c r="O1145" s="631"/>
      <c r="P1145" s="631"/>
      <c r="Q1145" s="631"/>
      <c r="R1145" s="631"/>
      <c r="S1145" s="631"/>
      <c r="T1145" s="631"/>
      <c r="U1145" s="631"/>
      <c r="V1145" s="631"/>
      <c r="W1145" s="631"/>
      <c r="X1145" s="631"/>
      <c r="Y1145" s="631"/>
      <c r="Z1145" s="631"/>
      <c r="AA1145" s="631"/>
      <c r="AB1145" s="631"/>
      <c r="AC1145" s="631"/>
    </row>
    <row r="1146">
      <c r="A1146" s="631"/>
      <c r="B1146" s="694"/>
      <c r="C1146" s="694"/>
      <c r="D1146" s="694"/>
      <c r="E1146" s="694"/>
      <c r="F1146" s="631"/>
      <c r="G1146" s="631"/>
      <c r="H1146" s="631"/>
      <c r="I1146" s="579"/>
      <c r="J1146" s="579"/>
      <c r="K1146" s="694"/>
      <c r="L1146" s="579"/>
      <c r="M1146" s="579"/>
      <c r="N1146" s="579"/>
      <c r="O1146" s="631"/>
      <c r="P1146" s="631"/>
      <c r="Q1146" s="631"/>
      <c r="R1146" s="631"/>
      <c r="S1146" s="631"/>
      <c r="T1146" s="631"/>
      <c r="U1146" s="631"/>
      <c r="V1146" s="631"/>
      <c r="W1146" s="631"/>
      <c r="X1146" s="631"/>
      <c r="Y1146" s="631"/>
      <c r="Z1146" s="631"/>
      <c r="AA1146" s="631"/>
      <c r="AB1146" s="631"/>
      <c r="AC1146" s="631"/>
    </row>
    <row r="1147">
      <c r="A1147" s="631"/>
      <c r="B1147" s="694"/>
      <c r="C1147" s="694"/>
      <c r="D1147" s="694"/>
      <c r="E1147" s="694"/>
      <c r="F1147" s="631"/>
      <c r="G1147" s="631"/>
      <c r="H1147" s="631"/>
      <c r="I1147" s="579"/>
      <c r="J1147" s="579"/>
      <c r="K1147" s="694"/>
      <c r="L1147" s="579"/>
      <c r="M1147" s="579"/>
      <c r="N1147" s="579"/>
      <c r="O1147" s="631"/>
      <c r="P1147" s="631"/>
      <c r="Q1147" s="631"/>
      <c r="R1147" s="631"/>
      <c r="S1147" s="631"/>
      <c r="T1147" s="631"/>
      <c r="U1147" s="631"/>
      <c r="V1147" s="631"/>
      <c r="W1147" s="631"/>
      <c r="X1147" s="631"/>
      <c r="Y1147" s="631"/>
      <c r="Z1147" s="631"/>
      <c r="AA1147" s="631"/>
      <c r="AB1147" s="631"/>
      <c r="AC1147" s="631"/>
    </row>
    <row r="1148">
      <c r="A1148" s="631"/>
      <c r="B1148" s="694"/>
      <c r="C1148" s="694"/>
      <c r="D1148" s="694"/>
      <c r="E1148" s="694"/>
      <c r="F1148" s="631"/>
      <c r="G1148" s="631"/>
      <c r="H1148" s="631"/>
      <c r="I1148" s="579"/>
      <c r="J1148" s="579"/>
      <c r="K1148" s="694"/>
      <c r="L1148" s="579"/>
      <c r="M1148" s="579"/>
      <c r="N1148" s="579"/>
      <c r="O1148" s="631"/>
      <c r="P1148" s="631"/>
      <c r="Q1148" s="631"/>
      <c r="R1148" s="631"/>
      <c r="S1148" s="631"/>
      <c r="T1148" s="631"/>
      <c r="U1148" s="631"/>
      <c r="V1148" s="631"/>
      <c r="W1148" s="631"/>
      <c r="X1148" s="631"/>
      <c r="Y1148" s="631"/>
      <c r="Z1148" s="631"/>
      <c r="AA1148" s="631"/>
      <c r="AB1148" s="631"/>
      <c r="AC1148" s="631"/>
    </row>
    <row r="1149">
      <c r="A1149" s="631"/>
      <c r="B1149" s="694"/>
      <c r="C1149" s="694"/>
      <c r="D1149" s="694"/>
      <c r="E1149" s="694"/>
      <c r="F1149" s="631"/>
      <c r="G1149" s="631"/>
      <c r="H1149" s="631"/>
      <c r="I1149" s="579"/>
      <c r="J1149" s="579"/>
      <c r="K1149" s="694"/>
      <c r="L1149" s="579"/>
      <c r="M1149" s="579"/>
      <c r="N1149" s="579"/>
      <c r="O1149" s="631"/>
      <c r="P1149" s="631"/>
      <c r="Q1149" s="631"/>
      <c r="R1149" s="631"/>
      <c r="S1149" s="631"/>
      <c r="T1149" s="631"/>
      <c r="U1149" s="631"/>
      <c r="V1149" s="631"/>
      <c r="W1149" s="631"/>
      <c r="X1149" s="631"/>
      <c r="Y1149" s="631"/>
      <c r="Z1149" s="631"/>
      <c r="AA1149" s="631"/>
      <c r="AB1149" s="631"/>
      <c r="AC1149" s="631"/>
    </row>
    <row r="1150">
      <c r="A1150" s="631"/>
      <c r="B1150" s="694"/>
      <c r="C1150" s="694"/>
      <c r="D1150" s="694"/>
      <c r="E1150" s="694"/>
      <c r="F1150" s="631"/>
      <c r="G1150" s="631"/>
      <c r="H1150" s="631"/>
      <c r="I1150" s="579"/>
      <c r="J1150" s="579"/>
      <c r="K1150" s="694"/>
      <c r="L1150" s="579"/>
      <c r="M1150" s="579"/>
      <c r="N1150" s="579"/>
      <c r="O1150" s="631"/>
      <c r="P1150" s="631"/>
      <c r="Q1150" s="631"/>
      <c r="R1150" s="631"/>
      <c r="S1150" s="631"/>
      <c r="T1150" s="631"/>
      <c r="U1150" s="631"/>
      <c r="V1150" s="631"/>
      <c r="W1150" s="631"/>
      <c r="X1150" s="631"/>
      <c r="Y1150" s="631"/>
      <c r="Z1150" s="631"/>
      <c r="AA1150" s="631"/>
      <c r="AB1150" s="631"/>
      <c r="AC1150" s="631"/>
    </row>
    <row r="1151">
      <c r="A1151" s="631"/>
      <c r="B1151" s="694"/>
      <c r="C1151" s="694"/>
      <c r="D1151" s="694"/>
      <c r="E1151" s="694"/>
      <c r="F1151" s="631"/>
      <c r="G1151" s="631"/>
      <c r="H1151" s="631"/>
      <c r="I1151" s="579"/>
      <c r="J1151" s="579"/>
      <c r="K1151" s="694"/>
      <c r="L1151" s="579"/>
      <c r="M1151" s="579"/>
      <c r="N1151" s="579"/>
      <c r="O1151" s="631"/>
      <c r="P1151" s="631"/>
      <c r="Q1151" s="631"/>
      <c r="R1151" s="631"/>
      <c r="S1151" s="631"/>
      <c r="T1151" s="631"/>
      <c r="U1151" s="631"/>
      <c r="V1151" s="631"/>
      <c r="W1151" s="631"/>
      <c r="X1151" s="631"/>
      <c r="Y1151" s="631"/>
      <c r="Z1151" s="631"/>
      <c r="AA1151" s="631"/>
      <c r="AB1151" s="631"/>
      <c r="AC1151" s="631"/>
    </row>
    <row r="1152">
      <c r="A1152" s="631"/>
      <c r="B1152" s="694"/>
      <c r="C1152" s="694"/>
      <c r="D1152" s="694"/>
      <c r="E1152" s="694"/>
      <c r="F1152" s="631"/>
      <c r="G1152" s="631"/>
      <c r="H1152" s="631"/>
      <c r="I1152" s="579"/>
      <c r="J1152" s="579"/>
      <c r="K1152" s="694"/>
      <c r="L1152" s="579"/>
      <c r="M1152" s="579"/>
      <c r="N1152" s="579"/>
      <c r="O1152" s="631"/>
      <c r="P1152" s="631"/>
      <c r="Q1152" s="631"/>
      <c r="R1152" s="631"/>
      <c r="S1152" s="631"/>
      <c r="T1152" s="631"/>
      <c r="U1152" s="631"/>
      <c r="V1152" s="631"/>
      <c r="W1152" s="631"/>
      <c r="X1152" s="631"/>
      <c r="Y1152" s="631"/>
      <c r="Z1152" s="631"/>
      <c r="AA1152" s="631"/>
      <c r="AB1152" s="631"/>
      <c r="AC1152" s="631"/>
    </row>
    <row r="1153">
      <c r="A1153" s="631"/>
      <c r="B1153" s="694"/>
      <c r="C1153" s="694"/>
      <c r="D1153" s="694"/>
      <c r="E1153" s="694"/>
      <c r="F1153" s="631"/>
      <c r="G1153" s="631"/>
      <c r="H1153" s="631"/>
      <c r="I1153" s="579"/>
      <c r="J1153" s="579"/>
      <c r="K1153" s="694"/>
      <c r="L1153" s="579"/>
      <c r="M1153" s="579"/>
      <c r="N1153" s="579"/>
      <c r="O1153" s="631"/>
      <c r="P1153" s="631"/>
      <c r="Q1153" s="631"/>
      <c r="R1153" s="631"/>
      <c r="S1153" s="631"/>
      <c r="T1153" s="631"/>
      <c r="U1153" s="631"/>
      <c r="V1153" s="631"/>
      <c r="W1153" s="631"/>
      <c r="X1153" s="631"/>
      <c r="Y1153" s="631"/>
      <c r="Z1153" s="631"/>
      <c r="AA1153" s="631"/>
      <c r="AB1153" s="631"/>
      <c r="AC1153" s="631"/>
    </row>
    <row r="1154">
      <c r="A1154" s="631"/>
      <c r="B1154" s="694"/>
      <c r="C1154" s="694"/>
      <c r="D1154" s="694"/>
      <c r="E1154" s="694"/>
      <c r="F1154" s="631"/>
      <c r="G1154" s="631"/>
      <c r="H1154" s="631"/>
      <c r="I1154" s="579"/>
      <c r="J1154" s="579"/>
      <c r="K1154" s="694"/>
      <c r="L1154" s="579"/>
      <c r="M1154" s="579"/>
      <c r="N1154" s="579"/>
      <c r="O1154" s="631"/>
      <c r="P1154" s="631"/>
      <c r="Q1154" s="631"/>
      <c r="R1154" s="631"/>
      <c r="S1154" s="631"/>
      <c r="T1154" s="631"/>
      <c r="U1154" s="631"/>
      <c r="V1154" s="631"/>
      <c r="W1154" s="631"/>
      <c r="X1154" s="631"/>
      <c r="Y1154" s="631"/>
      <c r="Z1154" s="631"/>
      <c r="AA1154" s="631"/>
      <c r="AB1154" s="631"/>
      <c r="AC1154" s="631"/>
    </row>
    <row r="1155">
      <c r="A1155" s="631"/>
      <c r="B1155" s="694"/>
      <c r="C1155" s="694"/>
      <c r="D1155" s="694"/>
      <c r="E1155" s="694"/>
      <c r="F1155" s="631"/>
      <c r="G1155" s="631"/>
      <c r="H1155" s="631"/>
      <c r="I1155" s="579"/>
      <c r="J1155" s="579"/>
      <c r="K1155" s="694"/>
      <c r="L1155" s="579"/>
      <c r="M1155" s="579"/>
      <c r="N1155" s="579"/>
      <c r="O1155" s="631"/>
      <c r="P1155" s="631"/>
      <c r="Q1155" s="631"/>
      <c r="R1155" s="631"/>
      <c r="S1155" s="631"/>
      <c r="T1155" s="631"/>
      <c r="U1155" s="631"/>
      <c r="V1155" s="631"/>
      <c r="W1155" s="631"/>
      <c r="X1155" s="631"/>
      <c r="Y1155" s="631"/>
      <c r="Z1155" s="631"/>
      <c r="AA1155" s="631"/>
      <c r="AB1155" s="631"/>
      <c r="AC1155" s="631"/>
    </row>
    <row r="1156">
      <c r="A1156" s="631"/>
      <c r="B1156" s="694"/>
      <c r="C1156" s="694"/>
      <c r="D1156" s="694"/>
      <c r="E1156" s="694"/>
      <c r="F1156" s="631"/>
      <c r="G1156" s="631"/>
      <c r="H1156" s="631"/>
      <c r="I1156" s="579"/>
      <c r="J1156" s="579"/>
      <c r="K1156" s="694"/>
      <c r="L1156" s="579"/>
      <c r="M1156" s="579"/>
      <c r="N1156" s="579"/>
      <c r="O1156" s="631"/>
      <c r="P1156" s="631"/>
      <c r="Q1156" s="631"/>
      <c r="R1156" s="631"/>
      <c r="S1156" s="631"/>
      <c r="T1156" s="631"/>
      <c r="U1156" s="631"/>
      <c r="V1156" s="631"/>
      <c r="W1156" s="631"/>
      <c r="X1156" s="631"/>
      <c r="Y1156" s="631"/>
      <c r="Z1156" s="631"/>
      <c r="AA1156" s="631"/>
      <c r="AB1156" s="631"/>
      <c r="AC1156" s="631"/>
    </row>
    <row r="1157">
      <c r="A1157" s="631"/>
      <c r="B1157" s="694"/>
      <c r="C1157" s="694"/>
      <c r="D1157" s="694"/>
      <c r="E1157" s="694"/>
      <c r="F1157" s="631"/>
      <c r="G1157" s="631"/>
      <c r="H1157" s="631"/>
      <c r="I1157" s="579"/>
      <c r="J1157" s="579"/>
      <c r="K1157" s="694"/>
      <c r="L1157" s="579"/>
      <c r="M1157" s="579"/>
      <c r="N1157" s="579"/>
      <c r="O1157" s="631"/>
      <c r="P1157" s="631"/>
      <c r="Q1157" s="631"/>
      <c r="R1157" s="631"/>
      <c r="S1157" s="631"/>
      <c r="T1157" s="631"/>
      <c r="U1157" s="631"/>
      <c r="V1157" s="631"/>
      <c r="W1157" s="631"/>
      <c r="X1157" s="631"/>
      <c r="Y1157" s="631"/>
      <c r="Z1157" s="631"/>
      <c r="AA1157" s="631"/>
      <c r="AB1157" s="631"/>
      <c r="AC1157" s="631"/>
    </row>
    <row r="1158">
      <c r="A1158" s="631"/>
      <c r="B1158" s="694"/>
      <c r="C1158" s="694"/>
      <c r="D1158" s="694"/>
      <c r="E1158" s="694"/>
      <c r="F1158" s="631"/>
      <c r="G1158" s="631"/>
      <c r="H1158" s="631"/>
      <c r="I1158" s="579"/>
      <c r="J1158" s="579"/>
      <c r="K1158" s="694"/>
      <c r="L1158" s="579"/>
      <c r="M1158" s="579"/>
      <c r="N1158" s="579"/>
      <c r="O1158" s="631"/>
      <c r="P1158" s="631"/>
      <c r="Q1158" s="631"/>
      <c r="R1158" s="631"/>
      <c r="S1158" s="631"/>
      <c r="T1158" s="631"/>
      <c r="U1158" s="631"/>
      <c r="V1158" s="631"/>
      <c r="W1158" s="631"/>
      <c r="X1158" s="631"/>
      <c r="Y1158" s="631"/>
      <c r="Z1158" s="631"/>
      <c r="AA1158" s="631"/>
      <c r="AB1158" s="631"/>
      <c r="AC1158" s="631"/>
    </row>
    <row r="1159">
      <c r="A1159" s="631"/>
      <c r="B1159" s="694"/>
      <c r="C1159" s="694"/>
      <c r="D1159" s="694"/>
      <c r="E1159" s="694"/>
      <c r="F1159" s="631"/>
      <c r="G1159" s="631"/>
      <c r="H1159" s="631"/>
      <c r="I1159" s="579"/>
      <c r="J1159" s="579"/>
      <c r="K1159" s="694"/>
      <c r="L1159" s="579"/>
      <c r="M1159" s="579"/>
      <c r="N1159" s="579"/>
      <c r="O1159" s="631"/>
      <c r="P1159" s="631"/>
      <c r="Q1159" s="631"/>
      <c r="R1159" s="631"/>
      <c r="S1159" s="631"/>
      <c r="T1159" s="631"/>
      <c r="U1159" s="631"/>
      <c r="V1159" s="631"/>
      <c r="W1159" s="631"/>
      <c r="X1159" s="631"/>
      <c r="Y1159" s="631"/>
      <c r="Z1159" s="631"/>
      <c r="AA1159" s="631"/>
      <c r="AB1159" s="631"/>
      <c r="AC1159" s="631"/>
    </row>
    <row r="1160">
      <c r="A1160" s="631"/>
      <c r="B1160" s="694"/>
      <c r="C1160" s="694"/>
      <c r="D1160" s="694"/>
      <c r="E1160" s="694"/>
      <c r="F1160" s="631"/>
      <c r="G1160" s="631"/>
      <c r="H1160" s="631"/>
      <c r="I1160" s="579"/>
      <c r="J1160" s="579"/>
      <c r="K1160" s="694"/>
      <c r="L1160" s="579"/>
      <c r="M1160" s="579"/>
      <c r="N1160" s="579"/>
      <c r="O1160" s="631"/>
      <c r="P1160" s="631"/>
      <c r="Q1160" s="631"/>
      <c r="R1160" s="631"/>
      <c r="S1160" s="631"/>
      <c r="T1160" s="631"/>
      <c r="U1160" s="631"/>
      <c r="V1160" s="631"/>
      <c r="W1160" s="631"/>
      <c r="X1160" s="631"/>
      <c r="Y1160" s="631"/>
      <c r="Z1160" s="631"/>
      <c r="AA1160" s="631"/>
      <c r="AB1160" s="631"/>
      <c r="AC1160" s="631"/>
    </row>
    <row r="1161">
      <c r="A1161" s="631"/>
      <c r="B1161" s="694"/>
      <c r="C1161" s="694"/>
      <c r="D1161" s="694"/>
      <c r="E1161" s="694"/>
      <c r="F1161" s="631"/>
      <c r="G1161" s="631"/>
      <c r="H1161" s="631"/>
      <c r="I1161" s="579"/>
      <c r="J1161" s="579"/>
      <c r="K1161" s="694"/>
      <c r="L1161" s="579"/>
      <c r="M1161" s="579"/>
      <c r="N1161" s="579"/>
      <c r="O1161" s="631"/>
      <c r="P1161" s="631"/>
      <c r="Q1161" s="631"/>
      <c r="R1161" s="631"/>
      <c r="S1161" s="631"/>
      <c r="T1161" s="631"/>
      <c r="U1161" s="631"/>
      <c r="V1161" s="631"/>
      <c r="W1161" s="631"/>
      <c r="X1161" s="631"/>
      <c r="Y1161" s="631"/>
      <c r="Z1161" s="631"/>
      <c r="AA1161" s="631"/>
      <c r="AB1161" s="631"/>
      <c r="AC1161" s="631"/>
    </row>
    <row r="1162">
      <c r="A1162" s="631"/>
      <c r="B1162" s="694"/>
      <c r="C1162" s="694"/>
      <c r="D1162" s="694"/>
      <c r="E1162" s="694"/>
      <c r="F1162" s="631"/>
      <c r="G1162" s="631"/>
      <c r="H1162" s="631"/>
      <c r="I1162" s="579"/>
      <c r="J1162" s="579"/>
      <c r="K1162" s="694"/>
      <c r="L1162" s="579"/>
      <c r="M1162" s="579"/>
      <c r="N1162" s="579"/>
      <c r="O1162" s="631"/>
      <c r="P1162" s="631"/>
      <c r="Q1162" s="631"/>
      <c r="R1162" s="631"/>
      <c r="S1162" s="631"/>
      <c r="T1162" s="631"/>
      <c r="U1162" s="631"/>
      <c r="V1162" s="631"/>
      <c r="W1162" s="631"/>
      <c r="X1162" s="631"/>
      <c r="Y1162" s="631"/>
      <c r="Z1162" s="631"/>
      <c r="AA1162" s="631"/>
      <c r="AB1162" s="631"/>
      <c r="AC1162" s="631"/>
    </row>
    <row r="1163">
      <c r="A1163" s="631"/>
      <c r="B1163" s="694"/>
      <c r="C1163" s="694"/>
      <c r="D1163" s="694"/>
      <c r="E1163" s="694"/>
      <c r="F1163" s="631"/>
      <c r="G1163" s="631"/>
      <c r="H1163" s="631"/>
      <c r="I1163" s="579"/>
      <c r="J1163" s="579"/>
      <c r="K1163" s="694"/>
      <c r="L1163" s="579"/>
      <c r="M1163" s="579"/>
      <c r="N1163" s="579"/>
      <c r="O1163" s="631"/>
      <c r="P1163" s="631"/>
      <c r="Q1163" s="631"/>
      <c r="R1163" s="631"/>
      <c r="S1163" s="631"/>
      <c r="T1163" s="631"/>
      <c r="U1163" s="631"/>
      <c r="V1163" s="631"/>
      <c r="W1163" s="631"/>
      <c r="X1163" s="631"/>
      <c r="Y1163" s="631"/>
      <c r="Z1163" s="631"/>
      <c r="AA1163" s="631"/>
      <c r="AB1163" s="631"/>
      <c r="AC1163" s="631"/>
    </row>
    <row r="1164">
      <c r="A1164" s="631"/>
      <c r="B1164" s="694"/>
      <c r="C1164" s="694"/>
      <c r="D1164" s="694"/>
      <c r="E1164" s="694"/>
      <c r="F1164" s="631"/>
      <c r="G1164" s="631"/>
      <c r="H1164" s="631"/>
      <c r="I1164" s="579"/>
      <c r="J1164" s="579"/>
      <c r="K1164" s="694"/>
      <c r="L1164" s="579"/>
      <c r="M1164" s="579"/>
      <c r="N1164" s="579"/>
      <c r="O1164" s="631"/>
      <c r="P1164" s="631"/>
      <c r="Q1164" s="631"/>
      <c r="R1164" s="631"/>
      <c r="S1164" s="631"/>
      <c r="T1164" s="631"/>
      <c r="U1164" s="631"/>
      <c r="V1164" s="631"/>
      <c r="W1164" s="631"/>
      <c r="X1164" s="631"/>
      <c r="Y1164" s="631"/>
      <c r="Z1164" s="631"/>
      <c r="AA1164" s="631"/>
      <c r="AB1164" s="631"/>
      <c r="AC1164" s="631"/>
    </row>
    <row r="1165">
      <c r="A1165" s="631"/>
      <c r="B1165" s="694"/>
      <c r="C1165" s="694"/>
      <c r="D1165" s="694"/>
      <c r="E1165" s="694"/>
      <c r="F1165" s="631"/>
      <c r="G1165" s="631"/>
      <c r="H1165" s="631"/>
      <c r="I1165" s="579"/>
      <c r="J1165" s="579"/>
      <c r="K1165" s="694"/>
      <c r="L1165" s="579"/>
      <c r="M1165" s="579"/>
      <c r="N1165" s="579"/>
      <c r="O1165" s="631"/>
      <c r="P1165" s="631"/>
      <c r="Q1165" s="631"/>
      <c r="R1165" s="631"/>
      <c r="S1165" s="631"/>
      <c r="T1165" s="631"/>
      <c r="U1165" s="631"/>
      <c r="V1165" s="631"/>
      <c r="W1165" s="631"/>
      <c r="X1165" s="631"/>
      <c r="Y1165" s="631"/>
      <c r="Z1165" s="631"/>
      <c r="AA1165" s="631"/>
      <c r="AB1165" s="631"/>
      <c r="AC1165" s="631"/>
    </row>
    <row r="1166">
      <c r="A1166" s="631"/>
      <c r="B1166" s="694"/>
      <c r="C1166" s="694"/>
      <c r="D1166" s="694"/>
      <c r="E1166" s="694"/>
      <c r="F1166" s="631"/>
      <c r="G1166" s="631"/>
      <c r="H1166" s="631"/>
      <c r="I1166" s="579"/>
      <c r="J1166" s="579"/>
      <c r="K1166" s="694"/>
      <c r="L1166" s="579"/>
      <c r="M1166" s="579"/>
      <c r="N1166" s="579"/>
      <c r="O1166" s="631"/>
      <c r="P1166" s="631"/>
      <c r="Q1166" s="631"/>
      <c r="R1166" s="631"/>
      <c r="S1166" s="631"/>
      <c r="T1166" s="631"/>
      <c r="U1166" s="631"/>
      <c r="V1166" s="631"/>
      <c r="W1166" s="631"/>
      <c r="X1166" s="631"/>
      <c r="Y1166" s="631"/>
      <c r="Z1166" s="631"/>
      <c r="AA1166" s="631"/>
      <c r="AB1166" s="631"/>
      <c r="AC1166" s="631"/>
    </row>
    <row r="1167">
      <c r="A1167" s="631"/>
      <c r="B1167" s="694"/>
      <c r="C1167" s="694"/>
      <c r="D1167" s="694"/>
      <c r="E1167" s="694"/>
      <c r="F1167" s="631"/>
      <c r="G1167" s="631"/>
      <c r="H1167" s="631"/>
      <c r="I1167" s="579"/>
      <c r="J1167" s="579"/>
      <c r="K1167" s="694"/>
      <c r="L1167" s="579"/>
      <c r="M1167" s="579"/>
      <c r="N1167" s="579"/>
      <c r="O1167" s="631"/>
      <c r="P1167" s="631"/>
      <c r="Q1167" s="631"/>
      <c r="R1167" s="631"/>
      <c r="S1167" s="631"/>
      <c r="T1167" s="631"/>
      <c r="U1167" s="631"/>
      <c r="V1167" s="631"/>
      <c r="W1167" s="631"/>
      <c r="X1167" s="631"/>
      <c r="Y1167" s="631"/>
      <c r="Z1167" s="631"/>
      <c r="AA1167" s="631"/>
      <c r="AB1167" s="631"/>
      <c r="AC1167" s="631"/>
    </row>
    <row r="1168">
      <c r="A1168" s="631"/>
      <c r="B1168" s="694"/>
      <c r="C1168" s="694"/>
      <c r="D1168" s="694"/>
      <c r="E1168" s="694"/>
      <c r="F1168" s="631"/>
      <c r="G1168" s="631"/>
      <c r="H1168" s="631"/>
      <c r="I1168" s="579"/>
      <c r="J1168" s="579"/>
      <c r="K1168" s="694"/>
      <c r="L1168" s="579"/>
      <c r="M1168" s="579"/>
      <c r="N1168" s="579"/>
      <c r="O1168" s="631"/>
      <c r="P1168" s="631"/>
      <c r="Q1168" s="631"/>
      <c r="R1168" s="631"/>
      <c r="S1168" s="631"/>
      <c r="T1168" s="631"/>
      <c r="U1168" s="631"/>
      <c r="V1168" s="631"/>
      <c r="W1168" s="631"/>
      <c r="X1168" s="631"/>
      <c r="Y1168" s="631"/>
      <c r="Z1168" s="631"/>
      <c r="AA1168" s="631"/>
      <c r="AB1168" s="631"/>
      <c r="AC1168" s="631"/>
    </row>
    <row r="1169">
      <c r="A1169" s="631"/>
      <c r="B1169" s="694"/>
      <c r="C1169" s="694"/>
      <c r="D1169" s="694"/>
      <c r="E1169" s="694"/>
      <c r="F1169" s="631"/>
      <c r="G1169" s="631"/>
      <c r="H1169" s="631"/>
      <c r="I1169" s="579"/>
      <c r="J1169" s="579"/>
      <c r="K1169" s="694"/>
      <c r="L1169" s="579"/>
      <c r="M1169" s="579"/>
      <c r="N1169" s="579"/>
      <c r="O1169" s="631"/>
      <c r="P1169" s="631"/>
      <c r="Q1169" s="631"/>
      <c r="R1169" s="631"/>
      <c r="S1169" s="631"/>
      <c r="T1169" s="631"/>
      <c r="U1169" s="631"/>
      <c r="V1169" s="631"/>
      <c r="W1169" s="631"/>
      <c r="X1169" s="631"/>
      <c r="Y1169" s="631"/>
      <c r="Z1169" s="631"/>
      <c r="AA1169" s="631"/>
      <c r="AB1169" s="631"/>
      <c r="AC1169" s="631"/>
    </row>
    <row r="1170">
      <c r="A1170" s="631"/>
      <c r="B1170" s="694"/>
      <c r="C1170" s="694"/>
      <c r="D1170" s="694"/>
      <c r="E1170" s="694"/>
      <c r="F1170" s="631"/>
      <c r="G1170" s="631"/>
      <c r="H1170" s="631"/>
      <c r="I1170" s="579"/>
      <c r="J1170" s="579"/>
      <c r="K1170" s="694"/>
      <c r="L1170" s="579"/>
      <c r="M1170" s="579"/>
      <c r="N1170" s="579"/>
      <c r="O1170" s="631"/>
      <c r="P1170" s="631"/>
      <c r="Q1170" s="631"/>
      <c r="R1170" s="631"/>
      <c r="S1170" s="631"/>
      <c r="T1170" s="631"/>
      <c r="U1170" s="631"/>
      <c r="V1170" s="631"/>
      <c r="W1170" s="631"/>
      <c r="X1170" s="631"/>
      <c r="Y1170" s="631"/>
      <c r="Z1170" s="631"/>
      <c r="AA1170" s="631"/>
      <c r="AB1170" s="631"/>
      <c r="AC1170" s="631"/>
    </row>
    <row r="1171">
      <c r="A1171" s="631"/>
      <c r="B1171" s="694"/>
      <c r="C1171" s="694"/>
      <c r="D1171" s="694"/>
      <c r="E1171" s="694"/>
      <c r="F1171" s="631"/>
      <c r="G1171" s="631"/>
      <c r="H1171" s="631"/>
      <c r="I1171" s="579"/>
      <c r="J1171" s="579"/>
      <c r="K1171" s="694"/>
      <c r="L1171" s="579"/>
      <c r="M1171" s="579"/>
      <c r="N1171" s="579"/>
      <c r="O1171" s="631"/>
      <c r="P1171" s="631"/>
      <c r="Q1171" s="631"/>
      <c r="R1171" s="631"/>
      <c r="S1171" s="631"/>
      <c r="T1171" s="631"/>
      <c r="U1171" s="631"/>
      <c r="V1171" s="631"/>
      <c r="W1171" s="631"/>
      <c r="X1171" s="631"/>
      <c r="Y1171" s="631"/>
      <c r="Z1171" s="631"/>
      <c r="AA1171" s="631"/>
      <c r="AB1171" s="631"/>
      <c r="AC1171" s="631"/>
    </row>
    <row r="1172">
      <c r="A1172" s="631"/>
      <c r="B1172" s="694"/>
      <c r="C1172" s="694"/>
      <c r="D1172" s="694"/>
      <c r="E1172" s="694"/>
      <c r="F1172" s="631"/>
      <c r="G1172" s="631"/>
      <c r="H1172" s="631"/>
      <c r="I1172" s="579"/>
      <c r="J1172" s="579"/>
      <c r="K1172" s="694"/>
      <c r="L1172" s="579"/>
      <c r="M1172" s="579"/>
      <c r="N1172" s="579"/>
      <c r="O1172" s="631"/>
      <c r="P1172" s="631"/>
      <c r="Q1172" s="631"/>
      <c r="R1172" s="631"/>
      <c r="S1172" s="631"/>
      <c r="T1172" s="631"/>
      <c r="U1172" s="631"/>
      <c r="V1172" s="631"/>
      <c r="W1172" s="631"/>
      <c r="X1172" s="631"/>
      <c r="Y1172" s="631"/>
      <c r="Z1172" s="631"/>
      <c r="AA1172" s="631"/>
      <c r="AB1172" s="631"/>
      <c r="AC1172" s="631"/>
    </row>
    <row r="1173">
      <c r="A1173" s="631"/>
      <c r="B1173" s="694"/>
      <c r="C1173" s="694"/>
      <c r="D1173" s="694"/>
      <c r="E1173" s="694"/>
      <c r="F1173" s="631"/>
      <c r="G1173" s="631"/>
      <c r="H1173" s="631"/>
      <c r="I1173" s="579"/>
      <c r="J1173" s="579"/>
      <c r="K1173" s="694"/>
      <c r="L1173" s="579"/>
      <c r="M1173" s="579"/>
      <c r="N1173" s="579"/>
      <c r="O1173" s="631"/>
      <c r="P1173" s="631"/>
      <c r="Q1173" s="631"/>
      <c r="R1173" s="631"/>
      <c r="S1173" s="631"/>
      <c r="T1173" s="631"/>
      <c r="U1173" s="631"/>
      <c r="V1173" s="631"/>
      <c r="W1173" s="631"/>
      <c r="X1173" s="631"/>
      <c r="Y1173" s="631"/>
      <c r="Z1173" s="631"/>
      <c r="AA1173" s="631"/>
      <c r="AB1173" s="631"/>
      <c r="AC1173" s="631"/>
    </row>
    <row r="1174">
      <c r="A1174" s="631"/>
      <c r="B1174" s="694"/>
      <c r="C1174" s="694"/>
      <c r="D1174" s="694"/>
      <c r="E1174" s="694"/>
      <c r="F1174" s="631"/>
      <c r="G1174" s="631"/>
      <c r="H1174" s="631"/>
      <c r="I1174" s="579"/>
      <c r="J1174" s="579"/>
      <c r="K1174" s="694"/>
      <c r="L1174" s="579"/>
      <c r="M1174" s="579"/>
      <c r="N1174" s="579"/>
      <c r="O1174" s="631"/>
      <c r="P1174" s="631"/>
      <c r="Q1174" s="631"/>
      <c r="R1174" s="631"/>
      <c r="S1174" s="631"/>
      <c r="T1174" s="631"/>
      <c r="U1174" s="631"/>
      <c r="V1174" s="631"/>
      <c r="W1174" s="631"/>
      <c r="X1174" s="631"/>
      <c r="Y1174" s="631"/>
      <c r="Z1174" s="631"/>
      <c r="AA1174" s="631"/>
      <c r="AB1174" s="631"/>
      <c r="AC1174" s="631"/>
    </row>
    <row r="1175">
      <c r="A1175" s="631"/>
      <c r="B1175" s="694"/>
      <c r="C1175" s="694"/>
      <c r="D1175" s="694"/>
      <c r="E1175" s="694"/>
      <c r="F1175" s="631"/>
      <c r="G1175" s="631"/>
      <c r="H1175" s="631"/>
      <c r="I1175" s="579"/>
      <c r="J1175" s="579"/>
      <c r="K1175" s="694"/>
      <c r="L1175" s="579"/>
      <c r="M1175" s="579"/>
      <c r="N1175" s="579"/>
      <c r="O1175" s="631"/>
      <c r="P1175" s="631"/>
      <c r="Q1175" s="631"/>
      <c r="R1175" s="631"/>
      <c r="S1175" s="631"/>
      <c r="T1175" s="631"/>
      <c r="U1175" s="631"/>
      <c r="V1175" s="631"/>
      <c r="W1175" s="631"/>
      <c r="X1175" s="631"/>
      <c r="Y1175" s="631"/>
      <c r="Z1175" s="631"/>
      <c r="AA1175" s="631"/>
      <c r="AB1175" s="631"/>
      <c r="AC1175" s="631"/>
    </row>
    <row r="1176">
      <c r="A1176" s="631"/>
      <c r="B1176" s="694"/>
      <c r="C1176" s="694"/>
      <c r="D1176" s="694"/>
      <c r="E1176" s="694"/>
      <c r="F1176" s="631"/>
      <c r="G1176" s="631"/>
      <c r="H1176" s="631"/>
      <c r="I1176" s="579"/>
      <c r="J1176" s="579"/>
      <c r="K1176" s="694"/>
      <c r="L1176" s="579"/>
      <c r="M1176" s="579"/>
      <c r="N1176" s="579"/>
      <c r="O1176" s="631"/>
      <c r="P1176" s="631"/>
      <c r="Q1176" s="631"/>
      <c r="R1176" s="631"/>
      <c r="S1176" s="631"/>
      <c r="T1176" s="631"/>
      <c r="U1176" s="631"/>
      <c r="V1176" s="631"/>
      <c r="W1176" s="631"/>
      <c r="X1176" s="631"/>
      <c r="Y1176" s="631"/>
      <c r="Z1176" s="631"/>
      <c r="AA1176" s="631"/>
      <c r="AB1176" s="631"/>
      <c r="AC1176" s="631"/>
    </row>
    <row r="1177">
      <c r="A1177" s="631"/>
      <c r="B1177" s="694"/>
      <c r="C1177" s="694"/>
      <c r="D1177" s="694"/>
      <c r="E1177" s="694"/>
      <c r="F1177" s="631"/>
      <c r="G1177" s="631"/>
      <c r="H1177" s="631"/>
      <c r="I1177" s="579"/>
      <c r="J1177" s="579"/>
      <c r="K1177" s="694"/>
      <c r="L1177" s="579"/>
      <c r="M1177" s="579"/>
      <c r="N1177" s="579"/>
      <c r="O1177" s="631"/>
      <c r="P1177" s="631"/>
      <c r="Q1177" s="631"/>
      <c r="R1177" s="631"/>
      <c r="S1177" s="631"/>
      <c r="T1177" s="631"/>
      <c r="U1177" s="631"/>
      <c r="V1177" s="631"/>
      <c r="W1177" s="631"/>
      <c r="X1177" s="631"/>
      <c r="Y1177" s="631"/>
      <c r="Z1177" s="631"/>
      <c r="AA1177" s="631"/>
      <c r="AB1177" s="631"/>
      <c r="AC1177" s="631"/>
    </row>
    <row r="1178">
      <c r="A1178" s="631"/>
      <c r="B1178" s="694"/>
      <c r="C1178" s="694"/>
      <c r="D1178" s="694"/>
      <c r="E1178" s="694"/>
      <c r="F1178" s="631"/>
      <c r="G1178" s="631"/>
      <c r="H1178" s="631"/>
      <c r="I1178" s="579"/>
      <c r="J1178" s="579"/>
      <c r="K1178" s="694"/>
      <c r="L1178" s="579"/>
      <c r="M1178" s="579"/>
      <c r="N1178" s="579"/>
      <c r="O1178" s="631"/>
      <c r="P1178" s="631"/>
      <c r="Q1178" s="631"/>
      <c r="R1178" s="631"/>
      <c r="S1178" s="631"/>
      <c r="T1178" s="631"/>
      <c r="U1178" s="631"/>
      <c r="V1178" s="631"/>
      <c r="W1178" s="631"/>
      <c r="X1178" s="631"/>
      <c r="Y1178" s="631"/>
      <c r="Z1178" s="631"/>
      <c r="AA1178" s="631"/>
      <c r="AB1178" s="631"/>
      <c r="AC1178" s="631"/>
    </row>
    <row r="1179">
      <c r="A1179" s="631"/>
      <c r="B1179" s="694"/>
      <c r="C1179" s="694"/>
      <c r="D1179" s="694"/>
      <c r="E1179" s="694"/>
      <c r="F1179" s="631"/>
      <c r="G1179" s="631"/>
      <c r="H1179" s="631"/>
      <c r="I1179" s="579"/>
      <c r="J1179" s="579"/>
      <c r="K1179" s="694"/>
      <c r="L1179" s="579"/>
      <c r="M1179" s="579"/>
      <c r="N1179" s="579"/>
      <c r="O1179" s="631"/>
      <c r="P1179" s="631"/>
      <c r="Q1179" s="631"/>
      <c r="R1179" s="631"/>
      <c r="S1179" s="631"/>
      <c r="T1179" s="631"/>
      <c r="U1179" s="631"/>
      <c r="V1179" s="631"/>
      <c r="W1179" s="631"/>
      <c r="X1179" s="631"/>
      <c r="Y1179" s="631"/>
      <c r="Z1179" s="631"/>
      <c r="AA1179" s="631"/>
      <c r="AB1179" s="631"/>
      <c r="AC1179" s="631"/>
    </row>
    <row r="1180">
      <c r="A1180" s="631"/>
      <c r="B1180" s="694"/>
      <c r="C1180" s="694"/>
      <c r="D1180" s="694"/>
      <c r="E1180" s="694"/>
      <c r="F1180" s="631"/>
      <c r="G1180" s="631"/>
      <c r="H1180" s="631"/>
      <c r="I1180" s="579"/>
      <c r="J1180" s="579"/>
      <c r="K1180" s="694"/>
      <c r="L1180" s="579"/>
      <c r="M1180" s="579"/>
      <c r="N1180" s="579"/>
      <c r="O1180" s="631"/>
      <c r="P1180" s="631"/>
      <c r="Q1180" s="631"/>
      <c r="R1180" s="631"/>
      <c r="S1180" s="631"/>
      <c r="T1180" s="631"/>
      <c r="U1180" s="631"/>
      <c r="V1180" s="631"/>
      <c r="W1180" s="631"/>
      <c r="X1180" s="631"/>
      <c r="Y1180" s="631"/>
      <c r="Z1180" s="631"/>
      <c r="AA1180" s="631"/>
      <c r="AB1180" s="631"/>
      <c r="AC1180" s="631"/>
    </row>
    <row r="1181">
      <c r="A1181" s="631"/>
      <c r="B1181" s="694"/>
      <c r="C1181" s="694"/>
      <c r="D1181" s="694"/>
      <c r="E1181" s="694"/>
      <c r="F1181" s="631"/>
      <c r="G1181" s="631"/>
      <c r="H1181" s="631"/>
      <c r="I1181" s="579"/>
      <c r="J1181" s="579"/>
      <c r="K1181" s="694"/>
      <c r="L1181" s="579"/>
      <c r="M1181" s="579"/>
      <c r="N1181" s="579"/>
      <c r="O1181" s="631"/>
      <c r="P1181" s="631"/>
      <c r="Q1181" s="631"/>
      <c r="R1181" s="631"/>
      <c r="S1181" s="631"/>
      <c r="T1181" s="631"/>
      <c r="U1181" s="631"/>
      <c r="V1181" s="631"/>
      <c r="W1181" s="631"/>
      <c r="X1181" s="631"/>
      <c r="Y1181" s="631"/>
      <c r="Z1181" s="631"/>
      <c r="AA1181" s="631"/>
      <c r="AB1181" s="631"/>
      <c r="AC1181" s="631"/>
    </row>
    <row r="1182">
      <c r="A1182" s="631"/>
      <c r="B1182" s="694"/>
      <c r="C1182" s="694"/>
      <c r="D1182" s="694"/>
      <c r="E1182" s="694"/>
      <c r="F1182" s="631"/>
      <c r="G1182" s="631"/>
      <c r="H1182" s="631"/>
      <c r="I1182" s="579"/>
      <c r="J1182" s="579"/>
      <c r="K1182" s="694"/>
      <c r="L1182" s="579"/>
      <c r="M1182" s="579"/>
      <c r="N1182" s="579"/>
      <c r="O1182" s="631"/>
      <c r="P1182" s="631"/>
      <c r="Q1182" s="631"/>
      <c r="R1182" s="631"/>
      <c r="S1182" s="631"/>
      <c r="T1182" s="631"/>
      <c r="U1182" s="631"/>
      <c r="V1182" s="631"/>
      <c r="W1182" s="631"/>
      <c r="X1182" s="631"/>
      <c r="Y1182" s="631"/>
      <c r="Z1182" s="631"/>
      <c r="AA1182" s="631"/>
      <c r="AB1182" s="631"/>
      <c r="AC1182" s="631"/>
    </row>
    <row r="1183">
      <c r="A1183" s="631"/>
      <c r="B1183" s="694"/>
      <c r="C1183" s="694"/>
      <c r="D1183" s="694"/>
      <c r="E1183" s="694"/>
      <c r="F1183" s="631"/>
      <c r="G1183" s="631"/>
      <c r="H1183" s="631"/>
      <c r="I1183" s="579"/>
      <c r="J1183" s="579"/>
      <c r="K1183" s="694"/>
      <c r="L1183" s="579"/>
      <c r="M1183" s="579"/>
      <c r="N1183" s="579"/>
      <c r="O1183" s="631"/>
      <c r="P1183" s="631"/>
      <c r="Q1183" s="631"/>
      <c r="R1183" s="631"/>
      <c r="S1183" s="631"/>
      <c r="T1183" s="631"/>
      <c r="U1183" s="631"/>
      <c r="V1183" s="631"/>
      <c r="W1183" s="631"/>
      <c r="X1183" s="631"/>
      <c r="Y1183" s="631"/>
      <c r="Z1183" s="631"/>
      <c r="AA1183" s="631"/>
      <c r="AB1183" s="631"/>
      <c r="AC1183" s="631"/>
    </row>
    <row r="1184">
      <c r="A1184" s="631"/>
      <c r="B1184" s="694"/>
      <c r="C1184" s="694"/>
      <c r="D1184" s="694"/>
      <c r="E1184" s="694"/>
      <c r="F1184" s="631"/>
      <c r="G1184" s="631"/>
      <c r="H1184" s="631"/>
      <c r="I1184" s="579"/>
      <c r="J1184" s="579"/>
      <c r="K1184" s="694"/>
      <c r="L1184" s="579"/>
      <c r="M1184" s="579"/>
      <c r="N1184" s="579"/>
      <c r="O1184" s="631"/>
      <c r="P1184" s="631"/>
      <c r="Q1184" s="631"/>
      <c r="R1184" s="631"/>
      <c r="S1184" s="631"/>
      <c r="T1184" s="631"/>
      <c r="U1184" s="631"/>
      <c r="V1184" s="631"/>
      <c r="W1184" s="631"/>
      <c r="X1184" s="631"/>
      <c r="Y1184" s="631"/>
      <c r="Z1184" s="631"/>
      <c r="AA1184" s="631"/>
      <c r="AB1184" s="631"/>
      <c r="AC1184" s="631"/>
    </row>
    <row r="1185">
      <c r="A1185" s="631"/>
      <c r="B1185" s="694"/>
      <c r="C1185" s="694"/>
      <c r="D1185" s="694"/>
      <c r="E1185" s="694"/>
      <c r="F1185" s="631"/>
      <c r="G1185" s="631"/>
      <c r="H1185" s="631"/>
      <c r="I1185" s="579"/>
      <c r="J1185" s="579"/>
      <c r="K1185" s="694"/>
      <c r="L1185" s="579"/>
      <c r="M1185" s="579"/>
      <c r="N1185" s="579"/>
      <c r="O1185" s="631"/>
      <c r="P1185" s="631"/>
      <c r="Q1185" s="631"/>
      <c r="R1185" s="631"/>
      <c r="S1185" s="631"/>
      <c r="T1185" s="631"/>
      <c r="U1185" s="631"/>
      <c r="V1185" s="631"/>
      <c r="W1185" s="631"/>
      <c r="X1185" s="631"/>
      <c r="Y1185" s="631"/>
      <c r="Z1185" s="631"/>
      <c r="AA1185" s="631"/>
      <c r="AB1185" s="631"/>
      <c r="AC1185" s="631"/>
    </row>
    <row r="1186">
      <c r="A1186" s="631"/>
      <c r="B1186" s="694"/>
      <c r="C1186" s="694"/>
      <c r="D1186" s="694"/>
      <c r="E1186" s="694"/>
      <c r="F1186" s="631"/>
      <c r="G1186" s="631"/>
      <c r="H1186" s="631"/>
      <c r="I1186" s="579"/>
      <c r="J1186" s="579"/>
      <c r="K1186" s="694"/>
      <c r="L1186" s="579"/>
      <c r="M1186" s="579"/>
      <c r="N1186" s="579"/>
      <c r="O1186" s="631"/>
      <c r="P1186" s="631"/>
      <c r="Q1186" s="631"/>
      <c r="R1186" s="631"/>
      <c r="S1186" s="631"/>
      <c r="T1186" s="631"/>
      <c r="U1186" s="631"/>
      <c r="V1186" s="631"/>
      <c r="W1186" s="631"/>
      <c r="X1186" s="631"/>
      <c r="Y1186" s="631"/>
      <c r="Z1186" s="631"/>
      <c r="AA1186" s="631"/>
      <c r="AB1186" s="631"/>
      <c r="AC1186" s="631"/>
    </row>
    <row r="1187">
      <c r="A1187" s="631"/>
      <c r="B1187" s="694"/>
      <c r="C1187" s="694"/>
      <c r="D1187" s="694"/>
      <c r="E1187" s="694"/>
      <c r="F1187" s="631"/>
      <c r="G1187" s="631"/>
      <c r="H1187" s="631"/>
      <c r="I1187" s="579"/>
      <c r="J1187" s="579"/>
      <c r="K1187" s="694"/>
      <c r="L1187" s="579"/>
      <c r="M1187" s="579"/>
      <c r="N1187" s="579"/>
      <c r="O1187" s="631"/>
      <c r="P1187" s="631"/>
      <c r="Q1187" s="631"/>
      <c r="R1187" s="631"/>
      <c r="S1187" s="631"/>
      <c r="T1187" s="631"/>
      <c r="U1187" s="631"/>
      <c r="V1187" s="631"/>
      <c r="W1187" s="631"/>
      <c r="X1187" s="631"/>
      <c r="Y1187" s="631"/>
      <c r="Z1187" s="631"/>
      <c r="AA1187" s="631"/>
      <c r="AB1187" s="631"/>
      <c r="AC1187" s="631"/>
    </row>
    <row r="1188">
      <c r="A1188" s="631"/>
      <c r="B1188" s="694"/>
      <c r="C1188" s="694"/>
      <c r="D1188" s="694"/>
      <c r="E1188" s="694"/>
      <c r="F1188" s="631"/>
      <c r="G1188" s="631"/>
      <c r="H1188" s="631"/>
      <c r="I1188" s="579"/>
      <c r="J1188" s="579"/>
      <c r="K1188" s="694"/>
      <c r="L1188" s="579"/>
      <c r="M1188" s="579"/>
      <c r="N1188" s="579"/>
      <c r="O1188" s="631"/>
      <c r="P1188" s="631"/>
      <c r="Q1188" s="631"/>
      <c r="R1188" s="631"/>
      <c r="S1188" s="631"/>
      <c r="T1188" s="631"/>
      <c r="U1188" s="631"/>
      <c r="V1188" s="631"/>
      <c r="W1188" s="631"/>
      <c r="X1188" s="631"/>
      <c r="Y1188" s="631"/>
      <c r="Z1188" s="631"/>
      <c r="AA1188" s="631"/>
      <c r="AB1188" s="631"/>
      <c r="AC1188" s="631"/>
    </row>
    <row r="1189">
      <c r="A1189" s="631"/>
      <c r="B1189" s="694"/>
      <c r="C1189" s="694"/>
      <c r="D1189" s="694"/>
      <c r="E1189" s="694"/>
      <c r="F1189" s="631"/>
      <c r="G1189" s="631"/>
      <c r="H1189" s="631"/>
      <c r="I1189" s="579"/>
      <c r="J1189" s="579"/>
      <c r="K1189" s="694"/>
      <c r="L1189" s="579"/>
      <c r="M1189" s="579"/>
      <c r="N1189" s="579"/>
      <c r="O1189" s="631"/>
      <c r="P1189" s="631"/>
      <c r="Q1189" s="631"/>
      <c r="R1189" s="631"/>
      <c r="S1189" s="631"/>
      <c r="T1189" s="631"/>
      <c r="U1189" s="631"/>
      <c r="V1189" s="631"/>
      <c r="W1189" s="631"/>
      <c r="X1189" s="631"/>
      <c r="Y1189" s="631"/>
      <c r="Z1189" s="631"/>
      <c r="AA1189" s="631"/>
      <c r="AB1189" s="631"/>
      <c r="AC1189" s="631"/>
    </row>
    <row r="1190">
      <c r="A1190" s="631"/>
      <c r="B1190" s="694"/>
      <c r="C1190" s="694"/>
      <c r="D1190" s="694"/>
      <c r="E1190" s="694"/>
      <c r="F1190" s="631"/>
      <c r="G1190" s="631"/>
      <c r="H1190" s="631"/>
      <c r="I1190" s="579"/>
      <c r="J1190" s="579"/>
      <c r="K1190" s="694"/>
      <c r="L1190" s="579"/>
      <c r="M1190" s="579"/>
      <c r="N1190" s="579"/>
      <c r="O1190" s="631"/>
      <c r="P1190" s="631"/>
      <c r="Q1190" s="631"/>
      <c r="R1190" s="631"/>
      <c r="S1190" s="631"/>
      <c r="T1190" s="631"/>
      <c r="U1190" s="631"/>
      <c r="V1190" s="631"/>
      <c r="W1190" s="631"/>
      <c r="X1190" s="631"/>
      <c r="Y1190" s="631"/>
      <c r="Z1190" s="631"/>
      <c r="AA1190" s="631"/>
      <c r="AB1190" s="631"/>
      <c r="AC1190" s="631"/>
    </row>
    <row r="1191">
      <c r="A1191" s="631"/>
      <c r="B1191" s="694"/>
      <c r="C1191" s="694"/>
      <c r="D1191" s="694"/>
      <c r="E1191" s="694"/>
      <c r="F1191" s="631"/>
      <c r="G1191" s="631"/>
      <c r="H1191" s="631"/>
      <c r="I1191" s="579"/>
      <c r="J1191" s="579"/>
      <c r="K1191" s="694"/>
      <c r="L1191" s="579"/>
      <c r="M1191" s="579"/>
      <c r="N1191" s="579"/>
      <c r="O1191" s="631"/>
      <c r="P1191" s="631"/>
      <c r="Q1191" s="631"/>
      <c r="R1191" s="631"/>
      <c r="S1191" s="631"/>
      <c r="T1191" s="631"/>
      <c r="U1191" s="631"/>
      <c r="V1191" s="631"/>
      <c r="W1191" s="631"/>
      <c r="X1191" s="631"/>
      <c r="Y1191" s="631"/>
      <c r="Z1191" s="631"/>
      <c r="AA1191" s="631"/>
      <c r="AB1191" s="631"/>
      <c r="AC1191" s="631"/>
    </row>
    <row r="1192">
      <c r="A1192" s="631"/>
      <c r="B1192" s="694"/>
      <c r="C1192" s="694"/>
      <c r="D1192" s="694"/>
      <c r="E1192" s="694"/>
      <c r="F1192" s="631"/>
      <c r="G1192" s="631"/>
      <c r="H1192" s="631"/>
      <c r="I1192" s="579"/>
      <c r="J1192" s="579"/>
      <c r="K1192" s="694"/>
      <c r="L1192" s="579"/>
      <c r="M1192" s="579"/>
      <c r="N1192" s="579"/>
      <c r="O1192" s="631"/>
      <c r="P1192" s="631"/>
      <c r="Q1192" s="631"/>
      <c r="R1192" s="631"/>
      <c r="S1192" s="631"/>
      <c r="T1192" s="631"/>
      <c r="U1192" s="631"/>
      <c r="V1192" s="631"/>
      <c r="W1192" s="631"/>
      <c r="X1192" s="631"/>
      <c r="Y1192" s="631"/>
      <c r="Z1192" s="631"/>
      <c r="AA1192" s="631"/>
      <c r="AB1192" s="631"/>
      <c r="AC1192" s="631"/>
    </row>
    <row r="1193">
      <c r="A1193" s="631"/>
      <c r="B1193" s="694"/>
      <c r="C1193" s="694"/>
      <c r="D1193" s="694"/>
      <c r="E1193" s="694"/>
      <c r="F1193" s="631"/>
      <c r="G1193" s="631"/>
      <c r="H1193" s="631"/>
      <c r="I1193" s="579"/>
      <c r="J1193" s="579"/>
      <c r="K1193" s="694"/>
      <c r="L1193" s="579"/>
      <c r="M1193" s="579"/>
      <c r="N1193" s="579"/>
      <c r="O1193" s="631"/>
      <c r="P1193" s="631"/>
      <c r="Q1193" s="631"/>
      <c r="R1193" s="631"/>
      <c r="S1193" s="631"/>
      <c r="T1193" s="631"/>
      <c r="U1193" s="631"/>
      <c r="V1193" s="631"/>
      <c r="W1193" s="631"/>
      <c r="X1193" s="631"/>
      <c r="Y1193" s="631"/>
      <c r="Z1193" s="631"/>
      <c r="AA1193" s="631"/>
      <c r="AB1193" s="631"/>
      <c r="AC1193" s="631"/>
    </row>
    <row r="1194">
      <c r="A1194" s="631"/>
      <c r="B1194" s="694"/>
      <c r="C1194" s="694"/>
      <c r="D1194" s="694"/>
      <c r="E1194" s="694"/>
      <c r="F1194" s="631"/>
      <c r="G1194" s="631"/>
      <c r="H1194" s="631"/>
      <c r="I1194" s="579"/>
      <c r="J1194" s="579"/>
      <c r="K1194" s="694"/>
      <c r="L1194" s="579"/>
      <c r="M1194" s="579"/>
      <c r="N1194" s="579"/>
      <c r="O1194" s="631"/>
      <c r="P1194" s="631"/>
      <c r="Q1194" s="631"/>
      <c r="R1194" s="631"/>
      <c r="S1194" s="631"/>
      <c r="T1194" s="631"/>
      <c r="U1194" s="631"/>
      <c r="V1194" s="631"/>
      <c r="W1194" s="631"/>
      <c r="X1194" s="631"/>
      <c r="Y1194" s="631"/>
      <c r="Z1194" s="631"/>
      <c r="AA1194" s="631"/>
      <c r="AB1194" s="631"/>
      <c r="AC1194" s="631"/>
    </row>
    <row r="1195">
      <c r="A1195" s="631"/>
      <c r="B1195" s="694"/>
      <c r="C1195" s="694"/>
      <c r="D1195" s="694"/>
      <c r="E1195" s="694"/>
      <c r="F1195" s="631"/>
      <c r="G1195" s="631"/>
      <c r="H1195" s="631"/>
      <c r="I1195" s="579"/>
      <c r="J1195" s="579"/>
      <c r="K1195" s="694"/>
      <c r="L1195" s="579"/>
      <c r="M1195" s="579"/>
      <c r="N1195" s="579"/>
      <c r="O1195" s="631"/>
      <c r="P1195" s="631"/>
      <c r="Q1195" s="631"/>
      <c r="R1195" s="631"/>
      <c r="S1195" s="631"/>
      <c r="T1195" s="631"/>
      <c r="U1195" s="631"/>
      <c r="V1195" s="631"/>
      <c r="W1195" s="631"/>
      <c r="X1195" s="631"/>
      <c r="Y1195" s="631"/>
      <c r="Z1195" s="631"/>
      <c r="AA1195" s="631"/>
      <c r="AB1195" s="631"/>
      <c r="AC1195" s="631"/>
    </row>
    <row r="1196">
      <c r="A1196" s="631"/>
      <c r="B1196" s="694"/>
      <c r="C1196" s="694"/>
      <c r="D1196" s="694"/>
      <c r="E1196" s="694"/>
      <c r="F1196" s="631"/>
      <c r="G1196" s="631"/>
      <c r="H1196" s="631"/>
      <c r="I1196" s="579"/>
      <c r="J1196" s="579"/>
      <c r="K1196" s="694"/>
      <c r="L1196" s="579"/>
      <c r="M1196" s="579"/>
      <c r="N1196" s="579"/>
      <c r="O1196" s="631"/>
      <c r="P1196" s="631"/>
      <c r="Q1196" s="631"/>
      <c r="R1196" s="631"/>
      <c r="S1196" s="631"/>
      <c r="T1196" s="631"/>
      <c r="U1196" s="631"/>
      <c r="V1196" s="631"/>
      <c r="W1196" s="631"/>
      <c r="X1196" s="631"/>
      <c r="Y1196" s="631"/>
      <c r="Z1196" s="631"/>
      <c r="AA1196" s="631"/>
      <c r="AB1196" s="631"/>
      <c r="AC1196" s="631"/>
    </row>
    <row r="1197">
      <c r="A1197" s="631"/>
      <c r="B1197" s="694"/>
      <c r="C1197" s="694"/>
      <c r="D1197" s="694"/>
      <c r="E1197" s="694"/>
      <c r="F1197" s="631"/>
      <c r="G1197" s="631"/>
      <c r="H1197" s="631"/>
      <c r="I1197" s="579"/>
      <c r="J1197" s="579"/>
      <c r="K1197" s="694"/>
      <c r="L1197" s="579"/>
      <c r="M1197" s="579"/>
      <c r="N1197" s="579"/>
      <c r="O1197" s="631"/>
      <c r="P1197" s="631"/>
      <c r="Q1197" s="631"/>
      <c r="R1197" s="631"/>
      <c r="S1197" s="631"/>
      <c r="T1197" s="631"/>
      <c r="U1197" s="631"/>
      <c r="V1197" s="631"/>
      <c r="W1197" s="631"/>
      <c r="X1197" s="631"/>
      <c r="Y1197" s="631"/>
      <c r="Z1197" s="631"/>
      <c r="AA1197" s="631"/>
      <c r="AB1197" s="631"/>
      <c r="AC1197" s="631"/>
    </row>
    <row r="1198">
      <c r="A1198" s="631"/>
      <c r="B1198" s="694"/>
      <c r="C1198" s="694"/>
      <c r="D1198" s="694"/>
      <c r="E1198" s="694"/>
      <c r="F1198" s="631"/>
      <c r="G1198" s="631"/>
      <c r="H1198" s="631"/>
      <c r="I1198" s="579"/>
      <c r="J1198" s="579"/>
      <c r="K1198" s="694"/>
      <c r="L1198" s="579"/>
      <c r="M1198" s="579"/>
      <c r="N1198" s="579"/>
      <c r="O1198" s="631"/>
      <c r="P1198" s="631"/>
      <c r="Q1198" s="631"/>
      <c r="R1198" s="631"/>
      <c r="S1198" s="631"/>
      <c r="T1198" s="631"/>
      <c r="U1198" s="631"/>
      <c r="V1198" s="631"/>
      <c r="W1198" s="631"/>
      <c r="X1198" s="631"/>
      <c r="Y1198" s="631"/>
      <c r="Z1198" s="631"/>
      <c r="AA1198" s="631"/>
      <c r="AB1198" s="631"/>
      <c r="AC1198" s="631"/>
    </row>
    <row r="1199">
      <c r="A1199" s="631"/>
      <c r="B1199" s="694"/>
      <c r="C1199" s="694"/>
      <c r="D1199" s="694"/>
      <c r="E1199" s="694"/>
      <c r="F1199" s="631"/>
      <c r="G1199" s="631"/>
      <c r="H1199" s="631"/>
      <c r="I1199" s="579"/>
      <c r="J1199" s="579"/>
      <c r="K1199" s="694"/>
      <c r="L1199" s="579"/>
      <c r="M1199" s="579"/>
      <c r="N1199" s="579"/>
      <c r="O1199" s="631"/>
      <c r="P1199" s="631"/>
      <c r="Q1199" s="631"/>
      <c r="R1199" s="631"/>
      <c r="S1199" s="631"/>
      <c r="T1199" s="631"/>
      <c r="U1199" s="631"/>
      <c r="V1199" s="631"/>
      <c r="W1199" s="631"/>
      <c r="X1199" s="631"/>
      <c r="Y1199" s="631"/>
      <c r="Z1199" s="631"/>
      <c r="AA1199" s="631"/>
      <c r="AB1199" s="631"/>
      <c r="AC1199" s="631"/>
    </row>
    <row r="1200">
      <c r="A1200" s="631"/>
      <c r="B1200" s="694"/>
      <c r="C1200" s="694"/>
      <c r="D1200" s="694"/>
      <c r="E1200" s="694"/>
      <c r="F1200" s="631"/>
      <c r="G1200" s="631"/>
      <c r="H1200" s="631"/>
      <c r="I1200" s="579"/>
      <c r="J1200" s="579"/>
      <c r="K1200" s="694"/>
      <c r="L1200" s="579"/>
      <c r="M1200" s="579"/>
      <c r="N1200" s="579"/>
      <c r="O1200" s="631"/>
      <c r="P1200" s="631"/>
      <c r="Q1200" s="631"/>
      <c r="R1200" s="631"/>
      <c r="S1200" s="631"/>
      <c r="T1200" s="631"/>
      <c r="U1200" s="631"/>
      <c r="V1200" s="631"/>
      <c r="W1200" s="631"/>
      <c r="X1200" s="631"/>
      <c r="Y1200" s="631"/>
      <c r="Z1200" s="631"/>
      <c r="AA1200" s="631"/>
      <c r="AB1200" s="631"/>
      <c r="AC1200" s="631"/>
    </row>
    <row r="1201">
      <c r="A1201" s="631"/>
      <c r="B1201" s="694"/>
      <c r="C1201" s="694"/>
      <c r="D1201" s="694"/>
      <c r="E1201" s="694"/>
      <c r="F1201" s="631"/>
      <c r="G1201" s="631"/>
      <c r="H1201" s="631"/>
      <c r="I1201" s="579"/>
      <c r="J1201" s="579"/>
      <c r="K1201" s="694"/>
      <c r="L1201" s="579"/>
      <c r="M1201" s="579"/>
      <c r="N1201" s="579"/>
      <c r="O1201" s="631"/>
      <c r="P1201" s="631"/>
      <c r="Q1201" s="631"/>
      <c r="R1201" s="631"/>
      <c r="S1201" s="631"/>
      <c r="T1201" s="631"/>
      <c r="U1201" s="631"/>
      <c r="V1201" s="631"/>
      <c r="W1201" s="631"/>
      <c r="X1201" s="631"/>
      <c r="Y1201" s="631"/>
      <c r="Z1201" s="631"/>
      <c r="AA1201" s="631"/>
      <c r="AB1201" s="631"/>
      <c r="AC1201" s="631"/>
    </row>
    <row r="1202">
      <c r="A1202" s="631"/>
      <c r="B1202" s="694"/>
      <c r="C1202" s="694"/>
      <c r="D1202" s="694"/>
      <c r="E1202" s="694"/>
      <c r="F1202" s="631"/>
      <c r="G1202" s="631"/>
      <c r="H1202" s="631"/>
      <c r="I1202" s="579"/>
      <c r="J1202" s="579"/>
      <c r="K1202" s="694"/>
      <c r="L1202" s="579"/>
      <c r="M1202" s="579"/>
      <c r="N1202" s="579"/>
      <c r="O1202" s="631"/>
      <c r="P1202" s="631"/>
      <c r="Q1202" s="631"/>
      <c r="R1202" s="631"/>
      <c r="S1202" s="631"/>
      <c r="T1202" s="631"/>
      <c r="U1202" s="631"/>
      <c r="V1202" s="631"/>
      <c r="W1202" s="631"/>
      <c r="X1202" s="631"/>
      <c r="Y1202" s="631"/>
      <c r="Z1202" s="631"/>
      <c r="AA1202" s="631"/>
      <c r="AB1202" s="631"/>
      <c r="AC1202" s="631"/>
    </row>
    <row r="1203">
      <c r="A1203" s="631"/>
      <c r="B1203" s="694"/>
      <c r="C1203" s="694"/>
      <c r="D1203" s="694"/>
      <c r="E1203" s="694"/>
      <c r="F1203" s="631"/>
      <c r="G1203" s="631"/>
      <c r="H1203" s="631"/>
      <c r="I1203" s="579"/>
      <c r="J1203" s="579"/>
      <c r="K1203" s="694"/>
      <c r="L1203" s="579"/>
      <c r="M1203" s="579"/>
      <c r="N1203" s="579"/>
      <c r="O1203" s="631"/>
      <c r="P1203" s="631"/>
      <c r="Q1203" s="631"/>
      <c r="R1203" s="631"/>
      <c r="S1203" s="631"/>
      <c r="T1203" s="631"/>
      <c r="U1203" s="631"/>
      <c r="V1203" s="631"/>
      <c r="W1203" s="631"/>
      <c r="X1203" s="631"/>
      <c r="Y1203" s="631"/>
      <c r="Z1203" s="631"/>
      <c r="AA1203" s="631"/>
      <c r="AB1203" s="631"/>
      <c r="AC1203" s="631"/>
    </row>
    <row r="1204">
      <c r="A1204" s="631"/>
      <c r="B1204" s="694"/>
      <c r="C1204" s="694"/>
      <c r="D1204" s="694"/>
      <c r="E1204" s="694"/>
      <c r="F1204" s="631"/>
      <c r="G1204" s="631"/>
      <c r="H1204" s="631"/>
      <c r="I1204" s="579"/>
      <c r="J1204" s="579"/>
      <c r="K1204" s="694"/>
      <c r="L1204" s="579"/>
      <c r="M1204" s="579"/>
      <c r="N1204" s="579"/>
      <c r="O1204" s="631"/>
      <c r="P1204" s="631"/>
      <c r="Q1204" s="631"/>
      <c r="R1204" s="631"/>
      <c r="S1204" s="631"/>
      <c r="T1204" s="631"/>
      <c r="U1204" s="631"/>
      <c r="V1204" s="631"/>
      <c r="W1204" s="631"/>
      <c r="X1204" s="631"/>
      <c r="Y1204" s="631"/>
      <c r="Z1204" s="631"/>
      <c r="AA1204" s="631"/>
      <c r="AB1204" s="631"/>
      <c r="AC1204" s="631"/>
    </row>
    <row r="1205">
      <c r="A1205" s="631"/>
      <c r="B1205" s="694"/>
      <c r="C1205" s="694"/>
      <c r="D1205" s="694"/>
      <c r="E1205" s="694"/>
      <c r="F1205" s="631"/>
      <c r="G1205" s="631"/>
      <c r="H1205" s="631"/>
      <c r="I1205" s="579"/>
      <c r="J1205" s="579"/>
      <c r="K1205" s="694"/>
      <c r="L1205" s="579"/>
      <c r="M1205" s="579"/>
      <c r="N1205" s="579"/>
      <c r="O1205" s="631"/>
      <c r="P1205" s="631"/>
      <c r="Q1205" s="631"/>
      <c r="R1205" s="631"/>
      <c r="S1205" s="631"/>
      <c r="T1205" s="631"/>
      <c r="U1205" s="631"/>
      <c r="V1205" s="631"/>
      <c r="W1205" s="631"/>
      <c r="X1205" s="631"/>
      <c r="Y1205" s="631"/>
      <c r="Z1205" s="631"/>
      <c r="AA1205" s="631"/>
      <c r="AB1205" s="631"/>
      <c r="AC1205" s="631"/>
    </row>
    <row r="1206">
      <c r="A1206" s="631"/>
      <c r="B1206" s="694"/>
      <c r="C1206" s="694"/>
      <c r="D1206" s="694"/>
      <c r="E1206" s="694"/>
      <c r="F1206" s="631"/>
      <c r="G1206" s="631"/>
      <c r="H1206" s="631"/>
      <c r="I1206" s="579"/>
      <c r="J1206" s="579"/>
      <c r="K1206" s="694"/>
      <c r="L1206" s="579"/>
      <c r="M1206" s="579"/>
      <c r="N1206" s="579"/>
      <c r="O1206" s="631"/>
      <c r="P1206" s="631"/>
      <c r="Q1206" s="631"/>
      <c r="R1206" s="631"/>
      <c r="S1206" s="631"/>
      <c r="T1206" s="631"/>
      <c r="U1206" s="631"/>
      <c r="V1206" s="631"/>
      <c r="W1206" s="631"/>
      <c r="X1206" s="631"/>
      <c r="Y1206" s="631"/>
      <c r="Z1206" s="631"/>
      <c r="AA1206" s="631"/>
      <c r="AB1206" s="631"/>
      <c r="AC1206" s="631"/>
    </row>
    <row r="1207">
      <c r="A1207" s="631"/>
      <c r="B1207" s="694"/>
      <c r="C1207" s="694"/>
      <c r="D1207" s="694"/>
      <c r="E1207" s="694"/>
      <c r="F1207" s="631"/>
      <c r="G1207" s="631"/>
      <c r="H1207" s="631"/>
      <c r="I1207" s="579"/>
      <c r="J1207" s="579"/>
      <c r="K1207" s="694"/>
      <c r="L1207" s="579"/>
      <c r="M1207" s="579"/>
      <c r="N1207" s="579"/>
      <c r="O1207" s="631"/>
      <c r="P1207" s="631"/>
      <c r="Q1207" s="631"/>
      <c r="R1207" s="631"/>
      <c r="S1207" s="631"/>
      <c r="T1207" s="631"/>
      <c r="U1207" s="631"/>
      <c r="V1207" s="631"/>
      <c r="W1207" s="631"/>
      <c r="X1207" s="631"/>
      <c r="Y1207" s="631"/>
      <c r="Z1207" s="631"/>
      <c r="AA1207" s="631"/>
      <c r="AB1207" s="631"/>
      <c r="AC1207" s="631"/>
    </row>
    <row r="1208">
      <c r="A1208" s="631"/>
      <c r="B1208" s="694"/>
      <c r="C1208" s="694"/>
      <c r="D1208" s="694"/>
      <c r="E1208" s="694"/>
      <c r="F1208" s="631"/>
      <c r="G1208" s="631"/>
      <c r="H1208" s="631"/>
      <c r="I1208" s="579"/>
      <c r="J1208" s="579"/>
      <c r="K1208" s="694"/>
      <c r="L1208" s="579"/>
      <c r="M1208" s="579"/>
      <c r="N1208" s="579"/>
      <c r="O1208" s="631"/>
      <c r="P1208" s="631"/>
      <c r="Q1208" s="631"/>
      <c r="R1208" s="631"/>
      <c r="S1208" s="631"/>
      <c r="T1208" s="631"/>
      <c r="U1208" s="631"/>
      <c r="V1208" s="631"/>
      <c r="W1208" s="631"/>
      <c r="X1208" s="631"/>
      <c r="Y1208" s="631"/>
      <c r="Z1208" s="631"/>
      <c r="AA1208" s="631"/>
      <c r="AB1208" s="631"/>
      <c r="AC1208" s="631"/>
    </row>
    <row r="1209">
      <c r="A1209" s="631"/>
      <c r="B1209" s="694"/>
      <c r="C1209" s="694"/>
      <c r="D1209" s="694"/>
      <c r="E1209" s="694"/>
      <c r="F1209" s="631"/>
      <c r="G1209" s="631"/>
      <c r="H1209" s="631"/>
      <c r="I1209" s="579"/>
      <c r="J1209" s="579"/>
      <c r="K1209" s="694"/>
      <c r="L1209" s="579"/>
      <c r="M1209" s="579"/>
      <c r="N1209" s="579"/>
      <c r="O1209" s="631"/>
      <c r="P1209" s="631"/>
      <c r="Q1209" s="631"/>
      <c r="R1209" s="631"/>
      <c r="S1209" s="631"/>
      <c r="T1209" s="631"/>
      <c r="U1209" s="631"/>
      <c r="V1209" s="631"/>
      <c r="W1209" s="631"/>
      <c r="X1209" s="631"/>
      <c r="Y1209" s="631"/>
      <c r="Z1209" s="631"/>
      <c r="AA1209" s="631"/>
      <c r="AB1209" s="631"/>
      <c r="AC1209" s="631"/>
    </row>
    <row r="1210">
      <c r="A1210" s="631"/>
      <c r="B1210" s="694"/>
      <c r="C1210" s="694"/>
      <c r="D1210" s="694"/>
      <c r="E1210" s="694"/>
      <c r="F1210" s="631"/>
      <c r="G1210" s="631"/>
      <c r="H1210" s="631"/>
      <c r="I1210" s="579"/>
      <c r="J1210" s="579"/>
      <c r="K1210" s="694"/>
      <c r="L1210" s="579"/>
      <c r="M1210" s="579"/>
      <c r="N1210" s="579"/>
      <c r="O1210" s="631"/>
      <c r="P1210" s="631"/>
      <c r="Q1210" s="631"/>
      <c r="R1210" s="631"/>
      <c r="S1210" s="631"/>
      <c r="T1210" s="631"/>
      <c r="U1210" s="631"/>
      <c r="V1210" s="631"/>
      <c r="W1210" s="631"/>
      <c r="X1210" s="631"/>
      <c r="Y1210" s="631"/>
      <c r="Z1210" s="631"/>
      <c r="AA1210" s="631"/>
      <c r="AB1210" s="631"/>
      <c r="AC1210" s="631"/>
    </row>
    <row r="1211">
      <c r="A1211" s="631"/>
      <c r="B1211" s="694"/>
      <c r="C1211" s="694"/>
      <c r="D1211" s="694"/>
      <c r="E1211" s="694"/>
      <c r="F1211" s="631"/>
      <c r="G1211" s="631"/>
      <c r="H1211" s="631"/>
      <c r="I1211" s="579"/>
      <c r="J1211" s="579"/>
      <c r="K1211" s="694"/>
      <c r="L1211" s="579"/>
      <c r="M1211" s="579"/>
      <c r="N1211" s="579"/>
      <c r="O1211" s="631"/>
      <c r="P1211" s="631"/>
      <c r="Q1211" s="631"/>
      <c r="R1211" s="631"/>
      <c r="S1211" s="631"/>
      <c r="T1211" s="631"/>
      <c r="U1211" s="631"/>
      <c r="V1211" s="631"/>
      <c r="W1211" s="631"/>
      <c r="X1211" s="631"/>
      <c r="Y1211" s="631"/>
      <c r="Z1211" s="631"/>
      <c r="AA1211" s="631"/>
      <c r="AB1211" s="631"/>
      <c r="AC1211" s="631"/>
    </row>
    <row r="1212">
      <c r="A1212" s="631"/>
      <c r="B1212" s="694"/>
      <c r="C1212" s="694"/>
      <c r="D1212" s="694"/>
      <c r="E1212" s="694"/>
      <c r="F1212" s="631"/>
      <c r="G1212" s="631"/>
      <c r="H1212" s="631"/>
      <c r="I1212" s="579"/>
      <c r="J1212" s="579"/>
      <c r="K1212" s="694"/>
      <c r="L1212" s="579"/>
      <c r="M1212" s="579"/>
      <c r="N1212" s="579"/>
      <c r="O1212" s="631"/>
      <c r="P1212" s="631"/>
      <c r="Q1212" s="631"/>
      <c r="R1212" s="631"/>
      <c r="S1212" s="631"/>
      <c r="T1212" s="631"/>
      <c r="U1212" s="631"/>
      <c r="V1212" s="631"/>
      <c r="W1212" s="631"/>
      <c r="X1212" s="631"/>
      <c r="Y1212" s="631"/>
      <c r="Z1212" s="631"/>
      <c r="AA1212" s="631"/>
      <c r="AB1212" s="631"/>
      <c r="AC1212" s="631"/>
    </row>
    <row r="1213">
      <c r="A1213" s="631"/>
      <c r="B1213" s="694"/>
      <c r="C1213" s="694"/>
      <c r="D1213" s="694"/>
      <c r="E1213" s="694"/>
      <c r="F1213" s="631"/>
      <c r="G1213" s="631"/>
      <c r="H1213" s="631"/>
      <c r="I1213" s="579"/>
      <c r="J1213" s="579"/>
      <c r="K1213" s="694"/>
      <c r="L1213" s="579"/>
      <c r="M1213" s="579"/>
      <c r="N1213" s="579"/>
      <c r="O1213" s="631"/>
      <c r="P1213" s="631"/>
      <c r="Q1213" s="631"/>
      <c r="R1213" s="631"/>
      <c r="S1213" s="631"/>
      <c r="T1213" s="631"/>
      <c r="U1213" s="631"/>
      <c r="V1213" s="631"/>
      <c r="W1213" s="631"/>
      <c r="X1213" s="631"/>
      <c r="Y1213" s="631"/>
      <c r="Z1213" s="631"/>
      <c r="AA1213" s="631"/>
      <c r="AB1213" s="631"/>
      <c r="AC1213" s="631"/>
    </row>
    <row r="1214">
      <c r="A1214" s="631"/>
      <c r="B1214" s="694"/>
      <c r="C1214" s="694"/>
      <c r="D1214" s="694"/>
      <c r="E1214" s="694"/>
      <c r="F1214" s="631"/>
      <c r="G1214" s="631"/>
      <c r="H1214" s="631"/>
      <c r="I1214" s="579"/>
      <c r="J1214" s="579"/>
      <c r="K1214" s="694"/>
      <c r="L1214" s="579"/>
      <c r="M1214" s="579"/>
      <c r="N1214" s="579"/>
      <c r="O1214" s="631"/>
      <c r="P1214" s="631"/>
      <c r="Q1214" s="631"/>
      <c r="R1214" s="631"/>
      <c r="S1214" s="631"/>
      <c r="T1214" s="631"/>
      <c r="U1214" s="631"/>
      <c r="V1214" s="631"/>
      <c r="W1214" s="631"/>
      <c r="X1214" s="631"/>
      <c r="Y1214" s="631"/>
      <c r="Z1214" s="631"/>
      <c r="AA1214" s="631"/>
      <c r="AB1214" s="631"/>
      <c r="AC1214" s="631"/>
    </row>
    <row r="1215">
      <c r="A1215" s="631"/>
      <c r="B1215" s="694"/>
      <c r="C1215" s="694"/>
      <c r="D1215" s="694"/>
      <c r="E1215" s="694"/>
      <c r="F1215" s="631"/>
      <c r="G1215" s="631"/>
      <c r="H1215" s="631"/>
      <c r="I1215" s="579"/>
      <c r="J1215" s="579"/>
      <c r="K1215" s="694"/>
      <c r="L1215" s="579"/>
      <c r="M1215" s="579"/>
      <c r="N1215" s="579"/>
      <c r="O1215" s="631"/>
      <c r="P1215" s="631"/>
      <c r="Q1215" s="631"/>
      <c r="R1215" s="631"/>
      <c r="S1215" s="631"/>
      <c r="T1215" s="631"/>
      <c r="U1215" s="631"/>
      <c r="V1215" s="631"/>
      <c r="W1215" s="631"/>
      <c r="X1215" s="631"/>
      <c r="Y1215" s="631"/>
      <c r="Z1215" s="631"/>
      <c r="AA1215" s="631"/>
      <c r="AB1215" s="631"/>
      <c r="AC1215" s="631"/>
    </row>
    <row r="1216">
      <c r="A1216" s="631"/>
      <c r="B1216" s="694"/>
      <c r="C1216" s="694"/>
      <c r="D1216" s="694"/>
      <c r="E1216" s="694"/>
      <c r="F1216" s="631"/>
      <c r="G1216" s="631"/>
      <c r="H1216" s="631"/>
      <c r="I1216" s="579"/>
      <c r="J1216" s="579"/>
      <c r="K1216" s="694"/>
      <c r="L1216" s="579"/>
      <c r="M1216" s="579"/>
      <c r="N1216" s="579"/>
      <c r="O1216" s="631"/>
      <c r="P1216" s="631"/>
      <c r="Q1216" s="631"/>
      <c r="R1216" s="631"/>
      <c r="S1216" s="631"/>
      <c r="T1216" s="631"/>
      <c r="U1216" s="631"/>
      <c r="V1216" s="631"/>
      <c r="W1216" s="631"/>
      <c r="X1216" s="631"/>
      <c r="Y1216" s="631"/>
      <c r="Z1216" s="631"/>
      <c r="AA1216" s="631"/>
      <c r="AB1216" s="631"/>
      <c r="AC1216" s="631"/>
    </row>
    <row r="1217">
      <c r="A1217" s="631"/>
      <c r="B1217" s="694"/>
      <c r="C1217" s="694"/>
      <c r="D1217" s="694"/>
      <c r="E1217" s="694"/>
      <c r="F1217" s="631"/>
      <c r="G1217" s="631"/>
      <c r="H1217" s="631"/>
      <c r="I1217" s="579"/>
      <c r="J1217" s="579"/>
      <c r="K1217" s="694"/>
      <c r="L1217" s="579"/>
      <c r="M1217" s="579"/>
      <c r="N1217" s="579"/>
      <c r="O1217" s="631"/>
      <c r="P1217" s="631"/>
      <c r="Q1217" s="631"/>
      <c r="R1217" s="631"/>
      <c r="S1217" s="631"/>
      <c r="T1217" s="631"/>
      <c r="U1217" s="631"/>
      <c r="V1217" s="631"/>
      <c r="W1217" s="631"/>
      <c r="X1217" s="631"/>
      <c r="Y1217" s="631"/>
      <c r="Z1217" s="631"/>
      <c r="AA1217" s="631"/>
      <c r="AB1217" s="631"/>
      <c r="AC1217" s="631"/>
    </row>
    <row r="1218">
      <c r="A1218" s="631"/>
      <c r="B1218" s="694"/>
      <c r="C1218" s="694"/>
      <c r="D1218" s="694"/>
      <c r="E1218" s="694"/>
      <c r="F1218" s="631"/>
      <c r="G1218" s="631"/>
      <c r="H1218" s="631"/>
      <c r="I1218" s="579"/>
      <c r="J1218" s="579"/>
      <c r="K1218" s="694"/>
      <c r="L1218" s="579"/>
      <c r="M1218" s="579"/>
      <c r="N1218" s="579"/>
      <c r="O1218" s="631"/>
      <c r="P1218" s="631"/>
      <c r="Q1218" s="631"/>
      <c r="R1218" s="631"/>
      <c r="S1218" s="631"/>
      <c r="T1218" s="631"/>
      <c r="U1218" s="631"/>
      <c r="V1218" s="631"/>
      <c r="W1218" s="631"/>
      <c r="X1218" s="631"/>
      <c r="Y1218" s="631"/>
      <c r="Z1218" s="631"/>
      <c r="AA1218" s="631"/>
      <c r="AB1218" s="631"/>
      <c r="AC1218" s="631"/>
    </row>
    <row r="1219">
      <c r="A1219" s="631"/>
      <c r="B1219" s="694"/>
      <c r="C1219" s="694"/>
      <c r="D1219" s="694"/>
      <c r="E1219" s="694"/>
      <c r="F1219" s="631"/>
      <c r="G1219" s="631"/>
      <c r="H1219" s="631"/>
      <c r="I1219" s="579"/>
      <c r="J1219" s="579"/>
      <c r="K1219" s="694"/>
      <c r="L1219" s="579"/>
      <c r="M1219" s="579"/>
      <c r="N1219" s="579"/>
      <c r="O1219" s="631"/>
      <c r="P1219" s="631"/>
      <c r="Q1219" s="631"/>
      <c r="R1219" s="631"/>
      <c r="S1219" s="631"/>
      <c r="T1219" s="631"/>
      <c r="U1219" s="631"/>
      <c r="V1219" s="631"/>
      <c r="W1219" s="631"/>
      <c r="X1219" s="631"/>
      <c r="Y1219" s="631"/>
      <c r="Z1219" s="631"/>
      <c r="AA1219" s="631"/>
      <c r="AB1219" s="631"/>
      <c r="AC1219" s="631"/>
    </row>
    <row r="1220">
      <c r="A1220" s="631"/>
      <c r="B1220" s="694"/>
      <c r="C1220" s="694"/>
      <c r="D1220" s="694"/>
      <c r="E1220" s="694"/>
      <c r="F1220" s="631"/>
      <c r="G1220" s="631"/>
      <c r="H1220" s="631"/>
      <c r="I1220" s="579"/>
      <c r="J1220" s="579"/>
      <c r="K1220" s="694"/>
      <c r="L1220" s="579"/>
      <c r="M1220" s="579"/>
      <c r="N1220" s="579"/>
      <c r="O1220" s="631"/>
      <c r="P1220" s="631"/>
      <c r="Q1220" s="631"/>
      <c r="R1220" s="631"/>
      <c r="S1220" s="631"/>
      <c r="T1220" s="631"/>
      <c r="U1220" s="631"/>
      <c r="V1220" s="631"/>
      <c r="W1220" s="631"/>
      <c r="X1220" s="631"/>
      <c r="Y1220" s="631"/>
      <c r="Z1220" s="631"/>
      <c r="AA1220" s="631"/>
      <c r="AB1220" s="631"/>
      <c r="AC1220" s="631"/>
    </row>
    <row r="1221">
      <c r="A1221" s="631"/>
      <c r="B1221" s="694"/>
      <c r="C1221" s="694"/>
      <c r="D1221" s="694"/>
      <c r="E1221" s="694"/>
      <c r="F1221" s="631"/>
      <c r="G1221" s="631"/>
      <c r="H1221" s="631"/>
      <c r="I1221" s="579"/>
      <c r="J1221" s="579"/>
      <c r="K1221" s="694"/>
      <c r="L1221" s="579"/>
      <c r="M1221" s="579"/>
      <c r="N1221" s="579"/>
      <c r="O1221" s="631"/>
      <c r="P1221" s="631"/>
      <c r="Q1221" s="631"/>
      <c r="R1221" s="631"/>
      <c r="S1221" s="631"/>
      <c r="T1221" s="631"/>
      <c r="U1221" s="631"/>
      <c r="V1221" s="631"/>
      <c r="W1221" s="631"/>
      <c r="X1221" s="631"/>
      <c r="Y1221" s="631"/>
      <c r="Z1221" s="631"/>
      <c r="AA1221" s="631"/>
      <c r="AB1221" s="631"/>
      <c r="AC1221" s="631"/>
    </row>
    <row r="1222">
      <c r="A1222" s="631"/>
      <c r="B1222" s="694"/>
      <c r="C1222" s="694"/>
      <c r="D1222" s="694"/>
      <c r="E1222" s="694"/>
      <c r="F1222" s="631"/>
      <c r="G1222" s="631"/>
      <c r="H1222" s="631"/>
      <c r="I1222" s="579"/>
      <c r="J1222" s="579"/>
      <c r="K1222" s="694"/>
      <c r="L1222" s="579"/>
      <c r="M1222" s="579"/>
      <c r="N1222" s="579"/>
      <c r="O1222" s="631"/>
      <c r="P1222" s="631"/>
      <c r="Q1222" s="631"/>
      <c r="R1222" s="631"/>
      <c r="S1222" s="631"/>
      <c r="T1222" s="631"/>
      <c r="U1222" s="631"/>
      <c r="V1222" s="631"/>
      <c r="W1222" s="631"/>
      <c r="X1222" s="631"/>
      <c r="Y1222" s="631"/>
      <c r="Z1222" s="631"/>
      <c r="AA1222" s="631"/>
      <c r="AB1222" s="631"/>
      <c r="AC1222" s="631"/>
    </row>
    <row r="1223">
      <c r="A1223" s="631"/>
      <c r="B1223" s="694"/>
      <c r="C1223" s="694"/>
      <c r="D1223" s="694"/>
      <c r="E1223" s="694"/>
      <c r="F1223" s="631"/>
      <c r="G1223" s="631"/>
      <c r="H1223" s="631"/>
      <c r="I1223" s="579"/>
      <c r="J1223" s="579"/>
      <c r="K1223" s="694"/>
      <c r="L1223" s="579"/>
      <c r="M1223" s="579"/>
      <c r="N1223" s="579"/>
      <c r="O1223" s="631"/>
      <c r="P1223" s="631"/>
      <c r="Q1223" s="631"/>
      <c r="R1223" s="631"/>
      <c r="S1223" s="631"/>
      <c r="T1223" s="631"/>
      <c r="U1223" s="631"/>
      <c r="V1223" s="631"/>
      <c r="W1223" s="631"/>
      <c r="X1223" s="631"/>
      <c r="Y1223" s="631"/>
      <c r="Z1223" s="631"/>
      <c r="AA1223" s="631"/>
      <c r="AB1223" s="631"/>
      <c r="AC1223" s="631"/>
    </row>
    <row r="1224">
      <c r="A1224" s="631"/>
      <c r="B1224" s="694"/>
      <c r="C1224" s="694"/>
      <c r="D1224" s="694"/>
      <c r="E1224" s="694"/>
      <c r="F1224" s="631"/>
      <c r="G1224" s="631"/>
      <c r="H1224" s="631"/>
      <c r="I1224" s="579"/>
      <c r="J1224" s="579"/>
      <c r="K1224" s="694"/>
      <c r="L1224" s="579"/>
      <c r="M1224" s="579"/>
      <c r="N1224" s="579"/>
      <c r="O1224" s="631"/>
      <c r="P1224" s="631"/>
      <c r="Q1224" s="631"/>
      <c r="R1224" s="631"/>
      <c r="S1224" s="631"/>
      <c r="T1224" s="631"/>
      <c r="U1224" s="631"/>
      <c r="V1224" s="631"/>
      <c r="W1224" s="631"/>
      <c r="X1224" s="631"/>
      <c r="Y1224" s="631"/>
      <c r="Z1224" s="631"/>
      <c r="AA1224" s="631"/>
      <c r="AB1224" s="631"/>
      <c r="AC1224" s="631"/>
    </row>
    <row r="1225">
      <c r="A1225" s="631"/>
      <c r="B1225" s="694"/>
      <c r="C1225" s="694"/>
      <c r="D1225" s="694"/>
      <c r="E1225" s="694"/>
      <c r="F1225" s="631"/>
      <c r="G1225" s="631"/>
      <c r="H1225" s="631"/>
      <c r="I1225" s="579"/>
      <c r="J1225" s="579"/>
      <c r="K1225" s="694"/>
      <c r="L1225" s="579"/>
      <c r="M1225" s="579"/>
      <c r="N1225" s="579"/>
      <c r="O1225" s="631"/>
      <c r="P1225" s="631"/>
      <c r="Q1225" s="631"/>
      <c r="R1225" s="631"/>
      <c r="S1225" s="631"/>
      <c r="T1225" s="631"/>
      <c r="U1225" s="631"/>
      <c r="V1225" s="631"/>
      <c r="W1225" s="631"/>
      <c r="X1225" s="631"/>
      <c r="Y1225" s="631"/>
      <c r="Z1225" s="631"/>
      <c r="AA1225" s="631"/>
      <c r="AB1225" s="631"/>
      <c r="AC1225" s="631"/>
    </row>
    <row r="1226">
      <c r="A1226" s="631"/>
      <c r="B1226" s="694"/>
      <c r="C1226" s="694"/>
      <c r="D1226" s="694"/>
      <c r="E1226" s="694"/>
      <c r="F1226" s="631"/>
      <c r="G1226" s="631"/>
      <c r="H1226" s="631"/>
      <c r="I1226" s="579"/>
      <c r="J1226" s="579"/>
      <c r="K1226" s="694"/>
      <c r="L1226" s="579"/>
      <c r="M1226" s="579"/>
      <c r="N1226" s="579"/>
      <c r="O1226" s="631"/>
      <c r="P1226" s="631"/>
      <c r="Q1226" s="631"/>
      <c r="R1226" s="631"/>
      <c r="S1226" s="631"/>
      <c r="T1226" s="631"/>
      <c r="U1226" s="631"/>
      <c r="V1226" s="631"/>
      <c r="W1226" s="631"/>
      <c r="X1226" s="631"/>
      <c r="Y1226" s="631"/>
      <c r="Z1226" s="631"/>
      <c r="AA1226" s="631"/>
      <c r="AB1226" s="631"/>
      <c r="AC1226" s="631"/>
    </row>
    <row r="1227">
      <c r="A1227" s="631"/>
      <c r="B1227" s="694"/>
      <c r="C1227" s="694"/>
      <c r="D1227" s="694"/>
      <c r="E1227" s="694"/>
      <c r="F1227" s="631"/>
      <c r="G1227" s="631"/>
      <c r="H1227" s="631"/>
      <c r="I1227" s="579"/>
      <c r="J1227" s="579"/>
      <c r="K1227" s="694"/>
      <c r="L1227" s="579"/>
      <c r="M1227" s="579"/>
      <c r="N1227" s="579"/>
      <c r="O1227" s="631"/>
      <c r="P1227" s="631"/>
      <c r="Q1227" s="631"/>
      <c r="R1227" s="631"/>
      <c r="S1227" s="631"/>
      <c r="T1227" s="631"/>
      <c r="U1227" s="631"/>
      <c r="V1227" s="631"/>
      <c r="W1227" s="631"/>
      <c r="X1227" s="631"/>
      <c r="Y1227" s="631"/>
      <c r="Z1227" s="631"/>
      <c r="AA1227" s="631"/>
      <c r="AB1227" s="631"/>
      <c r="AC1227" s="631"/>
    </row>
    <row r="1228">
      <c r="A1228" s="631"/>
      <c r="B1228" s="694"/>
      <c r="C1228" s="694"/>
      <c r="D1228" s="694"/>
      <c r="E1228" s="694"/>
      <c r="F1228" s="631"/>
      <c r="G1228" s="631"/>
      <c r="H1228" s="631"/>
      <c r="I1228" s="579"/>
      <c r="J1228" s="579"/>
      <c r="K1228" s="694"/>
      <c r="L1228" s="579"/>
      <c r="M1228" s="579"/>
      <c r="N1228" s="579"/>
      <c r="O1228" s="631"/>
      <c r="P1228" s="631"/>
      <c r="Q1228" s="631"/>
      <c r="R1228" s="631"/>
      <c r="S1228" s="631"/>
      <c r="T1228" s="631"/>
      <c r="U1228" s="631"/>
      <c r="V1228" s="631"/>
      <c r="W1228" s="631"/>
      <c r="X1228" s="631"/>
      <c r="Y1228" s="631"/>
      <c r="Z1228" s="631"/>
      <c r="AA1228" s="631"/>
      <c r="AB1228" s="631"/>
      <c r="AC1228" s="631"/>
    </row>
    <row r="1229">
      <c r="A1229" s="631"/>
      <c r="B1229" s="694"/>
      <c r="C1229" s="694"/>
      <c r="D1229" s="694"/>
      <c r="E1229" s="694"/>
      <c r="F1229" s="631"/>
      <c r="G1229" s="631"/>
      <c r="H1229" s="631"/>
      <c r="I1229" s="579"/>
      <c r="J1229" s="579"/>
      <c r="K1229" s="694"/>
      <c r="L1229" s="579"/>
      <c r="M1229" s="579"/>
      <c r="N1229" s="579"/>
      <c r="O1229" s="631"/>
      <c r="P1229" s="631"/>
      <c r="Q1229" s="631"/>
      <c r="R1229" s="631"/>
      <c r="S1229" s="631"/>
      <c r="T1229" s="631"/>
      <c r="U1229" s="631"/>
      <c r="V1229" s="631"/>
      <c r="W1229" s="631"/>
      <c r="X1229" s="631"/>
      <c r="Y1229" s="631"/>
      <c r="Z1229" s="631"/>
      <c r="AA1229" s="631"/>
      <c r="AB1229" s="631"/>
      <c r="AC1229" s="631"/>
    </row>
    <row r="1230">
      <c r="A1230" s="631"/>
      <c r="B1230" s="694"/>
      <c r="C1230" s="694"/>
      <c r="D1230" s="694"/>
      <c r="E1230" s="694"/>
      <c r="F1230" s="631"/>
      <c r="G1230" s="631"/>
      <c r="H1230" s="631"/>
      <c r="I1230" s="579"/>
      <c r="J1230" s="579"/>
      <c r="K1230" s="694"/>
      <c r="L1230" s="579"/>
      <c r="M1230" s="579"/>
      <c r="N1230" s="579"/>
      <c r="O1230" s="631"/>
      <c r="P1230" s="631"/>
      <c r="Q1230" s="631"/>
      <c r="R1230" s="631"/>
      <c r="S1230" s="631"/>
      <c r="T1230" s="631"/>
      <c r="U1230" s="631"/>
      <c r="V1230" s="631"/>
      <c r="W1230" s="631"/>
      <c r="X1230" s="631"/>
      <c r="Y1230" s="631"/>
      <c r="Z1230" s="631"/>
      <c r="AA1230" s="631"/>
      <c r="AB1230" s="631"/>
      <c r="AC1230" s="631"/>
    </row>
    <row r="1231">
      <c r="A1231" s="631"/>
      <c r="B1231" s="694"/>
      <c r="C1231" s="694"/>
      <c r="D1231" s="694"/>
      <c r="E1231" s="694"/>
      <c r="F1231" s="631"/>
      <c r="G1231" s="631"/>
      <c r="H1231" s="631"/>
      <c r="I1231" s="579"/>
      <c r="J1231" s="579"/>
      <c r="K1231" s="694"/>
      <c r="L1231" s="579"/>
      <c r="M1231" s="579"/>
      <c r="N1231" s="579"/>
      <c r="O1231" s="631"/>
      <c r="P1231" s="631"/>
      <c r="Q1231" s="631"/>
      <c r="R1231" s="631"/>
      <c r="S1231" s="631"/>
      <c r="T1231" s="631"/>
      <c r="U1231" s="631"/>
      <c r="V1231" s="631"/>
      <c r="W1231" s="631"/>
      <c r="X1231" s="631"/>
      <c r="Y1231" s="631"/>
      <c r="Z1231" s="631"/>
      <c r="AA1231" s="631"/>
      <c r="AB1231" s="631"/>
      <c r="AC1231" s="631"/>
    </row>
    <row r="1232">
      <c r="A1232" s="631"/>
      <c r="B1232" s="694"/>
      <c r="C1232" s="694"/>
      <c r="D1232" s="694"/>
      <c r="E1232" s="694"/>
      <c r="F1232" s="631"/>
      <c r="G1232" s="631"/>
      <c r="H1232" s="631"/>
      <c r="I1232" s="579"/>
      <c r="J1232" s="579"/>
      <c r="K1232" s="694"/>
      <c r="L1232" s="579"/>
      <c r="M1232" s="579"/>
      <c r="N1232" s="579"/>
      <c r="O1232" s="631"/>
      <c r="P1232" s="631"/>
      <c r="Q1232" s="631"/>
      <c r="R1232" s="631"/>
      <c r="S1232" s="631"/>
      <c r="T1232" s="631"/>
      <c r="U1232" s="631"/>
      <c r="V1232" s="631"/>
      <c r="W1232" s="631"/>
      <c r="X1232" s="631"/>
      <c r="Y1232" s="631"/>
      <c r="Z1232" s="631"/>
      <c r="AA1232" s="631"/>
      <c r="AB1232" s="631"/>
      <c r="AC1232" s="631"/>
    </row>
    <row r="1233">
      <c r="A1233" s="631"/>
      <c r="B1233" s="694"/>
      <c r="C1233" s="694"/>
      <c r="D1233" s="694"/>
      <c r="E1233" s="694"/>
      <c r="F1233" s="631"/>
      <c r="G1233" s="631"/>
      <c r="H1233" s="631"/>
      <c r="I1233" s="579"/>
      <c r="J1233" s="579"/>
      <c r="K1233" s="694"/>
      <c r="L1233" s="579"/>
      <c r="M1233" s="579"/>
      <c r="N1233" s="579"/>
      <c r="O1233" s="631"/>
      <c r="P1233" s="631"/>
      <c r="Q1233" s="631"/>
      <c r="R1233" s="631"/>
      <c r="S1233" s="631"/>
      <c r="T1233" s="631"/>
      <c r="U1233" s="631"/>
      <c r="V1233" s="631"/>
      <c r="W1233" s="631"/>
      <c r="X1233" s="631"/>
      <c r="Y1233" s="631"/>
      <c r="Z1233" s="631"/>
      <c r="AA1233" s="631"/>
      <c r="AB1233" s="631"/>
      <c r="AC1233" s="631"/>
    </row>
    <row r="1234">
      <c r="A1234" s="631"/>
      <c r="B1234" s="694"/>
      <c r="C1234" s="694"/>
      <c r="D1234" s="694"/>
      <c r="E1234" s="694"/>
      <c r="F1234" s="631"/>
      <c r="G1234" s="631"/>
      <c r="H1234" s="631"/>
      <c r="I1234" s="579"/>
      <c r="J1234" s="579"/>
      <c r="K1234" s="694"/>
      <c r="L1234" s="579"/>
      <c r="M1234" s="579"/>
      <c r="N1234" s="579"/>
      <c r="O1234" s="631"/>
      <c r="P1234" s="631"/>
      <c r="Q1234" s="631"/>
      <c r="R1234" s="631"/>
      <c r="S1234" s="631"/>
      <c r="T1234" s="631"/>
      <c r="U1234" s="631"/>
      <c r="V1234" s="631"/>
      <c r="W1234" s="631"/>
      <c r="X1234" s="631"/>
      <c r="Y1234" s="631"/>
      <c r="Z1234" s="631"/>
      <c r="AA1234" s="631"/>
      <c r="AB1234" s="631"/>
      <c r="AC1234" s="631"/>
    </row>
    <row r="1235">
      <c r="A1235" s="631"/>
      <c r="B1235" s="694"/>
      <c r="C1235" s="694"/>
      <c r="D1235" s="694"/>
      <c r="E1235" s="694"/>
      <c r="F1235" s="631"/>
      <c r="G1235" s="631"/>
      <c r="H1235" s="631"/>
      <c r="I1235" s="579"/>
      <c r="J1235" s="579"/>
      <c r="K1235" s="694"/>
      <c r="L1235" s="579"/>
      <c r="M1235" s="579"/>
      <c r="N1235" s="579"/>
      <c r="O1235" s="631"/>
      <c r="P1235" s="631"/>
      <c r="Q1235" s="631"/>
      <c r="R1235" s="631"/>
      <c r="S1235" s="631"/>
      <c r="T1235" s="631"/>
      <c r="U1235" s="631"/>
      <c r="V1235" s="631"/>
      <c r="W1235" s="631"/>
      <c r="X1235" s="631"/>
      <c r="Y1235" s="631"/>
      <c r="Z1235" s="631"/>
      <c r="AA1235" s="631"/>
      <c r="AB1235" s="631"/>
      <c r="AC1235" s="631"/>
    </row>
    <row r="1236">
      <c r="A1236" s="631"/>
      <c r="B1236" s="694"/>
      <c r="C1236" s="694"/>
      <c r="D1236" s="694"/>
      <c r="E1236" s="694"/>
      <c r="F1236" s="631"/>
      <c r="G1236" s="631"/>
      <c r="H1236" s="631"/>
      <c r="I1236" s="579"/>
      <c r="J1236" s="579"/>
      <c r="K1236" s="694"/>
      <c r="L1236" s="579"/>
      <c r="M1236" s="579"/>
      <c r="N1236" s="579"/>
      <c r="O1236" s="631"/>
      <c r="P1236" s="631"/>
      <c r="Q1236" s="631"/>
      <c r="R1236" s="631"/>
      <c r="S1236" s="631"/>
      <c r="T1236" s="631"/>
      <c r="U1236" s="631"/>
      <c r="V1236" s="631"/>
      <c r="W1236" s="631"/>
      <c r="X1236" s="631"/>
      <c r="Y1236" s="631"/>
      <c r="Z1236" s="631"/>
      <c r="AA1236" s="631"/>
      <c r="AB1236" s="631"/>
      <c r="AC1236" s="631"/>
    </row>
    <row r="1237">
      <c r="A1237" s="631"/>
      <c r="B1237" s="694"/>
      <c r="C1237" s="694"/>
      <c r="D1237" s="694"/>
      <c r="E1237" s="694"/>
      <c r="F1237" s="631"/>
      <c r="G1237" s="631"/>
      <c r="H1237" s="631"/>
      <c r="I1237" s="579"/>
      <c r="J1237" s="579"/>
      <c r="K1237" s="694"/>
      <c r="L1237" s="579"/>
      <c r="M1237" s="579"/>
      <c r="N1237" s="579"/>
      <c r="O1237" s="631"/>
      <c r="P1237" s="631"/>
      <c r="Q1237" s="631"/>
      <c r="R1237" s="631"/>
      <c r="S1237" s="631"/>
      <c r="T1237" s="631"/>
      <c r="U1237" s="631"/>
      <c r="V1237" s="631"/>
      <c r="W1237" s="631"/>
      <c r="X1237" s="631"/>
      <c r="Y1237" s="631"/>
      <c r="Z1237" s="631"/>
      <c r="AA1237" s="631"/>
      <c r="AB1237" s="631"/>
      <c r="AC1237" s="631"/>
    </row>
    <row r="1238">
      <c r="A1238" s="631"/>
      <c r="B1238" s="694"/>
      <c r="C1238" s="694"/>
      <c r="D1238" s="694"/>
      <c r="E1238" s="694"/>
      <c r="F1238" s="631"/>
      <c r="G1238" s="631"/>
      <c r="H1238" s="631"/>
      <c r="I1238" s="579"/>
      <c r="J1238" s="579"/>
      <c r="K1238" s="694"/>
      <c r="L1238" s="579"/>
      <c r="M1238" s="579"/>
      <c r="N1238" s="579"/>
      <c r="O1238" s="631"/>
      <c r="P1238" s="631"/>
      <c r="Q1238" s="631"/>
      <c r="R1238" s="631"/>
      <c r="S1238" s="631"/>
      <c r="T1238" s="631"/>
      <c r="U1238" s="631"/>
      <c r="V1238" s="631"/>
      <c r="W1238" s="631"/>
      <c r="X1238" s="631"/>
      <c r="Y1238" s="631"/>
      <c r="Z1238" s="631"/>
      <c r="AA1238" s="631"/>
      <c r="AB1238" s="631"/>
      <c r="AC1238" s="631"/>
    </row>
    <row r="1239">
      <c r="A1239" s="631"/>
      <c r="B1239" s="694"/>
      <c r="C1239" s="694"/>
      <c r="D1239" s="694"/>
      <c r="E1239" s="694"/>
      <c r="F1239" s="631"/>
      <c r="G1239" s="631"/>
      <c r="H1239" s="631"/>
      <c r="I1239" s="579"/>
      <c r="J1239" s="579"/>
      <c r="K1239" s="694"/>
      <c r="L1239" s="579"/>
      <c r="M1239" s="579"/>
      <c r="N1239" s="579"/>
      <c r="O1239" s="631"/>
      <c r="P1239" s="631"/>
      <c r="Q1239" s="631"/>
      <c r="R1239" s="631"/>
      <c r="S1239" s="631"/>
      <c r="T1239" s="631"/>
      <c r="U1239" s="631"/>
      <c r="V1239" s="631"/>
      <c r="W1239" s="631"/>
      <c r="X1239" s="631"/>
      <c r="Y1239" s="631"/>
      <c r="Z1239" s="631"/>
      <c r="AA1239" s="631"/>
      <c r="AB1239" s="631"/>
      <c r="AC1239" s="631"/>
    </row>
    <row r="1240">
      <c r="A1240" s="631"/>
      <c r="B1240" s="694"/>
      <c r="C1240" s="694"/>
      <c r="D1240" s="694"/>
      <c r="E1240" s="694"/>
      <c r="F1240" s="631"/>
      <c r="G1240" s="631"/>
      <c r="H1240" s="631"/>
      <c r="I1240" s="579"/>
      <c r="J1240" s="579"/>
      <c r="K1240" s="694"/>
      <c r="L1240" s="579"/>
      <c r="M1240" s="579"/>
      <c r="N1240" s="579"/>
      <c r="O1240" s="631"/>
      <c r="P1240" s="631"/>
      <c r="Q1240" s="631"/>
      <c r="R1240" s="631"/>
      <c r="S1240" s="631"/>
      <c r="T1240" s="631"/>
      <c r="U1240" s="631"/>
      <c r="V1240" s="631"/>
      <c r="W1240" s="631"/>
      <c r="X1240" s="631"/>
      <c r="Y1240" s="631"/>
      <c r="Z1240" s="631"/>
      <c r="AA1240" s="631"/>
      <c r="AB1240" s="631"/>
      <c r="AC1240" s="631"/>
    </row>
    <row r="1241">
      <c r="A1241" s="631"/>
      <c r="B1241" s="694"/>
      <c r="C1241" s="694"/>
      <c r="D1241" s="694"/>
      <c r="E1241" s="694"/>
      <c r="F1241" s="631"/>
      <c r="G1241" s="631"/>
      <c r="H1241" s="631"/>
      <c r="I1241" s="579"/>
      <c r="J1241" s="579"/>
      <c r="K1241" s="694"/>
      <c r="L1241" s="579"/>
      <c r="M1241" s="579"/>
      <c r="N1241" s="579"/>
      <c r="O1241" s="631"/>
      <c r="P1241" s="631"/>
      <c r="Q1241" s="631"/>
      <c r="R1241" s="631"/>
      <c r="S1241" s="631"/>
      <c r="T1241" s="631"/>
      <c r="U1241" s="631"/>
      <c r="V1241" s="631"/>
      <c r="W1241" s="631"/>
      <c r="X1241" s="631"/>
      <c r="Y1241" s="631"/>
      <c r="Z1241" s="631"/>
      <c r="AA1241" s="631"/>
      <c r="AB1241" s="631"/>
      <c r="AC1241" s="631"/>
    </row>
    <row r="1242">
      <c r="A1242" s="631"/>
      <c r="B1242" s="694"/>
      <c r="C1242" s="694"/>
      <c r="D1242" s="694"/>
      <c r="E1242" s="694"/>
      <c r="F1242" s="631"/>
      <c r="G1242" s="631"/>
      <c r="H1242" s="631"/>
      <c r="I1242" s="579"/>
      <c r="J1242" s="579"/>
      <c r="K1242" s="694"/>
      <c r="L1242" s="579"/>
      <c r="M1242" s="579"/>
      <c r="N1242" s="579"/>
      <c r="O1242" s="631"/>
      <c r="P1242" s="631"/>
      <c r="Q1242" s="631"/>
      <c r="R1242" s="631"/>
      <c r="S1242" s="631"/>
      <c r="T1242" s="631"/>
      <c r="U1242" s="631"/>
      <c r="V1242" s="631"/>
      <c r="W1242" s="631"/>
      <c r="X1242" s="631"/>
      <c r="Y1242" s="631"/>
      <c r="Z1242" s="631"/>
      <c r="AA1242" s="631"/>
      <c r="AB1242" s="631"/>
      <c r="AC1242" s="631"/>
    </row>
    <row r="1243">
      <c r="A1243" s="631"/>
      <c r="B1243" s="694"/>
      <c r="C1243" s="694"/>
      <c r="D1243" s="694"/>
      <c r="E1243" s="694"/>
      <c r="F1243" s="631"/>
      <c r="G1243" s="631"/>
      <c r="H1243" s="631"/>
      <c r="I1243" s="579"/>
      <c r="J1243" s="579"/>
      <c r="K1243" s="694"/>
      <c r="L1243" s="579"/>
      <c r="M1243" s="579"/>
      <c r="N1243" s="579"/>
      <c r="O1243" s="631"/>
      <c r="P1243" s="631"/>
      <c r="Q1243" s="631"/>
      <c r="R1243" s="631"/>
      <c r="S1243" s="631"/>
      <c r="T1243" s="631"/>
      <c r="U1243" s="631"/>
      <c r="V1243" s="631"/>
      <c r="W1243" s="631"/>
      <c r="X1243" s="631"/>
      <c r="Y1243" s="631"/>
      <c r="Z1243" s="631"/>
      <c r="AA1243" s="631"/>
      <c r="AB1243" s="631"/>
      <c r="AC1243" s="631"/>
    </row>
    <row r="1244">
      <c r="A1244" s="631"/>
      <c r="B1244" s="694"/>
      <c r="C1244" s="694"/>
      <c r="D1244" s="694"/>
      <c r="E1244" s="694"/>
      <c r="F1244" s="631"/>
      <c r="G1244" s="631"/>
      <c r="H1244" s="631"/>
      <c r="I1244" s="579"/>
      <c r="J1244" s="579"/>
      <c r="K1244" s="694"/>
      <c r="L1244" s="579"/>
      <c r="M1244" s="579"/>
      <c r="N1244" s="579"/>
      <c r="O1244" s="631"/>
      <c r="P1244" s="631"/>
      <c r="Q1244" s="631"/>
      <c r="R1244" s="631"/>
      <c r="S1244" s="631"/>
      <c r="T1244" s="631"/>
      <c r="U1244" s="631"/>
      <c r="V1244" s="631"/>
      <c r="W1244" s="631"/>
      <c r="X1244" s="631"/>
      <c r="Y1244" s="631"/>
      <c r="Z1244" s="631"/>
      <c r="AA1244" s="631"/>
      <c r="AB1244" s="631"/>
      <c r="AC1244" s="631"/>
    </row>
    <row r="1245">
      <c r="A1245" s="631"/>
      <c r="B1245" s="694"/>
      <c r="C1245" s="694"/>
      <c r="D1245" s="694"/>
      <c r="E1245" s="694"/>
      <c r="F1245" s="631"/>
      <c r="G1245" s="631"/>
      <c r="H1245" s="631"/>
      <c r="I1245" s="579"/>
      <c r="J1245" s="579"/>
      <c r="K1245" s="694"/>
      <c r="L1245" s="579"/>
      <c r="M1245" s="579"/>
      <c r="N1245" s="579"/>
      <c r="O1245" s="631"/>
      <c r="P1245" s="631"/>
      <c r="Q1245" s="631"/>
      <c r="R1245" s="631"/>
      <c r="S1245" s="631"/>
      <c r="T1245" s="631"/>
      <c r="U1245" s="631"/>
      <c r="V1245" s="631"/>
      <c r="W1245" s="631"/>
      <c r="X1245" s="631"/>
      <c r="Y1245" s="631"/>
      <c r="Z1245" s="631"/>
      <c r="AA1245" s="631"/>
      <c r="AB1245" s="631"/>
      <c r="AC1245" s="631"/>
    </row>
    <row r="1246">
      <c r="A1246" s="631"/>
      <c r="B1246" s="694"/>
      <c r="C1246" s="694"/>
      <c r="D1246" s="694"/>
      <c r="E1246" s="694"/>
      <c r="F1246" s="631"/>
      <c r="G1246" s="631"/>
      <c r="H1246" s="631"/>
      <c r="I1246" s="579"/>
      <c r="J1246" s="579"/>
      <c r="K1246" s="694"/>
      <c r="L1246" s="579"/>
      <c r="M1246" s="579"/>
      <c r="N1246" s="579"/>
      <c r="O1246" s="631"/>
      <c r="P1246" s="631"/>
      <c r="Q1246" s="631"/>
      <c r="R1246" s="631"/>
      <c r="S1246" s="631"/>
      <c r="T1246" s="631"/>
      <c r="U1246" s="631"/>
      <c r="V1246" s="631"/>
      <c r="W1246" s="631"/>
      <c r="X1246" s="631"/>
      <c r="Y1246" s="631"/>
      <c r="Z1246" s="631"/>
      <c r="AA1246" s="631"/>
      <c r="AB1246" s="631"/>
      <c r="AC1246" s="631"/>
    </row>
    <row r="1247">
      <c r="A1247" s="631"/>
      <c r="B1247" s="694"/>
      <c r="C1247" s="694"/>
      <c r="D1247" s="694"/>
      <c r="E1247" s="694"/>
      <c r="F1247" s="631"/>
      <c r="G1247" s="631"/>
      <c r="H1247" s="631"/>
      <c r="I1247" s="579"/>
      <c r="J1247" s="579"/>
      <c r="K1247" s="694"/>
      <c r="L1247" s="579"/>
      <c r="M1247" s="579"/>
      <c r="N1247" s="579"/>
      <c r="O1247" s="631"/>
      <c r="P1247" s="631"/>
      <c r="Q1247" s="631"/>
      <c r="R1247" s="631"/>
      <c r="S1247" s="631"/>
      <c r="T1247" s="631"/>
      <c r="U1247" s="631"/>
      <c r="V1247" s="631"/>
      <c r="W1247" s="631"/>
      <c r="X1247" s="631"/>
      <c r="Y1247" s="631"/>
      <c r="Z1247" s="631"/>
      <c r="AA1247" s="631"/>
      <c r="AB1247" s="631"/>
      <c r="AC1247" s="631"/>
    </row>
    <row r="1248">
      <c r="A1248" s="631"/>
      <c r="B1248" s="694"/>
      <c r="C1248" s="694"/>
      <c r="D1248" s="694"/>
      <c r="E1248" s="694"/>
      <c r="F1248" s="631"/>
      <c r="G1248" s="631"/>
      <c r="H1248" s="631"/>
      <c r="I1248" s="579"/>
      <c r="J1248" s="579"/>
      <c r="K1248" s="694"/>
      <c r="L1248" s="579"/>
      <c r="M1248" s="579"/>
      <c r="N1248" s="579"/>
      <c r="O1248" s="631"/>
      <c r="P1248" s="631"/>
      <c r="Q1248" s="631"/>
      <c r="R1248" s="631"/>
      <c r="S1248" s="631"/>
      <c r="T1248" s="631"/>
      <c r="U1248" s="631"/>
      <c r="V1248" s="631"/>
      <c r="W1248" s="631"/>
      <c r="X1248" s="631"/>
      <c r="Y1248" s="631"/>
      <c r="Z1248" s="631"/>
      <c r="AA1248" s="631"/>
      <c r="AB1248" s="631"/>
      <c r="AC1248" s="631"/>
    </row>
    <row r="1249">
      <c r="A1249" s="631"/>
      <c r="B1249" s="694"/>
      <c r="C1249" s="694"/>
      <c r="D1249" s="694"/>
      <c r="E1249" s="694"/>
      <c r="F1249" s="631"/>
      <c r="G1249" s="631"/>
      <c r="H1249" s="631"/>
      <c r="I1249" s="579"/>
      <c r="J1249" s="579"/>
      <c r="K1249" s="694"/>
      <c r="L1249" s="579"/>
      <c r="M1249" s="579"/>
      <c r="N1249" s="579"/>
      <c r="O1249" s="631"/>
      <c r="P1249" s="631"/>
      <c r="Q1249" s="631"/>
      <c r="R1249" s="631"/>
      <c r="S1249" s="631"/>
      <c r="T1249" s="631"/>
      <c r="U1249" s="631"/>
      <c r="V1249" s="631"/>
      <c r="W1249" s="631"/>
      <c r="X1249" s="631"/>
      <c r="Y1249" s="631"/>
      <c r="Z1249" s="631"/>
      <c r="AA1249" s="631"/>
      <c r="AB1249" s="631"/>
      <c r="AC1249" s="631"/>
    </row>
    <row r="1250">
      <c r="A1250" s="631"/>
      <c r="B1250" s="694"/>
      <c r="C1250" s="694"/>
      <c r="D1250" s="694"/>
      <c r="E1250" s="694"/>
      <c r="F1250" s="631"/>
      <c r="G1250" s="631"/>
      <c r="H1250" s="631"/>
      <c r="I1250" s="579"/>
      <c r="J1250" s="579"/>
      <c r="K1250" s="694"/>
      <c r="L1250" s="579"/>
      <c r="M1250" s="579"/>
      <c r="N1250" s="579"/>
      <c r="O1250" s="631"/>
      <c r="P1250" s="631"/>
      <c r="Q1250" s="631"/>
      <c r="R1250" s="631"/>
      <c r="S1250" s="631"/>
      <c r="T1250" s="631"/>
      <c r="U1250" s="631"/>
      <c r="V1250" s="631"/>
      <c r="W1250" s="631"/>
      <c r="X1250" s="631"/>
      <c r="Y1250" s="631"/>
      <c r="Z1250" s="631"/>
      <c r="AA1250" s="631"/>
      <c r="AB1250" s="631"/>
      <c r="AC1250" s="631"/>
    </row>
    <row r="1251">
      <c r="A1251" s="631"/>
      <c r="B1251" s="694"/>
      <c r="C1251" s="694"/>
      <c r="D1251" s="694"/>
      <c r="E1251" s="694"/>
      <c r="F1251" s="631"/>
      <c r="G1251" s="631"/>
      <c r="H1251" s="631"/>
      <c r="I1251" s="579"/>
      <c r="J1251" s="579"/>
      <c r="K1251" s="694"/>
      <c r="L1251" s="579"/>
      <c r="M1251" s="579"/>
      <c r="N1251" s="579"/>
      <c r="O1251" s="631"/>
      <c r="P1251" s="631"/>
      <c r="Q1251" s="631"/>
      <c r="R1251" s="631"/>
      <c r="S1251" s="631"/>
      <c r="T1251" s="631"/>
      <c r="U1251" s="631"/>
      <c r="V1251" s="631"/>
      <c r="W1251" s="631"/>
      <c r="X1251" s="631"/>
      <c r="Y1251" s="631"/>
      <c r="Z1251" s="631"/>
      <c r="AA1251" s="631"/>
      <c r="AB1251" s="631"/>
      <c r="AC1251" s="631"/>
    </row>
    <row r="1252">
      <c r="A1252" s="631"/>
      <c r="B1252" s="694"/>
      <c r="C1252" s="694"/>
      <c r="D1252" s="694"/>
      <c r="E1252" s="694"/>
      <c r="F1252" s="631"/>
      <c r="G1252" s="631"/>
      <c r="H1252" s="631"/>
      <c r="I1252" s="579"/>
      <c r="J1252" s="579"/>
      <c r="K1252" s="694"/>
      <c r="L1252" s="579"/>
      <c r="M1252" s="579"/>
      <c r="N1252" s="579"/>
      <c r="O1252" s="631"/>
      <c r="P1252" s="631"/>
      <c r="Q1252" s="631"/>
      <c r="R1252" s="631"/>
      <c r="S1252" s="631"/>
      <c r="T1252" s="631"/>
      <c r="U1252" s="631"/>
      <c r="V1252" s="631"/>
      <c r="W1252" s="631"/>
      <c r="X1252" s="631"/>
      <c r="Y1252" s="631"/>
      <c r="Z1252" s="631"/>
      <c r="AA1252" s="631"/>
      <c r="AB1252" s="631"/>
      <c r="AC1252" s="631"/>
    </row>
    <row r="1253">
      <c r="A1253" s="631"/>
      <c r="B1253" s="694"/>
      <c r="C1253" s="694"/>
      <c r="D1253" s="694"/>
      <c r="E1253" s="694"/>
      <c r="F1253" s="631"/>
      <c r="G1253" s="631"/>
      <c r="H1253" s="631"/>
      <c r="I1253" s="579"/>
      <c r="J1253" s="579"/>
      <c r="K1253" s="694"/>
      <c r="L1253" s="579"/>
      <c r="M1253" s="579"/>
      <c r="N1253" s="579"/>
      <c r="O1253" s="631"/>
      <c r="P1253" s="631"/>
      <c r="Q1253" s="631"/>
      <c r="R1253" s="631"/>
      <c r="S1253" s="631"/>
      <c r="T1253" s="631"/>
      <c r="U1253" s="631"/>
      <c r="V1253" s="631"/>
      <c r="W1253" s="631"/>
      <c r="X1253" s="631"/>
      <c r="Y1253" s="631"/>
      <c r="Z1253" s="631"/>
      <c r="AA1253" s="631"/>
      <c r="AB1253" s="631"/>
      <c r="AC1253" s="631"/>
    </row>
    <row r="1254">
      <c r="A1254" s="631"/>
      <c r="B1254" s="694"/>
      <c r="C1254" s="694"/>
      <c r="D1254" s="694"/>
      <c r="E1254" s="694"/>
      <c r="F1254" s="631"/>
      <c r="G1254" s="631"/>
      <c r="H1254" s="631"/>
      <c r="I1254" s="579"/>
      <c r="J1254" s="579"/>
      <c r="K1254" s="694"/>
      <c r="L1254" s="579"/>
      <c r="M1254" s="579"/>
      <c r="N1254" s="579"/>
      <c r="O1254" s="631"/>
      <c r="P1254" s="631"/>
      <c r="Q1254" s="631"/>
      <c r="R1254" s="631"/>
      <c r="S1254" s="631"/>
      <c r="T1254" s="631"/>
      <c r="U1254" s="631"/>
      <c r="V1254" s="631"/>
      <c r="W1254" s="631"/>
      <c r="X1254" s="631"/>
      <c r="Y1254" s="631"/>
      <c r="Z1254" s="631"/>
      <c r="AA1254" s="631"/>
      <c r="AB1254" s="631"/>
      <c r="AC1254" s="631"/>
    </row>
    <row r="1255">
      <c r="A1255" s="631"/>
      <c r="B1255" s="694"/>
      <c r="C1255" s="694"/>
      <c r="D1255" s="694"/>
      <c r="E1255" s="694"/>
      <c r="F1255" s="631"/>
      <c r="G1255" s="631"/>
      <c r="H1255" s="631"/>
      <c r="I1255" s="579"/>
      <c r="J1255" s="579"/>
      <c r="K1255" s="694"/>
      <c r="L1255" s="579"/>
      <c r="M1255" s="579"/>
      <c r="N1255" s="579"/>
      <c r="O1255" s="631"/>
      <c r="P1255" s="631"/>
      <c r="Q1255" s="631"/>
      <c r="R1255" s="631"/>
      <c r="S1255" s="631"/>
      <c r="T1255" s="631"/>
      <c r="U1255" s="631"/>
      <c r="V1255" s="631"/>
      <c r="W1255" s="631"/>
      <c r="X1255" s="631"/>
      <c r="Y1255" s="631"/>
      <c r="Z1255" s="631"/>
      <c r="AA1255" s="631"/>
      <c r="AB1255" s="631"/>
      <c r="AC1255" s="631"/>
    </row>
    <row r="1256">
      <c r="A1256" s="631"/>
      <c r="B1256" s="694"/>
      <c r="C1256" s="694"/>
      <c r="D1256" s="694"/>
      <c r="E1256" s="694"/>
      <c r="F1256" s="631"/>
      <c r="G1256" s="631"/>
      <c r="H1256" s="631"/>
      <c r="I1256" s="579"/>
      <c r="J1256" s="579"/>
      <c r="K1256" s="694"/>
      <c r="L1256" s="579"/>
      <c r="M1256" s="579"/>
      <c r="N1256" s="579"/>
      <c r="O1256" s="631"/>
      <c r="P1256" s="631"/>
      <c r="Q1256" s="631"/>
      <c r="R1256" s="631"/>
      <c r="S1256" s="631"/>
      <c r="T1256" s="631"/>
      <c r="U1256" s="631"/>
      <c r="V1256" s="631"/>
      <c r="W1256" s="631"/>
      <c r="X1256" s="631"/>
      <c r="Y1256" s="631"/>
      <c r="Z1256" s="631"/>
      <c r="AA1256" s="631"/>
      <c r="AB1256" s="631"/>
      <c r="AC1256" s="631"/>
    </row>
    <row r="1257">
      <c r="A1257" s="631"/>
      <c r="B1257" s="694"/>
      <c r="C1257" s="694"/>
      <c r="D1257" s="694"/>
      <c r="E1257" s="694"/>
      <c r="F1257" s="631"/>
      <c r="G1257" s="631"/>
      <c r="H1257" s="631"/>
      <c r="I1257" s="579"/>
      <c r="J1257" s="579"/>
      <c r="K1257" s="694"/>
      <c r="L1257" s="579"/>
      <c r="M1257" s="579"/>
      <c r="N1257" s="579"/>
      <c r="O1257" s="631"/>
      <c r="P1257" s="631"/>
      <c r="Q1257" s="631"/>
      <c r="R1257" s="631"/>
      <c r="S1257" s="631"/>
      <c r="T1257" s="631"/>
      <c r="U1257" s="631"/>
      <c r="V1257" s="631"/>
      <c r="W1257" s="631"/>
      <c r="X1257" s="631"/>
      <c r="Y1257" s="631"/>
      <c r="Z1257" s="631"/>
      <c r="AA1257" s="631"/>
      <c r="AB1257" s="631"/>
      <c r="AC1257" s="631"/>
    </row>
    <row r="1258">
      <c r="A1258" s="631"/>
      <c r="B1258" s="694"/>
      <c r="C1258" s="694"/>
      <c r="D1258" s="694"/>
      <c r="E1258" s="694"/>
      <c r="F1258" s="631"/>
      <c r="G1258" s="631"/>
      <c r="H1258" s="631"/>
      <c r="I1258" s="579"/>
      <c r="J1258" s="579"/>
      <c r="K1258" s="694"/>
      <c r="L1258" s="579"/>
      <c r="M1258" s="579"/>
      <c r="N1258" s="579"/>
      <c r="O1258" s="631"/>
      <c r="P1258" s="631"/>
      <c r="Q1258" s="631"/>
      <c r="R1258" s="631"/>
      <c r="S1258" s="631"/>
      <c r="T1258" s="631"/>
      <c r="U1258" s="631"/>
      <c r="V1258" s="631"/>
      <c r="W1258" s="631"/>
      <c r="X1258" s="631"/>
      <c r="Y1258" s="631"/>
      <c r="Z1258" s="631"/>
      <c r="AA1258" s="631"/>
      <c r="AB1258" s="631"/>
      <c r="AC1258" s="631"/>
    </row>
    <row r="1259">
      <c r="A1259" s="631"/>
      <c r="B1259" s="694"/>
      <c r="C1259" s="694"/>
      <c r="D1259" s="694"/>
      <c r="E1259" s="694"/>
      <c r="F1259" s="631"/>
      <c r="G1259" s="631"/>
      <c r="H1259" s="631"/>
      <c r="I1259" s="579"/>
      <c r="J1259" s="579"/>
      <c r="K1259" s="694"/>
      <c r="L1259" s="579"/>
      <c r="M1259" s="579"/>
      <c r="N1259" s="579"/>
      <c r="O1259" s="631"/>
      <c r="P1259" s="631"/>
      <c r="Q1259" s="631"/>
      <c r="R1259" s="631"/>
      <c r="S1259" s="631"/>
      <c r="T1259" s="631"/>
      <c r="U1259" s="631"/>
      <c r="V1259" s="631"/>
      <c r="W1259" s="631"/>
      <c r="X1259" s="631"/>
      <c r="Y1259" s="631"/>
      <c r="Z1259" s="631"/>
      <c r="AA1259" s="631"/>
      <c r="AB1259" s="631"/>
      <c r="AC1259" s="631"/>
    </row>
    <row r="1260">
      <c r="A1260" s="631"/>
      <c r="B1260" s="694"/>
      <c r="C1260" s="694"/>
      <c r="D1260" s="694"/>
      <c r="E1260" s="694"/>
      <c r="F1260" s="631"/>
      <c r="G1260" s="631"/>
      <c r="H1260" s="631"/>
      <c r="I1260" s="579"/>
      <c r="J1260" s="579"/>
      <c r="K1260" s="694"/>
      <c r="L1260" s="579"/>
      <c r="M1260" s="579"/>
      <c r="N1260" s="579"/>
      <c r="O1260" s="631"/>
      <c r="P1260" s="631"/>
      <c r="Q1260" s="631"/>
      <c r="R1260" s="631"/>
      <c r="S1260" s="631"/>
      <c r="T1260" s="631"/>
      <c r="U1260" s="631"/>
      <c r="V1260" s="631"/>
      <c r="W1260" s="631"/>
      <c r="X1260" s="631"/>
      <c r="Y1260" s="631"/>
      <c r="Z1260" s="631"/>
      <c r="AA1260" s="631"/>
      <c r="AB1260" s="631"/>
      <c r="AC1260" s="631"/>
    </row>
    <row r="1261">
      <c r="A1261" s="631"/>
      <c r="B1261" s="694"/>
      <c r="C1261" s="694"/>
      <c r="D1261" s="694"/>
      <c r="E1261" s="694"/>
      <c r="F1261" s="631"/>
      <c r="G1261" s="631"/>
      <c r="H1261" s="631"/>
      <c r="I1261" s="579"/>
      <c r="J1261" s="579"/>
      <c r="K1261" s="694"/>
      <c r="L1261" s="579"/>
      <c r="M1261" s="579"/>
      <c r="N1261" s="579"/>
      <c r="O1261" s="631"/>
      <c r="P1261" s="631"/>
      <c r="Q1261" s="631"/>
      <c r="R1261" s="631"/>
      <c r="S1261" s="631"/>
      <c r="T1261" s="631"/>
      <c r="U1261" s="631"/>
      <c r="V1261" s="631"/>
      <c r="W1261" s="631"/>
      <c r="X1261" s="631"/>
      <c r="Y1261" s="631"/>
      <c r="Z1261" s="631"/>
      <c r="AA1261" s="631"/>
      <c r="AB1261" s="631"/>
      <c r="AC1261" s="631"/>
    </row>
    <row r="1262">
      <c r="A1262" s="631"/>
      <c r="B1262" s="694"/>
      <c r="C1262" s="694"/>
      <c r="D1262" s="694"/>
      <c r="E1262" s="694"/>
      <c r="F1262" s="631"/>
      <c r="G1262" s="631"/>
      <c r="H1262" s="631"/>
      <c r="I1262" s="579"/>
      <c r="J1262" s="579"/>
      <c r="K1262" s="694"/>
      <c r="L1262" s="579"/>
      <c r="M1262" s="579"/>
      <c r="N1262" s="579"/>
      <c r="O1262" s="631"/>
      <c r="P1262" s="631"/>
      <c r="Q1262" s="631"/>
      <c r="R1262" s="631"/>
      <c r="S1262" s="631"/>
      <c r="T1262" s="631"/>
      <c r="U1262" s="631"/>
      <c r="V1262" s="631"/>
      <c r="W1262" s="631"/>
      <c r="X1262" s="631"/>
      <c r="Y1262" s="631"/>
      <c r="Z1262" s="631"/>
      <c r="AA1262" s="631"/>
      <c r="AB1262" s="631"/>
      <c r="AC1262" s="631"/>
    </row>
    <row r="1263">
      <c r="A1263" s="631"/>
      <c r="B1263" s="694"/>
      <c r="C1263" s="694"/>
      <c r="D1263" s="694"/>
      <c r="E1263" s="694"/>
      <c r="F1263" s="631"/>
      <c r="G1263" s="631"/>
      <c r="H1263" s="631"/>
      <c r="I1263" s="579"/>
      <c r="J1263" s="579"/>
      <c r="K1263" s="694"/>
      <c r="L1263" s="579"/>
      <c r="M1263" s="579"/>
      <c r="N1263" s="579"/>
      <c r="O1263" s="631"/>
      <c r="P1263" s="631"/>
      <c r="Q1263" s="631"/>
      <c r="R1263" s="631"/>
      <c r="S1263" s="631"/>
      <c r="T1263" s="631"/>
      <c r="U1263" s="631"/>
      <c r="V1263" s="631"/>
      <c r="W1263" s="631"/>
      <c r="X1263" s="631"/>
      <c r="Y1263" s="631"/>
      <c r="Z1263" s="631"/>
      <c r="AA1263" s="631"/>
      <c r="AB1263" s="631"/>
      <c r="AC1263" s="631"/>
    </row>
    <row r="1264">
      <c r="A1264" s="631"/>
      <c r="B1264" s="694"/>
      <c r="C1264" s="694"/>
      <c r="D1264" s="694"/>
      <c r="E1264" s="694"/>
      <c r="F1264" s="631"/>
      <c r="G1264" s="631"/>
      <c r="H1264" s="631"/>
      <c r="I1264" s="579"/>
      <c r="J1264" s="579"/>
      <c r="K1264" s="694"/>
      <c r="L1264" s="579"/>
      <c r="M1264" s="579"/>
      <c r="N1264" s="579"/>
      <c r="O1264" s="631"/>
      <c r="P1264" s="631"/>
      <c r="Q1264" s="631"/>
      <c r="R1264" s="631"/>
      <c r="S1264" s="631"/>
      <c r="T1264" s="631"/>
      <c r="U1264" s="631"/>
      <c r="V1264" s="631"/>
      <c r="W1264" s="631"/>
      <c r="X1264" s="631"/>
      <c r="Y1264" s="631"/>
      <c r="Z1264" s="631"/>
      <c r="AA1264" s="631"/>
      <c r="AB1264" s="631"/>
      <c r="AC1264" s="631"/>
    </row>
    <row r="1265">
      <c r="A1265" s="631"/>
      <c r="B1265" s="694"/>
      <c r="C1265" s="694"/>
      <c r="D1265" s="694"/>
      <c r="E1265" s="694"/>
      <c r="F1265" s="631"/>
      <c r="G1265" s="631"/>
      <c r="H1265" s="631"/>
      <c r="I1265" s="579"/>
      <c r="J1265" s="579"/>
      <c r="K1265" s="694"/>
      <c r="L1265" s="579"/>
      <c r="M1265" s="579"/>
      <c r="N1265" s="579"/>
      <c r="O1265" s="631"/>
      <c r="P1265" s="631"/>
      <c r="Q1265" s="631"/>
      <c r="R1265" s="631"/>
      <c r="S1265" s="631"/>
      <c r="T1265" s="631"/>
      <c r="U1265" s="631"/>
      <c r="V1265" s="631"/>
      <c r="W1265" s="631"/>
      <c r="X1265" s="631"/>
      <c r="Y1265" s="631"/>
      <c r="Z1265" s="631"/>
      <c r="AA1265" s="631"/>
      <c r="AB1265" s="631"/>
      <c r="AC1265" s="631"/>
    </row>
    <row r="1266">
      <c r="A1266" s="631"/>
      <c r="B1266" s="694"/>
      <c r="C1266" s="694"/>
      <c r="D1266" s="694"/>
      <c r="E1266" s="694"/>
      <c r="F1266" s="631"/>
      <c r="G1266" s="631"/>
      <c r="H1266" s="631"/>
      <c r="I1266" s="579"/>
      <c r="J1266" s="579"/>
      <c r="K1266" s="694"/>
      <c r="L1266" s="579"/>
      <c r="M1266" s="579"/>
      <c r="N1266" s="579"/>
      <c r="O1266" s="631"/>
      <c r="P1266" s="631"/>
      <c r="Q1266" s="631"/>
      <c r="R1266" s="631"/>
      <c r="S1266" s="631"/>
      <c r="T1266" s="631"/>
      <c r="U1266" s="631"/>
      <c r="V1266" s="631"/>
      <c r="W1266" s="631"/>
      <c r="X1266" s="631"/>
      <c r="Y1266" s="631"/>
      <c r="Z1266" s="631"/>
      <c r="AA1266" s="631"/>
      <c r="AB1266" s="631"/>
      <c r="AC1266" s="631"/>
    </row>
    <row r="1267">
      <c r="A1267" s="631"/>
      <c r="B1267" s="694"/>
      <c r="C1267" s="694"/>
      <c r="D1267" s="694"/>
      <c r="E1267" s="694"/>
      <c r="F1267" s="631"/>
      <c r="G1267" s="631"/>
      <c r="H1267" s="631"/>
      <c r="I1267" s="579"/>
      <c r="J1267" s="579"/>
      <c r="K1267" s="694"/>
      <c r="L1267" s="579"/>
      <c r="M1267" s="579"/>
      <c r="N1267" s="579"/>
      <c r="O1267" s="631"/>
      <c r="P1267" s="631"/>
      <c r="Q1267" s="631"/>
      <c r="R1267" s="631"/>
      <c r="S1267" s="631"/>
      <c r="T1267" s="631"/>
      <c r="U1267" s="631"/>
      <c r="V1267" s="631"/>
      <c r="W1267" s="631"/>
      <c r="X1267" s="631"/>
      <c r="Y1267" s="631"/>
      <c r="Z1267" s="631"/>
      <c r="AA1267" s="631"/>
      <c r="AB1267" s="631"/>
      <c r="AC1267" s="631"/>
    </row>
    <row r="1268">
      <c r="A1268" s="631"/>
      <c r="B1268" s="694"/>
      <c r="C1268" s="694"/>
      <c r="D1268" s="694"/>
      <c r="E1268" s="694"/>
      <c r="F1268" s="631"/>
      <c r="G1268" s="631"/>
      <c r="H1268" s="631"/>
      <c r="I1268" s="579"/>
      <c r="J1268" s="579"/>
      <c r="K1268" s="694"/>
      <c r="L1268" s="579"/>
      <c r="M1268" s="579"/>
      <c r="N1268" s="579"/>
      <c r="O1268" s="631"/>
      <c r="P1268" s="631"/>
      <c r="Q1268" s="631"/>
      <c r="R1268" s="631"/>
      <c r="S1268" s="631"/>
      <c r="T1268" s="631"/>
      <c r="U1268" s="631"/>
      <c r="V1268" s="631"/>
      <c r="W1268" s="631"/>
      <c r="X1268" s="631"/>
      <c r="Y1268" s="631"/>
      <c r="Z1268" s="631"/>
      <c r="AA1268" s="631"/>
      <c r="AB1268" s="631"/>
      <c r="AC1268" s="631"/>
    </row>
    <row r="1269">
      <c r="A1269" s="631"/>
      <c r="B1269" s="694"/>
      <c r="C1269" s="694"/>
      <c r="D1269" s="694"/>
      <c r="E1269" s="694"/>
      <c r="F1269" s="631"/>
      <c r="G1269" s="631"/>
      <c r="H1269" s="631"/>
      <c r="I1269" s="579"/>
      <c r="J1269" s="579"/>
      <c r="K1269" s="694"/>
      <c r="L1269" s="579"/>
      <c r="M1269" s="579"/>
      <c r="N1269" s="579"/>
      <c r="O1269" s="631"/>
      <c r="P1269" s="631"/>
      <c r="Q1269" s="631"/>
      <c r="R1269" s="631"/>
      <c r="S1269" s="631"/>
      <c r="T1269" s="631"/>
      <c r="U1269" s="631"/>
      <c r="V1269" s="631"/>
      <c r="W1269" s="631"/>
      <c r="X1269" s="631"/>
      <c r="Y1269" s="631"/>
      <c r="Z1269" s="631"/>
      <c r="AA1269" s="631"/>
      <c r="AB1269" s="631"/>
      <c r="AC1269" s="631"/>
    </row>
    <row r="1270">
      <c r="A1270" s="631"/>
      <c r="B1270" s="694"/>
      <c r="C1270" s="694"/>
      <c r="D1270" s="694"/>
      <c r="E1270" s="694"/>
      <c r="F1270" s="631"/>
      <c r="G1270" s="631"/>
      <c r="H1270" s="631"/>
      <c r="I1270" s="579"/>
      <c r="J1270" s="579"/>
      <c r="K1270" s="694"/>
      <c r="L1270" s="579"/>
      <c r="M1270" s="579"/>
      <c r="N1270" s="579"/>
      <c r="O1270" s="631"/>
      <c r="P1270" s="631"/>
      <c r="Q1270" s="631"/>
      <c r="R1270" s="631"/>
      <c r="S1270" s="631"/>
      <c r="T1270" s="631"/>
      <c r="U1270" s="631"/>
      <c r="V1270" s="631"/>
      <c r="W1270" s="631"/>
      <c r="X1270" s="631"/>
      <c r="Y1270" s="631"/>
      <c r="Z1270" s="631"/>
      <c r="AA1270" s="631"/>
      <c r="AB1270" s="631"/>
      <c r="AC1270" s="631"/>
    </row>
    <row r="1271">
      <c r="A1271" s="631"/>
      <c r="B1271" s="694"/>
      <c r="C1271" s="694"/>
      <c r="D1271" s="694"/>
      <c r="E1271" s="694"/>
      <c r="F1271" s="631"/>
      <c r="G1271" s="631"/>
      <c r="H1271" s="631"/>
      <c r="I1271" s="579"/>
      <c r="J1271" s="579"/>
      <c r="K1271" s="694"/>
      <c r="L1271" s="579"/>
      <c r="M1271" s="579"/>
      <c r="N1271" s="579"/>
      <c r="O1271" s="631"/>
      <c r="P1271" s="631"/>
      <c r="Q1271" s="631"/>
      <c r="R1271" s="631"/>
      <c r="S1271" s="631"/>
      <c r="T1271" s="631"/>
      <c r="U1271" s="631"/>
      <c r="V1271" s="631"/>
      <c r="W1271" s="631"/>
      <c r="X1271" s="631"/>
      <c r="Y1271" s="631"/>
      <c r="Z1271" s="631"/>
      <c r="AA1271" s="631"/>
      <c r="AB1271" s="631"/>
      <c r="AC1271" s="631"/>
    </row>
    <row r="1272">
      <c r="A1272" s="631"/>
      <c r="B1272" s="694"/>
      <c r="C1272" s="694"/>
      <c r="D1272" s="694"/>
      <c r="E1272" s="694"/>
      <c r="F1272" s="631"/>
      <c r="G1272" s="631"/>
      <c r="H1272" s="631"/>
      <c r="I1272" s="579"/>
      <c r="J1272" s="579"/>
      <c r="K1272" s="694"/>
      <c r="L1272" s="579"/>
      <c r="M1272" s="579"/>
      <c r="N1272" s="579"/>
      <c r="O1272" s="631"/>
      <c r="P1272" s="631"/>
      <c r="Q1272" s="631"/>
      <c r="R1272" s="631"/>
      <c r="S1272" s="631"/>
      <c r="T1272" s="631"/>
      <c r="U1272" s="631"/>
      <c r="V1272" s="631"/>
      <c r="W1272" s="631"/>
      <c r="X1272" s="631"/>
      <c r="Y1272" s="631"/>
      <c r="Z1272" s="631"/>
      <c r="AA1272" s="631"/>
      <c r="AB1272" s="631"/>
      <c r="AC1272" s="631"/>
    </row>
    <row r="1273">
      <c r="A1273" s="631"/>
      <c r="B1273" s="694"/>
      <c r="C1273" s="694"/>
      <c r="D1273" s="694"/>
      <c r="E1273" s="694"/>
      <c r="F1273" s="631"/>
      <c r="G1273" s="631"/>
      <c r="H1273" s="631"/>
      <c r="I1273" s="579"/>
      <c r="J1273" s="579"/>
      <c r="K1273" s="694"/>
      <c r="L1273" s="579"/>
      <c r="M1273" s="579"/>
      <c r="N1273" s="579"/>
      <c r="O1273" s="631"/>
      <c r="P1273" s="631"/>
      <c r="Q1273" s="631"/>
      <c r="R1273" s="631"/>
      <c r="S1273" s="631"/>
      <c r="T1273" s="631"/>
      <c r="U1273" s="631"/>
      <c r="V1273" s="631"/>
      <c r="W1273" s="631"/>
      <c r="X1273" s="631"/>
      <c r="Y1273" s="631"/>
      <c r="Z1273" s="631"/>
      <c r="AA1273" s="631"/>
      <c r="AB1273" s="631"/>
      <c r="AC1273" s="631"/>
    </row>
    <row r="1274">
      <c r="A1274" s="631"/>
      <c r="B1274" s="694"/>
      <c r="C1274" s="694"/>
      <c r="D1274" s="694"/>
      <c r="E1274" s="694"/>
      <c r="F1274" s="631"/>
      <c r="G1274" s="631"/>
      <c r="H1274" s="631"/>
      <c r="I1274" s="579"/>
      <c r="J1274" s="579"/>
      <c r="K1274" s="694"/>
      <c r="L1274" s="579"/>
      <c r="M1274" s="579"/>
      <c r="N1274" s="579"/>
      <c r="O1274" s="631"/>
      <c r="P1274" s="631"/>
      <c r="Q1274" s="631"/>
      <c r="R1274" s="631"/>
      <c r="S1274" s="631"/>
      <c r="T1274" s="631"/>
      <c r="U1274" s="631"/>
      <c r="V1274" s="631"/>
      <c r="W1274" s="631"/>
      <c r="X1274" s="631"/>
      <c r="Y1274" s="631"/>
      <c r="Z1274" s="631"/>
      <c r="AA1274" s="631"/>
      <c r="AB1274" s="631"/>
      <c r="AC1274" s="631"/>
    </row>
    <row r="1275">
      <c r="A1275" s="631"/>
      <c r="B1275" s="694"/>
      <c r="C1275" s="694"/>
      <c r="D1275" s="694"/>
      <c r="E1275" s="694"/>
      <c r="F1275" s="631"/>
      <c r="G1275" s="631"/>
      <c r="H1275" s="631"/>
      <c r="I1275" s="579"/>
      <c r="J1275" s="579"/>
      <c r="K1275" s="694"/>
      <c r="L1275" s="579"/>
      <c r="M1275" s="579"/>
      <c r="N1275" s="579"/>
      <c r="O1275" s="631"/>
      <c r="P1275" s="631"/>
      <c r="Q1275" s="631"/>
      <c r="R1275" s="631"/>
      <c r="S1275" s="631"/>
      <c r="T1275" s="631"/>
      <c r="U1275" s="631"/>
      <c r="V1275" s="631"/>
      <c r="W1275" s="631"/>
      <c r="X1275" s="631"/>
      <c r="Y1275" s="631"/>
      <c r="Z1275" s="631"/>
      <c r="AA1275" s="631"/>
      <c r="AB1275" s="631"/>
      <c r="AC1275" s="631"/>
    </row>
    <row r="1276">
      <c r="A1276" s="631"/>
      <c r="B1276" s="694"/>
      <c r="C1276" s="694"/>
      <c r="D1276" s="694"/>
      <c r="E1276" s="694"/>
      <c r="F1276" s="631"/>
      <c r="G1276" s="631"/>
      <c r="H1276" s="631"/>
      <c r="I1276" s="579"/>
      <c r="J1276" s="579"/>
      <c r="K1276" s="694"/>
      <c r="L1276" s="579"/>
      <c r="M1276" s="579"/>
      <c r="N1276" s="579"/>
      <c r="O1276" s="631"/>
      <c r="P1276" s="631"/>
      <c r="Q1276" s="631"/>
      <c r="R1276" s="631"/>
      <c r="S1276" s="631"/>
      <c r="T1276" s="631"/>
      <c r="U1276" s="631"/>
      <c r="V1276" s="631"/>
      <c r="W1276" s="631"/>
      <c r="X1276" s="631"/>
      <c r="Y1276" s="631"/>
      <c r="Z1276" s="631"/>
      <c r="AA1276" s="631"/>
      <c r="AB1276" s="631"/>
      <c r="AC1276" s="631"/>
    </row>
    <row r="1277">
      <c r="A1277" s="631"/>
      <c r="B1277" s="694"/>
      <c r="C1277" s="694"/>
      <c r="D1277" s="694"/>
      <c r="E1277" s="694"/>
      <c r="F1277" s="631"/>
      <c r="G1277" s="631"/>
      <c r="H1277" s="631"/>
      <c r="I1277" s="579"/>
      <c r="J1277" s="579"/>
      <c r="K1277" s="694"/>
      <c r="L1277" s="579"/>
      <c r="M1277" s="579"/>
      <c r="N1277" s="579"/>
      <c r="O1277" s="631"/>
      <c r="P1277" s="631"/>
      <c r="Q1277" s="631"/>
      <c r="R1277" s="631"/>
      <c r="S1277" s="631"/>
      <c r="T1277" s="631"/>
      <c r="U1277" s="631"/>
      <c r="V1277" s="631"/>
      <c r="W1277" s="631"/>
      <c r="X1277" s="631"/>
      <c r="Y1277" s="631"/>
      <c r="Z1277" s="631"/>
      <c r="AA1277" s="631"/>
      <c r="AB1277" s="631"/>
      <c r="AC1277" s="631"/>
    </row>
    <row r="1278">
      <c r="A1278" s="631"/>
      <c r="B1278" s="694"/>
      <c r="C1278" s="694"/>
      <c r="D1278" s="694"/>
      <c r="E1278" s="694"/>
      <c r="F1278" s="631"/>
      <c r="G1278" s="631"/>
      <c r="H1278" s="631"/>
      <c r="I1278" s="579"/>
      <c r="J1278" s="579"/>
      <c r="K1278" s="694"/>
      <c r="L1278" s="579"/>
      <c r="M1278" s="579"/>
      <c r="N1278" s="579"/>
      <c r="O1278" s="631"/>
      <c r="P1278" s="631"/>
      <c r="Q1278" s="631"/>
      <c r="R1278" s="631"/>
      <c r="S1278" s="631"/>
      <c r="T1278" s="631"/>
      <c r="U1278" s="631"/>
      <c r="V1278" s="631"/>
      <c r="W1278" s="631"/>
      <c r="X1278" s="631"/>
      <c r="Y1278" s="631"/>
      <c r="Z1278" s="631"/>
      <c r="AA1278" s="631"/>
      <c r="AB1278" s="631"/>
      <c r="AC1278" s="631"/>
    </row>
    <row r="1279">
      <c r="A1279" s="631"/>
      <c r="B1279" s="694"/>
      <c r="C1279" s="694"/>
      <c r="D1279" s="694"/>
      <c r="E1279" s="694"/>
      <c r="F1279" s="631"/>
      <c r="G1279" s="631"/>
      <c r="H1279" s="631"/>
      <c r="I1279" s="579"/>
      <c r="J1279" s="579"/>
      <c r="K1279" s="694"/>
      <c r="L1279" s="579"/>
      <c r="M1279" s="579"/>
      <c r="N1279" s="579"/>
      <c r="O1279" s="631"/>
      <c r="P1279" s="631"/>
      <c r="Q1279" s="631"/>
      <c r="R1279" s="631"/>
      <c r="S1279" s="631"/>
      <c r="T1279" s="631"/>
      <c r="U1279" s="631"/>
      <c r="V1279" s="631"/>
      <c r="W1279" s="631"/>
      <c r="X1279" s="631"/>
      <c r="Y1279" s="631"/>
      <c r="Z1279" s="631"/>
      <c r="AA1279" s="631"/>
      <c r="AB1279" s="631"/>
      <c r="AC1279" s="631"/>
    </row>
    <row r="1280">
      <c r="A1280" s="631"/>
      <c r="B1280" s="694"/>
      <c r="C1280" s="694"/>
      <c r="D1280" s="694"/>
      <c r="E1280" s="694"/>
      <c r="F1280" s="631"/>
      <c r="G1280" s="631"/>
      <c r="H1280" s="631"/>
      <c r="I1280" s="579"/>
      <c r="J1280" s="579"/>
      <c r="K1280" s="694"/>
      <c r="L1280" s="579"/>
      <c r="M1280" s="579"/>
      <c r="N1280" s="579"/>
      <c r="O1280" s="631"/>
      <c r="P1280" s="631"/>
      <c r="Q1280" s="631"/>
      <c r="R1280" s="631"/>
      <c r="S1280" s="631"/>
      <c r="T1280" s="631"/>
      <c r="U1280" s="631"/>
      <c r="V1280" s="631"/>
      <c r="W1280" s="631"/>
      <c r="X1280" s="631"/>
      <c r="Y1280" s="631"/>
      <c r="Z1280" s="631"/>
      <c r="AA1280" s="631"/>
      <c r="AB1280" s="631"/>
      <c r="AC1280" s="631"/>
    </row>
    <row r="1281">
      <c r="A1281" s="631"/>
      <c r="B1281" s="694"/>
      <c r="C1281" s="694"/>
      <c r="D1281" s="694"/>
      <c r="E1281" s="694"/>
      <c r="F1281" s="631"/>
      <c r="G1281" s="631"/>
      <c r="H1281" s="631"/>
      <c r="I1281" s="579"/>
      <c r="J1281" s="579"/>
      <c r="K1281" s="694"/>
      <c r="L1281" s="579"/>
      <c r="M1281" s="579"/>
      <c r="N1281" s="579"/>
      <c r="O1281" s="631"/>
      <c r="P1281" s="631"/>
      <c r="Q1281" s="631"/>
      <c r="R1281" s="631"/>
      <c r="S1281" s="631"/>
      <c r="T1281" s="631"/>
      <c r="U1281" s="631"/>
      <c r="V1281" s="631"/>
      <c r="W1281" s="631"/>
      <c r="X1281" s="631"/>
      <c r="Y1281" s="631"/>
      <c r="Z1281" s="631"/>
      <c r="AA1281" s="631"/>
      <c r="AB1281" s="631"/>
      <c r="AC1281" s="631"/>
    </row>
    <row r="1282">
      <c r="A1282" s="631"/>
      <c r="B1282" s="694"/>
      <c r="C1282" s="694"/>
      <c r="D1282" s="694"/>
      <c r="E1282" s="694"/>
      <c r="F1282" s="631"/>
      <c r="G1282" s="631"/>
      <c r="H1282" s="631"/>
      <c r="I1282" s="579"/>
      <c r="J1282" s="579"/>
      <c r="K1282" s="694"/>
      <c r="L1282" s="579"/>
      <c r="M1282" s="579"/>
      <c r="N1282" s="579"/>
      <c r="O1282" s="631"/>
      <c r="P1282" s="631"/>
      <c r="Q1282" s="631"/>
      <c r="R1282" s="631"/>
      <c r="S1282" s="631"/>
      <c r="T1282" s="631"/>
      <c r="U1282" s="631"/>
      <c r="V1282" s="631"/>
      <c r="W1282" s="631"/>
      <c r="X1282" s="631"/>
      <c r="Y1282" s="631"/>
      <c r="Z1282" s="631"/>
      <c r="AA1282" s="631"/>
      <c r="AB1282" s="631"/>
      <c r="AC1282" s="631"/>
    </row>
    <row r="1283">
      <c r="A1283" s="631"/>
      <c r="B1283" s="694"/>
      <c r="C1283" s="694"/>
      <c r="D1283" s="694"/>
      <c r="E1283" s="694"/>
      <c r="F1283" s="631"/>
      <c r="G1283" s="631"/>
      <c r="H1283" s="631"/>
      <c r="I1283" s="579"/>
      <c r="J1283" s="579"/>
      <c r="K1283" s="694"/>
      <c r="L1283" s="579"/>
      <c r="M1283" s="579"/>
      <c r="N1283" s="579"/>
      <c r="O1283" s="631"/>
      <c r="P1283" s="631"/>
      <c r="Q1283" s="631"/>
      <c r="R1283" s="631"/>
      <c r="S1283" s="631"/>
      <c r="T1283" s="631"/>
      <c r="U1283" s="631"/>
      <c r="V1283" s="631"/>
      <c r="W1283" s="631"/>
      <c r="X1283" s="631"/>
      <c r="Y1283" s="631"/>
      <c r="Z1283" s="631"/>
      <c r="AA1283" s="631"/>
      <c r="AB1283" s="631"/>
      <c r="AC1283" s="631"/>
    </row>
    <row r="1284">
      <c r="A1284" s="631"/>
      <c r="B1284" s="694"/>
      <c r="C1284" s="694"/>
      <c r="D1284" s="694"/>
      <c r="E1284" s="694"/>
      <c r="F1284" s="631"/>
      <c r="G1284" s="631"/>
      <c r="H1284" s="631"/>
      <c r="I1284" s="579"/>
      <c r="J1284" s="579"/>
      <c r="K1284" s="694"/>
      <c r="L1284" s="579"/>
      <c r="M1284" s="579"/>
      <c r="N1284" s="579"/>
      <c r="O1284" s="631"/>
      <c r="P1284" s="631"/>
      <c r="Q1284" s="631"/>
      <c r="R1284" s="631"/>
      <c r="S1284" s="631"/>
      <c r="T1284" s="631"/>
      <c r="U1284" s="631"/>
      <c r="V1284" s="631"/>
      <c r="W1284" s="631"/>
      <c r="X1284" s="631"/>
      <c r="Y1284" s="631"/>
      <c r="Z1284" s="631"/>
      <c r="AA1284" s="631"/>
      <c r="AB1284" s="631"/>
      <c r="AC1284" s="631"/>
    </row>
    <row r="1285">
      <c r="A1285" s="631"/>
      <c r="B1285" s="694"/>
      <c r="C1285" s="694"/>
      <c r="D1285" s="694"/>
      <c r="E1285" s="694"/>
      <c r="F1285" s="631"/>
      <c r="G1285" s="631"/>
      <c r="H1285" s="631"/>
      <c r="I1285" s="579"/>
      <c r="J1285" s="579"/>
      <c r="K1285" s="694"/>
      <c r="L1285" s="579"/>
      <c r="M1285" s="579"/>
      <c r="N1285" s="579"/>
      <c r="O1285" s="631"/>
      <c r="P1285" s="631"/>
      <c r="Q1285" s="631"/>
      <c r="R1285" s="631"/>
      <c r="S1285" s="631"/>
      <c r="T1285" s="631"/>
      <c r="U1285" s="631"/>
      <c r="V1285" s="631"/>
      <c r="W1285" s="631"/>
      <c r="X1285" s="631"/>
      <c r="Y1285" s="631"/>
      <c r="Z1285" s="631"/>
      <c r="AA1285" s="631"/>
      <c r="AB1285" s="631"/>
      <c r="AC1285" s="631"/>
    </row>
    <row r="1286">
      <c r="A1286" s="631"/>
      <c r="B1286" s="694"/>
      <c r="C1286" s="694"/>
      <c r="D1286" s="694"/>
      <c r="E1286" s="694"/>
      <c r="F1286" s="631"/>
      <c r="G1286" s="631"/>
      <c r="H1286" s="631"/>
      <c r="I1286" s="579"/>
      <c r="J1286" s="579"/>
      <c r="K1286" s="694"/>
      <c r="L1286" s="579"/>
      <c r="M1286" s="579"/>
      <c r="N1286" s="579"/>
      <c r="O1286" s="631"/>
      <c r="P1286" s="631"/>
      <c r="Q1286" s="631"/>
      <c r="R1286" s="631"/>
      <c r="S1286" s="631"/>
      <c r="T1286" s="631"/>
      <c r="U1286" s="631"/>
      <c r="V1286" s="631"/>
      <c r="W1286" s="631"/>
      <c r="X1286" s="631"/>
      <c r="Y1286" s="631"/>
      <c r="Z1286" s="631"/>
      <c r="AA1286" s="631"/>
      <c r="AB1286" s="631"/>
      <c r="AC1286" s="631"/>
    </row>
    <row r="1287">
      <c r="A1287" s="631"/>
      <c r="B1287" s="694"/>
      <c r="C1287" s="694"/>
      <c r="D1287" s="694"/>
      <c r="E1287" s="694"/>
      <c r="F1287" s="631"/>
      <c r="G1287" s="631"/>
      <c r="H1287" s="631"/>
      <c r="I1287" s="579"/>
      <c r="J1287" s="579"/>
      <c r="K1287" s="694"/>
      <c r="L1287" s="579"/>
      <c r="M1287" s="579"/>
      <c r="N1287" s="579"/>
      <c r="O1287" s="631"/>
      <c r="P1287" s="631"/>
      <c r="Q1287" s="631"/>
      <c r="R1287" s="631"/>
      <c r="S1287" s="631"/>
      <c r="T1287" s="631"/>
      <c r="U1287" s="631"/>
      <c r="V1287" s="631"/>
      <c r="W1287" s="631"/>
      <c r="X1287" s="631"/>
      <c r="Y1287" s="631"/>
      <c r="Z1287" s="631"/>
      <c r="AA1287" s="631"/>
      <c r="AB1287" s="631"/>
      <c r="AC1287" s="631"/>
    </row>
    <row r="1288">
      <c r="A1288" s="631"/>
      <c r="B1288" s="694"/>
      <c r="C1288" s="694"/>
      <c r="D1288" s="694"/>
      <c r="E1288" s="694"/>
      <c r="F1288" s="631"/>
      <c r="G1288" s="631"/>
      <c r="H1288" s="631"/>
      <c r="I1288" s="579"/>
      <c r="J1288" s="579"/>
      <c r="K1288" s="694"/>
      <c r="L1288" s="579"/>
      <c r="M1288" s="579"/>
      <c r="N1288" s="579"/>
      <c r="O1288" s="631"/>
      <c r="P1288" s="631"/>
      <c r="Q1288" s="631"/>
      <c r="R1288" s="631"/>
      <c r="S1288" s="631"/>
      <c r="T1288" s="631"/>
      <c r="U1288" s="631"/>
      <c r="V1288" s="631"/>
      <c r="W1288" s="631"/>
      <c r="X1288" s="631"/>
      <c r="Y1288" s="631"/>
      <c r="Z1288" s="631"/>
      <c r="AA1288" s="631"/>
      <c r="AB1288" s="631"/>
      <c r="AC1288" s="631"/>
    </row>
    <row r="1289">
      <c r="A1289" s="631"/>
      <c r="B1289" s="694"/>
      <c r="C1289" s="694"/>
      <c r="D1289" s="694"/>
      <c r="E1289" s="694"/>
      <c r="F1289" s="631"/>
      <c r="G1289" s="631"/>
      <c r="H1289" s="631"/>
      <c r="I1289" s="579"/>
      <c r="J1289" s="579"/>
      <c r="K1289" s="694"/>
      <c r="L1289" s="579"/>
      <c r="M1289" s="579"/>
      <c r="N1289" s="579"/>
      <c r="O1289" s="631"/>
      <c r="P1289" s="631"/>
      <c r="Q1289" s="631"/>
      <c r="R1289" s="631"/>
      <c r="S1289" s="631"/>
      <c r="T1289" s="631"/>
      <c r="U1289" s="631"/>
      <c r="V1289" s="631"/>
      <c r="W1289" s="631"/>
      <c r="X1289" s="631"/>
      <c r="Y1289" s="631"/>
      <c r="Z1289" s="631"/>
      <c r="AA1289" s="631"/>
      <c r="AB1289" s="631"/>
      <c r="AC1289" s="631"/>
    </row>
    <row r="1290">
      <c r="A1290" s="631"/>
      <c r="B1290" s="694"/>
      <c r="C1290" s="694"/>
      <c r="D1290" s="694"/>
      <c r="E1290" s="694"/>
      <c r="F1290" s="631"/>
      <c r="G1290" s="631"/>
      <c r="H1290" s="631"/>
      <c r="I1290" s="579"/>
      <c r="J1290" s="579"/>
      <c r="K1290" s="694"/>
      <c r="L1290" s="579"/>
      <c r="M1290" s="579"/>
      <c r="N1290" s="579"/>
      <c r="O1290" s="631"/>
      <c r="P1290" s="631"/>
      <c r="Q1290" s="631"/>
      <c r="R1290" s="631"/>
      <c r="S1290" s="631"/>
      <c r="T1290" s="631"/>
      <c r="U1290" s="631"/>
      <c r="V1290" s="631"/>
      <c r="W1290" s="631"/>
      <c r="X1290" s="631"/>
      <c r="Y1290" s="631"/>
      <c r="Z1290" s="631"/>
      <c r="AA1290" s="631"/>
      <c r="AB1290" s="631"/>
      <c r="AC1290" s="631"/>
    </row>
    <row r="1291">
      <c r="A1291" s="631"/>
      <c r="B1291" s="694"/>
      <c r="C1291" s="694"/>
      <c r="D1291" s="694"/>
      <c r="E1291" s="694"/>
      <c r="F1291" s="631"/>
      <c r="G1291" s="631"/>
      <c r="H1291" s="631"/>
      <c r="I1291" s="579"/>
      <c r="J1291" s="579"/>
      <c r="K1291" s="694"/>
      <c r="L1291" s="579"/>
      <c r="M1291" s="579"/>
      <c r="N1291" s="579"/>
      <c r="O1291" s="631"/>
      <c r="P1291" s="631"/>
      <c r="Q1291" s="631"/>
      <c r="R1291" s="631"/>
      <c r="S1291" s="631"/>
      <c r="T1291" s="631"/>
      <c r="U1291" s="631"/>
      <c r="V1291" s="631"/>
      <c r="W1291" s="631"/>
      <c r="X1291" s="631"/>
      <c r="Y1291" s="631"/>
      <c r="Z1291" s="631"/>
      <c r="AA1291" s="631"/>
      <c r="AB1291" s="631"/>
      <c r="AC1291" s="631"/>
    </row>
    <row r="1292">
      <c r="A1292" s="631"/>
      <c r="B1292" s="694"/>
      <c r="C1292" s="694"/>
      <c r="D1292" s="694"/>
      <c r="E1292" s="694"/>
      <c r="F1292" s="631"/>
      <c r="G1292" s="631"/>
      <c r="H1292" s="631"/>
      <c r="I1292" s="579"/>
      <c r="J1292" s="579"/>
      <c r="K1292" s="694"/>
      <c r="L1292" s="579"/>
      <c r="M1292" s="579"/>
      <c r="N1292" s="579"/>
      <c r="O1292" s="631"/>
      <c r="P1292" s="631"/>
      <c r="Q1292" s="631"/>
      <c r="R1292" s="631"/>
      <c r="S1292" s="631"/>
      <c r="T1292" s="631"/>
      <c r="U1292" s="631"/>
      <c r="V1292" s="631"/>
      <c r="W1292" s="631"/>
      <c r="X1292" s="631"/>
      <c r="Y1292" s="631"/>
      <c r="Z1292" s="631"/>
      <c r="AA1292" s="631"/>
      <c r="AB1292" s="631"/>
      <c r="AC1292" s="631"/>
    </row>
    <row r="1293">
      <c r="A1293" s="631"/>
      <c r="B1293" s="694"/>
      <c r="C1293" s="694"/>
      <c r="D1293" s="694"/>
      <c r="E1293" s="694"/>
      <c r="F1293" s="631"/>
      <c r="G1293" s="631"/>
      <c r="H1293" s="631"/>
      <c r="I1293" s="579"/>
      <c r="J1293" s="579"/>
      <c r="K1293" s="694"/>
      <c r="L1293" s="579"/>
      <c r="M1293" s="579"/>
      <c r="N1293" s="579"/>
      <c r="O1293" s="631"/>
      <c r="P1293" s="631"/>
      <c r="Q1293" s="631"/>
      <c r="R1293" s="631"/>
      <c r="S1293" s="631"/>
      <c r="T1293" s="631"/>
      <c r="U1293" s="631"/>
      <c r="V1293" s="631"/>
      <c r="W1293" s="631"/>
      <c r="X1293" s="631"/>
      <c r="Y1293" s="631"/>
      <c r="Z1293" s="631"/>
      <c r="AA1293" s="631"/>
      <c r="AB1293" s="631"/>
      <c r="AC1293" s="631"/>
    </row>
    <row r="1294">
      <c r="A1294" s="631"/>
      <c r="B1294" s="694"/>
      <c r="C1294" s="694"/>
      <c r="D1294" s="694"/>
      <c r="E1294" s="694"/>
      <c r="F1294" s="631"/>
      <c r="G1294" s="631"/>
      <c r="H1294" s="631"/>
      <c r="I1294" s="579"/>
      <c r="J1294" s="579"/>
      <c r="K1294" s="694"/>
      <c r="L1294" s="579"/>
      <c r="M1294" s="579"/>
      <c r="N1294" s="579"/>
      <c r="O1294" s="631"/>
      <c r="P1294" s="631"/>
      <c r="Q1294" s="631"/>
      <c r="R1294" s="631"/>
      <c r="S1294" s="631"/>
      <c r="T1294" s="631"/>
      <c r="U1294" s="631"/>
      <c r="V1294" s="631"/>
      <c r="W1294" s="631"/>
      <c r="X1294" s="631"/>
      <c r="Y1294" s="631"/>
      <c r="Z1294" s="631"/>
      <c r="AA1294" s="631"/>
      <c r="AB1294" s="631"/>
      <c r="AC1294" s="631"/>
    </row>
    <row r="1295">
      <c r="A1295" s="631"/>
      <c r="B1295" s="694"/>
      <c r="C1295" s="694"/>
      <c r="D1295" s="694"/>
      <c r="E1295" s="694"/>
      <c r="F1295" s="631"/>
      <c r="G1295" s="631"/>
      <c r="H1295" s="631"/>
      <c r="I1295" s="579"/>
      <c r="J1295" s="579"/>
      <c r="K1295" s="694"/>
      <c r="L1295" s="579"/>
      <c r="M1295" s="579"/>
      <c r="N1295" s="579"/>
      <c r="O1295" s="631"/>
      <c r="P1295" s="631"/>
      <c r="Q1295" s="631"/>
      <c r="R1295" s="631"/>
      <c r="S1295" s="631"/>
      <c r="T1295" s="631"/>
      <c r="U1295" s="631"/>
      <c r="V1295" s="631"/>
      <c r="W1295" s="631"/>
      <c r="X1295" s="631"/>
      <c r="Y1295" s="631"/>
      <c r="Z1295" s="631"/>
      <c r="AA1295" s="631"/>
      <c r="AB1295" s="631"/>
      <c r="AC1295" s="631"/>
    </row>
    <row r="1296">
      <c r="A1296" s="631"/>
      <c r="B1296" s="694"/>
      <c r="C1296" s="694"/>
      <c r="D1296" s="694"/>
      <c r="E1296" s="694"/>
      <c r="F1296" s="631"/>
      <c r="G1296" s="631"/>
      <c r="H1296" s="631"/>
      <c r="I1296" s="579"/>
      <c r="J1296" s="579"/>
      <c r="K1296" s="694"/>
      <c r="L1296" s="579"/>
      <c r="M1296" s="579"/>
      <c r="N1296" s="579"/>
      <c r="O1296" s="631"/>
      <c r="P1296" s="631"/>
      <c r="Q1296" s="631"/>
      <c r="R1296" s="631"/>
      <c r="S1296" s="631"/>
      <c r="T1296" s="631"/>
      <c r="U1296" s="631"/>
      <c r="V1296" s="631"/>
      <c r="W1296" s="631"/>
      <c r="X1296" s="631"/>
      <c r="Y1296" s="631"/>
      <c r="Z1296" s="631"/>
      <c r="AA1296" s="631"/>
      <c r="AB1296" s="631"/>
      <c r="AC1296" s="631"/>
    </row>
    <row r="1297">
      <c r="A1297" s="631"/>
      <c r="B1297" s="694"/>
      <c r="C1297" s="694"/>
      <c r="D1297" s="694"/>
      <c r="E1297" s="694"/>
      <c r="F1297" s="631"/>
      <c r="G1297" s="631"/>
      <c r="H1297" s="631"/>
      <c r="I1297" s="579"/>
      <c r="J1297" s="579"/>
      <c r="K1297" s="694"/>
      <c r="L1297" s="579"/>
      <c r="M1297" s="579"/>
      <c r="N1297" s="579"/>
      <c r="O1297" s="631"/>
      <c r="P1297" s="631"/>
      <c r="Q1297" s="631"/>
      <c r="R1297" s="631"/>
      <c r="S1297" s="631"/>
      <c r="T1297" s="631"/>
      <c r="U1297" s="631"/>
      <c r="V1297" s="631"/>
      <c r="W1297" s="631"/>
      <c r="X1297" s="631"/>
      <c r="Y1297" s="631"/>
      <c r="Z1297" s="631"/>
      <c r="AA1297" s="631"/>
      <c r="AB1297" s="631"/>
      <c r="AC1297" s="631"/>
    </row>
    <row r="1298">
      <c r="A1298" s="631"/>
      <c r="B1298" s="694"/>
      <c r="C1298" s="694"/>
      <c r="D1298" s="694"/>
      <c r="E1298" s="694"/>
      <c r="F1298" s="631"/>
      <c r="G1298" s="631"/>
      <c r="H1298" s="631"/>
      <c r="I1298" s="579"/>
      <c r="J1298" s="579"/>
      <c r="K1298" s="694"/>
      <c r="L1298" s="579"/>
      <c r="M1298" s="579"/>
      <c r="N1298" s="579"/>
      <c r="O1298" s="631"/>
      <c r="P1298" s="631"/>
      <c r="Q1298" s="631"/>
      <c r="R1298" s="631"/>
      <c r="S1298" s="631"/>
      <c r="T1298" s="631"/>
      <c r="U1298" s="631"/>
      <c r="V1298" s="631"/>
      <c r="W1298" s="631"/>
      <c r="X1298" s="631"/>
      <c r="Y1298" s="631"/>
      <c r="Z1298" s="631"/>
      <c r="AA1298" s="631"/>
      <c r="AB1298" s="631"/>
      <c r="AC1298" s="631"/>
    </row>
    <row r="1299">
      <c r="A1299" s="631"/>
      <c r="B1299" s="694"/>
      <c r="C1299" s="694"/>
      <c r="D1299" s="694"/>
      <c r="E1299" s="694"/>
      <c r="F1299" s="631"/>
      <c r="G1299" s="631"/>
      <c r="H1299" s="631"/>
      <c r="I1299" s="579"/>
      <c r="J1299" s="579"/>
      <c r="K1299" s="694"/>
      <c r="L1299" s="579"/>
      <c r="M1299" s="579"/>
      <c r="N1299" s="579"/>
      <c r="O1299" s="631"/>
      <c r="P1299" s="631"/>
      <c r="Q1299" s="631"/>
      <c r="R1299" s="631"/>
      <c r="S1299" s="631"/>
      <c r="T1299" s="631"/>
      <c r="U1299" s="631"/>
      <c r="V1299" s="631"/>
      <c r="W1299" s="631"/>
      <c r="X1299" s="631"/>
      <c r="Y1299" s="631"/>
      <c r="Z1299" s="631"/>
      <c r="AA1299" s="631"/>
      <c r="AB1299" s="631"/>
      <c r="AC1299" s="631"/>
    </row>
    <row r="1300">
      <c r="A1300" s="631"/>
      <c r="B1300" s="694"/>
      <c r="C1300" s="694"/>
      <c r="D1300" s="694"/>
      <c r="E1300" s="694"/>
      <c r="F1300" s="631"/>
      <c r="G1300" s="631"/>
      <c r="H1300" s="631"/>
      <c r="I1300" s="579"/>
      <c r="J1300" s="579"/>
      <c r="K1300" s="694"/>
      <c r="L1300" s="579"/>
      <c r="M1300" s="579"/>
      <c r="N1300" s="579"/>
      <c r="O1300" s="631"/>
      <c r="P1300" s="631"/>
      <c r="Q1300" s="631"/>
      <c r="R1300" s="631"/>
      <c r="S1300" s="631"/>
      <c r="T1300" s="631"/>
      <c r="U1300" s="631"/>
      <c r="V1300" s="631"/>
      <c r="W1300" s="631"/>
      <c r="X1300" s="631"/>
      <c r="Y1300" s="631"/>
      <c r="Z1300" s="631"/>
      <c r="AA1300" s="631"/>
      <c r="AB1300" s="631"/>
      <c r="AC1300" s="631"/>
    </row>
    <row r="1301">
      <c r="A1301" s="631"/>
      <c r="B1301" s="694"/>
      <c r="C1301" s="694"/>
      <c r="D1301" s="694"/>
      <c r="E1301" s="694"/>
      <c r="F1301" s="631"/>
      <c r="G1301" s="631"/>
      <c r="H1301" s="631"/>
      <c r="I1301" s="579"/>
      <c r="J1301" s="579"/>
      <c r="K1301" s="694"/>
      <c r="L1301" s="579"/>
      <c r="M1301" s="579"/>
      <c r="N1301" s="579"/>
      <c r="O1301" s="631"/>
      <c r="P1301" s="631"/>
      <c r="Q1301" s="631"/>
      <c r="R1301" s="631"/>
      <c r="S1301" s="631"/>
      <c r="T1301" s="631"/>
      <c r="U1301" s="631"/>
      <c r="V1301" s="631"/>
      <c r="W1301" s="631"/>
      <c r="X1301" s="631"/>
      <c r="Y1301" s="631"/>
      <c r="Z1301" s="631"/>
      <c r="AA1301" s="631"/>
      <c r="AB1301" s="631"/>
      <c r="AC1301" s="631"/>
    </row>
    <row r="1302">
      <c r="A1302" s="631"/>
      <c r="B1302" s="694"/>
      <c r="C1302" s="694"/>
      <c r="D1302" s="694"/>
      <c r="E1302" s="694"/>
      <c r="F1302" s="631"/>
      <c r="G1302" s="631"/>
      <c r="H1302" s="631"/>
      <c r="I1302" s="579"/>
      <c r="J1302" s="579"/>
      <c r="K1302" s="694"/>
      <c r="L1302" s="579"/>
      <c r="M1302" s="579"/>
      <c r="N1302" s="579"/>
      <c r="O1302" s="631"/>
      <c r="P1302" s="631"/>
      <c r="Q1302" s="631"/>
      <c r="R1302" s="631"/>
      <c r="S1302" s="631"/>
      <c r="T1302" s="631"/>
      <c r="U1302" s="631"/>
      <c r="V1302" s="631"/>
      <c r="W1302" s="631"/>
      <c r="X1302" s="631"/>
      <c r="Y1302" s="631"/>
      <c r="Z1302" s="631"/>
      <c r="AA1302" s="631"/>
      <c r="AB1302" s="631"/>
      <c r="AC1302" s="631"/>
    </row>
    <row r="1303">
      <c r="A1303" s="631"/>
      <c r="B1303" s="694"/>
      <c r="C1303" s="694"/>
      <c r="D1303" s="694"/>
      <c r="E1303" s="694"/>
      <c r="F1303" s="631"/>
      <c r="G1303" s="631"/>
      <c r="H1303" s="631"/>
      <c r="I1303" s="579"/>
      <c r="J1303" s="579"/>
      <c r="K1303" s="694"/>
      <c r="L1303" s="579"/>
      <c r="M1303" s="579"/>
      <c r="N1303" s="579"/>
      <c r="O1303" s="631"/>
      <c r="P1303" s="631"/>
      <c r="Q1303" s="631"/>
      <c r="R1303" s="631"/>
      <c r="S1303" s="631"/>
      <c r="T1303" s="631"/>
      <c r="U1303" s="631"/>
      <c r="V1303" s="631"/>
      <c r="W1303" s="631"/>
      <c r="X1303" s="631"/>
      <c r="Y1303" s="631"/>
      <c r="Z1303" s="631"/>
      <c r="AA1303" s="631"/>
      <c r="AB1303" s="631"/>
      <c r="AC1303" s="631"/>
    </row>
    <row r="1304">
      <c r="A1304" s="631"/>
      <c r="B1304" s="694"/>
      <c r="C1304" s="694"/>
      <c r="D1304" s="694"/>
      <c r="E1304" s="694"/>
      <c r="F1304" s="631"/>
      <c r="G1304" s="631"/>
      <c r="H1304" s="631"/>
      <c r="I1304" s="579"/>
      <c r="J1304" s="579"/>
      <c r="K1304" s="694"/>
      <c r="L1304" s="579"/>
      <c r="M1304" s="579"/>
      <c r="N1304" s="579"/>
      <c r="O1304" s="631"/>
      <c r="P1304" s="631"/>
      <c r="Q1304" s="631"/>
      <c r="R1304" s="631"/>
      <c r="S1304" s="631"/>
      <c r="T1304" s="631"/>
      <c r="U1304" s="631"/>
      <c r="V1304" s="631"/>
      <c r="W1304" s="631"/>
      <c r="X1304" s="631"/>
      <c r="Y1304" s="631"/>
      <c r="Z1304" s="631"/>
      <c r="AA1304" s="631"/>
      <c r="AB1304" s="631"/>
      <c r="AC1304" s="631"/>
    </row>
    <row r="1305">
      <c r="A1305" s="631"/>
      <c r="B1305" s="694"/>
      <c r="C1305" s="694"/>
      <c r="D1305" s="694"/>
      <c r="E1305" s="694"/>
      <c r="F1305" s="631"/>
      <c r="G1305" s="631"/>
      <c r="H1305" s="631"/>
      <c r="I1305" s="579"/>
      <c r="J1305" s="579"/>
      <c r="K1305" s="694"/>
      <c r="L1305" s="579"/>
      <c r="M1305" s="579"/>
      <c r="N1305" s="579"/>
      <c r="O1305" s="631"/>
      <c r="P1305" s="631"/>
      <c r="Q1305" s="631"/>
      <c r="R1305" s="631"/>
      <c r="S1305" s="631"/>
      <c r="T1305" s="631"/>
      <c r="U1305" s="631"/>
      <c r="V1305" s="631"/>
      <c r="W1305" s="631"/>
      <c r="X1305" s="631"/>
      <c r="Y1305" s="631"/>
      <c r="Z1305" s="631"/>
      <c r="AA1305" s="631"/>
      <c r="AB1305" s="631"/>
      <c r="AC1305" s="631"/>
    </row>
    <row r="1306">
      <c r="A1306" s="631"/>
      <c r="B1306" s="694"/>
      <c r="C1306" s="694"/>
      <c r="D1306" s="694"/>
      <c r="E1306" s="694"/>
      <c r="F1306" s="631"/>
      <c r="G1306" s="631"/>
      <c r="H1306" s="631"/>
      <c r="I1306" s="579"/>
      <c r="J1306" s="579"/>
      <c r="K1306" s="694"/>
      <c r="L1306" s="579"/>
      <c r="M1306" s="579"/>
      <c r="N1306" s="579"/>
      <c r="O1306" s="631"/>
      <c r="P1306" s="631"/>
      <c r="Q1306" s="631"/>
      <c r="R1306" s="631"/>
      <c r="S1306" s="631"/>
      <c r="T1306" s="631"/>
      <c r="U1306" s="631"/>
      <c r="V1306" s="631"/>
      <c r="W1306" s="631"/>
      <c r="X1306" s="631"/>
      <c r="Y1306" s="631"/>
      <c r="Z1306" s="631"/>
      <c r="AA1306" s="631"/>
      <c r="AB1306" s="631"/>
      <c r="AC1306" s="631"/>
    </row>
    <row r="1307">
      <c r="A1307" s="631"/>
      <c r="B1307" s="694"/>
      <c r="C1307" s="694"/>
      <c r="D1307" s="694"/>
      <c r="E1307" s="694"/>
      <c r="F1307" s="631"/>
      <c r="G1307" s="631"/>
      <c r="H1307" s="631"/>
      <c r="I1307" s="579"/>
      <c r="J1307" s="579"/>
      <c r="K1307" s="694"/>
      <c r="L1307" s="579"/>
      <c r="M1307" s="579"/>
      <c r="N1307" s="579"/>
      <c r="O1307" s="631"/>
      <c r="P1307" s="631"/>
      <c r="Q1307" s="631"/>
      <c r="R1307" s="631"/>
      <c r="S1307" s="631"/>
      <c r="T1307" s="631"/>
      <c r="U1307" s="631"/>
      <c r="V1307" s="631"/>
      <c r="W1307" s="631"/>
      <c r="X1307" s="631"/>
      <c r="Y1307" s="631"/>
      <c r="Z1307" s="631"/>
      <c r="AA1307" s="631"/>
      <c r="AB1307" s="631"/>
      <c r="AC1307" s="631"/>
    </row>
    <row r="1308">
      <c r="A1308" s="631"/>
      <c r="B1308" s="694"/>
      <c r="C1308" s="694"/>
      <c r="D1308" s="694"/>
      <c r="E1308" s="694"/>
      <c r="F1308" s="631"/>
      <c r="G1308" s="631"/>
      <c r="H1308" s="631"/>
      <c r="I1308" s="579"/>
      <c r="J1308" s="579"/>
      <c r="K1308" s="694"/>
      <c r="L1308" s="579"/>
      <c r="M1308" s="579"/>
      <c r="N1308" s="579"/>
      <c r="O1308" s="631"/>
      <c r="P1308" s="631"/>
      <c r="Q1308" s="631"/>
      <c r="R1308" s="631"/>
      <c r="S1308" s="631"/>
      <c r="T1308" s="631"/>
      <c r="U1308" s="631"/>
      <c r="V1308" s="631"/>
      <c r="W1308" s="631"/>
      <c r="X1308" s="631"/>
      <c r="Y1308" s="631"/>
      <c r="Z1308" s="631"/>
      <c r="AA1308" s="631"/>
      <c r="AB1308" s="631"/>
      <c r="AC1308" s="631"/>
    </row>
    <row r="1309">
      <c r="A1309" s="631"/>
      <c r="B1309" s="694"/>
      <c r="C1309" s="694"/>
      <c r="D1309" s="694"/>
      <c r="E1309" s="694"/>
      <c r="F1309" s="631"/>
      <c r="G1309" s="631"/>
      <c r="H1309" s="631"/>
      <c r="I1309" s="579"/>
      <c r="J1309" s="579"/>
      <c r="K1309" s="694"/>
      <c r="L1309" s="579"/>
      <c r="M1309" s="579"/>
      <c r="N1309" s="579"/>
      <c r="O1309" s="631"/>
      <c r="P1309" s="631"/>
      <c r="Q1309" s="631"/>
      <c r="R1309" s="631"/>
      <c r="S1309" s="631"/>
      <c r="T1309" s="631"/>
      <c r="U1309" s="631"/>
      <c r="V1309" s="631"/>
      <c r="W1309" s="631"/>
      <c r="X1309" s="631"/>
      <c r="Y1309" s="631"/>
      <c r="Z1309" s="631"/>
      <c r="AA1309" s="631"/>
      <c r="AB1309" s="631"/>
      <c r="AC1309" s="631"/>
    </row>
    <row r="1310">
      <c r="A1310" s="631"/>
      <c r="B1310" s="694"/>
      <c r="C1310" s="694"/>
      <c r="D1310" s="694"/>
      <c r="E1310" s="694"/>
      <c r="F1310" s="631"/>
      <c r="G1310" s="631"/>
      <c r="H1310" s="631"/>
      <c r="I1310" s="579"/>
      <c r="J1310" s="579"/>
      <c r="K1310" s="694"/>
      <c r="L1310" s="579"/>
      <c r="M1310" s="579"/>
      <c r="N1310" s="579"/>
      <c r="O1310" s="631"/>
      <c r="P1310" s="631"/>
      <c r="Q1310" s="631"/>
      <c r="R1310" s="631"/>
      <c r="S1310" s="631"/>
      <c r="T1310" s="631"/>
      <c r="U1310" s="631"/>
      <c r="V1310" s="631"/>
      <c r="W1310" s="631"/>
      <c r="X1310" s="631"/>
      <c r="Y1310" s="631"/>
      <c r="Z1310" s="631"/>
      <c r="AA1310" s="631"/>
      <c r="AB1310" s="631"/>
      <c r="AC1310" s="631"/>
    </row>
    <row r="1311">
      <c r="A1311" s="631"/>
      <c r="B1311" s="694"/>
      <c r="C1311" s="694"/>
      <c r="D1311" s="694"/>
      <c r="E1311" s="694"/>
      <c r="F1311" s="631"/>
      <c r="G1311" s="631"/>
      <c r="H1311" s="631"/>
      <c r="I1311" s="579"/>
      <c r="J1311" s="579"/>
      <c r="K1311" s="694"/>
      <c r="L1311" s="579"/>
      <c r="M1311" s="579"/>
      <c r="N1311" s="579"/>
      <c r="O1311" s="631"/>
      <c r="P1311" s="631"/>
      <c r="Q1311" s="631"/>
      <c r="R1311" s="631"/>
      <c r="S1311" s="631"/>
      <c r="T1311" s="631"/>
      <c r="U1311" s="631"/>
      <c r="V1311" s="631"/>
      <c r="W1311" s="631"/>
      <c r="X1311" s="631"/>
      <c r="Y1311" s="631"/>
      <c r="Z1311" s="631"/>
      <c r="AA1311" s="631"/>
      <c r="AB1311" s="631"/>
      <c r="AC1311" s="631"/>
    </row>
    <row r="1312">
      <c r="A1312" s="631"/>
      <c r="B1312" s="694"/>
      <c r="C1312" s="694"/>
      <c r="D1312" s="694"/>
      <c r="E1312" s="694"/>
      <c r="F1312" s="631"/>
      <c r="G1312" s="631"/>
      <c r="H1312" s="631"/>
      <c r="I1312" s="579"/>
      <c r="J1312" s="579"/>
      <c r="K1312" s="694"/>
      <c r="L1312" s="579"/>
      <c r="M1312" s="579"/>
      <c r="N1312" s="579"/>
      <c r="O1312" s="631"/>
      <c r="P1312" s="631"/>
      <c r="Q1312" s="631"/>
      <c r="R1312" s="631"/>
      <c r="S1312" s="631"/>
      <c r="T1312" s="631"/>
      <c r="U1312" s="631"/>
      <c r="V1312" s="631"/>
      <c r="W1312" s="631"/>
      <c r="X1312" s="631"/>
      <c r="Y1312" s="631"/>
      <c r="Z1312" s="631"/>
      <c r="AA1312" s="631"/>
      <c r="AB1312" s="631"/>
      <c r="AC1312" s="631"/>
    </row>
    <row r="1313">
      <c r="A1313" s="631"/>
      <c r="B1313" s="694"/>
      <c r="C1313" s="694"/>
      <c r="D1313" s="694"/>
      <c r="E1313" s="694"/>
      <c r="F1313" s="631"/>
      <c r="G1313" s="631"/>
      <c r="H1313" s="631"/>
      <c r="I1313" s="579"/>
      <c r="J1313" s="579"/>
      <c r="K1313" s="694"/>
      <c r="L1313" s="579"/>
      <c r="M1313" s="579"/>
      <c r="N1313" s="579"/>
      <c r="O1313" s="631"/>
      <c r="P1313" s="631"/>
      <c r="Q1313" s="631"/>
      <c r="R1313" s="631"/>
      <c r="S1313" s="631"/>
      <c r="T1313" s="631"/>
      <c r="U1313" s="631"/>
      <c r="V1313" s="631"/>
      <c r="W1313" s="631"/>
      <c r="X1313" s="631"/>
      <c r="Y1313" s="631"/>
      <c r="Z1313" s="631"/>
      <c r="AA1313" s="631"/>
      <c r="AB1313" s="631"/>
      <c r="AC1313" s="631"/>
    </row>
    <row r="1314">
      <c r="A1314" s="631"/>
      <c r="B1314" s="694"/>
      <c r="C1314" s="694"/>
      <c r="D1314" s="694"/>
      <c r="E1314" s="694"/>
      <c r="F1314" s="631"/>
      <c r="G1314" s="631"/>
      <c r="H1314" s="631"/>
      <c r="I1314" s="579"/>
      <c r="J1314" s="579"/>
      <c r="K1314" s="694"/>
      <c r="L1314" s="579"/>
      <c r="M1314" s="579"/>
      <c r="N1314" s="579"/>
      <c r="O1314" s="631"/>
      <c r="P1314" s="631"/>
      <c r="Q1314" s="631"/>
      <c r="R1314" s="631"/>
      <c r="S1314" s="631"/>
      <c r="T1314" s="631"/>
      <c r="U1314" s="631"/>
      <c r="V1314" s="631"/>
      <c r="W1314" s="631"/>
      <c r="X1314" s="631"/>
      <c r="Y1314" s="631"/>
      <c r="Z1314" s="631"/>
      <c r="AA1314" s="631"/>
      <c r="AB1314" s="631"/>
      <c r="AC1314" s="631"/>
    </row>
    <row r="1315">
      <c r="A1315" s="631"/>
      <c r="B1315" s="694"/>
      <c r="C1315" s="694"/>
      <c r="D1315" s="694"/>
      <c r="E1315" s="694"/>
      <c r="F1315" s="631"/>
      <c r="G1315" s="631"/>
      <c r="H1315" s="631"/>
      <c r="I1315" s="579"/>
      <c r="J1315" s="579"/>
      <c r="K1315" s="694"/>
      <c r="L1315" s="579"/>
      <c r="M1315" s="579"/>
      <c r="N1315" s="579"/>
      <c r="O1315" s="631"/>
      <c r="P1315" s="631"/>
      <c r="Q1315" s="631"/>
      <c r="R1315" s="631"/>
      <c r="S1315" s="631"/>
      <c r="T1315" s="631"/>
      <c r="U1315" s="631"/>
      <c r="V1315" s="631"/>
      <c r="W1315" s="631"/>
      <c r="X1315" s="631"/>
      <c r="Y1315" s="631"/>
      <c r="Z1315" s="631"/>
      <c r="AA1315" s="631"/>
      <c r="AB1315" s="631"/>
      <c r="AC1315" s="631"/>
    </row>
    <row r="1316">
      <c r="A1316" s="631"/>
      <c r="B1316" s="694"/>
      <c r="C1316" s="694"/>
      <c r="D1316" s="694"/>
      <c r="E1316" s="694"/>
      <c r="F1316" s="631"/>
      <c r="G1316" s="631"/>
      <c r="H1316" s="631"/>
      <c r="I1316" s="579"/>
      <c r="J1316" s="579"/>
      <c r="K1316" s="694"/>
      <c r="L1316" s="579"/>
      <c r="M1316" s="579"/>
      <c r="N1316" s="579"/>
      <c r="O1316" s="631"/>
      <c r="P1316" s="631"/>
      <c r="Q1316" s="631"/>
      <c r="R1316" s="631"/>
      <c r="S1316" s="631"/>
      <c r="T1316" s="631"/>
      <c r="U1316" s="631"/>
      <c r="V1316" s="631"/>
      <c r="W1316" s="631"/>
      <c r="X1316" s="631"/>
      <c r="Y1316" s="631"/>
      <c r="Z1316" s="631"/>
      <c r="AA1316" s="631"/>
      <c r="AB1316" s="631"/>
      <c r="AC1316" s="631"/>
    </row>
    <row r="1317">
      <c r="A1317" s="631"/>
      <c r="B1317" s="694"/>
      <c r="C1317" s="694"/>
      <c r="D1317" s="694"/>
      <c r="E1317" s="694"/>
      <c r="F1317" s="631"/>
      <c r="G1317" s="631"/>
      <c r="H1317" s="631"/>
      <c r="I1317" s="579"/>
      <c r="J1317" s="579"/>
      <c r="K1317" s="694"/>
      <c r="L1317" s="579"/>
      <c r="M1317" s="579"/>
      <c r="N1317" s="579"/>
      <c r="O1317" s="631"/>
      <c r="P1317" s="631"/>
      <c r="Q1317" s="631"/>
      <c r="R1317" s="631"/>
      <c r="S1317" s="631"/>
      <c r="T1317" s="631"/>
      <c r="U1317" s="631"/>
      <c r="V1317" s="631"/>
      <c r="W1317" s="631"/>
      <c r="X1317" s="631"/>
      <c r="Y1317" s="631"/>
      <c r="Z1317" s="631"/>
      <c r="AA1317" s="631"/>
      <c r="AB1317" s="631"/>
      <c r="AC1317" s="631"/>
    </row>
    <row r="1318">
      <c r="A1318" s="631"/>
      <c r="B1318" s="694"/>
      <c r="C1318" s="694"/>
      <c r="D1318" s="694"/>
      <c r="E1318" s="694"/>
      <c r="F1318" s="631"/>
      <c r="G1318" s="631"/>
      <c r="H1318" s="631"/>
      <c r="I1318" s="579"/>
      <c r="J1318" s="579"/>
      <c r="K1318" s="694"/>
      <c r="L1318" s="579"/>
      <c r="M1318" s="579"/>
      <c r="N1318" s="579"/>
      <c r="O1318" s="631"/>
      <c r="P1318" s="631"/>
      <c r="Q1318" s="631"/>
      <c r="R1318" s="631"/>
      <c r="S1318" s="631"/>
      <c r="T1318" s="631"/>
      <c r="U1318" s="631"/>
      <c r="V1318" s="631"/>
      <c r="W1318" s="631"/>
      <c r="X1318" s="631"/>
      <c r="Y1318" s="631"/>
      <c r="Z1318" s="631"/>
      <c r="AA1318" s="631"/>
      <c r="AB1318" s="631"/>
      <c r="AC1318" s="631"/>
    </row>
    <row r="1319">
      <c r="A1319" s="631"/>
      <c r="B1319" s="694"/>
      <c r="C1319" s="694"/>
      <c r="D1319" s="694"/>
      <c r="E1319" s="694"/>
      <c r="F1319" s="631"/>
      <c r="G1319" s="631"/>
      <c r="H1319" s="631"/>
      <c r="I1319" s="579"/>
      <c r="J1319" s="579"/>
      <c r="K1319" s="694"/>
      <c r="L1319" s="579"/>
      <c r="M1319" s="579"/>
      <c r="N1319" s="579"/>
      <c r="O1319" s="631"/>
      <c r="P1319" s="631"/>
      <c r="Q1319" s="631"/>
      <c r="R1319" s="631"/>
      <c r="S1319" s="631"/>
      <c r="T1319" s="631"/>
      <c r="U1319" s="631"/>
      <c r="V1319" s="631"/>
      <c r="W1319" s="631"/>
      <c r="X1319" s="631"/>
      <c r="Y1319" s="631"/>
      <c r="Z1319" s="631"/>
      <c r="AA1319" s="631"/>
      <c r="AB1319" s="631"/>
      <c r="AC1319" s="631"/>
    </row>
    <row r="1320">
      <c r="A1320" s="631"/>
      <c r="B1320" s="694"/>
      <c r="C1320" s="694"/>
      <c r="D1320" s="694"/>
      <c r="E1320" s="694"/>
      <c r="F1320" s="631"/>
      <c r="G1320" s="631"/>
      <c r="H1320" s="631"/>
      <c r="I1320" s="579"/>
      <c r="J1320" s="579"/>
      <c r="K1320" s="694"/>
      <c r="L1320" s="579"/>
      <c r="M1320" s="579"/>
      <c r="N1320" s="579"/>
      <c r="O1320" s="631"/>
      <c r="P1320" s="631"/>
      <c r="Q1320" s="631"/>
      <c r="R1320" s="631"/>
      <c r="S1320" s="631"/>
      <c r="T1320" s="631"/>
      <c r="U1320" s="631"/>
      <c r="V1320" s="631"/>
      <c r="W1320" s="631"/>
      <c r="X1320" s="631"/>
      <c r="Y1320" s="631"/>
      <c r="Z1320" s="631"/>
      <c r="AA1320" s="631"/>
      <c r="AB1320" s="631"/>
      <c r="AC1320" s="631"/>
    </row>
    <row r="1321">
      <c r="A1321" s="631"/>
      <c r="B1321" s="694"/>
      <c r="C1321" s="694"/>
      <c r="D1321" s="694"/>
      <c r="E1321" s="694"/>
      <c r="F1321" s="631"/>
      <c r="G1321" s="631"/>
      <c r="H1321" s="631"/>
      <c r="I1321" s="579"/>
      <c r="J1321" s="579"/>
      <c r="K1321" s="694"/>
      <c r="L1321" s="579"/>
      <c r="M1321" s="579"/>
      <c r="N1321" s="579"/>
      <c r="O1321" s="631"/>
      <c r="P1321" s="631"/>
      <c r="Q1321" s="631"/>
      <c r="R1321" s="631"/>
      <c r="S1321" s="631"/>
      <c r="T1321" s="631"/>
      <c r="U1321" s="631"/>
      <c r="V1321" s="631"/>
      <c r="W1321" s="631"/>
      <c r="X1321" s="631"/>
      <c r="Y1321" s="631"/>
      <c r="Z1321" s="631"/>
      <c r="AA1321" s="631"/>
      <c r="AB1321" s="631"/>
      <c r="AC1321" s="631"/>
    </row>
    <row r="1322">
      <c r="A1322" s="631"/>
      <c r="B1322" s="694"/>
      <c r="C1322" s="694"/>
      <c r="D1322" s="694"/>
      <c r="E1322" s="694"/>
      <c r="F1322" s="631"/>
      <c r="G1322" s="631"/>
      <c r="H1322" s="631"/>
      <c r="I1322" s="579"/>
      <c r="J1322" s="579"/>
      <c r="K1322" s="694"/>
      <c r="L1322" s="579"/>
      <c r="M1322" s="579"/>
      <c r="N1322" s="579"/>
      <c r="O1322" s="631"/>
      <c r="P1322" s="631"/>
      <c r="Q1322" s="631"/>
      <c r="R1322" s="631"/>
      <c r="S1322" s="631"/>
      <c r="T1322" s="631"/>
      <c r="U1322" s="631"/>
      <c r="V1322" s="631"/>
      <c r="W1322" s="631"/>
      <c r="X1322" s="631"/>
      <c r="Y1322" s="631"/>
      <c r="Z1322" s="631"/>
      <c r="AA1322" s="631"/>
      <c r="AB1322" s="631"/>
      <c r="AC1322" s="631"/>
    </row>
    <row r="1323">
      <c r="A1323" s="631"/>
      <c r="B1323" s="694"/>
      <c r="C1323" s="694"/>
      <c r="D1323" s="694"/>
      <c r="E1323" s="694"/>
      <c r="F1323" s="631"/>
      <c r="G1323" s="631"/>
      <c r="H1323" s="631"/>
      <c r="I1323" s="579"/>
      <c r="J1323" s="579"/>
      <c r="K1323" s="694"/>
      <c r="L1323" s="579"/>
      <c r="M1323" s="579"/>
      <c r="N1323" s="579"/>
      <c r="O1323" s="631"/>
      <c r="P1323" s="631"/>
      <c r="Q1323" s="631"/>
      <c r="R1323" s="631"/>
      <c r="S1323" s="631"/>
      <c r="T1323" s="631"/>
      <c r="U1323" s="631"/>
      <c r="V1323" s="631"/>
      <c r="W1323" s="631"/>
      <c r="X1323" s="631"/>
      <c r="Y1323" s="631"/>
      <c r="Z1323" s="631"/>
      <c r="AA1323" s="631"/>
      <c r="AB1323" s="631"/>
      <c r="AC1323" s="631"/>
    </row>
    <row r="1324">
      <c r="A1324" s="631"/>
      <c r="B1324" s="694"/>
      <c r="C1324" s="694"/>
      <c r="D1324" s="694"/>
      <c r="E1324" s="694"/>
      <c r="F1324" s="631"/>
      <c r="G1324" s="631"/>
      <c r="H1324" s="631"/>
      <c r="I1324" s="579"/>
      <c r="J1324" s="579"/>
      <c r="K1324" s="694"/>
      <c r="L1324" s="579"/>
      <c r="M1324" s="579"/>
      <c r="N1324" s="579"/>
      <c r="O1324" s="631"/>
      <c r="P1324" s="631"/>
      <c r="Q1324" s="631"/>
      <c r="R1324" s="631"/>
      <c r="S1324" s="631"/>
      <c r="T1324" s="631"/>
      <c r="U1324" s="631"/>
      <c r="V1324" s="631"/>
      <c r="W1324" s="631"/>
      <c r="X1324" s="631"/>
      <c r="Y1324" s="631"/>
      <c r="Z1324" s="631"/>
      <c r="AA1324" s="631"/>
      <c r="AB1324" s="631"/>
      <c r="AC1324" s="631"/>
    </row>
    <row r="1325">
      <c r="A1325" s="631"/>
      <c r="B1325" s="694"/>
      <c r="C1325" s="694"/>
      <c r="D1325" s="694"/>
      <c r="E1325" s="694"/>
      <c r="F1325" s="631"/>
      <c r="G1325" s="631"/>
      <c r="H1325" s="631"/>
      <c r="I1325" s="579"/>
      <c r="J1325" s="579"/>
      <c r="K1325" s="694"/>
      <c r="L1325" s="579"/>
      <c r="M1325" s="579"/>
      <c r="N1325" s="579"/>
      <c r="O1325" s="631"/>
      <c r="P1325" s="631"/>
      <c r="Q1325" s="631"/>
      <c r="R1325" s="631"/>
      <c r="S1325" s="631"/>
      <c r="T1325" s="631"/>
      <c r="U1325" s="631"/>
      <c r="V1325" s="631"/>
      <c r="W1325" s="631"/>
      <c r="X1325" s="631"/>
      <c r="Y1325" s="631"/>
      <c r="Z1325" s="631"/>
      <c r="AA1325" s="631"/>
      <c r="AB1325" s="631"/>
      <c r="AC1325" s="631"/>
    </row>
    <row r="1326">
      <c r="A1326" s="631"/>
      <c r="B1326" s="694"/>
      <c r="C1326" s="694"/>
      <c r="D1326" s="694"/>
      <c r="E1326" s="694"/>
      <c r="F1326" s="631"/>
      <c r="G1326" s="631"/>
      <c r="H1326" s="631"/>
      <c r="I1326" s="579"/>
      <c r="J1326" s="579"/>
      <c r="K1326" s="694"/>
      <c r="L1326" s="579"/>
      <c r="M1326" s="579"/>
      <c r="N1326" s="579"/>
      <c r="O1326" s="631"/>
      <c r="P1326" s="631"/>
      <c r="Q1326" s="631"/>
      <c r="R1326" s="631"/>
      <c r="S1326" s="631"/>
      <c r="T1326" s="631"/>
      <c r="U1326" s="631"/>
      <c r="V1326" s="631"/>
      <c r="W1326" s="631"/>
      <c r="X1326" s="631"/>
      <c r="Y1326" s="631"/>
      <c r="Z1326" s="631"/>
      <c r="AA1326" s="631"/>
      <c r="AB1326" s="631"/>
      <c r="AC1326" s="631"/>
    </row>
    <row r="1327">
      <c r="A1327" s="631"/>
      <c r="B1327" s="694"/>
      <c r="C1327" s="694"/>
      <c r="D1327" s="694"/>
      <c r="E1327" s="694"/>
      <c r="F1327" s="631"/>
      <c r="G1327" s="631"/>
      <c r="H1327" s="631"/>
      <c r="I1327" s="579"/>
      <c r="J1327" s="579"/>
      <c r="K1327" s="694"/>
      <c r="L1327" s="579"/>
      <c r="M1327" s="579"/>
      <c r="N1327" s="579"/>
      <c r="O1327" s="631"/>
      <c r="P1327" s="631"/>
      <c r="Q1327" s="631"/>
      <c r="R1327" s="631"/>
      <c r="S1327" s="631"/>
      <c r="T1327" s="631"/>
      <c r="U1327" s="631"/>
      <c r="V1327" s="631"/>
      <c r="W1327" s="631"/>
      <c r="X1327" s="631"/>
      <c r="Y1327" s="631"/>
      <c r="Z1327" s="631"/>
      <c r="AA1327" s="631"/>
      <c r="AB1327" s="631"/>
      <c r="AC1327" s="631"/>
    </row>
    <row r="1328">
      <c r="A1328" s="631"/>
      <c r="B1328" s="694"/>
      <c r="C1328" s="694"/>
      <c r="D1328" s="694"/>
      <c r="E1328" s="694"/>
      <c r="F1328" s="631"/>
      <c r="G1328" s="631"/>
      <c r="H1328" s="631"/>
      <c r="I1328" s="579"/>
      <c r="J1328" s="579"/>
      <c r="K1328" s="694"/>
      <c r="L1328" s="579"/>
      <c r="M1328" s="579"/>
      <c r="N1328" s="579"/>
      <c r="O1328" s="631"/>
      <c r="P1328" s="631"/>
      <c r="Q1328" s="631"/>
      <c r="R1328" s="631"/>
      <c r="S1328" s="631"/>
      <c r="T1328" s="631"/>
      <c r="U1328" s="631"/>
      <c r="V1328" s="631"/>
      <c r="W1328" s="631"/>
      <c r="X1328" s="631"/>
      <c r="Y1328" s="631"/>
      <c r="Z1328" s="631"/>
      <c r="AA1328" s="631"/>
      <c r="AB1328" s="631"/>
      <c r="AC1328" s="631"/>
    </row>
    <row r="1329">
      <c r="A1329" s="631"/>
      <c r="B1329" s="694"/>
      <c r="C1329" s="694"/>
      <c r="D1329" s="694"/>
      <c r="E1329" s="694"/>
      <c r="F1329" s="631"/>
      <c r="G1329" s="631"/>
      <c r="H1329" s="631"/>
      <c r="I1329" s="579"/>
      <c r="J1329" s="579"/>
      <c r="K1329" s="694"/>
      <c r="L1329" s="579"/>
      <c r="M1329" s="579"/>
      <c r="N1329" s="579"/>
      <c r="O1329" s="631"/>
      <c r="P1329" s="631"/>
      <c r="Q1329" s="631"/>
      <c r="R1329" s="631"/>
      <c r="S1329" s="631"/>
      <c r="T1329" s="631"/>
      <c r="U1329" s="631"/>
      <c r="V1329" s="631"/>
      <c r="W1329" s="631"/>
      <c r="X1329" s="631"/>
      <c r="Y1329" s="631"/>
      <c r="Z1329" s="631"/>
      <c r="AA1329" s="631"/>
      <c r="AB1329" s="631"/>
      <c r="AC1329" s="631"/>
    </row>
    <row r="1330">
      <c r="A1330" s="631"/>
      <c r="B1330" s="694"/>
      <c r="C1330" s="694"/>
      <c r="D1330" s="694"/>
      <c r="E1330" s="694"/>
      <c r="F1330" s="631"/>
      <c r="G1330" s="631"/>
      <c r="H1330" s="631"/>
      <c r="I1330" s="579"/>
      <c r="J1330" s="579"/>
      <c r="K1330" s="694"/>
      <c r="L1330" s="579"/>
      <c r="M1330" s="579"/>
      <c r="N1330" s="579"/>
      <c r="O1330" s="631"/>
      <c r="P1330" s="631"/>
      <c r="Q1330" s="631"/>
      <c r="R1330" s="631"/>
      <c r="S1330" s="631"/>
      <c r="T1330" s="631"/>
      <c r="U1330" s="631"/>
      <c r="V1330" s="631"/>
      <c r="W1330" s="631"/>
      <c r="X1330" s="631"/>
      <c r="Y1330" s="631"/>
      <c r="Z1330" s="631"/>
      <c r="AA1330" s="631"/>
      <c r="AB1330" s="631"/>
      <c r="AC1330" s="631"/>
    </row>
    <row r="1331">
      <c r="A1331" s="631"/>
      <c r="B1331" s="694"/>
      <c r="C1331" s="694"/>
      <c r="D1331" s="694"/>
      <c r="E1331" s="694"/>
      <c r="F1331" s="631"/>
      <c r="G1331" s="631"/>
      <c r="H1331" s="631"/>
      <c r="I1331" s="579"/>
      <c r="J1331" s="579"/>
      <c r="K1331" s="694"/>
      <c r="L1331" s="579"/>
      <c r="M1331" s="579"/>
      <c r="N1331" s="579"/>
      <c r="O1331" s="631"/>
      <c r="P1331" s="631"/>
      <c r="Q1331" s="631"/>
      <c r="R1331" s="631"/>
      <c r="S1331" s="631"/>
      <c r="T1331" s="631"/>
      <c r="U1331" s="631"/>
      <c r="V1331" s="631"/>
      <c r="W1331" s="631"/>
      <c r="X1331" s="631"/>
      <c r="Y1331" s="631"/>
      <c r="Z1331" s="631"/>
      <c r="AA1331" s="631"/>
      <c r="AB1331" s="631"/>
      <c r="AC1331" s="631"/>
    </row>
    <row r="1332">
      <c r="A1332" s="631"/>
      <c r="B1332" s="694"/>
      <c r="C1332" s="694"/>
      <c r="D1332" s="694"/>
      <c r="E1332" s="694"/>
      <c r="F1332" s="631"/>
      <c r="G1332" s="631"/>
      <c r="H1332" s="631"/>
      <c r="I1332" s="579"/>
      <c r="J1332" s="579"/>
      <c r="K1332" s="694"/>
      <c r="L1332" s="579"/>
      <c r="M1332" s="579"/>
      <c r="N1332" s="579"/>
      <c r="O1332" s="631"/>
      <c r="P1332" s="631"/>
      <c r="Q1332" s="631"/>
      <c r="R1332" s="631"/>
      <c r="S1332" s="631"/>
      <c r="T1332" s="631"/>
      <c r="U1332" s="631"/>
      <c r="V1332" s="631"/>
      <c r="W1332" s="631"/>
      <c r="X1332" s="631"/>
      <c r="Y1332" s="631"/>
      <c r="Z1332" s="631"/>
      <c r="AA1332" s="631"/>
      <c r="AB1332" s="631"/>
      <c r="AC1332" s="631"/>
    </row>
    <row r="1333">
      <c r="A1333" s="631"/>
      <c r="B1333" s="694"/>
      <c r="C1333" s="694"/>
      <c r="D1333" s="694"/>
      <c r="E1333" s="694"/>
      <c r="F1333" s="631"/>
      <c r="G1333" s="631"/>
      <c r="H1333" s="631"/>
      <c r="I1333" s="579"/>
      <c r="J1333" s="579"/>
      <c r="K1333" s="694"/>
      <c r="L1333" s="579"/>
      <c r="M1333" s="579"/>
      <c r="N1333" s="579"/>
      <c r="O1333" s="631"/>
      <c r="P1333" s="631"/>
      <c r="Q1333" s="631"/>
      <c r="R1333" s="631"/>
      <c r="S1333" s="631"/>
      <c r="T1333" s="631"/>
      <c r="U1333" s="631"/>
      <c r="V1333" s="631"/>
      <c r="W1333" s="631"/>
      <c r="X1333" s="631"/>
      <c r="Y1333" s="631"/>
      <c r="Z1333" s="631"/>
      <c r="AA1333" s="631"/>
      <c r="AB1333" s="631"/>
      <c r="AC1333" s="631"/>
    </row>
    <row r="1334">
      <c r="A1334" s="631"/>
      <c r="B1334" s="694"/>
      <c r="C1334" s="694"/>
      <c r="D1334" s="694"/>
      <c r="E1334" s="694"/>
      <c r="F1334" s="631"/>
      <c r="G1334" s="631"/>
      <c r="H1334" s="631"/>
      <c r="I1334" s="579"/>
      <c r="J1334" s="579"/>
      <c r="K1334" s="694"/>
      <c r="L1334" s="579"/>
      <c r="M1334" s="579"/>
      <c r="N1334" s="579"/>
      <c r="O1334" s="631"/>
      <c r="P1334" s="631"/>
      <c r="Q1334" s="631"/>
      <c r="R1334" s="631"/>
      <c r="S1334" s="631"/>
      <c r="T1334" s="631"/>
      <c r="U1334" s="631"/>
      <c r="V1334" s="631"/>
      <c r="W1334" s="631"/>
      <c r="X1334" s="631"/>
      <c r="Y1334" s="631"/>
      <c r="Z1334" s="631"/>
      <c r="AA1334" s="631"/>
      <c r="AB1334" s="631"/>
      <c r="AC1334" s="631"/>
    </row>
    <row r="1335">
      <c r="A1335" s="631"/>
      <c r="B1335" s="694"/>
      <c r="C1335" s="694"/>
      <c r="D1335" s="694"/>
      <c r="E1335" s="694"/>
      <c r="F1335" s="631"/>
      <c r="G1335" s="631"/>
      <c r="H1335" s="631"/>
      <c r="I1335" s="579"/>
      <c r="J1335" s="579"/>
      <c r="K1335" s="694"/>
      <c r="L1335" s="579"/>
      <c r="M1335" s="579"/>
      <c r="N1335" s="579"/>
      <c r="O1335" s="631"/>
      <c r="P1335" s="631"/>
      <c r="Q1335" s="631"/>
      <c r="R1335" s="631"/>
      <c r="S1335" s="631"/>
      <c r="T1335" s="631"/>
      <c r="U1335" s="631"/>
      <c r="V1335" s="631"/>
      <c r="W1335" s="631"/>
      <c r="X1335" s="631"/>
      <c r="Y1335" s="631"/>
      <c r="Z1335" s="631"/>
      <c r="AA1335" s="631"/>
      <c r="AB1335" s="631"/>
      <c r="AC1335" s="631"/>
    </row>
    <row r="1336">
      <c r="A1336" s="631"/>
      <c r="B1336" s="694"/>
      <c r="C1336" s="694"/>
      <c r="D1336" s="694"/>
      <c r="E1336" s="694"/>
      <c r="F1336" s="631"/>
      <c r="G1336" s="631"/>
      <c r="H1336" s="631"/>
      <c r="I1336" s="579"/>
      <c r="J1336" s="579"/>
      <c r="K1336" s="694"/>
      <c r="L1336" s="579"/>
      <c r="M1336" s="579"/>
      <c r="N1336" s="579"/>
      <c r="O1336" s="631"/>
      <c r="P1336" s="631"/>
      <c r="Q1336" s="631"/>
      <c r="R1336" s="631"/>
      <c r="S1336" s="631"/>
      <c r="T1336" s="631"/>
      <c r="U1336" s="631"/>
      <c r="V1336" s="631"/>
      <c r="W1336" s="631"/>
      <c r="X1336" s="631"/>
      <c r="Y1336" s="631"/>
      <c r="Z1336" s="631"/>
      <c r="AA1336" s="631"/>
      <c r="AB1336" s="631"/>
      <c r="AC1336" s="631"/>
    </row>
    <row r="1337">
      <c r="A1337" s="631"/>
      <c r="B1337" s="694"/>
      <c r="C1337" s="694"/>
      <c r="D1337" s="694"/>
      <c r="E1337" s="694"/>
      <c r="F1337" s="631"/>
      <c r="G1337" s="631"/>
      <c r="H1337" s="631"/>
      <c r="I1337" s="579"/>
      <c r="J1337" s="579"/>
      <c r="K1337" s="694"/>
      <c r="L1337" s="579"/>
      <c r="M1337" s="579"/>
      <c r="N1337" s="579"/>
      <c r="O1337" s="631"/>
      <c r="P1337" s="631"/>
      <c r="Q1337" s="631"/>
      <c r="R1337" s="631"/>
      <c r="S1337" s="631"/>
      <c r="T1337" s="631"/>
      <c r="U1337" s="631"/>
      <c r="V1337" s="631"/>
      <c r="W1337" s="631"/>
      <c r="X1337" s="631"/>
      <c r="Y1337" s="631"/>
      <c r="Z1337" s="631"/>
      <c r="AA1337" s="631"/>
      <c r="AB1337" s="631"/>
      <c r="AC1337" s="631"/>
    </row>
    <row r="1338">
      <c r="A1338" s="631"/>
      <c r="B1338" s="694"/>
      <c r="C1338" s="694"/>
      <c r="D1338" s="694"/>
      <c r="E1338" s="694"/>
      <c r="F1338" s="631"/>
      <c r="G1338" s="631"/>
      <c r="H1338" s="631"/>
      <c r="I1338" s="579"/>
      <c r="J1338" s="579"/>
      <c r="K1338" s="694"/>
      <c r="L1338" s="579"/>
      <c r="M1338" s="579"/>
      <c r="N1338" s="579"/>
      <c r="O1338" s="631"/>
      <c r="P1338" s="631"/>
      <c r="Q1338" s="631"/>
      <c r="R1338" s="631"/>
      <c r="S1338" s="631"/>
      <c r="T1338" s="631"/>
      <c r="U1338" s="631"/>
      <c r="V1338" s="631"/>
      <c r="W1338" s="631"/>
      <c r="X1338" s="631"/>
      <c r="Y1338" s="631"/>
      <c r="Z1338" s="631"/>
      <c r="AA1338" s="631"/>
      <c r="AB1338" s="631"/>
      <c r="AC1338" s="631"/>
    </row>
    <row r="1339">
      <c r="A1339" s="631"/>
      <c r="B1339" s="694"/>
      <c r="C1339" s="694"/>
      <c r="D1339" s="694"/>
      <c r="E1339" s="694"/>
      <c r="F1339" s="631"/>
      <c r="G1339" s="631"/>
      <c r="H1339" s="631"/>
      <c r="I1339" s="579"/>
      <c r="J1339" s="579"/>
      <c r="K1339" s="694"/>
      <c r="L1339" s="579"/>
      <c r="M1339" s="579"/>
      <c r="N1339" s="579"/>
      <c r="O1339" s="631"/>
      <c r="P1339" s="631"/>
      <c r="Q1339" s="631"/>
      <c r="R1339" s="631"/>
      <c r="S1339" s="631"/>
      <c r="T1339" s="631"/>
      <c r="U1339" s="631"/>
      <c r="V1339" s="631"/>
      <c r="W1339" s="631"/>
      <c r="X1339" s="631"/>
      <c r="Y1339" s="631"/>
      <c r="Z1339" s="631"/>
      <c r="AA1339" s="631"/>
      <c r="AB1339" s="631"/>
      <c r="AC1339" s="631"/>
    </row>
    <row r="1340">
      <c r="A1340" s="631"/>
      <c r="B1340" s="694"/>
      <c r="C1340" s="694"/>
      <c r="D1340" s="694"/>
      <c r="E1340" s="694"/>
      <c r="F1340" s="631"/>
      <c r="G1340" s="631"/>
      <c r="H1340" s="631"/>
      <c r="I1340" s="579"/>
      <c r="J1340" s="579"/>
      <c r="K1340" s="694"/>
      <c r="L1340" s="579"/>
      <c r="M1340" s="579"/>
      <c r="N1340" s="579"/>
      <c r="O1340" s="631"/>
      <c r="P1340" s="631"/>
      <c r="Q1340" s="631"/>
      <c r="R1340" s="631"/>
      <c r="S1340" s="631"/>
      <c r="T1340" s="631"/>
      <c r="U1340" s="631"/>
      <c r="V1340" s="631"/>
      <c r="W1340" s="631"/>
      <c r="X1340" s="631"/>
      <c r="Y1340" s="631"/>
      <c r="Z1340" s="631"/>
      <c r="AA1340" s="631"/>
      <c r="AB1340" s="631"/>
      <c r="AC1340" s="631"/>
    </row>
    <row r="1341">
      <c r="A1341" s="631"/>
      <c r="B1341" s="694"/>
      <c r="C1341" s="694"/>
      <c r="D1341" s="694"/>
      <c r="E1341" s="694"/>
      <c r="F1341" s="631"/>
      <c r="G1341" s="631"/>
      <c r="H1341" s="631"/>
      <c r="I1341" s="579"/>
      <c r="J1341" s="579"/>
      <c r="K1341" s="694"/>
      <c r="L1341" s="579"/>
      <c r="M1341" s="579"/>
      <c r="N1341" s="579"/>
      <c r="O1341" s="631"/>
      <c r="P1341" s="631"/>
      <c r="Q1341" s="631"/>
      <c r="R1341" s="631"/>
      <c r="S1341" s="631"/>
      <c r="T1341" s="631"/>
      <c r="U1341" s="631"/>
      <c r="V1341" s="631"/>
      <c r="W1341" s="631"/>
      <c r="X1341" s="631"/>
      <c r="Y1341" s="631"/>
      <c r="Z1341" s="631"/>
      <c r="AA1341" s="631"/>
      <c r="AB1341" s="631"/>
      <c r="AC1341" s="631"/>
    </row>
    <row r="1342">
      <c r="A1342" s="631"/>
      <c r="B1342" s="694"/>
      <c r="C1342" s="694"/>
      <c r="D1342" s="694"/>
      <c r="E1342" s="694"/>
      <c r="F1342" s="631"/>
      <c r="G1342" s="631"/>
      <c r="H1342" s="631"/>
      <c r="I1342" s="579"/>
      <c r="J1342" s="579"/>
      <c r="K1342" s="694"/>
      <c r="L1342" s="579"/>
      <c r="M1342" s="579"/>
      <c r="N1342" s="579"/>
      <c r="O1342" s="631"/>
      <c r="P1342" s="631"/>
      <c r="Q1342" s="631"/>
      <c r="R1342" s="631"/>
      <c r="S1342" s="631"/>
      <c r="T1342" s="631"/>
      <c r="U1342" s="631"/>
      <c r="V1342" s="631"/>
      <c r="W1342" s="631"/>
      <c r="X1342" s="631"/>
      <c r="Y1342" s="631"/>
      <c r="Z1342" s="631"/>
      <c r="AA1342" s="631"/>
      <c r="AB1342" s="631"/>
      <c r="AC1342" s="631"/>
    </row>
    <row r="1343">
      <c r="A1343" s="631"/>
      <c r="B1343" s="694"/>
      <c r="C1343" s="694"/>
      <c r="D1343" s="694"/>
      <c r="E1343" s="694"/>
      <c r="F1343" s="631"/>
      <c r="G1343" s="631"/>
      <c r="H1343" s="631"/>
      <c r="I1343" s="579"/>
      <c r="J1343" s="579"/>
      <c r="K1343" s="694"/>
      <c r="L1343" s="579"/>
      <c r="M1343" s="579"/>
      <c r="N1343" s="579"/>
      <c r="O1343" s="631"/>
      <c r="P1343" s="631"/>
      <c r="Q1343" s="631"/>
      <c r="R1343" s="631"/>
      <c r="S1343" s="631"/>
      <c r="T1343" s="631"/>
      <c r="U1343" s="631"/>
      <c r="V1343" s="631"/>
      <c r="W1343" s="631"/>
      <c r="X1343" s="631"/>
      <c r="Y1343" s="631"/>
      <c r="Z1343" s="631"/>
      <c r="AA1343" s="631"/>
      <c r="AB1343" s="631"/>
      <c r="AC1343" s="631"/>
    </row>
    <row r="1344">
      <c r="A1344" s="631"/>
      <c r="B1344" s="694"/>
      <c r="C1344" s="694"/>
      <c r="D1344" s="694"/>
      <c r="E1344" s="694"/>
      <c r="F1344" s="631"/>
      <c r="G1344" s="631"/>
      <c r="H1344" s="631"/>
      <c r="I1344" s="579"/>
      <c r="J1344" s="579"/>
      <c r="K1344" s="694"/>
      <c r="L1344" s="579"/>
      <c r="M1344" s="579"/>
      <c r="N1344" s="579"/>
      <c r="O1344" s="631"/>
      <c r="P1344" s="631"/>
      <c r="Q1344" s="631"/>
      <c r="R1344" s="631"/>
      <c r="S1344" s="631"/>
      <c r="T1344" s="631"/>
      <c r="U1344" s="631"/>
      <c r="V1344" s="631"/>
      <c r="W1344" s="631"/>
      <c r="X1344" s="631"/>
      <c r="Y1344" s="631"/>
      <c r="Z1344" s="631"/>
      <c r="AA1344" s="631"/>
      <c r="AB1344" s="631"/>
      <c r="AC1344" s="631"/>
    </row>
    <row r="1345">
      <c r="A1345" s="631"/>
      <c r="B1345" s="694"/>
      <c r="C1345" s="694"/>
      <c r="D1345" s="694"/>
      <c r="E1345" s="694"/>
      <c r="F1345" s="631"/>
      <c r="G1345" s="631"/>
      <c r="H1345" s="631"/>
      <c r="I1345" s="579"/>
      <c r="J1345" s="579"/>
      <c r="K1345" s="694"/>
      <c r="L1345" s="579"/>
      <c r="M1345" s="579"/>
      <c r="N1345" s="579"/>
      <c r="O1345" s="631"/>
      <c r="P1345" s="631"/>
      <c r="Q1345" s="631"/>
      <c r="R1345" s="631"/>
      <c r="S1345" s="631"/>
      <c r="T1345" s="631"/>
      <c r="U1345" s="631"/>
      <c r="V1345" s="631"/>
      <c r="W1345" s="631"/>
      <c r="X1345" s="631"/>
      <c r="Y1345" s="631"/>
      <c r="Z1345" s="631"/>
      <c r="AA1345" s="631"/>
      <c r="AB1345" s="631"/>
      <c r="AC1345" s="631"/>
    </row>
    <row r="1346">
      <c r="A1346" s="631"/>
      <c r="B1346" s="694"/>
      <c r="C1346" s="694"/>
      <c r="D1346" s="694"/>
      <c r="E1346" s="694"/>
      <c r="F1346" s="631"/>
      <c r="G1346" s="631"/>
      <c r="H1346" s="631"/>
      <c r="I1346" s="579"/>
      <c r="J1346" s="579"/>
      <c r="K1346" s="694"/>
      <c r="L1346" s="579"/>
      <c r="M1346" s="579"/>
      <c r="N1346" s="579"/>
      <c r="O1346" s="631"/>
      <c r="P1346" s="631"/>
      <c r="Q1346" s="631"/>
      <c r="R1346" s="631"/>
      <c r="S1346" s="631"/>
      <c r="T1346" s="631"/>
      <c r="U1346" s="631"/>
      <c r="V1346" s="631"/>
      <c r="W1346" s="631"/>
      <c r="X1346" s="631"/>
      <c r="Y1346" s="631"/>
      <c r="Z1346" s="631"/>
      <c r="AA1346" s="631"/>
      <c r="AB1346" s="631"/>
      <c r="AC1346" s="631"/>
    </row>
    <row r="1347">
      <c r="A1347" s="631"/>
      <c r="B1347" s="694"/>
      <c r="C1347" s="694"/>
      <c r="D1347" s="694"/>
      <c r="E1347" s="694"/>
      <c r="F1347" s="631"/>
      <c r="G1347" s="631"/>
      <c r="H1347" s="631"/>
      <c r="I1347" s="579"/>
      <c r="J1347" s="579"/>
      <c r="K1347" s="694"/>
      <c r="L1347" s="579"/>
      <c r="M1347" s="579"/>
      <c r="N1347" s="579"/>
      <c r="O1347" s="631"/>
      <c r="P1347" s="631"/>
      <c r="Q1347" s="631"/>
      <c r="R1347" s="631"/>
      <c r="S1347" s="631"/>
      <c r="T1347" s="631"/>
      <c r="U1347" s="631"/>
      <c r="V1347" s="631"/>
      <c r="W1347" s="631"/>
      <c r="X1347" s="631"/>
      <c r="Y1347" s="631"/>
      <c r="Z1347" s="631"/>
      <c r="AA1347" s="631"/>
      <c r="AB1347" s="631"/>
      <c r="AC1347" s="631"/>
    </row>
    <row r="1348">
      <c r="A1348" s="631"/>
      <c r="B1348" s="694"/>
      <c r="C1348" s="694"/>
      <c r="D1348" s="694"/>
      <c r="E1348" s="694"/>
      <c r="F1348" s="631"/>
      <c r="G1348" s="631"/>
      <c r="H1348" s="631"/>
      <c r="I1348" s="579"/>
      <c r="J1348" s="579"/>
      <c r="K1348" s="694"/>
      <c r="L1348" s="579"/>
      <c r="M1348" s="579"/>
      <c r="N1348" s="579"/>
      <c r="O1348" s="631"/>
      <c r="P1348" s="631"/>
      <c r="Q1348" s="631"/>
      <c r="R1348" s="631"/>
      <c r="S1348" s="631"/>
      <c r="T1348" s="631"/>
      <c r="U1348" s="631"/>
      <c r="V1348" s="631"/>
      <c r="W1348" s="631"/>
      <c r="X1348" s="631"/>
      <c r="Y1348" s="631"/>
      <c r="Z1348" s="631"/>
      <c r="AA1348" s="631"/>
      <c r="AB1348" s="631"/>
      <c r="AC1348" s="631"/>
    </row>
    <row r="1349">
      <c r="A1349" s="631"/>
      <c r="B1349" s="694"/>
      <c r="C1349" s="694"/>
      <c r="D1349" s="694"/>
      <c r="E1349" s="694"/>
      <c r="F1349" s="631"/>
      <c r="G1349" s="631"/>
      <c r="H1349" s="631"/>
      <c r="I1349" s="579"/>
      <c r="J1349" s="579"/>
      <c r="K1349" s="694"/>
      <c r="L1349" s="579"/>
      <c r="M1349" s="579"/>
      <c r="N1349" s="579"/>
      <c r="O1349" s="631"/>
      <c r="P1349" s="631"/>
      <c r="Q1349" s="631"/>
      <c r="R1349" s="631"/>
      <c r="S1349" s="631"/>
      <c r="T1349" s="631"/>
      <c r="U1349" s="631"/>
      <c r="V1349" s="631"/>
      <c r="W1349" s="631"/>
      <c r="X1349" s="631"/>
      <c r="Y1349" s="631"/>
      <c r="Z1349" s="631"/>
      <c r="AA1349" s="631"/>
      <c r="AB1349" s="631"/>
      <c r="AC1349" s="631"/>
    </row>
    <row r="1350">
      <c r="A1350" s="631"/>
      <c r="B1350" s="694"/>
      <c r="C1350" s="694"/>
      <c r="D1350" s="694"/>
      <c r="E1350" s="694"/>
      <c r="F1350" s="631"/>
      <c r="G1350" s="631"/>
      <c r="H1350" s="631"/>
      <c r="I1350" s="579"/>
      <c r="J1350" s="579"/>
      <c r="K1350" s="694"/>
      <c r="L1350" s="579"/>
      <c r="M1350" s="579"/>
      <c r="N1350" s="579"/>
      <c r="O1350" s="631"/>
      <c r="P1350" s="631"/>
      <c r="Q1350" s="631"/>
      <c r="R1350" s="631"/>
      <c r="S1350" s="631"/>
      <c r="T1350" s="631"/>
      <c r="U1350" s="631"/>
      <c r="V1350" s="631"/>
      <c r="W1350" s="631"/>
      <c r="X1350" s="631"/>
      <c r="Y1350" s="631"/>
      <c r="Z1350" s="631"/>
      <c r="AA1350" s="631"/>
      <c r="AB1350" s="631"/>
      <c r="AC1350" s="631"/>
    </row>
    <row r="1351">
      <c r="A1351" s="631"/>
      <c r="B1351" s="694"/>
      <c r="C1351" s="694"/>
      <c r="D1351" s="694"/>
      <c r="E1351" s="694"/>
      <c r="F1351" s="631"/>
      <c r="G1351" s="631"/>
      <c r="H1351" s="631"/>
      <c r="I1351" s="579"/>
      <c r="J1351" s="579"/>
      <c r="K1351" s="694"/>
      <c r="L1351" s="579"/>
      <c r="M1351" s="579"/>
      <c r="N1351" s="579"/>
      <c r="O1351" s="631"/>
      <c r="P1351" s="631"/>
      <c r="Q1351" s="631"/>
      <c r="R1351" s="631"/>
      <c r="S1351" s="631"/>
      <c r="T1351" s="631"/>
      <c r="U1351" s="631"/>
      <c r="V1351" s="631"/>
      <c r="W1351" s="631"/>
      <c r="X1351" s="631"/>
      <c r="Y1351" s="631"/>
      <c r="Z1351" s="631"/>
      <c r="AA1351" s="631"/>
      <c r="AB1351" s="631"/>
      <c r="AC1351" s="631"/>
    </row>
    <row r="1352">
      <c r="A1352" s="631"/>
      <c r="B1352" s="694"/>
      <c r="C1352" s="694"/>
      <c r="D1352" s="694"/>
      <c r="E1352" s="694"/>
      <c r="F1352" s="631"/>
      <c r="G1352" s="631"/>
      <c r="H1352" s="631"/>
      <c r="I1352" s="579"/>
      <c r="J1352" s="579"/>
      <c r="K1352" s="694"/>
      <c r="L1352" s="579"/>
      <c r="M1352" s="579"/>
      <c r="N1352" s="579"/>
      <c r="O1352" s="631"/>
      <c r="P1352" s="631"/>
      <c r="Q1352" s="631"/>
      <c r="R1352" s="631"/>
      <c r="S1352" s="631"/>
      <c r="T1352" s="631"/>
      <c r="U1352" s="631"/>
      <c r="V1352" s="631"/>
      <c r="W1352" s="631"/>
      <c r="X1352" s="631"/>
      <c r="Y1352" s="631"/>
      <c r="Z1352" s="631"/>
      <c r="AA1352" s="631"/>
      <c r="AB1352" s="631"/>
      <c r="AC1352" s="631"/>
    </row>
    <row r="1353">
      <c r="A1353" s="631"/>
      <c r="B1353" s="694"/>
      <c r="C1353" s="694"/>
      <c r="D1353" s="694"/>
      <c r="E1353" s="694"/>
      <c r="F1353" s="631"/>
      <c r="G1353" s="631"/>
      <c r="H1353" s="631"/>
      <c r="I1353" s="579"/>
      <c r="J1353" s="579"/>
      <c r="K1353" s="694"/>
      <c r="L1353" s="579"/>
      <c r="M1353" s="579"/>
      <c r="N1353" s="579"/>
      <c r="O1353" s="631"/>
      <c r="P1353" s="631"/>
      <c r="Q1353" s="631"/>
      <c r="R1353" s="631"/>
      <c r="S1353" s="631"/>
      <c r="T1353" s="631"/>
      <c r="U1353" s="631"/>
      <c r="V1353" s="631"/>
      <c r="W1353" s="631"/>
      <c r="X1353" s="631"/>
      <c r="Y1353" s="631"/>
      <c r="Z1353" s="631"/>
      <c r="AA1353" s="631"/>
      <c r="AB1353" s="631"/>
      <c r="AC1353" s="631"/>
    </row>
    <row r="1354">
      <c r="A1354" s="631"/>
      <c r="B1354" s="694"/>
      <c r="C1354" s="694"/>
      <c r="D1354" s="694"/>
      <c r="E1354" s="694"/>
      <c r="F1354" s="631"/>
      <c r="G1354" s="631"/>
      <c r="H1354" s="631"/>
      <c r="I1354" s="579"/>
      <c r="J1354" s="579"/>
      <c r="K1354" s="694"/>
      <c r="L1354" s="579"/>
      <c r="M1354" s="579"/>
      <c r="N1354" s="579"/>
      <c r="O1354" s="631"/>
      <c r="P1354" s="631"/>
      <c r="Q1354" s="631"/>
      <c r="R1354" s="631"/>
      <c r="S1354" s="631"/>
      <c r="T1354" s="631"/>
      <c r="U1354" s="631"/>
      <c r="V1354" s="631"/>
      <c r="W1354" s="631"/>
      <c r="X1354" s="631"/>
      <c r="Y1354" s="631"/>
      <c r="Z1354" s="631"/>
      <c r="AA1354" s="631"/>
      <c r="AB1354" s="631"/>
      <c r="AC1354" s="631"/>
    </row>
    <row r="1355">
      <c r="A1355" s="631"/>
      <c r="B1355" s="694"/>
      <c r="C1355" s="694"/>
      <c r="D1355" s="694"/>
      <c r="E1355" s="694"/>
      <c r="F1355" s="631"/>
      <c r="G1355" s="631"/>
      <c r="H1355" s="631"/>
      <c r="I1355" s="579"/>
      <c r="J1355" s="579"/>
      <c r="K1355" s="694"/>
      <c r="L1355" s="579"/>
      <c r="M1355" s="579"/>
      <c r="N1355" s="579"/>
      <c r="O1355" s="631"/>
      <c r="P1355" s="631"/>
      <c r="Q1355" s="631"/>
      <c r="R1355" s="631"/>
      <c r="S1355" s="631"/>
      <c r="T1355" s="631"/>
      <c r="U1355" s="631"/>
      <c r="V1355" s="631"/>
      <c r="W1355" s="631"/>
      <c r="X1355" s="631"/>
      <c r="Y1355" s="631"/>
      <c r="Z1355" s="631"/>
      <c r="AA1355" s="631"/>
      <c r="AB1355" s="631"/>
      <c r="AC1355" s="631"/>
    </row>
    <row r="1356">
      <c r="A1356" s="631"/>
      <c r="B1356" s="694"/>
      <c r="C1356" s="694"/>
      <c r="D1356" s="694"/>
      <c r="E1356" s="694"/>
      <c r="F1356" s="631"/>
      <c r="G1356" s="631"/>
      <c r="H1356" s="631"/>
      <c r="I1356" s="579"/>
      <c r="J1356" s="579"/>
      <c r="K1356" s="694"/>
      <c r="L1356" s="579"/>
      <c r="M1356" s="579"/>
      <c r="N1356" s="579"/>
      <c r="O1356" s="631"/>
      <c r="P1356" s="631"/>
      <c r="Q1356" s="631"/>
      <c r="R1356" s="631"/>
      <c r="S1356" s="631"/>
      <c r="T1356" s="631"/>
      <c r="U1356" s="631"/>
      <c r="V1356" s="631"/>
      <c r="W1356" s="631"/>
      <c r="X1356" s="631"/>
      <c r="Y1356" s="631"/>
      <c r="Z1356" s="631"/>
      <c r="AA1356" s="631"/>
      <c r="AB1356" s="631"/>
      <c r="AC1356" s="631"/>
    </row>
    <row r="1357">
      <c r="A1357" s="631"/>
      <c r="B1357" s="694"/>
      <c r="C1357" s="694"/>
      <c r="D1357" s="694"/>
      <c r="E1357" s="694"/>
      <c r="F1357" s="631"/>
      <c r="G1357" s="631"/>
      <c r="H1357" s="631"/>
      <c r="I1357" s="579"/>
      <c r="J1357" s="579"/>
      <c r="K1357" s="694"/>
      <c r="L1357" s="579"/>
      <c r="M1357" s="579"/>
      <c r="N1357" s="579"/>
      <c r="O1357" s="631"/>
      <c r="P1357" s="631"/>
      <c r="Q1357" s="631"/>
      <c r="R1357" s="631"/>
      <c r="S1357" s="631"/>
      <c r="T1357" s="631"/>
      <c r="U1357" s="631"/>
      <c r="V1357" s="631"/>
      <c r="W1357" s="631"/>
      <c r="X1357" s="631"/>
      <c r="Y1357" s="631"/>
      <c r="Z1357" s="631"/>
      <c r="AA1357" s="631"/>
      <c r="AB1357" s="631"/>
      <c r="AC1357" s="631"/>
    </row>
    <row r="1358">
      <c r="A1358" s="631"/>
      <c r="B1358" s="694"/>
      <c r="C1358" s="694"/>
      <c r="D1358" s="694"/>
      <c r="E1358" s="694"/>
      <c r="F1358" s="631"/>
      <c r="G1358" s="631"/>
      <c r="H1358" s="631"/>
      <c r="I1358" s="579"/>
      <c r="J1358" s="579"/>
      <c r="K1358" s="694"/>
      <c r="L1358" s="579"/>
      <c r="M1358" s="579"/>
      <c r="N1358" s="579"/>
      <c r="O1358" s="631"/>
      <c r="P1358" s="631"/>
      <c r="Q1358" s="631"/>
      <c r="R1358" s="631"/>
      <c r="S1358" s="631"/>
      <c r="T1358" s="631"/>
      <c r="U1358" s="631"/>
      <c r="V1358" s="631"/>
      <c r="W1358" s="631"/>
      <c r="X1358" s="631"/>
      <c r="Y1358" s="631"/>
      <c r="Z1358" s="631"/>
      <c r="AA1358" s="631"/>
      <c r="AB1358" s="631"/>
      <c r="AC1358" s="631"/>
    </row>
    <row r="1359">
      <c r="A1359" s="631"/>
      <c r="B1359" s="694"/>
      <c r="C1359" s="694"/>
      <c r="D1359" s="694"/>
      <c r="E1359" s="694"/>
      <c r="F1359" s="631"/>
      <c r="G1359" s="631"/>
      <c r="H1359" s="631"/>
      <c r="I1359" s="579"/>
      <c r="J1359" s="579"/>
      <c r="K1359" s="694"/>
      <c r="L1359" s="579"/>
      <c r="M1359" s="579"/>
      <c r="N1359" s="579"/>
      <c r="O1359" s="631"/>
      <c r="P1359" s="631"/>
      <c r="Q1359" s="631"/>
      <c r="R1359" s="631"/>
      <c r="S1359" s="631"/>
      <c r="T1359" s="631"/>
      <c r="U1359" s="631"/>
      <c r="V1359" s="631"/>
      <c r="W1359" s="631"/>
      <c r="X1359" s="631"/>
      <c r="Y1359" s="631"/>
      <c r="Z1359" s="631"/>
      <c r="AA1359" s="631"/>
      <c r="AB1359" s="631"/>
      <c r="AC1359" s="631"/>
    </row>
    <row r="1360">
      <c r="A1360" s="631"/>
      <c r="B1360" s="694"/>
      <c r="C1360" s="694"/>
      <c r="D1360" s="694"/>
      <c r="E1360" s="694"/>
      <c r="F1360" s="631"/>
      <c r="G1360" s="631"/>
      <c r="H1360" s="631"/>
      <c r="I1360" s="579"/>
      <c r="J1360" s="579"/>
      <c r="K1360" s="694"/>
      <c r="L1360" s="579"/>
      <c r="M1360" s="579"/>
      <c r="N1360" s="579"/>
      <c r="O1360" s="631"/>
      <c r="P1360" s="631"/>
      <c r="Q1360" s="631"/>
      <c r="R1360" s="631"/>
      <c r="S1360" s="631"/>
      <c r="T1360" s="631"/>
      <c r="U1360" s="631"/>
      <c r="V1360" s="631"/>
      <c r="W1360" s="631"/>
      <c r="X1360" s="631"/>
      <c r="Y1360" s="631"/>
      <c r="Z1360" s="631"/>
      <c r="AA1360" s="631"/>
      <c r="AB1360" s="631"/>
      <c r="AC1360" s="631"/>
    </row>
    <row r="1361">
      <c r="A1361" s="631"/>
      <c r="B1361" s="694"/>
      <c r="C1361" s="694"/>
      <c r="D1361" s="694"/>
      <c r="E1361" s="694"/>
      <c r="F1361" s="631"/>
      <c r="G1361" s="631"/>
      <c r="H1361" s="631"/>
      <c r="I1361" s="579"/>
      <c r="J1361" s="579"/>
      <c r="K1361" s="694"/>
      <c r="L1361" s="579"/>
      <c r="M1361" s="579"/>
      <c r="N1361" s="579"/>
      <c r="O1361" s="631"/>
      <c r="P1361" s="631"/>
      <c r="Q1361" s="631"/>
      <c r="R1361" s="631"/>
      <c r="S1361" s="631"/>
      <c r="T1361" s="631"/>
      <c r="U1361" s="631"/>
      <c r="V1361" s="631"/>
      <c r="W1361" s="631"/>
      <c r="X1361" s="631"/>
      <c r="Y1361" s="631"/>
      <c r="Z1361" s="631"/>
      <c r="AA1361" s="631"/>
      <c r="AB1361" s="631"/>
      <c r="AC1361" s="631"/>
    </row>
    <row r="1362">
      <c r="A1362" s="631"/>
      <c r="B1362" s="694"/>
      <c r="C1362" s="694"/>
      <c r="D1362" s="694"/>
      <c r="E1362" s="694"/>
      <c r="F1362" s="631"/>
      <c r="G1362" s="631"/>
      <c r="H1362" s="631"/>
      <c r="I1362" s="579"/>
      <c r="J1362" s="579"/>
      <c r="K1362" s="694"/>
      <c r="L1362" s="579"/>
      <c r="M1362" s="579"/>
      <c r="N1362" s="579"/>
      <c r="O1362" s="631"/>
      <c r="P1362" s="631"/>
      <c r="Q1362" s="631"/>
      <c r="R1362" s="631"/>
      <c r="S1362" s="631"/>
      <c r="T1362" s="631"/>
      <c r="U1362" s="631"/>
      <c r="V1362" s="631"/>
      <c r="W1362" s="631"/>
      <c r="X1362" s="631"/>
      <c r="Y1362" s="631"/>
      <c r="Z1362" s="631"/>
      <c r="AA1362" s="631"/>
      <c r="AB1362" s="631"/>
      <c r="AC1362" s="631"/>
    </row>
    <row r="1363">
      <c r="A1363" s="631"/>
      <c r="B1363" s="694"/>
      <c r="C1363" s="694"/>
      <c r="D1363" s="694"/>
      <c r="E1363" s="694"/>
      <c r="F1363" s="631"/>
      <c r="G1363" s="631"/>
      <c r="H1363" s="631"/>
      <c r="I1363" s="579"/>
      <c r="J1363" s="579"/>
      <c r="K1363" s="694"/>
      <c r="L1363" s="579"/>
      <c r="M1363" s="579"/>
      <c r="N1363" s="579"/>
      <c r="O1363" s="631"/>
      <c r="P1363" s="631"/>
      <c r="Q1363" s="631"/>
      <c r="R1363" s="631"/>
      <c r="S1363" s="631"/>
      <c r="T1363" s="631"/>
      <c r="U1363" s="631"/>
      <c r="V1363" s="631"/>
      <c r="W1363" s="631"/>
      <c r="X1363" s="631"/>
      <c r="Y1363" s="631"/>
      <c r="Z1363" s="631"/>
      <c r="AA1363" s="631"/>
      <c r="AB1363" s="631"/>
      <c r="AC1363" s="631"/>
    </row>
    <row r="1364">
      <c r="A1364" s="631"/>
      <c r="B1364" s="694"/>
      <c r="C1364" s="694"/>
      <c r="D1364" s="694"/>
      <c r="E1364" s="694"/>
      <c r="F1364" s="631"/>
      <c r="G1364" s="631"/>
      <c r="H1364" s="631"/>
      <c r="I1364" s="579"/>
      <c r="J1364" s="579"/>
      <c r="K1364" s="694"/>
      <c r="L1364" s="579"/>
      <c r="M1364" s="579"/>
      <c r="N1364" s="579"/>
      <c r="O1364" s="631"/>
      <c r="P1364" s="631"/>
      <c r="Q1364" s="631"/>
      <c r="R1364" s="631"/>
      <c r="S1364" s="631"/>
      <c r="T1364" s="631"/>
      <c r="U1364" s="631"/>
      <c r="V1364" s="631"/>
      <c r="W1364" s="631"/>
      <c r="X1364" s="631"/>
      <c r="Y1364" s="631"/>
      <c r="Z1364" s="631"/>
      <c r="AA1364" s="631"/>
      <c r="AB1364" s="631"/>
      <c r="AC1364" s="631"/>
    </row>
    <row r="1365">
      <c r="A1365" s="631"/>
      <c r="B1365" s="694"/>
      <c r="C1365" s="694"/>
      <c r="D1365" s="694"/>
      <c r="E1365" s="694"/>
      <c r="F1365" s="631"/>
      <c r="G1365" s="631"/>
      <c r="H1365" s="631"/>
      <c r="I1365" s="579"/>
      <c r="J1365" s="579"/>
      <c r="K1365" s="694"/>
      <c r="L1365" s="579"/>
      <c r="M1365" s="579"/>
      <c r="N1365" s="579"/>
      <c r="O1365" s="631"/>
      <c r="P1365" s="631"/>
      <c r="Q1365" s="631"/>
      <c r="R1365" s="631"/>
      <c r="S1365" s="631"/>
      <c r="T1365" s="631"/>
      <c r="U1365" s="631"/>
      <c r="V1365" s="631"/>
      <c r="W1365" s="631"/>
      <c r="X1365" s="631"/>
      <c r="Y1365" s="631"/>
      <c r="Z1365" s="631"/>
      <c r="AA1365" s="631"/>
      <c r="AB1365" s="631"/>
      <c r="AC1365" s="631"/>
    </row>
    <row r="1366">
      <c r="A1366" s="631"/>
      <c r="B1366" s="694"/>
      <c r="C1366" s="694"/>
      <c r="D1366" s="694"/>
      <c r="E1366" s="694"/>
      <c r="F1366" s="631"/>
      <c r="G1366" s="631"/>
      <c r="H1366" s="631"/>
      <c r="I1366" s="579"/>
      <c r="J1366" s="579"/>
      <c r="K1366" s="694"/>
      <c r="L1366" s="579"/>
      <c r="M1366" s="579"/>
      <c r="N1366" s="579"/>
      <c r="O1366" s="631"/>
      <c r="P1366" s="631"/>
      <c r="Q1366" s="631"/>
      <c r="R1366" s="631"/>
      <c r="S1366" s="631"/>
      <c r="T1366" s="631"/>
      <c r="U1366" s="631"/>
      <c r="V1366" s="631"/>
      <c r="W1366" s="631"/>
      <c r="X1366" s="631"/>
      <c r="Y1366" s="631"/>
      <c r="Z1366" s="631"/>
      <c r="AA1366" s="631"/>
      <c r="AB1366" s="631"/>
      <c r="AC1366" s="631"/>
    </row>
    <row r="1367">
      <c r="A1367" s="631"/>
      <c r="B1367" s="694"/>
      <c r="C1367" s="694"/>
      <c r="D1367" s="694"/>
      <c r="E1367" s="694"/>
      <c r="F1367" s="631"/>
      <c r="G1367" s="631"/>
      <c r="H1367" s="631"/>
      <c r="I1367" s="579"/>
      <c r="J1367" s="579"/>
      <c r="K1367" s="694"/>
      <c r="L1367" s="579"/>
      <c r="M1367" s="579"/>
      <c r="N1367" s="579"/>
      <c r="O1367" s="631"/>
      <c r="P1367" s="631"/>
      <c r="Q1367" s="631"/>
      <c r="R1367" s="631"/>
      <c r="S1367" s="631"/>
      <c r="T1367" s="631"/>
      <c r="U1367" s="631"/>
      <c r="V1367" s="631"/>
      <c r="W1367" s="631"/>
      <c r="X1367" s="631"/>
      <c r="Y1367" s="631"/>
      <c r="Z1367" s="631"/>
      <c r="AA1367" s="631"/>
      <c r="AB1367" s="631"/>
      <c r="AC1367" s="631"/>
    </row>
    <row r="1368">
      <c r="A1368" s="631"/>
      <c r="B1368" s="694"/>
      <c r="C1368" s="694"/>
      <c r="D1368" s="694"/>
      <c r="E1368" s="694"/>
      <c r="F1368" s="631"/>
      <c r="G1368" s="631"/>
      <c r="H1368" s="631"/>
      <c r="I1368" s="579"/>
      <c r="J1368" s="579"/>
      <c r="K1368" s="694"/>
      <c r="L1368" s="579"/>
      <c r="M1368" s="579"/>
      <c r="N1368" s="579"/>
      <c r="O1368" s="631"/>
      <c r="P1368" s="631"/>
      <c r="Q1368" s="631"/>
      <c r="R1368" s="631"/>
      <c r="S1368" s="631"/>
      <c r="T1368" s="631"/>
      <c r="U1368" s="631"/>
      <c r="V1368" s="631"/>
      <c r="W1368" s="631"/>
      <c r="X1368" s="631"/>
      <c r="Y1368" s="631"/>
      <c r="Z1368" s="631"/>
      <c r="AA1368" s="631"/>
      <c r="AB1368" s="631"/>
      <c r="AC1368" s="631"/>
    </row>
    <row r="1369">
      <c r="A1369" s="631"/>
      <c r="B1369" s="694"/>
      <c r="C1369" s="694"/>
      <c r="D1369" s="694"/>
      <c r="E1369" s="694"/>
      <c r="F1369" s="631"/>
      <c r="G1369" s="631"/>
      <c r="H1369" s="631"/>
      <c r="I1369" s="579"/>
      <c r="J1369" s="579"/>
      <c r="K1369" s="694"/>
      <c r="L1369" s="579"/>
      <c r="M1369" s="579"/>
      <c r="N1369" s="579"/>
      <c r="O1369" s="631"/>
      <c r="P1369" s="631"/>
      <c r="Q1369" s="631"/>
      <c r="R1369" s="631"/>
      <c r="S1369" s="631"/>
      <c r="T1369" s="631"/>
      <c r="U1369" s="631"/>
      <c r="V1369" s="631"/>
      <c r="W1369" s="631"/>
      <c r="X1369" s="631"/>
      <c r="Y1369" s="631"/>
      <c r="Z1369" s="631"/>
      <c r="AA1369" s="631"/>
      <c r="AB1369" s="631"/>
      <c r="AC1369" s="631"/>
    </row>
    <row r="1370">
      <c r="A1370" s="631"/>
      <c r="B1370" s="694"/>
      <c r="C1370" s="694"/>
      <c r="D1370" s="694"/>
      <c r="E1370" s="694"/>
      <c r="F1370" s="631"/>
      <c r="G1370" s="631"/>
      <c r="H1370" s="631"/>
      <c r="I1370" s="579"/>
      <c r="J1370" s="579"/>
      <c r="K1370" s="694"/>
      <c r="L1370" s="579"/>
      <c r="M1370" s="579"/>
      <c r="N1370" s="579"/>
      <c r="O1370" s="631"/>
      <c r="P1370" s="631"/>
      <c r="Q1370" s="631"/>
      <c r="R1370" s="631"/>
      <c r="S1370" s="631"/>
      <c r="T1370" s="631"/>
      <c r="U1370" s="631"/>
      <c r="V1370" s="631"/>
      <c r="W1370" s="631"/>
      <c r="X1370" s="631"/>
      <c r="Y1370" s="631"/>
      <c r="Z1370" s="631"/>
      <c r="AA1370" s="631"/>
      <c r="AB1370" s="631"/>
      <c r="AC1370" s="631"/>
    </row>
    <row r="1371">
      <c r="A1371" s="631"/>
      <c r="B1371" s="694"/>
      <c r="C1371" s="694"/>
      <c r="D1371" s="694"/>
      <c r="E1371" s="694"/>
      <c r="F1371" s="631"/>
      <c r="G1371" s="631"/>
      <c r="H1371" s="631"/>
      <c r="I1371" s="579"/>
      <c r="J1371" s="579"/>
      <c r="K1371" s="694"/>
      <c r="L1371" s="579"/>
      <c r="M1371" s="579"/>
      <c r="N1371" s="579"/>
      <c r="O1371" s="631"/>
      <c r="P1371" s="631"/>
      <c r="Q1371" s="631"/>
      <c r="R1371" s="631"/>
      <c r="S1371" s="631"/>
      <c r="T1371" s="631"/>
      <c r="U1371" s="631"/>
      <c r="V1371" s="631"/>
      <c r="W1371" s="631"/>
      <c r="X1371" s="631"/>
      <c r="Y1371" s="631"/>
      <c r="Z1371" s="631"/>
      <c r="AA1371" s="631"/>
      <c r="AB1371" s="631"/>
      <c r="AC1371" s="631"/>
    </row>
    <row r="1372">
      <c r="A1372" s="631"/>
      <c r="B1372" s="694"/>
      <c r="C1372" s="694"/>
      <c r="D1372" s="694"/>
      <c r="E1372" s="694"/>
      <c r="F1372" s="631"/>
      <c r="G1372" s="631"/>
      <c r="H1372" s="631"/>
      <c r="I1372" s="579"/>
      <c r="J1372" s="579"/>
      <c r="K1372" s="694"/>
      <c r="L1372" s="579"/>
      <c r="M1372" s="579"/>
      <c r="N1372" s="579"/>
      <c r="O1372" s="631"/>
      <c r="P1372" s="631"/>
      <c r="Q1372" s="631"/>
      <c r="R1372" s="631"/>
      <c r="S1372" s="631"/>
      <c r="T1372" s="631"/>
      <c r="U1372" s="631"/>
      <c r="V1372" s="631"/>
      <c r="W1372" s="631"/>
      <c r="X1372" s="631"/>
      <c r="Y1372" s="631"/>
      <c r="Z1372" s="631"/>
      <c r="AA1372" s="631"/>
      <c r="AB1372" s="631"/>
      <c r="AC1372" s="631"/>
    </row>
    <row r="1373">
      <c r="A1373" s="631"/>
      <c r="B1373" s="694"/>
      <c r="C1373" s="694"/>
      <c r="D1373" s="694"/>
      <c r="E1373" s="694"/>
      <c r="F1373" s="631"/>
      <c r="G1373" s="631"/>
      <c r="H1373" s="631"/>
      <c r="I1373" s="579"/>
      <c r="J1373" s="579"/>
      <c r="K1373" s="694"/>
      <c r="L1373" s="579"/>
      <c r="M1373" s="579"/>
      <c r="N1373" s="579"/>
      <c r="O1373" s="631"/>
      <c r="P1373" s="631"/>
      <c r="Q1373" s="631"/>
      <c r="R1373" s="631"/>
      <c r="S1373" s="631"/>
      <c r="T1373" s="631"/>
      <c r="U1373" s="631"/>
      <c r="V1373" s="631"/>
      <c r="W1373" s="631"/>
      <c r="X1373" s="631"/>
      <c r="Y1373" s="631"/>
      <c r="Z1373" s="631"/>
      <c r="AA1373" s="631"/>
      <c r="AB1373" s="631"/>
      <c r="AC1373" s="631"/>
    </row>
    <row r="1374">
      <c r="A1374" s="631"/>
      <c r="B1374" s="694"/>
      <c r="C1374" s="694"/>
      <c r="D1374" s="694"/>
      <c r="E1374" s="694"/>
      <c r="F1374" s="631"/>
      <c r="G1374" s="631"/>
      <c r="H1374" s="631"/>
      <c r="I1374" s="579"/>
      <c r="J1374" s="579"/>
      <c r="K1374" s="694"/>
      <c r="L1374" s="579"/>
      <c r="M1374" s="579"/>
      <c r="N1374" s="579"/>
      <c r="O1374" s="631"/>
      <c r="P1374" s="631"/>
      <c r="Q1374" s="631"/>
      <c r="R1374" s="631"/>
      <c r="S1374" s="631"/>
      <c r="T1374" s="631"/>
      <c r="U1374" s="631"/>
      <c r="V1374" s="631"/>
      <c r="W1374" s="631"/>
      <c r="X1374" s="631"/>
      <c r="Y1374" s="631"/>
      <c r="Z1374" s="631"/>
      <c r="AA1374" s="631"/>
      <c r="AB1374" s="631"/>
      <c r="AC1374" s="631"/>
    </row>
    <row r="1375">
      <c r="A1375" s="631"/>
      <c r="B1375" s="694"/>
      <c r="C1375" s="694"/>
      <c r="D1375" s="694"/>
      <c r="E1375" s="694"/>
      <c r="F1375" s="631"/>
      <c r="G1375" s="631"/>
      <c r="H1375" s="631"/>
      <c r="I1375" s="579"/>
      <c r="J1375" s="579"/>
      <c r="K1375" s="694"/>
      <c r="L1375" s="579"/>
      <c r="M1375" s="579"/>
      <c r="N1375" s="579"/>
      <c r="O1375" s="631"/>
      <c r="P1375" s="631"/>
      <c r="Q1375" s="631"/>
      <c r="R1375" s="631"/>
      <c r="S1375" s="631"/>
      <c r="T1375" s="631"/>
      <c r="U1375" s="631"/>
      <c r="V1375" s="631"/>
      <c r="W1375" s="631"/>
      <c r="X1375" s="631"/>
      <c r="Y1375" s="631"/>
      <c r="Z1375" s="631"/>
      <c r="AA1375" s="631"/>
      <c r="AB1375" s="631"/>
      <c r="AC1375" s="631"/>
    </row>
    <row r="1376">
      <c r="A1376" s="631"/>
      <c r="B1376" s="694"/>
      <c r="C1376" s="694"/>
      <c r="D1376" s="694"/>
      <c r="E1376" s="694"/>
      <c r="F1376" s="631"/>
      <c r="G1376" s="631"/>
      <c r="H1376" s="631"/>
      <c r="I1376" s="579"/>
      <c r="J1376" s="579"/>
      <c r="K1376" s="694"/>
      <c r="L1376" s="579"/>
      <c r="M1376" s="579"/>
      <c r="N1376" s="579"/>
      <c r="O1376" s="631"/>
      <c r="P1376" s="631"/>
      <c r="Q1376" s="631"/>
      <c r="R1376" s="631"/>
      <c r="S1376" s="631"/>
      <c r="T1376" s="631"/>
      <c r="U1376" s="631"/>
      <c r="V1376" s="631"/>
      <c r="W1376" s="631"/>
      <c r="X1376" s="631"/>
      <c r="Y1376" s="631"/>
      <c r="Z1376" s="631"/>
      <c r="AA1376" s="631"/>
      <c r="AB1376" s="631"/>
      <c r="AC1376" s="631"/>
    </row>
    <row r="1377">
      <c r="A1377" s="631"/>
      <c r="B1377" s="694"/>
      <c r="C1377" s="694"/>
      <c r="D1377" s="694"/>
      <c r="E1377" s="694"/>
      <c r="F1377" s="631"/>
      <c r="G1377" s="631"/>
      <c r="H1377" s="631"/>
      <c r="I1377" s="579"/>
      <c r="J1377" s="579"/>
      <c r="K1377" s="694"/>
      <c r="L1377" s="579"/>
      <c r="M1377" s="579"/>
      <c r="N1377" s="579"/>
      <c r="O1377" s="631"/>
      <c r="P1377" s="631"/>
      <c r="Q1377" s="631"/>
      <c r="R1377" s="631"/>
      <c r="S1377" s="631"/>
      <c r="T1377" s="631"/>
      <c r="U1377" s="631"/>
      <c r="V1377" s="631"/>
      <c r="W1377" s="631"/>
      <c r="X1377" s="631"/>
      <c r="Y1377" s="631"/>
      <c r="Z1377" s="631"/>
      <c r="AA1377" s="631"/>
      <c r="AB1377" s="631"/>
      <c r="AC1377" s="631"/>
    </row>
    <row r="1378">
      <c r="A1378" s="631"/>
      <c r="B1378" s="694"/>
      <c r="C1378" s="694"/>
      <c r="D1378" s="694"/>
      <c r="E1378" s="694"/>
      <c r="F1378" s="631"/>
      <c r="G1378" s="631"/>
      <c r="H1378" s="631"/>
      <c r="I1378" s="579"/>
      <c r="J1378" s="579"/>
      <c r="K1378" s="694"/>
      <c r="L1378" s="579"/>
      <c r="M1378" s="579"/>
      <c r="N1378" s="579"/>
      <c r="O1378" s="631"/>
      <c r="P1378" s="631"/>
      <c r="Q1378" s="631"/>
      <c r="R1378" s="631"/>
      <c r="S1378" s="631"/>
      <c r="T1378" s="631"/>
      <c r="U1378" s="631"/>
      <c r="V1378" s="631"/>
      <c r="W1378" s="631"/>
      <c r="X1378" s="631"/>
      <c r="Y1378" s="631"/>
      <c r="Z1378" s="631"/>
      <c r="AA1378" s="631"/>
      <c r="AB1378" s="631"/>
      <c r="AC1378" s="631"/>
    </row>
    <row r="1379">
      <c r="A1379" s="631"/>
      <c r="B1379" s="694"/>
      <c r="C1379" s="694"/>
      <c r="D1379" s="694"/>
      <c r="E1379" s="694"/>
      <c r="F1379" s="631"/>
      <c r="G1379" s="631"/>
      <c r="H1379" s="631"/>
      <c r="I1379" s="579"/>
      <c r="J1379" s="579"/>
      <c r="K1379" s="694"/>
      <c r="L1379" s="579"/>
      <c r="M1379" s="579"/>
      <c r="N1379" s="579"/>
      <c r="O1379" s="631"/>
      <c r="P1379" s="631"/>
      <c r="Q1379" s="631"/>
      <c r="R1379" s="631"/>
      <c r="S1379" s="631"/>
      <c r="T1379" s="631"/>
      <c r="U1379" s="631"/>
      <c r="V1379" s="631"/>
      <c r="W1379" s="631"/>
      <c r="X1379" s="631"/>
      <c r="Y1379" s="631"/>
      <c r="Z1379" s="631"/>
      <c r="AA1379" s="631"/>
      <c r="AB1379" s="631"/>
      <c r="AC1379" s="631"/>
    </row>
    <row r="1380">
      <c r="A1380" s="631"/>
      <c r="B1380" s="694"/>
      <c r="C1380" s="694"/>
      <c r="D1380" s="694"/>
      <c r="E1380" s="694"/>
      <c r="F1380" s="631"/>
      <c r="G1380" s="631"/>
      <c r="H1380" s="631"/>
      <c r="I1380" s="579"/>
      <c r="J1380" s="579"/>
      <c r="K1380" s="694"/>
      <c r="L1380" s="579"/>
      <c r="M1380" s="579"/>
      <c r="N1380" s="579"/>
      <c r="O1380" s="631"/>
      <c r="P1380" s="631"/>
      <c r="Q1380" s="631"/>
      <c r="R1380" s="631"/>
      <c r="S1380" s="631"/>
      <c r="T1380" s="631"/>
      <c r="U1380" s="631"/>
      <c r="V1380" s="631"/>
      <c r="W1380" s="631"/>
      <c r="X1380" s="631"/>
      <c r="Y1380" s="631"/>
      <c r="Z1380" s="631"/>
      <c r="AA1380" s="631"/>
      <c r="AB1380" s="631"/>
      <c r="AC1380" s="631"/>
    </row>
    <row r="1381">
      <c r="A1381" s="631"/>
      <c r="B1381" s="694"/>
      <c r="C1381" s="694"/>
      <c r="D1381" s="694"/>
      <c r="E1381" s="694"/>
      <c r="F1381" s="631"/>
      <c r="G1381" s="631"/>
      <c r="H1381" s="631"/>
      <c r="I1381" s="579"/>
      <c r="J1381" s="579"/>
      <c r="K1381" s="694"/>
      <c r="L1381" s="579"/>
      <c r="M1381" s="579"/>
      <c r="N1381" s="579"/>
      <c r="O1381" s="631"/>
      <c r="P1381" s="631"/>
      <c r="Q1381" s="631"/>
      <c r="R1381" s="631"/>
      <c r="S1381" s="631"/>
      <c r="T1381" s="631"/>
      <c r="U1381" s="631"/>
      <c r="V1381" s="631"/>
      <c r="W1381" s="631"/>
      <c r="X1381" s="631"/>
      <c r="Y1381" s="631"/>
      <c r="Z1381" s="631"/>
      <c r="AA1381" s="631"/>
      <c r="AB1381" s="631"/>
      <c r="AC1381" s="631"/>
    </row>
    <row r="1382">
      <c r="A1382" s="631"/>
      <c r="B1382" s="694"/>
      <c r="C1382" s="694"/>
      <c r="D1382" s="694"/>
      <c r="E1382" s="694"/>
      <c r="F1382" s="631"/>
      <c r="G1382" s="631"/>
      <c r="H1382" s="631"/>
      <c r="I1382" s="579"/>
      <c r="J1382" s="579"/>
      <c r="K1382" s="694"/>
      <c r="L1382" s="579"/>
      <c r="M1382" s="579"/>
      <c r="N1382" s="579"/>
      <c r="O1382" s="631"/>
      <c r="P1382" s="631"/>
      <c r="Q1382" s="631"/>
      <c r="R1382" s="631"/>
      <c r="S1382" s="631"/>
      <c r="T1382" s="631"/>
      <c r="U1382" s="631"/>
      <c r="V1382" s="631"/>
      <c r="W1382" s="631"/>
      <c r="X1382" s="631"/>
      <c r="Y1382" s="631"/>
      <c r="Z1382" s="631"/>
      <c r="AA1382" s="631"/>
      <c r="AB1382" s="631"/>
      <c r="AC1382" s="631"/>
    </row>
    <row r="1383">
      <c r="A1383" s="631"/>
      <c r="B1383" s="694"/>
      <c r="C1383" s="694"/>
      <c r="D1383" s="694"/>
      <c r="E1383" s="694"/>
      <c r="F1383" s="631"/>
      <c r="G1383" s="631"/>
      <c r="H1383" s="631"/>
      <c r="I1383" s="579"/>
      <c r="J1383" s="579"/>
      <c r="K1383" s="694"/>
      <c r="L1383" s="579"/>
      <c r="M1383" s="579"/>
      <c r="N1383" s="579"/>
      <c r="O1383" s="631"/>
      <c r="P1383" s="631"/>
      <c r="Q1383" s="631"/>
      <c r="R1383" s="631"/>
      <c r="S1383" s="631"/>
      <c r="T1383" s="631"/>
      <c r="U1383" s="631"/>
      <c r="V1383" s="631"/>
      <c r="W1383" s="631"/>
      <c r="X1383" s="631"/>
      <c r="Y1383" s="631"/>
      <c r="Z1383" s="631"/>
      <c r="AA1383" s="631"/>
      <c r="AB1383" s="631"/>
      <c r="AC1383" s="631"/>
    </row>
    <row r="1384">
      <c r="A1384" s="631"/>
      <c r="B1384" s="694"/>
      <c r="C1384" s="694"/>
      <c r="D1384" s="694"/>
      <c r="E1384" s="694"/>
      <c r="F1384" s="631"/>
      <c r="G1384" s="631"/>
      <c r="H1384" s="631"/>
      <c r="I1384" s="579"/>
      <c r="J1384" s="579"/>
      <c r="K1384" s="694"/>
      <c r="L1384" s="579"/>
      <c r="M1384" s="579"/>
      <c r="N1384" s="579"/>
      <c r="O1384" s="631"/>
      <c r="P1384" s="631"/>
      <c r="Q1384" s="631"/>
      <c r="R1384" s="631"/>
      <c r="S1384" s="631"/>
      <c r="T1384" s="631"/>
      <c r="U1384" s="631"/>
      <c r="V1384" s="631"/>
      <c r="W1384" s="631"/>
      <c r="X1384" s="631"/>
      <c r="Y1384" s="631"/>
      <c r="Z1384" s="631"/>
      <c r="AA1384" s="631"/>
      <c r="AB1384" s="631"/>
      <c r="AC1384" s="631"/>
    </row>
    <row r="1385">
      <c r="A1385" s="631"/>
      <c r="B1385" s="694"/>
      <c r="C1385" s="694"/>
      <c r="D1385" s="694"/>
      <c r="E1385" s="694"/>
      <c r="F1385" s="631"/>
      <c r="G1385" s="631"/>
      <c r="H1385" s="631"/>
      <c r="I1385" s="579"/>
      <c r="J1385" s="579"/>
      <c r="K1385" s="694"/>
      <c r="L1385" s="579"/>
      <c r="M1385" s="579"/>
      <c r="N1385" s="579"/>
      <c r="O1385" s="631"/>
      <c r="P1385" s="631"/>
      <c r="Q1385" s="631"/>
      <c r="R1385" s="631"/>
      <c r="S1385" s="631"/>
      <c r="T1385" s="631"/>
      <c r="U1385" s="631"/>
      <c r="V1385" s="631"/>
      <c r="W1385" s="631"/>
      <c r="X1385" s="631"/>
      <c r="Y1385" s="631"/>
      <c r="Z1385" s="631"/>
      <c r="AA1385" s="631"/>
      <c r="AB1385" s="631"/>
      <c r="AC1385" s="631"/>
    </row>
    <row r="1386">
      <c r="A1386" s="631"/>
      <c r="B1386" s="694"/>
      <c r="C1386" s="694"/>
      <c r="D1386" s="694"/>
      <c r="E1386" s="694"/>
      <c r="F1386" s="631"/>
      <c r="G1386" s="631"/>
      <c r="H1386" s="631"/>
      <c r="I1386" s="579"/>
      <c r="J1386" s="579"/>
      <c r="K1386" s="694"/>
      <c r="L1386" s="579"/>
      <c r="M1386" s="579"/>
      <c r="N1386" s="579"/>
      <c r="O1386" s="631"/>
      <c r="P1386" s="631"/>
      <c r="Q1386" s="631"/>
      <c r="R1386" s="631"/>
      <c r="S1386" s="631"/>
      <c r="T1386" s="631"/>
      <c r="U1386" s="631"/>
      <c r="V1386" s="631"/>
      <c r="W1386" s="631"/>
      <c r="X1386" s="631"/>
      <c r="Y1386" s="631"/>
      <c r="Z1386" s="631"/>
      <c r="AA1386" s="631"/>
      <c r="AB1386" s="631"/>
      <c r="AC1386" s="631"/>
    </row>
    <row r="1387">
      <c r="A1387" s="631"/>
      <c r="B1387" s="694"/>
      <c r="C1387" s="694"/>
      <c r="D1387" s="694"/>
      <c r="E1387" s="694"/>
      <c r="F1387" s="631"/>
      <c r="G1387" s="631"/>
      <c r="H1387" s="631"/>
      <c r="I1387" s="579"/>
      <c r="J1387" s="579"/>
      <c r="K1387" s="694"/>
      <c r="L1387" s="579"/>
      <c r="M1387" s="579"/>
      <c r="N1387" s="579"/>
      <c r="O1387" s="631"/>
      <c r="P1387" s="631"/>
      <c r="Q1387" s="631"/>
      <c r="R1387" s="631"/>
      <c r="S1387" s="631"/>
      <c r="T1387" s="631"/>
      <c r="U1387" s="631"/>
      <c r="V1387" s="631"/>
      <c r="W1387" s="631"/>
      <c r="X1387" s="631"/>
      <c r="Y1387" s="631"/>
      <c r="Z1387" s="631"/>
      <c r="AA1387" s="631"/>
      <c r="AB1387" s="631"/>
      <c r="AC1387" s="631"/>
    </row>
    <row r="1388">
      <c r="A1388" s="631"/>
      <c r="B1388" s="694"/>
      <c r="C1388" s="694"/>
      <c r="D1388" s="694"/>
      <c r="E1388" s="694"/>
      <c r="F1388" s="631"/>
      <c r="G1388" s="631"/>
      <c r="H1388" s="631"/>
      <c r="I1388" s="579"/>
      <c r="J1388" s="579"/>
      <c r="K1388" s="694"/>
      <c r="L1388" s="579"/>
      <c r="M1388" s="579"/>
      <c r="N1388" s="579"/>
      <c r="O1388" s="631"/>
      <c r="P1388" s="631"/>
      <c r="Q1388" s="631"/>
      <c r="R1388" s="631"/>
      <c r="S1388" s="631"/>
      <c r="T1388" s="631"/>
      <c r="U1388" s="631"/>
      <c r="V1388" s="631"/>
      <c r="W1388" s="631"/>
      <c r="X1388" s="631"/>
      <c r="Y1388" s="631"/>
      <c r="Z1388" s="631"/>
      <c r="AA1388" s="631"/>
      <c r="AB1388" s="631"/>
      <c r="AC1388" s="631"/>
    </row>
    <row r="1389">
      <c r="A1389" s="631"/>
      <c r="B1389" s="694"/>
      <c r="C1389" s="694"/>
      <c r="D1389" s="694"/>
      <c r="E1389" s="694"/>
      <c r="F1389" s="631"/>
      <c r="G1389" s="631"/>
      <c r="H1389" s="631"/>
      <c r="I1389" s="579"/>
      <c r="J1389" s="579"/>
      <c r="K1389" s="694"/>
      <c r="L1389" s="579"/>
      <c r="M1389" s="579"/>
      <c r="N1389" s="579"/>
      <c r="O1389" s="631"/>
      <c r="P1389" s="631"/>
      <c r="Q1389" s="631"/>
      <c r="R1389" s="631"/>
      <c r="S1389" s="631"/>
      <c r="T1389" s="631"/>
      <c r="U1389" s="631"/>
      <c r="V1389" s="631"/>
      <c r="W1389" s="631"/>
      <c r="X1389" s="631"/>
      <c r="Y1389" s="631"/>
      <c r="Z1389" s="631"/>
      <c r="AA1389" s="631"/>
      <c r="AB1389" s="631"/>
      <c r="AC1389" s="631"/>
    </row>
    <row r="1390">
      <c r="A1390" s="631"/>
      <c r="B1390" s="694"/>
      <c r="C1390" s="694"/>
      <c r="D1390" s="694"/>
      <c r="E1390" s="694"/>
      <c r="F1390" s="631"/>
      <c r="G1390" s="631"/>
      <c r="H1390" s="631"/>
      <c r="I1390" s="579"/>
      <c r="J1390" s="579"/>
      <c r="K1390" s="694"/>
      <c r="L1390" s="579"/>
      <c r="M1390" s="579"/>
      <c r="N1390" s="579"/>
      <c r="O1390" s="631"/>
      <c r="P1390" s="631"/>
      <c r="Q1390" s="631"/>
      <c r="R1390" s="631"/>
      <c r="S1390" s="631"/>
      <c r="T1390" s="631"/>
      <c r="U1390" s="631"/>
      <c r="V1390" s="631"/>
      <c r="W1390" s="631"/>
      <c r="X1390" s="631"/>
      <c r="Y1390" s="631"/>
      <c r="Z1390" s="631"/>
      <c r="AA1390" s="631"/>
      <c r="AB1390" s="631"/>
      <c r="AC1390" s="631"/>
    </row>
    <row r="1391">
      <c r="A1391" s="631"/>
      <c r="B1391" s="694"/>
      <c r="C1391" s="694"/>
      <c r="D1391" s="694"/>
      <c r="E1391" s="694"/>
      <c r="F1391" s="631"/>
      <c r="G1391" s="631"/>
      <c r="H1391" s="631"/>
      <c r="I1391" s="579"/>
      <c r="J1391" s="579"/>
      <c r="K1391" s="694"/>
      <c r="L1391" s="579"/>
      <c r="M1391" s="579"/>
      <c r="N1391" s="579"/>
      <c r="O1391" s="631"/>
      <c r="P1391" s="631"/>
      <c r="Q1391" s="631"/>
      <c r="R1391" s="631"/>
      <c r="S1391" s="631"/>
      <c r="T1391" s="631"/>
      <c r="U1391" s="631"/>
      <c r="V1391" s="631"/>
      <c r="W1391" s="631"/>
      <c r="X1391" s="631"/>
      <c r="Y1391" s="631"/>
      <c r="Z1391" s="631"/>
      <c r="AA1391" s="631"/>
      <c r="AB1391" s="631"/>
      <c r="AC1391" s="631"/>
    </row>
    <row r="1392">
      <c r="A1392" s="631"/>
      <c r="B1392" s="694"/>
      <c r="C1392" s="694"/>
      <c r="D1392" s="694"/>
      <c r="E1392" s="694"/>
      <c r="F1392" s="631"/>
      <c r="G1392" s="631"/>
      <c r="H1392" s="631"/>
      <c r="I1392" s="579"/>
      <c r="J1392" s="579"/>
      <c r="K1392" s="694"/>
      <c r="L1392" s="579"/>
      <c r="M1392" s="579"/>
      <c r="N1392" s="579"/>
      <c r="O1392" s="631"/>
      <c r="P1392" s="631"/>
      <c r="Q1392" s="631"/>
      <c r="R1392" s="631"/>
      <c r="S1392" s="631"/>
      <c r="T1392" s="631"/>
      <c r="U1392" s="631"/>
      <c r="V1392" s="631"/>
      <c r="W1392" s="631"/>
      <c r="X1392" s="631"/>
      <c r="Y1392" s="631"/>
      <c r="Z1392" s="631"/>
      <c r="AA1392" s="631"/>
      <c r="AB1392" s="631"/>
      <c r="AC1392" s="631"/>
    </row>
    <row r="1393">
      <c r="A1393" s="631"/>
      <c r="B1393" s="694"/>
      <c r="C1393" s="694"/>
      <c r="D1393" s="694"/>
      <c r="E1393" s="694"/>
      <c r="F1393" s="631"/>
      <c r="G1393" s="631"/>
      <c r="H1393" s="631"/>
      <c r="I1393" s="579"/>
      <c r="J1393" s="579"/>
      <c r="K1393" s="694"/>
      <c r="L1393" s="579"/>
      <c r="M1393" s="579"/>
      <c r="N1393" s="579"/>
      <c r="O1393" s="631"/>
      <c r="P1393" s="631"/>
      <c r="Q1393" s="631"/>
      <c r="R1393" s="631"/>
      <c r="S1393" s="631"/>
      <c r="T1393" s="631"/>
      <c r="U1393" s="631"/>
      <c r="V1393" s="631"/>
      <c r="W1393" s="631"/>
      <c r="X1393" s="631"/>
      <c r="Y1393" s="631"/>
      <c r="Z1393" s="631"/>
      <c r="AA1393" s="631"/>
      <c r="AB1393" s="631"/>
      <c r="AC1393" s="631"/>
    </row>
    <row r="1394">
      <c r="A1394" s="631"/>
      <c r="B1394" s="694"/>
      <c r="C1394" s="694"/>
      <c r="D1394" s="694"/>
      <c r="E1394" s="694"/>
      <c r="F1394" s="631"/>
      <c r="G1394" s="631"/>
      <c r="H1394" s="631"/>
      <c r="I1394" s="579"/>
      <c r="J1394" s="579"/>
      <c r="K1394" s="694"/>
      <c r="L1394" s="579"/>
      <c r="M1394" s="579"/>
      <c r="N1394" s="579"/>
      <c r="O1394" s="631"/>
      <c r="P1394" s="631"/>
      <c r="Q1394" s="631"/>
      <c r="R1394" s="631"/>
      <c r="S1394" s="631"/>
      <c r="T1394" s="631"/>
      <c r="U1394" s="631"/>
      <c r="V1394" s="631"/>
      <c r="W1394" s="631"/>
      <c r="X1394" s="631"/>
      <c r="Y1394" s="631"/>
      <c r="Z1394" s="631"/>
      <c r="AA1394" s="631"/>
      <c r="AB1394" s="631"/>
      <c r="AC1394" s="631"/>
    </row>
    <row r="1395">
      <c r="A1395" s="631"/>
      <c r="B1395" s="694"/>
      <c r="C1395" s="694"/>
      <c r="D1395" s="694"/>
      <c r="E1395" s="694"/>
      <c r="F1395" s="631"/>
      <c r="G1395" s="631"/>
      <c r="H1395" s="631"/>
      <c r="I1395" s="579"/>
      <c r="J1395" s="579"/>
      <c r="K1395" s="694"/>
      <c r="L1395" s="579"/>
      <c r="M1395" s="579"/>
      <c r="N1395" s="579"/>
      <c r="O1395" s="631"/>
      <c r="P1395" s="631"/>
      <c r="Q1395" s="631"/>
      <c r="R1395" s="631"/>
      <c r="S1395" s="631"/>
      <c r="T1395" s="631"/>
      <c r="U1395" s="631"/>
      <c r="V1395" s="631"/>
      <c r="W1395" s="631"/>
      <c r="X1395" s="631"/>
      <c r="Y1395" s="631"/>
      <c r="Z1395" s="631"/>
      <c r="AA1395" s="631"/>
      <c r="AB1395" s="631"/>
      <c r="AC1395" s="631"/>
    </row>
    <row r="1396">
      <c r="A1396" s="631"/>
      <c r="B1396" s="694"/>
      <c r="C1396" s="694"/>
      <c r="D1396" s="694"/>
      <c r="E1396" s="694"/>
      <c r="F1396" s="631"/>
      <c r="G1396" s="631"/>
      <c r="H1396" s="631"/>
      <c r="I1396" s="579"/>
      <c r="J1396" s="579"/>
      <c r="K1396" s="694"/>
      <c r="L1396" s="579"/>
      <c r="M1396" s="579"/>
      <c r="N1396" s="579"/>
      <c r="O1396" s="631"/>
      <c r="P1396" s="631"/>
      <c r="Q1396" s="631"/>
      <c r="R1396" s="631"/>
      <c r="S1396" s="631"/>
      <c r="T1396" s="631"/>
      <c r="U1396" s="631"/>
      <c r="V1396" s="631"/>
      <c r="W1396" s="631"/>
      <c r="X1396" s="631"/>
      <c r="Y1396" s="631"/>
      <c r="Z1396" s="631"/>
      <c r="AA1396" s="631"/>
      <c r="AB1396" s="631"/>
      <c r="AC1396" s="631"/>
    </row>
    <row r="1397">
      <c r="A1397" s="631"/>
      <c r="B1397" s="694"/>
      <c r="C1397" s="694"/>
      <c r="D1397" s="694"/>
      <c r="E1397" s="694"/>
      <c r="F1397" s="631"/>
      <c r="G1397" s="631"/>
      <c r="H1397" s="631"/>
      <c r="I1397" s="579"/>
      <c r="J1397" s="579"/>
      <c r="K1397" s="694"/>
      <c r="L1397" s="579"/>
      <c r="M1397" s="579"/>
      <c r="N1397" s="579"/>
      <c r="O1397" s="631"/>
      <c r="P1397" s="631"/>
      <c r="Q1397" s="631"/>
      <c r="R1397" s="631"/>
      <c r="S1397" s="631"/>
      <c r="T1397" s="631"/>
      <c r="U1397" s="631"/>
      <c r="V1397" s="631"/>
      <c r="W1397" s="631"/>
      <c r="X1397" s="631"/>
      <c r="Y1397" s="631"/>
      <c r="Z1397" s="631"/>
      <c r="AA1397" s="631"/>
      <c r="AB1397" s="631"/>
      <c r="AC1397" s="631"/>
    </row>
    <row r="1398">
      <c r="A1398" s="631"/>
      <c r="B1398" s="694"/>
      <c r="C1398" s="694"/>
      <c r="D1398" s="694"/>
      <c r="E1398" s="694"/>
      <c r="F1398" s="631"/>
      <c r="G1398" s="631"/>
      <c r="H1398" s="631"/>
      <c r="I1398" s="579"/>
      <c r="J1398" s="579"/>
      <c r="K1398" s="694"/>
      <c r="L1398" s="579"/>
      <c r="M1398" s="579"/>
      <c r="N1398" s="579"/>
      <c r="O1398" s="631"/>
      <c r="P1398" s="631"/>
      <c r="Q1398" s="631"/>
      <c r="R1398" s="631"/>
      <c r="S1398" s="631"/>
      <c r="T1398" s="631"/>
      <c r="U1398" s="631"/>
      <c r="V1398" s="631"/>
      <c r="W1398" s="631"/>
      <c r="X1398" s="631"/>
      <c r="Y1398" s="631"/>
      <c r="Z1398" s="631"/>
      <c r="AA1398" s="631"/>
      <c r="AB1398" s="631"/>
      <c r="AC1398" s="631"/>
    </row>
    <row r="1399">
      <c r="A1399" s="631"/>
      <c r="B1399" s="694"/>
      <c r="C1399" s="694"/>
      <c r="D1399" s="694"/>
      <c r="E1399" s="694"/>
      <c r="F1399" s="631"/>
      <c r="G1399" s="631"/>
      <c r="H1399" s="631"/>
      <c r="I1399" s="579"/>
      <c r="J1399" s="579"/>
      <c r="K1399" s="694"/>
      <c r="L1399" s="579"/>
      <c r="M1399" s="579"/>
      <c r="N1399" s="579"/>
      <c r="O1399" s="631"/>
      <c r="P1399" s="631"/>
      <c r="Q1399" s="631"/>
      <c r="R1399" s="631"/>
      <c r="S1399" s="631"/>
      <c r="T1399" s="631"/>
      <c r="U1399" s="631"/>
      <c r="V1399" s="631"/>
      <c r="W1399" s="631"/>
      <c r="X1399" s="631"/>
      <c r="Y1399" s="631"/>
      <c r="Z1399" s="631"/>
      <c r="AA1399" s="631"/>
      <c r="AB1399" s="631"/>
      <c r="AC1399" s="631"/>
    </row>
    <row r="1400">
      <c r="A1400" s="631"/>
      <c r="B1400" s="694"/>
      <c r="C1400" s="694"/>
      <c r="D1400" s="694"/>
      <c r="E1400" s="694"/>
      <c r="F1400" s="631"/>
      <c r="G1400" s="631"/>
      <c r="H1400" s="631"/>
      <c r="I1400" s="579"/>
      <c r="J1400" s="579"/>
      <c r="K1400" s="694"/>
      <c r="L1400" s="579"/>
      <c r="M1400" s="579"/>
      <c r="N1400" s="579"/>
      <c r="O1400" s="631"/>
      <c r="P1400" s="631"/>
      <c r="Q1400" s="631"/>
      <c r="R1400" s="631"/>
      <c r="S1400" s="631"/>
      <c r="T1400" s="631"/>
      <c r="U1400" s="631"/>
      <c r="V1400" s="631"/>
      <c r="W1400" s="631"/>
      <c r="X1400" s="631"/>
      <c r="Y1400" s="631"/>
      <c r="Z1400" s="631"/>
      <c r="AA1400" s="631"/>
      <c r="AB1400" s="631"/>
      <c r="AC1400" s="631"/>
    </row>
    <row r="1401">
      <c r="A1401" s="631"/>
      <c r="B1401" s="694"/>
      <c r="C1401" s="694"/>
      <c r="D1401" s="694"/>
      <c r="E1401" s="694"/>
      <c r="F1401" s="631"/>
      <c r="G1401" s="631"/>
      <c r="H1401" s="631"/>
      <c r="I1401" s="579"/>
      <c r="J1401" s="579"/>
      <c r="K1401" s="694"/>
      <c r="L1401" s="579"/>
      <c r="M1401" s="579"/>
      <c r="N1401" s="579"/>
      <c r="O1401" s="631"/>
      <c r="P1401" s="631"/>
      <c r="Q1401" s="631"/>
      <c r="R1401" s="631"/>
      <c r="S1401" s="631"/>
      <c r="T1401" s="631"/>
      <c r="U1401" s="631"/>
      <c r="V1401" s="631"/>
      <c r="W1401" s="631"/>
      <c r="X1401" s="631"/>
      <c r="Y1401" s="631"/>
      <c r="Z1401" s="631"/>
      <c r="AA1401" s="631"/>
      <c r="AB1401" s="631"/>
      <c r="AC1401" s="631"/>
    </row>
    <row r="1402">
      <c r="A1402" s="631"/>
      <c r="B1402" s="694"/>
      <c r="C1402" s="694"/>
      <c r="D1402" s="694"/>
      <c r="E1402" s="694"/>
      <c r="F1402" s="631"/>
      <c r="G1402" s="631"/>
      <c r="H1402" s="631"/>
      <c r="I1402" s="579"/>
      <c r="J1402" s="579"/>
      <c r="K1402" s="694"/>
      <c r="L1402" s="579"/>
      <c r="M1402" s="579"/>
      <c r="N1402" s="579"/>
      <c r="O1402" s="631"/>
      <c r="P1402" s="631"/>
      <c r="Q1402" s="631"/>
      <c r="R1402" s="631"/>
      <c r="S1402" s="631"/>
      <c r="T1402" s="631"/>
      <c r="U1402" s="631"/>
      <c r="V1402" s="631"/>
      <c r="W1402" s="631"/>
      <c r="X1402" s="631"/>
      <c r="Y1402" s="631"/>
      <c r="Z1402" s="631"/>
      <c r="AA1402" s="631"/>
      <c r="AB1402" s="631"/>
      <c r="AC1402" s="631"/>
    </row>
    <row r="1403">
      <c r="A1403" s="631"/>
      <c r="B1403" s="694"/>
      <c r="C1403" s="694"/>
      <c r="D1403" s="694"/>
      <c r="E1403" s="694"/>
      <c r="F1403" s="631"/>
      <c r="G1403" s="631"/>
      <c r="H1403" s="631"/>
      <c r="I1403" s="579"/>
      <c r="J1403" s="579"/>
      <c r="K1403" s="694"/>
      <c r="L1403" s="579"/>
      <c r="M1403" s="579"/>
      <c r="N1403" s="579"/>
      <c r="O1403" s="631"/>
      <c r="P1403" s="631"/>
      <c r="Q1403" s="631"/>
      <c r="R1403" s="631"/>
      <c r="S1403" s="631"/>
      <c r="T1403" s="631"/>
      <c r="U1403" s="631"/>
      <c r="V1403" s="631"/>
      <c r="W1403" s="631"/>
      <c r="X1403" s="631"/>
      <c r="Y1403" s="631"/>
      <c r="Z1403" s="631"/>
      <c r="AA1403" s="631"/>
      <c r="AB1403" s="631"/>
      <c r="AC1403" s="631"/>
    </row>
    <row r="1404">
      <c r="A1404" s="631"/>
      <c r="B1404" s="694"/>
      <c r="C1404" s="694"/>
      <c r="D1404" s="694"/>
      <c r="E1404" s="694"/>
      <c r="F1404" s="631"/>
      <c r="G1404" s="631"/>
      <c r="H1404" s="631"/>
      <c r="I1404" s="579"/>
      <c r="J1404" s="579"/>
      <c r="K1404" s="694"/>
      <c r="L1404" s="579"/>
      <c r="M1404" s="579"/>
      <c r="N1404" s="579"/>
      <c r="O1404" s="631"/>
      <c r="P1404" s="631"/>
      <c r="Q1404" s="631"/>
      <c r="R1404" s="631"/>
      <c r="S1404" s="631"/>
      <c r="T1404" s="631"/>
      <c r="U1404" s="631"/>
      <c r="V1404" s="631"/>
      <c r="W1404" s="631"/>
      <c r="X1404" s="631"/>
      <c r="Y1404" s="631"/>
      <c r="Z1404" s="631"/>
      <c r="AA1404" s="631"/>
      <c r="AB1404" s="631"/>
      <c r="AC1404" s="631"/>
    </row>
    <row r="1405">
      <c r="A1405" s="631"/>
      <c r="B1405" s="694"/>
      <c r="C1405" s="694"/>
      <c r="D1405" s="694"/>
      <c r="E1405" s="694"/>
      <c r="F1405" s="631"/>
      <c r="G1405" s="631"/>
      <c r="H1405" s="631"/>
      <c r="I1405" s="579"/>
      <c r="J1405" s="579"/>
      <c r="K1405" s="694"/>
      <c r="L1405" s="579"/>
      <c r="M1405" s="579"/>
      <c r="N1405" s="579"/>
      <c r="O1405" s="631"/>
      <c r="P1405" s="631"/>
      <c r="Q1405" s="631"/>
      <c r="R1405" s="631"/>
      <c r="S1405" s="631"/>
      <c r="T1405" s="631"/>
      <c r="U1405" s="631"/>
      <c r="V1405" s="631"/>
      <c r="W1405" s="631"/>
      <c r="X1405" s="631"/>
      <c r="Y1405" s="631"/>
      <c r="Z1405" s="631"/>
      <c r="AA1405" s="631"/>
      <c r="AB1405" s="631"/>
      <c r="AC1405" s="631"/>
    </row>
    <row r="1406">
      <c r="A1406" s="631"/>
      <c r="B1406" s="694"/>
      <c r="C1406" s="694"/>
      <c r="D1406" s="694"/>
      <c r="E1406" s="694"/>
      <c r="F1406" s="631"/>
      <c r="G1406" s="631"/>
      <c r="H1406" s="631"/>
      <c r="I1406" s="579"/>
      <c r="J1406" s="579"/>
      <c r="K1406" s="694"/>
      <c r="L1406" s="579"/>
      <c r="M1406" s="579"/>
      <c r="N1406" s="579"/>
      <c r="O1406" s="631"/>
      <c r="P1406" s="631"/>
      <c r="Q1406" s="631"/>
      <c r="R1406" s="631"/>
      <c r="S1406" s="631"/>
      <c r="T1406" s="631"/>
      <c r="U1406" s="631"/>
      <c r="V1406" s="631"/>
      <c r="W1406" s="631"/>
      <c r="X1406" s="631"/>
      <c r="Y1406" s="631"/>
      <c r="Z1406" s="631"/>
      <c r="AA1406" s="631"/>
      <c r="AB1406" s="631"/>
      <c r="AC1406" s="631"/>
    </row>
    <row r="1407">
      <c r="A1407" s="631"/>
      <c r="B1407" s="694"/>
      <c r="C1407" s="694"/>
      <c r="D1407" s="694"/>
      <c r="E1407" s="694"/>
      <c r="F1407" s="631"/>
      <c r="G1407" s="631"/>
      <c r="H1407" s="631"/>
      <c r="I1407" s="579"/>
      <c r="J1407" s="579"/>
      <c r="K1407" s="694"/>
      <c r="L1407" s="579"/>
      <c r="M1407" s="579"/>
      <c r="N1407" s="579"/>
      <c r="O1407" s="631"/>
      <c r="P1407" s="631"/>
      <c r="Q1407" s="631"/>
      <c r="R1407" s="631"/>
      <c r="S1407" s="631"/>
      <c r="T1407" s="631"/>
      <c r="U1407" s="631"/>
      <c r="V1407" s="631"/>
      <c r="W1407" s="631"/>
      <c r="X1407" s="631"/>
      <c r="Y1407" s="631"/>
      <c r="Z1407" s="631"/>
      <c r="AA1407" s="631"/>
      <c r="AB1407" s="631"/>
      <c r="AC1407" s="631"/>
    </row>
    <row r="1408">
      <c r="A1408" s="631"/>
      <c r="B1408" s="694"/>
      <c r="C1408" s="694"/>
      <c r="D1408" s="694"/>
      <c r="E1408" s="694"/>
      <c r="F1408" s="631"/>
      <c r="G1408" s="631"/>
      <c r="H1408" s="631"/>
      <c r="I1408" s="579"/>
      <c r="J1408" s="579"/>
      <c r="K1408" s="694"/>
      <c r="L1408" s="579"/>
      <c r="M1408" s="579"/>
      <c r="N1408" s="579"/>
      <c r="O1408" s="631"/>
      <c r="P1408" s="631"/>
      <c r="Q1408" s="631"/>
      <c r="R1408" s="631"/>
      <c r="S1408" s="631"/>
      <c r="T1408" s="631"/>
      <c r="U1408" s="631"/>
      <c r="V1408" s="631"/>
      <c r="W1408" s="631"/>
      <c r="X1408" s="631"/>
      <c r="Y1408" s="631"/>
      <c r="Z1408" s="631"/>
      <c r="AA1408" s="631"/>
      <c r="AB1408" s="631"/>
      <c r="AC1408" s="631"/>
    </row>
    <row r="1409">
      <c r="A1409" s="631"/>
      <c r="B1409" s="694"/>
      <c r="C1409" s="694"/>
      <c r="D1409" s="694"/>
      <c r="E1409" s="694"/>
      <c r="F1409" s="631"/>
      <c r="G1409" s="631"/>
      <c r="H1409" s="631"/>
      <c r="I1409" s="579"/>
      <c r="J1409" s="579"/>
      <c r="K1409" s="694"/>
      <c r="L1409" s="579"/>
      <c r="M1409" s="579"/>
      <c r="N1409" s="579"/>
      <c r="O1409" s="631"/>
      <c r="P1409" s="631"/>
      <c r="Q1409" s="631"/>
      <c r="R1409" s="631"/>
      <c r="S1409" s="631"/>
      <c r="T1409" s="631"/>
      <c r="U1409" s="631"/>
      <c r="V1409" s="631"/>
      <c r="W1409" s="631"/>
      <c r="X1409" s="631"/>
      <c r="Y1409" s="631"/>
      <c r="Z1409" s="631"/>
      <c r="AA1409" s="631"/>
      <c r="AB1409" s="631"/>
      <c r="AC1409" s="631"/>
    </row>
    <row r="1410">
      <c r="A1410" s="631"/>
      <c r="B1410" s="694"/>
      <c r="C1410" s="694"/>
      <c r="D1410" s="694"/>
      <c r="E1410" s="694"/>
      <c r="F1410" s="631"/>
      <c r="G1410" s="631"/>
      <c r="H1410" s="631"/>
      <c r="I1410" s="579"/>
      <c r="J1410" s="579"/>
      <c r="K1410" s="694"/>
      <c r="L1410" s="579"/>
      <c r="M1410" s="579"/>
      <c r="N1410" s="579"/>
      <c r="O1410" s="631"/>
      <c r="P1410" s="631"/>
      <c r="Q1410" s="631"/>
      <c r="R1410" s="631"/>
      <c r="S1410" s="631"/>
      <c r="T1410" s="631"/>
      <c r="U1410" s="631"/>
      <c r="V1410" s="631"/>
      <c r="W1410" s="631"/>
      <c r="X1410" s="631"/>
      <c r="Y1410" s="631"/>
      <c r="Z1410" s="631"/>
      <c r="AA1410" s="631"/>
      <c r="AB1410" s="631"/>
      <c r="AC1410" s="631"/>
    </row>
    <row r="1411">
      <c r="A1411" s="631"/>
      <c r="B1411" s="694"/>
      <c r="C1411" s="694"/>
      <c r="D1411" s="694"/>
      <c r="E1411" s="694"/>
      <c r="F1411" s="631"/>
      <c r="G1411" s="631"/>
      <c r="H1411" s="631"/>
      <c r="I1411" s="579"/>
      <c r="J1411" s="579"/>
      <c r="K1411" s="694"/>
      <c r="L1411" s="579"/>
      <c r="M1411" s="579"/>
      <c r="N1411" s="579"/>
      <c r="O1411" s="631"/>
      <c r="P1411" s="631"/>
      <c r="Q1411" s="631"/>
      <c r="R1411" s="631"/>
      <c r="S1411" s="631"/>
      <c r="T1411" s="631"/>
      <c r="U1411" s="631"/>
      <c r="V1411" s="631"/>
      <c r="W1411" s="631"/>
      <c r="X1411" s="631"/>
      <c r="Y1411" s="631"/>
      <c r="Z1411" s="631"/>
      <c r="AA1411" s="631"/>
      <c r="AB1411" s="631"/>
      <c r="AC1411" s="631"/>
    </row>
    <row r="1412">
      <c r="A1412" s="631"/>
      <c r="B1412" s="694"/>
      <c r="C1412" s="694"/>
      <c r="D1412" s="694"/>
      <c r="E1412" s="694"/>
      <c r="F1412" s="631"/>
      <c r="G1412" s="631"/>
      <c r="H1412" s="631"/>
      <c r="I1412" s="579"/>
      <c r="J1412" s="579"/>
      <c r="K1412" s="694"/>
      <c r="L1412" s="579"/>
      <c r="M1412" s="579"/>
      <c r="N1412" s="579"/>
      <c r="O1412" s="631"/>
      <c r="P1412" s="631"/>
      <c r="Q1412" s="631"/>
      <c r="R1412" s="631"/>
      <c r="S1412" s="631"/>
      <c r="T1412" s="631"/>
      <c r="U1412" s="631"/>
      <c r="V1412" s="631"/>
      <c r="W1412" s="631"/>
      <c r="X1412" s="631"/>
      <c r="Y1412" s="631"/>
      <c r="Z1412" s="631"/>
      <c r="AA1412" s="631"/>
      <c r="AB1412" s="631"/>
      <c r="AC1412" s="631"/>
    </row>
    <row r="1413">
      <c r="A1413" s="631"/>
      <c r="B1413" s="694"/>
      <c r="C1413" s="694"/>
      <c r="D1413" s="694"/>
      <c r="E1413" s="694"/>
      <c r="F1413" s="631"/>
      <c r="G1413" s="631"/>
      <c r="H1413" s="631"/>
      <c r="I1413" s="579"/>
      <c r="J1413" s="579"/>
      <c r="K1413" s="694"/>
      <c r="L1413" s="579"/>
      <c r="M1413" s="579"/>
      <c r="N1413" s="579"/>
      <c r="O1413" s="631"/>
      <c r="P1413" s="631"/>
      <c r="Q1413" s="631"/>
      <c r="R1413" s="631"/>
      <c r="S1413" s="631"/>
      <c r="T1413" s="631"/>
      <c r="U1413" s="631"/>
      <c r="V1413" s="631"/>
      <c r="W1413" s="631"/>
      <c r="X1413" s="631"/>
      <c r="Y1413" s="631"/>
      <c r="Z1413" s="631"/>
      <c r="AA1413" s="631"/>
      <c r="AB1413" s="631"/>
      <c r="AC1413" s="631"/>
    </row>
    <row r="1414">
      <c r="A1414" s="631"/>
      <c r="B1414" s="694"/>
      <c r="C1414" s="694"/>
      <c r="D1414" s="694"/>
      <c r="E1414" s="694"/>
      <c r="F1414" s="631"/>
      <c r="G1414" s="631"/>
      <c r="H1414" s="631"/>
      <c r="I1414" s="579"/>
      <c r="J1414" s="579"/>
      <c r="K1414" s="694"/>
      <c r="L1414" s="579"/>
      <c r="M1414" s="579"/>
      <c r="N1414" s="579"/>
      <c r="O1414" s="631"/>
      <c r="P1414" s="631"/>
      <c r="Q1414" s="631"/>
      <c r="R1414" s="631"/>
      <c r="S1414" s="631"/>
      <c r="T1414" s="631"/>
      <c r="U1414" s="631"/>
      <c r="V1414" s="631"/>
      <c r="W1414" s="631"/>
      <c r="X1414" s="631"/>
      <c r="Y1414" s="631"/>
      <c r="Z1414" s="631"/>
      <c r="AA1414" s="631"/>
      <c r="AB1414" s="631"/>
      <c r="AC1414" s="631"/>
    </row>
    <row r="1415">
      <c r="A1415" s="631"/>
      <c r="B1415" s="694"/>
      <c r="C1415" s="694"/>
      <c r="D1415" s="694"/>
      <c r="E1415" s="694"/>
      <c r="F1415" s="631"/>
      <c r="G1415" s="631"/>
      <c r="H1415" s="631"/>
      <c r="I1415" s="579"/>
      <c r="J1415" s="579"/>
      <c r="K1415" s="694"/>
      <c r="L1415" s="579"/>
      <c r="M1415" s="579"/>
      <c r="N1415" s="579"/>
      <c r="O1415" s="631"/>
      <c r="P1415" s="631"/>
      <c r="Q1415" s="631"/>
      <c r="R1415" s="631"/>
      <c r="S1415" s="631"/>
      <c r="T1415" s="631"/>
      <c r="U1415" s="631"/>
      <c r="V1415" s="631"/>
      <c r="W1415" s="631"/>
      <c r="X1415" s="631"/>
      <c r="Y1415" s="631"/>
      <c r="Z1415" s="631"/>
      <c r="AA1415" s="631"/>
      <c r="AB1415" s="631"/>
      <c r="AC1415" s="631"/>
    </row>
    <row r="1416">
      <c r="A1416" s="631"/>
      <c r="B1416" s="694"/>
      <c r="C1416" s="694"/>
      <c r="D1416" s="694"/>
      <c r="E1416" s="694"/>
      <c r="F1416" s="631"/>
      <c r="G1416" s="631"/>
      <c r="H1416" s="631"/>
      <c r="I1416" s="579"/>
      <c r="J1416" s="579"/>
      <c r="K1416" s="694"/>
      <c r="L1416" s="579"/>
      <c r="M1416" s="579"/>
      <c r="N1416" s="579"/>
      <c r="O1416" s="631"/>
      <c r="P1416" s="631"/>
      <c r="Q1416" s="631"/>
      <c r="R1416" s="631"/>
      <c r="S1416" s="631"/>
      <c r="T1416" s="631"/>
      <c r="U1416" s="631"/>
      <c r="V1416" s="631"/>
      <c r="W1416" s="631"/>
      <c r="X1416" s="631"/>
      <c r="Y1416" s="631"/>
      <c r="Z1416" s="631"/>
      <c r="AA1416" s="631"/>
      <c r="AB1416" s="631"/>
      <c r="AC1416" s="631"/>
    </row>
    <row r="1417">
      <c r="A1417" s="631"/>
      <c r="B1417" s="694"/>
      <c r="C1417" s="694"/>
      <c r="D1417" s="694"/>
      <c r="E1417" s="694"/>
      <c r="F1417" s="631"/>
      <c r="G1417" s="631"/>
      <c r="H1417" s="631"/>
      <c r="I1417" s="579"/>
      <c r="J1417" s="579"/>
      <c r="K1417" s="694"/>
      <c r="L1417" s="579"/>
      <c r="M1417" s="579"/>
      <c r="N1417" s="579"/>
      <c r="O1417" s="631"/>
      <c r="P1417" s="631"/>
      <c r="Q1417" s="631"/>
      <c r="R1417" s="631"/>
      <c r="S1417" s="631"/>
      <c r="T1417" s="631"/>
      <c r="U1417" s="631"/>
      <c r="V1417" s="631"/>
      <c r="W1417" s="631"/>
      <c r="X1417" s="631"/>
      <c r="Y1417" s="631"/>
      <c r="Z1417" s="631"/>
      <c r="AA1417" s="631"/>
      <c r="AB1417" s="631"/>
      <c r="AC1417" s="631"/>
    </row>
    <row r="1418">
      <c r="A1418" s="631"/>
      <c r="B1418" s="694"/>
      <c r="C1418" s="694"/>
      <c r="D1418" s="694"/>
      <c r="E1418" s="694"/>
      <c r="F1418" s="631"/>
      <c r="G1418" s="631"/>
      <c r="H1418" s="631"/>
      <c r="I1418" s="579"/>
      <c r="J1418" s="579"/>
      <c r="K1418" s="694"/>
      <c r="L1418" s="579"/>
      <c r="M1418" s="579"/>
      <c r="N1418" s="579"/>
      <c r="O1418" s="631"/>
      <c r="P1418" s="631"/>
      <c r="Q1418" s="631"/>
      <c r="R1418" s="631"/>
      <c r="S1418" s="631"/>
      <c r="T1418" s="631"/>
      <c r="U1418" s="631"/>
      <c r="V1418" s="631"/>
      <c r="W1418" s="631"/>
      <c r="X1418" s="631"/>
      <c r="Y1418" s="631"/>
      <c r="Z1418" s="631"/>
      <c r="AA1418" s="631"/>
      <c r="AB1418" s="631"/>
      <c r="AC1418" s="631"/>
    </row>
    <row r="1419">
      <c r="A1419" s="631"/>
      <c r="B1419" s="694"/>
      <c r="C1419" s="694"/>
      <c r="D1419" s="694"/>
      <c r="E1419" s="694"/>
      <c r="F1419" s="631"/>
      <c r="G1419" s="631"/>
      <c r="H1419" s="631"/>
      <c r="I1419" s="579"/>
      <c r="J1419" s="579"/>
      <c r="K1419" s="694"/>
      <c r="L1419" s="579"/>
      <c r="M1419" s="579"/>
      <c r="N1419" s="579"/>
      <c r="O1419" s="631"/>
      <c r="P1419" s="631"/>
      <c r="Q1419" s="631"/>
      <c r="R1419" s="631"/>
      <c r="S1419" s="631"/>
      <c r="T1419" s="631"/>
      <c r="U1419" s="631"/>
      <c r="V1419" s="631"/>
      <c r="W1419" s="631"/>
      <c r="X1419" s="631"/>
      <c r="Y1419" s="631"/>
      <c r="Z1419" s="631"/>
      <c r="AA1419" s="631"/>
      <c r="AB1419" s="631"/>
      <c r="AC1419" s="631"/>
    </row>
    <row r="1420">
      <c r="A1420" s="631"/>
      <c r="B1420" s="694"/>
      <c r="C1420" s="694"/>
      <c r="D1420" s="694"/>
      <c r="E1420" s="694"/>
      <c r="F1420" s="631"/>
      <c r="G1420" s="631"/>
      <c r="H1420" s="631"/>
      <c r="I1420" s="579"/>
      <c r="J1420" s="579"/>
      <c r="K1420" s="694"/>
      <c r="L1420" s="579"/>
      <c r="M1420" s="579"/>
      <c r="N1420" s="579"/>
      <c r="O1420" s="631"/>
      <c r="P1420" s="631"/>
      <c r="Q1420" s="631"/>
      <c r="R1420" s="631"/>
      <c r="S1420" s="631"/>
      <c r="T1420" s="631"/>
      <c r="U1420" s="631"/>
      <c r="V1420" s="631"/>
      <c r="W1420" s="631"/>
      <c r="X1420" s="631"/>
      <c r="Y1420" s="631"/>
      <c r="Z1420" s="631"/>
      <c r="AA1420" s="631"/>
      <c r="AB1420" s="631"/>
      <c r="AC1420" s="631"/>
    </row>
    <row r="1421">
      <c r="A1421" s="631"/>
      <c r="B1421" s="694"/>
      <c r="C1421" s="694"/>
      <c r="D1421" s="694"/>
      <c r="E1421" s="694"/>
      <c r="F1421" s="631"/>
      <c r="G1421" s="631"/>
      <c r="H1421" s="631"/>
      <c r="I1421" s="579"/>
      <c r="J1421" s="579"/>
      <c r="K1421" s="694"/>
      <c r="L1421" s="579"/>
      <c r="M1421" s="579"/>
      <c r="N1421" s="579"/>
      <c r="O1421" s="631"/>
      <c r="P1421" s="631"/>
      <c r="Q1421" s="631"/>
      <c r="R1421" s="631"/>
      <c r="S1421" s="631"/>
      <c r="T1421" s="631"/>
      <c r="U1421" s="631"/>
      <c r="V1421" s="631"/>
      <c r="W1421" s="631"/>
      <c r="X1421" s="631"/>
      <c r="Y1421" s="631"/>
      <c r="Z1421" s="631"/>
      <c r="AA1421" s="631"/>
      <c r="AB1421" s="631"/>
      <c r="AC1421" s="631"/>
    </row>
    <row r="1422">
      <c r="A1422" s="631"/>
      <c r="B1422" s="694"/>
      <c r="C1422" s="694"/>
      <c r="D1422" s="694"/>
      <c r="E1422" s="694"/>
      <c r="F1422" s="631"/>
      <c r="G1422" s="631"/>
      <c r="H1422" s="631"/>
      <c r="I1422" s="579"/>
      <c r="J1422" s="579"/>
      <c r="K1422" s="694"/>
      <c r="L1422" s="579"/>
      <c r="M1422" s="579"/>
      <c r="N1422" s="579"/>
      <c r="O1422" s="631"/>
      <c r="P1422" s="631"/>
      <c r="Q1422" s="631"/>
      <c r="R1422" s="631"/>
      <c r="S1422" s="631"/>
      <c r="T1422" s="631"/>
      <c r="U1422" s="631"/>
      <c r="V1422" s="631"/>
      <c r="W1422" s="631"/>
      <c r="X1422" s="631"/>
      <c r="Y1422" s="631"/>
      <c r="Z1422" s="631"/>
      <c r="AA1422" s="631"/>
      <c r="AB1422" s="631"/>
      <c r="AC1422" s="631"/>
    </row>
    <row r="1423">
      <c r="A1423" s="631"/>
      <c r="B1423" s="694"/>
      <c r="C1423" s="694"/>
      <c r="D1423" s="694"/>
      <c r="E1423" s="694"/>
      <c r="F1423" s="631"/>
      <c r="G1423" s="631"/>
      <c r="H1423" s="631"/>
      <c r="I1423" s="579"/>
      <c r="J1423" s="579"/>
      <c r="K1423" s="694"/>
      <c r="L1423" s="579"/>
      <c r="M1423" s="579"/>
      <c r="N1423" s="579"/>
      <c r="O1423" s="631"/>
      <c r="P1423" s="631"/>
      <c r="Q1423" s="631"/>
      <c r="R1423" s="631"/>
      <c r="S1423" s="631"/>
      <c r="T1423" s="631"/>
      <c r="U1423" s="631"/>
      <c r="V1423" s="631"/>
      <c r="W1423" s="631"/>
      <c r="X1423" s="631"/>
      <c r="Y1423" s="631"/>
      <c r="Z1423" s="631"/>
      <c r="AA1423" s="631"/>
      <c r="AB1423" s="631"/>
      <c r="AC1423" s="631"/>
    </row>
    <row r="1424">
      <c r="A1424" s="631"/>
      <c r="B1424" s="694"/>
      <c r="C1424" s="694"/>
      <c r="D1424" s="694"/>
      <c r="E1424" s="694"/>
      <c r="F1424" s="631"/>
      <c r="G1424" s="631"/>
      <c r="H1424" s="631"/>
      <c r="I1424" s="579"/>
      <c r="J1424" s="579"/>
      <c r="K1424" s="694"/>
      <c r="L1424" s="579"/>
      <c r="M1424" s="579"/>
      <c r="N1424" s="579"/>
      <c r="O1424" s="631"/>
      <c r="P1424" s="631"/>
      <c r="Q1424" s="631"/>
      <c r="R1424" s="631"/>
      <c r="S1424" s="631"/>
      <c r="T1424" s="631"/>
      <c r="U1424" s="631"/>
      <c r="V1424" s="631"/>
      <c r="W1424" s="631"/>
      <c r="X1424" s="631"/>
      <c r="Y1424" s="631"/>
      <c r="Z1424" s="631"/>
      <c r="AA1424" s="631"/>
      <c r="AB1424" s="631"/>
      <c r="AC1424" s="631"/>
    </row>
    <row r="1425">
      <c r="A1425" s="631"/>
      <c r="B1425" s="694"/>
      <c r="C1425" s="694"/>
      <c r="D1425" s="694"/>
      <c r="E1425" s="694"/>
      <c r="F1425" s="631"/>
      <c r="G1425" s="631"/>
      <c r="H1425" s="631"/>
      <c r="I1425" s="579"/>
      <c r="J1425" s="579"/>
      <c r="K1425" s="694"/>
      <c r="L1425" s="579"/>
      <c r="M1425" s="579"/>
      <c r="N1425" s="579"/>
      <c r="O1425" s="631"/>
      <c r="P1425" s="631"/>
      <c r="Q1425" s="631"/>
      <c r="R1425" s="631"/>
      <c r="S1425" s="631"/>
      <c r="T1425" s="631"/>
      <c r="U1425" s="631"/>
      <c r="V1425" s="631"/>
      <c r="W1425" s="631"/>
      <c r="X1425" s="631"/>
      <c r="Y1425" s="631"/>
      <c r="Z1425" s="631"/>
      <c r="AA1425" s="631"/>
      <c r="AB1425" s="631"/>
      <c r="AC1425" s="631"/>
    </row>
    <row r="1426">
      <c r="A1426" s="631"/>
      <c r="B1426" s="694"/>
      <c r="C1426" s="694"/>
      <c r="D1426" s="694"/>
      <c r="E1426" s="694"/>
      <c r="F1426" s="631"/>
      <c r="G1426" s="631"/>
      <c r="H1426" s="631"/>
      <c r="I1426" s="579"/>
      <c r="J1426" s="579"/>
      <c r="K1426" s="694"/>
      <c r="L1426" s="579"/>
      <c r="M1426" s="579"/>
      <c r="N1426" s="579"/>
      <c r="O1426" s="631"/>
      <c r="P1426" s="631"/>
      <c r="Q1426" s="631"/>
      <c r="R1426" s="631"/>
      <c r="S1426" s="631"/>
      <c r="T1426" s="631"/>
      <c r="U1426" s="631"/>
      <c r="V1426" s="631"/>
      <c r="W1426" s="631"/>
      <c r="X1426" s="631"/>
      <c r="Y1426" s="631"/>
      <c r="Z1426" s="631"/>
      <c r="AA1426" s="631"/>
      <c r="AB1426" s="631"/>
      <c r="AC1426" s="631"/>
    </row>
    <row r="1427">
      <c r="A1427" s="631"/>
      <c r="B1427" s="694"/>
      <c r="C1427" s="694"/>
      <c r="D1427" s="694"/>
      <c r="E1427" s="694"/>
      <c r="F1427" s="631"/>
      <c r="G1427" s="631"/>
      <c r="H1427" s="631"/>
      <c r="I1427" s="579"/>
      <c r="J1427" s="579"/>
      <c r="K1427" s="694"/>
      <c r="L1427" s="579"/>
      <c r="M1427" s="579"/>
      <c r="N1427" s="579"/>
      <c r="O1427" s="631"/>
      <c r="P1427" s="631"/>
      <c r="Q1427" s="631"/>
      <c r="R1427" s="631"/>
      <c r="S1427" s="631"/>
      <c r="T1427" s="631"/>
      <c r="U1427" s="631"/>
      <c r="V1427" s="631"/>
      <c r="W1427" s="631"/>
      <c r="X1427" s="631"/>
      <c r="Y1427" s="631"/>
      <c r="Z1427" s="631"/>
      <c r="AA1427" s="631"/>
      <c r="AB1427" s="631"/>
      <c r="AC1427" s="631"/>
    </row>
    <row r="1428">
      <c r="A1428" s="631"/>
      <c r="B1428" s="694"/>
      <c r="C1428" s="694"/>
      <c r="D1428" s="694"/>
      <c r="E1428" s="694"/>
      <c r="F1428" s="631"/>
      <c r="G1428" s="631"/>
      <c r="H1428" s="631"/>
      <c r="I1428" s="579"/>
      <c r="J1428" s="579"/>
      <c r="K1428" s="694"/>
      <c r="L1428" s="579"/>
      <c r="M1428" s="579"/>
      <c r="N1428" s="579"/>
      <c r="O1428" s="631"/>
      <c r="P1428" s="631"/>
      <c r="Q1428" s="631"/>
      <c r="R1428" s="631"/>
      <c r="S1428" s="631"/>
      <c r="T1428" s="631"/>
      <c r="U1428" s="631"/>
      <c r="V1428" s="631"/>
      <c r="W1428" s="631"/>
      <c r="X1428" s="631"/>
      <c r="Y1428" s="631"/>
      <c r="Z1428" s="631"/>
      <c r="AA1428" s="631"/>
      <c r="AB1428" s="631"/>
      <c r="AC1428" s="631"/>
    </row>
    <row r="1429">
      <c r="A1429" s="631"/>
      <c r="B1429" s="694"/>
      <c r="C1429" s="694"/>
      <c r="D1429" s="694"/>
      <c r="E1429" s="694"/>
      <c r="F1429" s="631"/>
      <c r="G1429" s="631"/>
      <c r="H1429" s="631"/>
      <c r="I1429" s="579"/>
      <c r="J1429" s="579"/>
      <c r="K1429" s="694"/>
      <c r="L1429" s="579"/>
      <c r="M1429" s="579"/>
      <c r="N1429" s="579"/>
      <c r="O1429" s="631"/>
      <c r="P1429" s="631"/>
      <c r="Q1429" s="631"/>
      <c r="R1429" s="631"/>
      <c r="S1429" s="631"/>
      <c r="T1429" s="631"/>
      <c r="U1429" s="631"/>
      <c r="V1429" s="631"/>
      <c r="W1429" s="631"/>
      <c r="X1429" s="631"/>
      <c r="Y1429" s="631"/>
      <c r="Z1429" s="631"/>
      <c r="AA1429" s="631"/>
      <c r="AB1429" s="631"/>
      <c r="AC1429" s="631"/>
    </row>
    <row r="1430">
      <c r="A1430" s="631"/>
      <c r="B1430" s="694"/>
      <c r="C1430" s="694"/>
      <c r="D1430" s="694"/>
      <c r="E1430" s="694"/>
      <c r="F1430" s="631"/>
      <c r="G1430" s="631"/>
      <c r="H1430" s="631"/>
      <c r="I1430" s="579"/>
      <c r="J1430" s="579"/>
      <c r="K1430" s="694"/>
      <c r="L1430" s="579"/>
      <c r="M1430" s="579"/>
      <c r="N1430" s="579"/>
      <c r="O1430" s="631"/>
      <c r="P1430" s="631"/>
      <c r="Q1430" s="631"/>
      <c r="R1430" s="631"/>
      <c r="S1430" s="631"/>
      <c r="T1430" s="631"/>
      <c r="U1430" s="631"/>
      <c r="V1430" s="631"/>
      <c r="W1430" s="631"/>
      <c r="X1430" s="631"/>
      <c r="Y1430" s="631"/>
      <c r="Z1430" s="631"/>
      <c r="AA1430" s="631"/>
      <c r="AB1430" s="631"/>
      <c r="AC1430" s="631"/>
    </row>
    <row r="1431">
      <c r="A1431" s="631"/>
      <c r="B1431" s="694"/>
      <c r="C1431" s="694"/>
      <c r="D1431" s="694"/>
      <c r="E1431" s="694"/>
      <c r="F1431" s="631"/>
      <c r="G1431" s="631"/>
      <c r="H1431" s="631"/>
      <c r="I1431" s="579"/>
      <c r="J1431" s="579"/>
      <c r="K1431" s="694"/>
      <c r="L1431" s="579"/>
      <c r="M1431" s="579"/>
      <c r="N1431" s="579"/>
      <c r="O1431" s="631"/>
      <c r="P1431" s="631"/>
      <c r="Q1431" s="631"/>
      <c r="R1431" s="631"/>
      <c r="S1431" s="631"/>
      <c r="T1431" s="631"/>
      <c r="U1431" s="631"/>
      <c r="V1431" s="631"/>
      <c r="W1431" s="631"/>
      <c r="X1431" s="631"/>
      <c r="Y1431" s="631"/>
      <c r="Z1431" s="631"/>
      <c r="AA1431" s="631"/>
      <c r="AB1431" s="631"/>
      <c r="AC1431" s="631"/>
    </row>
    <row r="1432">
      <c r="A1432" s="631"/>
      <c r="B1432" s="694"/>
      <c r="C1432" s="694"/>
      <c r="D1432" s="694"/>
      <c r="E1432" s="694"/>
      <c r="F1432" s="631"/>
      <c r="G1432" s="631"/>
      <c r="H1432" s="631"/>
      <c r="I1432" s="579"/>
      <c r="J1432" s="579"/>
      <c r="K1432" s="694"/>
      <c r="L1432" s="579"/>
      <c r="M1432" s="579"/>
      <c r="N1432" s="579"/>
      <c r="O1432" s="631"/>
      <c r="P1432" s="631"/>
      <c r="Q1432" s="631"/>
      <c r="R1432" s="631"/>
      <c r="S1432" s="631"/>
      <c r="T1432" s="631"/>
      <c r="U1432" s="631"/>
      <c r="V1432" s="631"/>
      <c r="W1432" s="631"/>
      <c r="X1432" s="631"/>
      <c r="Y1432" s="631"/>
      <c r="Z1432" s="631"/>
      <c r="AA1432" s="631"/>
      <c r="AB1432" s="631"/>
      <c r="AC1432" s="631"/>
    </row>
    <row r="1433">
      <c r="A1433" s="631"/>
      <c r="B1433" s="694"/>
      <c r="C1433" s="694"/>
      <c r="D1433" s="694"/>
      <c r="E1433" s="694"/>
      <c r="F1433" s="631"/>
      <c r="G1433" s="631"/>
      <c r="H1433" s="631"/>
      <c r="I1433" s="579"/>
      <c r="J1433" s="579"/>
      <c r="K1433" s="694"/>
      <c r="L1433" s="579"/>
      <c r="M1433" s="579"/>
      <c r="N1433" s="579"/>
      <c r="O1433" s="631"/>
      <c r="P1433" s="631"/>
      <c r="Q1433" s="631"/>
      <c r="R1433" s="631"/>
      <c r="S1433" s="631"/>
      <c r="T1433" s="631"/>
      <c r="U1433" s="631"/>
      <c r="V1433" s="631"/>
      <c r="W1433" s="631"/>
      <c r="X1433" s="631"/>
      <c r="Y1433" s="631"/>
      <c r="Z1433" s="631"/>
      <c r="AA1433" s="631"/>
      <c r="AB1433" s="631"/>
      <c r="AC1433" s="631"/>
    </row>
    <row r="1434">
      <c r="A1434" s="631"/>
      <c r="B1434" s="694"/>
      <c r="C1434" s="694"/>
      <c r="D1434" s="694"/>
      <c r="E1434" s="694"/>
      <c r="F1434" s="631"/>
      <c r="G1434" s="631"/>
      <c r="H1434" s="631"/>
      <c r="I1434" s="579"/>
      <c r="J1434" s="579"/>
      <c r="K1434" s="694"/>
      <c r="L1434" s="579"/>
      <c r="M1434" s="579"/>
      <c r="N1434" s="579"/>
      <c r="O1434" s="631"/>
      <c r="P1434" s="631"/>
      <c r="Q1434" s="631"/>
      <c r="R1434" s="631"/>
      <c r="S1434" s="631"/>
      <c r="T1434" s="631"/>
      <c r="U1434" s="631"/>
      <c r="V1434" s="631"/>
      <c r="W1434" s="631"/>
      <c r="X1434" s="631"/>
      <c r="Y1434" s="631"/>
      <c r="Z1434" s="631"/>
      <c r="AA1434" s="631"/>
      <c r="AB1434" s="631"/>
      <c r="AC1434" s="631"/>
    </row>
    <row r="1435">
      <c r="A1435" s="631"/>
      <c r="B1435" s="694"/>
      <c r="C1435" s="694"/>
      <c r="D1435" s="694"/>
      <c r="E1435" s="694"/>
      <c r="F1435" s="631"/>
      <c r="G1435" s="631"/>
      <c r="H1435" s="631"/>
      <c r="I1435" s="579"/>
      <c r="J1435" s="579"/>
      <c r="K1435" s="694"/>
      <c r="L1435" s="579"/>
      <c r="M1435" s="579"/>
      <c r="N1435" s="579"/>
      <c r="O1435" s="631"/>
      <c r="P1435" s="631"/>
      <c r="Q1435" s="631"/>
      <c r="R1435" s="631"/>
      <c r="S1435" s="631"/>
      <c r="T1435" s="631"/>
      <c r="U1435" s="631"/>
      <c r="V1435" s="631"/>
      <c r="W1435" s="631"/>
      <c r="X1435" s="631"/>
      <c r="Y1435" s="631"/>
      <c r="Z1435" s="631"/>
      <c r="AA1435" s="631"/>
      <c r="AB1435" s="631"/>
      <c r="AC1435" s="631"/>
    </row>
    <row r="1436">
      <c r="A1436" s="631"/>
      <c r="B1436" s="694"/>
      <c r="C1436" s="694"/>
      <c r="D1436" s="694"/>
      <c r="E1436" s="694"/>
      <c r="F1436" s="631"/>
      <c r="G1436" s="631"/>
      <c r="H1436" s="631"/>
      <c r="I1436" s="579"/>
      <c r="J1436" s="579"/>
      <c r="K1436" s="694"/>
      <c r="L1436" s="579"/>
      <c r="M1436" s="579"/>
      <c r="N1436" s="579"/>
      <c r="O1436" s="631"/>
      <c r="P1436" s="631"/>
      <c r="Q1436" s="631"/>
      <c r="R1436" s="631"/>
      <c r="S1436" s="631"/>
      <c r="T1436" s="631"/>
      <c r="U1436" s="631"/>
      <c r="V1436" s="631"/>
      <c r="W1436" s="631"/>
      <c r="X1436" s="631"/>
      <c r="Y1436" s="631"/>
      <c r="Z1436" s="631"/>
      <c r="AA1436" s="631"/>
      <c r="AB1436" s="631"/>
      <c r="AC1436" s="631"/>
    </row>
    <row r="1437">
      <c r="A1437" s="631"/>
      <c r="B1437" s="694"/>
      <c r="C1437" s="694"/>
      <c r="D1437" s="694"/>
      <c r="E1437" s="694"/>
      <c r="F1437" s="631"/>
      <c r="G1437" s="631"/>
      <c r="H1437" s="631"/>
      <c r="I1437" s="579"/>
      <c r="J1437" s="579"/>
      <c r="K1437" s="694"/>
      <c r="L1437" s="579"/>
      <c r="M1437" s="579"/>
      <c r="N1437" s="579"/>
      <c r="O1437" s="631"/>
      <c r="P1437" s="631"/>
      <c r="Q1437" s="631"/>
      <c r="R1437" s="631"/>
      <c r="S1437" s="631"/>
      <c r="T1437" s="631"/>
      <c r="U1437" s="631"/>
      <c r="V1437" s="631"/>
      <c r="W1437" s="631"/>
      <c r="X1437" s="631"/>
      <c r="Y1437" s="631"/>
      <c r="Z1437" s="631"/>
      <c r="AA1437" s="631"/>
      <c r="AB1437" s="631"/>
      <c r="AC1437" s="631"/>
    </row>
    <row r="1438">
      <c r="A1438" s="631"/>
      <c r="B1438" s="694"/>
      <c r="C1438" s="694"/>
      <c r="D1438" s="694"/>
      <c r="E1438" s="694"/>
      <c r="F1438" s="631"/>
      <c r="G1438" s="631"/>
      <c r="H1438" s="631"/>
      <c r="I1438" s="579"/>
      <c r="J1438" s="579"/>
      <c r="K1438" s="694"/>
      <c r="L1438" s="579"/>
      <c r="M1438" s="579"/>
      <c r="N1438" s="579"/>
      <c r="O1438" s="631"/>
      <c r="P1438" s="631"/>
      <c r="Q1438" s="631"/>
      <c r="R1438" s="631"/>
      <c r="S1438" s="631"/>
      <c r="T1438" s="631"/>
      <c r="U1438" s="631"/>
      <c r="V1438" s="631"/>
      <c r="W1438" s="631"/>
      <c r="X1438" s="631"/>
      <c r="Y1438" s="631"/>
      <c r="Z1438" s="631"/>
      <c r="AA1438" s="631"/>
      <c r="AB1438" s="631"/>
      <c r="AC1438" s="631"/>
    </row>
    <row r="1439">
      <c r="A1439" s="631"/>
      <c r="B1439" s="694"/>
      <c r="C1439" s="694"/>
      <c r="D1439" s="694"/>
      <c r="E1439" s="694"/>
      <c r="F1439" s="631"/>
      <c r="G1439" s="631"/>
      <c r="H1439" s="631"/>
      <c r="I1439" s="579"/>
      <c r="J1439" s="579"/>
      <c r="K1439" s="694"/>
      <c r="L1439" s="579"/>
      <c r="M1439" s="579"/>
      <c r="N1439" s="579"/>
      <c r="O1439" s="631"/>
      <c r="P1439" s="631"/>
      <c r="Q1439" s="631"/>
      <c r="R1439" s="631"/>
      <c r="S1439" s="631"/>
      <c r="T1439" s="631"/>
      <c r="U1439" s="631"/>
      <c r="V1439" s="631"/>
      <c r="W1439" s="631"/>
      <c r="X1439" s="631"/>
      <c r="Y1439" s="631"/>
      <c r="Z1439" s="631"/>
      <c r="AA1439" s="631"/>
      <c r="AB1439" s="631"/>
      <c r="AC1439" s="631"/>
    </row>
    <row r="1440">
      <c r="A1440" s="631"/>
      <c r="B1440" s="694"/>
      <c r="C1440" s="694"/>
      <c r="D1440" s="694"/>
      <c r="E1440" s="694"/>
      <c r="F1440" s="631"/>
      <c r="G1440" s="631"/>
      <c r="H1440" s="631"/>
      <c r="I1440" s="579"/>
      <c r="J1440" s="579"/>
      <c r="K1440" s="694"/>
      <c r="L1440" s="579"/>
      <c r="M1440" s="579"/>
      <c r="N1440" s="579"/>
      <c r="O1440" s="631"/>
      <c r="P1440" s="631"/>
      <c r="Q1440" s="631"/>
      <c r="R1440" s="631"/>
      <c r="S1440" s="631"/>
      <c r="T1440" s="631"/>
      <c r="U1440" s="631"/>
      <c r="V1440" s="631"/>
      <c r="W1440" s="631"/>
      <c r="X1440" s="631"/>
      <c r="Y1440" s="631"/>
      <c r="Z1440" s="631"/>
      <c r="AA1440" s="631"/>
      <c r="AB1440" s="631"/>
      <c r="AC1440" s="631"/>
    </row>
    <row r="1441">
      <c r="A1441" s="631"/>
      <c r="B1441" s="694"/>
      <c r="C1441" s="694"/>
      <c r="D1441" s="694"/>
      <c r="E1441" s="694"/>
      <c r="F1441" s="631"/>
      <c r="G1441" s="631"/>
      <c r="H1441" s="631"/>
      <c r="I1441" s="579"/>
      <c r="J1441" s="579"/>
      <c r="K1441" s="694"/>
      <c r="L1441" s="579"/>
      <c r="M1441" s="579"/>
      <c r="N1441" s="579"/>
      <c r="O1441" s="631"/>
      <c r="P1441" s="631"/>
      <c r="Q1441" s="631"/>
      <c r="R1441" s="631"/>
      <c r="S1441" s="631"/>
      <c r="T1441" s="631"/>
      <c r="U1441" s="631"/>
      <c r="V1441" s="631"/>
      <c r="W1441" s="631"/>
      <c r="X1441" s="631"/>
      <c r="Y1441" s="631"/>
      <c r="Z1441" s="631"/>
      <c r="AA1441" s="631"/>
      <c r="AB1441" s="631"/>
      <c r="AC1441" s="631"/>
    </row>
    <row r="1442">
      <c r="A1442" s="631"/>
      <c r="B1442" s="694"/>
      <c r="C1442" s="694"/>
      <c r="D1442" s="694"/>
      <c r="E1442" s="694"/>
      <c r="F1442" s="631"/>
      <c r="G1442" s="631"/>
      <c r="H1442" s="631"/>
      <c r="I1442" s="579"/>
      <c r="J1442" s="579"/>
      <c r="K1442" s="694"/>
      <c r="L1442" s="579"/>
      <c r="M1442" s="579"/>
      <c r="N1442" s="579"/>
      <c r="O1442" s="631"/>
      <c r="P1442" s="631"/>
      <c r="Q1442" s="631"/>
      <c r="R1442" s="631"/>
      <c r="S1442" s="631"/>
      <c r="T1442" s="631"/>
      <c r="U1442" s="631"/>
      <c r="V1442" s="631"/>
      <c r="W1442" s="631"/>
      <c r="X1442" s="631"/>
      <c r="Y1442" s="631"/>
      <c r="Z1442" s="631"/>
      <c r="AA1442" s="631"/>
      <c r="AB1442" s="631"/>
      <c r="AC1442" s="631"/>
    </row>
    <row r="1443">
      <c r="A1443" s="631"/>
      <c r="B1443" s="694"/>
      <c r="C1443" s="694"/>
      <c r="D1443" s="694"/>
      <c r="E1443" s="694"/>
      <c r="F1443" s="631"/>
      <c r="G1443" s="631"/>
      <c r="H1443" s="631"/>
      <c r="I1443" s="579"/>
      <c r="J1443" s="579"/>
      <c r="K1443" s="694"/>
      <c r="L1443" s="579"/>
      <c r="M1443" s="579"/>
      <c r="N1443" s="579"/>
      <c r="O1443" s="631"/>
      <c r="P1443" s="631"/>
      <c r="Q1443" s="631"/>
      <c r="R1443" s="631"/>
      <c r="S1443" s="631"/>
      <c r="T1443" s="631"/>
      <c r="U1443" s="631"/>
      <c r="V1443" s="631"/>
      <c r="W1443" s="631"/>
      <c r="X1443" s="631"/>
      <c r="Y1443" s="631"/>
      <c r="Z1443" s="631"/>
      <c r="AA1443" s="631"/>
      <c r="AB1443" s="631"/>
      <c r="AC1443" s="631"/>
    </row>
    <row r="1444">
      <c r="A1444" s="631"/>
      <c r="B1444" s="694"/>
      <c r="C1444" s="694"/>
      <c r="D1444" s="694"/>
      <c r="E1444" s="694"/>
      <c r="F1444" s="631"/>
      <c r="G1444" s="631"/>
      <c r="H1444" s="631"/>
      <c r="I1444" s="579"/>
      <c r="J1444" s="579"/>
      <c r="K1444" s="694"/>
      <c r="L1444" s="579"/>
      <c r="M1444" s="579"/>
      <c r="N1444" s="579"/>
      <c r="O1444" s="631"/>
      <c r="P1444" s="631"/>
      <c r="Q1444" s="631"/>
      <c r="R1444" s="631"/>
      <c r="S1444" s="631"/>
      <c r="T1444" s="631"/>
      <c r="U1444" s="631"/>
      <c r="V1444" s="631"/>
      <c r="W1444" s="631"/>
      <c r="X1444" s="631"/>
      <c r="Y1444" s="631"/>
      <c r="Z1444" s="631"/>
      <c r="AA1444" s="631"/>
      <c r="AB1444" s="631"/>
      <c r="AC1444" s="631"/>
    </row>
    <row r="1445">
      <c r="A1445" s="631"/>
      <c r="B1445" s="694"/>
      <c r="C1445" s="694"/>
      <c r="D1445" s="694"/>
      <c r="E1445" s="694"/>
      <c r="F1445" s="631"/>
      <c r="G1445" s="631"/>
      <c r="H1445" s="631"/>
      <c r="I1445" s="579"/>
      <c r="J1445" s="579"/>
      <c r="K1445" s="694"/>
      <c r="L1445" s="579"/>
      <c r="M1445" s="579"/>
      <c r="N1445" s="579"/>
      <c r="O1445" s="631"/>
      <c r="P1445" s="631"/>
      <c r="Q1445" s="631"/>
      <c r="R1445" s="631"/>
      <c r="S1445" s="631"/>
      <c r="T1445" s="631"/>
      <c r="U1445" s="631"/>
      <c r="V1445" s="631"/>
      <c r="W1445" s="631"/>
      <c r="X1445" s="631"/>
      <c r="Y1445" s="631"/>
      <c r="Z1445" s="631"/>
      <c r="AA1445" s="631"/>
      <c r="AB1445" s="631"/>
      <c r="AC1445" s="631"/>
    </row>
    <row r="1446">
      <c r="A1446" s="631"/>
      <c r="B1446" s="694"/>
      <c r="C1446" s="694"/>
      <c r="D1446" s="694"/>
      <c r="E1446" s="694"/>
      <c r="F1446" s="631"/>
      <c r="G1446" s="631"/>
      <c r="H1446" s="631"/>
      <c r="I1446" s="579"/>
      <c r="J1446" s="579"/>
      <c r="K1446" s="694"/>
      <c r="L1446" s="579"/>
      <c r="M1446" s="579"/>
      <c r="N1446" s="579"/>
      <c r="O1446" s="631"/>
      <c r="P1446" s="631"/>
      <c r="Q1446" s="631"/>
      <c r="R1446" s="631"/>
      <c r="S1446" s="631"/>
      <c r="T1446" s="631"/>
      <c r="U1446" s="631"/>
      <c r="V1446" s="631"/>
      <c r="W1446" s="631"/>
      <c r="X1446" s="631"/>
      <c r="Y1446" s="631"/>
      <c r="Z1446" s="631"/>
      <c r="AA1446" s="631"/>
      <c r="AB1446" s="631"/>
      <c r="AC1446" s="631"/>
    </row>
    <row r="1447">
      <c r="A1447" s="631"/>
      <c r="B1447" s="694"/>
      <c r="C1447" s="694"/>
      <c r="D1447" s="694"/>
      <c r="E1447" s="694"/>
      <c r="F1447" s="631"/>
      <c r="G1447" s="631"/>
      <c r="H1447" s="631"/>
      <c r="I1447" s="579"/>
      <c r="J1447" s="579"/>
      <c r="K1447" s="694"/>
      <c r="L1447" s="579"/>
      <c r="M1447" s="579"/>
      <c r="N1447" s="579"/>
      <c r="O1447" s="631"/>
      <c r="P1447" s="631"/>
      <c r="Q1447" s="631"/>
      <c r="R1447" s="631"/>
      <c r="S1447" s="631"/>
      <c r="T1447" s="631"/>
      <c r="U1447" s="631"/>
      <c r="V1447" s="631"/>
      <c r="W1447" s="631"/>
      <c r="X1447" s="631"/>
      <c r="Y1447" s="631"/>
      <c r="Z1447" s="631"/>
      <c r="AA1447" s="631"/>
      <c r="AB1447" s="631"/>
      <c r="AC1447" s="631"/>
    </row>
    <row r="1448">
      <c r="A1448" s="631"/>
      <c r="B1448" s="694"/>
      <c r="C1448" s="694"/>
      <c r="D1448" s="694"/>
      <c r="E1448" s="694"/>
      <c r="F1448" s="631"/>
      <c r="G1448" s="631"/>
      <c r="H1448" s="631"/>
      <c r="I1448" s="579"/>
      <c r="J1448" s="579"/>
      <c r="K1448" s="694"/>
      <c r="L1448" s="579"/>
      <c r="M1448" s="579"/>
      <c r="N1448" s="579"/>
      <c r="O1448" s="631"/>
      <c r="P1448" s="631"/>
      <c r="Q1448" s="631"/>
      <c r="R1448" s="631"/>
      <c r="S1448" s="631"/>
      <c r="T1448" s="631"/>
      <c r="U1448" s="631"/>
      <c r="V1448" s="631"/>
      <c r="W1448" s="631"/>
      <c r="X1448" s="631"/>
      <c r="Y1448" s="631"/>
      <c r="Z1448" s="631"/>
      <c r="AA1448" s="631"/>
      <c r="AB1448" s="631"/>
      <c r="AC1448" s="631"/>
    </row>
    <row r="1449">
      <c r="A1449" s="631"/>
      <c r="B1449" s="694"/>
      <c r="C1449" s="694"/>
      <c r="D1449" s="694"/>
      <c r="E1449" s="694"/>
      <c r="F1449" s="631"/>
      <c r="G1449" s="631"/>
      <c r="H1449" s="631"/>
      <c r="I1449" s="579"/>
      <c r="J1449" s="579"/>
      <c r="K1449" s="694"/>
      <c r="L1449" s="579"/>
      <c r="M1449" s="579"/>
      <c r="N1449" s="579"/>
      <c r="O1449" s="631"/>
      <c r="P1449" s="631"/>
      <c r="Q1449" s="631"/>
      <c r="R1449" s="631"/>
      <c r="S1449" s="631"/>
      <c r="T1449" s="631"/>
      <c r="U1449" s="631"/>
      <c r="V1449" s="631"/>
      <c r="W1449" s="631"/>
      <c r="X1449" s="631"/>
      <c r="Y1449" s="631"/>
      <c r="Z1449" s="631"/>
      <c r="AA1449" s="631"/>
      <c r="AB1449" s="631"/>
      <c r="AC1449" s="631"/>
    </row>
    <row r="1450">
      <c r="A1450" s="631"/>
      <c r="B1450" s="694"/>
      <c r="C1450" s="694"/>
      <c r="D1450" s="694"/>
      <c r="E1450" s="694"/>
      <c r="F1450" s="631"/>
      <c r="G1450" s="631"/>
      <c r="H1450" s="631"/>
      <c r="I1450" s="579"/>
      <c r="J1450" s="579"/>
      <c r="K1450" s="694"/>
      <c r="L1450" s="579"/>
      <c r="M1450" s="579"/>
      <c r="N1450" s="579"/>
      <c r="O1450" s="631"/>
      <c r="P1450" s="631"/>
      <c r="Q1450" s="631"/>
      <c r="R1450" s="631"/>
      <c r="S1450" s="631"/>
      <c r="T1450" s="631"/>
      <c r="U1450" s="631"/>
      <c r="V1450" s="631"/>
      <c r="W1450" s="631"/>
      <c r="X1450" s="631"/>
      <c r="Y1450" s="631"/>
      <c r="Z1450" s="631"/>
      <c r="AA1450" s="631"/>
      <c r="AB1450" s="631"/>
      <c r="AC1450" s="631"/>
    </row>
    <row r="1451">
      <c r="A1451" s="631"/>
      <c r="B1451" s="694"/>
      <c r="C1451" s="694"/>
      <c r="D1451" s="694"/>
      <c r="E1451" s="694"/>
      <c r="F1451" s="631"/>
      <c r="G1451" s="631"/>
      <c r="H1451" s="631"/>
      <c r="I1451" s="579"/>
      <c r="J1451" s="579"/>
      <c r="K1451" s="694"/>
      <c r="L1451" s="579"/>
      <c r="M1451" s="579"/>
      <c r="N1451" s="579"/>
      <c r="O1451" s="631"/>
      <c r="P1451" s="631"/>
      <c r="Q1451" s="631"/>
      <c r="R1451" s="631"/>
      <c r="S1451" s="631"/>
      <c r="T1451" s="631"/>
      <c r="U1451" s="631"/>
      <c r="V1451" s="631"/>
      <c r="W1451" s="631"/>
      <c r="X1451" s="631"/>
      <c r="Y1451" s="631"/>
      <c r="Z1451" s="631"/>
      <c r="AA1451" s="631"/>
      <c r="AB1451" s="631"/>
      <c r="AC1451" s="631"/>
    </row>
    <row r="1452">
      <c r="A1452" s="631"/>
      <c r="B1452" s="694"/>
      <c r="C1452" s="694"/>
      <c r="D1452" s="694"/>
      <c r="E1452" s="694"/>
      <c r="F1452" s="631"/>
      <c r="G1452" s="631"/>
      <c r="H1452" s="631"/>
      <c r="I1452" s="579"/>
      <c r="J1452" s="579"/>
      <c r="K1452" s="694"/>
      <c r="L1452" s="579"/>
      <c r="M1452" s="579"/>
      <c r="N1452" s="579"/>
      <c r="O1452" s="631"/>
      <c r="P1452" s="631"/>
      <c r="Q1452" s="631"/>
      <c r="R1452" s="631"/>
      <c r="S1452" s="631"/>
      <c r="T1452" s="631"/>
      <c r="U1452" s="631"/>
      <c r="V1452" s="631"/>
      <c r="W1452" s="631"/>
      <c r="X1452" s="631"/>
      <c r="Y1452" s="631"/>
      <c r="Z1452" s="631"/>
      <c r="AA1452" s="631"/>
      <c r="AB1452" s="631"/>
      <c r="AC1452" s="631"/>
    </row>
    <row r="1453">
      <c r="A1453" s="631"/>
      <c r="B1453" s="694"/>
      <c r="C1453" s="694"/>
      <c r="D1453" s="694"/>
      <c r="E1453" s="694"/>
      <c r="F1453" s="631"/>
      <c r="G1453" s="631"/>
      <c r="H1453" s="631"/>
      <c r="I1453" s="579"/>
      <c r="J1453" s="579"/>
      <c r="K1453" s="694"/>
      <c r="L1453" s="579"/>
      <c r="M1453" s="579"/>
      <c r="N1453" s="579"/>
      <c r="O1453" s="631"/>
      <c r="P1453" s="631"/>
      <c r="Q1453" s="631"/>
      <c r="R1453" s="631"/>
      <c r="S1453" s="631"/>
      <c r="T1453" s="631"/>
      <c r="U1453" s="631"/>
      <c r="V1453" s="631"/>
      <c r="W1453" s="631"/>
      <c r="X1453" s="631"/>
      <c r="Y1453" s="631"/>
      <c r="Z1453" s="631"/>
      <c r="AA1453" s="631"/>
      <c r="AB1453" s="631"/>
      <c r="AC1453" s="631"/>
    </row>
    <row r="1454">
      <c r="A1454" s="631"/>
      <c r="B1454" s="694"/>
      <c r="C1454" s="694"/>
      <c r="D1454" s="694"/>
      <c r="E1454" s="694"/>
      <c r="F1454" s="631"/>
      <c r="G1454" s="631"/>
      <c r="H1454" s="631"/>
      <c r="I1454" s="579"/>
      <c r="J1454" s="579"/>
      <c r="K1454" s="694"/>
      <c r="L1454" s="579"/>
      <c r="M1454" s="579"/>
      <c r="N1454" s="579"/>
      <c r="O1454" s="631"/>
      <c r="P1454" s="631"/>
      <c r="Q1454" s="631"/>
      <c r="R1454" s="631"/>
      <c r="S1454" s="631"/>
      <c r="T1454" s="631"/>
      <c r="U1454" s="631"/>
      <c r="V1454" s="631"/>
      <c r="W1454" s="631"/>
      <c r="X1454" s="631"/>
      <c r="Y1454" s="631"/>
      <c r="Z1454" s="631"/>
      <c r="AA1454" s="631"/>
      <c r="AB1454" s="631"/>
      <c r="AC1454" s="631"/>
    </row>
    <row r="1455">
      <c r="A1455" s="631"/>
      <c r="B1455" s="694"/>
      <c r="C1455" s="694"/>
      <c r="D1455" s="694"/>
      <c r="E1455" s="694"/>
      <c r="F1455" s="631"/>
      <c r="G1455" s="631"/>
      <c r="H1455" s="631"/>
      <c r="I1455" s="579"/>
      <c r="J1455" s="579"/>
      <c r="K1455" s="694"/>
      <c r="L1455" s="579"/>
      <c r="M1455" s="579"/>
      <c r="N1455" s="579"/>
      <c r="O1455" s="631"/>
      <c r="P1455" s="631"/>
      <c r="Q1455" s="631"/>
      <c r="R1455" s="631"/>
      <c r="S1455" s="631"/>
      <c r="T1455" s="631"/>
      <c r="U1455" s="631"/>
      <c r="V1455" s="631"/>
      <c r="W1455" s="631"/>
      <c r="X1455" s="631"/>
      <c r="Y1455" s="631"/>
      <c r="Z1455" s="631"/>
      <c r="AA1455" s="631"/>
      <c r="AB1455" s="631"/>
      <c r="AC1455" s="631"/>
    </row>
    <row r="1456">
      <c r="A1456" s="631"/>
      <c r="B1456" s="694"/>
      <c r="C1456" s="694"/>
      <c r="D1456" s="694"/>
      <c r="E1456" s="694"/>
      <c r="F1456" s="631"/>
      <c r="G1456" s="631"/>
      <c r="H1456" s="631"/>
      <c r="I1456" s="579"/>
      <c r="J1456" s="579"/>
      <c r="K1456" s="694"/>
      <c r="L1456" s="579"/>
      <c r="M1456" s="579"/>
      <c r="N1456" s="579"/>
      <c r="O1456" s="631"/>
      <c r="P1456" s="631"/>
      <c r="Q1456" s="631"/>
      <c r="R1456" s="631"/>
      <c r="S1456" s="631"/>
      <c r="T1456" s="631"/>
      <c r="U1456" s="631"/>
      <c r="V1456" s="631"/>
      <c r="W1456" s="631"/>
      <c r="X1456" s="631"/>
      <c r="Y1456" s="631"/>
      <c r="Z1456" s="631"/>
      <c r="AA1456" s="631"/>
      <c r="AB1456" s="631"/>
      <c r="AC1456" s="631"/>
    </row>
    <row r="1457">
      <c r="A1457" s="631"/>
      <c r="B1457" s="694"/>
      <c r="C1457" s="694"/>
      <c r="D1457" s="694"/>
      <c r="E1457" s="694"/>
      <c r="F1457" s="631"/>
      <c r="G1457" s="631"/>
      <c r="H1457" s="631"/>
      <c r="I1457" s="579"/>
      <c r="J1457" s="579"/>
      <c r="K1457" s="694"/>
      <c r="L1457" s="579"/>
      <c r="M1457" s="579"/>
      <c r="N1457" s="579"/>
      <c r="O1457" s="631"/>
      <c r="P1457" s="631"/>
      <c r="Q1457" s="631"/>
      <c r="R1457" s="631"/>
      <c r="S1457" s="631"/>
      <c r="T1457" s="631"/>
      <c r="U1457" s="631"/>
      <c r="V1457" s="631"/>
      <c r="W1457" s="631"/>
      <c r="X1457" s="631"/>
      <c r="Y1457" s="631"/>
      <c r="Z1457" s="631"/>
      <c r="AA1457" s="631"/>
      <c r="AB1457" s="631"/>
      <c r="AC1457" s="631"/>
    </row>
    <row r="1458">
      <c r="A1458" s="631"/>
      <c r="B1458" s="694"/>
      <c r="C1458" s="694"/>
      <c r="D1458" s="694"/>
      <c r="E1458" s="694"/>
      <c r="F1458" s="631"/>
      <c r="G1458" s="631"/>
      <c r="H1458" s="631"/>
      <c r="I1458" s="579"/>
      <c r="J1458" s="579"/>
      <c r="K1458" s="694"/>
      <c r="L1458" s="579"/>
      <c r="M1458" s="579"/>
      <c r="N1458" s="579"/>
      <c r="O1458" s="631"/>
      <c r="P1458" s="631"/>
      <c r="Q1458" s="631"/>
      <c r="R1458" s="631"/>
      <c r="S1458" s="631"/>
      <c r="T1458" s="631"/>
      <c r="U1458" s="631"/>
      <c r="V1458" s="631"/>
      <c r="W1458" s="631"/>
      <c r="X1458" s="631"/>
      <c r="Y1458" s="631"/>
      <c r="Z1458" s="631"/>
      <c r="AA1458" s="631"/>
      <c r="AB1458" s="631"/>
      <c r="AC1458" s="631"/>
    </row>
    <row r="1459">
      <c r="A1459" s="631"/>
      <c r="B1459" s="694"/>
      <c r="C1459" s="694"/>
      <c r="D1459" s="694"/>
      <c r="E1459" s="694"/>
      <c r="F1459" s="631"/>
      <c r="G1459" s="631"/>
      <c r="H1459" s="631"/>
      <c r="I1459" s="579"/>
      <c r="J1459" s="579"/>
      <c r="K1459" s="694"/>
      <c r="L1459" s="579"/>
      <c r="M1459" s="579"/>
      <c r="N1459" s="579"/>
      <c r="O1459" s="631"/>
      <c r="P1459" s="631"/>
      <c r="Q1459" s="631"/>
      <c r="R1459" s="631"/>
      <c r="S1459" s="631"/>
      <c r="T1459" s="631"/>
      <c r="U1459" s="631"/>
      <c r="V1459" s="631"/>
      <c r="W1459" s="631"/>
      <c r="X1459" s="631"/>
      <c r="Y1459" s="631"/>
      <c r="Z1459" s="631"/>
      <c r="AA1459" s="631"/>
      <c r="AB1459" s="631"/>
      <c r="AC1459" s="631"/>
    </row>
    <row r="1460">
      <c r="A1460" s="631"/>
      <c r="B1460" s="694"/>
      <c r="C1460" s="694"/>
      <c r="D1460" s="694"/>
      <c r="E1460" s="694"/>
      <c r="F1460" s="631"/>
      <c r="G1460" s="631"/>
      <c r="H1460" s="631"/>
      <c r="I1460" s="579"/>
      <c r="J1460" s="579"/>
      <c r="K1460" s="694"/>
      <c r="L1460" s="579"/>
      <c r="M1460" s="579"/>
      <c r="N1460" s="579"/>
      <c r="O1460" s="631"/>
      <c r="P1460" s="631"/>
      <c r="Q1460" s="631"/>
      <c r="R1460" s="631"/>
      <c r="S1460" s="631"/>
      <c r="T1460" s="631"/>
      <c r="U1460" s="631"/>
      <c r="V1460" s="631"/>
      <c r="W1460" s="631"/>
      <c r="X1460" s="631"/>
      <c r="Y1460" s="631"/>
      <c r="Z1460" s="631"/>
      <c r="AA1460" s="631"/>
      <c r="AB1460" s="631"/>
      <c r="AC1460" s="631"/>
    </row>
    <row r="1461">
      <c r="A1461" s="631"/>
      <c r="B1461" s="694"/>
      <c r="C1461" s="694"/>
      <c r="D1461" s="694"/>
      <c r="E1461" s="694"/>
      <c r="F1461" s="631"/>
      <c r="G1461" s="631"/>
      <c r="H1461" s="631"/>
      <c r="I1461" s="579"/>
      <c r="J1461" s="579"/>
      <c r="K1461" s="694"/>
      <c r="L1461" s="579"/>
      <c r="M1461" s="579"/>
      <c r="N1461" s="579"/>
      <c r="O1461" s="631"/>
      <c r="P1461" s="631"/>
      <c r="Q1461" s="631"/>
      <c r="R1461" s="631"/>
      <c r="S1461" s="631"/>
      <c r="T1461" s="631"/>
      <c r="U1461" s="631"/>
      <c r="V1461" s="631"/>
      <c r="W1461" s="631"/>
      <c r="X1461" s="631"/>
      <c r="Y1461" s="631"/>
      <c r="Z1461" s="631"/>
      <c r="AA1461" s="631"/>
      <c r="AB1461" s="631"/>
      <c r="AC1461" s="631"/>
    </row>
    <row r="1462">
      <c r="A1462" s="631"/>
      <c r="B1462" s="694"/>
      <c r="C1462" s="694"/>
      <c r="D1462" s="694"/>
      <c r="E1462" s="694"/>
      <c r="F1462" s="631"/>
      <c r="G1462" s="631"/>
      <c r="H1462" s="631"/>
      <c r="I1462" s="579"/>
      <c r="J1462" s="579"/>
      <c r="K1462" s="694"/>
      <c r="L1462" s="579"/>
      <c r="M1462" s="579"/>
      <c r="N1462" s="579"/>
      <c r="O1462" s="631"/>
      <c r="P1462" s="631"/>
      <c r="Q1462" s="631"/>
      <c r="R1462" s="631"/>
      <c r="S1462" s="631"/>
      <c r="T1462" s="631"/>
      <c r="U1462" s="631"/>
      <c r="V1462" s="631"/>
      <c r="W1462" s="631"/>
      <c r="X1462" s="631"/>
      <c r="Y1462" s="631"/>
      <c r="Z1462" s="631"/>
      <c r="AA1462" s="631"/>
      <c r="AB1462" s="631"/>
      <c r="AC1462" s="631"/>
    </row>
    <row r="1463">
      <c r="A1463" s="631"/>
      <c r="B1463" s="694"/>
      <c r="C1463" s="694"/>
      <c r="D1463" s="694"/>
      <c r="E1463" s="694"/>
      <c r="F1463" s="631"/>
      <c r="G1463" s="631"/>
      <c r="H1463" s="631"/>
      <c r="I1463" s="579"/>
      <c r="J1463" s="579"/>
      <c r="K1463" s="694"/>
      <c r="L1463" s="579"/>
      <c r="M1463" s="579"/>
      <c r="N1463" s="579"/>
      <c r="O1463" s="631"/>
      <c r="P1463" s="631"/>
      <c r="Q1463" s="631"/>
      <c r="R1463" s="631"/>
      <c r="S1463" s="631"/>
      <c r="T1463" s="631"/>
      <c r="U1463" s="631"/>
      <c r="V1463" s="631"/>
      <c r="W1463" s="631"/>
      <c r="X1463" s="631"/>
      <c r="Y1463" s="631"/>
      <c r="Z1463" s="631"/>
      <c r="AA1463" s="631"/>
      <c r="AB1463" s="631"/>
      <c r="AC1463" s="631"/>
    </row>
    <row r="1464">
      <c r="A1464" s="631"/>
      <c r="B1464" s="694"/>
      <c r="C1464" s="694"/>
      <c r="D1464" s="694"/>
      <c r="E1464" s="694"/>
      <c r="F1464" s="631"/>
      <c r="G1464" s="631"/>
      <c r="H1464" s="631"/>
      <c r="I1464" s="579"/>
      <c r="J1464" s="579"/>
      <c r="K1464" s="694"/>
      <c r="L1464" s="579"/>
      <c r="M1464" s="579"/>
      <c r="N1464" s="579"/>
      <c r="O1464" s="631"/>
      <c r="P1464" s="631"/>
      <c r="Q1464" s="631"/>
      <c r="R1464" s="631"/>
      <c r="S1464" s="631"/>
      <c r="T1464" s="631"/>
      <c r="U1464" s="631"/>
      <c r="V1464" s="631"/>
      <c r="W1464" s="631"/>
      <c r="X1464" s="631"/>
      <c r="Y1464" s="631"/>
      <c r="Z1464" s="631"/>
      <c r="AA1464" s="631"/>
      <c r="AB1464" s="631"/>
      <c r="AC1464" s="631"/>
    </row>
    <row r="1465">
      <c r="A1465" s="631"/>
      <c r="B1465" s="694"/>
      <c r="C1465" s="694"/>
      <c r="D1465" s="694"/>
      <c r="E1465" s="694"/>
      <c r="F1465" s="631"/>
      <c r="G1465" s="631"/>
      <c r="H1465" s="631"/>
      <c r="I1465" s="579"/>
      <c r="J1465" s="579"/>
      <c r="K1465" s="694"/>
      <c r="L1465" s="579"/>
      <c r="M1465" s="579"/>
      <c r="N1465" s="579"/>
      <c r="O1465" s="631"/>
      <c r="P1465" s="631"/>
      <c r="Q1465" s="631"/>
      <c r="R1465" s="631"/>
      <c r="S1465" s="631"/>
      <c r="T1465" s="631"/>
      <c r="U1465" s="631"/>
      <c r="V1465" s="631"/>
      <c r="W1465" s="631"/>
      <c r="X1465" s="631"/>
      <c r="Y1465" s="631"/>
      <c r="Z1465" s="631"/>
      <c r="AA1465" s="631"/>
      <c r="AB1465" s="631"/>
      <c r="AC1465" s="631"/>
    </row>
    <row r="1466">
      <c r="A1466" s="631"/>
      <c r="B1466" s="694"/>
      <c r="C1466" s="694"/>
      <c r="D1466" s="694"/>
      <c r="E1466" s="694"/>
      <c r="F1466" s="631"/>
      <c r="G1466" s="631"/>
      <c r="H1466" s="631"/>
      <c r="I1466" s="579"/>
      <c r="J1466" s="579"/>
      <c r="K1466" s="694"/>
      <c r="L1466" s="579"/>
      <c r="M1466" s="579"/>
      <c r="N1466" s="579"/>
      <c r="O1466" s="631"/>
      <c r="P1466" s="631"/>
      <c r="Q1466" s="631"/>
      <c r="R1466" s="631"/>
      <c r="S1466" s="631"/>
      <c r="T1466" s="631"/>
      <c r="U1466" s="631"/>
      <c r="V1466" s="631"/>
      <c r="W1466" s="631"/>
      <c r="X1466" s="631"/>
      <c r="Y1466" s="631"/>
      <c r="Z1466" s="631"/>
      <c r="AA1466" s="631"/>
      <c r="AB1466" s="631"/>
      <c r="AC1466" s="631"/>
    </row>
    <row r="1467">
      <c r="A1467" s="631"/>
      <c r="B1467" s="694"/>
      <c r="C1467" s="694"/>
      <c r="D1467" s="694"/>
      <c r="E1467" s="694"/>
      <c r="F1467" s="631"/>
      <c r="G1467" s="631"/>
      <c r="H1467" s="631"/>
      <c r="I1467" s="579"/>
      <c r="J1467" s="579"/>
      <c r="K1467" s="694"/>
      <c r="L1467" s="579"/>
      <c r="M1467" s="579"/>
      <c r="N1467" s="579"/>
      <c r="O1467" s="631"/>
      <c r="P1467" s="631"/>
      <c r="Q1467" s="631"/>
      <c r="R1467" s="631"/>
      <c r="S1467" s="631"/>
      <c r="T1467" s="631"/>
      <c r="U1467" s="631"/>
      <c r="V1467" s="631"/>
      <c r="W1467" s="631"/>
      <c r="X1467" s="631"/>
      <c r="Y1467" s="631"/>
      <c r="Z1467" s="631"/>
      <c r="AA1467" s="631"/>
      <c r="AB1467" s="631"/>
      <c r="AC1467" s="631"/>
    </row>
    <row r="1468">
      <c r="A1468" s="631"/>
      <c r="B1468" s="694"/>
      <c r="C1468" s="694"/>
      <c r="D1468" s="694"/>
      <c r="E1468" s="694"/>
      <c r="F1468" s="631"/>
      <c r="G1468" s="631"/>
      <c r="H1468" s="631"/>
      <c r="I1468" s="579"/>
      <c r="J1468" s="579"/>
      <c r="K1468" s="694"/>
      <c r="L1468" s="579"/>
      <c r="M1468" s="579"/>
      <c r="N1468" s="579"/>
      <c r="O1468" s="631"/>
      <c r="P1468" s="631"/>
      <c r="Q1468" s="631"/>
      <c r="R1468" s="631"/>
      <c r="S1468" s="631"/>
      <c r="T1468" s="631"/>
      <c r="U1468" s="631"/>
      <c r="V1468" s="631"/>
      <c r="W1468" s="631"/>
      <c r="X1468" s="631"/>
      <c r="Y1468" s="631"/>
      <c r="Z1468" s="631"/>
      <c r="AA1468" s="631"/>
      <c r="AB1468" s="631"/>
      <c r="AC1468" s="631"/>
    </row>
    <row r="1469">
      <c r="A1469" s="631"/>
      <c r="B1469" s="694"/>
      <c r="C1469" s="694"/>
      <c r="D1469" s="694"/>
      <c r="E1469" s="694"/>
      <c r="F1469" s="631"/>
      <c r="G1469" s="631"/>
      <c r="H1469" s="631"/>
      <c r="I1469" s="579"/>
      <c r="J1469" s="579"/>
      <c r="K1469" s="694"/>
      <c r="L1469" s="579"/>
      <c r="M1469" s="579"/>
      <c r="N1469" s="579"/>
      <c r="O1469" s="631"/>
      <c r="P1469" s="631"/>
      <c r="Q1469" s="631"/>
      <c r="R1469" s="631"/>
      <c r="S1469" s="631"/>
      <c r="T1469" s="631"/>
      <c r="U1469" s="631"/>
      <c r="V1469" s="631"/>
      <c r="W1469" s="631"/>
      <c r="X1469" s="631"/>
      <c r="Y1469" s="631"/>
      <c r="Z1469" s="631"/>
      <c r="AA1469" s="631"/>
      <c r="AB1469" s="631"/>
      <c r="AC1469" s="631"/>
    </row>
    <row r="1470">
      <c r="A1470" s="631"/>
      <c r="B1470" s="694"/>
      <c r="C1470" s="694"/>
      <c r="D1470" s="694"/>
      <c r="E1470" s="694"/>
      <c r="F1470" s="631"/>
      <c r="G1470" s="631"/>
      <c r="H1470" s="631"/>
      <c r="I1470" s="579"/>
      <c r="J1470" s="579"/>
      <c r="K1470" s="694"/>
      <c r="L1470" s="579"/>
      <c r="M1470" s="579"/>
      <c r="N1470" s="579"/>
      <c r="O1470" s="631"/>
      <c r="P1470" s="631"/>
      <c r="Q1470" s="631"/>
      <c r="R1470" s="631"/>
      <c r="S1470" s="631"/>
      <c r="T1470" s="631"/>
      <c r="U1470" s="631"/>
      <c r="V1470" s="631"/>
      <c r="W1470" s="631"/>
      <c r="X1470" s="631"/>
      <c r="Y1470" s="631"/>
      <c r="Z1470" s="631"/>
      <c r="AA1470" s="631"/>
      <c r="AB1470" s="631"/>
      <c r="AC1470" s="631"/>
    </row>
    <row r="1471">
      <c r="A1471" s="631"/>
      <c r="B1471" s="694"/>
      <c r="C1471" s="694"/>
      <c r="D1471" s="694"/>
      <c r="E1471" s="694"/>
      <c r="F1471" s="631"/>
      <c r="G1471" s="631"/>
      <c r="H1471" s="631"/>
      <c r="I1471" s="579"/>
      <c r="J1471" s="579"/>
      <c r="K1471" s="694"/>
      <c r="L1471" s="579"/>
      <c r="M1471" s="579"/>
      <c r="N1471" s="579"/>
      <c r="O1471" s="631"/>
      <c r="P1471" s="631"/>
      <c r="Q1471" s="631"/>
      <c r="R1471" s="631"/>
      <c r="S1471" s="631"/>
      <c r="T1471" s="631"/>
      <c r="U1471" s="631"/>
      <c r="V1471" s="631"/>
      <c r="W1471" s="631"/>
      <c r="X1471" s="631"/>
      <c r="Y1471" s="631"/>
      <c r="Z1471" s="631"/>
      <c r="AA1471" s="631"/>
      <c r="AB1471" s="631"/>
      <c r="AC1471" s="631"/>
    </row>
    <row r="1472">
      <c r="A1472" s="631"/>
      <c r="B1472" s="694"/>
      <c r="C1472" s="694"/>
      <c r="D1472" s="694"/>
      <c r="E1472" s="694"/>
      <c r="F1472" s="631"/>
      <c r="G1472" s="631"/>
      <c r="H1472" s="631"/>
      <c r="I1472" s="579"/>
      <c r="J1472" s="579"/>
      <c r="K1472" s="694"/>
      <c r="L1472" s="579"/>
      <c r="M1472" s="579"/>
      <c r="N1472" s="579"/>
      <c r="O1472" s="631"/>
      <c r="P1472" s="631"/>
      <c r="Q1472" s="631"/>
      <c r="R1472" s="631"/>
      <c r="S1472" s="631"/>
      <c r="T1472" s="631"/>
      <c r="U1472" s="631"/>
      <c r="V1472" s="631"/>
      <c r="W1472" s="631"/>
      <c r="X1472" s="631"/>
      <c r="Y1472" s="631"/>
      <c r="Z1472" s="631"/>
      <c r="AA1472" s="631"/>
      <c r="AB1472" s="631"/>
      <c r="AC1472" s="631"/>
    </row>
    <row r="1473">
      <c r="A1473" s="631"/>
      <c r="B1473" s="694"/>
      <c r="C1473" s="694"/>
      <c r="D1473" s="694"/>
      <c r="E1473" s="694"/>
      <c r="F1473" s="631"/>
      <c r="G1473" s="631"/>
      <c r="H1473" s="631"/>
      <c r="I1473" s="579"/>
      <c r="J1473" s="579"/>
      <c r="K1473" s="694"/>
      <c r="L1473" s="579"/>
      <c r="M1473" s="579"/>
      <c r="N1473" s="579"/>
      <c r="O1473" s="631"/>
      <c r="P1473" s="631"/>
      <c r="Q1473" s="631"/>
      <c r="R1473" s="631"/>
      <c r="S1473" s="631"/>
      <c r="T1473" s="631"/>
      <c r="U1473" s="631"/>
      <c r="V1473" s="631"/>
      <c r="W1473" s="631"/>
      <c r="X1473" s="631"/>
      <c r="Y1473" s="631"/>
      <c r="Z1473" s="631"/>
      <c r="AA1473" s="631"/>
      <c r="AB1473" s="631"/>
      <c r="AC1473" s="631"/>
    </row>
    <row r="1474">
      <c r="A1474" s="631"/>
      <c r="B1474" s="694"/>
      <c r="C1474" s="694"/>
      <c r="D1474" s="694"/>
      <c r="E1474" s="694"/>
      <c r="F1474" s="631"/>
      <c r="G1474" s="631"/>
      <c r="H1474" s="631"/>
      <c r="I1474" s="579"/>
      <c r="J1474" s="579"/>
      <c r="K1474" s="694"/>
      <c r="L1474" s="579"/>
      <c r="M1474" s="579"/>
      <c r="N1474" s="579"/>
      <c r="O1474" s="631"/>
      <c r="P1474" s="631"/>
      <c r="Q1474" s="631"/>
      <c r="R1474" s="631"/>
      <c r="S1474" s="631"/>
      <c r="T1474" s="631"/>
      <c r="U1474" s="631"/>
      <c r="V1474" s="631"/>
      <c r="W1474" s="631"/>
      <c r="X1474" s="631"/>
      <c r="Y1474" s="631"/>
      <c r="Z1474" s="631"/>
      <c r="AA1474" s="631"/>
      <c r="AB1474" s="631"/>
      <c r="AC1474" s="631"/>
    </row>
    <row r="1475">
      <c r="A1475" s="631"/>
      <c r="B1475" s="694"/>
      <c r="C1475" s="694"/>
      <c r="D1475" s="694"/>
      <c r="E1475" s="694"/>
      <c r="F1475" s="631"/>
      <c r="G1475" s="631"/>
      <c r="H1475" s="631"/>
      <c r="I1475" s="579"/>
      <c r="J1475" s="579"/>
      <c r="K1475" s="694"/>
      <c r="L1475" s="579"/>
      <c r="M1475" s="579"/>
      <c r="N1475" s="579"/>
      <c r="O1475" s="631"/>
      <c r="P1475" s="631"/>
      <c r="Q1475" s="631"/>
      <c r="R1475" s="631"/>
      <c r="S1475" s="631"/>
      <c r="T1475" s="631"/>
      <c r="U1475" s="631"/>
      <c r="V1475" s="631"/>
      <c r="W1475" s="631"/>
      <c r="X1475" s="631"/>
      <c r="Y1475" s="631"/>
      <c r="Z1475" s="631"/>
      <c r="AA1475" s="631"/>
      <c r="AB1475" s="631"/>
      <c r="AC1475" s="631"/>
    </row>
    <row r="1476">
      <c r="A1476" s="631"/>
      <c r="B1476" s="694"/>
      <c r="C1476" s="694"/>
      <c r="D1476" s="694"/>
      <c r="E1476" s="694"/>
      <c r="F1476" s="631"/>
      <c r="G1476" s="631"/>
      <c r="H1476" s="631"/>
      <c r="I1476" s="579"/>
      <c r="J1476" s="579"/>
      <c r="K1476" s="694"/>
      <c r="L1476" s="579"/>
      <c r="M1476" s="579"/>
      <c r="N1476" s="579"/>
      <c r="O1476" s="631"/>
      <c r="P1476" s="631"/>
      <c r="Q1476" s="631"/>
      <c r="R1476" s="631"/>
      <c r="S1476" s="631"/>
      <c r="T1476" s="631"/>
      <c r="U1476" s="631"/>
      <c r="V1476" s="631"/>
      <c r="W1476" s="631"/>
      <c r="X1476" s="631"/>
      <c r="Y1476" s="631"/>
      <c r="Z1476" s="631"/>
      <c r="AA1476" s="631"/>
      <c r="AB1476" s="631"/>
      <c r="AC1476" s="631"/>
    </row>
    <row r="1477">
      <c r="A1477" s="631"/>
      <c r="B1477" s="694"/>
      <c r="C1477" s="694"/>
      <c r="D1477" s="694"/>
      <c r="E1477" s="694"/>
      <c r="F1477" s="631"/>
      <c r="G1477" s="631"/>
      <c r="H1477" s="631"/>
      <c r="I1477" s="579"/>
      <c r="J1477" s="579"/>
      <c r="K1477" s="694"/>
      <c r="L1477" s="579"/>
      <c r="M1477" s="579"/>
      <c r="N1477" s="579"/>
      <c r="O1477" s="631"/>
      <c r="P1477" s="631"/>
      <c r="Q1477" s="631"/>
      <c r="R1477" s="631"/>
      <c r="S1477" s="631"/>
      <c r="T1477" s="631"/>
      <c r="U1477" s="631"/>
      <c r="V1477" s="631"/>
      <c r="W1477" s="631"/>
      <c r="X1477" s="631"/>
      <c r="Y1477" s="631"/>
      <c r="Z1477" s="631"/>
      <c r="AA1477" s="631"/>
      <c r="AB1477" s="631"/>
      <c r="AC1477" s="631"/>
    </row>
    <row r="1478">
      <c r="A1478" s="631"/>
      <c r="B1478" s="694"/>
      <c r="C1478" s="694"/>
      <c r="D1478" s="694"/>
      <c r="E1478" s="694"/>
      <c r="F1478" s="631"/>
      <c r="G1478" s="631"/>
      <c r="H1478" s="631"/>
      <c r="I1478" s="579"/>
      <c r="J1478" s="579"/>
      <c r="K1478" s="694"/>
      <c r="L1478" s="579"/>
      <c r="M1478" s="579"/>
      <c r="N1478" s="579"/>
      <c r="O1478" s="631"/>
      <c r="P1478" s="631"/>
      <c r="Q1478" s="631"/>
      <c r="R1478" s="631"/>
      <c r="S1478" s="631"/>
      <c r="T1478" s="631"/>
      <c r="U1478" s="631"/>
      <c r="V1478" s="631"/>
      <c r="W1478" s="631"/>
      <c r="X1478" s="631"/>
      <c r="Y1478" s="631"/>
      <c r="Z1478" s="631"/>
      <c r="AA1478" s="631"/>
      <c r="AB1478" s="631"/>
      <c r="AC1478" s="631"/>
    </row>
    <row r="1479">
      <c r="A1479" s="631"/>
      <c r="B1479" s="694"/>
      <c r="C1479" s="694"/>
      <c r="D1479" s="694"/>
      <c r="E1479" s="694"/>
      <c r="F1479" s="631"/>
      <c r="G1479" s="631"/>
      <c r="H1479" s="631"/>
      <c r="I1479" s="579"/>
      <c r="J1479" s="579"/>
      <c r="K1479" s="694"/>
      <c r="L1479" s="579"/>
      <c r="M1479" s="579"/>
      <c r="N1479" s="579"/>
      <c r="O1479" s="631"/>
      <c r="P1479" s="631"/>
      <c r="Q1479" s="631"/>
      <c r="R1479" s="631"/>
      <c r="S1479" s="631"/>
      <c r="T1479" s="631"/>
      <c r="U1479" s="631"/>
      <c r="V1479" s="631"/>
      <c r="W1479" s="631"/>
      <c r="X1479" s="631"/>
      <c r="Y1479" s="631"/>
      <c r="Z1479" s="631"/>
      <c r="AA1479" s="631"/>
      <c r="AB1479" s="631"/>
      <c r="AC1479" s="631"/>
    </row>
    <row r="1480">
      <c r="A1480" s="631"/>
      <c r="B1480" s="694"/>
      <c r="C1480" s="694"/>
      <c r="D1480" s="694"/>
      <c r="E1480" s="694"/>
      <c r="F1480" s="631"/>
      <c r="G1480" s="631"/>
      <c r="H1480" s="631"/>
      <c r="I1480" s="579"/>
      <c r="J1480" s="579"/>
      <c r="K1480" s="694"/>
      <c r="L1480" s="579"/>
      <c r="M1480" s="579"/>
      <c r="N1480" s="579"/>
      <c r="O1480" s="631"/>
      <c r="P1480" s="631"/>
      <c r="Q1480" s="631"/>
      <c r="R1480" s="631"/>
      <c r="S1480" s="631"/>
      <c r="T1480" s="631"/>
      <c r="U1480" s="631"/>
      <c r="V1480" s="631"/>
      <c r="W1480" s="631"/>
      <c r="X1480" s="631"/>
      <c r="Y1480" s="631"/>
      <c r="Z1480" s="631"/>
      <c r="AA1480" s="631"/>
      <c r="AB1480" s="631"/>
      <c r="AC1480" s="631"/>
    </row>
    <row r="1481">
      <c r="A1481" s="631"/>
      <c r="B1481" s="694"/>
      <c r="C1481" s="694"/>
      <c r="D1481" s="694"/>
      <c r="E1481" s="694"/>
      <c r="F1481" s="631"/>
      <c r="G1481" s="631"/>
      <c r="H1481" s="631"/>
      <c r="I1481" s="579"/>
      <c r="J1481" s="579"/>
      <c r="K1481" s="694"/>
      <c r="L1481" s="579"/>
      <c r="M1481" s="579"/>
      <c r="N1481" s="579"/>
      <c r="O1481" s="631"/>
      <c r="P1481" s="631"/>
      <c r="Q1481" s="631"/>
      <c r="R1481" s="631"/>
      <c r="S1481" s="631"/>
      <c r="T1481" s="631"/>
      <c r="U1481" s="631"/>
      <c r="V1481" s="631"/>
      <c r="W1481" s="631"/>
      <c r="X1481" s="631"/>
      <c r="Y1481" s="631"/>
      <c r="Z1481" s="631"/>
      <c r="AA1481" s="631"/>
      <c r="AB1481" s="631"/>
      <c r="AC1481" s="631"/>
    </row>
    <row r="1482">
      <c r="A1482" s="631"/>
      <c r="B1482" s="694"/>
      <c r="C1482" s="694"/>
      <c r="D1482" s="694"/>
      <c r="E1482" s="694"/>
      <c r="F1482" s="631"/>
      <c r="G1482" s="631"/>
      <c r="H1482" s="631"/>
      <c r="I1482" s="579"/>
      <c r="J1482" s="579"/>
      <c r="K1482" s="694"/>
      <c r="L1482" s="579"/>
      <c r="M1482" s="579"/>
      <c r="N1482" s="579"/>
      <c r="O1482" s="631"/>
      <c r="P1482" s="631"/>
      <c r="Q1482" s="631"/>
      <c r="R1482" s="631"/>
      <c r="S1482" s="631"/>
      <c r="T1482" s="631"/>
      <c r="U1482" s="631"/>
      <c r="V1482" s="631"/>
      <c r="W1482" s="631"/>
      <c r="X1482" s="631"/>
      <c r="Y1482" s="631"/>
      <c r="Z1482" s="631"/>
      <c r="AA1482" s="631"/>
      <c r="AB1482" s="631"/>
      <c r="AC1482" s="631"/>
    </row>
    <row r="1483">
      <c r="A1483" s="631"/>
      <c r="B1483" s="694"/>
      <c r="C1483" s="694"/>
      <c r="D1483" s="694"/>
      <c r="E1483" s="694"/>
      <c r="F1483" s="631"/>
      <c r="G1483" s="631"/>
      <c r="H1483" s="631"/>
      <c r="I1483" s="579"/>
      <c r="J1483" s="579"/>
      <c r="K1483" s="694"/>
      <c r="L1483" s="579"/>
      <c r="M1483" s="579"/>
      <c r="N1483" s="579"/>
      <c r="O1483" s="631"/>
      <c r="P1483" s="631"/>
      <c r="Q1483" s="631"/>
      <c r="R1483" s="631"/>
      <c r="S1483" s="631"/>
      <c r="T1483" s="631"/>
      <c r="U1483" s="631"/>
      <c r="V1483" s="631"/>
      <c r="W1483" s="631"/>
      <c r="X1483" s="631"/>
      <c r="Y1483" s="631"/>
      <c r="Z1483" s="631"/>
      <c r="AA1483" s="631"/>
      <c r="AB1483" s="631"/>
      <c r="AC1483" s="631"/>
    </row>
    <row r="1484">
      <c r="A1484" s="631"/>
      <c r="B1484" s="694"/>
      <c r="C1484" s="694"/>
      <c r="D1484" s="694"/>
      <c r="E1484" s="694"/>
      <c r="F1484" s="631"/>
      <c r="G1484" s="631"/>
      <c r="H1484" s="631"/>
      <c r="I1484" s="579"/>
      <c r="J1484" s="579"/>
      <c r="K1484" s="694"/>
      <c r="L1484" s="579"/>
      <c r="M1484" s="579"/>
      <c r="N1484" s="579"/>
      <c r="O1484" s="631"/>
      <c r="P1484" s="631"/>
      <c r="Q1484" s="631"/>
      <c r="R1484" s="631"/>
      <c r="S1484" s="631"/>
      <c r="T1484" s="631"/>
      <c r="U1484" s="631"/>
      <c r="V1484" s="631"/>
      <c r="W1484" s="631"/>
      <c r="X1484" s="631"/>
      <c r="Y1484" s="631"/>
      <c r="Z1484" s="631"/>
      <c r="AA1484" s="631"/>
      <c r="AB1484" s="631"/>
      <c r="AC1484" s="631"/>
    </row>
    <row r="1485">
      <c r="A1485" s="631"/>
      <c r="B1485" s="694"/>
      <c r="C1485" s="694"/>
      <c r="D1485" s="694"/>
      <c r="E1485" s="694"/>
      <c r="F1485" s="631"/>
      <c r="G1485" s="631"/>
      <c r="H1485" s="631"/>
      <c r="I1485" s="579"/>
      <c r="J1485" s="579"/>
      <c r="K1485" s="694"/>
      <c r="L1485" s="579"/>
      <c r="M1485" s="579"/>
      <c r="N1485" s="579"/>
      <c r="O1485" s="631"/>
      <c r="P1485" s="631"/>
      <c r="Q1485" s="631"/>
      <c r="R1485" s="631"/>
      <c r="S1485" s="631"/>
      <c r="T1485" s="631"/>
      <c r="U1485" s="631"/>
      <c r="V1485" s="631"/>
      <c r="W1485" s="631"/>
      <c r="X1485" s="631"/>
      <c r="Y1485" s="631"/>
      <c r="Z1485" s="631"/>
      <c r="AA1485" s="631"/>
      <c r="AB1485" s="631"/>
      <c r="AC1485" s="631"/>
    </row>
    <row r="1486">
      <c r="A1486" s="631"/>
      <c r="B1486" s="694"/>
      <c r="C1486" s="694"/>
      <c r="D1486" s="694"/>
      <c r="E1486" s="694"/>
      <c r="F1486" s="631"/>
      <c r="G1486" s="631"/>
      <c r="H1486" s="631"/>
      <c r="I1486" s="579"/>
      <c r="J1486" s="579"/>
      <c r="K1486" s="694"/>
      <c r="L1486" s="579"/>
      <c r="M1486" s="579"/>
      <c r="N1486" s="579"/>
      <c r="O1486" s="631"/>
      <c r="P1486" s="631"/>
      <c r="Q1486" s="631"/>
      <c r="R1486" s="631"/>
      <c r="S1486" s="631"/>
      <c r="T1486" s="631"/>
      <c r="U1486" s="631"/>
      <c r="V1486" s="631"/>
      <c r="W1486" s="631"/>
      <c r="X1486" s="631"/>
      <c r="Y1486" s="631"/>
      <c r="Z1486" s="631"/>
      <c r="AA1486" s="631"/>
      <c r="AB1486" s="631"/>
      <c r="AC1486" s="631"/>
    </row>
    <row r="1487">
      <c r="A1487" s="631"/>
      <c r="B1487" s="694"/>
      <c r="C1487" s="694"/>
      <c r="D1487" s="694"/>
      <c r="E1487" s="694"/>
      <c r="F1487" s="631"/>
      <c r="G1487" s="631"/>
      <c r="H1487" s="631"/>
      <c r="I1487" s="579"/>
      <c r="J1487" s="579"/>
      <c r="K1487" s="694"/>
      <c r="L1487" s="579"/>
      <c r="M1487" s="579"/>
      <c r="N1487" s="579"/>
      <c r="O1487" s="631"/>
      <c r="P1487" s="631"/>
      <c r="Q1487" s="631"/>
      <c r="R1487" s="631"/>
      <c r="S1487" s="631"/>
      <c r="T1487" s="631"/>
      <c r="U1487" s="631"/>
      <c r="V1487" s="631"/>
      <c r="W1487" s="631"/>
      <c r="X1487" s="631"/>
      <c r="Y1487" s="631"/>
      <c r="Z1487" s="631"/>
      <c r="AA1487" s="631"/>
      <c r="AB1487" s="631"/>
      <c r="AC1487" s="631"/>
    </row>
    <row r="1488">
      <c r="A1488" s="631"/>
      <c r="B1488" s="694"/>
      <c r="C1488" s="694"/>
      <c r="D1488" s="694"/>
      <c r="E1488" s="694"/>
      <c r="F1488" s="631"/>
      <c r="G1488" s="631"/>
      <c r="H1488" s="631"/>
      <c r="I1488" s="579"/>
      <c r="J1488" s="579"/>
      <c r="K1488" s="694"/>
      <c r="L1488" s="579"/>
      <c r="M1488" s="579"/>
      <c r="N1488" s="579"/>
      <c r="O1488" s="631"/>
      <c r="P1488" s="631"/>
      <c r="Q1488" s="631"/>
      <c r="R1488" s="631"/>
      <c r="S1488" s="631"/>
      <c r="T1488" s="631"/>
      <c r="U1488" s="631"/>
      <c r="V1488" s="631"/>
      <c r="W1488" s="631"/>
      <c r="X1488" s="631"/>
      <c r="Y1488" s="631"/>
      <c r="Z1488" s="631"/>
      <c r="AA1488" s="631"/>
      <c r="AB1488" s="631"/>
      <c r="AC1488" s="631"/>
    </row>
    <row r="1489">
      <c r="A1489" s="631"/>
      <c r="B1489" s="694"/>
      <c r="C1489" s="694"/>
      <c r="D1489" s="694"/>
      <c r="E1489" s="694"/>
      <c r="F1489" s="631"/>
      <c r="G1489" s="631"/>
      <c r="H1489" s="631"/>
      <c r="I1489" s="579"/>
      <c r="J1489" s="579"/>
      <c r="K1489" s="694"/>
      <c r="L1489" s="579"/>
      <c r="M1489" s="579"/>
      <c r="N1489" s="579"/>
      <c r="O1489" s="631"/>
      <c r="P1489" s="631"/>
      <c r="Q1489" s="631"/>
      <c r="R1489" s="631"/>
      <c r="S1489" s="631"/>
      <c r="T1489" s="631"/>
      <c r="U1489" s="631"/>
      <c r="V1489" s="631"/>
      <c r="W1489" s="631"/>
      <c r="X1489" s="631"/>
      <c r="Y1489" s="631"/>
      <c r="Z1489" s="631"/>
      <c r="AA1489" s="631"/>
      <c r="AB1489" s="631"/>
      <c r="AC1489" s="631"/>
    </row>
    <row r="1490">
      <c r="A1490" s="631"/>
      <c r="B1490" s="694"/>
      <c r="C1490" s="694"/>
      <c r="D1490" s="694"/>
      <c r="E1490" s="694"/>
      <c r="F1490" s="631"/>
      <c r="G1490" s="631"/>
      <c r="H1490" s="631"/>
      <c r="I1490" s="579"/>
      <c r="J1490" s="579"/>
      <c r="K1490" s="694"/>
      <c r="L1490" s="579"/>
      <c r="M1490" s="579"/>
      <c r="N1490" s="579"/>
      <c r="O1490" s="631"/>
      <c r="P1490" s="631"/>
      <c r="Q1490" s="631"/>
      <c r="R1490" s="631"/>
      <c r="S1490" s="631"/>
      <c r="T1490" s="631"/>
      <c r="U1490" s="631"/>
      <c r="V1490" s="631"/>
      <c r="W1490" s="631"/>
      <c r="X1490" s="631"/>
      <c r="Y1490" s="631"/>
      <c r="Z1490" s="631"/>
      <c r="AA1490" s="631"/>
      <c r="AB1490" s="631"/>
      <c r="AC1490" s="631"/>
    </row>
    <row r="1491">
      <c r="A1491" s="631"/>
      <c r="B1491" s="694"/>
      <c r="C1491" s="694"/>
      <c r="D1491" s="694"/>
      <c r="E1491" s="694"/>
      <c r="F1491" s="631"/>
      <c r="G1491" s="631"/>
      <c r="H1491" s="631"/>
      <c r="I1491" s="579"/>
      <c r="J1491" s="579"/>
      <c r="K1491" s="694"/>
      <c r="L1491" s="579"/>
      <c r="M1491" s="579"/>
      <c r="N1491" s="579"/>
      <c r="O1491" s="631"/>
      <c r="P1491" s="631"/>
      <c r="Q1491" s="631"/>
      <c r="R1491" s="631"/>
      <c r="S1491" s="631"/>
      <c r="T1491" s="631"/>
      <c r="U1491" s="631"/>
      <c r="V1491" s="631"/>
      <c r="W1491" s="631"/>
      <c r="X1491" s="631"/>
      <c r="Y1491" s="631"/>
      <c r="Z1491" s="631"/>
      <c r="AA1491" s="631"/>
      <c r="AB1491" s="631"/>
      <c r="AC1491" s="631"/>
    </row>
    <row r="1492">
      <c r="A1492" s="631"/>
      <c r="B1492" s="694"/>
      <c r="C1492" s="694"/>
      <c r="D1492" s="694"/>
      <c r="E1492" s="694"/>
      <c r="F1492" s="631"/>
      <c r="G1492" s="631"/>
      <c r="H1492" s="631"/>
      <c r="I1492" s="579"/>
      <c r="J1492" s="579"/>
      <c r="K1492" s="694"/>
      <c r="L1492" s="579"/>
      <c r="M1492" s="579"/>
      <c r="N1492" s="579"/>
      <c r="O1492" s="631"/>
      <c r="P1492" s="631"/>
      <c r="Q1492" s="631"/>
      <c r="R1492" s="631"/>
      <c r="S1492" s="631"/>
      <c r="T1492" s="631"/>
      <c r="U1492" s="631"/>
      <c r="V1492" s="631"/>
      <c r="W1492" s="631"/>
      <c r="X1492" s="631"/>
      <c r="Y1492" s="631"/>
      <c r="Z1492" s="631"/>
      <c r="AA1492" s="631"/>
      <c r="AB1492" s="631"/>
      <c r="AC1492" s="631"/>
    </row>
    <row r="1493">
      <c r="A1493" s="631"/>
      <c r="B1493" s="694"/>
      <c r="C1493" s="694"/>
      <c r="D1493" s="694"/>
      <c r="E1493" s="694"/>
      <c r="F1493" s="631"/>
      <c r="G1493" s="631"/>
      <c r="H1493" s="631"/>
      <c r="I1493" s="579"/>
      <c r="J1493" s="579"/>
      <c r="K1493" s="694"/>
      <c r="L1493" s="579"/>
      <c r="M1493" s="579"/>
      <c r="N1493" s="579"/>
      <c r="O1493" s="631"/>
      <c r="P1493" s="631"/>
      <c r="Q1493" s="631"/>
      <c r="R1493" s="631"/>
      <c r="S1493" s="631"/>
      <c r="T1493" s="631"/>
      <c r="U1493" s="631"/>
      <c r="V1493" s="631"/>
      <c r="W1493" s="631"/>
      <c r="X1493" s="631"/>
      <c r="Y1493" s="631"/>
      <c r="Z1493" s="631"/>
      <c r="AA1493" s="631"/>
      <c r="AB1493" s="631"/>
      <c r="AC1493" s="631"/>
    </row>
    <row r="1494">
      <c r="A1494" s="631"/>
      <c r="B1494" s="694"/>
      <c r="C1494" s="694"/>
      <c r="D1494" s="694"/>
      <c r="E1494" s="694"/>
      <c r="F1494" s="631"/>
      <c r="G1494" s="631"/>
      <c r="H1494" s="631"/>
      <c r="I1494" s="579"/>
      <c r="J1494" s="579"/>
      <c r="K1494" s="694"/>
      <c r="L1494" s="579"/>
      <c r="M1494" s="579"/>
      <c r="N1494" s="579"/>
      <c r="O1494" s="631"/>
      <c r="P1494" s="631"/>
      <c r="Q1494" s="631"/>
      <c r="R1494" s="631"/>
      <c r="S1494" s="631"/>
      <c r="T1494" s="631"/>
      <c r="U1494" s="631"/>
      <c r="V1494" s="631"/>
      <c r="W1494" s="631"/>
      <c r="X1494" s="631"/>
      <c r="Y1494" s="631"/>
      <c r="Z1494" s="631"/>
      <c r="AA1494" s="631"/>
      <c r="AB1494" s="631"/>
      <c r="AC1494" s="631"/>
    </row>
    <row r="1495">
      <c r="A1495" s="631"/>
      <c r="B1495" s="694"/>
      <c r="C1495" s="694"/>
      <c r="D1495" s="694"/>
      <c r="E1495" s="694"/>
      <c r="F1495" s="631"/>
      <c r="G1495" s="631"/>
      <c r="H1495" s="631"/>
      <c r="I1495" s="579"/>
      <c r="J1495" s="579"/>
      <c r="K1495" s="694"/>
      <c r="L1495" s="579"/>
      <c r="M1495" s="579"/>
      <c r="N1495" s="579"/>
      <c r="O1495" s="631"/>
      <c r="P1495" s="631"/>
      <c r="Q1495" s="631"/>
      <c r="R1495" s="631"/>
      <c r="S1495" s="631"/>
      <c r="T1495" s="631"/>
      <c r="U1495" s="631"/>
      <c r="V1495" s="631"/>
      <c r="W1495" s="631"/>
      <c r="X1495" s="631"/>
      <c r="Y1495" s="631"/>
      <c r="Z1495" s="631"/>
      <c r="AA1495" s="631"/>
      <c r="AB1495" s="631"/>
      <c r="AC1495" s="631"/>
    </row>
    <row r="1496">
      <c r="A1496" s="631"/>
      <c r="B1496" s="694"/>
      <c r="C1496" s="694"/>
      <c r="D1496" s="694"/>
      <c r="E1496" s="694"/>
      <c r="F1496" s="631"/>
      <c r="G1496" s="631"/>
      <c r="H1496" s="631"/>
      <c r="I1496" s="579"/>
      <c r="J1496" s="579"/>
      <c r="K1496" s="694"/>
      <c r="L1496" s="579"/>
      <c r="M1496" s="579"/>
      <c r="N1496" s="579"/>
      <c r="O1496" s="631"/>
      <c r="P1496" s="631"/>
      <c r="Q1496" s="631"/>
      <c r="R1496" s="631"/>
      <c r="S1496" s="631"/>
      <c r="T1496" s="631"/>
      <c r="U1496" s="631"/>
      <c r="V1496" s="631"/>
      <c r="W1496" s="631"/>
      <c r="X1496" s="631"/>
      <c r="Y1496" s="631"/>
      <c r="Z1496" s="631"/>
      <c r="AA1496" s="631"/>
      <c r="AB1496" s="631"/>
      <c r="AC1496" s="631"/>
    </row>
    <row r="1497">
      <c r="A1497" s="631"/>
      <c r="B1497" s="694"/>
      <c r="C1497" s="694"/>
      <c r="D1497" s="694"/>
      <c r="E1497" s="694"/>
      <c r="F1497" s="631"/>
      <c r="G1497" s="631"/>
      <c r="H1497" s="631"/>
      <c r="I1497" s="579"/>
      <c r="J1497" s="579"/>
      <c r="K1497" s="694"/>
      <c r="L1497" s="579"/>
      <c r="M1497" s="579"/>
      <c r="N1497" s="579"/>
      <c r="O1497" s="631"/>
      <c r="P1497" s="631"/>
      <c r="Q1497" s="631"/>
      <c r="R1497" s="631"/>
      <c r="S1497" s="631"/>
      <c r="T1497" s="631"/>
      <c r="U1497" s="631"/>
      <c r="V1497" s="631"/>
      <c r="W1497" s="631"/>
      <c r="X1497" s="631"/>
      <c r="Y1497" s="631"/>
      <c r="Z1497" s="631"/>
      <c r="AA1497" s="631"/>
      <c r="AB1497" s="631"/>
      <c r="AC1497" s="631"/>
    </row>
    <row r="1498">
      <c r="A1498" s="631"/>
      <c r="B1498" s="694"/>
      <c r="C1498" s="694"/>
      <c r="D1498" s="694"/>
      <c r="E1498" s="694"/>
      <c r="F1498" s="631"/>
      <c r="G1498" s="631"/>
      <c r="H1498" s="631"/>
      <c r="I1498" s="579"/>
      <c r="J1498" s="579"/>
      <c r="K1498" s="694"/>
      <c r="L1498" s="579"/>
      <c r="M1498" s="579"/>
      <c r="N1498" s="579"/>
      <c r="O1498" s="631"/>
      <c r="P1498" s="631"/>
      <c r="Q1498" s="631"/>
      <c r="R1498" s="631"/>
      <c r="S1498" s="631"/>
      <c r="T1498" s="631"/>
      <c r="U1498" s="631"/>
      <c r="V1498" s="631"/>
      <c r="W1498" s="631"/>
      <c r="X1498" s="631"/>
      <c r="Y1498" s="631"/>
      <c r="Z1498" s="631"/>
      <c r="AA1498" s="631"/>
      <c r="AB1498" s="631"/>
      <c r="AC1498" s="631"/>
    </row>
    <row r="1499">
      <c r="A1499" s="631"/>
      <c r="B1499" s="694"/>
      <c r="C1499" s="694"/>
      <c r="D1499" s="694"/>
      <c r="E1499" s="694"/>
      <c r="F1499" s="631"/>
      <c r="G1499" s="631"/>
      <c r="H1499" s="631"/>
      <c r="I1499" s="579"/>
      <c r="J1499" s="579"/>
      <c r="K1499" s="694"/>
      <c r="L1499" s="579"/>
      <c r="M1499" s="579"/>
      <c r="N1499" s="579"/>
      <c r="O1499" s="631"/>
      <c r="P1499" s="631"/>
      <c r="Q1499" s="631"/>
      <c r="R1499" s="631"/>
      <c r="S1499" s="631"/>
      <c r="T1499" s="631"/>
      <c r="U1499" s="631"/>
      <c r="V1499" s="631"/>
      <c r="W1499" s="631"/>
      <c r="X1499" s="631"/>
      <c r="Y1499" s="631"/>
      <c r="Z1499" s="631"/>
      <c r="AA1499" s="631"/>
      <c r="AB1499" s="631"/>
      <c r="AC1499" s="631"/>
    </row>
    <row r="1500">
      <c r="A1500" s="631"/>
      <c r="B1500" s="694"/>
      <c r="C1500" s="694"/>
      <c r="D1500" s="694"/>
      <c r="E1500" s="694"/>
      <c r="F1500" s="631"/>
      <c r="G1500" s="631"/>
      <c r="H1500" s="631"/>
      <c r="I1500" s="579"/>
      <c r="J1500" s="579"/>
      <c r="K1500" s="694"/>
      <c r="L1500" s="579"/>
      <c r="M1500" s="579"/>
      <c r="N1500" s="579"/>
      <c r="O1500" s="631"/>
      <c r="P1500" s="631"/>
      <c r="Q1500" s="631"/>
      <c r="R1500" s="631"/>
      <c r="S1500" s="631"/>
      <c r="T1500" s="631"/>
      <c r="U1500" s="631"/>
      <c r="V1500" s="631"/>
      <c r="W1500" s="631"/>
      <c r="X1500" s="631"/>
      <c r="Y1500" s="631"/>
      <c r="Z1500" s="631"/>
      <c r="AA1500" s="631"/>
      <c r="AB1500" s="631"/>
      <c r="AC1500" s="631"/>
    </row>
    <row r="1501">
      <c r="A1501" s="631"/>
      <c r="B1501" s="694"/>
      <c r="C1501" s="694"/>
      <c r="D1501" s="694"/>
      <c r="E1501" s="694"/>
      <c r="F1501" s="631"/>
      <c r="G1501" s="631"/>
      <c r="H1501" s="631"/>
      <c r="I1501" s="579"/>
      <c r="J1501" s="579"/>
      <c r="K1501" s="694"/>
      <c r="L1501" s="579"/>
      <c r="M1501" s="579"/>
      <c r="N1501" s="579"/>
      <c r="O1501" s="631"/>
      <c r="P1501" s="631"/>
      <c r="Q1501" s="631"/>
      <c r="R1501" s="631"/>
      <c r="S1501" s="631"/>
      <c r="T1501" s="631"/>
      <c r="U1501" s="631"/>
      <c r="V1501" s="631"/>
      <c r="W1501" s="631"/>
      <c r="X1501" s="631"/>
      <c r="Y1501" s="631"/>
      <c r="Z1501" s="631"/>
      <c r="AA1501" s="631"/>
      <c r="AB1501" s="631"/>
      <c r="AC1501" s="631"/>
    </row>
    <row r="1502">
      <c r="A1502" s="631"/>
      <c r="B1502" s="694"/>
      <c r="C1502" s="694"/>
      <c r="D1502" s="694"/>
      <c r="E1502" s="694"/>
      <c r="F1502" s="631"/>
      <c r="G1502" s="631"/>
      <c r="H1502" s="631"/>
      <c r="I1502" s="579"/>
      <c r="J1502" s="579"/>
      <c r="K1502" s="694"/>
      <c r="L1502" s="579"/>
      <c r="M1502" s="579"/>
      <c r="N1502" s="579"/>
      <c r="O1502" s="631"/>
      <c r="P1502" s="631"/>
      <c r="Q1502" s="631"/>
      <c r="R1502" s="631"/>
      <c r="S1502" s="631"/>
      <c r="T1502" s="631"/>
      <c r="U1502" s="631"/>
      <c r="V1502" s="631"/>
      <c r="W1502" s="631"/>
      <c r="X1502" s="631"/>
      <c r="Y1502" s="631"/>
      <c r="Z1502" s="631"/>
      <c r="AA1502" s="631"/>
      <c r="AB1502" s="631"/>
      <c r="AC1502" s="631"/>
    </row>
    <row r="1503">
      <c r="A1503" s="631"/>
      <c r="B1503" s="694"/>
      <c r="C1503" s="694"/>
      <c r="D1503" s="694"/>
      <c r="E1503" s="694"/>
      <c r="F1503" s="631"/>
      <c r="G1503" s="631"/>
      <c r="H1503" s="631"/>
      <c r="I1503" s="579"/>
      <c r="J1503" s="579"/>
      <c r="K1503" s="694"/>
      <c r="L1503" s="579"/>
      <c r="M1503" s="579"/>
      <c r="N1503" s="579"/>
      <c r="O1503" s="631"/>
      <c r="P1503" s="631"/>
      <c r="Q1503" s="631"/>
      <c r="R1503" s="631"/>
      <c r="S1503" s="631"/>
      <c r="T1503" s="631"/>
      <c r="U1503" s="631"/>
      <c r="V1503" s="631"/>
      <c r="W1503" s="631"/>
      <c r="X1503" s="631"/>
      <c r="Y1503" s="631"/>
      <c r="Z1503" s="631"/>
      <c r="AA1503" s="631"/>
      <c r="AB1503" s="631"/>
      <c r="AC1503" s="631"/>
    </row>
    <row r="1504">
      <c r="A1504" s="631"/>
      <c r="B1504" s="694"/>
      <c r="C1504" s="694"/>
      <c r="D1504" s="694"/>
      <c r="E1504" s="694"/>
      <c r="F1504" s="631"/>
      <c r="G1504" s="631"/>
      <c r="H1504" s="631"/>
      <c r="I1504" s="579"/>
      <c r="J1504" s="579"/>
      <c r="K1504" s="694"/>
      <c r="L1504" s="579"/>
      <c r="M1504" s="579"/>
      <c r="N1504" s="579"/>
      <c r="O1504" s="631"/>
      <c r="P1504" s="631"/>
      <c r="Q1504" s="631"/>
      <c r="R1504" s="631"/>
      <c r="S1504" s="631"/>
      <c r="T1504" s="631"/>
      <c r="U1504" s="631"/>
      <c r="V1504" s="631"/>
      <c r="W1504" s="631"/>
      <c r="X1504" s="631"/>
      <c r="Y1504" s="631"/>
      <c r="Z1504" s="631"/>
      <c r="AA1504" s="631"/>
      <c r="AB1504" s="631"/>
      <c r="AC1504" s="631"/>
    </row>
    <row r="1505">
      <c r="A1505" s="631"/>
      <c r="B1505" s="694"/>
      <c r="C1505" s="694"/>
      <c r="D1505" s="694"/>
      <c r="E1505" s="694"/>
      <c r="F1505" s="631"/>
      <c r="G1505" s="631"/>
      <c r="H1505" s="631"/>
      <c r="I1505" s="579"/>
      <c r="J1505" s="579"/>
      <c r="K1505" s="694"/>
      <c r="L1505" s="579"/>
      <c r="M1505" s="579"/>
      <c r="N1505" s="579"/>
      <c r="O1505" s="631"/>
      <c r="P1505" s="631"/>
      <c r="Q1505" s="631"/>
      <c r="R1505" s="631"/>
      <c r="S1505" s="631"/>
      <c r="T1505" s="631"/>
      <c r="U1505" s="631"/>
      <c r="V1505" s="631"/>
      <c r="W1505" s="631"/>
      <c r="X1505" s="631"/>
      <c r="Y1505" s="631"/>
      <c r="Z1505" s="631"/>
      <c r="AA1505" s="631"/>
      <c r="AB1505" s="631"/>
      <c r="AC1505" s="631"/>
    </row>
    <row r="1506">
      <c r="A1506" s="631"/>
      <c r="B1506" s="694"/>
      <c r="C1506" s="694"/>
      <c r="D1506" s="694"/>
      <c r="E1506" s="694"/>
      <c r="F1506" s="631"/>
      <c r="G1506" s="631"/>
      <c r="H1506" s="631"/>
      <c r="I1506" s="579"/>
      <c r="J1506" s="579"/>
      <c r="K1506" s="694"/>
      <c r="L1506" s="579"/>
      <c r="M1506" s="579"/>
      <c r="N1506" s="579"/>
      <c r="O1506" s="631"/>
      <c r="P1506" s="631"/>
      <c r="Q1506" s="631"/>
      <c r="R1506" s="631"/>
      <c r="S1506" s="631"/>
      <c r="T1506" s="631"/>
      <c r="U1506" s="631"/>
      <c r="V1506" s="631"/>
      <c r="W1506" s="631"/>
      <c r="X1506" s="631"/>
      <c r="Y1506" s="631"/>
      <c r="Z1506" s="631"/>
      <c r="AA1506" s="631"/>
      <c r="AB1506" s="631"/>
      <c r="AC1506" s="631"/>
    </row>
    <row r="1507">
      <c r="A1507" s="631"/>
      <c r="B1507" s="694"/>
      <c r="C1507" s="694"/>
      <c r="D1507" s="694"/>
      <c r="E1507" s="694"/>
      <c r="F1507" s="631"/>
      <c r="G1507" s="631"/>
      <c r="H1507" s="631"/>
      <c r="I1507" s="579"/>
      <c r="J1507" s="579"/>
      <c r="K1507" s="694"/>
      <c r="L1507" s="579"/>
      <c r="M1507" s="579"/>
      <c r="N1507" s="579"/>
      <c r="O1507" s="631"/>
      <c r="P1507" s="631"/>
      <c r="Q1507" s="631"/>
      <c r="R1507" s="631"/>
      <c r="S1507" s="631"/>
      <c r="T1507" s="631"/>
      <c r="U1507" s="631"/>
      <c r="V1507" s="631"/>
      <c r="W1507" s="631"/>
      <c r="X1507" s="631"/>
      <c r="Y1507" s="631"/>
      <c r="Z1507" s="631"/>
      <c r="AA1507" s="631"/>
      <c r="AB1507" s="631"/>
      <c r="AC1507" s="631"/>
    </row>
    <row r="1508">
      <c r="A1508" s="631"/>
      <c r="B1508" s="694"/>
      <c r="C1508" s="694"/>
      <c r="D1508" s="694"/>
      <c r="E1508" s="694"/>
      <c r="F1508" s="631"/>
      <c r="G1508" s="631"/>
      <c r="H1508" s="631"/>
      <c r="I1508" s="579"/>
      <c r="J1508" s="579"/>
      <c r="K1508" s="694"/>
      <c r="L1508" s="579"/>
      <c r="M1508" s="579"/>
      <c r="N1508" s="579"/>
      <c r="O1508" s="631"/>
      <c r="P1508" s="631"/>
      <c r="Q1508" s="631"/>
      <c r="R1508" s="631"/>
      <c r="S1508" s="631"/>
      <c r="T1508" s="631"/>
      <c r="U1508" s="631"/>
      <c r="V1508" s="631"/>
      <c r="W1508" s="631"/>
      <c r="X1508" s="631"/>
      <c r="Y1508" s="631"/>
      <c r="Z1508" s="631"/>
      <c r="AA1508" s="631"/>
      <c r="AB1508" s="631"/>
      <c r="AC1508" s="631"/>
    </row>
    <row r="1509">
      <c r="A1509" s="631"/>
      <c r="B1509" s="694"/>
      <c r="C1509" s="694"/>
      <c r="D1509" s="694"/>
      <c r="E1509" s="694"/>
      <c r="F1509" s="631"/>
      <c r="G1509" s="631"/>
      <c r="H1509" s="631"/>
      <c r="I1509" s="579"/>
      <c r="J1509" s="579"/>
      <c r="K1509" s="694"/>
      <c r="L1509" s="579"/>
      <c r="M1509" s="579"/>
      <c r="N1509" s="579"/>
      <c r="O1509" s="631"/>
      <c r="P1509" s="631"/>
      <c r="Q1509" s="631"/>
      <c r="R1509" s="631"/>
      <c r="S1509" s="631"/>
      <c r="T1509" s="631"/>
      <c r="U1509" s="631"/>
      <c r="V1509" s="631"/>
      <c r="W1509" s="631"/>
      <c r="X1509" s="631"/>
      <c r="Y1509" s="631"/>
      <c r="Z1509" s="631"/>
      <c r="AA1509" s="631"/>
      <c r="AB1509" s="631"/>
      <c r="AC1509" s="631"/>
    </row>
    <row r="1510">
      <c r="A1510" s="631"/>
      <c r="B1510" s="694"/>
      <c r="C1510" s="694"/>
      <c r="D1510" s="694"/>
      <c r="E1510" s="694"/>
      <c r="F1510" s="631"/>
      <c r="G1510" s="631"/>
      <c r="H1510" s="631"/>
      <c r="I1510" s="579"/>
      <c r="J1510" s="579"/>
      <c r="K1510" s="694"/>
      <c r="L1510" s="579"/>
      <c r="M1510" s="579"/>
      <c r="N1510" s="579"/>
      <c r="O1510" s="631"/>
      <c r="P1510" s="631"/>
      <c r="Q1510" s="631"/>
      <c r="R1510" s="631"/>
      <c r="S1510" s="631"/>
      <c r="T1510" s="631"/>
      <c r="U1510" s="631"/>
      <c r="V1510" s="631"/>
      <c r="W1510" s="631"/>
      <c r="X1510" s="631"/>
      <c r="Y1510" s="631"/>
      <c r="Z1510" s="631"/>
      <c r="AA1510" s="631"/>
      <c r="AB1510" s="631"/>
      <c r="AC1510" s="631"/>
    </row>
    <row r="1511">
      <c r="A1511" s="631"/>
      <c r="B1511" s="694"/>
      <c r="C1511" s="694"/>
      <c r="D1511" s="694"/>
      <c r="E1511" s="694"/>
      <c r="F1511" s="631"/>
      <c r="G1511" s="631"/>
      <c r="H1511" s="631"/>
      <c r="I1511" s="579"/>
      <c r="J1511" s="579"/>
      <c r="K1511" s="694"/>
      <c r="L1511" s="579"/>
      <c r="M1511" s="579"/>
      <c r="N1511" s="579"/>
      <c r="O1511" s="631"/>
      <c r="P1511" s="631"/>
      <c r="Q1511" s="631"/>
      <c r="R1511" s="631"/>
      <c r="S1511" s="631"/>
      <c r="T1511" s="631"/>
      <c r="U1511" s="631"/>
      <c r="V1511" s="631"/>
      <c r="W1511" s="631"/>
      <c r="X1511" s="631"/>
      <c r="Y1511" s="631"/>
      <c r="Z1511" s="631"/>
      <c r="AA1511" s="631"/>
      <c r="AB1511" s="631"/>
      <c r="AC1511" s="631"/>
    </row>
    <row r="1512">
      <c r="A1512" s="631"/>
      <c r="B1512" s="694"/>
      <c r="C1512" s="694"/>
      <c r="D1512" s="694"/>
      <c r="E1512" s="694"/>
      <c r="F1512" s="631"/>
      <c r="G1512" s="631"/>
      <c r="H1512" s="631"/>
      <c r="I1512" s="579"/>
      <c r="J1512" s="579"/>
      <c r="K1512" s="694"/>
      <c r="L1512" s="579"/>
      <c r="M1512" s="579"/>
      <c r="N1512" s="579"/>
      <c r="O1512" s="631"/>
      <c r="P1512" s="631"/>
      <c r="Q1512" s="631"/>
      <c r="R1512" s="631"/>
      <c r="S1512" s="631"/>
      <c r="T1512" s="631"/>
      <c r="U1512" s="631"/>
      <c r="V1512" s="631"/>
      <c r="W1512" s="631"/>
      <c r="X1512" s="631"/>
      <c r="Y1512" s="631"/>
      <c r="Z1512" s="631"/>
      <c r="AA1512" s="631"/>
      <c r="AB1512" s="631"/>
      <c r="AC1512" s="631"/>
    </row>
    <row r="1513">
      <c r="A1513" s="631"/>
      <c r="B1513" s="694"/>
      <c r="C1513" s="694"/>
      <c r="D1513" s="694"/>
      <c r="E1513" s="694"/>
      <c r="F1513" s="631"/>
      <c r="G1513" s="631"/>
      <c r="H1513" s="631"/>
      <c r="I1513" s="579"/>
      <c r="J1513" s="579"/>
      <c r="K1513" s="694"/>
      <c r="L1513" s="579"/>
      <c r="M1513" s="579"/>
      <c r="N1513" s="579"/>
      <c r="O1513" s="631"/>
      <c r="P1513" s="631"/>
      <c r="Q1513" s="631"/>
      <c r="R1513" s="631"/>
      <c r="S1513" s="631"/>
      <c r="T1513" s="631"/>
      <c r="U1513" s="631"/>
      <c r="V1513" s="631"/>
      <c r="W1513" s="631"/>
      <c r="X1513" s="631"/>
      <c r="Y1513" s="631"/>
      <c r="Z1513" s="631"/>
      <c r="AA1513" s="631"/>
      <c r="AB1513" s="631"/>
      <c r="AC1513" s="631"/>
    </row>
    <row r="1514">
      <c r="A1514" s="631"/>
      <c r="B1514" s="694"/>
      <c r="C1514" s="694"/>
      <c r="D1514" s="694"/>
      <c r="E1514" s="694"/>
      <c r="F1514" s="631"/>
      <c r="G1514" s="631"/>
      <c r="H1514" s="631"/>
      <c r="I1514" s="579"/>
      <c r="J1514" s="579"/>
      <c r="K1514" s="694"/>
      <c r="L1514" s="579"/>
      <c r="M1514" s="579"/>
      <c r="N1514" s="579"/>
      <c r="O1514" s="631"/>
      <c r="P1514" s="631"/>
      <c r="Q1514" s="631"/>
      <c r="R1514" s="631"/>
      <c r="S1514" s="631"/>
      <c r="T1514" s="631"/>
      <c r="U1514" s="631"/>
      <c r="V1514" s="631"/>
      <c r="W1514" s="631"/>
      <c r="X1514" s="631"/>
      <c r="Y1514" s="631"/>
      <c r="Z1514" s="631"/>
      <c r="AA1514" s="631"/>
      <c r="AB1514" s="631"/>
      <c r="AC1514" s="631"/>
    </row>
    <row r="1515">
      <c r="A1515" s="631"/>
      <c r="B1515" s="694"/>
      <c r="C1515" s="694"/>
      <c r="D1515" s="694"/>
      <c r="E1515" s="694"/>
      <c r="F1515" s="631"/>
      <c r="G1515" s="631"/>
      <c r="H1515" s="631"/>
      <c r="I1515" s="579"/>
      <c r="J1515" s="579"/>
      <c r="K1515" s="694"/>
      <c r="L1515" s="579"/>
      <c r="M1515" s="579"/>
      <c r="N1515" s="579"/>
      <c r="O1515" s="631"/>
      <c r="P1515" s="631"/>
      <c r="Q1515" s="631"/>
      <c r="R1515" s="631"/>
      <c r="S1515" s="631"/>
      <c r="T1515" s="631"/>
      <c r="U1515" s="631"/>
      <c r="V1515" s="631"/>
      <c r="W1515" s="631"/>
      <c r="X1515" s="631"/>
      <c r="Y1515" s="631"/>
      <c r="Z1515" s="631"/>
      <c r="AA1515" s="631"/>
      <c r="AB1515" s="631"/>
      <c r="AC1515" s="631"/>
    </row>
    <row r="1516">
      <c r="A1516" s="631"/>
      <c r="B1516" s="694"/>
      <c r="C1516" s="694"/>
      <c r="D1516" s="694"/>
      <c r="E1516" s="694"/>
      <c r="F1516" s="631"/>
      <c r="G1516" s="631"/>
      <c r="H1516" s="631"/>
      <c r="I1516" s="579"/>
      <c r="J1516" s="579"/>
      <c r="K1516" s="694"/>
      <c r="L1516" s="579"/>
      <c r="M1516" s="579"/>
      <c r="N1516" s="579"/>
      <c r="O1516" s="631"/>
      <c r="P1516" s="631"/>
      <c r="Q1516" s="631"/>
      <c r="R1516" s="631"/>
      <c r="S1516" s="631"/>
      <c r="T1516" s="631"/>
      <c r="U1516" s="631"/>
      <c r="V1516" s="631"/>
      <c r="W1516" s="631"/>
      <c r="X1516" s="631"/>
      <c r="Y1516" s="631"/>
      <c r="Z1516" s="631"/>
      <c r="AA1516" s="631"/>
      <c r="AB1516" s="631"/>
      <c r="AC1516" s="631"/>
    </row>
    <row r="1517">
      <c r="A1517" s="631"/>
      <c r="B1517" s="694"/>
      <c r="C1517" s="694"/>
      <c r="D1517" s="694"/>
      <c r="E1517" s="694"/>
      <c r="F1517" s="631"/>
      <c r="G1517" s="631"/>
      <c r="H1517" s="631"/>
      <c r="I1517" s="579"/>
      <c r="J1517" s="579"/>
      <c r="K1517" s="694"/>
      <c r="L1517" s="579"/>
      <c r="M1517" s="579"/>
      <c r="N1517" s="579"/>
      <c r="O1517" s="631"/>
      <c r="P1517" s="631"/>
      <c r="Q1517" s="631"/>
      <c r="R1517" s="631"/>
      <c r="S1517" s="631"/>
      <c r="T1517" s="631"/>
      <c r="U1517" s="631"/>
      <c r="V1517" s="631"/>
      <c r="W1517" s="631"/>
      <c r="X1517" s="631"/>
      <c r="Y1517" s="631"/>
      <c r="Z1517" s="631"/>
      <c r="AA1517" s="631"/>
      <c r="AB1517" s="631"/>
      <c r="AC1517" s="631"/>
    </row>
    <row r="1518">
      <c r="A1518" s="631"/>
      <c r="B1518" s="694"/>
      <c r="C1518" s="694"/>
      <c r="D1518" s="694"/>
      <c r="E1518" s="694"/>
      <c r="F1518" s="631"/>
      <c r="G1518" s="631"/>
      <c r="H1518" s="631"/>
      <c r="I1518" s="579"/>
      <c r="J1518" s="579"/>
      <c r="K1518" s="694"/>
      <c r="L1518" s="579"/>
      <c r="M1518" s="579"/>
      <c r="N1518" s="579"/>
      <c r="O1518" s="631"/>
      <c r="P1518" s="631"/>
      <c r="Q1518" s="631"/>
      <c r="R1518" s="631"/>
      <c r="S1518" s="631"/>
      <c r="T1518" s="631"/>
      <c r="U1518" s="631"/>
      <c r="V1518" s="631"/>
      <c r="W1518" s="631"/>
      <c r="X1518" s="631"/>
      <c r="Y1518" s="631"/>
      <c r="Z1518" s="631"/>
      <c r="AA1518" s="631"/>
      <c r="AB1518" s="631"/>
      <c r="AC1518" s="631"/>
    </row>
    <row r="1519">
      <c r="A1519" s="631"/>
      <c r="B1519" s="694"/>
      <c r="C1519" s="694"/>
      <c r="D1519" s="694"/>
      <c r="E1519" s="694"/>
      <c r="F1519" s="631"/>
      <c r="G1519" s="631"/>
      <c r="H1519" s="631"/>
      <c r="I1519" s="579"/>
      <c r="J1519" s="579"/>
      <c r="K1519" s="694"/>
      <c r="L1519" s="579"/>
      <c r="M1519" s="579"/>
      <c r="N1519" s="579"/>
      <c r="O1519" s="631"/>
      <c r="P1519" s="631"/>
      <c r="Q1519" s="631"/>
      <c r="R1519" s="631"/>
      <c r="S1519" s="631"/>
      <c r="T1519" s="631"/>
      <c r="U1519" s="631"/>
      <c r="V1519" s="631"/>
      <c r="W1519" s="631"/>
      <c r="X1519" s="631"/>
      <c r="Y1519" s="631"/>
      <c r="Z1519" s="631"/>
      <c r="AA1519" s="631"/>
      <c r="AB1519" s="631"/>
      <c r="AC1519" s="631"/>
    </row>
    <row r="1520">
      <c r="A1520" s="631"/>
      <c r="B1520" s="694"/>
      <c r="C1520" s="694"/>
      <c r="D1520" s="694"/>
      <c r="E1520" s="694"/>
      <c r="F1520" s="631"/>
      <c r="G1520" s="631"/>
      <c r="H1520" s="631"/>
      <c r="I1520" s="579"/>
      <c r="J1520" s="579"/>
      <c r="K1520" s="694"/>
      <c r="L1520" s="579"/>
      <c r="M1520" s="579"/>
      <c r="N1520" s="579"/>
      <c r="O1520" s="631"/>
      <c r="P1520" s="631"/>
      <c r="Q1520" s="631"/>
      <c r="R1520" s="631"/>
      <c r="S1520" s="631"/>
      <c r="T1520" s="631"/>
      <c r="U1520" s="631"/>
      <c r="V1520" s="631"/>
      <c r="W1520" s="631"/>
      <c r="X1520" s="631"/>
      <c r="Y1520" s="631"/>
      <c r="Z1520" s="631"/>
      <c r="AA1520" s="631"/>
      <c r="AB1520" s="631"/>
      <c r="AC1520" s="631"/>
    </row>
    <row r="1521">
      <c r="A1521" s="631"/>
      <c r="B1521" s="694"/>
      <c r="C1521" s="694"/>
      <c r="D1521" s="694"/>
      <c r="E1521" s="694"/>
      <c r="F1521" s="631"/>
      <c r="G1521" s="631"/>
      <c r="H1521" s="631"/>
      <c r="I1521" s="579"/>
      <c r="J1521" s="579"/>
      <c r="K1521" s="694"/>
      <c r="L1521" s="579"/>
      <c r="M1521" s="579"/>
      <c r="N1521" s="579"/>
      <c r="O1521" s="631"/>
      <c r="P1521" s="631"/>
      <c r="Q1521" s="631"/>
      <c r="R1521" s="631"/>
      <c r="S1521" s="631"/>
      <c r="T1521" s="631"/>
      <c r="U1521" s="631"/>
      <c r="V1521" s="631"/>
      <c r="W1521" s="631"/>
      <c r="X1521" s="631"/>
      <c r="Y1521" s="631"/>
      <c r="Z1521" s="631"/>
      <c r="AA1521" s="631"/>
      <c r="AB1521" s="631"/>
      <c r="AC1521" s="631"/>
    </row>
    <row r="1522">
      <c r="A1522" s="631"/>
      <c r="B1522" s="694"/>
      <c r="C1522" s="694"/>
      <c r="D1522" s="694"/>
      <c r="E1522" s="694"/>
      <c r="F1522" s="631"/>
      <c r="G1522" s="631"/>
      <c r="H1522" s="631"/>
      <c r="I1522" s="579"/>
      <c r="J1522" s="579"/>
      <c r="K1522" s="694"/>
      <c r="L1522" s="579"/>
      <c r="M1522" s="579"/>
      <c r="N1522" s="579"/>
      <c r="O1522" s="631"/>
      <c r="P1522" s="631"/>
      <c r="Q1522" s="631"/>
      <c r="R1522" s="631"/>
      <c r="S1522" s="631"/>
      <c r="T1522" s="631"/>
      <c r="U1522" s="631"/>
      <c r="V1522" s="631"/>
      <c r="W1522" s="631"/>
      <c r="X1522" s="631"/>
      <c r="Y1522" s="631"/>
      <c r="Z1522" s="631"/>
      <c r="AA1522" s="631"/>
      <c r="AB1522" s="631"/>
      <c r="AC1522" s="631"/>
    </row>
    <row r="1523">
      <c r="A1523" s="631"/>
      <c r="B1523" s="694"/>
      <c r="C1523" s="694"/>
      <c r="D1523" s="694"/>
      <c r="E1523" s="694"/>
      <c r="F1523" s="631"/>
      <c r="G1523" s="631"/>
      <c r="H1523" s="631"/>
      <c r="I1523" s="579"/>
      <c r="J1523" s="579"/>
      <c r="K1523" s="694"/>
      <c r="L1523" s="579"/>
      <c r="M1523" s="579"/>
      <c r="N1523" s="579"/>
      <c r="O1523" s="631"/>
      <c r="P1523" s="631"/>
      <c r="Q1523" s="631"/>
      <c r="R1523" s="631"/>
      <c r="S1523" s="631"/>
      <c r="T1523" s="631"/>
      <c r="U1523" s="631"/>
      <c r="V1523" s="631"/>
      <c r="W1523" s="631"/>
      <c r="X1523" s="631"/>
      <c r="Y1523" s="631"/>
      <c r="Z1523" s="631"/>
      <c r="AA1523" s="631"/>
      <c r="AB1523" s="631"/>
      <c r="AC1523" s="631"/>
    </row>
    <row r="1524">
      <c r="A1524" s="631"/>
      <c r="B1524" s="694"/>
      <c r="C1524" s="694"/>
      <c r="D1524" s="694"/>
      <c r="E1524" s="694"/>
      <c r="F1524" s="631"/>
      <c r="G1524" s="631"/>
      <c r="H1524" s="631"/>
      <c r="I1524" s="579"/>
      <c r="J1524" s="579"/>
      <c r="K1524" s="694"/>
      <c r="L1524" s="579"/>
      <c r="M1524" s="579"/>
      <c r="N1524" s="579"/>
      <c r="O1524" s="631"/>
      <c r="P1524" s="631"/>
      <c r="Q1524" s="631"/>
      <c r="R1524" s="631"/>
      <c r="S1524" s="631"/>
      <c r="T1524" s="631"/>
      <c r="U1524" s="631"/>
      <c r="V1524" s="631"/>
      <c r="W1524" s="631"/>
      <c r="X1524" s="631"/>
      <c r="Y1524" s="631"/>
      <c r="Z1524" s="631"/>
      <c r="AA1524" s="631"/>
      <c r="AB1524" s="631"/>
      <c r="AC1524" s="631"/>
    </row>
    <row r="1525">
      <c r="A1525" s="631"/>
      <c r="B1525" s="694"/>
      <c r="C1525" s="694"/>
      <c r="D1525" s="694"/>
      <c r="E1525" s="694"/>
      <c r="F1525" s="631"/>
      <c r="G1525" s="631"/>
      <c r="H1525" s="631"/>
      <c r="I1525" s="579"/>
      <c r="J1525" s="579"/>
      <c r="K1525" s="694"/>
      <c r="L1525" s="579"/>
      <c r="M1525" s="579"/>
      <c r="N1525" s="579"/>
      <c r="O1525" s="631"/>
      <c r="P1525" s="631"/>
      <c r="Q1525" s="631"/>
      <c r="R1525" s="631"/>
      <c r="S1525" s="631"/>
      <c r="T1525" s="631"/>
      <c r="U1525" s="631"/>
      <c r="V1525" s="631"/>
      <c r="W1525" s="631"/>
      <c r="X1525" s="631"/>
      <c r="Y1525" s="631"/>
      <c r="Z1525" s="631"/>
      <c r="AA1525" s="631"/>
      <c r="AB1525" s="631"/>
      <c r="AC1525" s="631"/>
    </row>
    <row r="1526">
      <c r="A1526" s="631"/>
      <c r="B1526" s="694"/>
      <c r="C1526" s="694"/>
      <c r="D1526" s="694"/>
      <c r="E1526" s="694"/>
      <c r="F1526" s="631"/>
      <c r="G1526" s="631"/>
      <c r="H1526" s="631"/>
      <c r="I1526" s="579"/>
      <c r="J1526" s="579"/>
      <c r="K1526" s="694"/>
      <c r="L1526" s="579"/>
      <c r="M1526" s="579"/>
      <c r="N1526" s="579"/>
      <c r="O1526" s="631"/>
      <c r="P1526" s="631"/>
      <c r="Q1526" s="631"/>
      <c r="R1526" s="631"/>
      <c r="S1526" s="631"/>
      <c r="T1526" s="631"/>
      <c r="U1526" s="631"/>
      <c r="V1526" s="631"/>
      <c r="W1526" s="631"/>
      <c r="X1526" s="631"/>
      <c r="Y1526" s="631"/>
      <c r="Z1526" s="631"/>
      <c r="AA1526" s="631"/>
      <c r="AB1526" s="631"/>
      <c r="AC1526" s="631"/>
    </row>
    <row r="1527">
      <c r="A1527" s="631"/>
      <c r="B1527" s="694"/>
      <c r="C1527" s="694"/>
      <c r="D1527" s="694"/>
      <c r="E1527" s="694"/>
      <c r="F1527" s="631"/>
      <c r="G1527" s="631"/>
      <c r="H1527" s="631"/>
      <c r="I1527" s="579"/>
      <c r="J1527" s="579"/>
      <c r="K1527" s="694"/>
      <c r="L1527" s="579"/>
      <c r="M1527" s="579"/>
      <c r="N1527" s="579"/>
      <c r="O1527" s="631"/>
      <c r="P1527" s="631"/>
      <c r="Q1527" s="631"/>
      <c r="R1527" s="631"/>
      <c r="S1527" s="631"/>
      <c r="T1527" s="631"/>
      <c r="U1527" s="631"/>
      <c r="V1527" s="631"/>
      <c r="W1527" s="631"/>
      <c r="X1527" s="631"/>
      <c r="Y1527" s="631"/>
      <c r="Z1527" s="631"/>
      <c r="AA1527" s="631"/>
      <c r="AB1527" s="631"/>
      <c r="AC1527" s="631"/>
    </row>
    <row r="1528">
      <c r="A1528" s="631"/>
      <c r="B1528" s="694"/>
      <c r="C1528" s="694"/>
      <c r="D1528" s="694"/>
      <c r="E1528" s="694"/>
      <c r="F1528" s="631"/>
      <c r="G1528" s="631"/>
      <c r="H1528" s="631"/>
      <c r="I1528" s="579"/>
      <c r="J1528" s="579"/>
      <c r="K1528" s="694"/>
      <c r="L1528" s="579"/>
      <c r="M1528" s="579"/>
      <c r="N1528" s="579"/>
      <c r="O1528" s="631"/>
      <c r="P1528" s="631"/>
      <c r="Q1528" s="631"/>
      <c r="R1528" s="631"/>
      <c r="S1528" s="631"/>
      <c r="T1528" s="631"/>
      <c r="U1528" s="631"/>
      <c r="V1528" s="631"/>
      <c r="W1528" s="631"/>
      <c r="X1528" s="631"/>
      <c r="Y1528" s="631"/>
      <c r="Z1528" s="631"/>
      <c r="AA1528" s="631"/>
      <c r="AB1528" s="631"/>
      <c r="AC1528" s="631"/>
    </row>
    <row r="1529">
      <c r="A1529" s="631"/>
      <c r="B1529" s="694"/>
      <c r="C1529" s="694"/>
      <c r="D1529" s="694"/>
      <c r="E1529" s="694"/>
      <c r="F1529" s="631"/>
      <c r="G1529" s="631"/>
      <c r="H1529" s="631"/>
      <c r="I1529" s="579"/>
      <c r="J1529" s="579"/>
      <c r="K1529" s="694"/>
      <c r="L1529" s="579"/>
      <c r="M1529" s="579"/>
      <c r="N1529" s="579"/>
      <c r="O1529" s="631"/>
      <c r="P1529" s="631"/>
      <c r="Q1529" s="631"/>
      <c r="R1529" s="631"/>
      <c r="S1529" s="631"/>
      <c r="T1529" s="631"/>
      <c r="U1529" s="631"/>
      <c r="V1529" s="631"/>
      <c r="W1529" s="631"/>
      <c r="X1529" s="631"/>
      <c r="Y1529" s="631"/>
      <c r="Z1529" s="631"/>
      <c r="AA1529" s="631"/>
      <c r="AB1529" s="631"/>
      <c r="AC1529" s="631"/>
    </row>
    <row r="1530">
      <c r="A1530" s="631"/>
      <c r="B1530" s="694"/>
      <c r="C1530" s="694"/>
      <c r="D1530" s="694"/>
      <c r="E1530" s="694"/>
      <c r="F1530" s="631"/>
      <c r="G1530" s="631"/>
      <c r="H1530" s="631"/>
      <c r="I1530" s="579"/>
      <c r="J1530" s="579"/>
      <c r="K1530" s="694"/>
      <c r="L1530" s="579"/>
      <c r="M1530" s="579"/>
      <c r="N1530" s="579"/>
      <c r="O1530" s="631"/>
      <c r="P1530" s="631"/>
      <c r="Q1530" s="631"/>
      <c r="R1530" s="631"/>
      <c r="S1530" s="631"/>
      <c r="T1530" s="631"/>
      <c r="U1530" s="631"/>
      <c r="V1530" s="631"/>
      <c r="W1530" s="631"/>
      <c r="X1530" s="631"/>
      <c r="Y1530" s="631"/>
      <c r="Z1530" s="631"/>
      <c r="AA1530" s="631"/>
      <c r="AB1530" s="631"/>
      <c r="AC1530" s="631"/>
    </row>
    <row r="1531">
      <c r="A1531" s="631"/>
      <c r="B1531" s="694"/>
      <c r="C1531" s="694"/>
      <c r="D1531" s="694"/>
      <c r="E1531" s="694"/>
      <c r="F1531" s="631"/>
      <c r="G1531" s="631"/>
      <c r="H1531" s="631"/>
      <c r="I1531" s="579"/>
      <c r="J1531" s="579"/>
      <c r="K1531" s="694"/>
      <c r="L1531" s="579"/>
      <c r="M1531" s="579"/>
      <c r="N1531" s="579"/>
      <c r="O1531" s="631"/>
      <c r="P1531" s="631"/>
      <c r="Q1531" s="631"/>
      <c r="R1531" s="631"/>
      <c r="S1531" s="631"/>
      <c r="T1531" s="631"/>
      <c r="U1531" s="631"/>
      <c r="V1531" s="631"/>
      <c r="W1531" s="631"/>
      <c r="X1531" s="631"/>
      <c r="Y1531" s="631"/>
      <c r="Z1531" s="631"/>
      <c r="AA1531" s="631"/>
      <c r="AB1531" s="631"/>
      <c r="AC1531" s="631"/>
    </row>
    <row r="1532">
      <c r="A1532" s="631"/>
      <c r="B1532" s="694"/>
      <c r="C1532" s="694"/>
      <c r="D1532" s="694"/>
      <c r="E1532" s="694"/>
      <c r="F1532" s="631"/>
      <c r="G1532" s="631"/>
      <c r="H1532" s="631"/>
      <c r="I1532" s="579"/>
      <c r="J1532" s="579"/>
      <c r="K1532" s="694"/>
      <c r="L1532" s="579"/>
      <c r="M1532" s="579"/>
      <c r="N1532" s="579"/>
      <c r="O1532" s="631"/>
      <c r="P1532" s="631"/>
      <c r="Q1532" s="631"/>
      <c r="R1532" s="631"/>
      <c r="S1532" s="631"/>
      <c r="T1532" s="631"/>
      <c r="U1532" s="631"/>
      <c r="V1532" s="631"/>
      <c r="W1532" s="631"/>
      <c r="X1532" s="631"/>
      <c r="Y1532" s="631"/>
      <c r="Z1532" s="631"/>
      <c r="AA1532" s="631"/>
      <c r="AB1532" s="631"/>
      <c r="AC1532" s="631"/>
    </row>
    <row r="1533">
      <c r="A1533" s="631"/>
      <c r="B1533" s="694"/>
      <c r="C1533" s="694"/>
      <c r="D1533" s="694"/>
      <c r="E1533" s="694"/>
      <c r="F1533" s="631"/>
      <c r="G1533" s="631"/>
      <c r="H1533" s="631"/>
      <c r="I1533" s="579"/>
      <c r="J1533" s="579"/>
      <c r="K1533" s="694"/>
      <c r="L1533" s="579"/>
      <c r="M1533" s="579"/>
      <c r="N1533" s="579"/>
      <c r="O1533" s="631"/>
      <c r="P1533" s="631"/>
      <c r="Q1533" s="631"/>
      <c r="R1533" s="631"/>
      <c r="S1533" s="631"/>
      <c r="T1533" s="631"/>
      <c r="U1533" s="631"/>
      <c r="V1533" s="631"/>
      <c r="W1533" s="631"/>
      <c r="X1533" s="631"/>
      <c r="Y1533" s="631"/>
      <c r="Z1533" s="631"/>
      <c r="AA1533" s="631"/>
      <c r="AB1533" s="631"/>
      <c r="AC1533" s="631"/>
    </row>
    <row r="1534">
      <c r="A1534" s="631"/>
      <c r="B1534" s="694"/>
      <c r="C1534" s="694"/>
      <c r="D1534" s="694"/>
      <c r="E1534" s="694"/>
      <c r="F1534" s="631"/>
      <c r="G1534" s="631"/>
      <c r="H1534" s="631"/>
      <c r="I1534" s="579"/>
      <c r="J1534" s="579"/>
      <c r="K1534" s="694"/>
      <c r="L1534" s="579"/>
      <c r="M1534" s="579"/>
      <c r="N1534" s="579"/>
      <c r="O1534" s="631"/>
      <c r="P1534" s="631"/>
      <c r="Q1534" s="631"/>
      <c r="R1534" s="631"/>
      <c r="S1534" s="631"/>
      <c r="T1534" s="631"/>
      <c r="U1534" s="631"/>
      <c r="V1534" s="631"/>
      <c r="W1534" s="631"/>
      <c r="X1534" s="631"/>
      <c r="Y1534" s="631"/>
      <c r="Z1534" s="631"/>
      <c r="AA1534" s="631"/>
      <c r="AB1534" s="631"/>
      <c r="AC1534" s="631"/>
    </row>
    <row r="1535">
      <c r="A1535" s="631"/>
      <c r="B1535" s="694"/>
      <c r="C1535" s="694"/>
      <c r="D1535" s="694"/>
      <c r="E1535" s="694"/>
      <c r="F1535" s="631"/>
      <c r="G1535" s="631"/>
      <c r="H1535" s="631"/>
      <c r="I1535" s="579"/>
      <c r="J1535" s="579"/>
      <c r="K1535" s="694"/>
      <c r="L1535" s="579"/>
      <c r="M1535" s="579"/>
      <c r="N1535" s="579"/>
      <c r="O1535" s="631"/>
      <c r="P1535" s="631"/>
      <c r="Q1535" s="631"/>
      <c r="R1535" s="631"/>
      <c r="S1535" s="631"/>
      <c r="T1535" s="631"/>
      <c r="U1535" s="631"/>
      <c r="V1535" s="631"/>
      <c r="W1535" s="631"/>
      <c r="X1535" s="631"/>
      <c r="Y1535" s="631"/>
      <c r="Z1535" s="631"/>
      <c r="AA1535" s="631"/>
      <c r="AB1535" s="631"/>
      <c r="AC1535" s="631"/>
    </row>
    <row r="1536">
      <c r="A1536" s="631"/>
      <c r="B1536" s="694"/>
      <c r="C1536" s="694"/>
      <c r="D1536" s="694"/>
      <c r="E1536" s="694"/>
      <c r="F1536" s="631"/>
      <c r="G1536" s="631"/>
      <c r="H1536" s="631"/>
      <c r="I1536" s="579"/>
      <c r="J1536" s="579"/>
      <c r="K1536" s="694"/>
      <c r="L1536" s="579"/>
      <c r="M1536" s="579"/>
      <c r="N1536" s="579"/>
      <c r="O1536" s="631"/>
      <c r="P1536" s="631"/>
      <c r="Q1536" s="631"/>
      <c r="R1536" s="631"/>
      <c r="S1536" s="631"/>
      <c r="T1536" s="631"/>
      <c r="U1536" s="631"/>
      <c r="V1536" s="631"/>
      <c r="W1536" s="631"/>
      <c r="X1536" s="631"/>
      <c r="Y1536" s="631"/>
      <c r="Z1536" s="631"/>
      <c r="AA1536" s="631"/>
      <c r="AB1536" s="631"/>
      <c r="AC1536" s="631"/>
    </row>
    <row r="1537">
      <c r="A1537" s="631"/>
      <c r="B1537" s="694"/>
      <c r="C1537" s="694"/>
      <c r="D1537" s="694"/>
      <c r="E1537" s="694"/>
      <c r="F1537" s="631"/>
      <c r="G1537" s="631"/>
      <c r="H1537" s="631"/>
      <c r="I1537" s="579"/>
      <c r="J1537" s="579"/>
      <c r="K1537" s="694"/>
      <c r="L1537" s="579"/>
      <c r="M1537" s="579"/>
      <c r="N1537" s="579"/>
      <c r="O1537" s="631"/>
      <c r="P1537" s="631"/>
      <c r="Q1537" s="631"/>
      <c r="R1537" s="631"/>
      <c r="S1537" s="631"/>
      <c r="T1537" s="631"/>
      <c r="U1537" s="631"/>
      <c r="V1537" s="631"/>
      <c r="W1537" s="631"/>
      <c r="X1537" s="631"/>
      <c r="Y1537" s="631"/>
      <c r="Z1537" s="631"/>
      <c r="AA1537" s="631"/>
      <c r="AB1537" s="631"/>
      <c r="AC1537" s="631"/>
    </row>
    <row r="1538">
      <c r="A1538" s="631"/>
      <c r="B1538" s="694"/>
      <c r="C1538" s="694"/>
      <c r="D1538" s="694"/>
      <c r="E1538" s="694"/>
      <c r="F1538" s="631"/>
      <c r="G1538" s="631"/>
      <c r="H1538" s="631"/>
      <c r="I1538" s="579"/>
      <c r="J1538" s="579"/>
      <c r="K1538" s="694"/>
      <c r="L1538" s="579"/>
      <c r="M1538" s="579"/>
      <c r="N1538" s="579"/>
      <c r="O1538" s="631"/>
      <c r="P1538" s="631"/>
      <c r="Q1538" s="631"/>
      <c r="R1538" s="631"/>
      <c r="S1538" s="631"/>
      <c r="T1538" s="631"/>
      <c r="U1538" s="631"/>
      <c r="V1538" s="631"/>
      <c r="W1538" s="631"/>
      <c r="X1538" s="631"/>
      <c r="Y1538" s="631"/>
      <c r="Z1538" s="631"/>
      <c r="AA1538" s="631"/>
      <c r="AB1538" s="631"/>
      <c r="AC1538" s="631"/>
    </row>
    <row r="1539">
      <c r="A1539" s="631"/>
      <c r="B1539" s="694"/>
      <c r="C1539" s="694"/>
      <c r="D1539" s="694"/>
      <c r="E1539" s="694"/>
      <c r="F1539" s="631"/>
      <c r="G1539" s="631"/>
      <c r="H1539" s="631"/>
      <c r="I1539" s="579"/>
      <c r="J1539" s="579"/>
      <c r="K1539" s="694"/>
      <c r="L1539" s="579"/>
      <c r="M1539" s="579"/>
      <c r="N1539" s="579"/>
      <c r="O1539" s="631"/>
      <c r="P1539" s="631"/>
      <c r="Q1539" s="631"/>
      <c r="R1539" s="631"/>
      <c r="S1539" s="631"/>
      <c r="T1539" s="631"/>
      <c r="U1539" s="631"/>
      <c r="V1539" s="631"/>
      <c r="W1539" s="631"/>
      <c r="X1539" s="631"/>
      <c r="Y1539" s="631"/>
      <c r="Z1539" s="631"/>
      <c r="AA1539" s="631"/>
      <c r="AB1539" s="631"/>
      <c r="AC1539" s="631"/>
    </row>
    <row r="1540">
      <c r="A1540" s="631"/>
      <c r="B1540" s="694"/>
      <c r="C1540" s="694"/>
      <c r="D1540" s="694"/>
      <c r="E1540" s="694"/>
      <c r="F1540" s="631"/>
      <c r="G1540" s="631"/>
      <c r="H1540" s="631"/>
      <c r="I1540" s="579"/>
      <c r="J1540" s="579"/>
      <c r="K1540" s="694"/>
      <c r="L1540" s="579"/>
      <c r="M1540" s="579"/>
      <c r="N1540" s="579"/>
      <c r="O1540" s="631"/>
      <c r="P1540" s="631"/>
      <c r="Q1540" s="631"/>
      <c r="R1540" s="631"/>
      <c r="S1540" s="631"/>
      <c r="T1540" s="631"/>
      <c r="U1540" s="631"/>
      <c r="V1540" s="631"/>
      <c r="W1540" s="631"/>
      <c r="X1540" s="631"/>
      <c r="Y1540" s="631"/>
      <c r="Z1540" s="631"/>
      <c r="AA1540" s="631"/>
      <c r="AB1540" s="631"/>
      <c r="AC1540" s="631"/>
    </row>
    <row r="1541">
      <c r="A1541" s="631"/>
      <c r="B1541" s="694"/>
      <c r="C1541" s="694"/>
      <c r="D1541" s="694"/>
      <c r="E1541" s="694"/>
      <c r="F1541" s="631"/>
      <c r="G1541" s="631"/>
      <c r="H1541" s="631"/>
      <c r="I1541" s="579"/>
      <c r="J1541" s="579"/>
      <c r="K1541" s="694"/>
      <c r="L1541" s="579"/>
      <c r="M1541" s="579"/>
      <c r="N1541" s="579"/>
      <c r="O1541" s="631"/>
      <c r="P1541" s="631"/>
      <c r="Q1541" s="631"/>
      <c r="R1541" s="631"/>
      <c r="S1541" s="631"/>
      <c r="T1541" s="631"/>
      <c r="U1541" s="631"/>
      <c r="V1541" s="631"/>
      <c r="W1541" s="631"/>
      <c r="X1541" s="631"/>
      <c r="Y1541" s="631"/>
      <c r="Z1541" s="631"/>
      <c r="AA1541" s="631"/>
      <c r="AB1541" s="631"/>
      <c r="AC1541" s="631"/>
    </row>
    <row r="1542">
      <c r="A1542" s="631"/>
      <c r="B1542" s="694"/>
      <c r="C1542" s="694"/>
      <c r="D1542" s="694"/>
      <c r="E1542" s="694"/>
      <c r="F1542" s="631"/>
      <c r="G1542" s="631"/>
      <c r="H1542" s="631"/>
      <c r="I1542" s="579"/>
      <c r="J1542" s="579"/>
      <c r="K1542" s="694"/>
      <c r="L1542" s="579"/>
      <c r="M1542" s="579"/>
      <c r="N1542" s="579"/>
      <c r="O1542" s="631"/>
      <c r="P1542" s="631"/>
      <c r="Q1542" s="631"/>
      <c r="R1542" s="631"/>
      <c r="S1542" s="631"/>
      <c r="T1542" s="631"/>
      <c r="U1542" s="631"/>
      <c r="V1542" s="631"/>
      <c r="W1542" s="631"/>
      <c r="X1542" s="631"/>
      <c r="Y1542" s="631"/>
      <c r="Z1542" s="631"/>
      <c r="AA1542" s="631"/>
      <c r="AB1542" s="631"/>
      <c r="AC1542" s="631"/>
    </row>
    <row r="1543">
      <c r="A1543" s="631"/>
      <c r="B1543" s="694"/>
      <c r="C1543" s="694"/>
      <c r="D1543" s="694"/>
      <c r="E1543" s="694"/>
      <c r="F1543" s="631"/>
      <c r="G1543" s="631"/>
      <c r="H1543" s="631"/>
      <c r="I1543" s="579"/>
      <c r="J1543" s="579"/>
      <c r="K1543" s="694"/>
      <c r="L1543" s="579"/>
      <c r="M1543" s="579"/>
      <c r="N1543" s="579"/>
      <c r="O1543" s="631"/>
      <c r="P1543" s="631"/>
      <c r="Q1543" s="631"/>
      <c r="R1543" s="631"/>
      <c r="S1543" s="631"/>
      <c r="T1543" s="631"/>
      <c r="U1543" s="631"/>
      <c r="V1543" s="631"/>
      <c r="W1543" s="631"/>
      <c r="X1543" s="631"/>
      <c r="Y1543" s="631"/>
      <c r="Z1543" s="631"/>
      <c r="AA1543" s="631"/>
      <c r="AB1543" s="631"/>
      <c r="AC1543" s="631"/>
    </row>
    <row r="1544">
      <c r="A1544" s="631"/>
      <c r="B1544" s="694"/>
      <c r="C1544" s="694"/>
      <c r="D1544" s="694"/>
      <c r="E1544" s="694"/>
      <c r="F1544" s="631"/>
      <c r="G1544" s="631"/>
      <c r="H1544" s="631"/>
      <c r="I1544" s="579"/>
      <c r="J1544" s="579"/>
      <c r="K1544" s="694"/>
      <c r="L1544" s="579"/>
      <c r="M1544" s="579"/>
      <c r="N1544" s="579"/>
      <c r="O1544" s="631"/>
      <c r="P1544" s="631"/>
      <c r="Q1544" s="631"/>
      <c r="R1544" s="631"/>
      <c r="S1544" s="631"/>
      <c r="T1544" s="631"/>
      <c r="U1544" s="631"/>
      <c r="V1544" s="631"/>
      <c r="W1544" s="631"/>
      <c r="X1544" s="631"/>
      <c r="Y1544" s="631"/>
      <c r="Z1544" s="631"/>
      <c r="AA1544" s="631"/>
      <c r="AB1544" s="631"/>
      <c r="AC1544" s="631"/>
    </row>
    <row r="1545">
      <c r="A1545" s="631"/>
      <c r="B1545" s="694"/>
      <c r="C1545" s="694"/>
      <c r="D1545" s="694"/>
      <c r="E1545" s="694"/>
      <c r="F1545" s="631"/>
      <c r="G1545" s="631"/>
      <c r="H1545" s="631"/>
      <c r="I1545" s="579"/>
      <c r="J1545" s="579"/>
      <c r="K1545" s="694"/>
      <c r="L1545" s="579"/>
      <c r="M1545" s="579"/>
      <c r="N1545" s="579"/>
      <c r="O1545" s="631"/>
      <c r="P1545" s="631"/>
      <c r="Q1545" s="631"/>
      <c r="R1545" s="631"/>
      <c r="S1545" s="631"/>
      <c r="T1545" s="631"/>
      <c r="U1545" s="631"/>
      <c r="V1545" s="631"/>
      <c r="W1545" s="631"/>
      <c r="X1545" s="631"/>
      <c r="Y1545" s="631"/>
      <c r="Z1545" s="631"/>
      <c r="AA1545" s="631"/>
      <c r="AB1545" s="631"/>
      <c r="AC1545" s="631"/>
    </row>
    <row r="1546">
      <c r="A1546" s="631"/>
      <c r="B1546" s="694"/>
      <c r="C1546" s="694"/>
      <c r="D1546" s="694"/>
      <c r="E1546" s="694"/>
      <c r="F1546" s="631"/>
      <c r="G1546" s="631"/>
      <c r="H1546" s="631"/>
      <c r="I1546" s="579"/>
      <c r="J1546" s="579"/>
      <c r="K1546" s="694"/>
      <c r="L1546" s="579"/>
      <c r="M1546" s="579"/>
      <c r="N1546" s="579"/>
      <c r="O1546" s="631"/>
      <c r="P1546" s="631"/>
      <c r="Q1546" s="631"/>
      <c r="R1546" s="631"/>
      <c r="S1546" s="631"/>
      <c r="T1546" s="631"/>
      <c r="U1546" s="631"/>
      <c r="V1546" s="631"/>
      <c r="W1546" s="631"/>
      <c r="X1546" s="631"/>
      <c r="Y1546" s="631"/>
      <c r="Z1546" s="631"/>
      <c r="AA1546" s="631"/>
      <c r="AB1546" s="631"/>
      <c r="AC1546" s="631"/>
    </row>
    <row r="1547">
      <c r="A1547" s="631"/>
      <c r="B1547" s="694"/>
      <c r="C1547" s="694"/>
      <c r="D1547" s="694"/>
      <c r="E1547" s="694"/>
      <c r="F1547" s="631"/>
      <c r="G1547" s="631"/>
      <c r="H1547" s="631"/>
      <c r="I1547" s="579"/>
      <c r="J1547" s="579"/>
      <c r="K1547" s="694"/>
      <c r="L1547" s="579"/>
      <c r="M1547" s="579"/>
      <c r="N1547" s="579"/>
      <c r="O1547" s="631"/>
      <c r="P1547" s="631"/>
      <c r="Q1547" s="631"/>
      <c r="R1547" s="631"/>
      <c r="S1547" s="631"/>
      <c r="T1547" s="631"/>
      <c r="U1547" s="631"/>
      <c r="V1547" s="631"/>
      <c r="W1547" s="631"/>
      <c r="X1547" s="631"/>
      <c r="Y1547" s="631"/>
      <c r="Z1547" s="631"/>
      <c r="AA1547" s="631"/>
      <c r="AB1547" s="631"/>
      <c r="AC1547" s="631"/>
    </row>
    <row r="1548">
      <c r="A1548" s="631"/>
      <c r="B1548" s="694"/>
      <c r="C1548" s="694"/>
      <c r="D1548" s="694"/>
      <c r="E1548" s="694"/>
      <c r="F1548" s="631"/>
      <c r="G1548" s="631"/>
      <c r="H1548" s="631"/>
      <c r="I1548" s="579"/>
      <c r="J1548" s="579"/>
      <c r="K1548" s="694"/>
      <c r="L1548" s="579"/>
      <c r="M1548" s="579"/>
      <c r="N1548" s="579"/>
      <c r="O1548" s="631"/>
      <c r="P1548" s="631"/>
      <c r="Q1548" s="631"/>
      <c r="R1548" s="631"/>
      <c r="S1548" s="631"/>
      <c r="T1548" s="631"/>
      <c r="U1548" s="631"/>
      <c r="V1548" s="631"/>
      <c r="W1548" s="631"/>
      <c r="X1548" s="631"/>
      <c r="Y1548" s="631"/>
      <c r="Z1548" s="631"/>
      <c r="AA1548" s="631"/>
      <c r="AB1548" s="631"/>
      <c r="AC1548" s="631"/>
    </row>
    <row r="1549">
      <c r="A1549" s="631"/>
      <c r="B1549" s="694"/>
      <c r="C1549" s="694"/>
      <c r="D1549" s="694"/>
      <c r="E1549" s="694"/>
      <c r="F1549" s="631"/>
      <c r="G1549" s="631"/>
      <c r="H1549" s="631"/>
      <c r="I1549" s="579"/>
      <c r="J1549" s="579"/>
      <c r="K1549" s="694"/>
      <c r="L1549" s="579"/>
      <c r="M1549" s="579"/>
      <c r="N1549" s="579"/>
      <c r="O1549" s="631"/>
      <c r="P1549" s="631"/>
      <c r="Q1549" s="631"/>
      <c r="R1549" s="631"/>
      <c r="S1549" s="631"/>
      <c r="T1549" s="631"/>
      <c r="U1549" s="631"/>
      <c r="V1549" s="631"/>
      <c r="W1549" s="631"/>
      <c r="X1549" s="631"/>
      <c r="Y1549" s="631"/>
      <c r="Z1549" s="631"/>
      <c r="AA1549" s="631"/>
      <c r="AB1549" s="631"/>
      <c r="AC1549" s="631"/>
    </row>
    <row r="1550">
      <c r="A1550" s="631"/>
      <c r="B1550" s="694"/>
      <c r="C1550" s="694"/>
      <c r="D1550" s="694"/>
      <c r="E1550" s="694"/>
      <c r="F1550" s="631"/>
      <c r="G1550" s="631"/>
      <c r="H1550" s="631"/>
      <c r="I1550" s="579"/>
      <c r="J1550" s="579"/>
      <c r="K1550" s="694"/>
      <c r="L1550" s="579"/>
      <c r="M1550" s="579"/>
      <c r="N1550" s="579"/>
      <c r="O1550" s="631"/>
      <c r="P1550" s="631"/>
      <c r="Q1550" s="631"/>
      <c r="R1550" s="631"/>
      <c r="S1550" s="631"/>
      <c r="T1550" s="631"/>
      <c r="U1550" s="631"/>
      <c r="V1550" s="631"/>
      <c r="W1550" s="631"/>
      <c r="X1550" s="631"/>
      <c r="Y1550" s="631"/>
      <c r="Z1550" s="631"/>
      <c r="AA1550" s="631"/>
      <c r="AB1550" s="631"/>
      <c r="AC1550" s="631"/>
    </row>
    <row r="1551">
      <c r="A1551" s="631"/>
      <c r="B1551" s="694"/>
      <c r="C1551" s="694"/>
      <c r="D1551" s="694"/>
      <c r="E1551" s="694"/>
      <c r="F1551" s="631"/>
      <c r="G1551" s="631"/>
      <c r="H1551" s="631"/>
      <c r="I1551" s="579"/>
      <c r="J1551" s="579"/>
      <c r="K1551" s="694"/>
      <c r="L1551" s="579"/>
      <c r="M1551" s="579"/>
      <c r="N1551" s="579"/>
      <c r="O1551" s="631"/>
      <c r="P1551" s="631"/>
      <c r="Q1551" s="631"/>
      <c r="R1551" s="631"/>
      <c r="S1551" s="631"/>
      <c r="T1551" s="631"/>
      <c r="U1551" s="631"/>
      <c r="V1551" s="631"/>
      <c r="W1551" s="631"/>
      <c r="X1551" s="631"/>
      <c r="Y1551" s="631"/>
      <c r="Z1551" s="631"/>
      <c r="AA1551" s="631"/>
      <c r="AB1551" s="631"/>
      <c r="AC1551" s="631"/>
    </row>
    <row r="1552">
      <c r="A1552" s="631"/>
      <c r="B1552" s="694"/>
      <c r="C1552" s="694"/>
      <c r="D1552" s="694"/>
      <c r="E1552" s="694"/>
      <c r="F1552" s="631"/>
      <c r="G1552" s="631"/>
      <c r="H1552" s="631"/>
      <c r="I1552" s="579"/>
      <c r="J1552" s="579"/>
      <c r="K1552" s="694"/>
      <c r="L1552" s="579"/>
      <c r="M1552" s="579"/>
      <c r="N1552" s="579"/>
      <c r="O1552" s="631"/>
      <c r="P1552" s="631"/>
      <c r="Q1552" s="631"/>
      <c r="R1552" s="631"/>
      <c r="S1552" s="631"/>
      <c r="T1552" s="631"/>
      <c r="U1552" s="631"/>
      <c r="V1552" s="631"/>
      <c r="W1552" s="631"/>
      <c r="X1552" s="631"/>
      <c r="Y1552" s="631"/>
      <c r="Z1552" s="631"/>
      <c r="AA1552" s="631"/>
      <c r="AB1552" s="631"/>
      <c r="AC1552" s="631"/>
    </row>
    <row r="1553">
      <c r="A1553" s="631"/>
      <c r="B1553" s="694"/>
      <c r="C1553" s="694"/>
      <c r="D1553" s="694"/>
      <c r="E1553" s="694"/>
      <c r="F1553" s="631"/>
      <c r="G1553" s="631"/>
      <c r="H1553" s="631"/>
      <c r="I1553" s="579"/>
      <c r="J1553" s="579"/>
      <c r="K1553" s="694"/>
      <c r="L1553" s="579"/>
      <c r="M1553" s="579"/>
      <c r="N1553" s="579"/>
      <c r="O1553" s="631"/>
      <c r="P1553" s="631"/>
      <c r="Q1553" s="631"/>
      <c r="R1553" s="631"/>
      <c r="S1553" s="631"/>
      <c r="T1553" s="631"/>
      <c r="U1553" s="631"/>
      <c r="V1553" s="631"/>
      <c r="W1553" s="631"/>
      <c r="X1553" s="631"/>
      <c r="Y1553" s="631"/>
      <c r="Z1553" s="631"/>
      <c r="AA1553" s="631"/>
      <c r="AB1553" s="631"/>
      <c r="AC1553" s="631"/>
    </row>
    <row r="1554">
      <c r="A1554" s="631"/>
      <c r="B1554" s="694"/>
      <c r="C1554" s="694"/>
      <c r="D1554" s="694"/>
      <c r="E1554" s="694"/>
      <c r="F1554" s="631"/>
      <c r="G1554" s="631"/>
      <c r="H1554" s="631"/>
      <c r="I1554" s="579"/>
      <c r="J1554" s="579"/>
      <c r="K1554" s="694"/>
      <c r="L1554" s="579"/>
      <c r="M1554" s="579"/>
      <c r="N1554" s="579"/>
      <c r="O1554" s="631"/>
      <c r="P1554" s="631"/>
      <c r="Q1554" s="631"/>
      <c r="R1554" s="631"/>
      <c r="S1554" s="631"/>
      <c r="T1554" s="631"/>
      <c r="U1554" s="631"/>
      <c r="V1554" s="631"/>
      <c r="W1554" s="631"/>
      <c r="X1554" s="631"/>
      <c r="Y1554" s="631"/>
      <c r="Z1554" s="631"/>
      <c r="AA1554" s="631"/>
      <c r="AB1554" s="631"/>
      <c r="AC1554" s="631"/>
    </row>
    <row r="1555">
      <c r="A1555" s="631"/>
      <c r="B1555" s="694"/>
      <c r="C1555" s="694"/>
      <c r="D1555" s="694"/>
      <c r="E1555" s="694"/>
      <c r="F1555" s="631"/>
      <c r="G1555" s="631"/>
      <c r="H1555" s="631"/>
      <c r="I1555" s="579"/>
      <c r="J1555" s="579"/>
      <c r="K1555" s="694"/>
      <c r="L1555" s="579"/>
      <c r="M1555" s="579"/>
      <c r="N1555" s="579"/>
      <c r="O1555" s="631"/>
      <c r="P1555" s="631"/>
      <c r="Q1555" s="631"/>
      <c r="R1555" s="631"/>
      <c r="S1555" s="631"/>
      <c r="T1555" s="631"/>
      <c r="U1555" s="631"/>
      <c r="V1555" s="631"/>
      <c r="W1555" s="631"/>
      <c r="X1555" s="631"/>
      <c r="Y1555" s="631"/>
      <c r="Z1555" s="631"/>
      <c r="AA1555" s="631"/>
      <c r="AB1555" s="631"/>
      <c r="AC1555" s="631"/>
    </row>
    <row r="1556">
      <c r="A1556" s="631"/>
      <c r="B1556" s="694"/>
      <c r="C1556" s="694"/>
      <c r="D1556" s="694"/>
      <c r="E1556" s="694"/>
      <c r="F1556" s="631"/>
      <c r="G1556" s="631"/>
      <c r="H1556" s="631"/>
      <c r="I1556" s="579"/>
      <c r="J1556" s="579"/>
      <c r="K1556" s="694"/>
      <c r="L1556" s="579"/>
      <c r="M1556" s="579"/>
      <c r="N1556" s="579"/>
      <c r="O1556" s="631"/>
      <c r="P1556" s="631"/>
      <c r="Q1556" s="631"/>
      <c r="R1556" s="631"/>
      <c r="S1556" s="631"/>
      <c r="T1556" s="631"/>
      <c r="U1556" s="631"/>
      <c r="V1556" s="631"/>
      <c r="W1556" s="631"/>
      <c r="X1556" s="631"/>
      <c r="Y1556" s="631"/>
      <c r="Z1556" s="631"/>
      <c r="AA1556" s="631"/>
      <c r="AB1556" s="631"/>
      <c r="AC1556" s="631"/>
    </row>
    <row r="1557">
      <c r="A1557" s="631"/>
      <c r="B1557" s="694"/>
      <c r="C1557" s="694"/>
      <c r="D1557" s="694"/>
      <c r="E1557" s="694"/>
      <c r="F1557" s="631"/>
      <c r="G1557" s="631"/>
      <c r="H1557" s="631"/>
      <c r="I1557" s="579"/>
      <c r="J1557" s="579"/>
      <c r="K1557" s="694"/>
      <c r="L1557" s="579"/>
      <c r="M1557" s="579"/>
      <c r="N1557" s="579"/>
      <c r="O1557" s="631"/>
      <c r="P1557" s="631"/>
      <c r="Q1557" s="631"/>
      <c r="R1557" s="631"/>
      <c r="S1557" s="631"/>
      <c r="T1557" s="631"/>
      <c r="U1557" s="631"/>
      <c r="V1557" s="631"/>
      <c r="W1557" s="631"/>
      <c r="X1557" s="631"/>
      <c r="Y1557" s="631"/>
      <c r="Z1557" s="631"/>
      <c r="AA1557" s="631"/>
      <c r="AB1557" s="631"/>
      <c r="AC1557" s="631"/>
    </row>
    <row r="1558">
      <c r="A1558" s="631"/>
      <c r="B1558" s="694"/>
      <c r="C1558" s="694"/>
      <c r="D1558" s="694"/>
      <c r="E1558" s="694"/>
      <c r="F1558" s="631"/>
      <c r="G1558" s="631"/>
      <c r="H1558" s="631"/>
      <c r="I1558" s="579"/>
      <c r="J1558" s="579"/>
      <c r="K1558" s="694"/>
      <c r="L1558" s="579"/>
      <c r="M1558" s="579"/>
      <c r="N1558" s="579"/>
      <c r="O1558" s="631"/>
      <c r="P1558" s="631"/>
      <c r="Q1558" s="631"/>
      <c r="R1558" s="631"/>
      <c r="S1558" s="631"/>
      <c r="T1558" s="631"/>
      <c r="U1558" s="631"/>
      <c r="V1558" s="631"/>
      <c r="W1558" s="631"/>
      <c r="X1558" s="631"/>
      <c r="Y1558" s="631"/>
      <c r="Z1558" s="631"/>
      <c r="AA1558" s="631"/>
      <c r="AB1558" s="631"/>
      <c r="AC1558" s="631"/>
    </row>
    <row r="1559">
      <c r="A1559" s="631"/>
      <c r="B1559" s="694"/>
      <c r="C1559" s="694"/>
      <c r="D1559" s="694"/>
      <c r="E1559" s="694"/>
      <c r="F1559" s="631"/>
      <c r="G1559" s="631"/>
      <c r="H1559" s="631"/>
      <c r="I1559" s="579"/>
      <c r="J1559" s="579"/>
      <c r="K1559" s="694"/>
      <c r="L1559" s="579"/>
      <c r="M1559" s="579"/>
      <c r="N1559" s="579"/>
      <c r="O1559" s="631"/>
      <c r="P1559" s="631"/>
      <c r="Q1559" s="631"/>
      <c r="R1559" s="631"/>
      <c r="S1559" s="631"/>
      <c r="T1559" s="631"/>
      <c r="U1559" s="631"/>
      <c r="V1559" s="631"/>
      <c r="W1559" s="631"/>
      <c r="X1559" s="631"/>
      <c r="Y1559" s="631"/>
      <c r="Z1559" s="631"/>
      <c r="AA1559" s="631"/>
      <c r="AB1559" s="631"/>
      <c r="AC1559" s="631"/>
    </row>
    <row r="1560">
      <c r="A1560" s="631"/>
      <c r="B1560" s="694"/>
      <c r="C1560" s="694"/>
      <c r="D1560" s="694"/>
      <c r="E1560" s="694"/>
      <c r="F1560" s="631"/>
      <c r="G1560" s="631"/>
      <c r="H1560" s="631"/>
      <c r="I1560" s="579"/>
      <c r="J1560" s="579"/>
      <c r="K1560" s="694"/>
      <c r="L1560" s="579"/>
      <c r="M1560" s="579"/>
      <c r="N1560" s="579"/>
      <c r="O1560" s="631"/>
      <c r="P1560" s="631"/>
      <c r="Q1560" s="631"/>
      <c r="R1560" s="631"/>
      <c r="S1560" s="631"/>
      <c r="T1560" s="631"/>
      <c r="U1560" s="631"/>
      <c r="V1560" s="631"/>
      <c r="W1560" s="631"/>
      <c r="X1560" s="631"/>
      <c r="Y1560" s="631"/>
      <c r="Z1560" s="631"/>
      <c r="AA1560" s="631"/>
      <c r="AB1560" s="631"/>
      <c r="AC1560" s="631"/>
    </row>
    <row r="1561">
      <c r="A1561" s="631"/>
      <c r="B1561" s="694"/>
      <c r="C1561" s="694"/>
      <c r="D1561" s="694"/>
      <c r="E1561" s="694"/>
      <c r="F1561" s="631"/>
      <c r="G1561" s="631"/>
      <c r="H1561" s="631"/>
      <c r="I1561" s="579"/>
      <c r="J1561" s="579"/>
      <c r="K1561" s="694"/>
      <c r="L1561" s="579"/>
      <c r="M1561" s="579"/>
      <c r="N1561" s="579"/>
      <c r="O1561" s="631"/>
      <c r="P1561" s="631"/>
      <c r="Q1561" s="631"/>
      <c r="R1561" s="631"/>
      <c r="S1561" s="631"/>
      <c r="T1561" s="631"/>
      <c r="U1561" s="631"/>
      <c r="V1561" s="631"/>
      <c r="W1561" s="631"/>
      <c r="X1561" s="631"/>
      <c r="Y1561" s="631"/>
      <c r="Z1561" s="631"/>
      <c r="AA1561" s="631"/>
      <c r="AB1561" s="631"/>
      <c r="AC1561" s="631"/>
    </row>
    <row r="1562">
      <c r="A1562" s="631"/>
      <c r="B1562" s="694"/>
      <c r="C1562" s="694"/>
      <c r="D1562" s="694"/>
      <c r="E1562" s="694"/>
      <c r="F1562" s="631"/>
      <c r="G1562" s="631"/>
      <c r="H1562" s="631"/>
      <c r="I1562" s="579"/>
      <c r="J1562" s="579"/>
      <c r="K1562" s="694"/>
      <c r="L1562" s="579"/>
      <c r="M1562" s="579"/>
      <c r="N1562" s="579"/>
      <c r="O1562" s="631"/>
      <c r="P1562" s="631"/>
      <c r="Q1562" s="631"/>
      <c r="R1562" s="631"/>
      <c r="S1562" s="631"/>
      <c r="T1562" s="631"/>
      <c r="U1562" s="631"/>
      <c r="V1562" s="631"/>
      <c r="W1562" s="631"/>
      <c r="X1562" s="631"/>
      <c r="Y1562" s="631"/>
      <c r="Z1562" s="631"/>
      <c r="AA1562" s="631"/>
      <c r="AB1562" s="631"/>
      <c r="AC1562" s="631"/>
    </row>
    <row r="1563">
      <c r="A1563" s="631"/>
      <c r="B1563" s="694"/>
      <c r="C1563" s="694"/>
      <c r="D1563" s="694"/>
      <c r="E1563" s="694"/>
      <c r="F1563" s="631"/>
      <c r="G1563" s="631"/>
      <c r="H1563" s="631"/>
      <c r="I1563" s="579"/>
      <c r="J1563" s="579"/>
      <c r="K1563" s="694"/>
      <c r="L1563" s="579"/>
      <c r="M1563" s="579"/>
      <c r="N1563" s="579"/>
      <c r="O1563" s="631"/>
      <c r="P1563" s="631"/>
      <c r="Q1563" s="631"/>
      <c r="R1563" s="631"/>
      <c r="S1563" s="631"/>
      <c r="T1563" s="631"/>
      <c r="U1563" s="631"/>
      <c r="V1563" s="631"/>
      <c r="W1563" s="631"/>
      <c r="X1563" s="631"/>
      <c r="Y1563" s="631"/>
      <c r="Z1563" s="631"/>
      <c r="AA1563" s="631"/>
      <c r="AB1563" s="631"/>
      <c r="AC1563" s="631"/>
    </row>
    <row r="1564">
      <c r="A1564" s="631"/>
      <c r="B1564" s="694"/>
      <c r="C1564" s="694"/>
      <c r="D1564" s="694"/>
      <c r="E1564" s="694"/>
      <c r="F1564" s="631"/>
      <c r="G1564" s="631"/>
      <c r="H1564" s="631"/>
      <c r="I1564" s="579"/>
      <c r="J1564" s="579"/>
      <c r="K1564" s="694"/>
      <c r="L1564" s="579"/>
      <c r="M1564" s="579"/>
      <c r="N1564" s="579"/>
      <c r="O1564" s="631"/>
      <c r="P1564" s="631"/>
      <c r="Q1564" s="631"/>
      <c r="R1564" s="631"/>
      <c r="S1564" s="631"/>
      <c r="T1564" s="631"/>
      <c r="U1564" s="631"/>
      <c r="V1564" s="631"/>
      <c r="W1564" s="631"/>
      <c r="X1564" s="631"/>
      <c r="Y1564" s="631"/>
      <c r="Z1564" s="631"/>
      <c r="AA1564" s="631"/>
      <c r="AB1564" s="631"/>
      <c r="AC1564" s="631"/>
    </row>
    <row r="1565">
      <c r="A1565" s="631"/>
      <c r="B1565" s="694"/>
      <c r="C1565" s="694"/>
      <c r="D1565" s="694"/>
      <c r="E1565" s="694"/>
      <c r="F1565" s="631"/>
      <c r="G1565" s="631"/>
      <c r="H1565" s="631"/>
      <c r="I1565" s="579"/>
      <c r="J1565" s="579"/>
      <c r="K1565" s="694"/>
      <c r="L1565" s="579"/>
      <c r="M1565" s="579"/>
      <c r="N1565" s="579"/>
      <c r="O1565" s="631"/>
      <c r="P1565" s="631"/>
      <c r="Q1565" s="631"/>
      <c r="R1565" s="631"/>
      <c r="S1565" s="631"/>
      <c r="T1565" s="631"/>
      <c r="U1565" s="631"/>
      <c r="V1565" s="631"/>
      <c r="W1565" s="631"/>
      <c r="X1565" s="631"/>
      <c r="Y1565" s="631"/>
      <c r="Z1565" s="631"/>
      <c r="AA1565" s="631"/>
      <c r="AB1565" s="631"/>
      <c r="AC1565" s="631"/>
    </row>
    <row r="1566">
      <c r="A1566" s="631"/>
      <c r="B1566" s="694"/>
      <c r="C1566" s="694"/>
      <c r="D1566" s="694"/>
      <c r="E1566" s="694"/>
      <c r="F1566" s="631"/>
      <c r="G1566" s="631"/>
      <c r="H1566" s="631"/>
      <c r="I1566" s="579"/>
      <c r="J1566" s="579"/>
      <c r="K1566" s="694"/>
      <c r="L1566" s="579"/>
      <c r="M1566" s="579"/>
      <c r="N1566" s="579"/>
      <c r="O1566" s="631"/>
      <c r="P1566" s="631"/>
      <c r="Q1566" s="631"/>
      <c r="R1566" s="631"/>
      <c r="S1566" s="631"/>
      <c r="T1566" s="631"/>
      <c r="U1566" s="631"/>
      <c r="V1566" s="631"/>
      <c r="W1566" s="631"/>
      <c r="X1566" s="631"/>
      <c r="Y1566" s="631"/>
      <c r="Z1566" s="631"/>
      <c r="AA1566" s="631"/>
      <c r="AB1566" s="631"/>
      <c r="AC1566" s="631"/>
    </row>
    <row r="1567">
      <c r="A1567" s="631"/>
      <c r="B1567" s="694"/>
      <c r="C1567" s="694"/>
      <c r="D1567" s="694"/>
      <c r="E1567" s="694"/>
      <c r="F1567" s="631"/>
      <c r="G1567" s="631"/>
      <c r="H1567" s="631"/>
      <c r="I1567" s="579"/>
      <c r="J1567" s="579"/>
      <c r="K1567" s="694"/>
      <c r="L1567" s="579"/>
      <c r="M1567" s="579"/>
      <c r="N1567" s="579"/>
      <c r="O1567" s="631"/>
      <c r="P1567" s="631"/>
      <c r="Q1567" s="631"/>
      <c r="R1567" s="631"/>
      <c r="S1567" s="631"/>
      <c r="T1567" s="631"/>
      <c r="U1567" s="631"/>
      <c r="V1567" s="631"/>
      <c r="W1567" s="631"/>
      <c r="X1567" s="631"/>
      <c r="Y1567" s="631"/>
      <c r="Z1567" s="631"/>
      <c r="AA1567" s="631"/>
      <c r="AB1567" s="631"/>
      <c r="AC1567" s="631"/>
    </row>
    <row r="1568">
      <c r="A1568" s="631"/>
      <c r="B1568" s="694"/>
      <c r="C1568" s="694"/>
      <c r="D1568" s="694"/>
      <c r="E1568" s="694"/>
      <c r="F1568" s="631"/>
      <c r="G1568" s="631"/>
      <c r="H1568" s="631"/>
      <c r="I1568" s="579"/>
      <c r="J1568" s="579"/>
      <c r="K1568" s="694"/>
      <c r="L1568" s="579"/>
      <c r="M1568" s="579"/>
      <c r="N1568" s="579"/>
      <c r="O1568" s="631"/>
      <c r="P1568" s="631"/>
      <c r="Q1568" s="631"/>
      <c r="R1568" s="631"/>
      <c r="S1568" s="631"/>
      <c r="T1568" s="631"/>
      <c r="U1568" s="631"/>
      <c r="V1568" s="631"/>
      <c r="W1568" s="631"/>
      <c r="X1568" s="631"/>
      <c r="Y1568" s="631"/>
      <c r="Z1568" s="631"/>
      <c r="AA1568" s="631"/>
      <c r="AB1568" s="631"/>
      <c r="AC1568" s="631"/>
    </row>
    <row r="1569">
      <c r="A1569" s="631"/>
      <c r="B1569" s="694"/>
      <c r="C1569" s="694"/>
      <c r="D1569" s="694"/>
      <c r="E1569" s="694"/>
      <c r="F1569" s="631"/>
      <c r="G1569" s="631"/>
      <c r="H1569" s="631"/>
      <c r="I1569" s="579"/>
      <c r="J1569" s="579"/>
      <c r="K1569" s="694"/>
      <c r="L1569" s="579"/>
      <c r="M1569" s="579"/>
      <c r="N1569" s="579"/>
      <c r="O1569" s="631"/>
      <c r="P1569" s="631"/>
      <c r="Q1569" s="631"/>
      <c r="R1569" s="631"/>
      <c r="S1569" s="631"/>
      <c r="T1569" s="631"/>
      <c r="U1569" s="631"/>
      <c r="V1569" s="631"/>
      <c r="W1569" s="631"/>
      <c r="X1569" s="631"/>
      <c r="Y1569" s="631"/>
      <c r="Z1569" s="631"/>
      <c r="AA1569" s="631"/>
      <c r="AB1569" s="631"/>
      <c r="AC1569" s="631"/>
    </row>
    <row r="1570">
      <c r="A1570" s="631"/>
      <c r="B1570" s="694"/>
      <c r="C1570" s="694"/>
      <c r="D1570" s="694"/>
      <c r="E1570" s="694"/>
      <c r="F1570" s="631"/>
      <c r="G1570" s="631"/>
      <c r="H1570" s="631"/>
      <c r="I1570" s="579"/>
      <c r="J1570" s="579"/>
      <c r="K1570" s="694"/>
      <c r="L1570" s="579"/>
      <c r="M1570" s="579"/>
      <c r="N1570" s="579"/>
      <c r="O1570" s="631"/>
      <c r="P1570" s="631"/>
      <c r="Q1570" s="631"/>
      <c r="R1570" s="631"/>
      <c r="S1570" s="631"/>
      <c r="T1570" s="631"/>
      <c r="U1570" s="631"/>
      <c r="V1570" s="631"/>
      <c r="W1570" s="631"/>
      <c r="X1570" s="631"/>
      <c r="Y1570" s="631"/>
      <c r="Z1570" s="631"/>
      <c r="AA1570" s="631"/>
      <c r="AB1570" s="631"/>
      <c r="AC1570" s="631"/>
    </row>
    <row r="1571">
      <c r="A1571" s="631"/>
      <c r="B1571" s="694"/>
      <c r="C1571" s="694"/>
      <c r="D1571" s="694"/>
      <c r="E1571" s="694"/>
      <c r="F1571" s="631"/>
      <c r="G1571" s="631"/>
      <c r="H1571" s="631"/>
      <c r="I1571" s="579"/>
      <c r="J1571" s="579"/>
      <c r="K1571" s="694"/>
      <c r="L1571" s="579"/>
      <c r="M1571" s="579"/>
      <c r="N1571" s="579"/>
      <c r="O1571" s="631"/>
      <c r="P1571" s="631"/>
      <c r="Q1571" s="631"/>
      <c r="R1571" s="631"/>
      <c r="S1571" s="631"/>
      <c r="T1571" s="631"/>
      <c r="U1571" s="631"/>
      <c r="V1571" s="631"/>
      <c r="W1571" s="631"/>
      <c r="X1571" s="631"/>
      <c r="Y1571" s="631"/>
      <c r="Z1571" s="631"/>
      <c r="AA1571" s="631"/>
      <c r="AB1571" s="631"/>
      <c r="AC1571" s="631"/>
    </row>
    <row r="1572">
      <c r="A1572" s="631"/>
      <c r="B1572" s="694"/>
      <c r="C1572" s="694"/>
      <c r="D1572" s="694"/>
      <c r="E1572" s="694"/>
      <c r="F1572" s="631"/>
      <c r="G1572" s="631"/>
      <c r="H1572" s="631"/>
      <c r="I1572" s="579"/>
      <c r="J1572" s="579"/>
      <c r="K1572" s="694"/>
      <c r="L1572" s="579"/>
      <c r="M1572" s="579"/>
      <c r="N1572" s="579"/>
      <c r="O1572" s="631"/>
      <c r="P1572" s="631"/>
      <c r="Q1572" s="631"/>
      <c r="R1572" s="631"/>
      <c r="S1572" s="631"/>
      <c r="T1572" s="631"/>
      <c r="U1572" s="631"/>
      <c r="V1572" s="631"/>
      <c r="W1572" s="631"/>
      <c r="X1572" s="631"/>
      <c r="Y1572" s="631"/>
      <c r="Z1572" s="631"/>
      <c r="AA1572" s="631"/>
      <c r="AB1572" s="631"/>
      <c r="AC1572" s="631"/>
    </row>
    <row r="1573">
      <c r="A1573" s="631"/>
      <c r="B1573" s="694"/>
      <c r="C1573" s="694"/>
      <c r="D1573" s="694"/>
      <c r="E1573" s="694"/>
      <c r="F1573" s="631"/>
      <c r="G1573" s="631"/>
      <c r="H1573" s="631"/>
      <c r="I1573" s="579"/>
      <c r="J1573" s="579"/>
      <c r="K1573" s="694"/>
      <c r="L1573" s="579"/>
      <c r="M1573" s="579"/>
      <c r="N1573" s="579"/>
      <c r="O1573" s="631"/>
      <c r="P1573" s="631"/>
      <c r="Q1573" s="631"/>
      <c r="R1573" s="631"/>
      <c r="S1573" s="631"/>
      <c r="T1573" s="631"/>
      <c r="U1573" s="631"/>
      <c r="V1573" s="631"/>
      <c r="W1573" s="631"/>
      <c r="X1573" s="631"/>
      <c r="Y1573" s="631"/>
      <c r="Z1573" s="631"/>
      <c r="AA1573" s="631"/>
      <c r="AB1573" s="631"/>
      <c r="AC1573" s="631"/>
    </row>
    <row r="1574">
      <c r="A1574" s="631"/>
      <c r="B1574" s="694"/>
      <c r="C1574" s="694"/>
      <c r="D1574" s="694"/>
      <c r="E1574" s="694"/>
      <c r="F1574" s="631"/>
      <c r="G1574" s="631"/>
      <c r="H1574" s="631"/>
      <c r="I1574" s="579"/>
      <c r="J1574" s="579"/>
      <c r="K1574" s="694"/>
      <c r="L1574" s="579"/>
      <c r="M1574" s="579"/>
      <c r="N1574" s="579"/>
      <c r="O1574" s="631"/>
      <c r="P1574" s="631"/>
      <c r="Q1574" s="631"/>
      <c r="R1574" s="631"/>
      <c r="S1574" s="631"/>
      <c r="T1574" s="631"/>
      <c r="U1574" s="631"/>
      <c r="V1574" s="631"/>
      <c r="W1574" s="631"/>
      <c r="X1574" s="631"/>
      <c r="Y1574" s="631"/>
      <c r="Z1574" s="631"/>
      <c r="AA1574" s="631"/>
      <c r="AB1574" s="631"/>
      <c r="AC1574" s="631"/>
    </row>
    <row r="1575">
      <c r="A1575" s="631"/>
      <c r="B1575" s="694"/>
      <c r="C1575" s="694"/>
      <c r="D1575" s="694"/>
      <c r="E1575" s="694"/>
      <c r="F1575" s="631"/>
      <c r="G1575" s="631"/>
      <c r="H1575" s="631"/>
      <c r="I1575" s="579"/>
      <c r="J1575" s="579"/>
      <c r="K1575" s="694"/>
      <c r="L1575" s="579"/>
      <c r="M1575" s="579"/>
      <c r="N1575" s="579"/>
      <c r="O1575" s="631"/>
      <c r="P1575" s="631"/>
      <c r="Q1575" s="631"/>
      <c r="R1575" s="631"/>
      <c r="S1575" s="631"/>
      <c r="T1575" s="631"/>
      <c r="U1575" s="631"/>
      <c r="V1575" s="631"/>
      <c r="W1575" s="631"/>
      <c r="X1575" s="631"/>
      <c r="Y1575" s="631"/>
      <c r="Z1575" s="631"/>
      <c r="AA1575" s="631"/>
      <c r="AB1575" s="631"/>
      <c r="AC1575" s="631"/>
    </row>
    <row r="1576">
      <c r="A1576" s="631"/>
      <c r="B1576" s="694"/>
      <c r="C1576" s="694"/>
      <c r="D1576" s="694"/>
      <c r="E1576" s="694"/>
      <c r="F1576" s="631"/>
      <c r="G1576" s="631"/>
      <c r="H1576" s="631"/>
      <c r="I1576" s="579"/>
      <c r="J1576" s="579"/>
      <c r="K1576" s="694"/>
      <c r="L1576" s="579"/>
      <c r="M1576" s="579"/>
      <c r="N1576" s="579"/>
      <c r="O1576" s="631"/>
      <c r="P1576" s="631"/>
      <c r="Q1576" s="631"/>
      <c r="R1576" s="631"/>
      <c r="S1576" s="631"/>
      <c r="T1576" s="631"/>
      <c r="U1576" s="631"/>
      <c r="V1576" s="631"/>
      <c r="W1576" s="631"/>
      <c r="X1576" s="631"/>
      <c r="Y1576" s="631"/>
      <c r="Z1576" s="631"/>
      <c r="AA1576" s="631"/>
      <c r="AB1576" s="631"/>
      <c r="AC1576" s="631"/>
    </row>
    <row r="1577">
      <c r="A1577" s="631"/>
      <c r="B1577" s="694"/>
      <c r="C1577" s="694"/>
      <c r="D1577" s="694"/>
      <c r="E1577" s="694"/>
      <c r="F1577" s="631"/>
      <c r="G1577" s="631"/>
      <c r="H1577" s="631"/>
      <c r="I1577" s="579"/>
      <c r="J1577" s="579"/>
      <c r="K1577" s="694"/>
      <c r="L1577" s="579"/>
      <c r="M1577" s="579"/>
      <c r="N1577" s="579"/>
      <c r="O1577" s="631"/>
      <c r="P1577" s="631"/>
      <c r="Q1577" s="631"/>
      <c r="R1577" s="631"/>
      <c r="S1577" s="631"/>
      <c r="T1577" s="631"/>
      <c r="U1577" s="631"/>
      <c r="V1577" s="631"/>
      <c r="W1577" s="631"/>
      <c r="X1577" s="631"/>
      <c r="Y1577" s="631"/>
      <c r="Z1577" s="631"/>
      <c r="AA1577" s="631"/>
      <c r="AB1577" s="631"/>
      <c r="AC1577" s="631"/>
    </row>
    <row r="1578">
      <c r="A1578" s="631"/>
      <c r="B1578" s="694"/>
      <c r="C1578" s="694"/>
      <c r="D1578" s="694"/>
      <c r="E1578" s="694"/>
      <c r="F1578" s="631"/>
      <c r="G1578" s="631"/>
      <c r="H1578" s="631"/>
      <c r="I1578" s="579"/>
      <c r="J1578" s="579"/>
      <c r="K1578" s="694"/>
      <c r="L1578" s="579"/>
      <c r="M1578" s="579"/>
      <c r="N1578" s="579"/>
      <c r="O1578" s="631"/>
      <c r="P1578" s="631"/>
      <c r="Q1578" s="631"/>
      <c r="R1578" s="631"/>
      <c r="S1578" s="631"/>
      <c r="T1578" s="631"/>
      <c r="U1578" s="631"/>
      <c r="V1578" s="631"/>
      <c r="W1578" s="631"/>
      <c r="X1578" s="631"/>
      <c r="Y1578" s="631"/>
      <c r="Z1578" s="631"/>
      <c r="AA1578" s="631"/>
      <c r="AB1578" s="631"/>
      <c r="AC1578" s="631"/>
    </row>
    <row r="1579">
      <c r="A1579" s="631"/>
      <c r="B1579" s="694"/>
      <c r="C1579" s="694"/>
      <c r="D1579" s="694"/>
      <c r="E1579" s="694"/>
      <c r="F1579" s="631"/>
      <c r="G1579" s="631"/>
      <c r="H1579" s="631"/>
      <c r="I1579" s="579"/>
      <c r="J1579" s="579"/>
      <c r="K1579" s="694"/>
      <c r="L1579" s="579"/>
      <c r="M1579" s="579"/>
      <c r="N1579" s="579"/>
      <c r="O1579" s="631"/>
      <c r="P1579" s="631"/>
      <c r="Q1579" s="631"/>
      <c r="R1579" s="631"/>
      <c r="S1579" s="631"/>
      <c r="T1579" s="631"/>
      <c r="U1579" s="631"/>
      <c r="V1579" s="631"/>
      <c r="W1579" s="631"/>
      <c r="X1579" s="631"/>
      <c r="Y1579" s="631"/>
      <c r="Z1579" s="631"/>
      <c r="AA1579" s="631"/>
      <c r="AB1579" s="631"/>
      <c r="AC1579" s="631"/>
    </row>
    <row r="1580">
      <c r="A1580" s="631"/>
      <c r="B1580" s="694"/>
      <c r="C1580" s="694"/>
      <c r="D1580" s="694"/>
      <c r="E1580" s="694"/>
      <c r="F1580" s="631"/>
      <c r="G1580" s="631"/>
      <c r="H1580" s="631"/>
      <c r="I1580" s="579"/>
      <c r="J1580" s="579"/>
      <c r="K1580" s="694"/>
      <c r="L1580" s="579"/>
      <c r="M1580" s="579"/>
      <c r="N1580" s="579"/>
      <c r="O1580" s="631"/>
      <c r="P1580" s="631"/>
      <c r="Q1580" s="631"/>
      <c r="R1580" s="631"/>
      <c r="S1580" s="631"/>
      <c r="T1580" s="631"/>
      <c r="U1580" s="631"/>
      <c r="V1580" s="631"/>
      <c r="W1580" s="631"/>
      <c r="X1580" s="631"/>
      <c r="Y1580" s="631"/>
      <c r="Z1580" s="631"/>
      <c r="AA1580" s="631"/>
      <c r="AB1580" s="631"/>
      <c r="AC1580" s="631"/>
    </row>
    <row r="1581">
      <c r="A1581" s="631"/>
      <c r="B1581" s="694"/>
      <c r="C1581" s="694"/>
      <c r="D1581" s="694"/>
      <c r="E1581" s="694"/>
      <c r="F1581" s="631"/>
      <c r="G1581" s="631"/>
      <c r="H1581" s="631"/>
      <c r="I1581" s="579"/>
      <c r="J1581" s="579"/>
      <c r="K1581" s="694"/>
      <c r="L1581" s="579"/>
      <c r="M1581" s="579"/>
      <c r="N1581" s="579"/>
      <c r="O1581" s="631"/>
      <c r="P1581" s="631"/>
      <c r="Q1581" s="631"/>
      <c r="R1581" s="631"/>
      <c r="S1581" s="631"/>
      <c r="T1581" s="631"/>
      <c r="U1581" s="631"/>
      <c r="V1581" s="631"/>
      <c r="W1581" s="631"/>
      <c r="X1581" s="631"/>
      <c r="Y1581" s="631"/>
      <c r="Z1581" s="631"/>
      <c r="AA1581" s="631"/>
      <c r="AB1581" s="631"/>
      <c r="AC1581" s="631"/>
    </row>
    <row r="1582">
      <c r="A1582" s="631"/>
      <c r="B1582" s="694"/>
      <c r="C1582" s="694"/>
      <c r="D1582" s="694"/>
      <c r="E1582" s="694"/>
      <c r="F1582" s="631"/>
      <c r="G1582" s="631"/>
      <c r="H1582" s="631"/>
      <c r="I1582" s="579"/>
      <c r="J1582" s="579"/>
      <c r="K1582" s="694"/>
      <c r="L1582" s="579"/>
      <c r="M1582" s="579"/>
      <c r="N1582" s="579"/>
      <c r="O1582" s="631"/>
      <c r="P1582" s="631"/>
      <c r="Q1582" s="631"/>
      <c r="R1582" s="631"/>
      <c r="S1582" s="631"/>
      <c r="T1582" s="631"/>
      <c r="U1582" s="631"/>
      <c r="V1582" s="631"/>
      <c r="W1582" s="631"/>
      <c r="X1582" s="631"/>
      <c r="Y1582" s="631"/>
      <c r="Z1582" s="631"/>
      <c r="AA1582" s="631"/>
      <c r="AB1582" s="631"/>
      <c r="AC1582" s="631"/>
    </row>
    <row r="1583">
      <c r="A1583" s="631"/>
      <c r="B1583" s="694"/>
      <c r="C1583" s="694"/>
      <c r="D1583" s="694"/>
      <c r="E1583" s="694"/>
      <c r="F1583" s="631"/>
      <c r="G1583" s="631"/>
      <c r="H1583" s="631"/>
      <c r="I1583" s="579"/>
      <c r="J1583" s="579"/>
      <c r="K1583" s="694"/>
      <c r="L1583" s="579"/>
      <c r="M1583" s="579"/>
      <c r="N1583" s="579"/>
      <c r="O1583" s="631"/>
      <c r="P1583" s="631"/>
      <c r="Q1583" s="631"/>
      <c r="R1583" s="631"/>
      <c r="S1583" s="631"/>
      <c r="T1583" s="631"/>
      <c r="U1583" s="631"/>
      <c r="V1583" s="631"/>
      <c r="W1583" s="631"/>
      <c r="X1583" s="631"/>
      <c r="Y1583" s="631"/>
      <c r="Z1583" s="631"/>
      <c r="AA1583" s="631"/>
      <c r="AB1583" s="631"/>
      <c r="AC1583" s="631"/>
    </row>
    <row r="1584">
      <c r="A1584" s="631"/>
      <c r="B1584" s="694"/>
      <c r="C1584" s="694"/>
      <c r="D1584" s="694"/>
      <c r="E1584" s="694"/>
      <c r="F1584" s="631"/>
      <c r="G1584" s="631"/>
      <c r="H1584" s="631"/>
      <c r="I1584" s="579"/>
      <c r="J1584" s="579"/>
      <c r="K1584" s="694"/>
      <c r="L1584" s="579"/>
      <c r="M1584" s="579"/>
      <c r="N1584" s="579"/>
      <c r="O1584" s="631"/>
      <c r="P1584" s="631"/>
      <c r="Q1584" s="631"/>
      <c r="R1584" s="631"/>
      <c r="S1584" s="631"/>
      <c r="T1584" s="631"/>
      <c r="U1584" s="631"/>
      <c r="V1584" s="631"/>
      <c r="W1584" s="631"/>
      <c r="X1584" s="631"/>
      <c r="Y1584" s="631"/>
      <c r="Z1584" s="631"/>
      <c r="AA1584" s="631"/>
      <c r="AB1584" s="631"/>
      <c r="AC1584" s="631"/>
    </row>
    <row r="1585">
      <c r="A1585" s="631"/>
      <c r="B1585" s="694"/>
      <c r="C1585" s="694"/>
      <c r="D1585" s="694"/>
      <c r="E1585" s="694"/>
      <c r="F1585" s="631"/>
      <c r="G1585" s="631"/>
      <c r="H1585" s="631"/>
      <c r="I1585" s="579"/>
      <c r="J1585" s="579"/>
      <c r="K1585" s="694"/>
      <c r="L1585" s="579"/>
      <c r="M1585" s="579"/>
      <c r="N1585" s="579"/>
      <c r="O1585" s="631"/>
      <c r="P1585" s="631"/>
      <c r="Q1585" s="631"/>
      <c r="R1585" s="631"/>
      <c r="S1585" s="631"/>
      <c r="T1585" s="631"/>
      <c r="U1585" s="631"/>
      <c r="V1585" s="631"/>
      <c r="W1585" s="631"/>
      <c r="X1585" s="631"/>
      <c r="Y1585" s="631"/>
      <c r="Z1585" s="631"/>
      <c r="AA1585" s="631"/>
      <c r="AB1585" s="631"/>
      <c r="AC1585" s="631"/>
    </row>
    <row r="1586">
      <c r="A1586" s="631"/>
      <c r="B1586" s="694"/>
      <c r="C1586" s="694"/>
      <c r="D1586" s="694"/>
      <c r="E1586" s="694"/>
      <c r="F1586" s="631"/>
      <c r="G1586" s="631"/>
      <c r="H1586" s="631"/>
      <c r="I1586" s="579"/>
      <c r="J1586" s="579"/>
      <c r="K1586" s="694"/>
      <c r="L1586" s="579"/>
      <c r="M1586" s="579"/>
      <c r="N1586" s="579"/>
      <c r="O1586" s="631"/>
      <c r="P1586" s="631"/>
      <c r="Q1586" s="631"/>
      <c r="R1586" s="631"/>
      <c r="S1586" s="631"/>
      <c r="T1586" s="631"/>
      <c r="U1586" s="631"/>
      <c r="V1586" s="631"/>
      <c r="W1586" s="631"/>
      <c r="X1586" s="631"/>
      <c r="Y1586" s="631"/>
      <c r="Z1586" s="631"/>
      <c r="AA1586" s="631"/>
      <c r="AB1586" s="631"/>
      <c r="AC1586" s="631"/>
    </row>
    <row r="1587">
      <c r="A1587" s="631"/>
      <c r="B1587" s="694"/>
      <c r="C1587" s="694"/>
      <c r="D1587" s="694"/>
      <c r="E1587" s="694"/>
      <c r="F1587" s="631"/>
      <c r="G1587" s="631"/>
      <c r="H1587" s="631"/>
      <c r="I1587" s="579"/>
      <c r="J1587" s="579"/>
      <c r="K1587" s="694"/>
      <c r="L1587" s="579"/>
      <c r="M1587" s="579"/>
      <c r="N1587" s="579"/>
      <c r="O1587" s="631"/>
      <c r="P1587" s="631"/>
      <c r="Q1587" s="631"/>
      <c r="R1587" s="631"/>
      <c r="S1587" s="631"/>
      <c r="T1587" s="631"/>
      <c r="U1587" s="631"/>
      <c r="V1587" s="631"/>
      <c r="W1587" s="631"/>
      <c r="X1587" s="631"/>
      <c r="Y1587" s="631"/>
      <c r="Z1587" s="631"/>
      <c r="AA1587" s="631"/>
      <c r="AB1587" s="631"/>
      <c r="AC1587" s="631"/>
    </row>
    <row r="1588">
      <c r="A1588" s="631"/>
      <c r="B1588" s="694"/>
      <c r="C1588" s="694"/>
      <c r="D1588" s="694"/>
      <c r="E1588" s="694"/>
      <c r="F1588" s="631"/>
      <c r="G1588" s="631"/>
      <c r="H1588" s="631"/>
      <c r="I1588" s="579"/>
      <c r="J1588" s="579"/>
      <c r="K1588" s="694"/>
      <c r="L1588" s="579"/>
      <c r="M1588" s="579"/>
      <c r="N1588" s="579"/>
      <c r="O1588" s="631"/>
      <c r="P1588" s="631"/>
      <c r="Q1588" s="631"/>
      <c r="R1588" s="631"/>
      <c r="S1588" s="631"/>
      <c r="T1588" s="631"/>
      <c r="U1588" s="631"/>
      <c r="V1588" s="631"/>
      <c r="W1588" s="631"/>
      <c r="X1588" s="631"/>
      <c r="Y1588" s="631"/>
      <c r="Z1588" s="631"/>
      <c r="AA1588" s="631"/>
      <c r="AB1588" s="631"/>
      <c r="AC1588" s="631"/>
    </row>
    <row r="1589">
      <c r="A1589" s="631"/>
      <c r="B1589" s="694"/>
      <c r="C1589" s="694"/>
      <c r="D1589" s="694"/>
      <c r="E1589" s="694"/>
      <c r="F1589" s="631"/>
      <c r="G1589" s="631"/>
      <c r="H1589" s="631"/>
      <c r="I1589" s="579"/>
      <c r="J1589" s="579"/>
      <c r="K1589" s="694"/>
      <c r="L1589" s="579"/>
      <c r="M1589" s="579"/>
      <c r="N1589" s="579"/>
      <c r="O1589" s="631"/>
      <c r="P1589" s="631"/>
      <c r="Q1589" s="631"/>
      <c r="R1589" s="631"/>
      <c r="S1589" s="631"/>
      <c r="T1589" s="631"/>
      <c r="U1589" s="631"/>
      <c r="V1589" s="631"/>
      <c r="W1589" s="631"/>
      <c r="X1589" s="631"/>
      <c r="Y1589" s="631"/>
      <c r="Z1589" s="631"/>
      <c r="AA1589" s="631"/>
      <c r="AB1589" s="631"/>
      <c r="AC1589" s="631"/>
    </row>
    <row r="1590">
      <c r="A1590" s="631"/>
      <c r="B1590" s="694"/>
      <c r="C1590" s="694"/>
      <c r="D1590" s="694"/>
      <c r="E1590" s="694"/>
      <c r="F1590" s="631"/>
      <c r="G1590" s="631"/>
      <c r="H1590" s="631"/>
      <c r="I1590" s="579"/>
      <c r="J1590" s="579"/>
      <c r="K1590" s="694"/>
      <c r="L1590" s="579"/>
      <c r="M1590" s="579"/>
      <c r="N1590" s="579"/>
      <c r="O1590" s="631"/>
      <c r="P1590" s="631"/>
      <c r="Q1590" s="631"/>
      <c r="R1590" s="631"/>
      <c r="S1590" s="631"/>
      <c r="T1590" s="631"/>
      <c r="U1590" s="631"/>
      <c r="V1590" s="631"/>
      <c r="W1590" s="631"/>
      <c r="X1590" s="631"/>
      <c r="Y1590" s="631"/>
      <c r="Z1590" s="631"/>
      <c r="AA1590" s="631"/>
      <c r="AB1590" s="631"/>
      <c r="AC1590" s="631"/>
    </row>
    <row r="1591">
      <c r="A1591" s="631"/>
      <c r="B1591" s="694"/>
      <c r="C1591" s="694"/>
      <c r="D1591" s="694"/>
      <c r="E1591" s="694"/>
      <c r="F1591" s="631"/>
      <c r="G1591" s="631"/>
      <c r="H1591" s="631"/>
      <c r="I1591" s="579"/>
      <c r="J1591" s="579"/>
      <c r="K1591" s="694"/>
      <c r="L1591" s="579"/>
      <c r="M1591" s="579"/>
      <c r="N1591" s="579"/>
      <c r="O1591" s="631"/>
      <c r="P1591" s="631"/>
      <c r="Q1591" s="631"/>
      <c r="R1591" s="631"/>
      <c r="S1591" s="631"/>
      <c r="T1591" s="631"/>
      <c r="U1591" s="631"/>
      <c r="V1591" s="631"/>
      <c r="W1591" s="631"/>
      <c r="X1591" s="631"/>
      <c r="Y1591" s="631"/>
      <c r="Z1591" s="631"/>
      <c r="AA1591" s="631"/>
      <c r="AB1591" s="631"/>
      <c r="AC1591" s="631"/>
    </row>
    <row r="1592">
      <c r="A1592" s="631"/>
      <c r="B1592" s="694"/>
      <c r="C1592" s="694"/>
      <c r="D1592" s="694"/>
      <c r="E1592" s="694"/>
      <c r="F1592" s="631"/>
      <c r="G1592" s="631"/>
      <c r="H1592" s="631"/>
      <c r="I1592" s="579"/>
      <c r="J1592" s="579"/>
      <c r="K1592" s="694"/>
      <c r="L1592" s="579"/>
      <c r="M1592" s="579"/>
      <c r="N1592" s="579"/>
      <c r="O1592" s="631"/>
      <c r="P1592" s="631"/>
      <c r="Q1592" s="631"/>
      <c r="R1592" s="631"/>
      <c r="S1592" s="631"/>
      <c r="T1592" s="631"/>
      <c r="U1592" s="631"/>
      <c r="V1592" s="631"/>
      <c r="W1592" s="631"/>
      <c r="X1592" s="631"/>
      <c r="Y1592" s="631"/>
      <c r="Z1592" s="631"/>
      <c r="AA1592" s="631"/>
      <c r="AB1592" s="631"/>
      <c r="AC1592" s="631"/>
    </row>
    <row r="1593">
      <c r="A1593" s="631"/>
      <c r="B1593" s="694"/>
      <c r="C1593" s="694"/>
      <c r="D1593" s="694"/>
      <c r="E1593" s="694"/>
      <c r="F1593" s="631"/>
      <c r="G1593" s="631"/>
      <c r="H1593" s="631"/>
      <c r="I1593" s="579"/>
      <c r="J1593" s="579"/>
      <c r="K1593" s="694"/>
      <c r="L1593" s="579"/>
      <c r="M1593" s="579"/>
      <c r="N1593" s="579"/>
      <c r="O1593" s="631"/>
      <c r="P1593" s="631"/>
      <c r="Q1593" s="631"/>
      <c r="R1593" s="631"/>
      <c r="S1593" s="631"/>
      <c r="T1593" s="631"/>
      <c r="U1593" s="631"/>
      <c r="V1593" s="631"/>
      <c r="W1593" s="631"/>
      <c r="X1593" s="631"/>
      <c r="Y1593" s="631"/>
      <c r="Z1593" s="631"/>
      <c r="AA1593" s="631"/>
      <c r="AB1593" s="631"/>
      <c r="AC1593" s="631"/>
    </row>
    <row r="1594">
      <c r="A1594" s="631"/>
      <c r="B1594" s="694"/>
      <c r="C1594" s="694"/>
      <c r="D1594" s="694"/>
      <c r="E1594" s="694"/>
      <c r="F1594" s="631"/>
      <c r="G1594" s="631"/>
      <c r="H1594" s="631"/>
      <c r="I1594" s="579"/>
      <c r="J1594" s="579"/>
      <c r="K1594" s="694"/>
      <c r="L1594" s="579"/>
      <c r="M1594" s="579"/>
      <c r="N1594" s="579"/>
      <c r="O1594" s="631"/>
      <c r="P1594" s="631"/>
      <c r="Q1594" s="631"/>
      <c r="R1594" s="631"/>
      <c r="S1594" s="631"/>
      <c r="T1594" s="631"/>
      <c r="U1594" s="631"/>
      <c r="V1594" s="631"/>
      <c r="W1594" s="631"/>
      <c r="X1594" s="631"/>
      <c r="Y1594" s="631"/>
      <c r="Z1594" s="631"/>
      <c r="AA1594" s="631"/>
      <c r="AB1594" s="631"/>
      <c r="AC1594" s="631"/>
    </row>
    <row r="1595">
      <c r="A1595" s="631"/>
      <c r="B1595" s="694"/>
      <c r="C1595" s="694"/>
      <c r="D1595" s="694"/>
      <c r="E1595" s="694"/>
      <c r="F1595" s="631"/>
      <c r="G1595" s="631"/>
      <c r="H1595" s="631"/>
      <c r="I1595" s="579"/>
      <c r="J1595" s="579"/>
      <c r="K1595" s="694"/>
      <c r="L1595" s="579"/>
      <c r="M1595" s="579"/>
      <c r="N1595" s="579"/>
      <c r="O1595" s="631"/>
      <c r="P1595" s="631"/>
      <c r="Q1595" s="631"/>
      <c r="R1595" s="631"/>
      <c r="S1595" s="631"/>
      <c r="T1595" s="631"/>
      <c r="U1595" s="631"/>
      <c r="V1595" s="631"/>
      <c r="W1595" s="631"/>
      <c r="X1595" s="631"/>
      <c r="Y1595" s="631"/>
      <c r="Z1595" s="631"/>
      <c r="AA1595" s="631"/>
      <c r="AB1595" s="631"/>
      <c r="AC1595" s="631"/>
    </row>
    <row r="1596">
      <c r="A1596" s="631"/>
      <c r="B1596" s="694"/>
      <c r="C1596" s="694"/>
      <c r="D1596" s="694"/>
      <c r="E1596" s="694"/>
      <c r="F1596" s="631"/>
      <c r="G1596" s="631"/>
      <c r="H1596" s="631"/>
      <c r="I1596" s="579"/>
      <c r="J1596" s="579"/>
      <c r="K1596" s="694"/>
      <c r="L1596" s="579"/>
      <c r="M1596" s="579"/>
      <c r="N1596" s="579"/>
      <c r="O1596" s="631"/>
      <c r="P1596" s="631"/>
      <c r="Q1596" s="631"/>
      <c r="R1596" s="631"/>
      <c r="S1596" s="631"/>
      <c r="T1596" s="631"/>
      <c r="U1596" s="631"/>
      <c r="V1596" s="631"/>
      <c r="W1596" s="631"/>
      <c r="X1596" s="631"/>
      <c r="Y1596" s="631"/>
      <c r="Z1596" s="631"/>
      <c r="AA1596" s="631"/>
      <c r="AB1596" s="631"/>
      <c r="AC1596" s="631"/>
    </row>
    <row r="1597">
      <c r="A1597" s="631"/>
      <c r="B1597" s="694"/>
      <c r="C1597" s="694"/>
      <c r="D1597" s="694"/>
      <c r="E1597" s="694"/>
      <c r="F1597" s="631"/>
      <c r="G1597" s="631"/>
      <c r="H1597" s="631"/>
      <c r="I1597" s="579"/>
      <c r="J1597" s="579"/>
      <c r="K1597" s="694"/>
      <c r="L1597" s="579"/>
      <c r="M1597" s="579"/>
      <c r="N1597" s="579"/>
      <c r="O1597" s="631"/>
      <c r="P1597" s="631"/>
      <c r="Q1597" s="631"/>
      <c r="R1597" s="631"/>
      <c r="S1597" s="631"/>
      <c r="T1597" s="631"/>
      <c r="U1597" s="631"/>
      <c r="V1597" s="631"/>
      <c r="W1597" s="631"/>
      <c r="X1597" s="631"/>
      <c r="Y1597" s="631"/>
      <c r="Z1597" s="631"/>
      <c r="AA1597" s="631"/>
      <c r="AB1597" s="631"/>
      <c r="AC1597" s="631"/>
    </row>
    <row r="1598">
      <c r="A1598" s="631"/>
      <c r="B1598" s="694"/>
      <c r="C1598" s="694"/>
      <c r="D1598" s="694"/>
      <c r="E1598" s="694"/>
      <c r="F1598" s="631"/>
      <c r="G1598" s="631"/>
      <c r="H1598" s="631"/>
      <c r="I1598" s="579"/>
      <c r="J1598" s="579"/>
      <c r="K1598" s="694"/>
      <c r="L1598" s="579"/>
      <c r="M1598" s="579"/>
      <c r="N1598" s="579"/>
      <c r="O1598" s="631"/>
      <c r="P1598" s="631"/>
      <c r="Q1598" s="631"/>
      <c r="R1598" s="631"/>
      <c r="S1598" s="631"/>
      <c r="T1598" s="631"/>
      <c r="U1598" s="631"/>
      <c r="V1598" s="631"/>
      <c r="W1598" s="631"/>
      <c r="X1598" s="631"/>
      <c r="Y1598" s="631"/>
      <c r="Z1598" s="631"/>
      <c r="AA1598" s="631"/>
      <c r="AB1598" s="631"/>
      <c r="AC1598" s="631"/>
    </row>
    <row r="1599">
      <c r="A1599" s="631"/>
      <c r="B1599" s="694"/>
      <c r="C1599" s="694"/>
      <c r="D1599" s="694"/>
      <c r="E1599" s="694"/>
      <c r="F1599" s="631"/>
      <c r="G1599" s="631"/>
      <c r="H1599" s="631"/>
      <c r="I1599" s="579"/>
      <c r="J1599" s="579"/>
      <c r="K1599" s="694"/>
      <c r="L1599" s="579"/>
      <c r="M1599" s="579"/>
      <c r="N1599" s="579"/>
      <c r="O1599" s="631"/>
      <c r="P1599" s="631"/>
      <c r="Q1599" s="631"/>
      <c r="R1599" s="631"/>
      <c r="S1599" s="631"/>
      <c r="T1599" s="631"/>
      <c r="U1599" s="631"/>
      <c r="V1599" s="631"/>
      <c r="W1599" s="631"/>
      <c r="X1599" s="631"/>
      <c r="Y1599" s="631"/>
      <c r="Z1599" s="631"/>
      <c r="AA1599" s="631"/>
      <c r="AB1599" s="631"/>
      <c r="AC1599" s="631"/>
    </row>
    <row r="1600">
      <c r="A1600" s="631"/>
      <c r="B1600" s="694"/>
      <c r="C1600" s="694"/>
      <c r="D1600" s="694"/>
      <c r="E1600" s="694"/>
      <c r="F1600" s="631"/>
      <c r="G1600" s="631"/>
      <c r="H1600" s="631"/>
      <c r="I1600" s="579"/>
      <c r="J1600" s="579"/>
      <c r="K1600" s="694"/>
      <c r="L1600" s="579"/>
      <c r="M1600" s="579"/>
      <c r="N1600" s="579"/>
      <c r="O1600" s="631"/>
      <c r="P1600" s="631"/>
      <c r="Q1600" s="631"/>
      <c r="R1600" s="631"/>
      <c r="S1600" s="631"/>
      <c r="T1600" s="631"/>
      <c r="U1600" s="631"/>
      <c r="V1600" s="631"/>
      <c r="W1600" s="631"/>
      <c r="X1600" s="631"/>
      <c r="Y1600" s="631"/>
      <c r="Z1600" s="631"/>
      <c r="AA1600" s="631"/>
      <c r="AB1600" s="631"/>
      <c r="AC1600" s="631"/>
    </row>
    <row r="1601">
      <c r="A1601" s="631"/>
      <c r="B1601" s="694"/>
      <c r="C1601" s="694"/>
      <c r="D1601" s="694"/>
      <c r="E1601" s="694"/>
      <c r="F1601" s="631"/>
      <c r="G1601" s="631"/>
      <c r="H1601" s="631"/>
      <c r="I1601" s="579"/>
      <c r="J1601" s="579"/>
      <c r="K1601" s="694"/>
      <c r="L1601" s="579"/>
      <c r="M1601" s="579"/>
      <c r="N1601" s="579"/>
      <c r="O1601" s="631"/>
      <c r="P1601" s="631"/>
      <c r="Q1601" s="631"/>
      <c r="R1601" s="631"/>
      <c r="S1601" s="631"/>
      <c r="T1601" s="631"/>
      <c r="U1601" s="631"/>
      <c r="V1601" s="631"/>
      <c r="W1601" s="631"/>
      <c r="X1601" s="631"/>
      <c r="Y1601" s="631"/>
      <c r="Z1601" s="631"/>
      <c r="AA1601" s="631"/>
      <c r="AB1601" s="631"/>
      <c r="AC1601" s="631"/>
    </row>
    <row r="1602">
      <c r="A1602" s="631"/>
      <c r="B1602" s="694"/>
      <c r="C1602" s="694"/>
      <c r="D1602" s="694"/>
      <c r="E1602" s="694"/>
      <c r="F1602" s="631"/>
      <c r="G1602" s="631"/>
      <c r="H1602" s="631"/>
      <c r="I1602" s="579"/>
      <c r="J1602" s="579"/>
      <c r="K1602" s="694"/>
      <c r="L1602" s="579"/>
      <c r="M1602" s="579"/>
      <c r="N1602" s="579"/>
      <c r="O1602" s="631"/>
      <c r="P1602" s="631"/>
      <c r="Q1602" s="631"/>
      <c r="R1602" s="631"/>
      <c r="S1602" s="631"/>
      <c r="T1602" s="631"/>
      <c r="U1602" s="631"/>
      <c r="V1602" s="631"/>
      <c r="W1602" s="631"/>
      <c r="X1602" s="631"/>
      <c r="Y1602" s="631"/>
      <c r="Z1602" s="631"/>
      <c r="AA1602" s="631"/>
      <c r="AB1602" s="631"/>
      <c r="AC1602" s="631"/>
    </row>
    <row r="1603">
      <c r="A1603" s="631"/>
      <c r="B1603" s="694"/>
      <c r="C1603" s="694"/>
      <c r="D1603" s="694"/>
      <c r="E1603" s="694"/>
      <c r="F1603" s="631"/>
      <c r="G1603" s="631"/>
      <c r="H1603" s="631"/>
      <c r="I1603" s="579"/>
      <c r="J1603" s="579"/>
      <c r="K1603" s="694"/>
      <c r="L1603" s="579"/>
      <c r="M1603" s="579"/>
      <c r="N1603" s="579"/>
      <c r="O1603" s="631"/>
      <c r="P1603" s="631"/>
      <c r="Q1603" s="631"/>
      <c r="R1603" s="631"/>
      <c r="S1603" s="631"/>
      <c r="T1603" s="631"/>
      <c r="U1603" s="631"/>
      <c r="V1603" s="631"/>
      <c r="W1603" s="631"/>
      <c r="X1603" s="631"/>
      <c r="Y1603" s="631"/>
      <c r="Z1603" s="631"/>
      <c r="AA1603" s="631"/>
      <c r="AB1603" s="631"/>
      <c r="AC1603" s="631"/>
    </row>
    <row r="1604">
      <c r="A1604" s="631"/>
      <c r="B1604" s="694"/>
      <c r="C1604" s="694"/>
      <c r="D1604" s="694"/>
      <c r="E1604" s="694"/>
      <c r="F1604" s="631"/>
      <c r="G1604" s="631"/>
      <c r="H1604" s="631"/>
      <c r="I1604" s="579"/>
      <c r="J1604" s="579"/>
      <c r="K1604" s="694"/>
      <c r="L1604" s="579"/>
      <c r="M1604" s="579"/>
      <c r="N1604" s="579"/>
      <c r="O1604" s="631"/>
      <c r="P1604" s="631"/>
      <c r="Q1604" s="631"/>
      <c r="R1604" s="631"/>
      <c r="S1604" s="631"/>
      <c r="T1604" s="631"/>
      <c r="U1604" s="631"/>
      <c r="V1604" s="631"/>
      <c r="W1604" s="631"/>
      <c r="X1604" s="631"/>
      <c r="Y1604" s="631"/>
      <c r="Z1604" s="631"/>
      <c r="AA1604" s="631"/>
      <c r="AB1604" s="631"/>
      <c r="AC1604" s="631"/>
    </row>
    <row r="1605">
      <c r="A1605" s="631"/>
      <c r="B1605" s="694"/>
      <c r="C1605" s="694"/>
      <c r="D1605" s="694"/>
      <c r="E1605" s="694"/>
      <c r="F1605" s="631"/>
      <c r="G1605" s="631"/>
      <c r="H1605" s="631"/>
      <c r="I1605" s="579"/>
      <c r="J1605" s="579"/>
      <c r="K1605" s="694"/>
      <c r="L1605" s="579"/>
      <c r="M1605" s="579"/>
      <c r="N1605" s="579"/>
      <c r="O1605" s="631"/>
      <c r="P1605" s="631"/>
      <c r="Q1605" s="631"/>
      <c r="R1605" s="631"/>
      <c r="S1605" s="631"/>
      <c r="T1605" s="631"/>
      <c r="U1605" s="631"/>
      <c r="V1605" s="631"/>
      <c r="W1605" s="631"/>
      <c r="X1605" s="631"/>
      <c r="Y1605" s="631"/>
      <c r="Z1605" s="631"/>
      <c r="AA1605" s="631"/>
      <c r="AB1605" s="631"/>
      <c r="AC1605" s="631"/>
    </row>
    <row r="1606">
      <c r="A1606" s="631"/>
      <c r="B1606" s="694"/>
      <c r="C1606" s="694"/>
      <c r="D1606" s="694"/>
      <c r="E1606" s="694"/>
      <c r="F1606" s="631"/>
      <c r="G1606" s="631"/>
      <c r="H1606" s="631"/>
      <c r="I1606" s="579"/>
      <c r="J1606" s="579"/>
      <c r="K1606" s="694"/>
      <c r="L1606" s="579"/>
      <c r="M1606" s="579"/>
      <c r="N1606" s="579"/>
      <c r="O1606" s="631"/>
      <c r="P1606" s="631"/>
      <c r="Q1606" s="631"/>
      <c r="R1606" s="631"/>
      <c r="S1606" s="631"/>
      <c r="T1606" s="631"/>
      <c r="U1606" s="631"/>
      <c r="V1606" s="631"/>
      <c r="W1606" s="631"/>
      <c r="X1606" s="631"/>
      <c r="Y1606" s="631"/>
      <c r="Z1606" s="631"/>
      <c r="AA1606" s="631"/>
      <c r="AB1606" s="631"/>
      <c r="AC1606" s="631"/>
    </row>
    <row r="1607">
      <c r="A1607" s="631"/>
      <c r="B1607" s="694"/>
      <c r="C1607" s="694"/>
      <c r="D1607" s="694"/>
      <c r="E1607" s="694"/>
      <c r="F1607" s="631"/>
      <c r="G1607" s="631"/>
      <c r="H1607" s="631"/>
      <c r="I1607" s="579"/>
      <c r="J1607" s="579"/>
      <c r="K1607" s="694"/>
      <c r="L1607" s="579"/>
      <c r="M1607" s="579"/>
      <c r="N1607" s="579"/>
      <c r="O1607" s="631"/>
      <c r="P1607" s="631"/>
      <c r="Q1607" s="631"/>
      <c r="R1607" s="631"/>
      <c r="S1607" s="631"/>
      <c r="T1607" s="631"/>
      <c r="U1607" s="631"/>
      <c r="V1607" s="631"/>
      <c r="W1607" s="631"/>
      <c r="X1607" s="631"/>
      <c r="Y1607" s="631"/>
      <c r="Z1607" s="631"/>
      <c r="AA1607" s="631"/>
      <c r="AB1607" s="631"/>
      <c r="AC1607" s="631"/>
    </row>
    <row r="1608">
      <c r="A1608" s="631"/>
      <c r="B1608" s="694"/>
      <c r="C1608" s="694"/>
      <c r="D1608" s="694"/>
      <c r="E1608" s="694"/>
      <c r="F1608" s="631"/>
      <c r="G1608" s="631"/>
      <c r="H1608" s="631"/>
      <c r="I1608" s="579"/>
      <c r="J1608" s="579"/>
      <c r="K1608" s="694"/>
      <c r="L1608" s="579"/>
      <c r="M1608" s="579"/>
      <c r="N1608" s="579"/>
      <c r="O1608" s="631"/>
      <c r="P1608" s="631"/>
      <c r="Q1608" s="631"/>
      <c r="R1608" s="631"/>
      <c r="S1608" s="631"/>
      <c r="T1608" s="631"/>
      <c r="U1608" s="631"/>
      <c r="V1608" s="631"/>
      <c r="W1608" s="631"/>
      <c r="X1608" s="631"/>
      <c r="Y1608" s="631"/>
      <c r="Z1608" s="631"/>
      <c r="AA1608" s="631"/>
      <c r="AB1608" s="631"/>
      <c r="AC1608" s="631"/>
    </row>
    <row r="1609">
      <c r="A1609" s="631"/>
      <c r="B1609" s="694"/>
      <c r="C1609" s="694"/>
      <c r="D1609" s="694"/>
      <c r="E1609" s="694"/>
      <c r="F1609" s="631"/>
      <c r="G1609" s="631"/>
      <c r="H1609" s="631"/>
      <c r="I1609" s="579"/>
      <c r="J1609" s="579"/>
      <c r="K1609" s="694"/>
      <c r="L1609" s="579"/>
      <c r="M1609" s="579"/>
      <c r="N1609" s="579"/>
      <c r="O1609" s="631"/>
      <c r="P1609" s="631"/>
      <c r="Q1609" s="631"/>
      <c r="R1609" s="631"/>
      <c r="S1609" s="631"/>
      <c r="T1609" s="631"/>
      <c r="U1609" s="631"/>
      <c r="V1609" s="631"/>
      <c r="W1609" s="631"/>
      <c r="X1609" s="631"/>
      <c r="Y1609" s="631"/>
      <c r="Z1609" s="631"/>
      <c r="AA1609" s="631"/>
      <c r="AB1609" s="631"/>
      <c r="AC1609" s="631"/>
    </row>
    <row r="1610">
      <c r="A1610" s="631"/>
      <c r="B1610" s="694"/>
      <c r="C1610" s="694"/>
      <c r="D1610" s="694"/>
      <c r="E1610" s="694"/>
      <c r="F1610" s="631"/>
      <c r="G1610" s="631"/>
      <c r="H1610" s="631"/>
      <c r="I1610" s="579"/>
      <c r="J1610" s="579"/>
      <c r="K1610" s="694"/>
      <c r="L1610" s="579"/>
      <c r="M1610" s="579"/>
      <c r="N1610" s="579"/>
      <c r="O1610" s="631"/>
      <c r="P1610" s="631"/>
      <c r="Q1610" s="631"/>
      <c r="R1610" s="631"/>
      <c r="S1610" s="631"/>
      <c r="T1610" s="631"/>
      <c r="U1610" s="631"/>
      <c r="V1610" s="631"/>
      <c r="W1610" s="631"/>
      <c r="X1610" s="631"/>
      <c r="Y1610" s="631"/>
      <c r="Z1610" s="631"/>
      <c r="AA1610" s="631"/>
      <c r="AB1610" s="631"/>
      <c r="AC1610" s="631"/>
    </row>
    <row r="1611">
      <c r="A1611" s="631"/>
      <c r="B1611" s="694"/>
      <c r="C1611" s="694"/>
      <c r="D1611" s="694"/>
      <c r="E1611" s="694"/>
      <c r="F1611" s="631"/>
      <c r="G1611" s="631"/>
      <c r="H1611" s="631"/>
      <c r="I1611" s="579"/>
      <c r="J1611" s="579"/>
      <c r="K1611" s="694"/>
      <c r="L1611" s="579"/>
      <c r="M1611" s="579"/>
      <c r="N1611" s="579"/>
      <c r="O1611" s="631"/>
      <c r="P1611" s="631"/>
      <c r="Q1611" s="631"/>
      <c r="R1611" s="631"/>
      <c r="S1611" s="631"/>
      <c r="T1611" s="631"/>
      <c r="U1611" s="631"/>
      <c r="V1611" s="631"/>
      <c r="W1611" s="631"/>
      <c r="X1611" s="631"/>
      <c r="Y1611" s="631"/>
      <c r="Z1611" s="631"/>
      <c r="AA1611" s="631"/>
      <c r="AB1611" s="631"/>
      <c r="AC1611" s="631"/>
    </row>
    <row r="1612">
      <c r="A1612" s="631"/>
      <c r="B1612" s="694"/>
      <c r="C1612" s="694"/>
      <c r="D1612" s="694"/>
      <c r="E1612" s="694"/>
      <c r="F1612" s="631"/>
      <c r="G1612" s="631"/>
      <c r="H1612" s="631"/>
      <c r="I1612" s="579"/>
      <c r="J1612" s="579"/>
      <c r="K1612" s="694"/>
      <c r="L1612" s="579"/>
      <c r="M1612" s="579"/>
      <c r="N1612" s="579"/>
      <c r="O1612" s="631"/>
      <c r="P1612" s="631"/>
      <c r="Q1612" s="631"/>
      <c r="R1612" s="631"/>
      <c r="S1612" s="631"/>
      <c r="T1612" s="631"/>
      <c r="U1612" s="631"/>
      <c r="V1612" s="631"/>
      <c r="W1612" s="631"/>
      <c r="X1612" s="631"/>
      <c r="Y1612" s="631"/>
      <c r="Z1612" s="631"/>
      <c r="AA1612" s="631"/>
      <c r="AB1612" s="631"/>
      <c r="AC1612" s="631"/>
    </row>
    <row r="1613">
      <c r="A1613" s="631"/>
      <c r="B1613" s="694"/>
      <c r="C1613" s="694"/>
      <c r="D1613" s="694"/>
      <c r="E1613" s="694"/>
      <c r="F1613" s="631"/>
      <c r="G1613" s="631"/>
      <c r="H1613" s="631"/>
      <c r="I1613" s="579"/>
      <c r="J1613" s="579"/>
      <c r="K1613" s="694"/>
      <c r="L1613" s="579"/>
      <c r="M1613" s="579"/>
      <c r="N1613" s="579"/>
      <c r="O1613" s="631"/>
      <c r="P1613" s="631"/>
      <c r="Q1613" s="631"/>
      <c r="R1613" s="631"/>
      <c r="S1613" s="631"/>
      <c r="T1613" s="631"/>
      <c r="U1613" s="631"/>
      <c r="V1613" s="631"/>
      <c r="W1613" s="631"/>
      <c r="X1613" s="631"/>
      <c r="Y1613" s="631"/>
      <c r="Z1613" s="631"/>
      <c r="AA1613" s="631"/>
      <c r="AB1613" s="631"/>
      <c r="AC1613" s="631"/>
    </row>
    <row r="1614">
      <c r="A1614" s="631"/>
      <c r="B1614" s="694"/>
      <c r="C1614" s="694"/>
      <c r="D1614" s="694"/>
      <c r="E1614" s="694"/>
      <c r="F1614" s="631"/>
      <c r="G1614" s="631"/>
      <c r="H1614" s="631"/>
      <c r="I1614" s="579"/>
      <c r="J1614" s="579"/>
      <c r="K1614" s="694"/>
      <c r="L1614" s="579"/>
      <c r="M1614" s="579"/>
      <c r="N1614" s="579"/>
      <c r="O1614" s="631"/>
      <c r="P1614" s="631"/>
      <c r="Q1614" s="631"/>
      <c r="R1614" s="631"/>
      <c r="S1614" s="631"/>
      <c r="T1614" s="631"/>
      <c r="U1614" s="631"/>
      <c r="V1614" s="631"/>
      <c r="W1614" s="631"/>
      <c r="X1614" s="631"/>
      <c r="Y1614" s="631"/>
      <c r="Z1614" s="631"/>
      <c r="AA1614" s="631"/>
      <c r="AB1614" s="631"/>
      <c r="AC1614" s="631"/>
    </row>
    <row r="1615">
      <c r="A1615" s="631"/>
      <c r="B1615" s="694"/>
      <c r="C1615" s="694"/>
      <c r="D1615" s="694"/>
      <c r="E1615" s="694"/>
      <c r="F1615" s="631"/>
      <c r="G1615" s="631"/>
      <c r="H1615" s="631"/>
      <c r="I1615" s="579"/>
      <c r="J1615" s="579"/>
      <c r="K1615" s="694"/>
      <c r="L1615" s="579"/>
      <c r="M1615" s="579"/>
      <c r="N1615" s="579"/>
      <c r="O1615" s="631"/>
      <c r="P1615" s="631"/>
      <c r="Q1615" s="631"/>
      <c r="R1615" s="631"/>
      <c r="S1615" s="631"/>
      <c r="T1615" s="631"/>
      <c r="U1615" s="631"/>
      <c r="V1615" s="631"/>
      <c r="W1615" s="631"/>
      <c r="X1615" s="631"/>
      <c r="Y1615" s="631"/>
      <c r="Z1615" s="631"/>
      <c r="AA1615" s="631"/>
      <c r="AB1615" s="631"/>
      <c r="AC1615" s="631"/>
    </row>
    <row r="1616">
      <c r="A1616" s="631"/>
      <c r="B1616" s="694"/>
      <c r="C1616" s="694"/>
      <c r="D1616" s="694"/>
      <c r="E1616" s="694"/>
      <c r="F1616" s="631"/>
      <c r="G1616" s="631"/>
      <c r="H1616" s="631"/>
      <c r="I1616" s="579"/>
      <c r="J1616" s="579"/>
      <c r="K1616" s="694"/>
      <c r="L1616" s="579"/>
      <c r="M1616" s="579"/>
      <c r="N1616" s="579"/>
      <c r="O1616" s="631"/>
      <c r="P1616" s="631"/>
      <c r="Q1616" s="631"/>
      <c r="R1616" s="631"/>
      <c r="S1616" s="631"/>
      <c r="T1616" s="631"/>
      <c r="U1616" s="631"/>
      <c r="V1616" s="631"/>
      <c r="W1616" s="631"/>
      <c r="X1616" s="631"/>
      <c r="Y1616" s="631"/>
      <c r="Z1616" s="631"/>
      <c r="AA1616" s="631"/>
      <c r="AB1616" s="631"/>
      <c r="AC1616" s="631"/>
    </row>
    <row r="1617">
      <c r="A1617" s="631"/>
      <c r="B1617" s="694"/>
      <c r="C1617" s="694"/>
      <c r="D1617" s="694"/>
      <c r="E1617" s="694"/>
      <c r="F1617" s="631"/>
      <c r="G1617" s="631"/>
      <c r="H1617" s="631"/>
      <c r="I1617" s="579"/>
      <c r="J1617" s="579"/>
      <c r="K1617" s="694"/>
      <c r="L1617" s="579"/>
      <c r="M1617" s="579"/>
      <c r="N1617" s="579"/>
      <c r="O1617" s="631"/>
      <c r="P1617" s="631"/>
      <c r="Q1617" s="631"/>
      <c r="R1617" s="631"/>
      <c r="S1617" s="631"/>
      <c r="T1617" s="631"/>
      <c r="U1617" s="631"/>
      <c r="V1617" s="631"/>
      <c r="W1617" s="631"/>
      <c r="X1617" s="631"/>
      <c r="Y1617" s="631"/>
      <c r="Z1617" s="631"/>
      <c r="AA1617" s="631"/>
      <c r="AB1617" s="631"/>
      <c r="AC1617" s="631"/>
    </row>
    <row r="1618">
      <c r="A1618" s="631"/>
      <c r="B1618" s="694"/>
      <c r="C1618" s="694"/>
      <c r="D1618" s="694"/>
      <c r="E1618" s="694"/>
      <c r="F1618" s="631"/>
      <c r="G1618" s="631"/>
      <c r="H1618" s="631"/>
      <c r="I1618" s="579"/>
      <c r="J1618" s="579"/>
      <c r="K1618" s="694"/>
      <c r="L1618" s="579"/>
      <c r="M1618" s="579"/>
      <c r="N1618" s="579"/>
      <c r="O1618" s="631"/>
      <c r="P1618" s="631"/>
      <c r="Q1618" s="631"/>
      <c r="R1618" s="631"/>
      <c r="S1618" s="631"/>
      <c r="T1618" s="631"/>
      <c r="U1618" s="631"/>
      <c r="V1618" s="631"/>
      <c r="W1618" s="631"/>
      <c r="X1618" s="631"/>
      <c r="Y1618" s="631"/>
      <c r="Z1618" s="631"/>
      <c r="AA1618" s="631"/>
      <c r="AB1618" s="631"/>
      <c r="AC1618" s="631"/>
    </row>
    <row r="1619">
      <c r="A1619" s="631"/>
      <c r="B1619" s="694"/>
      <c r="C1619" s="694"/>
      <c r="D1619" s="694"/>
      <c r="E1619" s="694"/>
      <c r="F1619" s="631"/>
      <c r="G1619" s="631"/>
      <c r="H1619" s="631"/>
      <c r="I1619" s="579"/>
      <c r="J1619" s="579"/>
      <c r="K1619" s="694"/>
      <c r="L1619" s="579"/>
      <c r="M1619" s="579"/>
      <c r="N1619" s="579"/>
      <c r="O1619" s="631"/>
      <c r="P1619" s="631"/>
      <c r="Q1619" s="631"/>
      <c r="R1619" s="631"/>
      <c r="S1619" s="631"/>
      <c r="T1619" s="631"/>
      <c r="U1619" s="631"/>
      <c r="V1619" s="631"/>
      <c r="W1619" s="631"/>
      <c r="X1619" s="631"/>
      <c r="Y1619" s="631"/>
      <c r="Z1619" s="631"/>
      <c r="AA1619" s="631"/>
      <c r="AB1619" s="631"/>
      <c r="AC1619" s="631"/>
    </row>
    <row r="1620">
      <c r="A1620" s="631"/>
      <c r="B1620" s="694"/>
      <c r="C1620" s="694"/>
      <c r="D1620" s="694"/>
      <c r="E1620" s="694"/>
      <c r="F1620" s="631"/>
      <c r="G1620" s="631"/>
      <c r="H1620" s="631"/>
      <c r="I1620" s="579"/>
      <c r="J1620" s="579"/>
      <c r="K1620" s="694"/>
      <c r="L1620" s="579"/>
      <c r="M1620" s="579"/>
      <c r="N1620" s="579"/>
      <c r="O1620" s="631"/>
      <c r="P1620" s="631"/>
      <c r="Q1620" s="631"/>
      <c r="R1620" s="631"/>
      <c r="S1620" s="631"/>
      <c r="T1620" s="631"/>
      <c r="U1620" s="631"/>
      <c r="V1620" s="631"/>
      <c r="W1620" s="631"/>
      <c r="X1620" s="631"/>
      <c r="Y1620" s="631"/>
      <c r="Z1620" s="631"/>
      <c r="AA1620" s="631"/>
      <c r="AB1620" s="631"/>
      <c r="AC1620" s="631"/>
    </row>
    <row r="1621">
      <c r="A1621" s="631"/>
      <c r="B1621" s="694"/>
      <c r="C1621" s="694"/>
      <c r="D1621" s="694"/>
      <c r="E1621" s="694"/>
      <c r="F1621" s="631"/>
      <c r="G1621" s="631"/>
      <c r="H1621" s="631"/>
      <c r="I1621" s="579"/>
      <c r="J1621" s="579"/>
      <c r="K1621" s="694"/>
      <c r="L1621" s="579"/>
      <c r="M1621" s="579"/>
      <c r="N1621" s="579"/>
      <c r="O1621" s="631"/>
      <c r="P1621" s="631"/>
      <c r="Q1621" s="631"/>
      <c r="R1621" s="631"/>
      <c r="S1621" s="631"/>
      <c r="T1621" s="631"/>
      <c r="U1621" s="631"/>
      <c r="V1621" s="631"/>
      <c r="W1621" s="631"/>
      <c r="X1621" s="631"/>
      <c r="Y1621" s="631"/>
      <c r="Z1621" s="631"/>
      <c r="AA1621" s="631"/>
      <c r="AB1621" s="631"/>
      <c r="AC1621" s="631"/>
    </row>
    <row r="1622">
      <c r="A1622" s="631"/>
      <c r="B1622" s="694"/>
      <c r="C1622" s="694"/>
      <c r="D1622" s="694"/>
      <c r="E1622" s="694"/>
      <c r="F1622" s="631"/>
      <c r="G1622" s="631"/>
      <c r="H1622" s="631"/>
      <c r="I1622" s="579"/>
      <c r="J1622" s="579"/>
      <c r="K1622" s="694"/>
      <c r="L1622" s="579"/>
      <c r="M1622" s="579"/>
      <c r="N1622" s="579"/>
      <c r="O1622" s="631"/>
      <c r="P1622" s="631"/>
      <c r="Q1622" s="631"/>
      <c r="R1622" s="631"/>
      <c r="S1622" s="631"/>
      <c r="T1622" s="631"/>
      <c r="U1622" s="631"/>
      <c r="V1622" s="631"/>
      <c r="W1622" s="631"/>
      <c r="X1622" s="631"/>
      <c r="Y1622" s="631"/>
      <c r="Z1622" s="631"/>
      <c r="AA1622" s="631"/>
      <c r="AB1622" s="631"/>
      <c r="AC1622" s="631"/>
    </row>
    <row r="1623">
      <c r="A1623" s="631"/>
      <c r="B1623" s="694"/>
      <c r="C1623" s="694"/>
      <c r="D1623" s="694"/>
      <c r="E1623" s="694"/>
      <c r="F1623" s="631"/>
      <c r="G1623" s="631"/>
      <c r="H1623" s="631"/>
      <c r="I1623" s="579"/>
      <c r="J1623" s="579"/>
      <c r="K1623" s="694"/>
      <c r="L1623" s="579"/>
      <c r="M1623" s="579"/>
      <c r="N1623" s="579"/>
      <c r="O1623" s="631"/>
      <c r="P1623" s="631"/>
      <c r="Q1623" s="631"/>
      <c r="R1623" s="631"/>
      <c r="S1623" s="631"/>
      <c r="T1623" s="631"/>
      <c r="U1623" s="631"/>
      <c r="V1623" s="631"/>
      <c r="W1623" s="631"/>
      <c r="X1623" s="631"/>
      <c r="Y1623" s="631"/>
      <c r="Z1623" s="631"/>
      <c r="AA1623" s="631"/>
      <c r="AB1623" s="631"/>
      <c r="AC1623" s="631"/>
    </row>
    <row r="1624">
      <c r="A1624" s="631"/>
      <c r="B1624" s="694"/>
      <c r="C1624" s="694"/>
      <c r="D1624" s="694"/>
      <c r="E1624" s="694"/>
      <c r="F1624" s="631"/>
      <c r="G1624" s="631"/>
      <c r="H1624" s="631"/>
      <c r="I1624" s="579"/>
      <c r="J1624" s="579"/>
      <c r="K1624" s="694"/>
      <c r="L1624" s="579"/>
      <c r="M1624" s="579"/>
      <c r="N1624" s="579"/>
      <c r="O1624" s="631"/>
      <c r="P1624" s="631"/>
      <c r="Q1624" s="631"/>
      <c r="R1624" s="631"/>
      <c r="S1624" s="631"/>
      <c r="T1624" s="631"/>
      <c r="U1624" s="631"/>
      <c r="V1624" s="631"/>
      <c r="W1624" s="631"/>
      <c r="X1624" s="631"/>
      <c r="Y1624" s="631"/>
      <c r="Z1624" s="631"/>
      <c r="AA1624" s="631"/>
      <c r="AB1624" s="631"/>
      <c r="AC1624" s="631"/>
    </row>
  </sheetData>
  <customSheetViews>
    <customSheetView guid="{B4531981-A4CE-453D-8587-9AA845E79581}" filter="1" showAutoFilter="1">
      <autoFilter ref="$A$1:$N$746"/>
    </customSheetView>
    <customSheetView guid="{93E59F9B-08E8-4FA8-9318-CDA599B1E35B}" filter="1" showAutoFilter="1">
      <autoFilter ref="$A$1:$N$742"/>
    </customSheetView>
  </customSheetViews>
  <printOptions gridLines="1" horizontalCentered="1"/>
  <pageMargins bottom="0.75" footer="0.0" header="0.0" left="0.7" right="0.7" top="0.75"/>
  <pageSetup fitToHeight="0" cellComments="atEnd" orientation="landscape" pageOrder="overThenDown"/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10.0"/>
    <col customWidth="1" min="3" max="3" width="7.38"/>
    <col customWidth="1" min="4" max="4" width="6.63"/>
    <col customWidth="1" min="5" max="5" width="15.25"/>
    <col customWidth="1" min="6" max="6" width="11.38"/>
    <col customWidth="1" min="8" max="8" width="11.13"/>
    <col customWidth="1" min="9" max="9" width="9.13"/>
    <col customWidth="1" min="10" max="10" width="10.25"/>
    <col customWidth="1" min="11" max="11" width="11.13"/>
    <col customWidth="1" min="12" max="12" width="10.88"/>
    <col customWidth="1" min="13" max="13" width="11.25"/>
  </cols>
  <sheetData>
    <row r="1">
      <c r="A1" s="695" t="s">
        <v>22258</v>
      </c>
      <c r="B1" s="696" t="s">
        <v>1</v>
      </c>
      <c r="C1" s="697" t="s">
        <v>32664</v>
      </c>
      <c r="D1" s="696" t="s">
        <v>32665</v>
      </c>
      <c r="E1" s="696" t="s">
        <v>4</v>
      </c>
      <c r="F1" s="697" t="s">
        <v>5</v>
      </c>
      <c r="G1" s="696" t="s">
        <v>7</v>
      </c>
      <c r="H1" s="698" t="s">
        <v>32666</v>
      </c>
      <c r="I1" s="699" t="s">
        <v>32667</v>
      </c>
      <c r="J1" s="700" t="s">
        <v>32668</v>
      </c>
      <c r="K1" s="699" t="s">
        <v>32669</v>
      </c>
      <c r="L1" s="700" t="s">
        <v>32670</v>
      </c>
      <c r="M1" s="701" t="s">
        <v>32671</v>
      </c>
      <c r="N1" s="234"/>
      <c r="O1" s="234"/>
      <c r="P1" s="234"/>
      <c r="Q1" s="234"/>
      <c r="R1" s="234"/>
      <c r="S1" s="234"/>
      <c r="T1" s="234"/>
      <c r="U1" s="234"/>
      <c r="V1" s="234"/>
      <c r="W1" s="234"/>
      <c r="X1" s="234"/>
      <c r="Y1" s="234"/>
      <c r="Z1" s="234"/>
      <c r="AA1" s="234"/>
      <c r="AB1" s="234"/>
    </row>
    <row r="2">
      <c r="A2" s="702"/>
      <c r="B2" s="703"/>
      <c r="C2" s="704"/>
      <c r="D2" s="704"/>
      <c r="E2" s="704" t="s">
        <v>10293</v>
      </c>
      <c r="F2" s="705">
        <v>1.0</v>
      </c>
      <c r="G2" s="703"/>
      <c r="H2" s="705">
        <v>600.0</v>
      </c>
      <c r="I2" s="705">
        <v>200.0</v>
      </c>
      <c r="J2" s="705">
        <f t="shared" ref="J2:J1468" si="1">(F2*H2)+I2</f>
        <v>800</v>
      </c>
      <c r="K2" s="705">
        <f t="shared" ref="K2:K793" si="2">(1000+J2*10%)</f>
        <v>1080</v>
      </c>
      <c r="L2" s="705">
        <f t="shared" ref="L2:L1468" si="3">(J2+K2)</f>
        <v>1880</v>
      </c>
      <c r="M2" s="706">
        <f t="shared" ref="M2:M383" si="4">(L2/F2)</f>
        <v>1880</v>
      </c>
    </row>
    <row r="3">
      <c r="A3" s="702"/>
      <c r="B3" s="702"/>
      <c r="C3" s="707"/>
      <c r="D3" s="707"/>
      <c r="E3" s="708"/>
      <c r="F3" s="709"/>
      <c r="G3" s="708"/>
      <c r="H3" s="709"/>
      <c r="I3" s="709"/>
      <c r="J3" s="705">
        <f t="shared" si="1"/>
        <v>0</v>
      </c>
      <c r="K3" s="705">
        <f t="shared" si="2"/>
        <v>1000</v>
      </c>
      <c r="L3" s="705">
        <f t="shared" si="3"/>
        <v>1000</v>
      </c>
      <c r="M3" s="706" t="str">
        <f t="shared" si="4"/>
        <v>#DIV/0!</v>
      </c>
    </row>
    <row r="4">
      <c r="A4" s="702"/>
      <c r="B4" s="702"/>
      <c r="C4" s="707"/>
      <c r="D4" s="707"/>
      <c r="E4" s="708"/>
      <c r="F4" s="709"/>
      <c r="G4" s="708"/>
      <c r="H4" s="709"/>
      <c r="I4" s="709"/>
      <c r="J4" s="705">
        <f t="shared" si="1"/>
        <v>0</v>
      </c>
      <c r="K4" s="705">
        <f t="shared" si="2"/>
        <v>1000</v>
      </c>
      <c r="L4" s="705">
        <f t="shared" si="3"/>
        <v>1000</v>
      </c>
      <c r="M4" s="706" t="str">
        <f t="shared" si="4"/>
        <v>#DIV/0!</v>
      </c>
    </row>
    <row r="5">
      <c r="A5" s="702"/>
      <c r="B5" s="702"/>
      <c r="C5" s="707"/>
      <c r="D5" s="707"/>
      <c r="E5" s="708"/>
      <c r="F5" s="709"/>
      <c r="G5" s="708"/>
      <c r="H5" s="709"/>
      <c r="I5" s="709"/>
      <c r="J5" s="705">
        <f t="shared" si="1"/>
        <v>0</v>
      </c>
      <c r="K5" s="705">
        <f t="shared" si="2"/>
        <v>1000</v>
      </c>
      <c r="L5" s="705">
        <f t="shared" si="3"/>
        <v>1000</v>
      </c>
      <c r="M5" s="706" t="str">
        <f t="shared" si="4"/>
        <v>#DIV/0!</v>
      </c>
    </row>
    <row r="6">
      <c r="A6" s="702"/>
      <c r="B6" s="702"/>
      <c r="C6" s="707"/>
      <c r="D6" s="707"/>
      <c r="E6" s="708"/>
      <c r="F6" s="709"/>
      <c r="G6" s="708"/>
      <c r="H6" s="709"/>
      <c r="I6" s="709"/>
      <c r="J6" s="705">
        <f t="shared" si="1"/>
        <v>0</v>
      </c>
      <c r="K6" s="705">
        <f t="shared" si="2"/>
        <v>1000</v>
      </c>
      <c r="L6" s="705">
        <f t="shared" si="3"/>
        <v>1000</v>
      </c>
      <c r="M6" s="706" t="str">
        <f t="shared" si="4"/>
        <v>#DIV/0!</v>
      </c>
    </row>
    <row r="7">
      <c r="A7" s="702"/>
      <c r="B7" s="702"/>
      <c r="C7" s="707"/>
      <c r="D7" s="707"/>
      <c r="E7" s="708"/>
      <c r="F7" s="709"/>
      <c r="G7" s="708"/>
      <c r="H7" s="709"/>
      <c r="I7" s="709"/>
      <c r="J7" s="705">
        <f t="shared" si="1"/>
        <v>0</v>
      </c>
      <c r="K7" s="705">
        <f t="shared" si="2"/>
        <v>1000</v>
      </c>
      <c r="L7" s="705">
        <f t="shared" si="3"/>
        <v>1000</v>
      </c>
      <c r="M7" s="706" t="str">
        <f t="shared" si="4"/>
        <v>#DIV/0!</v>
      </c>
    </row>
    <row r="8">
      <c r="A8" s="702" t="s">
        <v>32672</v>
      </c>
      <c r="B8" s="702"/>
      <c r="C8" s="707"/>
      <c r="D8" s="707"/>
      <c r="E8" s="708"/>
      <c r="F8" s="709"/>
      <c r="G8" s="708"/>
      <c r="H8" s="709"/>
      <c r="I8" s="709"/>
      <c r="J8" s="705">
        <f t="shared" si="1"/>
        <v>0</v>
      </c>
      <c r="K8" s="705">
        <f t="shared" si="2"/>
        <v>1000</v>
      </c>
      <c r="L8" s="705">
        <f t="shared" si="3"/>
        <v>1000</v>
      </c>
      <c r="M8" s="706" t="str">
        <f t="shared" si="4"/>
        <v>#DIV/0!</v>
      </c>
    </row>
    <row r="9">
      <c r="A9" s="702" t="s">
        <v>32673</v>
      </c>
      <c r="B9" s="702" t="s">
        <v>32674</v>
      </c>
      <c r="C9" s="707"/>
      <c r="D9" s="707"/>
      <c r="E9" s="708" t="s">
        <v>32675</v>
      </c>
      <c r="F9" s="709">
        <v>1000.0</v>
      </c>
      <c r="G9" s="708" t="s">
        <v>32676</v>
      </c>
      <c r="H9" s="709">
        <v>40.0</v>
      </c>
      <c r="I9" s="709">
        <v>1000.0</v>
      </c>
      <c r="J9" s="705">
        <f t="shared" si="1"/>
        <v>41000</v>
      </c>
      <c r="K9" s="705">
        <f t="shared" si="2"/>
        <v>5100</v>
      </c>
      <c r="L9" s="705">
        <f t="shared" si="3"/>
        <v>46100</v>
      </c>
      <c r="M9" s="706">
        <f t="shared" si="4"/>
        <v>46.1</v>
      </c>
    </row>
    <row r="10">
      <c r="A10" s="702" t="s">
        <v>32673</v>
      </c>
      <c r="B10" s="702" t="s">
        <v>32677</v>
      </c>
      <c r="C10" s="707"/>
      <c r="D10" s="707"/>
      <c r="E10" s="708" t="s">
        <v>1509</v>
      </c>
      <c r="F10" s="709">
        <v>1000.0</v>
      </c>
      <c r="G10" s="708" t="s">
        <v>44</v>
      </c>
      <c r="H10" s="709">
        <v>5.0</v>
      </c>
      <c r="I10" s="709">
        <v>1000.0</v>
      </c>
      <c r="J10" s="705">
        <f t="shared" si="1"/>
        <v>6000</v>
      </c>
      <c r="K10" s="705">
        <f t="shared" si="2"/>
        <v>1600</v>
      </c>
      <c r="L10" s="705">
        <f t="shared" si="3"/>
        <v>7600</v>
      </c>
      <c r="M10" s="706">
        <f t="shared" si="4"/>
        <v>7.6</v>
      </c>
    </row>
    <row r="11">
      <c r="A11" s="702" t="s">
        <v>32678</v>
      </c>
      <c r="B11" s="702" t="s">
        <v>32679</v>
      </c>
      <c r="C11" s="707"/>
      <c r="D11" s="707"/>
      <c r="E11" s="708" t="s">
        <v>3391</v>
      </c>
      <c r="F11" s="709">
        <v>10000.0</v>
      </c>
      <c r="G11" s="708" t="s">
        <v>44</v>
      </c>
      <c r="H11" s="709">
        <v>39.0</v>
      </c>
      <c r="I11" s="709"/>
      <c r="J11" s="705">
        <f t="shared" si="1"/>
        <v>390000</v>
      </c>
      <c r="K11" s="705">
        <f t="shared" si="2"/>
        <v>40000</v>
      </c>
      <c r="L11" s="705">
        <f t="shared" si="3"/>
        <v>430000</v>
      </c>
      <c r="M11" s="706">
        <f t="shared" si="4"/>
        <v>43</v>
      </c>
    </row>
    <row r="12">
      <c r="A12" s="702" t="s">
        <v>32678</v>
      </c>
      <c r="B12" s="702" t="s">
        <v>32680</v>
      </c>
      <c r="C12" s="707"/>
      <c r="D12" s="707"/>
      <c r="E12" s="708" t="s">
        <v>4066</v>
      </c>
      <c r="F12" s="709">
        <v>1000.0</v>
      </c>
      <c r="G12" s="708" t="s">
        <v>8145</v>
      </c>
      <c r="H12" s="709">
        <v>185.0</v>
      </c>
      <c r="I12" s="709">
        <v>1000.0</v>
      </c>
      <c r="J12" s="705">
        <f t="shared" si="1"/>
        <v>186000</v>
      </c>
      <c r="K12" s="705">
        <f t="shared" si="2"/>
        <v>19600</v>
      </c>
      <c r="L12" s="705">
        <f t="shared" si="3"/>
        <v>205600</v>
      </c>
      <c r="M12" s="706">
        <f t="shared" si="4"/>
        <v>205.6</v>
      </c>
    </row>
    <row r="13">
      <c r="A13" s="702" t="s">
        <v>32681</v>
      </c>
      <c r="B13" s="702" t="s">
        <v>8249</v>
      </c>
      <c r="C13" s="707"/>
      <c r="D13" s="707"/>
      <c r="E13" s="708" t="s">
        <v>1412</v>
      </c>
      <c r="F13" s="709">
        <v>2000.0</v>
      </c>
      <c r="G13" s="708" t="s">
        <v>20725</v>
      </c>
      <c r="H13" s="709">
        <v>24.0</v>
      </c>
      <c r="I13" s="709"/>
      <c r="J13" s="705">
        <f t="shared" si="1"/>
        <v>48000</v>
      </c>
      <c r="K13" s="705">
        <f t="shared" si="2"/>
        <v>5800</v>
      </c>
      <c r="L13" s="705">
        <f t="shared" si="3"/>
        <v>53800</v>
      </c>
      <c r="M13" s="706">
        <f t="shared" si="4"/>
        <v>26.9</v>
      </c>
    </row>
    <row r="14">
      <c r="A14" s="702" t="s">
        <v>32681</v>
      </c>
      <c r="B14" s="702" t="s">
        <v>8260</v>
      </c>
      <c r="C14" s="707"/>
      <c r="D14" s="707"/>
      <c r="E14" s="11" t="s">
        <v>6836</v>
      </c>
      <c r="F14" s="709">
        <v>1000.0</v>
      </c>
      <c r="G14" s="708" t="s">
        <v>8263</v>
      </c>
      <c r="H14" s="709">
        <v>12.5</v>
      </c>
      <c r="I14" s="709">
        <v>1000.0</v>
      </c>
      <c r="J14" s="705">
        <f t="shared" si="1"/>
        <v>13500</v>
      </c>
      <c r="K14" s="705">
        <f t="shared" si="2"/>
        <v>2350</v>
      </c>
      <c r="L14" s="705">
        <f t="shared" si="3"/>
        <v>15850</v>
      </c>
      <c r="M14" s="706">
        <f t="shared" si="4"/>
        <v>15.85</v>
      </c>
    </row>
    <row r="15">
      <c r="A15" s="702" t="s">
        <v>32682</v>
      </c>
      <c r="B15" s="702" t="s">
        <v>32683</v>
      </c>
      <c r="C15" s="707"/>
      <c r="D15" s="707"/>
      <c r="E15" s="708" t="s">
        <v>8372</v>
      </c>
      <c r="F15" s="709">
        <v>10000.0</v>
      </c>
      <c r="G15" s="708" t="s">
        <v>617</v>
      </c>
      <c r="H15" s="709">
        <v>172.0</v>
      </c>
      <c r="I15" s="709"/>
      <c r="J15" s="705">
        <f t="shared" si="1"/>
        <v>1720000</v>
      </c>
      <c r="K15" s="705">
        <f t="shared" si="2"/>
        <v>173000</v>
      </c>
      <c r="L15" s="705">
        <f t="shared" si="3"/>
        <v>1893000</v>
      </c>
      <c r="M15" s="706">
        <f t="shared" si="4"/>
        <v>189.3</v>
      </c>
    </row>
    <row r="16">
      <c r="A16" s="702" t="s">
        <v>32682</v>
      </c>
      <c r="B16" s="96" t="s">
        <v>8360</v>
      </c>
      <c r="C16" s="707"/>
      <c r="D16" s="707"/>
      <c r="E16" s="708" t="s">
        <v>32684</v>
      </c>
      <c r="F16" s="709">
        <v>3000.0</v>
      </c>
      <c r="G16" s="708" t="s">
        <v>283</v>
      </c>
      <c r="H16" s="709">
        <v>47.0</v>
      </c>
      <c r="I16" s="709">
        <v>3000.0</v>
      </c>
      <c r="J16" s="705">
        <f t="shared" si="1"/>
        <v>144000</v>
      </c>
      <c r="K16" s="705">
        <f t="shared" si="2"/>
        <v>15400</v>
      </c>
      <c r="L16" s="705">
        <f t="shared" si="3"/>
        <v>159400</v>
      </c>
      <c r="M16" s="706">
        <f t="shared" si="4"/>
        <v>53.13333333</v>
      </c>
    </row>
    <row r="17">
      <c r="A17" s="702" t="s">
        <v>32682</v>
      </c>
      <c r="B17" s="702" t="s">
        <v>8378</v>
      </c>
      <c r="C17" s="707"/>
      <c r="D17" s="707"/>
      <c r="E17" s="708" t="s">
        <v>32685</v>
      </c>
      <c r="F17" s="709">
        <v>2000.0</v>
      </c>
      <c r="G17" s="708" t="s">
        <v>1082</v>
      </c>
      <c r="H17" s="709">
        <v>10.0</v>
      </c>
      <c r="I17" s="709">
        <v>2500.0</v>
      </c>
      <c r="J17" s="705">
        <f t="shared" si="1"/>
        <v>22500</v>
      </c>
      <c r="K17" s="705">
        <f t="shared" si="2"/>
        <v>3250</v>
      </c>
      <c r="L17" s="705">
        <f t="shared" si="3"/>
        <v>25750</v>
      </c>
      <c r="M17" s="706">
        <f t="shared" si="4"/>
        <v>12.875</v>
      </c>
    </row>
    <row r="18">
      <c r="A18" s="702" t="s">
        <v>32686</v>
      </c>
      <c r="B18" s="702" t="s">
        <v>32687</v>
      </c>
      <c r="C18" s="707"/>
      <c r="D18" s="707"/>
      <c r="E18" s="708" t="s">
        <v>1247</v>
      </c>
      <c r="F18" s="709">
        <v>3000.0</v>
      </c>
      <c r="G18" s="708" t="s">
        <v>507</v>
      </c>
      <c r="H18" s="709">
        <v>350.0</v>
      </c>
      <c r="I18" s="709">
        <v>3000.0</v>
      </c>
      <c r="J18" s="705">
        <f t="shared" si="1"/>
        <v>1053000</v>
      </c>
      <c r="K18" s="705">
        <f t="shared" si="2"/>
        <v>106300</v>
      </c>
      <c r="L18" s="705">
        <f t="shared" si="3"/>
        <v>1159300</v>
      </c>
      <c r="M18" s="706">
        <f t="shared" si="4"/>
        <v>386.4333333</v>
      </c>
    </row>
    <row r="19">
      <c r="A19" s="702" t="s">
        <v>32686</v>
      </c>
      <c r="B19" s="702" t="s">
        <v>8485</v>
      </c>
      <c r="C19" s="707"/>
      <c r="D19" s="707"/>
      <c r="E19" s="708" t="s">
        <v>32688</v>
      </c>
      <c r="F19" s="709">
        <v>700.0</v>
      </c>
      <c r="G19" s="708" t="s">
        <v>519</v>
      </c>
      <c r="H19" s="709">
        <v>430.0</v>
      </c>
      <c r="I19" s="709">
        <v>700.0</v>
      </c>
      <c r="J19" s="705">
        <f t="shared" si="1"/>
        <v>301700</v>
      </c>
      <c r="K19" s="705">
        <f t="shared" si="2"/>
        <v>31170</v>
      </c>
      <c r="L19" s="705">
        <f t="shared" si="3"/>
        <v>332870</v>
      </c>
      <c r="M19" s="706">
        <f t="shared" si="4"/>
        <v>475.5285714</v>
      </c>
    </row>
    <row r="20">
      <c r="A20" s="702" t="s">
        <v>32686</v>
      </c>
      <c r="B20" s="96" t="s">
        <v>8505</v>
      </c>
      <c r="C20" s="707"/>
      <c r="D20" s="707"/>
      <c r="E20" s="708" t="s">
        <v>5502</v>
      </c>
      <c r="F20" s="709">
        <v>5000.0</v>
      </c>
      <c r="G20" s="708" t="s">
        <v>519</v>
      </c>
      <c r="H20" s="709">
        <v>4.23</v>
      </c>
      <c r="I20" s="709">
        <v>5000.0</v>
      </c>
      <c r="J20" s="705">
        <f t="shared" si="1"/>
        <v>26150</v>
      </c>
      <c r="K20" s="705">
        <f t="shared" si="2"/>
        <v>3615</v>
      </c>
      <c r="L20" s="705">
        <f t="shared" si="3"/>
        <v>29765</v>
      </c>
      <c r="M20" s="706">
        <f t="shared" si="4"/>
        <v>5.953</v>
      </c>
    </row>
    <row r="21">
      <c r="A21" s="702" t="s">
        <v>32686</v>
      </c>
      <c r="B21" s="702" t="s">
        <v>32689</v>
      </c>
      <c r="C21" s="707"/>
      <c r="D21" s="707"/>
      <c r="E21" s="708" t="s">
        <v>53</v>
      </c>
      <c r="F21" s="709">
        <v>2000.0</v>
      </c>
      <c r="G21" s="708" t="s">
        <v>32690</v>
      </c>
      <c r="H21" s="709">
        <v>5.0</v>
      </c>
      <c r="I21" s="709">
        <v>2000.0</v>
      </c>
      <c r="J21" s="705">
        <f t="shared" si="1"/>
        <v>12000</v>
      </c>
      <c r="K21" s="705">
        <f t="shared" si="2"/>
        <v>2200</v>
      </c>
      <c r="L21" s="705">
        <f t="shared" si="3"/>
        <v>14200</v>
      </c>
      <c r="M21" s="706">
        <f t="shared" si="4"/>
        <v>7.1</v>
      </c>
    </row>
    <row r="22">
      <c r="A22" s="702" t="s">
        <v>32686</v>
      </c>
      <c r="B22" s="96" t="s">
        <v>8517</v>
      </c>
      <c r="C22" s="707"/>
      <c r="D22" s="707"/>
      <c r="E22" s="708" t="s">
        <v>11907</v>
      </c>
      <c r="F22" s="709">
        <v>1000.0</v>
      </c>
      <c r="G22" s="708" t="s">
        <v>1082</v>
      </c>
      <c r="H22" s="709">
        <v>25.0</v>
      </c>
      <c r="I22" s="709">
        <v>5000.0</v>
      </c>
      <c r="J22" s="705">
        <f t="shared" si="1"/>
        <v>30000</v>
      </c>
      <c r="K22" s="705">
        <f t="shared" si="2"/>
        <v>4000</v>
      </c>
      <c r="L22" s="705">
        <f t="shared" si="3"/>
        <v>34000</v>
      </c>
      <c r="M22" s="706">
        <f t="shared" si="4"/>
        <v>34</v>
      </c>
    </row>
    <row r="23">
      <c r="A23" s="702" t="s">
        <v>32691</v>
      </c>
      <c r="B23" s="702" t="s">
        <v>32692</v>
      </c>
      <c r="C23" s="707"/>
      <c r="D23" s="707"/>
      <c r="E23" s="708" t="s">
        <v>1509</v>
      </c>
      <c r="F23" s="709">
        <v>7000.0</v>
      </c>
      <c r="G23" s="708" t="s">
        <v>638</v>
      </c>
      <c r="H23" s="709">
        <v>5.0</v>
      </c>
      <c r="I23" s="709">
        <v>7000.0</v>
      </c>
      <c r="J23" s="705">
        <f t="shared" si="1"/>
        <v>42000</v>
      </c>
      <c r="K23" s="705">
        <f t="shared" si="2"/>
        <v>5200</v>
      </c>
      <c r="L23" s="705">
        <f t="shared" si="3"/>
        <v>47200</v>
      </c>
      <c r="M23" s="706">
        <f t="shared" si="4"/>
        <v>6.742857143</v>
      </c>
    </row>
    <row r="24">
      <c r="A24" s="702" t="s">
        <v>32693</v>
      </c>
      <c r="B24" s="702" t="s">
        <v>32694</v>
      </c>
      <c r="C24" s="707"/>
      <c r="D24" s="707"/>
      <c r="E24" s="708" t="s">
        <v>32695</v>
      </c>
      <c r="F24" s="709">
        <v>10000.0</v>
      </c>
      <c r="G24" s="708" t="s">
        <v>32696</v>
      </c>
      <c r="H24" s="709">
        <v>15.0</v>
      </c>
      <c r="I24" s="709"/>
      <c r="J24" s="705">
        <f t="shared" si="1"/>
        <v>150000</v>
      </c>
      <c r="K24" s="705">
        <f t="shared" si="2"/>
        <v>16000</v>
      </c>
      <c r="L24" s="705">
        <f t="shared" si="3"/>
        <v>166000</v>
      </c>
      <c r="M24" s="706">
        <f t="shared" si="4"/>
        <v>16.6</v>
      </c>
    </row>
    <row r="25">
      <c r="A25" s="702" t="s">
        <v>32693</v>
      </c>
      <c r="B25" s="702" t="s">
        <v>32697</v>
      </c>
      <c r="C25" s="707"/>
      <c r="D25" s="707"/>
      <c r="E25" s="708" t="s">
        <v>189</v>
      </c>
      <c r="F25" s="709">
        <v>2000.0</v>
      </c>
      <c r="G25" s="708" t="s">
        <v>1082</v>
      </c>
      <c r="H25" s="709">
        <v>6.0</v>
      </c>
      <c r="I25" s="709">
        <v>2000.0</v>
      </c>
      <c r="J25" s="705">
        <f t="shared" si="1"/>
        <v>14000</v>
      </c>
      <c r="K25" s="705">
        <f t="shared" si="2"/>
        <v>2400</v>
      </c>
      <c r="L25" s="705">
        <f t="shared" si="3"/>
        <v>16400</v>
      </c>
      <c r="M25" s="706">
        <f t="shared" si="4"/>
        <v>8.2</v>
      </c>
    </row>
    <row r="26">
      <c r="A26" s="702" t="s">
        <v>32698</v>
      </c>
      <c r="B26" s="702" t="s">
        <v>8609</v>
      </c>
      <c r="C26" s="707"/>
      <c r="D26" s="707"/>
      <c r="E26" s="708" t="s">
        <v>5014</v>
      </c>
      <c r="F26" s="709">
        <v>10000.0</v>
      </c>
      <c r="G26" s="708" t="s">
        <v>906</v>
      </c>
      <c r="H26" s="709">
        <v>25.0</v>
      </c>
      <c r="I26" s="709"/>
      <c r="J26" s="705">
        <f t="shared" si="1"/>
        <v>250000</v>
      </c>
      <c r="K26" s="705">
        <f t="shared" si="2"/>
        <v>26000</v>
      </c>
      <c r="L26" s="705">
        <f t="shared" si="3"/>
        <v>276000</v>
      </c>
      <c r="M26" s="706">
        <f t="shared" si="4"/>
        <v>27.6</v>
      </c>
    </row>
    <row r="27">
      <c r="A27" s="702" t="s">
        <v>32698</v>
      </c>
      <c r="B27" s="702" t="s">
        <v>8593</v>
      </c>
      <c r="C27" s="707"/>
      <c r="D27" s="707"/>
      <c r="E27" s="96" t="s">
        <v>568</v>
      </c>
      <c r="F27" s="709">
        <v>10000.0</v>
      </c>
      <c r="G27" s="708" t="s">
        <v>20765</v>
      </c>
      <c r="H27" s="709">
        <v>15.5</v>
      </c>
      <c r="I27" s="709"/>
      <c r="J27" s="705">
        <f t="shared" si="1"/>
        <v>155000</v>
      </c>
      <c r="K27" s="705">
        <f t="shared" si="2"/>
        <v>16500</v>
      </c>
      <c r="L27" s="705">
        <f t="shared" si="3"/>
        <v>171500</v>
      </c>
      <c r="M27" s="706">
        <f t="shared" si="4"/>
        <v>17.15</v>
      </c>
    </row>
    <row r="28">
      <c r="A28" s="702" t="s">
        <v>32698</v>
      </c>
      <c r="B28" s="96" t="s">
        <v>8593</v>
      </c>
      <c r="C28" s="707"/>
      <c r="D28" s="707"/>
      <c r="E28" s="96" t="s">
        <v>353</v>
      </c>
      <c r="F28" s="709">
        <v>10000.0</v>
      </c>
      <c r="G28" s="708" t="s">
        <v>20765</v>
      </c>
      <c r="H28" s="709">
        <v>81.0</v>
      </c>
      <c r="I28" s="709"/>
      <c r="J28" s="705">
        <f t="shared" si="1"/>
        <v>810000</v>
      </c>
      <c r="K28" s="705">
        <f t="shared" si="2"/>
        <v>82000</v>
      </c>
      <c r="L28" s="705">
        <f t="shared" si="3"/>
        <v>892000</v>
      </c>
      <c r="M28" s="706">
        <f t="shared" si="4"/>
        <v>89.2</v>
      </c>
    </row>
    <row r="29">
      <c r="A29" s="702" t="s">
        <v>32699</v>
      </c>
      <c r="B29" s="96" t="s">
        <v>8827</v>
      </c>
      <c r="C29" s="707"/>
      <c r="D29" s="707"/>
      <c r="E29" s="708" t="s">
        <v>3926</v>
      </c>
      <c r="F29" s="709">
        <v>50.0</v>
      </c>
      <c r="G29" s="708" t="s">
        <v>1082</v>
      </c>
      <c r="H29" s="709">
        <v>300.0</v>
      </c>
      <c r="I29" s="709">
        <v>200.0</v>
      </c>
      <c r="J29" s="705">
        <f t="shared" si="1"/>
        <v>15200</v>
      </c>
      <c r="K29" s="705">
        <f t="shared" si="2"/>
        <v>2520</v>
      </c>
      <c r="L29" s="705">
        <f t="shared" si="3"/>
        <v>17720</v>
      </c>
      <c r="M29" s="706">
        <f t="shared" si="4"/>
        <v>354.4</v>
      </c>
      <c r="N29" s="526" t="s">
        <v>31292</v>
      </c>
    </row>
    <row r="30">
      <c r="A30" s="702" t="s">
        <v>32699</v>
      </c>
      <c r="B30" s="96" t="s">
        <v>8827</v>
      </c>
      <c r="C30" s="707"/>
      <c r="D30" s="707"/>
      <c r="E30" s="708" t="s">
        <v>257</v>
      </c>
      <c r="F30" s="709">
        <v>100.0</v>
      </c>
      <c r="G30" s="708" t="s">
        <v>1082</v>
      </c>
      <c r="H30" s="709">
        <v>3.8</v>
      </c>
      <c r="I30" s="709">
        <v>200.0</v>
      </c>
      <c r="J30" s="705">
        <f t="shared" si="1"/>
        <v>580</v>
      </c>
      <c r="K30" s="705">
        <f t="shared" si="2"/>
        <v>1058</v>
      </c>
      <c r="L30" s="705">
        <f t="shared" si="3"/>
        <v>1638</v>
      </c>
      <c r="M30" s="706">
        <f t="shared" si="4"/>
        <v>16.38</v>
      </c>
      <c r="N30" s="526" t="s">
        <v>31282</v>
      </c>
    </row>
    <row r="31">
      <c r="A31" s="702" t="s">
        <v>32699</v>
      </c>
      <c r="B31" s="96" t="s">
        <v>8827</v>
      </c>
      <c r="C31" s="707"/>
      <c r="D31" s="707"/>
      <c r="E31" s="708" t="s">
        <v>32700</v>
      </c>
      <c r="F31" s="709">
        <v>100.0</v>
      </c>
      <c r="G31" s="708" t="s">
        <v>1082</v>
      </c>
      <c r="H31" s="709">
        <v>18.0</v>
      </c>
      <c r="I31" s="709">
        <v>200.0</v>
      </c>
      <c r="J31" s="705">
        <f t="shared" si="1"/>
        <v>2000</v>
      </c>
      <c r="K31" s="705">
        <f t="shared" si="2"/>
        <v>1200</v>
      </c>
      <c r="L31" s="705">
        <f t="shared" si="3"/>
        <v>3200</v>
      </c>
      <c r="M31" s="706">
        <f t="shared" si="4"/>
        <v>32</v>
      </c>
      <c r="N31" s="526" t="s">
        <v>9706</v>
      </c>
    </row>
    <row r="32">
      <c r="A32" s="702" t="s">
        <v>32699</v>
      </c>
      <c r="B32" s="96" t="s">
        <v>8827</v>
      </c>
      <c r="C32" s="707"/>
      <c r="D32" s="707"/>
      <c r="E32" s="708" t="s">
        <v>786</v>
      </c>
      <c r="F32" s="709">
        <v>100.0</v>
      </c>
      <c r="G32" s="708" t="s">
        <v>1082</v>
      </c>
      <c r="H32" s="709">
        <v>42.0</v>
      </c>
      <c r="I32" s="709">
        <v>200.0</v>
      </c>
      <c r="J32" s="705">
        <f t="shared" si="1"/>
        <v>4400</v>
      </c>
      <c r="K32" s="705">
        <f t="shared" si="2"/>
        <v>1440</v>
      </c>
      <c r="L32" s="705">
        <f t="shared" si="3"/>
        <v>5840</v>
      </c>
      <c r="M32" s="706">
        <f t="shared" si="4"/>
        <v>58.4</v>
      </c>
      <c r="N32" s="526" t="s">
        <v>10361</v>
      </c>
    </row>
    <row r="33">
      <c r="A33" s="702" t="s">
        <v>32699</v>
      </c>
      <c r="B33" s="96" t="s">
        <v>8827</v>
      </c>
      <c r="C33" s="707"/>
      <c r="D33" s="707"/>
      <c r="E33" s="708" t="s">
        <v>32701</v>
      </c>
      <c r="F33" s="709">
        <v>200.0</v>
      </c>
      <c r="G33" s="708" t="s">
        <v>1082</v>
      </c>
      <c r="H33" s="709"/>
      <c r="I33" s="709"/>
      <c r="J33" s="705">
        <f t="shared" si="1"/>
        <v>0</v>
      </c>
      <c r="K33" s="705">
        <f t="shared" si="2"/>
        <v>1000</v>
      </c>
      <c r="L33" s="705">
        <f t="shared" si="3"/>
        <v>1000</v>
      </c>
      <c r="M33" s="706">
        <f t="shared" si="4"/>
        <v>5</v>
      </c>
      <c r="N33" s="526" t="s">
        <v>9636</v>
      </c>
    </row>
    <row r="34">
      <c r="A34" s="702" t="s">
        <v>32699</v>
      </c>
      <c r="B34" s="96" t="s">
        <v>8827</v>
      </c>
      <c r="C34" s="707"/>
      <c r="D34" s="707"/>
      <c r="E34" s="708" t="s">
        <v>2622</v>
      </c>
      <c r="F34" s="709">
        <v>500.0</v>
      </c>
      <c r="G34" s="708" t="s">
        <v>1082</v>
      </c>
      <c r="H34" s="709">
        <v>21.0</v>
      </c>
      <c r="I34" s="709">
        <v>500.0</v>
      </c>
      <c r="J34" s="705">
        <f t="shared" si="1"/>
        <v>11000</v>
      </c>
      <c r="K34" s="705">
        <f t="shared" si="2"/>
        <v>2100</v>
      </c>
      <c r="L34" s="705">
        <f t="shared" si="3"/>
        <v>13100</v>
      </c>
      <c r="M34" s="706">
        <f t="shared" si="4"/>
        <v>26.2</v>
      </c>
      <c r="N34" s="526" t="s">
        <v>32702</v>
      </c>
    </row>
    <row r="35">
      <c r="A35" s="702" t="s">
        <v>32699</v>
      </c>
      <c r="B35" s="96" t="s">
        <v>8827</v>
      </c>
      <c r="C35" s="707"/>
      <c r="D35" s="707"/>
      <c r="E35" s="708" t="s">
        <v>13519</v>
      </c>
      <c r="F35" s="709">
        <v>500.0</v>
      </c>
      <c r="G35" s="708" t="s">
        <v>1082</v>
      </c>
      <c r="H35" s="709">
        <v>3.6</v>
      </c>
      <c r="I35" s="709">
        <v>500.0</v>
      </c>
      <c r="J35" s="705">
        <f t="shared" si="1"/>
        <v>2300</v>
      </c>
      <c r="K35" s="705">
        <f t="shared" si="2"/>
        <v>1230</v>
      </c>
      <c r="L35" s="705">
        <f t="shared" si="3"/>
        <v>3530</v>
      </c>
      <c r="M35" s="706">
        <f t="shared" si="4"/>
        <v>7.06</v>
      </c>
      <c r="N35" s="526" t="s">
        <v>3044</v>
      </c>
    </row>
    <row r="36">
      <c r="A36" s="702" t="s">
        <v>32699</v>
      </c>
      <c r="B36" s="96" t="s">
        <v>8827</v>
      </c>
      <c r="C36" s="707"/>
      <c r="D36" s="707"/>
      <c r="E36" s="98" t="s">
        <v>32703</v>
      </c>
      <c r="F36" s="709">
        <v>200.0</v>
      </c>
      <c r="G36" s="708" t="s">
        <v>1082</v>
      </c>
      <c r="H36" s="709">
        <v>4.5</v>
      </c>
      <c r="I36" s="709">
        <v>500.0</v>
      </c>
      <c r="J36" s="705">
        <f t="shared" si="1"/>
        <v>1400</v>
      </c>
      <c r="K36" s="705">
        <f t="shared" si="2"/>
        <v>1140</v>
      </c>
      <c r="L36" s="705">
        <f t="shared" si="3"/>
        <v>2540</v>
      </c>
      <c r="M36" s="706">
        <f t="shared" si="4"/>
        <v>12.7</v>
      </c>
      <c r="N36" s="526" t="s">
        <v>8528</v>
      </c>
    </row>
    <row r="37">
      <c r="A37" s="702" t="s">
        <v>32704</v>
      </c>
      <c r="B37" s="702" t="s">
        <v>8850</v>
      </c>
      <c r="C37" s="707"/>
      <c r="D37" s="707"/>
      <c r="E37" s="708" t="s">
        <v>7197</v>
      </c>
      <c r="F37" s="709">
        <v>12000.0</v>
      </c>
      <c r="G37" s="708" t="s">
        <v>1082</v>
      </c>
      <c r="H37" s="709">
        <v>26.0</v>
      </c>
      <c r="I37" s="709"/>
      <c r="J37" s="705">
        <f t="shared" si="1"/>
        <v>312000</v>
      </c>
      <c r="K37" s="705">
        <f t="shared" si="2"/>
        <v>32200</v>
      </c>
      <c r="L37" s="705">
        <f t="shared" si="3"/>
        <v>344200</v>
      </c>
      <c r="M37" s="706">
        <f t="shared" si="4"/>
        <v>28.68333333</v>
      </c>
    </row>
    <row r="38">
      <c r="A38" s="702" t="s">
        <v>32705</v>
      </c>
      <c r="B38" s="702" t="s">
        <v>9058</v>
      </c>
      <c r="C38" s="707"/>
      <c r="D38" s="707"/>
      <c r="E38" s="708" t="s">
        <v>1412</v>
      </c>
      <c r="F38" s="709">
        <v>1000.0</v>
      </c>
      <c r="G38" s="708" t="s">
        <v>1082</v>
      </c>
      <c r="H38" s="709">
        <v>18.0</v>
      </c>
      <c r="I38" s="709">
        <v>1000.0</v>
      </c>
      <c r="J38" s="705">
        <f t="shared" si="1"/>
        <v>19000</v>
      </c>
      <c r="K38" s="705">
        <f t="shared" si="2"/>
        <v>2900</v>
      </c>
      <c r="L38" s="705">
        <f t="shared" si="3"/>
        <v>21900</v>
      </c>
      <c r="M38" s="706">
        <f t="shared" si="4"/>
        <v>21.9</v>
      </c>
    </row>
    <row r="39">
      <c r="A39" s="702" t="s">
        <v>32706</v>
      </c>
      <c r="B39" s="702" t="s">
        <v>9219</v>
      </c>
      <c r="C39" s="707"/>
      <c r="D39" s="707"/>
      <c r="E39" s="708" t="s">
        <v>625</v>
      </c>
      <c r="F39" s="709">
        <v>1000.0</v>
      </c>
      <c r="G39" s="708" t="s">
        <v>1082</v>
      </c>
      <c r="H39" s="709">
        <v>22.0</v>
      </c>
      <c r="I39" s="709">
        <v>1000.0</v>
      </c>
      <c r="J39" s="705">
        <f t="shared" si="1"/>
        <v>23000</v>
      </c>
      <c r="K39" s="705">
        <f t="shared" si="2"/>
        <v>3300</v>
      </c>
      <c r="L39" s="705">
        <f t="shared" si="3"/>
        <v>26300</v>
      </c>
      <c r="M39" s="706">
        <f t="shared" si="4"/>
        <v>26.3</v>
      </c>
    </row>
    <row r="40">
      <c r="A40" s="702" t="s">
        <v>32707</v>
      </c>
      <c r="B40" s="96" t="s">
        <v>9247</v>
      </c>
      <c r="C40" s="707"/>
      <c r="D40" s="707"/>
      <c r="E40" s="96" t="s">
        <v>7040</v>
      </c>
      <c r="F40" s="709">
        <v>1000.0</v>
      </c>
      <c r="G40" s="708" t="s">
        <v>4841</v>
      </c>
      <c r="H40" s="709">
        <v>9.0</v>
      </c>
      <c r="I40" s="709">
        <v>1000.0</v>
      </c>
      <c r="J40" s="705">
        <f t="shared" si="1"/>
        <v>10000</v>
      </c>
      <c r="K40" s="705">
        <f t="shared" si="2"/>
        <v>2000</v>
      </c>
      <c r="L40" s="705">
        <f t="shared" si="3"/>
        <v>12000</v>
      </c>
      <c r="M40" s="706">
        <f t="shared" si="4"/>
        <v>12</v>
      </c>
    </row>
    <row r="41">
      <c r="A41" s="702" t="s">
        <v>32708</v>
      </c>
      <c r="B41" s="702" t="s">
        <v>9307</v>
      </c>
      <c r="C41" s="707"/>
      <c r="D41" s="707"/>
      <c r="E41" s="708" t="s">
        <v>1230</v>
      </c>
      <c r="F41" s="709">
        <v>2000.0</v>
      </c>
      <c r="G41" s="708" t="s">
        <v>977</v>
      </c>
      <c r="H41" s="709">
        <v>4.5</v>
      </c>
      <c r="I41" s="709">
        <v>2000.0</v>
      </c>
      <c r="J41" s="705">
        <f t="shared" si="1"/>
        <v>11000</v>
      </c>
      <c r="K41" s="705">
        <f t="shared" si="2"/>
        <v>2100</v>
      </c>
      <c r="L41" s="705">
        <f t="shared" si="3"/>
        <v>13100</v>
      </c>
      <c r="M41" s="706">
        <f t="shared" si="4"/>
        <v>6.55</v>
      </c>
    </row>
    <row r="42">
      <c r="A42" s="702" t="s">
        <v>32709</v>
      </c>
      <c r="B42" s="702" t="s">
        <v>9317</v>
      </c>
      <c r="C42" s="707"/>
      <c r="D42" s="707"/>
      <c r="E42" s="708" t="s">
        <v>13809</v>
      </c>
      <c r="F42" s="709">
        <v>5000.0</v>
      </c>
      <c r="G42" s="708" t="s">
        <v>1082</v>
      </c>
      <c r="H42" s="709">
        <v>520.0</v>
      </c>
      <c r="I42" s="709">
        <v>5000.0</v>
      </c>
      <c r="J42" s="705">
        <f t="shared" si="1"/>
        <v>2605000</v>
      </c>
      <c r="K42" s="705">
        <f t="shared" si="2"/>
        <v>261500</v>
      </c>
      <c r="L42" s="705">
        <f t="shared" si="3"/>
        <v>2866500</v>
      </c>
      <c r="M42" s="706">
        <f t="shared" si="4"/>
        <v>573.3</v>
      </c>
    </row>
    <row r="43">
      <c r="A43" s="702" t="s">
        <v>32709</v>
      </c>
      <c r="B43" s="702" t="s">
        <v>9324</v>
      </c>
      <c r="C43" s="707"/>
      <c r="D43" s="707"/>
      <c r="E43" s="708" t="s">
        <v>5203</v>
      </c>
      <c r="F43" s="709">
        <v>2000.0</v>
      </c>
      <c r="G43" s="708" t="s">
        <v>1082</v>
      </c>
      <c r="H43" s="709">
        <v>4.2</v>
      </c>
      <c r="I43" s="709">
        <v>2000.0</v>
      </c>
      <c r="J43" s="705">
        <f t="shared" si="1"/>
        <v>10400</v>
      </c>
      <c r="K43" s="705">
        <f t="shared" si="2"/>
        <v>2040</v>
      </c>
      <c r="L43" s="705">
        <f t="shared" si="3"/>
        <v>12440</v>
      </c>
      <c r="M43" s="706">
        <f t="shared" si="4"/>
        <v>6.22</v>
      </c>
    </row>
    <row r="44">
      <c r="A44" s="702" t="s">
        <v>32709</v>
      </c>
      <c r="B44" s="702" t="s">
        <v>9339</v>
      </c>
      <c r="C44" s="707"/>
      <c r="D44" s="707"/>
      <c r="E44" s="708" t="s">
        <v>189</v>
      </c>
      <c r="F44" s="709">
        <v>1000.0</v>
      </c>
      <c r="G44" s="708" t="s">
        <v>822</v>
      </c>
      <c r="H44" s="709">
        <v>6.0</v>
      </c>
      <c r="I44" s="709">
        <v>1000.0</v>
      </c>
      <c r="J44" s="705">
        <f t="shared" si="1"/>
        <v>7000</v>
      </c>
      <c r="K44" s="705">
        <f t="shared" si="2"/>
        <v>1700</v>
      </c>
      <c r="L44" s="705">
        <f t="shared" si="3"/>
        <v>8700</v>
      </c>
      <c r="M44" s="706">
        <f t="shared" si="4"/>
        <v>8.7</v>
      </c>
    </row>
    <row r="45">
      <c r="A45" s="702" t="s">
        <v>32709</v>
      </c>
      <c r="B45" s="702" t="s">
        <v>9345</v>
      </c>
      <c r="C45" s="707"/>
      <c r="D45" s="707"/>
      <c r="E45" s="708" t="s">
        <v>189</v>
      </c>
      <c r="F45" s="709">
        <v>32000.0</v>
      </c>
      <c r="G45" s="708" t="s">
        <v>158</v>
      </c>
      <c r="H45" s="709">
        <v>6.0</v>
      </c>
      <c r="I45" s="709"/>
      <c r="J45" s="705">
        <f t="shared" si="1"/>
        <v>192000</v>
      </c>
      <c r="K45" s="705">
        <f t="shared" si="2"/>
        <v>20200</v>
      </c>
      <c r="L45" s="705">
        <f t="shared" si="3"/>
        <v>212200</v>
      </c>
      <c r="M45" s="706">
        <f t="shared" si="4"/>
        <v>6.63125</v>
      </c>
    </row>
    <row r="46" ht="29.25" customHeight="1">
      <c r="A46" s="702" t="s">
        <v>32709</v>
      </c>
      <c r="B46" s="702" t="s">
        <v>9360</v>
      </c>
      <c r="C46" s="707"/>
      <c r="D46" s="707"/>
      <c r="E46" s="708" t="s">
        <v>6311</v>
      </c>
      <c r="F46" s="709">
        <v>5000.0</v>
      </c>
      <c r="G46" s="105" t="s">
        <v>1082</v>
      </c>
      <c r="H46" s="709">
        <v>4.1</v>
      </c>
      <c r="I46" s="709">
        <v>3000.0</v>
      </c>
      <c r="J46" s="705">
        <f t="shared" si="1"/>
        <v>23500</v>
      </c>
      <c r="K46" s="705">
        <f t="shared" si="2"/>
        <v>3350</v>
      </c>
      <c r="L46" s="705">
        <f t="shared" si="3"/>
        <v>26850</v>
      </c>
      <c r="M46" s="706">
        <f t="shared" si="4"/>
        <v>5.37</v>
      </c>
    </row>
    <row r="47">
      <c r="A47" s="702" t="s">
        <v>32710</v>
      </c>
      <c r="B47" s="702" t="s">
        <v>32711</v>
      </c>
      <c r="C47" s="707"/>
      <c r="D47" s="707"/>
      <c r="E47" s="708" t="s">
        <v>32712</v>
      </c>
      <c r="F47" s="709">
        <v>2000.0</v>
      </c>
      <c r="G47" s="710" t="s">
        <v>977</v>
      </c>
      <c r="H47" s="709">
        <v>17.0</v>
      </c>
      <c r="I47" s="709"/>
      <c r="J47" s="705">
        <f t="shared" si="1"/>
        <v>34000</v>
      </c>
      <c r="K47" s="705">
        <f t="shared" si="2"/>
        <v>4400</v>
      </c>
      <c r="L47" s="705">
        <f t="shared" si="3"/>
        <v>38400</v>
      </c>
      <c r="M47" s="706">
        <f t="shared" si="4"/>
        <v>19.2</v>
      </c>
    </row>
    <row r="48">
      <c r="A48" s="702" t="s">
        <v>32710</v>
      </c>
      <c r="B48" s="702" t="s">
        <v>32713</v>
      </c>
      <c r="C48" s="707"/>
      <c r="D48" s="707"/>
      <c r="E48" s="708" t="s">
        <v>32714</v>
      </c>
      <c r="F48" s="709">
        <v>14000.0</v>
      </c>
      <c r="G48" s="710" t="s">
        <v>977</v>
      </c>
      <c r="H48" s="709">
        <v>8.7</v>
      </c>
      <c r="I48" s="709"/>
      <c r="J48" s="705">
        <f t="shared" si="1"/>
        <v>121800</v>
      </c>
      <c r="K48" s="705">
        <f t="shared" si="2"/>
        <v>13180</v>
      </c>
      <c r="L48" s="705">
        <f t="shared" si="3"/>
        <v>134980</v>
      </c>
      <c r="M48" s="706">
        <f t="shared" si="4"/>
        <v>9.641428571</v>
      </c>
    </row>
    <row r="49">
      <c r="A49" s="702" t="s">
        <v>32710</v>
      </c>
      <c r="B49" s="702" t="s">
        <v>32713</v>
      </c>
      <c r="C49" s="707"/>
      <c r="D49" s="707"/>
      <c r="E49" s="708" t="s">
        <v>156</v>
      </c>
      <c r="F49" s="709">
        <v>14000.0</v>
      </c>
      <c r="G49" s="710" t="s">
        <v>977</v>
      </c>
      <c r="H49" s="709">
        <v>5.2</v>
      </c>
      <c r="I49" s="709"/>
      <c r="J49" s="705">
        <f t="shared" si="1"/>
        <v>72800</v>
      </c>
      <c r="K49" s="705">
        <f t="shared" si="2"/>
        <v>8280</v>
      </c>
      <c r="L49" s="705">
        <f t="shared" si="3"/>
        <v>81080</v>
      </c>
      <c r="M49" s="706">
        <f t="shared" si="4"/>
        <v>5.791428571</v>
      </c>
    </row>
    <row r="50">
      <c r="A50" s="702" t="s">
        <v>32715</v>
      </c>
      <c r="B50" s="702" t="s">
        <v>9442</v>
      </c>
      <c r="C50" s="707"/>
      <c r="D50" s="707"/>
      <c r="E50" s="708" t="s">
        <v>9109</v>
      </c>
      <c r="F50" s="709">
        <v>20000.0</v>
      </c>
      <c r="G50" s="708" t="s">
        <v>1082</v>
      </c>
      <c r="H50" s="709">
        <v>9.5</v>
      </c>
      <c r="I50" s="709"/>
      <c r="J50" s="705">
        <f t="shared" si="1"/>
        <v>190000</v>
      </c>
      <c r="K50" s="705">
        <f t="shared" si="2"/>
        <v>20000</v>
      </c>
      <c r="L50" s="705">
        <f t="shared" si="3"/>
        <v>210000</v>
      </c>
      <c r="M50" s="706">
        <f t="shared" si="4"/>
        <v>10.5</v>
      </c>
    </row>
    <row r="51">
      <c r="A51" s="702" t="s">
        <v>32716</v>
      </c>
      <c r="B51" s="96" t="s">
        <v>9453</v>
      </c>
      <c r="C51" s="707"/>
      <c r="D51" s="707"/>
      <c r="E51" s="708" t="s">
        <v>83</v>
      </c>
      <c r="F51" s="709">
        <v>1000.0</v>
      </c>
      <c r="G51" s="708" t="s">
        <v>1082</v>
      </c>
      <c r="H51" s="709">
        <v>30.0</v>
      </c>
      <c r="I51" s="709">
        <v>1000.0</v>
      </c>
      <c r="J51" s="705">
        <f t="shared" si="1"/>
        <v>31000</v>
      </c>
      <c r="K51" s="705">
        <f t="shared" si="2"/>
        <v>4100</v>
      </c>
      <c r="L51" s="705">
        <f t="shared" si="3"/>
        <v>35100</v>
      </c>
      <c r="M51" s="706">
        <f t="shared" si="4"/>
        <v>35.1</v>
      </c>
    </row>
    <row r="52">
      <c r="A52" s="702" t="s">
        <v>32717</v>
      </c>
      <c r="B52" s="702" t="s">
        <v>9460</v>
      </c>
      <c r="C52" s="707"/>
      <c r="D52" s="707"/>
      <c r="E52" s="711" t="s">
        <v>9462</v>
      </c>
      <c r="F52" s="709">
        <v>5000.0</v>
      </c>
      <c r="G52" s="708" t="s">
        <v>1082</v>
      </c>
      <c r="H52" s="709">
        <v>90.0</v>
      </c>
      <c r="I52" s="709">
        <v>5000.0</v>
      </c>
      <c r="J52" s="705">
        <f t="shared" si="1"/>
        <v>455000</v>
      </c>
      <c r="K52" s="705">
        <f t="shared" si="2"/>
        <v>46500</v>
      </c>
      <c r="L52" s="705">
        <f t="shared" si="3"/>
        <v>501500</v>
      </c>
      <c r="M52" s="706">
        <f t="shared" si="4"/>
        <v>100.3</v>
      </c>
    </row>
    <row r="53">
      <c r="A53" s="702" t="s">
        <v>32718</v>
      </c>
      <c r="B53" s="702" t="s">
        <v>9495</v>
      </c>
      <c r="C53" s="707"/>
      <c r="D53" s="707"/>
      <c r="E53" s="708" t="s">
        <v>6920</v>
      </c>
      <c r="F53" s="709">
        <v>500.0</v>
      </c>
      <c r="G53" s="708" t="s">
        <v>99</v>
      </c>
      <c r="H53" s="709">
        <v>85.0</v>
      </c>
      <c r="I53" s="709">
        <v>500.0</v>
      </c>
      <c r="J53" s="705">
        <f t="shared" si="1"/>
        <v>43000</v>
      </c>
      <c r="K53" s="705">
        <f t="shared" si="2"/>
        <v>5300</v>
      </c>
      <c r="L53" s="705">
        <f t="shared" si="3"/>
        <v>48300</v>
      </c>
      <c r="M53" s="706">
        <f t="shared" si="4"/>
        <v>96.6</v>
      </c>
    </row>
    <row r="54">
      <c r="A54" s="702" t="s">
        <v>32719</v>
      </c>
      <c r="B54" s="702" t="s">
        <v>9508</v>
      </c>
      <c r="C54" s="707"/>
      <c r="D54" s="707"/>
      <c r="E54" s="708" t="s">
        <v>32720</v>
      </c>
      <c r="F54" s="709">
        <v>1000.0</v>
      </c>
      <c r="G54" s="708" t="s">
        <v>1082</v>
      </c>
      <c r="H54" s="709">
        <v>4.75</v>
      </c>
      <c r="I54" s="709">
        <v>1000.0</v>
      </c>
      <c r="J54" s="705">
        <f t="shared" si="1"/>
        <v>5750</v>
      </c>
      <c r="K54" s="705">
        <f t="shared" si="2"/>
        <v>1575</v>
      </c>
      <c r="L54" s="705">
        <f t="shared" si="3"/>
        <v>7325</v>
      </c>
      <c r="M54" s="706">
        <f t="shared" si="4"/>
        <v>7.325</v>
      </c>
    </row>
    <row r="55">
      <c r="A55" s="702" t="s">
        <v>32719</v>
      </c>
      <c r="B55" s="702" t="s">
        <v>9516</v>
      </c>
      <c r="C55" s="707"/>
      <c r="D55" s="707"/>
      <c r="E55" s="708" t="s">
        <v>7188</v>
      </c>
      <c r="F55" s="709">
        <v>2000.0</v>
      </c>
      <c r="G55" s="708" t="s">
        <v>1082</v>
      </c>
      <c r="H55" s="709">
        <v>4.8</v>
      </c>
      <c r="I55" s="709">
        <v>500.0</v>
      </c>
      <c r="J55" s="705">
        <f t="shared" si="1"/>
        <v>10100</v>
      </c>
      <c r="K55" s="705">
        <f t="shared" si="2"/>
        <v>2010</v>
      </c>
      <c r="L55" s="705">
        <f t="shared" si="3"/>
        <v>12110</v>
      </c>
      <c r="M55" s="706">
        <f t="shared" si="4"/>
        <v>6.055</v>
      </c>
    </row>
    <row r="56">
      <c r="A56" s="702" t="s">
        <v>32719</v>
      </c>
      <c r="B56" s="702" t="s">
        <v>9516</v>
      </c>
      <c r="C56" s="707"/>
      <c r="D56" s="707"/>
      <c r="E56" s="708" t="s">
        <v>32721</v>
      </c>
      <c r="F56" s="709">
        <v>500.0</v>
      </c>
      <c r="G56" s="708" t="s">
        <v>1082</v>
      </c>
      <c r="H56" s="709">
        <v>23.0</v>
      </c>
      <c r="I56" s="709">
        <v>500.0</v>
      </c>
      <c r="J56" s="705">
        <f t="shared" si="1"/>
        <v>12000</v>
      </c>
      <c r="K56" s="705">
        <f t="shared" si="2"/>
        <v>2200</v>
      </c>
      <c r="L56" s="705">
        <f t="shared" si="3"/>
        <v>14200</v>
      </c>
      <c r="M56" s="706">
        <f t="shared" si="4"/>
        <v>28.4</v>
      </c>
    </row>
    <row r="57">
      <c r="A57" s="702" t="s">
        <v>32719</v>
      </c>
      <c r="B57" s="702" t="s">
        <v>9516</v>
      </c>
      <c r="C57" s="707"/>
      <c r="D57" s="707"/>
      <c r="E57" s="708" t="s">
        <v>523</v>
      </c>
      <c r="F57" s="709">
        <v>1500.0</v>
      </c>
      <c r="G57" s="708" t="s">
        <v>1082</v>
      </c>
      <c r="H57" s="709">
        <v>4.75</v>
      </c>
      <c r="I57" s="709">
        <v>1500.0</v>
      </c>
      <c r="J57" s="705">
        <f t="shared" si="1"/>
        <v>8625</v>
      </c>
      <c r="K57" s="705">
        <f t="shared" si="2"/>
        <v>1862.5</v>
      </c>
      <c r="L57" s="705">
        <f t="shared" si="3"/>
        <v>10487.5</v>
      </c>
      <c r="M57" s="706">
        <f t="shared" si="4"/>
        <v>6.991666667</v>
      </c>
    </row>
    <row r="58">
      <c r="A58" s="702" t="s">
        <v>32719</v>
      </c>
      <c r="B58" s="702" t="s">
        <v>9516</v>
      </c>
      <c r="C58" s="707"/>
      <c r="D58" s="707"/>
      <c r="E58" s="708" t="s">
        <v>32722</v>
      </c>
      <c r="F58" s="709">
        <v>500.0</v>
      </c>
      <c r="G58" s="708" t="s">
        <v>1082</v>
      </c>
      <c r="H58" s="709">
        <v>4.8</v>
      </c>
      <c r="I58" s="709">
        <v>500.0</v>
      </c>
      <c r="J58" s="705">
        <f t="shared" si="1"/>
        <v>2900</v>
      </c>
      <c r="K58" s="705">
        <f t="shared" si="2"/>
        <v>1290</v>
      </c>
      <c r="L58" s="705">
        <f t="shared" si="3"/>
        <v>4190</v>
      </c>
      <c r="M58" s="706">
        <f t="shared" si="4"/>
        <v>8.38</v>
      </c>
    </row>
    <row r="59">
      <c r="A59" s="702" t="s">
        <v>32719</v>
      </c>
      <c r="B59" s="702" t="s">
        <v>9516</v>
      </c>
      <c r="C59" s="707"/>
      <c r="D59" s="707"/>
      <c r="E59" s="708" t="s">
        <v>13934</v>
      </c>
      <c r="F59" s="709">
        <v>200.0</v>
      </c>
      <c r="G59" s="708" t="s">
        <v>1082</v>
      </c>
      <c r="H59" s="709">
        <v>44.0</v>
      </c>
      <c r="I59" s="709">
        <v>300.0</v>
      </c>
      <c r="J59" s="705">
        <f t="shared" si="1"/>
        <v>9100</v>
      </c>
      <c r="K59" s="705">
        <f t="shared" si="2"/>
        <v>1910</v>
      </c>
      <c r="L59" s="705">
        <f t="shared" si="3"/>
        <v>11010</v>
      </c>
      <c r="M59" s="706">
        <f t="shared" si="4"/>
        <v>55.05</v>
      </c>
    </row>
    <row r="60">
      <c r="A60" s="702" t="s">
        <v>32719</v>
      </c>
      <c r="B60" s="702" t="s">
        <v>9516</v>
      </c>
      <c r="C60" s="707"/>
      <c r="D60" s="707"/>
      <c r="E60" s="708" t="s">
        <v>1373</v>
      </c>
      <c r="F60" s="709">
        <v>300.0</v>
      </c>
      <c r="G60" s="708" t="s">
        <v>1082</v>
      </c>
      <c r="H60" s="709">
        <v>13.2</v>
      </c>
      <c r="I60" s="709">
        <v>500.0</v>
      </c>
      <c r="J60" s="705">
        <f t="shared" si="1"/>
        <v>4460</v>
      </c>
      <c r="K60" s="705">
        <f t="shared" si="2"/>
        <v>1446</v>
      </c>
      <c r="L60" s="705">
        <f t="shared" si="3"/>
        <v>5906</v>
      </c>
      <c r="M60" s="706">
        <f t="shared" si="4"/>
        <v>19.68666667</v>
      </c>
    </row>
    <row r="61">
      <c r="A61" s="702" t="s">
        <v>32719</v>
      </c>
      <c r="B61" s="702" t="s">
        <v>9516</v>
      </c>
      <c r="C61" s="707"/>
      <c r="D61" s="707"/>
      <c r="E61" s="708" t="s">
        <v>3165</v>
      </c>
      <c r="F61" s="709">
        <v>50.0</v>
      </c>
      <c r="G61" s="708" t="s">
        <v>1082</v>
      </c>
      <c r="H61" s="709">
        <v>90.0</v>
      </c>
      <c r="I61" s="709"/>
      <c r="J61" s="705">
        <f t="shared" si="1"/>
        <v>4500</v>
      </c>
      <c r="K61" s="705">
        <f t="shared" si="2"/>
        <v>1450</v>
      </c>
      <c r="L61" s="705">
        <f t="shared" si="3"/>
        <v>5950</v>
      </c>
      <c r="M61" s="706">
        <f t="shared" si="4"/>
        <v>119</v>
      </c>
    </row>
    <row r="62">
      <c r="A62" s="702" t="s">
        <v>32719</v>
      </c>
      <c r="B62" s="702" t="s">
        <v>9516</v>
      </c>
      <c r="C62" s="707"/>
      <c r="D62" s="707"/>
      <c r="E62" s="708" t="s">
        <v>32723</v>
      </c>
      <c r="F62" s="709">
        <v>300.0</v>
      </c>
      <c r="G62" s="708" t="s">
        <v>1082</v>
      </c>
      <c r="H62" s="709">
        <v>3.5</v>
      </c>
      <c r="I62" s="709">
        <v>500.0</v>
      </c>
      <c r="J62" s="705">
        <f t="shared" si="1"/>
        <v>1550</v>
      </c>
      <c r="K62" s="705">
        <f t="shared" si="2"/>
        <v>1155</v>
      </c>
      <c r="L62" s="705">
        <f t="shared" si="3"/>
        <v>2705</v>
      </c>
      <c r="M62" s="706">
        <f t="shared" si="4"/>
        <v>9.016666667</v>
      </c>
    </row>
    <row r="63">
      <c r="A63" s="702" t="s">
        <v>32719</v>
      </c>
      <c r="B63" s="702" t="s">
        <v>9527</v>
      </c>
      <c r="C63" s="707"/>
      <c r="D63" s="707"/>
      <c r="E63" s="708" t="s">
        <v>1749</v>
      </c>
      <c r="F63" s="709">
        <v>1000.0</v>
      </c>
      <c r="G63" s="708" t="s">
        <v>3216</v>
      </c>
      <c r="H63" s="709">
        <v>46.0</v>
      </c>
      <c r="I63" s="709">
        <v>500.0</v>
      </c>
      <c r="J63" s="705">
        <f t="shared" si="1"/>
        <v>46500</v>
      </c>
      <c r="K63" s="705">
        <f t="shared" si="2"/>
        <v>5650</v>
      </c>
      <c r="L63" s="705">
        <f t="shared" si="3"/>
        <v>52150</v>
      </c>
      <c r="M63" s="706">
        <f t="shared" si="4"/>
        <v>52.15</v>
      </c>
    </row>
    <row r="64">
      <c r="A64" s="702" t="s">
        <v>32724</v>
      </c>
      <c r="B64" s="702" t="s">
        <v>32725</v>
      </c>
      <c r="C64" s="707"/>
      <c r="D64" s="707"/>
      <c r="E64" s="708" t="s">
        <v>10689</v>
      </c>
      <c r="F64" s="709">
        <v>100.0</v>
      </c>
      <c r="G64" s="708" t="s">
        <v>44</v>
      </c>
      <c r="H64" s="709">
        <v>20.0</v>
      </c>
      <c r="I64" s="709">
        <v>300.0</v>
      </c>
      <c r="J64" s="705">
        <f t="shared" si="1"/>
        <v>2300</v>
      </c>
      <c r="K64" s="705">
        <f t="shared" si="2"/>
        <v>1230</v>
      </c>
      <c r="L64" s="705">
        <f t="shared" si="3"/>
        <v>3530</v>
      </c>
      <c r="M64" s="706">
        <f t="shared" si="4"/>
        <v>35.3</v>
      </c>
    </row>
    <row r="65">
      <c r="A65" s="702" t="s">
        <v>32724</v>
      </c>
      <c r="B65" s="702" t="s">
        <v>32725</v>
      </c>
      <c r="C65" s="707"/>
      <c r="D65" s="707"/>
      <c r="E65" s="708" t="s">
        <v>6760</v>
      </c>
      <c r="F65" s="709">
        <v>200.0</v>
      </c>
      <c r="G65" s="708" t="s">
        <v>44</v>
      </c>
      <c r="H65" s="709">
        <v>140.0</v>
      </c>
      <c r="I65" s="709">
        <v>300.0</v>
      </c>
      <c r="J65" s="705">
        <f t="shared" si="1"/>
        <v>28300</v>
      </c>
      <c r="K65" s="705">
        <f t="shared" si="2"/>
        <v>3830</v>
      </c>
      <c r="L65" s="705">
        <f t="shared" si="3"/>
        <v>32130</v>
      </c>
      <c r="M65" s="706">
        <f t="shared" si="4"/>
        <v>160.65</v>
      </c>
    </row>
    <row r="66">
      <c r="A66" s="702" t="s">
        <v>32724</v>
      </c>
      <c r="B66" s="702" t="s">
        <v>32725</v>
      </c>
      <c r="C66" s="707"/>
      <c r="D66" s="707"/>
      <c r="E66" s="708" t="s">
        <v>12378</v>
      </c>
      <c r="F66" s="709">
        <v>1200.0</v>
      </c>
      <c r="G66" s="708" t="s">
        <v>44</v>
      </c>
      <c r="H66" s="709">
        <v>13.2</v>
      </c>
      <c r="I66" s="709">
        <v>1500.0</v>
      </c>
      <c r="J66" s="705">
        <f t="shared" si="1"/>
        <v>17340</v>
      </c>
      <c r="K66" s="705">
        <f t="shared" si="2"/>
        <v>2734</v>
      </c>
      <c r="L66" s="705">
        <f t="shared" si="3"/>
        <v>20074</v>
      </c>
      <c r="M66" s="706">
        <f t="shared" si="4"/>
        <v>16.72833333</v>
      </c>
    </row>
    <row r="67">
      <c r="A67" s="702" t="s">
        <v>32726</v>
      </c>
      <c r="B67" s="702" t="s">
        <v>9591</v>
      </c>
      <c r="C67" s="707"/>
      <c r="D67" s="707"/>
      <c r="E67" s="708" t="s">
        <v>189</v>
      </c>
      <c r="F67" s="709">
        <v>30000.0</v>
      </c>
      <c r="G67" s="708" t="s">
        <v>44</v>
      </c>
      <c r="H67" s="709">
        <v>6.0</v>
      </c>
      <c r="I67" s="709"/>
      <c r="J67" s="705">
        <f t="shared" si="1"/>
        <v>180000</v>
      </c>
      <c r="K67" s="705">
        <f t="shared" si="2"/>
        <v>19000</v>
      </c>
      <c r="L67" s="705">
        <f t="shared" si="3"/>
        <v>199000</v>
      </c>
      <c r="M67" s="706">
        <f t="shared" si="4"/>
        <v>6.633333333</v>
      </c>
    </row>
    <row r="68">
      <c r="A68" s="702" t="s">
        <v>32726</v>
      </c>
      <c r="B68" s="702" t="s">
        <v>9602</v>
      </c>
      <c r="C68" s="707"/>
      <c r="D68" s="707"/>
      <c r="E68" s="708" t="s">
        <v>7868</v>
      </c>
      <c r="F68" s="709">
        <v>100.0</v>
      </c>
      <c r="G68" s="708" t="s">
        <v>44</v>
      </c>
      <c r="H68" s="709">
        <v>110.0</v>
      </c>
      <c r="I68" s="709">
        <v>250.0</v>
      </c>
      <c r="J68" s="705">
        <f t="shared" si="1"/>
        <v>11250</v>
      </c>
      <c r="K68" s="705">
        <f t="shared" si="2"/>
        <v>2125</v>
      </c>
      <c r="L68" s="705">
        <f t="shared" si="3"/>
        <v>13375</v>
      </c>
      <c r="M68" s="706">
        <f t="shared" si="4"/>
        <v>133.75</v>
      </c>
    </row>
    <row r="69">
      <c r="A69" s="702" t="s">
        <v>32726</v>
      </c>
      <c r="B69" s="702" t="s">
        <v>32727</v>
      </c>
      <c r="C69" s="707"/>
      <c r="D69" s="707"/>
      <c r="E69" s="708" t="s">
        <v>1675</v>
      </c>
      <c r="F69" s="709">
        <v>500.0</v>
      </c>
      <c r="G69" s="708" t="s">
        <v>2403</v>
      </c>
      <c r="H69" s="709">
        <v>260.0</v>
      </c>
      <c r="I69" s="709">
        <v>500.0</v>
      </c>
      <c r="J69" s="705">
        <f t="shared" si="1"/>
        <v>130500</v>
      </c>
      <c r="K69" s="705">
        <f t="shared" si="2"/>
        <v>14050</v>
      </c>
      <c r="L69" s="705">
        <f t="shared" si="3"/>
        <v>144550</v>
      </c>
      <c r="M69" s="706">
        <f t="shared" si="4"/>
        <v>289.1</v>
      </c>
    </row>
    <row r="70">
      <c r="A70" s="702" t="s">
        <v>32728</v>
      </c>
      <c r="B70" s="702" t="s">
        <v>9632</v>
      </c>
      <c r="C70" s="707"/>
      <c r="D70" s="707"/>
      <c r="E70" s="708" t="s">
        <v>9634</v>
      </c>
      <c r="F70" s="712">
        <v>60000.0</v>
      </c>
      <c r="G70" s="708" t="s">
        <v>44</v>
      </c>
      <c r="H70" s="709">
        <v>13.0</v>
      </c>
      <c r="I70" s="709"/>
      <c r="J70" s="705">
        <f t="shared" si="1"/>
        <v>780000</v>
      </c>
      <c r="K70" s="705">
        <f t="shared" si="2"/>
        <v>79000</v>
      </c>
      <c r="L70" s="705">
        <f t="shared" si="3"/>
        <v>859000</v>
      </c>
      <c r="M70" s="706">
        <f t="shared" si="4"/>
        <v>14.31666667</v>
      </c>
    </row>
    <row r="71">
      <c r="A71" s="702" t="s">
        <v>32729</v>
      </c>
      <c r="B71" s="702" t="s">
        <v>9652</v>
      </c>
      <c r="C71" s="707"/>
      <c r="D71" s="707"/>
      <c r="E71" s="708" t="s">
        <v>1749</v>
      </c>
      <c r="F71" s="709">
        <v>500.0</v>
      </c>
      <c r="G71" s="708" t="s">
        <v>44</v>
      </c>
      <c r="H71" s="709">
        <v>46.0</v>
      </c>
      <c r="I71" s="709">
        <v>500.0</v>
      </c>
      <c r="J71" s="705">
        <f t="shared" si="1"/>
        <v>23500</v>
      </c>
      <c r="K71" s="705">
        <f t="shared" si="2"/>
        <v>3350</v>
      </c>
      <c r="L71" s="705">
        <f t="shared" si="3"/>
        <v>26850</v>
      </c>
      <c r="M71" s="706">
        <f t="shared" si="4"/>
        <v>53.7</v>
      </c>
    </row>
    <row r="72">
      <c r="A72" s="702" t="s">
        <v>32729</v>
      </c>
      <c r="B72" s="702" t="s">
        <v>9672</v>
      </c>
      <c r="C72" s="707"/>
      <c r="D72" s="707"/>
      <c r="E72" s="708" t="s">
        <v>12378</v>
      </c>
      <c r="F72" s="709">
        <v>8000.0</v>
      </c>
      <c r="G72" s="708" t="s">
        <v>44</v>
      </c>
      <c r="H72" s="709">
        <v>13.2</v>
      </c>
      <c r="I72" s="709">
        <v>8000.0</v>
      </c>
      <c r="J72" s="705">
        <f t="shared" si="1"/>
        <v>113600</v>
      </c>
      <c r="K72" s="705">
        <f t="shared" si="2"/>
        <v>12360</v>
      </c>
      <c r="L72" s="705">
        <f t="shared" si="3"/>
        <v>125960</v>
      </c>
      <c r="M72" s="706">
        <f t="shared" si="4"/>
        <v>15.745</v>
      </c>
    </row>
    <row r="73">
      <c r="A73" s="702" t="s">
        <v>32729</v>
      </c>
      <c r="B73" s="702" t="s">
        <v>9680</v>
      </c>
      <c r="C73" s="707"/>
      <c r="D73" s="707"/>
      <c r="E73" s="708" t="s">
        <v>9682</v>
      </c>
      <c r="F73" s="709">
        <v>1000.0</v>
      </c>
      <c r="G73" s="708" t="s">
        <v>44</v>
      </c>
      <c r="H73" s="709">
        <v>6.0</v>
      </c>
      <c r="I73" s="709">
        <v>1500.0</v>
      </c>
      <c r="J73" s="705">
        <f t="shared" si="1"/>
        <v>7500</v>
      </c>
      <c r="K73" s="705">
        <f t="shared" si="2"/>
        <v>1750</v>
      </c>
      <c r="L73" s="705">
        <f t="shared" si="3"/>
        <v>9250</v>
      </c>
      <c r="M73" s="706">
        <f t="shared" si="4"/>
        <v>9.25</v>
      </c>
    </row>
    <row r="74">
      <c r="A74" s="702" t="s">
        <v>32729</v>
      </c>
      <c r="B74" s="702" t="s">
        <v>9688</v>
      </c>
      <c r="C74" s="707"/>
      <c r="D74" s="707"/>
      <c r="E74" s="708" t="s">
        <v>22</v>
      </c>
      <c r="F74" s="709">
        <v>20000.0</v>
      </c>
      <c r="G74" s="708" t="s">
        <v>44</v>
      </c>
      <c r="H74" s="709">
        <v>26.0</v>
      </c>
      <c r="I74" s="709"/>
      <c r="J74" s="705">
        <f t="shared" si="1"/>
        <v>520000</v>
      </c>
      <c r="K74" s="705">
        <f t="shared" si="2"/>
        <v>53000</v>
      </c>
      <c r="L74" s="705">
        <f t="shared" si="3"/>
        <v>573000</v>
      </c>
      <c r="M74" s="706">
        <f t="shared" si="4"/>
        <v>28.65</v>
      </c>
    </row>
    <row r="75">
      <c r="A75" s="702" t="s">
        <v>32730</v>
      </c>
      <c r="B75" s="702" t="s">
        <v>9697</v>
      </c>
      <c r="C75" s="707"/>
      <c r="D75" s="707"/>
      <c r="E75" s="708" t="s">
        <v>9699</v>
      </c>
      <c r="F75" s="709">
        <v>1000.0</v>
      </c>
      <c r="G75" s="708" t="s">
        <v>44</v>
      </c>
      <c r="H75" s="709">
        <v>46.0</v>
      </c>
      <c r="I75" s="709">
        <v>1000.0</v>
      </c>
      <c r="J75" s="705">
        <f t="shared" si="1"/>
        <v>47000</v>
      </c>
      <c r="K75" s="705">
        <f t="shared" si="2"/>
        <v>5700</v>
      </c>
      <c r="L75" s="705">
        <f t="shared" si="3"/>
        <v>52700</v>
      </c>
      <c r="M75" s="706">
        <f t="shared" si="4"/>
        <v>52.7</v>
      </c>
    </row>
    <row r="76">
      <c r="A76" s="702" t="s">
        <v>32730</v>
      </c>
      <c r="B76" s="702" t="s">
        <v>32731</v>
      </c>
      <c r="C76" s="707"/>
      <c r="D76" s="707"/>
      <c r="E76" s="708" t="s">
        <v>1749</v>
      </c>
      <c r="F76" s="709">
        <v>100.0</v>
      </c>
      <c r="G76" s="708" t="s">
        <v>44</v>
      </c>
      <c r="H76" s="709">
        <v>46.0</v>
      </c>
      <c r="I76" s="709">
        <v>300.0</v>
      </c>
      <c r="J76" s="705">
        <f t="shared" si="1"/>
        <v>4900</v>
      </c>
      <c r="K76" s="705">
        <f t="shared" si="2"/>
        <v>1490</v>
      </c>
      <c r="L76" s="705">
        <f t="shared" si="3"/>
        <v>6390</v>
      </c>
      <c r="M76" s="706">
        <f t="shared" si="4"/>
        <v>63.9</v>
      </c>
    </row>
    <row r="77">
      <c r="A77" s="702" t="s">
        <v>32732</v>
      </c>
      <c r="B77" s="702" t="s">
        <v>9755</v>
      </c>
      <c r="C77" s="707"/>
      <c r="D77" s="707"/>
      <c r="E77" s="708" t="s">
        <v>32733</v>
      </c>
      <c r="F77" s="709">
        <v>1000.0</v>
      </c>
      <c r="G77" s="708" t="s">
        <v>32734</v>
      </c>
      <c r="H77" s="709">
        <v>22.0</v>
      </c>
      <c r="I77" s="709">
        <v>1000.0</v>
      </c>
      <c r="J77" s="705">
        <f t="shared" si="1"/>
        <v>23000</v>
      </c>
      <c r="K77" s="705">
        <f t="shared" si="2"/>
        <v>3300</v>
      </c>
      <c r="L77" s="705">
        <f t="shared" si="3"/>
        <v>26300</v>
      </c>
      <c r="M77" s="706">
        <f t="shared" si="4"/>
        <v>26.3</v>
      </c>
    </row>
    <row r="78">
      <c r="A78" s="702" t="s">
        <v>32732</v>
      </c>
      <c r="B78" s="702" t="s">
        <v>9755</v>
      </c>
      <c r="C78" s="707"/>
      <c r="D78" s="707"/>
      <c r="E78" s="708" t="s">
        <v>32733</v>
      </c>
      <c r="F78" s="709">
        <v>1000.0</v>
      </c>
      <c r="G78" s="708" t="s">
        <v>32734</v>
      </c>
      <c r="H78" s="709">
        <v>16.0</v>
      </c>
      <c r="I78" s="709">
        <v>1000.0</v>
      </c>
      <c r="J78" s="705">
        <f t="shared" si="1"/>
        <v>17000</v>
      </c>
      <c r="K78" s="705">
        <f t="shared" si="2"/>
        <v>2700</v>
      </c>
      <c r="L78" s="705">
        <f t="shared" si="3"/>
        <v>19700</v>
      </c>
      <c r="M78" s="706">
        <f t="shared" si="4"/>
        <v>19.7</v>
      </c>
    </row>
    <row r="79">
      <c r="A79" s="702" t="s">
        <v>32732</v>
      </c>
      <c r="B79" s="702" t="s">
        <v>9773</v>
      </c>
      <c r="C79" s="707"/>
      <c r="D79" s="707"/>
      <c r="E79" s="708" t="s">
        <v>152</v>
      </c>
      <c r="F79" s="709">
        <v>500.0</v>
      </c>
      <c r="G79" s="708" t="s">
        <v>99</v>
      </c>
      <c r="H79" s="709">
        <v>19.0</v>
      </c>
      <c r="I79" s="709">
        <v>500.0</v>
      </c>
      <c r="J79" s="705">
        <f t="shared" si="1"/>
        <v>10000</v>
      </c>
      <c r="K79" s="705">
        <f t="shared" si="2"/>
        <v>2000</v>
      </c>
      <c r="L79" s="705">
        <f t="shared" si="3"/>
        <v>12000</v>
      </c>
      <c r="M79" s="706">
        <f t="shared" si="4"/>
        <v>24</v>
      </c>
    </row>
    <row r="80">
      <c r="A80" s="702" t="s">
        <v>32732</v>
      </c>
      <c r="B80" s="702" t="s">
        <v>9783</v>
      </c>
      <c r="C80" s="707"/>
      <c r="D80" s="707"/>
      <c r="E80" s="708" t="s">
        <v>5309</v>
      </c>
      <c r="F80" s="709">
        <v>5000.0</v>
      </c>
      <c r="G80" s="708" t="s">
        <v>1337</v>
      </c>
      <c r="H80" s="709">
        <v>25.0</v>
      </c>
      <c r="I80" s="709">
        <v>5000.0</v>
      </c>
      <c r="J80" s="705">
        <f t="shared" si="1"/>
        <v>130000</v>
      </c>
      <c r="K80" s="705">
        <f t="shared" si="2"/>
        <v>14000</v>
      </c>
      <c r="L80" s="705">
        <f t="shared" si="3"/>
        <v>144000</v>
      </c>
      <c r="M80" s="706">
        <f t="shared" si="4"/>
        <v>28.8</v>
      </c>
    </row>
    <row r="81">
      <c r="A81" s="702" t="s">
        <v>32735</v>
      </c>
      <c r="B81" s="702" t="s">
        <v>9796</v>
      </c>
      <c r="C81" s="707"/>
      <c r="D81" s="707"/>
      <c r="E81" s="708" t="s">
        <v>2429</v>
      </c>
      <c r="F81" s="709">
        <v>21000.0</v>
      </c>
      <c r="G81" s="708" t="s">
        <v>44</v>
      </c>
      <c r="H81" s="709">
        <v>40.0</v>
      </c>
      <c r="I81" s="709"/>
      <c r="J81" s="705">
        <f t="shared" si="1"/>
        <v>840000</v>
      </c>
      <c r="K81" s="705">
        <f t="shared" si="2"/>
        <v>85000</v>
      </c>
      <c r="L81" s="705">
        <f t="shared" si="3"/>
        <v>925000</v>
      </c>
      <c r="M81" s="706">
        <f t="shared" si="4"/>
        <v>44.04761905</v>
      </c>
    </row>
    <row r="82">
      <c r="A82" s="702" t="s">
        <v>32735</v>
      </c>
      <c r="B82" s="702" t="s">
        <v>9833</v>
      </c>
      <c r="C82" s="707"/>
      <c r="D82" s="707"/>
      <c r="E82" s="708" t="s">
        <v>2554</v>
      </c>
      <c r="F82" s="709">
        <v>6000.0</v>
      </c>
      <c r="G82" s="708" t="s">
        <v>44</v>
      </c>
      <c r="H82" s="709">
        <v>200.0</v>
      </c>
      <c r="I82" s="709">
        <v>6000.0</v>
      </c>
      <c r="J82" s="705">
        <f t="shared" si="1"/>
        <v>1206000</v>
      </c>
      <c r="K82" s="705">
        <f t="shared" si="2"/>
        <v>121600</v>
      </c>
      <c r="L82" s="705">
        <f t="shared" si="3"/>
        <v>1327600</v>
      </c>
      <c r="M82" s="706">
        <f t="shared" si="4"/>
        <v>221.2666667</v>
      </c>
    </row>
    <row r="83">
      <c r="A83" s="702" t="s">
        <v>32736</v>
      </c>
      <c r="B83" s="702" t="s">
        <v>9864</v>
      </c>
      <c r="C83" s="707"/>
      <c r="D83" s="707"/>
      <c r="E83" s="708" t="s">
        <v>1550</v>
      </c>
      <c r="F83" s="709">
        <v>250.0</v>
      </c>
      <c r="G83" s="708" t="s">
        <v>44</v>
      </c>
      <c r="H83" s="709">
        <v>22.0</v>
      </c>
      <c r="I83" s="709">
        <v>300.0</v>
      </c>
      <c r="J83" s="705">
        <f t="shared" si="1"/>
        <v>5800</v>
      </c>
      <c r="K83" s="705">
        <f t="shared" si="2"/>
        <v>1580</v>
      </c>
      <c r="L83" s="705">
        <f t="shared" si="3"/>
        <v>7380</v>
      </c>
      <c r="M83" s="706">
        <f t="shared" si="4"/>
        <v>29.52</v>
      </c>
    </row>
    <row r="84">
      <c r="A84" s="702" t="s">
        <v>32736</v>
      </c>
      <c r="B84" s="702" t="s">
        <v>9864</v>
      </c>
      <c r="C84" s="707"/>
      <c r="D84" s="707"/>
      <c r="E84" s="708" t="s">
        <v>1550</v>
      </c>
      <c r="F84" s="709">
        <v>250.0</v>
      </c>
      <c r="G84" s="708" t="s">
        <v>44</v>
      </c>
      <c r="H84" s="709">
        <v>16.0</v>
      </c>
      <c r="I84" s="709">
        <v>300.0</v>
      </c>
      <c r="J84" s="705">
        <f t="shared" si="1"/>
        <v>4300</v>
      </c>
      <c r="K84" s="705">
        <f t="shared" si="2"/>
        <v>1430</v>
      </c>
      <c r="L84" s="705">
        <f t="shared" si="3"/>
        <v>5730</v>
      </c>
      <c r="M84" s="706">
        <f t="shared" si="4"/>
        <v>22.92</v>
      </c>
    </row>
    <row r="85">
      <c r="A85" s="702" t="s">
        <v>32737</v>
      </c>
      <c r="B85" s="702" t="s">
        <v>9871</v>
      </c>
      <c r="C85" s="707"/>
      <c r="D85" s="707"/>
      <c r="E85" s="708" t="s">
        <v>1550</v>
      </c>
      <c r="F85" s="709">
        <v>500.0</v>
      </c>
      <c r="G85" s="708" t="s">
        <v>44</v>
      </c>
      <c r="H85" s="709">
        <v>22.0</v>
      </c>
      <c r="I85" s="709">
        <v>500.0</v>
      </c>
      <c r="J85" s="705">
        <f t="shared" si="1"/>
        <v>11500</v>
      </c>
      <c r="K85" s="705">
        <f t="shared" si="2"/>
        <v>2150</v>
      </c>
      <c r="L85" s="705">
        <f t="shared" si="3"/>
        <v>13650</v>
      </c>
      <c r="M85" s="706">
        <f t="shared" si="4"/>
        <v>27.3</v>
      </c>
    </row>
    <row r="86">
      <c r="A86" s="702" t="s">
        <v>32737</v>
      </c>
      <c r="B86" s="702" t="s">
        <v>9881</v>
      </c>
      <c r="C86" s="707"/>
      <c r="D86" s="707"/>
      <c r="E86" s="708" t="s">
        <v>1749</v>
      </c>
      <c r="F86" s="709">
        <v>200.0</v>
      </c>
      <c r="G86" s="708" t="s">
        <v>44</v>
      </c>
      <c r="H86" s="709">
        <v>46.0</v>
      </c>
      <c r="I86" s="709">
        <v>300.0</v>
      </c>
      <c r="J86" s="705">
        <f t="shared" si="1"/>
        <v>9500</v>
      </c>
      <c r="K86" s="705">
        <f t="shared" si="2"/>
        <v>1950</v>
      </c>
      <c r="L86" s="705">
        <f t="shared" si="3"/>
        <v>11450</v>
      </c>
      <c r="M86" s="706">
        <f t="shared" si="4"/>
        <v>57.25</v>
      </c>
    </row>
    <row r="87">
      <c r="A87" s="702" t="s">
        <v>32737</v>
      </c>
      <c r="B87" s="702" t="s">
        <v>9888</v>
      </c>
      <c r="C87" s="707"/>
      <c r="D87" s="707"/>
      <c r="E87" s="708" t="s">
        <v>77</v>
      </c>
      <c r="F87" s="709">
        <v>50000.0</v>
      </c>
      <c r="G87" s="708" t="s">
        <v>9891</v>
      </c>
      <c r="H87" s="709">
        <v>4.0</v>
      </c>
      <c r="I87" s="709"/>
      <c r="J87" s="705">
        <f t="shared" si="1"/>
        <v>200000</v>
      </c>
      <c r="K87" s="705">
        <f t="shared" si="2"/>
        <v>21000</v>
      </c>
      <c r="L87" s="705">
        <f t="shared" si="3"/>
        <v>221000</v>
      </c>
      <c r="M87" s="706">
        <f t="shared" si="4"/>
        <v>4.42</v>
      </c>
    </row>
    <row r="88">
      <c r="A88" s="702" t="s">
        <v>32737</v>
      </c>
      <c r="B88" s="702" t="s">
        <v>9894</v>
      </c>
      <c r="C88" s="707"/>
      <c r="D88" s="707"/>
      <c r="E88" s="708" t="s">
        <v>9896</v>
      </c>
      <c r="F88" s="709">
        <v>5000.0</v>
      </c>
      <c r="G88" s="708" t="s">
        <v>24</v>
      </c>
      <c r="H88" s="709">
        <v>3.5</v>
      </c>
      <c r="I88" s="709">
        <v>5000.0</v>
      </c>
      <c r="J88" s="705">
        <f t="shared" si="1"/>
        <v>22500</v>
      </c>
      <c r="K88" s="705">
        <f t="shared" si="2"/>
        <v>3250</v>
      </c>
      <c r="L88" s="705">
        <f t="shared" si="3"/>
        <v>25750</v>
      </c>
      <c r="M88" s="706">
        <f t="shared" si="4"/>
        <v>5.15</v>
      </c>
    </row>
    <row r="89">
      <c r="A89" s="702" t="s">
        <v>32737</v>
      </c>
      <c r="B89" s="702" t="s">
        <v>9914</v>
      </c>
      <c r="C89" s="707"/>
      <c r="D89" s="707"/>
      <c r="E89" s="708" t="s">
        <v>5203</v>
      </c>
      <c r="F89" s="709">
        <v>45000.0</v>
      </c>
      <c r="G89" s="708" t="s">
        <v>44</v>
      </c>
      <c r="H89" s="709">
        <v>4.2</v>
      </c>
      <c r="I89" s="709"/>
      <c r="J89" s="705">
        <f t="shared" si="1"/>
        <v>189000</v>
      </c>
      <c r="K89" s="705">
        <f t="shared" si="2"/>
        <v>19900</v>
      </c>
      <c r="L89" s="705">
        <f t="shared" si="3"/>
        <v>208900</v>
      </c>
      <c r="M89" s="706">
        <f t="shared" si="4"/>
        <v>4.642222222</v>
      </c>
    </row>
    <row r="90">
      <c r="A90" s="702" t="s">
        <v>32738</v>
      </c>
      <c r="B90" s="702" t="s">
        <v>9968</v>
      </c>
      <c r="C90" s="707"/>
      <c r="D90" s="707"/>
      <c r="E90" s="708" t="s">
        <v>22</v>
      </c>
      <c r="F90" s="709">
        <v>20000.0</v>
      </c>
      <c r="G90" s="708" t="s">
        <v>44</v>
      </c>
      <c r="H90" s="709">
        <v>26.0</v>
      </c>
      <c r="I90" s="709"/>
      <c r="J90" s="705">
        <f t="shared" si="1"/>
        <v>520000</v>
      </c>
      <c r="K90" s="705">
        <f t="shared" si="2"/>
        <v>53000</v>
      </c>
      <c r="L90" s="705">
        <f t="shared" si="3"/>
        <v>573000</v>
      </c>
      <c r="M90" s="706">
        <f t="shared" si="4"/>
        <v>28.65</v>
      </c>
    </row>
    <row r="91">
      <c r="A91" s="702" t="s">
        <v>32738</v>
      </c>
      <c r="B91" s="702" t="s">
        <v>9990</v>
      </c>
      <c r="C91" s="707"/>
      <c r="D91" s="707"/>
      <c r="E91" s="708" t="s">
        <v>9187</v>
      </c>
      <c r="F91" s="709">
        <v>500.0</v>
      </c>
      <c r="G91" s="708" t="s">
        <v>44</v>
      </c>
      <c r="H91" s="709">
        <v>4.5</v>
      </c>
      <c r="I91" s="709">
        <v>500.0</v>
      </c>
      <c r="J91" s="705">
        <f t="shared" si="1"/>
        <v>2750</v>
      </c>
      <c r="K91" s="705">
        <f t="shared" si="2"/>
        <v>1275</v>
      </c>
      <c r="L91" s="705">
        <f t="shared" si="3"/>
        <v>4025</v>
      </c>
      <c r="M91" s="706">
        <f t="shared" si="4"/>
        <v>8.05</v>
      </c>
    </row>
    <row r="92">
      <c r="A92" s="702" t="s">
        <v>32739</v>
      </c>
      <c r="B92" s="702" t="s">
        <v>10056</v>
      </c>
      <c r="C92" s="707"/>
      <c r="D92" s="707"/>
      <c r="E92" s="708" t="s">
        <v>625</v>
      </c>
      <c r="F92" s="709">
        <v>26000.0</v>
      </c>
      <c r="G92" s="708" t="s">
        <v>44</v>
      </c>
      <c r="H92" s="709">
        <v>22.0</v>
      </c>
      <c r="I92" s="709"/>
      <c r="J92" s="705">
        <f t="shared" si="1"/>
        <v>572000</v>
      </c>
      <c r="K92" s="705">
        <f t="shared" si="2"/>
        <v>58200</v>
      </c>
      <c r="L92" s="705">
        <f t="shared" si="3"/>
        <v>630200</v>
      </c>
      <c r="M92" s="706">
        <f t="shared" si="4"/>
        <v>24.23846154</v>
      </c>
    </row>
    <row r="93">
      <c r="A93" s="702" t="s">
        <v>32739</v>
      </c>
      <c r="B93" s="702" t="s">
        <v>10061</v>
      </c>
      <c r="C93" s="707"/>
      <c r="D93" s="707"/>
      <c r="E93" s="708" t="s">
        <v>32740</v>
      </c>
      <c r="F93" s="709">
        <v>500.0</v>
      </c>
      <c r="G93" s="708" t="s">
        <v>44</v>
      </c>
      <c r="H93" s="709">
        <v>125.0</v>
      </c>
      <c r="I93" s="709">
        <v>500.0</v>
      </c>
      <c r="J93" s="705">
        <f t="shared" si="1"/>
        <v>63000</v>
      </c>
      <c r="K93" s="705">
        <f t="shared" si="2"/>
        <v>7300</v>
      </c>
      <c r="L93" s="705">
        <f t="shared" si="3"/>
        <v>70300</v>
      </c>
      <c r="M93" s="706">
        <f t="shared" si="4"/>
        <v>140.6</v>
      </c>
    </row>
    <row r="94">
      <c r="A94" s="702" t="s">
        <v>32739</v>
      </c>
      <c r="B94" s="702" t="s">
        <v>10061</v>
      </c>
      <c r="C94" s="707"/>
      <c r="D94" s="707"/>
      <c r="E94" s="708" t="s">
        <v>32741</v>
      </c>
      <c r="F94" s="709">
        <v>500.0</v>
      </c>
      <c r="G94" s="708" t="s">
        <v>44</v>
      </c>
      <c r="H94" s="709">
        <v>110.0</v>
      </c>
      <c r="I94" s="709">
        <v>500.0</v>
      </c>
      <c r="J94" s="705">
        <f t="shared" si="1"/>
        <v>55500</v>
      </c>
      <c r="K94" s="705">
        <f t="shared" si="2"/>
        <v>6550</v>
      </c>
      <c r="L94" s="705">
        <f t="shared" si="3"/>
        <v>62050</v>
      </c>
      <c r="M94" s="706">
        <f t="shared" si="4"/>
        <v>124.1</v>
      </c>
    </row>
    <row r="95">
      <c r="A95" s="702" t="s">
        <v>32742</v>
      </c>
      <c r="B95" s="702" t="s">
        <v>32743</v>
      </c>
      <c r="C95" s="707"/>
      <c r="D95" s="707"/>
      <c r="E95" s="708" t="s">
        <v>32744</v>
      </c>
      <c r="F95" s="709">
        <v>40000.0</v>
      </c>
      <c r="G95" s="708" t="s">
        <v>44</v>
      </c>
      <c r="H95" s="709">
        <v>4.5</v>
      </c>
      <c r="I95" s="709"/>
      <c r="J95" s="705">
        <f t="shared" si="1"/>
        <v>180000</v>
      </c>
      <c r="K95" s="705">
        <f t="shared" si="2"/>
        <v>19000</v>
      </c>
      <c r="L95" s="705">
        <f t="shared" si="3"/>
        <v>199000</v>
      </c>
      <c r="M95" s="706">
        <f t="shared" si="4"/>
        <v>4.975</v>
      </c>
    </row>
    <row r="96">
      <c r="A96" s="702" t="s">
        <v>32742</v>
      </c>
      <c r="B96" s="702" t="s">
        <v>32745</v>
      </c>
      <c r="C96" s="707"/>
      <c r="D96" s="707"/>
      <c r="E96" s="708" t="s">
        <v>7868</v>
      </c>
      <c r="F96" s="709">
        <v>500.0</v>
      </c>
      <c r="G96" s="708" t="s">
        <v>44</v>
      </c>
      <c r="H96" s="709">
        <v>110.0</v>
      </c>
      <c r="I96" s="709">
        <v>500.0</v>
      </c>
      <c r="J96" s="705">
        <f t="shared" si="1"/>
        <v>55500</v>
      </c>
      <c r="K96" s="705">
        <f t="shared" si="2"/>
        <v>6550</v>
      </c>
      <c r="L96" s="705">
        <f t="shared" si="3"/>
        <v>62050</v>
      </c>
      <c r="M96" s="706">
        <f t="shared" si="4"/>
        <v>124.1</v>
      </c>
    </row>
    <row r="97">
      <c r="A97" s="702" t="s">
        <v>32742</v>
      </c>
      <c r="B97" s="702" t="s">
        <v>32746</v>
      </c>
      <c r="C97" s="707"/>
      <c r="D97" s="707"/>
      <c r="E97" s="708" t="s">
        <v>1749</v>
      </c>
      <c r="F97" s="709">
        <v>100.0</v>
      </c>
      <c r="G97" s="708" t="s">
        <v>20765</v>
      </c>
      <c r="H97" s="709">
        <v>46.0</v>
      </c>
      <c r="I97" s="709">
        <v>300.0</v>
      </c>
      <c r="J97" s="705">
        <f t="shared" si="1"/>
        <v>4900</v>
      </c>
      <c r="K97" s="705">
        <f t="shared" si="2"/>
        <v>1490</v>
      </c>
      <c r="L97" s="705">
        <f t="shared" si="3"/>
        <v>6390</v>
      </c>
      <c r="M97" s="706">
        <f t="shared" si="4"/>
        <v>63.9</v>
      </c>
    </row>
    <row r="98">
      <c r="A98" s="702" t="s">
        <v>32747</v>
      </c>
      <c r="B98" s="702" t="s">
        <v>32748</v>
      </c>
      <c r="C98" s="707"/>
      <c r="D98" s="707"/>
      <c r="E98" s="708" t="s">
        <v>32749</v>
      </c>
      <c r="F98" s="709">
        <v>3000.0</v>
      </c>
      <c r="G98" s="708" t="s">
        <v>10182</v>
      </c>
      <c r="H98" s="709">
        <v>5.1</v>
      </c>
      <c r="I98" s="709">
        <v>3000.0</v>
      </c>
      <c r="J98" s="705">
        <f t="shared" si="1"/>
        <v>18300</v>
      </c>
      <c r="K98" s="705">
        <f t="shared" si="2"/>
        <v>2830</v>
      </c>
      <c r="L98" s="705">
        <f t="shared" si="3"/>
        <v>21130</v>
      </c>
      <c r="M98" s="706">
        <f t="shared" si="4"/>
        <v>7.043333333</v>
      </c>
    </row>
    <row r="99">
      <c r="A99" s="702" t="s">
        <v>32747</v>
      </c>
      <c r="B99" s="702" t="s">
        <v>32748</v>
      </c>
      <c r="C99" s="707"/>
      <c r="D99" s="707"/>
      <c r="E99" s="708" t="s">
        <v>32750</v>
      </c>
      <c r="F99" s="709">
        <v>3000.0</v>
      </c>
      <c r="G99" s="708" t="s">
        <v>10182</v>
      </c>
      <c r="H99" s="709">
        <v>4.75</v>
      </c>
      <c r="I99" s="709">
        <v>3000.0</v>
      </c>
      <c r="J99" s="705">
        <f t="shared" si="1"/>
        <v>17250</v>
      </c>
      <c r="K99" s="705">
        <f t="shared" si="2"/>
        <v>2725</v>
      </c>
      <c r="L99" s="705">
        <f t="shared" si="3"/>
        <v>19975</v>
      </c>
      <c r="M99" s="706">
        <f t="shared" si="4"/>
        <v>6.658333333</v>
      </c>
    </row>
    <row r="100">
      <c r="A100" s="702" t="s">
        <v>32747</v>
      </c>
      <c r="B100" s="702" t="s">
        <v>32751</v>
      </c>
      <c r="C100" s="707"/>
      <c r="D100" s="707"/>
      <c r="E100" s="708" t="s">
        <v>189</v>
      </c>
      <c r="F100" s="709">
        <v>10000.0</v>
      </c>
      <c r="G100" s="708" t="s">
        <v>6241</v>
      </c>
      <c r="H100" s="709">
        <v>6.0</v>
      </c>
      <c r="I100" s="709"/>
      <c r="J100" s="705">
        <f t="shared" si="1"/>
        <v>60000</v>
      </c>
      <c r="K100" s="705">
        <f t="shared" si="2"/>
        <v>7000</v>
      </c>
      <c r="L100" s="705">
        <f t="shared" si="3"/>
        <v>67000</v>
      </c>
      <c r="M100" s="706">
        <f t="shared" si="4"/>
        <v>6.7</v>
      </c>
    </row>
    <row r="101">
      <c r="A101" s="702" t="s">
        <v>32747</v>
      </c>
      <c r="B101" s="702" t="s">
        <v>32752</v>
      </c>
      <c r="C101" s="707"/>
      <c r="D101" s="707"/>
      <c r="E101" s="708" t="s">
        <v>1247</v>
      </c>
      <c r="F101" s="709">
        <v>100.0</v>
      </c>
      <c r="G101" s="708" t="s">
        <v>44</v>
      </c>
      <c r="H101" s="709">
        <v>200.0</v>
      </c>
      <c r="I101" s="709">
        <v>500.0</v>
      </c>
      <c r="J101" s="705">
        <f t="shared" si="1"/>
        <v>20500</v>
      </c>
      <c r="K101" s="705">
        <f t="shared" si="2"/>
        <v>3050</v>
      </c>
      <c r="L101" s="705">
        <f t="shared" si="3"/>
        <v>23550</v>
      </c>
      <c r="M101" s="706">
        <f t="shared" si="4"/>
        <v>235.5</v>
      </c>
    </row>
    <row r="102">
      <c r="A102" s="702" t="s">
        <v>32753</v>
      </c>
      <c r="B102" s="702" t="s">
        <v>32754</v>
      </c>
      <c r="C102" s="707"/>
      <c r="D102" s="707"/>
      <c r="E102" s="708" t="s">
        <v>753</v>
      </c>
      <c r="F102" s="709">
        <v>50000.0</v>
      </c>
      <c r="G102" s="708" t="s">
        <v>184</v>
      </c>
      <c r="H102" s="709">
        <v>5.0</v>
      </c>
      <c r="I102" s="709"/>
      <c r="J102" s="705">
        <f t="shared" si="1"/>
        <v>250000</v>
      </c>
      <c r="K102" s="705">
        <f t="shared" si="2"/>
        <v>26000</v>
      </c>
      <c r="L102" s="705">
        <f t="shared" si="3"/>
        <v>276000</v>
      </c>
      <c r="M102" s="706">
        <f t="shared" si="4"/>
        <v>5.52</v>
      </c>
    </row>
    <row r="103">
      <c r="A103" s="702" t="s">
        <v>32753</v>
      </c>
      <c r="B103" s="702" t="s">
        <v>10225</v>
      </c>
      <c r="C103" s="707"/>
      <c r="D103" s="707"/>
      <c r="E103" s="708" t="s">
        <v>2821</v>
      </c>
      <c r="F103" s="709">
        <v>500.0</v>
      </c>
      <c r="G103" s="708" t="s">
        <v>44</v>
      </c>
      <c r="H103" s="709">
        <v>72.0</v>
      </c>
      <c r="I103" s="709">
        <v>500.0</v>
      </c>
      <c r="J103" s="705">
        <f t="shared" si="1"/>
        <v>36500</v>
      </c>
      <c r="K103" s="705">
        <f t="shared" si="2"/>
        <v>4650</v>
      </c>
      <c r="L103" s="705">
        <f t="shared" si="3"/>
        <v>41150</v>
      </c>
      <c r="M103" s="706">
        <f t="shared" si="4"/>
        <v>82.3</v>
      </c>
    </row>
    <row r="104">
      <c r="A104" s="702" t="s">
        <v>32753</v>
      </c>
      <c r="B104" s="702" t="s">
        <v>10225</v>
      </c>
      <c r="C104" s="707"/>
      <c r="D104" s="707"/>
      <c r="E104" s="708" t="s">
        <v>2821</v>
      </c>
      <c r="F104" s="709">
        <v>500.0</v>
      </c>
      <c r="G104" s="708" t="s">
        <v>44</v>
      </c>
      <c r="H104" s="709">
        <v>69.0</v>
      </c>
      <c r="I104" s="709">
        <v>500.0</v>
      </c>
      <c r="J104" s="705">
        <f t="shared" si="1"/>
        <v>35000</v>
      </c>
      <c r="K104" s="705">
        <f t="shared" si="2"/>
        <v>4500</v>
      </c>
      <c r="L104" s="705">
        <f t="shared" si="3"/>
        <v>39500</v>
      </c>
      <c r="M104" s="706">
        <f t="shared" si="4"/>
        <v>79</v>
      </c>
    </row>
    <row r="105">
      <c r="A105" s="702" t="s">
        <v>32755</v>
      </c>
      <c r="B105" s="702" t="s">
        <v>32756</v>
      </c>
      <c r="C105" s="707"/>
      <c r="D105" s="707"/>
      <c r="E105" s="708" t="s">
        <v>189</v>
      </c>
      <c r="F105" s="709">
        <v>2500.0</v>
      </c>
      <c r="G105" s="708" t="s">
        <v>44</v>
      </c>
      <c r="H105" s="709">
        <v>6.0</v>
      </c>
      <c r="I105" s="709">
        <v>2500.0</v>
      </c>
      <c r="J105" s="705">
        <f t="shared" si="1"/>
        <v>17500</v>
      </c>
      <c r="K105" s="705">
        <f t="shared" si="2"/>
        <v>2750</v>
      </c>
      <c r="L105" s="705">
        <f t="shared" si="3"/>
        <v>20250</v>
      </c>
      <c r="M105" s="706">
        <f t="shared" si="4"/>
        <v>8.1</v>
      </c>
    </row>
    <row r="106">
      <c r="A106" s="702" t="s">
        <v>32757</v>
      </c>
      <c r="B106" s="702" t="s">
        <v>32758</v>
      </c>
      <c r="C106" s="707"/>
      <c r="D106" s="707"/>
      <c r="E106" s="708" t="s">
        <v>32759</v>
      </c>
      <c r="F106" s="709">
        <v>500.0</v>
      </c>
      <c r="G106" s="708" t="s">
        <v>44</v>
      </c>
      <c r="H106" s="709">
        <v>225.0</v>
      </c>
      <c r="I106" s="709">
        <v>500.0</v>
      </c>
      <c r="J106" s="705">
        <f t="shared" si="1"/>
        <v>113000</v>
      </c>
      <c r="K106" s="705">
        <f t="shared" si="2"/>
        <v>12300</v>
      </c>
      <c r="L106" s="705">
        <f t="shared" si="3"/>
        <v>125300</v>
      </c>
      <c r="M106" s="706">
        <f t="shared" si="4"/>
        <v>250.6</v>
      </c>
    </row>
    <row r="107">
      <c r="A107" s="702" t="s">
        <v>32757</v>
      </c>
      <c r="B107" s="702" t="s">
        <v>10330</v>
      </c>
      <c r="C107" s="707"/>
      <c r="D107" s="707"/>
      <c r="E107" s="708" t="s">
        <v>32759</v>
      </c>
      <c r="F107" s="709">
        <v>500.0</v>
      </c>
      <c r="G107" s="708" t="s">
        <v>44</v>
      </c>
      <c r="H107" s="709">
        <v>250.0</v>
      </c>
      <c r="I107" s="709">
        <v>500.0</v>
      </c>
      <c r="J107" s="705">
        <f t="shared" si="1"/>
        <v>125500</v>
      </c>
      <c r="K107" s="705">
        <f t="shared" si="2"/>
        <v>13550</v>
      </c>
      <c r="L107" s="705">
        <f t="shared" si="3"/>
        <v>139050</v>
      </c>
      <c r="M107" s="706">
        <f t="shared" si="4"/>
        <v>278.1</v>
      </c>
    </row>
    <row r="108">
      <c r="A108" s="702" t="s">
        <v>32757</v>
      </c>
      <c r="B108" s="702" t="s">
        <v>32760</v>
      </c>
      <c r="C108" s="707"/>
      <c r="D108" s="707"/>
      <c r="E108" s="708" t="s">
        <v>1749</v>
      </c>
      <c r="F108" s="709">
        <v>200.0</v>
      </c>
      <c r="G108" s="708" t="s">
        <v>822</v>
      </c>
      <c r="H108" s="709">
        <v>46.0</v>
      </c>
      <c r="I108" s="709">
        <v>500.0</v>
      </c>
      <c r="J108" s="705">
        <f t="shared" si="1"/>
        <v>9700</v>
      </c>
      <c r="K108" s="705">
        <f t="shared" si="2"/>
        <v>1970</v>
      </c>
      <c r="L108" s="705">
        <f t="shared" si="3"/>
        <v>11670</v>
      </c>
      <c r="M108" s="706">
        <f t="shared" si="4"/>
        <v>58.35</v>
      </c>
    </row>
    <row r="109">
      <c r="A109" s="702" t="s">
        <v>32761</v>
      </c>
      <c r="B109" s="702" t="s">
        <v>32762</v>
      </c>
      <c r="C109" s="707"/>
      <c r="D109" s="707"/>
      <c r="E109" s="708" t="s">
        <v>1749</v>
      </c>
      <c r="F109" s="709">
        <v>200.0</v>
      </c>
      <c r="G109" s="708" t="s">
        <v>44</v>
      </c>
      <c r="H109" s="709">
        <v>46.0</v>
      </c>
      <c r="I109" s="709">
        <v>500.0</v>
      </c>
      <c r="J109" s="705">
        <f t="shared" si="1"/>
        <v>9700</v>
      </c>
      <c r="K109" s="705">
        <f t="shared" si="2"/>
        <v>1970</v>
      </c>
      <c r="L109" s="705">
        <f t="shared" si="3"/>
        <v>11670</v>
      </c>
      <c r="M109" s="706">
        <f t="shared" si="4"/>
        <v>58.35</v>
      </c>
    </row>
    <row r="110">
      <c r="A110" s="702" t="s">
        <v>32763</v>
      </c>
      <c r="B110" s="702" t="s">
        <v>32764</v>
      </c>
      <c r="C110" s="707"/>
      <c r="D110" s="707"/>
      <c r="E110" s="708" t="s">
        <v>4481</v>
      </c>
      <c r="F110" s="709">
        <v>2000.0</v>
      </c>
      <c r="G110" s="708" t="s">
        <v>44</v>
      </c>
      <c r="H110" s="709">
        <v>38.0</v>
      </c>
      <c r="I110" s="709">
        <v>2000.0</v>
      </c>
      <c r="J110" s="705">
        <f t="shared" si="1"/>
        <v>78000</v>
      </c>
      <c r="K110" s="705">
        <f t="shared" si="2"/>
        <v>8800</v>
      </c>
      <c r="L110" s="705">
        <f t="shared" si="3"/>
        <v>86800</v>
      </c>
      <c r="M110" s="706">
        <f t="shared" si="4"/>
        <v>43.4</v>
      </c>
    </row>
    <row r="111">
      <c r="A111" s="702" t="s">
        <v>32763</v>
      </c>
      <c r="B111" s="702" t="s">
        <v>32765</v>
      </c>
      <c r="C111" s="707"/>
      <c r="D111" s="707"/>
      <c r="E111" s="708" t="s">
        <v>43</v>
      </c>
      <c r="F111" s="709">
        <v>2000.0</v>
      </c>
      <c r="G111" s="708" t="s">
        <v>184</v>
      </c>
      <c r="H111" s="709">
        <v>7.5</v>
      </c>
      <c r="I111" s="709">
        <v>2000.0</v>
      </c>
      <c r="J111" s="705">
        <f t="shared" si="1"/>
        <v>17000</v>
      </c>
      <c r="K111" s="705">
        <f t="shared" si="2"/>
        <v>2700</v>
      </c>
      <c r="L111" s="705">
        <f t="shared" si="3"/>
        <v>19700</v>
      </c>
      <c r="M111" s="706">
        <f t="shared" si="4"/>
        <v>9.85</v>
      </c>
    </row>
    <row r="112">
      <c r="A112" s="702" t="s">
        <v>32763</v>
      </c>
      <c r="B112" s="702" t="s">
        <v>32766</v>
      </c>
      <c r="C112" s="707"/>
      <c r="D112" s="707"/>
      <c r="E112" s="708" t="s">
        <v>32767</v>
      </c>
      <c r="F112" s="709">
        <v>100.0</v>
      </c>
      <c r="G112" s="708" t="s">
        <v>44</v>
      </c>
      <c r="H112" s="709">
        <v>52.0</v>
      </c>
      <c r="I112" s="709">
        <v>500.0</v>
      </c>
      <c r="J112" s="705">
        <f t="shared" si="1"/>
        <v>5700</v>
      </c>
      <c r="K112" s="705">
        <f t="shared" si="2"/>
        <v>1570</v>
      </c>
      <c r="L112" s="705">
        <f t="shared" si="3"/>
        <v>7270</v>
      </c>
      <c r="M112" s="706">
        <f t="shared" si="4"/>
        <v>72.7</v>
      </c>
    </row>
    <row r="113">
      <c r="A113" s="702" t="s">
        <v>32763</v>
      </c>
      <c r="B113" s="702" t="s">
        <v>32768</v>
      </c>
      <c r="C113" s="707"/>
      <c r="D113" s="707"/>
      <c r="E113" s="708" t="s">
        <v>4481</v>
      </c>
      <c r="F113" s="709">
        <v>200000.0</v>
      </c>
      <c r="G113" s="708" t="s">
        <v>44</v>
      </c>
      <c r="H113" s="709">
        <v>38.0</v>
      </c>
      <c r="I113" s="709"/>
      <c r="J113" s="705">
        <f t="shared" si="1"/>
        <v>7600000</v>
      </c>
      <c r="K113" s="705">
        <f t="shared" si="2"/>
        <v>761000</v>
      </c>
      <c r="L113" s="705">
        <f t="shared" si="3"/>
        <v>8361000</v>
      </c>
      <c r="M113" s="706">
        <f t="shared" si="4"/>
        <v>41.805</v>
      </c>
    </row>
    <row r="114">
      <c r="A114" s="702" t="s">
        <v>32769</v>
      </c>
      <c r="B114" s="702" t="s">
        <v>32770</v>
      </c>
      <c r="C114" s="707"/>
      <c r="D114" s="707"/>
      <c r="E114" s="708" t="s">
        <v>412</v>
      </c>
      <c r="F114" s="709">
        <v>500.0</v>
      </c>
      <c r="G114" s="708" t="s">
        <v>9359</v>
      </c>
      <c r="H114" s="709">
        <v>183.0</v>
      </c>
      <c r="I114" s="709">
        <v>500.0</v>
      </c>
      <c r="J114" s="705">
        <f t="shared" si="1"/>
        <v>92000</v>
      </c>
      <c r="K114" s="705">
        <f t="shared" si="2"/>
        <v>10200</v>
      </c>
      <c r="L114" s="705">
        <f t="shared" si="3"/>
        <v>102200</v>
      </c>
      <c r="M114" s="706">
        <f t="shared" si="4"/>
        <v>204.4</v>
      </c>
    </row>
    <row r="115">
      <c r="A115" s="702" t="s">
        <v>32769</v>
      </c>
      <c r="B115" s="702" t="s">
        <v>10521</v>
      </c>
      <c r="C115" s="707"/>
      <c r="D115" s="707"/>
      <c r="E115" s="708" t="s">
        <v>7197</v>
      </c>
      <c r="F115" s="709">
        <v>100.0</v>
      </c>
      <c r="G115" s="708" t="s">
        <v>44</v>
      </c>
      <c r="H115" s="709">
        <v>27.0</v>
      </c>
      <c r="I115" s="709">
        <v>300.0</v>
      </c>
      <c r="J115" s="705">
        <f t="shared" si="1"/>
        <v>3000</v>
      </c>
      <c r="K115" s="705">
        <f t="shared" si="2"/>
        <v>1300</v>
      </c>
      <c r="L115" s="705">
        <f t="shared" si="3"/>
        <v>4300</v>
      </c>
      <c r="M115" s="706">
        <f t="shared" si="4"/>
        <v>43</v>
      </c>
    </row>
    <row r="116">
      <c r="A116" s="702" t="s">
        <v>32769</v>
      </c>
      <c r="B116" s="702" t="s">
        <v>32771</v>
      </c>
      <c r="C116" s="707"/>
      <c r="D116" s="707"/>
      <c r="E116" s="708" t="s">
        <v>32772</v>
      </c>
      <c r="F116" s="709">
        <v>500.0</v>
      </c>
      <c r="G116" s="708" t="s">
        <v>44</v>
      </c>
      <c r="H116" s="709">
        <v>69.0</v>
      </c>
      <c r="I116" s="709">
        <v>1000.0</v>
      </c>
      <c r="J116" s="705">
        <f t="shared" si="1"/>
        <v>35500</v>
      </c>
      <c r="K116" s="705">
        <f t="shared" si="2"/>
        <v>4550</v>
      </c>
      <c r="L116" s="705">
        <f t="shared" si="3"/>
        <v>40050</v>
      </c>
      <c r="M116" s="706">
        <f t="shared" si="4"/>
        <v>80.1</v>
      </c>
    </row>
    <row r="117">
      <c r="A117" s="702" t="s">
        <v>32769</v>
      </c>
      <c r="B117" s="702" t="s">
        <v>32771</v>
      </c>
      <c r="C117" s="707"/>
      <c r="D117" s="707"/>
      <c r="E117" s="708" t="s">
        <v>32773</v>
      </c>
      <c r="F117" s="709">
        <v>500.0</v>
      </c>
      <c r="G117" s="708" t="s">
        <v>44</v>
      </c>
      <c r="H117" s="709">
        <v>72.0</v>
      </c>
      <c r="I117" s="709">
        <v>1000.0</v>
      </c>
      <c r="J117" s="705">
        <f t="shared" si="1"/>
        <v>37000</v>
      </c>
      <c r="K117" s="705">
        <f t="shared" si="2"/>
        <v>4700</v>
      </c>
      <c r="L117" s="705">
        <f t="shared" si="3"/>
        <v>41700</v>
      </c>
      <c r="M117" s="706">
        <f t="shared" si="4"/>
        <v>83.4</v>
      </c>
    </row>
    <row r="118">
      <c r="A118" s="702" t="s">
        <v>32774</v>
      </c>
      <c r="B118" s="702" t="s">
        <v>32775</v>
      </c>
      <c r="C118" s="707"/>
      <c r="D118" s="707"/>
      <c r="E118" s="708" t="s">
        <v>156</v>
      </c>
      <c r="F118" s="709">
        <v>100000.0</v>
      </c>
      <c r="G118" s="708" t="s">
        <v>44</v>
      </c>
      <c r="H118" s="709">
        <v>3.5</v>
      </c>
      <c r="I118" s="709"/>
      <c r="J118" s="705">
        <f t="shared" si="1"/>
        <v>350000</v>
      </c>
      <c r="K118" s="705">
        <f t="shared" si="2"/>
        <v>36000</v>
      </c>
      <c r="L118" s="705">
        <f t="shared" si="3"/>
        <v>386000</v>
      </c>
      <c r="M118" s="706">
        <f t="shared" si="4"/>
        <v>3.86</v>
      </c>
    </row>
    <row r="119">
      <c r="A119" s="702" t="s">
        <v>32774</v>
      </c>
      <c r="B119" s="702" t="s">
        <v>32776</v>
      </c>
      <c r="C119" s="707"/>
      <c r="D119" s="707"/>
      <c r="E119" s="708" t="s">
        <v>1509</v>
      </c>
      <c r="F119" s="709">
        <v>100.0</v>
      </c>
      <c r="G119" s="708" t="s">
        <v>44</v>
      </c>
      <c r="H119" s="709">
        <v>5.0</v>
      </c>
      <c r="I119" s="709">
        <v>300.0</v>
      </c>
      <c r="J119" s="705">
        <f t="shared" si="1"/>
        <v>800</v>
      </c>
      <c r="K119" s="705">
        <f t="shared" si="2"/>
        <v>1080</v>
      </c>
      <c r="L119" s="705">
        <f t="shared" si="3"/>
        <v>1880</v>
      </c>
      <c r="M119" s="706">
        <f t="shared" si="4"/>
        <v>18.8</v>
      </c>
    </row>
    <row r="120">
      <c r="A120" s="702" t="s">
        <v>32774</v>
      </c>
      <c r="B120" s="702" t="s">
        <v>32777</v>
      </c>
      <c r="C120" s="707"/>
      <c r="D120" s="707"/>
      <c r="E120" s="708" t="s">
        <v>5293</v>
      </c>
      <c r="F120" s="709">
        <v>5000.0</v>
      </c>
      <c r="G120" s="11" t="s">
        <v>10607</v>
      </c>
      <c r="H120" s="709">
        <v>63.0</v>
      </c>
      <c r="I120" s="709">
        <v>5000.0</v>
      </c>
      <c r="J120" s="705">
        <f t="shared" si="1"/>
        <v>320000</v>
      </c>
      <c r="K120" s="705">
        <f t="shared" si="2"/>
        <v>33000</v>
      </c>
      <c r="L120" s="705">
        <f t="shared" si="3"/>
        <v>353000</v>
      </c>
      <c r="M120" s="706">
        <f t="shared" si="4"/>
        <v>70.6</v>
      </c>
    </row>
    <row r="121">
      <c r="A121" s="702" t="s">
        <v>32778</v>
      </c>
      <c r="B121" s="702" t="s">
        <v>32779</v>
      </c>
      <c r="C121" s="707"/>
      <c r="D121" s="707"/>
      <c r="E121" s="708" t="s">
        <v>7868</v>
      </c>
      <c r="F121" s="709">
        <v>5000.0</v>
      </c>
      <c r="G121" s="708" t="s">
        <v>44</v>
      </c>
      <c r="H121" s="709">
        <v>110.0</v>
      </c>
      <c r="I121" s="709">
        <v>5000.0</v>
      </c>
      <c r="J121" s="705">
        <f t="shared" si="1"/>
        <v>555000</v>
      </c>
      <c r="K121" s="705">
        <f t="shared" si="2"/>
        <v>56500</v>
      </c>
      <c r="L121" s="705">
        <f t="shared" si="3"/>
        <v>611500</v>
      </c>
      <c r="M121" s="706">
        <f t="shared" si="4"/>
        <v>122.3</v>
      </c>
    </row>
    <row r="122">
      <c r="A122" s="702" t="s">
        <v>32778</v>
      </c>
      <c r="B122" s="702" t="s">
        <v>32780</v>
      </c>
      <c r="C122" s="707"/>
      <c r="D122" s="707"/>
      <c r="E122" s="708" t="s">
        <v>412</v>
      </c>
      <c r="F122" s="709">
        <v>500.0</v>
      </c>
      <c r="G122" s="708" t="s">
        <v>99</v>
      </c>
      <c r="H122" s="709">
        <v>183.0</v>
      </c>
      <c r="I122" s="709">
        <v>1000.0</v>
      </c>
      <c r="J122" s="705">
        <f t="shared" si="1"/>
        <v>92500</v>
      </c>
      <c r="K122" s="705">
        <f t="shared" si="2"/>
        <v>10250</v>
      </c>
      <c r="L122" s="705">
        <f t="shared" si="3"/>
        <v>102750</v>
      </c>
      <c r="M122" s="706">
        <f t="shared" si="4"/>
        <v>205.5</v>
      </c>
    </row>
    <row r="123">
      <c r="A123" s="702" t="s">
        <v>32778</v>
      </c>
      <c r="B123" s="702" t="s">
        <v>32781</v>
      </c>
      <c r="C123" s="707"/>
      <c r="D123" s="707"/>
      <c r="E123" s="708" t="s">
        <v>9434</v>
      </c>
      <c r="F123" s="709">
        <v>200000.0</v>
      </c>
      <c r="G123" s="708" t="s">
        <v>44</v>
      </c>
      <c r="H123" s="709">
        <v>7.5</v>
      </c>
      <c r="I123" s="709"/>
      <c r="J123" s="705">
        <f t="shared" si="1"/>
        <v>1500000</v>
      </c>
      <c r="K123" s="705">
        <f t="shared" si="2"/>
        <v>151000</v>
      </c>
      <c r="L123" s="705">
        <f t="shared" si="3"/>
        <v>1651000</v>
      </c>
      <c r="M123" s="706">
        <f t="shared" si="4"/>
        <v>8.255</v>
      </c>
    </row>
    <row r="124">
      <c r="A124" s="702" t="s">
        <v>32782</v>
      </c>
      <c r="B124" s="702" t="s">
        <v>32783</v>
      </c>
      <c r="C124" s="707"/>
      <c r="D124" s="707"/>
      <c r="E124" s="708" t="s">
        <v>189</v>
      </c>
      <c r="F124" s="709">
        <v>100000.0</v>
      </c>
      <c r="G124" s="708" t="s">
        <v>44</v>
      </c>
      <c r="H124" s="709">
        <v>6.0</v>
      </c>
      <c r="I124" s="709"/>
      <c r="J124" s="705">
        <f t="shared" si="1"/>
        <v>600000</v>
      </c>
      <c r="K124" s="705">
        <f t="shared" si="2"/>
        <v>61000</v>
      </c>
      <c r="L124" s="705">
        <f t="shared" si="3"/>
        <v>661000</v>
      </c>
      <c r="M124" s="706">
        <f t="shared" si="4"/>
        <v>6.61</v>
      </c>
    </row>
    <row r="125">
      <c r="A125" s="702" t="s">
        <v>32784</v>
      </c>
      <c r="B125" s="702" t="s">
        <v>32785</v>
      </c>
      <c r="C125" s="707"/>
      <c r="D125" s="707"/>
      <c r="E125" s="708" t="s">
        <v>178</v>
      </c>
      <c r="F125" s="709">
        <v>15000.0</v>
      </c>
      <c r="G125" s="708" t="s">
        <v>44</v>
      </c>
      <c r="H125" s="709">
        <v>4.6</v>
      </c>
      <c r="I125" s="709"/>
      <c r="J125" s="705">
        <f t="shared" si="1"/>
        <v>69000</v>
      </c>
      <c r="K125" s="705">
        <f t="shared" si="2"/>
        <v>7900</v>
      </c>
      <c r="L125" s="705">
        <f t="shared" si="3"/>
        <v>76900</v>
      </c>
      <c r="M125" s="706">
        <f t="shared" si="4"/>
        <v>5.126666667</v>
      </c>
    </row>
    <row r="126">
      <c r="A126" s="702" t="s">
        <v>32784</v>
      </c>
      <c r="B126" s="702" t="s">
        <v>32786</v>
      </c>
      <c r="C126" s="707"/>
      <c r="D126" s="707"/>
      <c r="E126" s="708" t="s">
        <v>189</v>
      </c>
      <c r="F126" s="709">
        <v>1000.0</v>
      </c>
      <c r="G126" s="708" t="s">
        <v>44</v>
      </c>
      <c r="H126" s="709">
        <v>6.0</v>
      </c>
      <c r="I126" s="709">
        <v>1000.0</v>
      </c>
      <c r="J126" s="705">
        <f t="shared" si="1"/>
        <v>7000</v>
      </c>
      <c r="K126" s="705">
        <f t="shared" si="2"/>
        <v>1700</v>
      </c>
      <c r="L126" s="705">
        <f t="shared" si="3"/>
        <v>8700</v>
      </c>
      <c r="M126" s="706">
        <f t="shared" si="4"/>
        <v>8.7</v>
      </c>
    </row>
    <row r="127">
      <c r="A127" s="702" t="s">
        <v>32784</v>
      </c>
      <c r="B127" s="96" t="s">
        <v>32787</v>
      </c>
      <c r="C127" s="707"/>
      <c r="D127" s="707"/>
      <c r="E127" s="708" t="s">
        <v>32788</v>
      </c>
      <c r="F127" s="709">
        <v>15000.0</v>
      </c>
      <c r="G127" s="708" t="s">
        <v>20765</v>
      </c>
      <c r="H127" s="709">
        <v>6.0</v>
      </c>
      <c r="I127" s="709"/>
      <c r="J127" s="705">
        <f t="shared" si="1"/>
        <v>90000</v>
      </c>
      <c r="K127" s="705">
        <f t="shared" si="2"/>
        <v>10000</v>
      </c>
      <c r="L127" s="705">
        <f t="shared" si="3"/>
        <v>100000</v>
      </c>
      <c r="M127" s="706">
        <f t="shared" si="4"/>
        <v>6.666666667</v>
      </c>
    </row>
    <row r="128">
      <c r="A128" s="702" t="s">
        <v>32789</v>
      </c>
      <c r="B128" s="702" t="s">
        <v>32790</v>
      </c>
      <c r="C128" s="707"/>
      <c r="D128" s="707"/>
      <c r="E128" s="708" t="s">
        <v>87</v>
      </c>
      <c r="F128" s="709">
        <v>6000.0</v>
      </c>
      <c r="G128" s="708" t="s">
        <v>44</v>
      </c>
      <c r="H128" s="709">
        <v>27.0</v>
      </c>
      <c r="I128" s="709">
        <v>6000.0</v>
      </c>
      <c r="J128" s="705">
        <f t="shared" si="1"/>
        <v>168000</v>
      </c>
      <c r="K128" s="705">
        <f t="shared" si="2"/>
        <v>17800</v>
      </c>
      <c r="L128" s="705">
        <f t="shared" si="3"/>
        <v>185800</v>
      </c>
      <c r="M128" s="706">
        <f t="shared" si="4"/>
        <v>30.96666667</v>
      </c>
    </row>
    <row r="129">
      <c r="A129" s="702" t="s">
        <v>32791</v>
      </c>
      <c r="B129" s="702" t="s">
        <v>32792</v>
      </c>
      <c r="C129" s="707"/>
      <c r="D129" s="707"/>
      <c r="E129" s="708" t="s">
        <v>189</v>
      </c>
      <c r="F129" s="709">
        <v>1000.0</v>
      </c>
      <c r="G129" s="708" t="s">
        <v>495</v>
      </c>
      <c r="H129" s="709">
        <v>6.0</v>
      </c>
      <c r="I129" s="709">
        <v>1000.0</v>
      </c>
      <c r="J129" s="705">
        <f t="shared" si="1"/>
        <v>7000</v>
      </c>
      <c r="K129" s="705">
        <f t="shared" si="2"/>
        <v>1700</v>
      </c>
      <c r="L129" s="705">
        <f t="shared" si="3"/>
        <v>8700</v>
      </c>
      <c r="M129" s="706">
        <f t="shared" si="4"/>
        <v>8.7</v>
      </c>
    </row>
    <row r="130">
      <c r="A130" s="702" t="s">
        <v>32793</v>
      </c>
      <c r="B130" s="702" t="s">
        <v>32794</v>
      </c>
      <c r="C130" s="707"/>
      <c r="D130" s="707"/>
      <c r="E130" s="708" t="s">
        <v>32795</v>
      </c>
      <c r="F130" s="709">
        <v>100.0</v>
      </c>
      <c r="G130" s="708" t="s">
        <v>44</v>
      </c>
      <c r="H130" s="709">
        <v>46.0</v>
      </c>
      <c r="I130" s="709">
        <v>250.0</v>
      </c>
      <c r="J130" s="705">
        <f t="shared" si="1"/>
        <v>4850</v>
      </c>
      <c r="K130" s="705">
        <f t="shared" si="2"/>
        <v>1485</v>
      </c>
      <c r="L130" s="705">
        <f t="shared" si="3"/>
        <v>6335</v>
      </c>
      <c r="M130" s="706">
        <f t="shared" si="4"/>
        <v>63.35</v>
      </c>
    </row>
    <row r="131">
      <c r="A131" s="702" t="s">
        <v>32793</v>
      </c>
      <c r="B131" s="702" t="s">
        <v>32796</v>
      </c>
      <c r="C131" s="707"/>
      <c r="D131" s="707"/>
      <c r="E131" s="708" t="s">
        <v>4123</v>
      </c>
      <c r="F131" s="709">
        <v>10000.0</v>
      </c>
      <c r="G131" s="708" t="s">
        <v>158</v>
      </c>
      <c r="H131" s="709">
        <v>9.0</v>
      </c>
      <c r="I131" s="709"/>
      <c r="J131" s="705">
        <f t="shared" si="1"/>
        <v>90000</v>
      </c>
      <c r="K131" s="705">
        <f t="shared" si="2"/>
        <v>10000</v>
      </c>
      <c r="L131" s="705">
        <f t="shared" si="3"/>
        <v>100000</v>
      </c>
      <c r="M131" s="706">
        <f t="shared" si="4"/>
        <v>10</v>
      </c>
    </row>
    <row r="132">
      <c r="A132" s="702" t="s">
        <v>32793</v>
      </c>
      <c r="B132" s="702" t="s">
        <v>32797</v>
      </c>
      <c r="C132" s="707"/>
      <c r="D132" s="707"/>
      <c r="E132" s="708" t="s">
        <v>32685</v>
      </c>
      <c r="F132" s="709">
        <v>1000.0</v>
      </c>
      <c r="G132" s="708" t="s">
        <v>158</v>
      </c>
      <c r="H132" s="709">
        <v>8.0</v>
      </c>
      <c r="I132" s="709">
        <v>1000.0</v>
      </c>
      <c r="J132" s="705">
        <f t="shared" si="1"/>
        <v>9000</v>
      </c>
      <c r="K132" s="705">
        <f t="shared" si="2"/>
        <v>1900</v>
      </c>
      <c r="L132" s="705">
        <f t="shared" si="3"/>
        <v>10900</v>
      </c>
      <c r="M132" s="706">
        <f t="shared" si="4"/>
        <v>10.9</v>
      </c>
    </row>
    <row r="133">
      <c r="A133" s="702" t="s">
        <v>32793</v>
      </c>
      <c r="B133" s="702" t="s">
        <v>32797</v>
      </c>
      <c r="C133" s="707"/>
      <c r="D133" s="707"/>
      <c r="E133" s="708" t="s">
        <v>1814</v>
      </c>
      <c r="F133" s="709">
        <v>1000.0</v>
      </c>
      <c r="G133" s="708" t="s">
        <v>158</v>
      </c>
      <c r="H133" s="709">
        <v>8.2</v>
      </c>
      <c r="I133" s="709">
        <v>1000.0</v>
      </c>
      <c r="J133" s="705">
        <f t="shared" si="1"/>
        <v>9200</v>
      </c>
      <c r="K133" s="705">
        <f t="shared" si="2"/>
        <v>1920</v>
      </c>
      <c r="L133" s="705">
        <f t="shared" si="3"/>
        <v>11120</v>
      </c>
      <c r="M133" s="706">
        <f t="shared" si="4"/>
        <v>11.12</v>
      </c>
    </row>
    <row r="134">
      <c r="A134" s="702" t="s">
        <v>32793</v>
      </c>
      <c r="B134" s="702" t="s">
        <v>32798</v>
      </c>
      <c r="C134" s="707"/>
      <c r="D134" s="707"/>
      <c r="E134" s="708" t="s">
        <v>2821</v>
      </c>
      <c r="F134" s="709">
        <v>200.0</v>
      </c>
      <c r="G134" s="708" t="s">
        <v>1082</v>
      </c>
      <c r="H134" s="709">
        <v>72.0</v>
      </c>
      <c r="I134" s="709">
        <v>500.0</v>
      </c>
      <c r="J134" s="705">
        <f t="shared" si="1"/>
        <v>14900</v>
      </c>
      <c r="K134" s="705">
        <f t="shared" si="2"/>
        <v>2490</v>
      </c>
      <c r="L134" s="705">
        <f t="shared" si="3"/>
        <v>17390</v>
      </c>
      <c r="M134" s="706">
        <f t="shared" si="4"/>
        <v>86.95</v>
      </c>
    </row>
    <row r="135">
      <c r="A135" s="702" t="s">
        <v>32793</v>
      </c>
      <c r="B135" s="702" t="s">
        <v>10941</v>
      </c>
      <c r="C135" s="707"/>
      <c r="D135" s="707"/>
      <c r="E135" s="708" t="s">
        <v>1836</v>
      </c>
      <c r="F135" s="709">
        <v>2000.0</v>
      </c>
      <c r="G135" s="708" t="s">
        <v>1082</v>
      </c>
      <c r="H135" s="709">
        <v>88.0</v>
      </c>
      <c r="I135" s="709">
        <v>2000.0</v>
      </c>
      <c r="J135" s="705">
        <f t="shared" si="1"/>
        <v>178000</v>
      </c>
      <c r="K135" s="705">
        <f t="shared" si="2"/>
        <v>18800</v>
      </c>
      <c r="L135" s="705">
        <f t="shared" si="3"/>
        <v>196800</v>
      </c>
      <c r="M135" s="706">
        <f t="shared" si="4"/>
        <v>98.4</v>
      </c>
    </row>
    <row r="136">
      <c r="A136" s="702" t="s">
        <v>32793</v>
      </c>
      <c r="B136" s="702" t="s">
        <v>32799</v>
      </c>
      <c r="C136" s="707"/>
      <c r="D136" s="707"/>
      <c r="E136" s="708" t="s">
        <v>9434</v>
      </c>
      <c r="F136" s="709">
        <v>1000.0</v>
      </c>
      <c r="G136" s="708" t="s">
        <v>32800</v>
      </c>
      <c r="H136" s="709">
        <v>7.5</v>
      </c>
      <c r="I136" s="709">
        <v>1000.0</v>
      </c>
      <c r="J136" s="705">
        <f t="shared" si="1"/>
        <v>8500</v>
      </c>
      <c r="K136" s="705">
        <f t="shared" si="2"/>
        <v>1850</v>
      </c>
      <c r="L136" s="705">
        <f t="shared" si="3"/>
        <v>10350</v>
      </c>
      <c r="M136" s="706">
        <f t="shared" si="4"/>
        <v>10.35</v>
      </c>
    </row>
    <row r="137">
      <c r="A137" s="702" t="s">
        <v>32793</v>
      </c>
      <c r="B137" s="702" t="s">
        <v>32801</v>
      </c>
      <c r="C137" s="707"/>
      <c r="D137" s="707"/>
      <c r="E137" s="708" t="s">
        <v>32802</v>
      </c>
      <c r="F137" s="709">
        <v>1000.0</v>
      </c>
      <c r="G137" s="708" t="s">
        <v>20765</v>
      </c>
      <c r="H137" s="709">
        <v>4.0</v>
      </c>
      <c r="I137" s="709">
        <v>1000.0</v>
      </c>
      <c r="J137" s="705">
        <f t="shared" si="1"/>
        <v>5000</v>
      </c>
      <c r="K137" s="705">
        <f t="shared" si="2"/>
        <v>1500</v>
      </c>
      <c r="L137" s="705">
        <f t="shared" si="3"/>
        <v>6500</v>
      </c>
      <c r="M137" s="706">
        <f t="shared" si="4"/>
        <v>6.5</v>
      </c>
    </row>
    <row r="138">
      <c r="A138" s="702" t="s">
        <v>32803</v>
      </c>
      <c r="B138" s="702" t="s">
        <v>32804</v>
      </c>
      <c r="C138" s="707"/>
      <c r="D138" s="707"/>
      <c r="E138" s="708" t="s">
        <v>523</v>
      </c>
      <c r="F138" s="709">
        <v>10000.0</v>
      </c>
      <c r="G138" s="708" t="s">
        <v>184</v>
      </c>
      <c r="H138" s="709">
        <v>4.75</v>
      </c>
      <c r="I138" s="709">
        <v>1000.0</v>
      </c>
      <c r="J138" s="705">
        <f t="shared" si="1"/>
        <v>48500</v>
      </c>
      <c r="K138" s="705">
        <f t="shared" si="2"/>
        <v>5850</v>
      </c>
      <c r="L138" s="705">
        <f t="shared" si="3"/>
        <v>54350</v>
      </c>
      <c r="M138" s="706">
        <f t="shared" si="4"/>
        <v>5.435</v>
      </c>
    </row>
    <row r="139">
      <c r="A139" s="702" t="s">
        <v>32803</v>
      </c>
      <c r="B139" s="702" t="s">
        <v>32805</v>
      </c>
      <c r="C139" s="707"/>
      <c r="D139" s="707"/>
      <c r="E139" s="708" t="s">
        <v>3918</v>
      </c>
      <c r="F139" s="709">
        <v>200.0</v>
      </c>
      <c r="G139" s="708" t="s">
        <v>44</v>
      </c>
      <c r="H139" s="709">
        <v>27.0</v>
      </c>
      <c r="I139" s="709">
        <v>500.0</v>
      </c>
      <c r="J139" s="705">
        <f t="shared" si="1"/>
        <v>5900</v>
      </c>
      <c r="K139" s="705">
        <f t="shared" si="2"/>
        <v>1590</v>
      </c>
      <c r="L139" s="705">
        <f t="shared" si="3"/>
        <v>7490</v>
      </c>
      <c r="M139" s="706">
        <f t="shared" si="4"/>
        <v>37.45</v>
      </c>
    </row>
    <row r="140">
      <c r="A140" s="702" t="s">
        <v>32806</v>
      </c>
      <c r="B140" s="702" t="s">
        <v>11038</v>
      </c>
      <c r="C140" s="707"/>
      <c r="D140" s="707"/>
      <c r="E140" s="708" t="s">
        <v>10216</v>
      </c>
      <c r="F140" s="709">
        <v>1500.0</v>
      </c>
      <c r="G140" s="708" t="s">
        <v>2070</v>
      </c>
      <c r="H140" s="709">
        <v>80.0</v>
      </c>
      <c r="I140" s="709">
        <v>1500.0</v>
      </c>
      <c r="J140" s="705">
        <f t="shared" si="1"/>
        <v>121500</v>
      </c>
      <c r="K140" s="705">
        <f t="shared" si="2"/>
        <v>13150</v>
      </c>
      <c r="L140" s="705">
        <f t="shared" si="3"/>
        <v>134650</v>
      </c>
      <c r="M140" s="706">
        <f t="shared" si="4"/>
        <v>89.76666667</v>
      </c>
    </row>
    <row r="141">
      <c r="A141" s="702" t="s">
        <v>32807</v>
      </c>
      <c r="B141" s="702" t="s">
        <v>32808</v>
      </c>
      <c r="C141" s="707"/>
      <c r="D141" s="707"/>
      <c r="E141" s="708" t="s">
        <v>2747</v>
      </c>
      <c r="F141" s="709">
        <v>1000.0</v>
      </c>
      <c r="G141" s="708" t="s">
        <v>44</v>
      </c>
      <c r="H141" s="709">
        <v>5.0</v>
      </c>
      <c r="I141" s="709">
        <v>1000.0</v>
      </c>
      <c r="J141" s="705">
        <f t="shared" si="1"/>
        <v>6000</v>
      </c>
      <c r="K141" s="705">
        <f t="shared" si="2"/>
        <v>1600</v>
      </c>
      <c r="L141" s="705">
        <f t="shared" si="3"/>
        <v>7600</v>
      </c>
      <c r="M141" s="706">
        <f t="shared" si="4"/>
        <v>7.6</v>
      </c>
    </row>
    <row r="142">
      <c r="A142" s="702" t="s">
        <v>32807</v>
      </c>
      <c r="B142" s="702" t="s">
        <v>32809</v>
      </c>
      <c r="C142" s="707"/>
      <c r="D142" s="707"/>
      <c r="E142" s="708" t="s">
        <v>32810</v>
      </c>
      <c r="F142" s="709">
        <v>1000.0</v>
      </c>
      <c r="G142" s="708" t="s">
        <v>20765</v>
      </c>
      <c r="H142" s="709">
        <v>5.0</v>
      </c>
      <c r="I142" s="709">
        <v>1000.0</v>
      </c>
      <c r="J142" s="705">
        <f t="shared" si="1"/>
        <v>6000</v>
      </c>
      <c r="K142" s="705">
        <f t="shared" si="2"/>
        <v>1600</v>
      </c>
      <c r="L142" s="705">
        <f t="shared" si="3"/>
        <v>7600</v>
      </c>
      <c r="M142" s="706">
        <f t="shared" si="4"/>
        <v>7.6</v>
      </c>
    </row>
    <row r="143">
      <c r="A143" s="702" t="s">
        <v>32811</v>
      </c>
      <c r="B143" s="702" t="s">
        <v>32812</v>
      </c>
      <c r="C143" s="707"/>
      <c r="D143" s="707"/>
      <c r="E143" s="708" t="s">
        <v>167</v>
      </c>
      <c r="F143" s="709">
        <v>500.0</v>
      </c>
      <c r="G143" s="708" t="s">
        <v>99</v>
      </c>
      <c r="H143" s="709">
        <v>6.5</v>
      </c>
      <c r="I143" s="709">
        <v>500.0</v>
      </c>
      <c r="J143" s="705">
        <f t="shared" si="1"/>
        <v>3750</v>
      </c>
      <c r="K143" s="705">
        <f t="shared" si="2"/>
        <v>1375</v>
      </c>
      <c r="L143" s="705">
        <f t="shared" si="3"/>
        <v>5125</v>
      </c>
      <c r="M143" s="706">
        <f t="shared" si="4"/>
        <v>10.25</v>
      </c>
    </row>
    <row r="144">
      <c r="A144" s="702" t="s">
        <v>32811</v>
      </c>
      <c r="B144" s="702" t="s">
        <v>32813</v>
      </c>
      <c r="C144" s="707"/>
      <c r="D144" s="707"/>
      <c r="E144" s="708" t="s">
        <v>189</v>
      </c>
      <c r="F144" s="709">
        <v>10000.0</v>
      </c>
      <c r="G144" s="708" t="s">
        <v>44</v>
      </c>
      <c r="H144" s="709">
        <v>6.0</v>
      </c>
      <c r="I144" s="709"/>
      <c r="J144" s="705">
        <f t="shared" si="1"/>
        <v>60000</v>
      </c>
      <c r="K144" s="705">
        <f t="shared" si="2"/>
        <v>7000</v>
      </c>
      <c r="L144" s="705">
        <f t="shared" si="3"/>
        <v>67000</v>
      </c>
      <c r="M144" s="706">
        <f t="shared" si="4"/>
        <v>6.7</v>
      </c>
    </row>
    <row r="145">
      <c r="A145" s="702" t="s">
        <v>32811</v>
      </c>
      <c r="B145" s="702" t="s">
        <v>32814</v>
      </c>
      <c r="C145" s="707"/>
      <c r="D145" s="707"/>
      <c r="E145" s="708" t="s">
        <v>32815</v>
      </c>
      <c r="F145" s="709">
        <v>20000.0</v>
      </c>
      <c r="G145" s="708" t="s">
        <v>44</v>
      </c>
      <c r="H145" s="709">
        <v>3.2</v>
      </c>
      <c r="I145" s="709">
        <v>500.0</v>
      </c>
      <c r="J145" s="705">
        <f t="shared" si="1"/>
        <v>64500</v>
      </c>
      <c r="K145" s="705">
        <f t="shared" si="2"/>
        <v>7450</v>
      </c>
      <c r="L145" s="705">
        <f t="shared" si="3"/>
        <v>71950</v>
      </c>
      <c r="M145" s="706">
        <f t="shared" si="4"/>
        <v>3.5975</v>
      </c>
    </row>
    <row r="146">
      <c r="A146" s="702" t="s">
        <v>32811</v>
      </c>
      <c r="B146" s="702" t="s">
        <v>32816</v>
      </c>
      <c r="C146" s="707"/>
      <c r="D146" s="707"/>
      <c r="E146" s="708"/>
      <c r="F146" s="709">
        <v>1000.0</v>
      </c>
      <c r="G146" s="708" t="s">
        <v>930</v>
      </c>
      <c r="H146" s="709">
        <v>4.5</v>
      </c>
      <c r="I146" s="709">
        <v>1000.0</v>
      </c>
      <c r="J146" s="705">
        <f t="shared" si="1"/>
        <v>5500</v>
      </c>
      <c r="K146" s="705">
        <f t="shared" si="2"/>
        <v>1550</v>
      </c>
      <c r="L146" s="705">
        <f t="shared" si="3"/>
        <v>7050</v>
      </c>
      <c r="M146" s="706">
        <f t="shared" si="4"/>
        <v>7.05</v>
      </c>
    </row>
    <row r="147">
      <c r="A147" s="702" t="s">
        <v>32811</v>
      </c>
      <c r="B147" s="702" t="s">
        <v>32817</v>
      </c>
      <c r="C147" s="707"/>
      <c r="D147" s="707"/>
      <c r="E147" s="708" t="s">
        <v>11149</v>
      </c>
      <c r="F147" s="709">
        <v>2000.0</v>
      </c>
      <c r="G147" s="708" t="s">
        <v>44</v>
      </c>
      <c r="H147" s="709">
        <v>54.5</v>
      </c>
      <c r="I147" s="709">
        <v>2000.0</v>
      </c>
      <c r="J147" s="705">
        <f t="shared" si="1"/>
        <v>111000</v>
      </c>
      <c r="K147" s="705">
        <f t="shared" si="2"/>
        <v>12100</v>
      </c>
      <c r="L147" s="705">
        <f t="shared" si="3"/>
        <v>123100</v>
      </c>
      <c r="M147" s="706">
        <f t="shared" si="4"/>
        <v>61.55</v>
      </c>
    </row>
    <row r="148">
      <c r="A148" s="702" t="s">
        <v>32811</v>
      </c>
      <c r="B148" s="702" t="s">
        <v>32818</v>
      </c>
      <c r="C148" s="707"/>
      <c r="D148" s="707"/>
      <c r="E148" s="708" t="s">
        <v>6760</v>
      </c>
      <c r="F148" s="709">
        <v>10.0</v>
      </c>
      <c r="G148" s="708" t="s">
        <v>495</v>
      </c>
      <c r="H148" s="709">
        <v>140.0</v>
      </c>
      <c r="I148" s="709">
        <v>1000.0</v>
      </c>
      <c r="J148" s="705">
        <f t="shared" si="1"/>
        <v>2400</v>
      </c>
      <c r="K148" s="705">
        <f t="shared" si="2"/>
        <v>1240</v>
      </c>
      <c r="L148" s="705">
        <f t="shared" si="3"/>
        <v>3640</v>
      </c>
      <c r="M148" s="706">
        <f t="shared" si="4"/>
        <v>364</v>
      </c>
    </row>
    <row r="149">
      <c r="A149" s="702" t="s">
        <v>32811</v>
      </c>
      <c r="B149" s="702" t="s">
        <v>32819</v>
      </c>
      <c r="C149" s="707"/>
      <c r="D149" s="707"/>
      <c r="E149" s="708" t="s">
        <v>9682</v>
      </c>
      <c r="F149" s="709">
        <v>1000.0</v>
      </c>
      <c r="G149" s="708" t="s">
        <v>44</v>
      </c>
      <c r="H149" s="709">
        <v>8.5</v>
      </c>
      <c r="I149" s="709">
        <v>1000.0</v>
      </c>
      <c r="J149" s="705">
        <f t="shared" si="1"/>
        <v>9500</v>
      </c>
      <c r="K149" s="705">
        <f t="shared" si="2"/>
        <v>1950</v>
      </c>
      <c r="L149" s="705">
        <f t="shared" si="3"/>
        <v>11450</v>
      </c>
      <c r="M149" s="706">
        <f t="shared" si="4"/>
        <v>11.45</v>
      </c>
    </row>
    <row r="150">
      <c r="A150" s="702" t="s">
        <v>32811</v>
      </c>
      <c r="B150" s="702" t="s">
        <v>32820</v>
      </c>
      <c r="C150" s="707"/>
      <c r="D150" s="707"/>
      <c r="E150" s="708" t="s">
        <v>31481</v>
      </c>
      <c r="F150" s="709">
        <v>1000.0</v>
      </c>
      <c r="G150" s="708" t="s">
        <v>11175</v>
      </c>
      <c r="H150" s="709">
        <v>4.75</v>
      </c>
      <c r="I150" s="709">
        <v>1000.0</v>
      </c>
      <c r="J150" s="705">
        <f t="shared" si="1"/>
        <v>5750</v>
      </c>
      <c r="K150" s="705">
        <f t="shared" si="2"/>
        <v>1575</v>
      </c>
      <c r="L150" s="705">
        <f t="shared" si="3"/>
        <v>7325</v>
      </c>
      <c r="M150" s="706">
        <f t="shared" si="4"/>
        <v>7.325</v>
      </c>
    </row>
    <row r="151">
      <c r="A151" s="702" t="s">
        <v>32811</v>
      </c>
      <c r="B151" s="702" t="s">
        <v>32820</v>
      </c>
      <c r="C151" s="707"/>
      <c r="D151" s="707"/>
      <c r="E151" s="708" t="s">
        <v>32821</v>
      </c>
      <c r="F151" s="709">
        <v>1000.0</v>
      </c>
      <c r="G151" s="708" t="s">
        <v>11175</v>
      </c>
      <c r="H151" s="709">
        <v>5.1</v>
      </c>
      <c r="I151" s="709">
        <v>1000.0</v>
      </c>
      <c r="J151" s="705">
        <f t="shared" si="1"/>
        <v>6100</v>
      </c>
      <c r="K151" s="705">
        <f t="shared" si="2"/>
        <v>1610</v>
      </c>
      <c r="L151" s="705">
        <f t="shared" si="3"/>
        <v>7710</v>
      </c>
      <c r="M151" s="706">
        <f t="shared" si="4"/>
        <v>7.71</v>
      </c>
    </row>
    <row r="152">
      <c r="A152" s="702" t="s">
        <v>32822</v>
      </c>
      <c r="B152" s="702" t="s">
        <v>32823</v>
      </c>
      <c r="C152" s="707"/>
      <c r="D152" s="707"/>
      <c r="E152" s="708" t="s">
        <v>178</v>
      </c>
      <c r="F152" s="709">
        <v>100000.0</v>
      </c>
      <c r="G152" s="708" t="s">
        <v>44</v>
      </c>
      <c r="H152" s="709">
        <v>4.6</v>
      </c>
      <c r="I152" s="709"/>
      <c r="J152" s="705">
        <f t="shared" si="1"/>
        <v>460000</v>
      </c>
      <c r="K152" s="705">
        <f t="shared" si="2"/>
        <v>47000</v>
      </c>
      <c r="L152" s="705">
        <f t="shared" si="3"/>
        <v>507000</v>
      </c>
      <c r="M152" s="706">
        <f t="shared" si="4"/>
        <v>5.07</v>
      </c>
    </row>
    <row r="153">
      <c r="A153" s="702" t="s">
        <v>32824</v>
      </c>
      <c r="B153" s="702" t="s">
        <v>11230</v>
      </c>
      <c r="C153" s="707"/>
      <c r="D153" s="707"/>
      <c r="E153" s="708" t="s">
        <v>32825</v>
      </c>
      <c r="F153" s="709">
        <v>500.0</v>
      </c>
      <c r="G153" s="708" t="s">
        <v>44</v>
      </c>
      <c r="H153" s="709">
        <v>12.0</v>
      </c>
      <c r="I153" s="709">
        <v>500.0</v>
      </c>
      <c r="J153" s="705">
        <f t="shared" si="1"/>
        <v>6500</v>
      </c>
      <c r="K153" s="705">
        <f t="shared" si="2"/>
        <v>1650</v>
      </c>
      <c r="L153" s="705">
        <f t="shared" si="3"/>
        <v>8150</v>
      </c>
      <c r="M153" s="706">
        <f t="shared" si="4"/>
        <v>16.3</v>
      </c>
    </row>
    <row r="154">
      <c r="A154" s="702" t="s">
        <v>32824</v>
      </c>
      <c r="B154" s="702" t="s">
        <v>11230</v>
      </c>
      <c r="C154" s="707"/>
      <c r="D154" s="707"/>
      <c r="E154" s="708" t="s">
        <v>1930</v>
      </c>
      <c r="F154" s="709">
        <v>200.0</v>
      </c>
      <c r="G154" s="708" t="s">
        <v>44</v>
      </c>
      <c r="H154" s="709">
        <v>33.0</v>
      </c>
      <c r="I154" s="709">
        <v>500.0</v>
      </c>
      <c r="J154" s="705">
        <f t="shared" si="1"/>
        <v>7100</v>
      </c>
      <c r="K154" s="705">
        <f t="shared" si="2"/>
        <v>1710</v>
      </c>
      <c r="L154" s="705">
        <f t="shared" si="3"/>
        <v>8810</v>
      </c>
      <c r="M154" s="706">
        <f t="shared" si="4"/>
        <v>44.05</v>
      </c>
    </row>
    <row r="155">
      <c r="A155" s="702" t="s">
        <v>32824</v>
      </c>
      <c r="B155" s="702" t="s">
        <v>11230</v>
      </c>
      <c r="C155" s="707"/>
      <c r="D155" s="707"/>
      <c r="E155" s="708" t="s">
        <v>1023</v>
      </c>
      <c r="F155" s="709">
        <v>500.0</v>
      </c>
      <c r="G155" s="708" t="s">
        <v>44</v>
      </c>
      <c r="H155" s="709">
        <v>22.0</v>
      </c>
      <c r="I155" s="709"/>
      <c r="J155" s="705">
        <f t="shared" si="1"/>
        <v>11000</v>
      </c>
      <c r="K155" s="705">
        <f t="shared" si="2"/>
        <v>2100</v>
      </c>
      <c r="L155" s="705">
        <f t="shared" si="3"/>
        <v>13100</v>
      </c>
      <c r="M155" s="706">
        <f t="shared" si="4"/>
        <v>26.2</v>
      </c>
    </row>
    <row r="156">
      <c r="A156" s="702" t="s">
        <v>32824</v>
      </c>
      <c r="B156" s="702" t="s">
        <v>11230</v>
      </c>
      <c r="C156" s="707"/>
      <c r="D156" s="707"/>
      <c r="E156" s="708" t="s">
        <v>3165</v>
      </c>
      <c r="F156" s="709">
        <v>500.0</v>
      </c>
      <c r="G156" s="708" t="s">
        <v>44</v>
      </c>
      <c r="H156" s="709">
        <v>83.0</v>
      </c>
      <c r="I156" s="709">
        <v>500.0</v>
      </c>
      <c r="J156" s="705">
        <f t="shared" si="1"/>
        <v>42000</v>
      </c>
      <c r="K156" s="705">
        <f t="shared" si="2"/>
        <v>5200</v>
      </c>
      <c r="L156" s="705">
        <f t="shared" si="3"/>
        <v>47200</v>
      </c>
      <c r="M156" s="706">
        <f t="shared" si="4"/>
        <v>94.4</v>
      </c>
    </row>
    <row r="157">
      <c r="A157" s="702" t="s">
        <v>32824</v>
      </c>
      <c r="B157" s="702" t="s">
        <v>11230</v>
      </c>
      <c r="C157" s="707"/>
      <c r="D157" s="707"/>
      <c r="E157" s="708" t="s">
        <v>32826</v>
      </c>
      <c r="F157" s="709">
        <v>500.0</v>
      </c>
      <c r="G157" s="708" t="s">
        <v>44</v>
      </c>
      <c r="H157" s="709">
        <v>96.0</v>
      </c>
      <c r="I157" s="709">
        <v>500.0</v>
      </c>
      <c r="J157" s="705">
        <f t="shared" si="1"/>
        <v>48500</v>
      </c>
      <c r="K157" s="705">
        <f t="shared" si="2"/>
        <v>5850</v>
      </c>
      <c r="L157" s="705">
        <f t="shared" si="3"/>
        <v>54350</v>
      </c>
      <c r="M157" s="706">
        <f t="shared" si="4"/>
        <v>108.7</v>
      </c>
    </row>
    <row r="158">
      <c r="A158" s="702" t="s">
        <v>32824</v>
      </c>
      <c r="B158" s="702" t="s">
        <v>11230</v>
      </c>
      <c r="C158" s="707"/>
      <c r="D158" s="707"/>
      <c r="E158" s="708" t="s">
        <v>31481</v>
      </c>
      <c r="F158" s="709">
        <v>50000.0</v>
      </c>
      <c r="G158" s="708" t="s">
        <v>44</v>
      </c>
      <c r="H158" s="709">
        <v>4.75</v>
      </c>
      <c r="I158" s="709"/>
      <c r="J158" s="705">
        <f t="shared" si="1"/>
        <v>237500</v>
      </c>
      <c r="K158" s="705">
        <f t="shared" si="2"/>
        <v>24750</v>
      </c>
      <c r="L158" s="705">
        <f t="shared" si="3"/>
        <v>262250</v>
      </c>
      <c r="M158" s="706">
        <f t="shared" si="4"/>
        <v>5.245</v>
      </c>
    </row>
    <row r="159">
      <c r="A159" s="702" t="s">
        <v>32824</v>
      </c>
      <c r="B159" s="702" t="s">
        <v>11230</v>
      </c>
      <c r="C159" s="707"/>
      <c r="D159" s="707"/>
      <c r="E159" s="708" t="s">
        <v>32821</v>
      </c>
      <c r="F159" s="709">
        <v>50000.0</v>
      </c>
      <c r="G159" s="708" t="s">
        <v>44</v>
      </c>
      <c r="H159" s="709">
        <v>5.1</v>
      </c>
      <c r="I159" s="709"/>
      <c r="J159" s="705">
        <f t="shared" si="1"/>
        <v>255000</v>
      </c>
      <c r="K159" s="705">
        <f t="shared" si="2"/>
        <v>26500</v>
      </c>
      <c r="L159" s="705">
        <f t="shared" si="3"/>
        <v>281500</v>
      </c>
      <c r="M159" s="706">
        <f t="shared" si="4"/>
        <v>5.63</v>
      </c>
    </row>
    <row r="160">
      <c r="A160" s="702" t="s">
        <v>32824</v>
      </c>
      <c r="B160" s="702" t="s">
        <v>32827</v>
      </c>
      <c r="C160" s="707"/>
      <c r="D160" s="707"/>
      <c r="E160" s="96" t="s">
        <v>1520</v>
      </c>
      <c r="F160" s="709">
        <v>500.0</v>
      </c>
      <c r="G160" s="708" t="s">
        <v>20765</v>
      </c>
      <c r="H160" s="709">
        <v>14.0</v>
      </c>
      <c r="I160" s="709">
        <v>300.0</v>
      </c>
      <c r="J160" s="705">
        <f t="shared" si="1"/>
        <v>7300</v>
      </c>
      <c r="K160" s="705">
        <f t="shared" si="2"/>
        <v>1730</v>
      </c>
      <c r="L160" s="705">
        <f t="shared" si="3"/>
        <v>9030</v>
      </c>
      <c r="M160" s="706">
        <f t="shared" si="4"/>
        <v>18.06</v>
      </c>
    </row>
    <row r="161">
      <c r="A161" s="702" t="s">
        <v>32824</v>
      </c>
      <c r="B161" s="702" t="s">
        <v>32828</v>
      </c>
      <c r="C161" s="707"/>
      <c r="D161" s="707"/>
      <c r="E161" s="708" t="s">
        <v>15040</v>
      </c>
      <c r="F161" s="709">
        <v>1000.0</v>
      </c>
      <c r="G161" s="708" t="s">
        <v>131</v>
      </c>
      <c r="H161" s="709">
        <v>10.0</v>
      </c>
      <c r="I161" s="709">
        <v>4000.0</v>
      </c>
      <c r="J161" s="705">
        <f t="shared" si="1"/>
        <v>14000</v>
      </c>
      <c r="K161" s="705">
        <f t="shared" si="2"/>
        <v>2400</v>
      </c>
      <c r="L161" s="705">
        <f t="shared" si="3"/>
        <v>16400</v>
      </c>
      <c r="M161" s="706">
        <f t="shared" si="4"/>
        <v>16.4</v>
      </c>
    </row>
    <row r="162">
      <c r="A162" s="702" t="s">
        <v>32824</v>
      </c>
      <c r="B162" s="702" t="s">
        <v>32829</v>
      </c>
      <c r="C162" s="707"/>
      <c r="D162" s="707"/>
      <c r="E162" s="708" t="s">
        <v>11259</v>
      </c>
      <c r="F162" s="709">
        <v>3000.0</v>
      </c>
      <c r="G162" s="708" t="s">
        <v>495</v>
      </c>
      <c r="H162" s="709">
        <v>20.5</v>
      </c>
      <c r="I162" s="709">
        <v>3000.0</v>
      </c>
      <c r="J162" s="705">
        <f t="shared" si="1"/>
        <v>64500</v>
      </c>
      <c r="K162" s="705">
        <f t="shared" si="2"/>
        <v>7450</v>
      </c>
      <c r="L162" s="705">
        <f t="shared" si="3"/>
        <v>71950</v>
      </c>
      <c r="M162" s="706">
        <f t="shared" si="4"/>
        <v>23.98333333</v>
      </c>
    </row>
    <row r="163">
      <c r="A163" s="702" t="s">
        <v>32830</v>
      </c>
      <c r="B163" s="702" t="s">
        <v>32831</v>
      </c>
      <c r="C163" s="707"/>
      <c r="D163" s="707"/>
      <c r="E163" s="708" t="s">
        <v>189</v>
      </c>
      <c r="F163" s="709">
        <v>1000.0</v>
      </c>
      <c r="G163" s="708" t="s">
        <v>32832</v>
      </c>
      <c r="H163" s="709">
        <v>6.0</v>
      </c>
      <c r="I163" s="709">
        <v>1000.0</v>
      </c>
      <c r="J163" s="705">
        <f t="shared" si="1"/>
        <v>7000</v>
      </c>
      <c r="K163" s="705">
        <f t="shared" si="2"/>
        <v>1700</v>
      </c>
      <c r="L163" s="705">
        <f t="shared" si="3"/>
        <v>8700</v>
      </c>
      <c r="M163" s="706">
        <f t="shared" si="4"/>
        <v>8.7</v>
      </c>
    </row>
    <row r="164">
      <c r="A164" s="702" t="s">
        <v>32830</v>
      </c>
      <c r="B164" s="702" t="s">
        <v>32833</v>
      </c>
      <c r="C164" s="707"/>
      <c r="D164" s="707"/>
      <c r="E164" s="708" t="s">
        <v>32834</v>
      </c>
      <c r="F164" s="709">
        <v>1000.0</v>
      </c>
      <c r="G164" s="708" t="s">
        <v>20765</v>
      </c>
      <c r="H164" s="709">
        <v>4.5</v>
      </c>
      <c r="I164" s="709">
        <v>1000.0</v>
      </c>
      <c r="J164" s="705">
        <f t="shared" si="1"/>
        <v>5500</v>
      </c>
      <c r="K164" s="705">
        <f t="shared" si="2"/>
        <v>1550</v>
      </c>
      <c r="L164" s="705">
        <f t="shared" si="3"/>
        <v>7050</v>
      </c>
      <c r="M164" s="706">
        <f t="shared" si="4"/>
        <v>7.05</v>
      </c>
    </row>
    <row r="165">
      <c r="A165" s="702" t="s">
        <v>32830</v>
      </c>
      <c r="B165" s="702" t="s">
        <v>32835</v>
      </c>
      <c r="C165" s="707"/>
      <c r="D165" s="707"/>
      <c r="E165" s="708" t="s">
        <v>718</v>
      </c>
      <c r="F165" s="709">
        <v>500000.0</v>
      </c>
      <c r="G165" s="708" t="s">
        <v>99</v>
      </c>
      <c r="H165" s="709">
        <v>4.8</v>
      </c>
      <c r="I165" s="709"/>
      <c r="J165" s="705">
        <f t="shared" si="1"/>
        <v>2400000</v>
      </c>
      <c r="K165" s="705">
        <f t="shared" si="2"/>
        <v>241000</v>
      </c>
      <c r="L165" s="705">
        <f t="shared" si="3"/>
        <v>2641000</v>
      </c>
      <c r="M165" s="706">
        <f t="shared" si="4"/>
        <v>5.282</v>
      </c>
    </row>
    <row r="166">
      <c r="A166" s="702" t="s">
        <v>32830</v>
      </c>
      <c r="B166" s="702" t="s">
        <v>32836</v>
      </c>
      <c r="C166" s="707"/>
      <c r="D166" s="707"/>
      <c r="E166" s="708" t="s">
        <v>5844</v>
      </c>
      <c r="F166" s="709">
        <v>1000.0</v>
      </c>
      <c r="G166" s="708" t="s">
        <v>158</v>
      </c>
      <c r="H166" s="709">
        <v>30.0</v>
      </c>
      <c r="I166" s="709">
        <v>1000.0</v>
      </c>
      <c r="J166" s="705">
        <f t="shared" si="1"/>
        <v>31000</v>
      </c>
      <c r="K166" s="705">
        <f t="shared" si="2"/>
        <v>4100</v>
      </c>
      <c r="L166" s="705">
        <f t="shared" si="3"/>
        <v>35100</v>
      </c>
      <c r="M166" s="706">
        <f t="shared" si="4"/>
        <v>35.1</v>
      </c>
    </row>
    <row r="167">
      <c r="A167" s="702" t="s">
        <v>32837</v>
      </c>
      <c r="B167" s="702" t="s">
        <v>32838</v>
      </c>
      <c r="C167" s="707"/>
      <c r="D167" s="707"/>
      <c r="E167" s="708" t="s">
        <v>167</v>
      </c>
      <c r="F167" s="709">
        <v>5000.0</v>
      </c>
      <c r="G167" s="708" t="s">
        <v>44</v>
      </c>
      <c r="H167" s="709">
        <v>6.5</v>
      </c>
      <c r="I167" s="709">
        <v>5000.0</v>
      </c>
      <c r="J167" s="705">
        <f t="shared" si="1"/>
        <v>37500</v>
      </c>
      <c r="K167" s="705">
        <f t="shared" si="2"/>
        <v>4750</v>
      </c>
      <c r="L167" s="705">
        <f t="shared" si="3"/>
        <v>42250</v>
      </c>
      <c r="M167" s="706">
        <f t="shared" si="4"/>
        <v>8.45</v>
      </c>
    </row>
    <row r="168">
      <c r="A168" s="702" t="s">
        <v>32837</v>
      </c>
      <c r="B168" s="702" t="s">
        <v>32839</v>
      </c>
      <c r="C168" s="707"/>
      <c r="D168" s="707"/>
      <c r="E168" s="708" t="s">
        <v>222</v>
      </c>
      <c r="F168" s="709">
        <v>35000.0</v>
      </c>
      <c r="G168" s="708" t="s">
        <v>44</v>
      </c>
      <c r="H168" s="709">
        <v>3.2</v>
      </c>
      <c r="I168" s="709"/>
      <c r="J168" s="705">
        <f t="shared" si="1"/>
        <v>112000</v>
      </c>
      <c r="K168" s="705">
        <f t="shared" si="2"/>
        <v>12200</v>
      </c>
      <c r="L168" s="705">
        <f t="shared" si="3"/>
        <v>124200</v>
      </c>
      <c r="M168" s="706">
        <f t="shared" si="4"/>
        <v>3.548571429</v>
      </c>
    </row>
    <row r="169">
      <c r="A169" s="702" t="s">
        <v>32840</v>
      </c>
      <c r="B169" s="702" t="s">
        <v>32841</v>
      </c>
      <c r="C169" s="707"/>
      <c r="D169" s="707"/>
      <c r="E169" s="708" t="s">
        <v>189</v>
      </c>
      <c r="F169" s="709">
        <v>2000.0</v>
      </c>
      <c r="G169" s="708" t="s">
        <v>20765</v>
      </c>
      <c r="H169" s="709">
        <v>6.0</v>
      </c>
      <c r="I169" s="709">
        <v>2000.0</v>
      </c>
      <c r="J169" s="705">
        <f t="shared" si="1"/>
        <v>14000</v>
      </c>
      <c r="K169" s="705">
        <f t="shared" si="2"/>
        <v>2400</v>
      </c>
      <c r="L169" s="705">
        <f t="shared" si="3"/>
        <v>16400</v>
      </c>
      <c r="M169" s="706">
        <f t="shared" si="4"/>
        <v>8.2</v>
      </c>
    </row>
    <row r="170">
      <c r="A170" s="702" t="s">
        <v>32840</v>
      </c>
      <c r="B170" s="702" t="s">
        <v>32842</v>
      </c>
      <c r="C170" s="707"/>
      <c r="D170" s="707"/>
      <c r="E170" s="708" t="s">
        <v>147</v>
      </c>
      <c r="F170" s="709">
        <v>500.0</v>
      </c>
      <c r="G170" s="708" t="s">
        <v>20765</v>
      </c>
      <c r="H170" s="709">
        <v>9.2</v>
      </c>
      <c r="I170" s="709">
        <v>1000.0</v>
      </c>
      <c r="J170" s="705">
        <f t="shared" si="1"/>
        <v>5600</v>
      </c>
      <c r="K170" s="705">
        <f t="shared" si="2"/>
        <v>1560</v>
      </c>
      <c r="L170" s="705">
        <f t="shared" si="3"/>
        <v>7160</v>
      </c>
      <c r="M170" s="706">
        <f t="shared" si="4"/>
        <v>14.32</v>
      </c>
    </row>
    <row r="171">
      <c r="A171" s="702" t="s">
        <v>32840</v>
      </c>
      <c r="B171" s="702" t="s">
        <v>32843</v>
      </c>
      <c r="C171" s="707"/>
      <c r="D171" s="707"/>
      <c r="E171" s="708" t="s">
        <v>32844</v>
      </c>
      <c r="F171" s="709">
        <v>100.0</v>
      </c>
      <c r="G171" s="708" t="s">
        <v>555</v>
      </c>
      <c r="H171" s="709">
        <v>16.0</v>
      </c>
      <c r="I171" s="709">
        <v>250.0</v>
      </c>
      <c r="J171" s="705">
        <f t="shared" si="1"/>
        <v>1850</v>
      </c>
      <c r="K171" s="705">
        <f t="shared" si="2"/>
        <v>1185</v>
      </c>
      <c r="L171" s="705">
        <f t="shared" si="3"/>
        <v>3035</v>
      </c>
      <c r="M171" s="706">
        <f t="shared" si="4"/>
        <v>30.35</v>
      </c>
    </row>
    <row r="172">
      <c r="A172" s="702" t="s">
        <v>32840</v>
      </c>
      <c r="B172" s="702" t="s">
        <v>32843</v>
      </c>
      <c r="C172" s="707"/>
      <c r="D172" s="707"/>
      <c r="E172" s="708" t="s">
        <v>32845</v>
      </c>
      <c r="F172" s="709">
        <v>100.0</v>
      </c>
      <c r="G172" s="708" t="s">
        <v>555</v>
      </c>
      <c r="H172" s="709">
        <v>22.0</v>
      </c>
      <c r="I172" s="709">
        <v>250.0</v>
      </c>
      <c r="J172" s="705">
        <f t="shared" si="1"/>
        <v>2450</v>
      </c>
      <c r="K172" s="705">
        <f t="shared" si="2"/>
        <v>1245</v>
      </c>
      <c r="L172" s="705">
        <f t="shared" si="3"/>
        <v>3695</v>
      </c>
      <c r="M172" s="706">
        <f t="shared" si="4"/>
        <v>36.95</v>
      </c>
    </row>
    <row r="173">
      <c r="A173" s="702" t="s">
        <v>32846</v>
      </c>
      <c r="B173" s="702" t="s">
        <v>32847</v>
      </c>
      <c r="C173" s="707"/>
      <c r="D173" s="707"/>
      <c r="E173" s="708" t="s">
        <v>32848</v>
      </c>
      <c r="F173" s="709">
        <v>10000.0</v>
      </c>
      <c r="G173" s="708" t="s">
        <v>44</v>
      </c>
      <c r="H173" s="709">
        <v>56.0</v>
      </c>
      <c r="I173" s="709"/>
      <c r="J173" s="705">
        <f t="shared" si="1"/>
        <v>560000</v>
      </c>
      <c r="K173" s="705">
        <f t="shared" si="2"/>
        <v>57000</v>
      </c>
      <c r="L173" s="705">
        <f t="shared" si="3"/>
        <v>617000</v>
      </c>
      <c r="M173" s="706">
        <f t="shared" si="4"/>
        <v>61.7</v>
      </c>
    </row>
    <row r="174">
      <c r="A174" s="702" t="s">
        <v>32846</v>
      </c>
      <c r="B174" s="702" t="s">
        <v>32847</v>
      </c>
      <c r="C174" s="707"/>
      <c r="D174" s="707"/>
      <c r="E174" s="708" t="s">
        <v>412</v>
      </c>
      <c r="F174" s="709">
        <v>5000.0</v>
      </c>
      <c r="G174" s="708" t="s">
        <v>44</v>
      </c>
      <c r="H174" s="709">
        <v>183.0</v>
      </c>
      <c r="I174" s="709">
        <v>5000.0</v>
      </c>
      <c r="J174" s="705">
        <f t="shared" si="1"/>
        <v>920000</v>
      </c>
      <c r="K174" s="705">
        <f t="shared" si="2"/>
        <v>93000</v>
      </c>
      <c r="L174" s="705">
        <f t="shared" si="3"/>
        <v>1013000</v>
      </c>
      <c r="M174" s="706">
        <f t="shared" si="4"/>
        <v>202.6</v>
      </c>
    </row>
    <row r="175">
      <c r="A175" s="702" t="s">
        <v>32846</v>
      </c>
      <c r="B175" s="702" t="s">
        <v>32847</v>
      </c>
      <c r="C175" s="707"/>
      <c r="D175" s="707"/>
      <c r="E175" s="708" t="s">
        <v>3571</v>
      </c>
      <c r="F175" s="709">
        <v>16000.0</v>
      </c>
      <c r="G175" s="55" t="s">
        <v>44</v>
      </c>
      <c r="H175" s="709">
        <v>34.0</v>
      </c>
      <c r="I175" s="709"/>
      <c r="J175" s="705">
        <f t="shared" si="1"/>
        <v>544000</v>
      </c>
      <c r="K175" s="705">
        <f t="shared" si="2"/>
        <v>55400</v>
      </c>
      <c r="L175" s="705">
        <f t="shared" si="3"/>
        <v>599400</v>
      </c>
      <c r="M175" s="706">
        <f t="shared" si="4"/>
        <v>37.4625</v>
      </c>
    </row>
    <row r="176">
      <c r="A176" s="702" t="s">
        <v>32846</v>
      </c>
      <c r="B176" s="96" t="s">
        <v>11422</v>
      </c>
      <c r="C176" s="707"/>
      <c r="D176" s="707"/>
      <c r="E176" s="708" t="s">
        <v>32849</v>
      </c>
      <c r="F176" s="709">
        <v>500000.0</v>
      </c>
      <c r="G176" s="708" t="s">
        <v>44</v>
      </c>
      <c r="H176" s="709">
        <v>4.6</v>
      </c>
      <c r="I176" s="709"/>
      <c r="J176" s="705">
        <f t="shared" si="1"/>
        <v>2300000</v>
      </c>
      <c r="K176" s="705">
        <f t="shared" si="2"/>
        <v>231000</v>
      </c>
      <c r="L176" s="705">
        <f t="shared" si="3"/>
        <v>2531000</v>
      </c>
      <c r="M176" s="706">
        <f t="shared" si="4"/>
        <v>5.062</v>
      </c>
    </row>
    <row r="177">
      <c r="A177" s="702" t="s">
        <v>32846</v>
      </c>
      <c r="B177" s="702" t="s">
        <v>11435</v>
      </c>
      <c r="C177" s="707"/>
      <c r="D177" s="707"/>
      <c r="E177" s="708" t="s">
        <v>178</v>
      </c>
      <c r="F177" s="709">
        <v>12000.0</v>
      </c>
      <c r="G177" s="708" t="s">
        <v>6333</v>
      </c>
      <c r="H177" s="709">
        <v>4.6</v>
      </c>
      <c r="I177" s="709">
        <v>3000.0</v>
      </c>
      <c r="J177" s="705">
        <f t="shared" si="1"/>
        <v>58200</v>
      </c>
      <c r="K177" s="705">
        <f t="shared" si="2"/>
        <v>6820</v>
      </c>
      <c r="L177" s="705">
        <f t="shared" si="3"/>
        <v>65020</v>
      </c>
      <c r="M177" s="706">
        <f t="shared" si="4"/>
        <v>5.418333333</v>
      </c>
    </row>
    <row r="178">
      <c r="A178" s="702" t="s">
        <v>32846</v>
      </c>
      <c r="B178" s="702" t="s">
        <v>32850</v>
      </c>
      <c r="C178" s="707"/>
      <c r="D178" s="707"/>
      <c r="E178" s="708" t="s">
        <v>32851</v>
      </c>
      <c r="F178" s="709">
        <v>25000.0</v>
      </c>
      <c r="G178" s="708" t="s">
        <v>3216</v>
      </c>
      <c r="H178" s="709">
        <v>20.0</v>
      </c>
      <c r="I178" s="709"/>
      <c r="J178" s="705">
        <f t="shared" si="1"/>
        <v>500000</v>
      </c>
      <c r="K178" s="705">
        <f t="shared" si="2"/>
        <v>51000</v>
      </c>
      <c r="L178" s="705">
        <f t="shared" si="3"/>
        <v>551000</v>
      </c>
      <c r="M178" s="706">
        <f t="shared" si="4"/>
        <v>22.04</v>
      </c>
    </row>
    <row r="179">
      <c r="A179" s="702" t="s">
        <v>32852</v>
      </c>
      <c r="B179" s="702" t="s">
        <v>32853</v>
      </c>
      <c r="C179" s="707"/>
      <c r="D179" s="707"/>
      <c r="E179" s="708" t="s">
        <v>7388</v>
      </c>
      <c r="F179" s="709">
        <v>1000.0</v>
      </c>
      <c r="G179" s="708" t="s">
        <v>158</v>
      </c>
      <c r="H179" s="709">
        <v>11.0</v>
      </c>
      <c r="I179" s="709"/>
      <c r="J179" s="705">
        <f t="shared" si="1"/>
        <v>11000</v>
      </c>
      <c r="K179" s="705">
        <f t="shared" si="2"/>
        <v>2100</v>
      </c>
      <c r="L179" s="705">
        <f t="shared" si="3"/>
        <v>13100</v>
      </c>
      <c r="M179" s="706">
        <f t="shared" si="4"/>
        <v>13.1</v>
      </c>
    </row>
    <row r="180">
      <c r="A180" s="702" t="s">
        <v>32852</v>
      </c>
      <c r="B180" s="702" t="s">
        <v>32854</v>
      </c>
      <c r="C180" s="707"/>
      <c r="D180" s="707"/>
      <c r="E180" s="708" t="s">
        <v>32855</v>
      </c>
      <c r="F180" s="709">
        <v>1000.0</v>
      </c>
      <c r="G180" s="708" t="s">
        <v>495</v>
      </c>
      <c r="H180" s="709">
        <v>4.75</v>
      </c>
      <c r="I180" s="709">
        <v>1000.0</v>
      </c>
      <c r="J180" s="705">
        <f t="shared" si="1"/>
        <v>5750</v>
      </c>
      <c r="K180" s="705">
        <f t="shared" si="2"/>
        <v>1575</v>
      </c>
      <c r="L180" s="705">
        <f t="shared" si="3"/>
        <v>7325</v>
      </c>
      <c r="M180" s="706">
        <f t="shared" si="4"/>
        <v>7.325</v>
      </c>
    </row>
    <row r="181">
      <c r="A181" s="702" t="s">
        <v>32852</v>
      </c>
      <c r="B181" s="702" t="s">
        <v>32854</v>
      </c>
      <c r="C181" s="707"/>
      <c r="D181" s="707"/>
      <c r="E181" s="708" t="s">
        <v>32856</v>
      </c>
      <c r="F181" s="709">
        <v>1000.0</v>
      </c>
      <c r="G181" s="708" t="s">
        <v>495</v>
      </c>
      <c r="H181" s="709">
        <v>5.1</v>
      </c>
      <c r="I181" s="709">
        <v>1000.0</v>
      </c>
      <c r="J181" s="705">
        <f t="shared" si="1"/>
        <v>6100</v>
      </c>
      <c r="K181" s="705">
        <f t="shared" si="2"/>
        <v>1610</v>
      </c>
      <c r="L181" s="705">
        <f t="shared" si="3"/>
        <v>7710</v>
      </c>
      <c r="M181" s="706">
        <f t="shared" si="4"/>
        <v>7.71</v>
      </c>
    </row>
    <row r="182">
      <c r="A182" s="702" t="s">
        <v>32852</v>
      </c>
      <c r="B182" s="702" t="s">
        <v>32857</v>
      </c>
      <c r="C182" s="707"/>
      <c r="D182" s="707"/>
      <c r="E182" s="708" t="s">
        <v>3193</v>
      </c>
      <c r="F182" s="709">
        <v>1000.0</v>
      </c>
      <c r="G182" s="708" t="s">
        <v>44</v>
      </c>
      <c r="H182" s="709">
        <v>17.5</v>
      </c>
      <c r="I182" s="709">
        <v>1000.0</v>
      </c>
      <c r="J182" s="705">
        <f t="shared" si="1"/>
        <v>18500</v>
      </c>
      <c r="K182" s="705">
        <f t="shared" si="2"/>
        <v>2850</v>
      </c>
      <c r="L182" s="705">
        <f t="shared" si="3"/>
        <v>21350</v>
      </c>
      <c r="M182" s="706">
        <f t="shared" si="4"/>
        <v>21.35</v>
      </c>
    </row>
    <row r="183">
      <c r="A183" s="702" t="s">
        <v>11553</v>
      </c>
      <c r="B183" s="702" t="s">
        <v>32858</v>
      </c>
      <c r="C183" s="707"/>
      <c r="D183" s="707"/>
      <c r="E183" s="708" t="s">
        <v>4884</v>
      </c>
      <c r="F183" s="709">
        <v>2000.0</v>
      </c>
      <c r="G183" s="708" t="s">
        <v>44</v>
      </c>
      <c r="H183" s="709">
        <v>53.0</v>
      </c>
      <c r="I183" s="709">
        <v>1000.0</v>
      </c>
      <c r="J183" s="705">
        <f t="shared" si="1"/>
        <v>107000</v>
      </c>
      <c r="K183" s="705">
        <f t="shared" si="2"/>
        <v>11700</v>
      </c>
      <c r="L183" s="705">
        <f t="shared" si="3"/>
        <v>118700</v>
      </c>
      <c r="M183" s="706">
        <f t="shared" si="4"/>
        <v>59.35</v>
      </c>
    </row>
    <row r="184">
      <c r="A184" s="702" t="s">
        <v>11553</v>
      </c>
      <c r="B184" s="702" t="s">
        <v>32859</v>
      </c>
      <c r="C184" s="707"/>
      <c r="D184" s="707"/>
      <c r="E184" s="708" t="s">
        <v>222</v>
      </c>
      <c r="F184" s="709">
        <v>25000.0</v>
      </c>
      <c r="G184" s="708" t="s">
        <v>1414</v>
      </c>
      <c r="H184" s="709">
        <v>3.2</v>
      </c>
      <c r="I184" s="709">
        <v>1000.0</v>
      </c>
      <c r="J184" s="705">
        <f t="shared" si="1"/>
        <v>81000</v>
      </c>
      <c r="K184" s="705">
        <f t="shared" si="2"/>
        <v>9100</v>
      </c>
      <c r="L184" s="705">
        <f t="shared" si="3"/>
        <v>90100</v>
      </c>
      <c r="M184" s="706">
        <f t="shared" si="4"/>
        <v>3.604</v>
      </c>
    </row>
    <row r="185">
      <c r="A185" s="702" t="s">
        <v>11553</v>
      </c>
      <c r="B185" s="702" t="s">
        <v>32860</v>
      </c>
      <c r="C185" s="707"/>
      <c r="D185" s="707"/>
      <c r="E185" s="708" t="s">
        <v>32861</v>
      </c>
      <c r="F185" s="709">
        <v>1000.0</v>
      </c>
      <c r="G185" s="708" t="s">
        <v>822</v>
      </c>
      <c r="H185" s="709">
        <v>4.5</v>
      </c>
      <c r="I185" s="709">
        <v>1000.0</v>
      </c>
      <c r="J185" s="705">
        <f t="shared" si="1"/>
        <v>5500</v>
      </c>
      <c r="K185" s="705">
        <f t="shared" si="2"/>
        <v>1550</v>
      </c>
      <c r="L185" s="705">
        <f t="shared" si="3"/>
        <v>7050</v>
      </c>
      <c r="M185" s="706">
        <f t="shared" si="4"/>
        <v>7.05</v>
      </c>
    </row>
    <row r="186">
      <c r="A186" s="702" t="s">
        <v>32862</v>
      </c>
      <c r="B186" s="96" t="s">
        <v>11616</v>
      </c>
      <c r="C186" s="707"/>
      <c r="D186" s="707"/>
      <c r="E186" s="708" t="s">
        <v>20215</v>
      </c>
      <c r="F186" s="709">
        <v>200.0</v>
      </c>
      <c r="G186" s="708" t="s">
        <v>44</v>
      </c>
      <c r="H186" s="709">
        <v>60.0</v>
      </c>
      <c r="I186" s="709">
        <v>500.0</v>
      </c>
      <c r="J186" s="705">
        <f t="shared" si="1"/>
        <v>12500</v>
      </c>
      <c r="K186" s="705">
        <f t="shared" si="2"/>
        <v>2250</v>
      </c>
      <c r="L186" s="705">
        <f t="shared" si="3"/>
        <v>14750</v>
      </c>
      <c r="M186" s="706">
        <f t="shared" si="4"/>
        <v>73.75</v>
      </c>
    </row>
    <row r="187">
      <c r="A187" s="702" t="s">
        <v>32862</v>
      </c>
      <c r="B187" s="96" t="s">
        <v>11616</v>
      </c>
      <c r="C187" s="707"/>
      <c r="D187" s="707"/>
      <c r="E187" s="708" t="s">
        <v>15836</v>
      </c>
      <c r="F187" s="709">
        <v>500.0</v>
      </c>
      <c r="G187" s="708" t="s">
        <v>44</v>
      </c>
      <c r="H187" s="709">
        <v>11.5</v>
      </c>
      <c r="I187" s="709">
        <v>500.0</v>
      </c>
      <c r="J187" s="705">
        <f t="shared" si="1"/>
        <v>6250</v>
      </c>
      <c r="K187" s="705">
        <f t="shared" si="2"/>
        <v>1625</v>
      </c>
      <c r="L187" s="705">
        <f t="shared" si="3"/>
        <v>7875</v>
      </c>
      <c r="M187" s="706">
        <f t="shared" si="4"/>
        <v>15.75</v>
      </c>
    </row>
    <row r="188">
      <c r="A188" s="702" t="s">
        <v>32862</v>
      </c>
      <c r="B188" s="96" t="s">
        <v>11616</v>
      </c>
      <c r="C188" s="707"/>
      <c r="D188" s="707"/>
      <c r="E188" s="708" t="s">
        <v>3165</v>
      </c>
      <c r="F188" s="709">
        <v>200.0</v>
      </c>
      <c r="G188" s="708" t="s">
        <v>44</v>
      </c>
      <c r="H188" s="709">
        <v>83.0</v>
      </c>
      <c r="I188" s="709">
        <v>250.0</v>
      </c>
      <c r="J188" s="705">
        <f t="shared" si="1"/>
        <v>16850</v>
      </c>
      <c r="K188" s="705">
        <f t="shared" si="2"/>
        <v>2685</v>
      </c>
      <c r="L188" s="705">
        <f t="shared" si="3"/>
        <v>19535</v>
      </c>
      <c r="M188" s="706">
        <f t="shared" si="4"/>
        <v>97.675</v>
      </c>
    </row>
    <row r="189">
      <c r="A189" s="702" t="s">
        <v>32862</v>
      </c>
      <c r="B189" s="96" t="s">
        <v>11616</v>
      </c>
      <c r="C189" s="707"/>
      <c r="D189" s="707"/>
      <c r="E189" s="708" t="s">
        <v>501</v>
      </c>
      <c r="F189" s="709">
        <v>500.0</v>
      </c>
      <c r="G189" s="708" t="s">
        <v>44</v>
      </c>
      <c r="H189" s="709">
        <v>10.5</v>
      </c>
      <c r="I189" s="709">
        <v>500.0</v>
      </c>
      <c r="J189" s="705">
        <f t="shared" si="1"/>
        <v>5750</v>
      </c>
      <c r="K189" s="705">
        <f t="shared" si="2"/>
        <v>1575</v>
      </c>
      <c r="L189" s="705">
        <f t="shared" si="3"/>
        <v>7325</v>
      </c>
      <c r="M189" s="706">
        <f t="shared" si="4"/>
        <v>14.65</v>
      </c>
    </row>
    <row r="190">
      <c r="A190" s="702" t="s">
        <v>32862</v>
      </c>
      <c r="B190" s="96" t="s">
        <v>11616</v>
      </c>
      <c r="C190" s="707"/>
      <c r="D190" s="707"/>
      <c r="E190" s="708" t="s">
        <v>32845</v>
      </c>
      <c r="F190" s="709">
        <v>500.0</v>
      </c>
      <c r="G190" s="708" t="s">
        <v>44</v>
      </c>
      <c r="H190" s="709">
        <v>22.0</v>
      </c>
      <c r="I190" s="709">
        <v>500.0</v>
      </c>
      <c r="J190" s="705">
        <f t="shared" si="1"/>
        <v>11500</v>
      </c>
      <c r="K190" s="705">
        <f t="shared" si="2"/>
        <v>2150</v>
      </c>
      <c r="L190" s="705">
        <f t="shared" si="3"/>
        <v>13650</v>
      </c>
      <c r="M190" s="706">
        <f t="shared" si="4"/>
        <v>27.3</v>
      </c>
    </row>
    <row r="191">
      <c r="A191" s="702" t="s">
        <v>32862</v>
      </c>
      <c r="B191" s="96" t="s">
        <v>11616</v>
      </c>
      <c r="C191" s="707"/>
      <c r="D191" s="707"/>
      <c r="E191" s="708" t="s">
        <v>32863</v>
      </c>
      <c r="F191" s="709">
        <v>500.0</v>
      </c>
      <c r="G191" s="708" t="s">
        <v>44</v>
      </c>
      <c r="H191" s="709">
        <v>16.0</v>
      </c>
      <c r="I191" s="709">
        <v>500.0</v>
      </c>
      <c r="J191" s="705">
        <f t="shared" si="1"/>
        <v>8500</v>
      </c>
      <c r="K191" s="705">
        <f t="shared" si="2"/>
        <v>1850</v>
      </c>
      <c r="L191" s="705">
        <f t="shared" si="3"/>
        <v>10350</v>
      </c>
      <c r="M191" s="706">
        <f t="shared" si="4"/>
        <v>20.7</v>
      </c>
    </row>
    <row r="192">
      <c r="A192" s="702" t="s">
        <v>32862</v>
      </c>
      <c r="B192" s="702" t="s">
        <v>32864</v>
      </c>
      <c r="C192" s="707"/>
      <c r="D192" s="707"/>
      <c r="E192" s="708" t="s">
        <v>593</v>
      </c>
      <c r="F192" s="709">
        <v>500.0</v>
      </c>
      <c r="G192" s="708" t="s">
        <v>44</v>
      </c>
      <c r="H192" s="709">
        <v>40.0</v>
      </c>
      <c r="I192" s="709">
        <v>500.0</v>
      </c>
      <c r="J192" s="705">
        <f t="shared" si="1"/>
        <v>20500</v>
      </c>
      <c r="K192" s="705">
        <f t="shared" si="2"/>
        <v>3050</v>
      </c>
      <c r="L192" s="705">
        <f t="shared" si="3"/>
        <v>23550</v>
      </c>
      <c r="M192" s="706">
        <f t="shared" si="4"/>
        <v>47.1</v>
      </c>
    </row>
    <row r="193">
      <c r="A193" s="702" t="s">
        <v>32862</v>
      </c>
      <c r="B193" s="702" t="s">
        <v>32865</v>
      </c>
      <c r="C193" s="707"/>
      <c r="D193" s="707"/>
      <c r="E193" s="708" t="s">
        <v>32866</v>
      </c>
      <c r="F193" s="709">
        <v>1000.0</v>
      </c>
      <c r="G193" s="708" t="s">
        <v>44</v>
      </c>
      <c r="H193" s="709">
        <v>7.5</v>
      </c>
      <c r="I193" s="709">
        <v>1000.0</v>
      </c>
      <c r="J193" s="705">
        <f t="shared" si="1"/>
        <v>8500</v>
      </c>
      <c r="K193" s="705">
        <f t="shared" si="2"/>
        <v>1850</v>
      </c>
      <c r="L193" s="705">
        <f t="shared" si="3"/>
        <v>10350</v>
      </c>
      <c r="M193" s="706">
        <f t="shared" si="4"/>
        <v>10.35</v>
      </c>
    </row>
    <row r="194">
      <c r="A194" s="702" t="s">
        <v>32862</v>
      </c>
      <c r="B194" s="702" t="s">
        <v>32867</v>
      </c>
      <c r="C194" s="707"/>
      <c r="D194" s="707"/>
      <c r="E194" s="708" t="s">
        <v>43</v>
      </c>
      <c r="F194" s="709">
        <v>2000.0</v>
      </c>
      <c r="G194" s="708" t="s">
        <v>44</v>
      </c>
      <c r="H194" s="709">
        <v>7.5</v>
      </c>
      <c r="I194" s="709">
        <v>1000.0</v>
      </c>
      <c r="J194" s="705">
        <f t="shared" si="1"/>
        <v>16000</v>
      </c>
      <c r="K194" s="705">
        <f t="shared" si="2"/>
        <v>2600</v>
      </c>
      <c r="L194" s="705">
        <f t="shared" si="3"/>
        <v>18600</v>
      </c>
      <c r="M194" s="706">
        <f t="shared" si="4"/>
        <v>9.3</v>
      </c>
    </row>
    <row r="195">
      <c r="A195" s="702" t="s">
        <v>32862</v>
      </c>
      <c r="B195" s="702" t="s">
        <v>32868</v>
      </c>
      <c r="C195" s="707"/>
      <c r="D195" s="707"/>
      <c r="E195" s="708" t="s">
        <v>2685</v>
      </c>
      <c r="F195" s="709">
        <v>500.0</v>
      </c>
      <c r="G195" s="708" t="s">
        <v>44</v>
      </c>
      <c r="H195" s="709">
        <v>48.0</v>
      </c>
      <c r="I195" s="709">
        <v>500.0</v>
      </c>
      <c r="J195" s="705">
        <f t="shared" si="1"/>
        <v>24500</v>
      </c>
      <c r="K195" s="705">
        <f t="shared" si="2"/>
        <v>3450</v>
      </c>
      <c r="L195" s="705">
        <f t="shared" si="3"/>
        <v>27950</v>
      </c>
      <c r="M195" s="706">
        <f t="shared" si="4"/>
        <v>55.9</v>
      </c>
    </row>
    <row r="196">
      <c r="A196" s="702" t="s">
        <v>32862</v>
      </c>
      <c r="B196" s="702" t="s">
        <v>32869</v>
      </c>
      <c r="C196" s="707"/>
      <c r="D196" s="707"/>
      <c r="E196" s="708" t="s">
        <v>32870</v>
      </c>
      <c r="F196" s="709">
        <v>2500.0</v>
      </c>
      <c r="G196" s="708" t="s">
        <v>3595</v>
      </c>
      <c r="H196" s="709">
        <v>51.25</v>
      </c>
      <c r="I196" s="709">
        <v>2500.0</v>
      </c>
      <c r="J196" s="705">
        <f t="shared" si="1"/>
        <v>130625</v>
      </c>
      <c r="K196" s="705">
        <f t="shared" si="2"/>
        <v>14062.5</v>
      </c>
      <c r="L196" s="705">
        <f t="shared" si="3"/>
        <v>144687.5</v>
      </c>
      <c r="M196" s="706">
        <f t="shared" si="4"/>
        <v>57.875</v>
      </c>
    </row>
    <row r="197">
      <c r="A197" s="702" t="s">
        <v>32862</v>
      </c>
      <c r="B197" s="702" t="s">
        <v>32871</v>
      </c>
      <c r="C197" s="707"/>
      <c r="D197" s="707"/>
      <c r="E197" s="708" t="s">
        <v>32872</v>
      </c>
      <c r="F197" s="709">
        <v>2000.0</v>
      </c>
      <c r="G197" s="708" t="s">
        <v>158</v>
      </c>
      <c r="H197" s="709">
        <v>41.0</v>
      </c>
      <c r="I197" s="709">
        <v>2000.0</v>
      </c>
      <c r="J197" s="705">
        <f t="shared" si="1"/>
        <v>84000</v>
      </c>
      <c r="K197" s="705">
        <f t="shared" si="2"/>
        <v>9400</v>
      </c>
      <c r="L197" s="705">
        <f t="shared" si="3"/>
        <v>93400</v>
      </c>
      <c r="M197" s="706">
        <f t="shared" si="4"/>
        <v>46.7</v>
      </c>
    </row>
    <row r="198">
      <c r="A198" s="702" t="s">
        <v>32873</v>
      </c>
      <c r="B198" s="702" t="s">
        <v>32874</v>
      </c>
      <c r="C198" s="707"/>
      <c r="D198" s="707"/>
      <c r="E198" s="708" t="s">
        <v>32875</v>
      </c>
      <c r="F198" s="709">
        <v>1000.0</v>
      </c>
      <c r="G198" s="708" t="s">
        <v>44</v>
      </c>
      <c r="H198" s="709">
        <v>8.5</v>
      </c>
      <c r="I198" s="709">
        <v>1000.0</v>
      </c>
      <c r="J198" s="705">
        <f t="shared" si="1"/>
        <v>9500</v>
      </c>
      <c r="K198" s="705">
        <f t="shared" si="2"/>
        <v>1950</v>
      </c>
      <c r="L198" s="705">
        <f t="shared" si="3"/>
        <v>11450</v>
      </c>
      <c r="M198" s="706">
        <f t="shared" si="4"/>
        <v>11.45</v>
      </c>
    </row>
    <row r="199">
      <c r="A199" s="702" t="s">
        <v>32873</v>
      </c>
      <c r="B199" s="702" t="s">
        <v>32876</v>
      </c>
      <c r="C199" s="707"/>
      <c r="D199" s="707"/>
      <c r="E199" s="708" t="s">
        <v>167</v>
      </c>
      <c r="F199" s="709">
        <v>5000.0</v>
      </c>
      <c r="G199" s="708" t="s">
        <v>1691</v>
      </c>
      <c r="H199" s="709">
        <v>6.5</v>
      </c>
      <c r="I199" s="709">
        <v>5000.0</v>
      </c>
      <c r="J199" s="705">
        <f t="shared" si="1"/>
        <v>37500</v>
      </c>
      <c r="K199" s="705">
        <f t="shared" si="2"/>
        <v>4750</v>
      </c>
      <c r="L199" s="705">
        <f t="shared" si="3"/>
        <v>42250</v>
      </c>
      <c r="M199" s="706">
        <f t="shared" si="4"/>
        <v>8.45</v>
      </c>
    </row>
    <row r="200">
      <c r="A200" s="702" t="s">
        <v>32877</v>
      </c>
      <c r="B200" s="702" t="s">
        <v>32878</v>
      </c>
      <c r="C200" s="707"/>
      <c r="D200" s="707"/>
      <c r="E200" s="708" t="s">
        <v>227</v>
      </c>
      <c r="F200" s="709">
        <v>16000.0</v>
      </c>
      <c r="G200" s="708" t="s">
        <v>32879</v>
      </c>
      <c r="H200" s="709">
        <v>20.5</v>
      </c>
      <c r="I200" s="709"/>
      <c r="J200" s="705">
        <f t="shared" si="1"/>
        <v>328000</v>
      </c>
      <c r="K200" s="705">
        <f t="shared" si="2"/>
        <v>33800</v>
      </c>
      <c r="L200" s="705">
        <f t="shared" si="3"/>
        <v>361800</v>
      </c>
      <c r="M200" s="706">
        <f t="shared" si="4"/>
        <v>22.6125</v>
      </c>
    </row>
    <row r="201">
      <c r="A201" s="702" t="s">
        <v>32877</v>
      </c>
      <c r="B201" s="702" t="s">
        <v>32880</v>
      </c>
      <c r="C201" s="707"/>
      <c r="D201" s="707"/>
      <c r="E201" s="708" t="s">
        <v>576</v>
      </c>
      <c r="F201" s="709">
        <v>1000.0</v>
      </c>
      <c r="G201" s="708" t="s">
        <v>495</v>
      </c>
      <c r="H201" s="709">
        <v>10.0</v>
      </c>
      <c r="I201" s="709">
        <v>1000.0</v>
      </c>
      <c r="J201" s="705">
        <f t="shared" si="1"/>
        <v>11000</v>
      </c>
      <c r="K201" s="705">
        <f t="shared" si="2"/>
        <v>2100</v>
      </c>
      <c r="L201" s="705">
        <f t="shared" si="3"/>
        <v>13100</v>
      </c>
      <c r="M201" s="706">
        <f t="shared" si="4"/>
        <v>13.1</v>
      </c>
    </row>
    <row r="202">
      <c r="A202" s="702" t="s">
        <v>32877</v>
      </c>
      <c r="B202" s="702" t="s">
        <v>32881</v>
      </c>
      <c r="C202" s="707"/>
      <c r="D202" s="707"/>
      <c r="E202" s="708" t="s">
        <v>1565</v>
      </c>
      <c r="F202" s="709">
        <v>1000.0</v>
      </c>
      <c r="G202" s="708" t="s">
        <v>1082</v>
      </c>
      <c r="H202" s="709">
        <v>20.5</v>
      </c>
      <c r="I202" s="709">
        <v>1000.0</v>
      </c>
      <c r="J202" s="705">
        <f t="shared" si="1"/>
        <v>21500</v>
      </c>
      <c r="K202" s="705">
        <f t="shared" si="2"/>
        <v>3150</v>
      </c>
      <c r="L202" s="705">
        <f t="shared" si="3"/>
        <v>24650</v>
      </c>
      <c r="M202" s="706">
        <f t="shared" si="4"/>
        <v>24.65</v>
      </c>
    </row>
    <row r="203">
      <c r="A203" s="702" t="s">
        <v>32877</v>
      </c>
      <c r="B203" s="702" t="s">
        <v>32882</v>
      </c>
      <c r="C203" s="707"/>
      <c r="D203" s="707"/>
      <c r="E203" s="708" t="s">
        <v>167</v>
      </c>
      <c r="F203" s="709">
        <v>1500.0</v>
      </c>
      <c r="G203" s="708" t="s">
        <v>1082</v>
      </c>
      <c r="H203" s="709">
        <v>6.5</v>
      </c>
      <c r="I203" s="709">
        <v>1500.0</v>
      </c>
      <c r="J203" s="705">
        <f t="shared" si="1"/>
        <v>11250</v>
      </c>
      <c r="K203" s="705">
        <f t="shared" si="2"/>
        <v>2125</v>
      </c>
      <c r="L203" s="705">
        <f t="shared" si="3"/>
        <v>13375</v>
      </c>
      <c r="M203" s="706">
        <f t="shared" si="4"/>
        <v>8.916666667</v>
      </c>
    </row>
    <row r="204">
      <c r="A204" s="702" t="s">
        <v>32883</v>
      </c>
      <c r="B204" s="702" t="s">
        <v>32884</v>
      </c>
      <c r="C204" s="707"/>
      <c r="D204" s="707"/>
      <c r="E204" s="708" t="s">
        <v>32885</v>
      </c>
      <c r="F204" s="709">
        <v>1000.0</v>
      </c>
      <c r="G204" s="708" t="s">
        <v>1082</v>
      </c>
      <c r="H204" s="709">
        <v>27.0</v>
      </c>
      <c r="I204" s="709">
        <v>1000.0</v>
      </c>
      <c r="J204" s="705">
        <f t="shared" si="1"/>
        <v>28000</v>
      </c>
      <c r="K204" s="705">
        <f t="shared" si="2"/>
        <v>3800</v>
      </c>
      <c r="L204" s="705">
        <f t="shared" si="3"/>
        <v>31800</v>
      </c>
      <c r="M204" s="706">
        <f t="shared" si="4"/>
        <v>31.8</v>
      </c>
    </row>
    <row r="205">
      <c r="A205" s="702" t="s">
        <v>32883</v>
      </c>
      <c r="B205" s="702" t="s">
        <v>32884</v>
      </c>
      <c r="C205" s="707"/>
      <c r="D205" s="707"/>
      <c r="E205" s="708" t="s">
        <v>32886</v>
      </c>
      <c r="F205" s="709">
        <v>1000.0</v>
      </c>
      <c r="G205" s="708" t="s">
        <v>1082</v>
      </c>
      <c r="H205" s="709">
        <v>24.0</v>
      </c>
      <c r="I205" s="709">
        <v>1000.0</v>
      </c>
      <c r="J205" s="705">
        <f t="shared" si="1"/>
        <v>25000</v>
      </c>
      <c r="K205" s="705">
        <f t="shared" si="2"/>
        <v>3500</v>
      </c>
      <c r="L205" s="705">
        <f t="shared" si="3"/>
        <v>28500</v>
      </c>
      <c r="M205" s="706">
        <f t="shared" si="4"/>
        <v>28.5</v>
      </c>
    </row>
    <row r="206">
      <c r="A206" s="702" t="s">
        <v>32883</v>
      </c>
      <c r="B206" s="702" t="s">
        <v>32887</v>
      </c>
      <c r="C206" s="707"/>
      <c r="D206" s="707"/>
      <c r="E206" s="708" t="s">
        <v>5844</v>
      </c>
      <c r="F206" s="709">
        <v>3000.0</v>
      </c>
      <c r="G206" s="708" t="s">
        <v>1082</v>
      </c>
      <c r="H206" s="709">
        <v>36.0</v>
      </c>
      <c r="I206" s="709">
        <v>3000.0</v>
      </c>
      <c r="J206" s="705">
        <f t="shared" si="1"/>
        <v>111000</v>
      </c>
      <c r="K206" s="705">
        <f t="shared" si="2"/>
        <v>12100</v>
      </c>
      <c r="L206" s="705">
        <f t="shared" si="3"/>
        <v>123100</v>
      </c>
      <c r="M206" s="706">
        <f t="shared" si="4"/>
        <v>41.03333333</v>
      </c>
    </row>
    <row r="207">
      <c r="A207" s="702" t="s">
        <v>32883</v>
      </c>
      <c r="B207" s="702" t="s">
        <v>32888</v>
      </c>
      <c r="C207" s="707"/>
      <c r="D207" s="707"/>
      <c r="E207" s="708" t="s">
        <v>11778</v>
      </c>
      <c r="F207" s="709">
        <v>1000.0</v>
      </c>
      <c r="G207" s="708" t="s">
        <v>30123</v>
      </c>
      <c r="H207" s="709">
        <v>230.0</v>
      </c>
      <c r="I207" s="709">
        <v>1000.0</v>
      </c>
      <c r="J207" s="705">
        <f t="shared" si="1"/>
        <v>231000</v>
      </c>
      <c r="K207" s="705">
        <f t="shared" si="2"/>
        <v>24100</v>
      </c>
      <c r="L207" s="705">
        <f t="shared" si="3"/>
        <v>255100</v>
      </c>
      <c r="M207" s="706">
        <f t="shared" si="4"/>
        <v>255.1</v>
      </c>
    </row>
    <row r="208">
      <c r="A208" s="702" t="s">
        <v>32883</v>
      </c>
      <c r="B208" s="702" t="s">
        <v>32889</v>
      </c>
      <c r="C208" s="707"/>
      <c r="D208" s="707"/>
      <c r="E208" s="708" t="s">
        <v>1175</v>
      </c>
      <c r="F208" s="709">
        <v>200.0</v>
      </c>
      <c r="G208" s="708" t="s">
        <v>158</v>
      </c>
      <c r="H208" s="709">
        <v>37.0</v>
      </c>
      <c r="I208" s="709">
        <v>300.0</v>
      </c>
      <c r="J208" s="705">
        <f t="shared" si="1"/>
        <v>7700</v>
      </c>
      <c r="K208" s="705">
        <f t="shared" si="2"/>
        <v>1770</v>
      </c>
      <c r="L208" s="705">
        <f t="shared" si="3"/>
        <v>9470</v>
      </c>
      <c r="M208" s="706">
        <f t="shared" si="4"/>
        <v>47.35</v>
      </c>
    </row>
    <row r="209">
      <c r="A209" s="702" t="s">
        <v>32883</v>
      </c>
      <c r="B209" s="702" t="s">
        <v>32890</v>
      </c>
      <c r="C209" s="707"/>
      <c r="D209" s="707"/>
      <c r="E209" s="708" t="s">
        <v>11808</v>
      </c>
      <c r="F209" s="709">
        <v>1000.0</v>
      </c>
      <c r="G209" s="708" t="s">
        <v>1082</v>
      </c>
      <c r="H209" s="709">
        <v>4.0</v>
      </c>
      <c r="I209" s="709">
        <v>1000.0</v>
      </c>
      <c r="J209" s="705">
        <f t="shared" si="1"/>
        <v>5000</v>
      </c>
      <c r="K209" s="705">
        <f t="shared" si="2"/>
        <v>1500</v>
      </c>
      <c r="L209" s="705">
        <f t="shared" si="3"/>
        <v>6500</v>
      </c>
      <c r="M209" s="706">
        <f t="shared" si="4"/>
        <v>6.5</v>
      </c>
    </row>
    <row r="210">
      <c r="A210" s="702" t="s">
        <v>32891</v>
      </c>
      <c r="B210" s="702" t="s">
        <v>32892</v>
      </c>
      <c r="C210" s="707"/>
      <c r="D210" s="707"/>
      <c r="E210" s="708" t="s">
        <v>1565</v>
      </c>
      <c r="F210" s="709">
        <v>1000.0</v>
      </c>
      <c r="G210" s="708" t="s">
        <v>30123</v>
      </c>
      <c r="H210" s="709">
        <v>20.5</v>
      </c>
      <c r="I210" s="709">
        <v>1000.0</v>
      </c>
      <c r="J210" s="705">
        <f t="shared" si="1"/>
        <v>21500</v>
      </c>
      <c r="K210" s="705">
        <f t="shared" si="2"/>
        <v>3150</v>
      </c>
      <c r="L210" s="705">
        <f t="shared" si="3"/>
        <v>24650</v>
      </c>
      <c r="M210" s="706">
        <f t="shared" si="4"/>
        <v>24.65</v>
      </c>
    </row>
    <row r="211">
      <c r="A211" s="702" t="s">
        <v>32891</v>
      </c>
      <c r="B211" s="702" t="s">
        <v>32893</v>
      </c>
      <c r="C211" s="707"/>
      <c r="D211" s="707"/>
      <c r="E211" s="708" t="s">
        <v>1320</v>
      </c>
      <c r="F211" s="709">
        <v>1000.0</v>
      </c>
      <c r="G211" s="708" t="s">
        <v>1082</v>
      </c>
      <c r="H211" s="709">
        <v>39.5</v>
      </c>
      <c r="I211" s="709">
        <v>1000.0</v>
      </c>
      <c r="J211" s="705">
        <f t="shared" si="1"/>
        <v>40500</v>
      </c>
      <c r="K211" s="705">
        <f t="shared" si="2"/>
        <v>5050</v>
      </c>
      <c r="L211" s="705">
        <f t="shared" si="3"/>
        <v>45550</v>
      </c>
      <c r="M211" s="706">
        <f t="shared" si="4"/>
        <v>45.55</v>
      </c>
    </row>
    <row r="212">
      <c r="A212" s="702" t="s">
        <v>32894</v>
      </c>
      <c r="B212" s="702" t="s">
        <v>32895</v>
      </c>
      <c r="C212" s="707"/>
      <c r="D212" s="707"/>
      <c r="E212" s="708" t="s">
        <v>523</v>
      </c>
      <c r="F212" s="709">
        <v>5000.0</v>
      </c>
      <c r="G212" s="708" t="s">
        <v>1082</v>
      </c>
      <c r="H212" s="709">
        <v>5.1</v>
      </c>
      <c r="I212" s="709">
        <v>5000.0</v>
      </c>
      <c r="J212" s="705">
        <f t="shared" si="1"/>
        <v>30500</v>
      </c>
      <c r="K212" s="705">
        <f t="shared" si="2"/>
        <v>4050</v>
      </c>
      <c r="L212" s="705">
        <f t="shared" si="3"/>
        <v>34550</v>
      </c>
      <c r="M212" s="706">
        <f t="shared" si="4"/>
        <v>6.91</v>
      </c>
    </row>
    <row r="213">
      <c r="A213" s="702" t="s">
        <v>32894</v>
      </c>
      <c r="B213" s="702" t="s">
        <v>32896</v>
      </c>
      <c r="C213" s="707"/>
      <c r="D213" s="707"/>
      <c r="E213" s="708" t="s">
        <v>189</v>
      </c>
      <c r="F213" s="709">
        <v>1000.0</v>
      </c>
      <c r="G213" s="708" t="s">
        <v>1082</v>
      </c>
      <c r="H213" s="709">
        <v>6.0</v>
      </c>
      <c r="I213" s="709">
        <v>1000.0</v>
      </c>
      <c r="J213" s="705">
        <f t="shared" si="1"/>
        <v>7000</v>
      </c>
      <c r="K213" s="705">
        <f t="shared" si="2"/>
        <v>1700</v>
      </c>
      <c r="L213" s="705">
        <f t="shared" si="3"/>
        <v>8700</v>
      </c>
      <c r="M213" s="706">
        <f t="shared" si="4"/>
        <v>8.7</v>
      </c>
    </row>
    <row r="214">
      <c r="A214" s="702" t="s">
        <v>32894</v>
      </c>
      <c r="B214" s="702" t="s">
        <v>32897</v>
      </c>
      <c r="C214" s="707"/>
      <c r="D214" s="707"/>
      <c r="E214" s="708" t="s">
        <v>257</v>
      </c>
      <c r="F214" s="709">
        <v>1000.0</v>
      </c>
      <c r="G214" s="708" t="s">
        <v>1082</v>
      </c>
      <c r="H214" s="709">
        <v>4.2</v>
      </c>
      <c r="I214" s="709">
        <v>1000.0</v>
      </c>
      <c r="J214" s="705">
        <f t="shared" si="1"/>
        <v>5200</v>
      </c>
      <c r="K214" s="705">
        <f t="shared" si="2"/>
        <v>1520</v>
      </c>
      <c r="L214" s="705">
        <f t="shared" si="3"/>
        <v>6720</v>
      </c>
      <c r="M214" s="706">
        <f t="shared" si="4"/>
        <v>6.72</v>
      </c>
    </row>
    <row r="215">
      <c r="A215" s="702" t="s">
        <v>32894</v>
      </c>
      <c r="B215" s="702" t="s">
        <v>32898</v>
      </c>
      <c r="C215" s="707"/>
      <c r="D215" s="707"/>
      <c r="E215" s="708" t="s">
        <v>465</v>
      </c>
      <c r="F215" s="709">
        <v>500.0</v>
      </c>
      <c r="G215" s="708" t="s">
        <v>1082</v>
      </c>
      <c r="H215" s="709">
        <v>68.0</v>
      </c>
      <c r="I215" s="709">
        <v>500.0</v>
      </c>
      <c r="J215" s="705">
        <f t="shared" si="1"/>
        <v>34500</v>
      </c>
      <c r="K215" s="705">
        <f t="shared" si="2"/>
        <v>4450</v>
      </c>
      <c r="L215" s="705">
        <f t="shared" si="3"/>
        <v>38950</v>
      </c>
      <c r="M215" s="706">
        <f t="shared" si="4"/>
        <v>77.9</v>
      </c>
    </row>
    <row r="216">
      <c r="A216" s="702" t="s">
        <v>32894</v>
      </c>
      <c r="B216" s="702" t="s">
        <v>32899</v>
      </c>
      <c r="C216" s="707"/>
      <c r="D216" s="707"/>
      <c r="E216" s="708" t="s">
        <v>32900</v>
      </c>
      <c r="F216" s="709">
        <v>100.0</v>
      </c>
      <c r="G216" s="708" t="s">
        <v>1082</v>
      </c>
      <c r="H216" s="709">
        <v>90.0</v>
      </c>
      <c r="I216" s="709">
        <v>250.0</v>
      </c>
      <c r="J216" s="705">
        <f t="shared" si="1"/>
        <v>9250</v>
      </c>
      <c r="K216" s="705">
        <f t="shared" si="2"/>
        <v>1925</v>
      </c>
      <c r="L216" s="705">
        <f t="shared" si="3"/>
        <v>11175</v>
      </c>
      <c r="M216" s="706">
        <f t="shared" si="4"/>
        <v>111.75</v>
      </c>
    </row>
    <row r="217">
      <c r="A217" s="702" t="s">
        <v>32894</v>
      </c>
      <c r="B217" s="702" t="s">
        <v>32901</v>
      </c>
      <c r="C217" s="707"/>
      <c r="D217" s="707"/>
      <c r="E217" s="708" t="s">
        <v>4884</v>
      </c>
      <c r="F217" s="709">
        <v>10000.0</v>
      </c>
      <c r="G217" s="708" t="s">
        <v>1082</v>
      </c>
      <c r="H217" s="709">
        <v>53.0</v>
      </c>
      <c r="I217" s="709"/>
      <c r="J217" s="705">
        <f t="shared" si="1"/>
        <v>530000</v>
      </c>
      <c r="K217" s="705">
        <f t="shared" si="2"/>
        <v>54000</v>
      </c>
      <c r="L217" s="705">
        <f t="shared" si="3"/>
        <v>584000</v>
      </c>
      <c r="M217" s="706">
        <f t="shared" si="4"/>
        <v>58.4</v>
      </c>
    </row>
    <row r="218">
      <c r="A218" s="702" t="s">
        <v>32894</v>
      </c>
      <c r="B218" s="702" t="s">
        <v>32902</v>
      </c>
      <c r="C218" s="707"/>
      <c r="D218" s="707"/>
      <c r="E218" s="708" t="s">
        <v>3634</v>
      </c>
      <c r="F218" s="712">
        <v>50.0</v>
      </c>
      <c r="G218" s="708" t="s">
        <v>11951</v>
      </c>
      <c r="H218" s="709">
        <v>29.5</v>
      </c>
      <c r="I218" s="709">
        <v>1000.0</v>
      </c>
      <c r="J218" s="705">
        <f t="shared" si="1"/>
        <v>2475</v>
      </c>
      <c r="K218" s="705">
        <f t="shared" si="2"/>
        <v>1247.5</v>
      </c>
      <c r="L218" s="705">
        <f t="shared" si="3"/>
        <v>3722.5</v>
      </c>
      <c r="M218" s="706">
        <f t="shared" si="4"/>
        <v>74.45</v>
      </c>
    </row>
    <row r="219">
      <c r="A219" s="702" t="s">
        <v>32903</v>
      </c>
      <c r="B219" s="702" t="s">
        <v>32904</v>
      </c>
      <c r="C219" s="707"/>
      <c r="D219" s="707"/>
      <c r="E219" s="708" t="s">
        <v>222</v>
      </c>
      <c r="F219" s="709">
        <v>1000.0</v>
      </c>
      <c r="G219" s="708" t="s">
        <v>1082</v>
      </c>
      <c r="H219" s="709">
        <v>3.2</v>
      </c>
      <c r="I219" s="709">
        <v>1000.0</v>
      </c>
      <c r="J219" s="705">
        <f t="shared" si="1"/>
        <v>4200</v>
      </c>
      <c r="K219" s="705">
        <f t="shared" si="2"/>
        <v>1420</v>
      </c>
      <c r="L219" s="705">
        <f t="shared" si="3"/>
        <v>5620</v>
      </c>
      <c r="M219" s="706">
        <f t="shared" si="4"/>
        <v>5.62</v>
      </c>
    </row>
    <row r="220">
      <c r="A220" s="702" t="s">
        <v>32905</v>
      </c>
      <c r="B220" s="702" t="s">
        <v>32906</v>
      </c>
      <c r="C220" s="707"/>
      <c r="D220" s="707"/>
      <c r="E220" s="708" t="s">
        <v>9434</v>
      </c>
      <c r="F220" s="709">
        <v>1000.0</v>
      </c>
      <c r="G220" s="708" t="s">
        <v>1640</v>
      </c>
      <c r="H220" s="709">
        <v>7.5</v>
      </c>
      <c r="I220" s="709">
        <v>2000.0</v>
      </c>
      <c r="J220" s="705">
        <f t="shared" si="1"/>
        <v>9500</v>
      </c>
      <c r="K220" s="705">
        <f t="shared" si="2"/>
        <v>1950</v>
      </c>
      <c r="L220" s="705">
        <f t="shared" si="3"/>
        <v>11450</v>
      </c>
      <c r="M220" s="706">
        <f t="shared" si="4"/>
        <v>11.45</v>
      </c>
    </row>
    <row r="221">
      <c r="A221" s="702" t="s">
        <v>32905</v>
      </c>
      <c r="B221" s="702" t="s">
        <v>32907</v>
      </c>
      <c r="C221" s="707"/>
      <c r="D221" s="707"/>
      <c r="E221" s="708" t="s">
        <v>32908</v>
      </c>
      <c r="F221" s="709">
        <v>1000.0</v>
      </c>
      <c r="G221" s="708" t="s">
        <v>12119</v>
      </c>
      <c r="H221" s="709">
        <v>13.5</v>
      </c>
      <c r="I221" s="709">
        <v>1000.0</v>
      </c>
      <c r="J221" s="705">
        <f t="shared" si="1"/>
        <v>14500</v>
      </c>
      <c r="K221" s="705">
        <f t="shared" si="2"/>
        <v>2450</v>
      </c>
      <c r="L221" s="705">
        <f t="shared" si="3"/>
        <v>16950</v>
      </c>
      <c r="M221" s="706">
        <f t="shared" si="4"/>
        <v>16.95</v>
      </c>
    </row>
    <row r="222">
      <c r="A222" s="702" t="s">
        <v>32909</v>
      </c>
      <c r="B222" s="702" t="s">
        <v>32910</v>
      </c>
      <c r="C222" s="707"/>
      <c r="D222" s="707"/>
      <c r="E222" s="708" t="s">
        <v>43</v>
      </c>
      <c r="F222" s="709">
        <v>500.0</v>
      </c>
      <c r="G222" s="708" t="s">
        <v>1082</v>
      </c>
      <c r="H222" s="709">
        <v>7.5</v>
      </c>
      <c r="I222" s="709">
        <v>500.0</v>
      </c>
      <c r="J222" s="705">
        <f t="shared" si="1"/>
        <v>4250</v>
      </c>
      <c r="K222" s="705">
        <f t="shared" si="2"/>
        <v>1425</v>
      </c>
      <c r="L222" s="705">
        <f t="shared" si="3"/>
        <v>5675</v>
      </c>
      <c r="M222" s="706">
        <f t="shared" si="4"/>
        <v>11.35</v>
      </c>
    </row>
    <row r="223">
      <c r="A223" s="702" t="s">
        <v>32909</v>
      </c>
      <c r="B223" s="702" t="s">
        <v>32910</v>
      </c>
      <c r="C223" s="707"/>
      <c r="D223" s="707"/>
      <c r="E223" s="708" t="s">
        <v>2660</v>
      </c>
      <c r="F223" s="709">
        <v>500.0</v>
      </c>
      <c r="G223" s="708" t="s">
        <v>1082</v>
      </c>
      <c r="H223" s="709">
        <v>106.0</v>
      </c>
      <c r="I223" s="709">
        <v>500.0</v>
      </c>
      <c r="J223" s="705">
        <f t="shared" si="1"/>
        <v>53500</v>
      </c>
      <c r="K223" s="705">
        <f t="shared" si="2"/>
        <v>6350</v>
      </c>
      <c r="L223" s="705">
        <f t="shared" si="3"/>
        <v>59850</v>
      </c>
      <c r="M223" s="706">
        <f t="shared" si="4"/>
        <v>119.7</v>
      </c>
    </row>
    <row r="224">
      <c r="A224" s="702" t="s">
        <v>32909</v>
      </c>
      <c r="B224" s="702" t="s">
        <v>32911</v>
      </c>
      <c r="C224" s="707"/>
      <c r="D224" s="707"/>
      <c r="E224" s="708" t="s">
        <v>13519</v>
      </c>
      <c r="F224" s="709">
        <v>20000.0</v>
      </c>
      <c r="G224" s="708" t="s">
        <v>23612</v>
      </c>
      <c r="H224" s="709">
        <v>4.0</v>
      </c>
      <c r="I224" s="709"/>
      <c r="J224" s="705">
        <f t="shared" si="1"/>
        <v>80000</v>
      </c>
      <c r="K224" s="705">
        <f t="shared" si="2"/>
        <v>9000</v>
      </c>
      <c r="L224" s="705">
        <f t="shared" si="3"/>
        <v>89000</v>
      </c>
      <c r="M224" s="706">
        <f t="shared" si="4"/>
        <v>4.45</v>
      </c>
    </row>
    <row r="225">
      <c r="A225" s="702" t="s">
        <v>32909</v>
      </c>
      <c r="B225" s="702" t="s">
        <v>12098</v>
      </c>
      <c r="C225" s="707"/>
      <c r="D225" s="707"/>
      <c r="E225" s="708" t="s">
        <v>32912</v>
      </c>
      <c r="F225" s="709">
        <v>500.0</v>
      </c>
      <c r="G225" s="708" t="s">
        <v>44</v>
      </c>
      <c r="H225" s="709">
        <v>120.0</v>
      </c>
      <c r="I225" s="709">
        <v>500.0</v>
      </c>
      <c r="J225" s="705">
        <f t="shared" si="1"/>
        <v>60500</v>
      </c>
      <c r="K225" s="705">
        <f t="shared" si="2"/>
        <v>7050</v>
      </c>
      <c r="L225" s="705">
        <f t="shared" si="3"/>
        <v>67550</v>
      </c>
      <c r="M225" s="706">
        <f t="shared" si="4"/>
        <v>135.1</v>
      </c>
      <c r="N225" s="526" t="s">
        <v>32913</v>
      </c>
    </row>
    <row r="226">
      <c r="A226" s="702" t="s">
        <v>32909</v>
      </c>
      <c r="B226" s="702" t="s">
        <v>12098</v>
      </c>
      <c r="C226" s="707"/>
      <c r="D226" s="707"/>
      <c r="E226" s="708" t="s">
        <v>32914</v>
      </c>
      <c r="F226" s="709">
        <v>500.0</v>
      </c>
      <c r="G226" s="708" t="s">
        <v>1082</v>
      </c>
      <c r="H226" s="709">
        <v>200.0</v>
      </c>
      <c r="I226" s="709">
        <v>500.0</v>
      </c>
      <c r="J226" s="705">
        <f t="shared" si="1"/>
        <v>100500</v>
      </c>
      <c r="K226" s="705">
        <f t="shared" si="2"/>
        <v>11050</v>
      </c>
      <c r="L226" s="705">
        <f t="shared" si="3"/>
        <v>111550</v>
      </c>
      <c r="M226" s="706">
        <f t="shared" si="4"/>
        <v>223.1</v>
      </c>
      <c r="N226" s="526" t="s">
        <v>32915</v>
      </c>
    </row>
    <row r="227">
      <c r="A227" s="702" t="s">
        <v>32916</v>
      </c>
      <c r="B227" s="702" t="s">
        <v>32917</v>
      </c>
      <c r="C227" s="707"/>
      <c r="D227" s="707"/>
      <c r="E227" s="708" t="s">
        <v>798</v>
      </c>
      <c r="F227" s="709">
        <v>1000.0</v>
      </c>
      <c r="G227" s="708" t="s">
        <v>44</v>
      </c>
      <c r="H227" s="709">
        <v>200.0</v>
      </c>
      <c r="I227" s="709">
        <v>1000.0</v>
      </c>
      <c r="J227" s="705">
        <f t="shared" si="1"/>
        <v>201000</v>
      </c>
      <c r="K227" s="705">
        <f t="shared" si="2"/>
        <v>21100</v>
      </c>
      <c r="L227" s="705">
        <f t="shared" si="3"/>
        <v>222100</v>
      </c>
      <c r="M227" s="706">
        <f t="shared" si="4"/>
        <v>222.1</v>
      </c>
    </row>
    <row r="228">
      <c r="A228" s="702" t="s">
        <v>32918</v>
      </c>
      <c r="B228" s="702" t="s">
        <v>32919</v>
      </c>
      <c r="C228" s="707"/>
      <c r="D228" s="707"/>
      <c r="E228" s="708" t="s">
        <v>32920</v>
      </c>
      <c r="F228" s="709">
        <v>1000.0</v>
      </c>
      <c r="G228" s="708" t="s">
        <v>44</v>
      </c>
      <c r="H228" s="709">
        <v>5.2</v>
      </c>
      <c r="I228" s="709">
        <v>1000.0</v>
      </c>
      <c r="J228" s="705">
        <f t="shared" si="1"/>
        <v>6200</v>
      </c>
      <c r="K228" s="705">
        <f t="shared" si="2"/>
        <v>1620</v>
      </c>
      <c r="L228" s="705">
        <f t="shared" si="3"/>
        <v>7820</v>
      </c>
      <c r="M228" s="706">
        <f t="shared" si="4"/>
        <v>7.82</v>
      </c>
    </row>
    <row r="229">
      <c r="A229" s="702" t="s">
        <v>32918</v>
      </c>
      <c r="B229" s="702" t="s">
        <v>32919</v>
      </c>
      <c r="C229" s="707"/>
      <c r="D229" s="707"/>
      <c r="E229" s="708" t="s">
        <v>32921</v>
      </c>
      <c r="F229" s="709">
        <v>1000.0</v>
      </c>
      <c r="G229" s="708" t="s">
        <v>44</v>
      </c>
      <c r="H229" s="709">
        <v>4.8</v>
      </c>
      <c r="I229" s="709">
        <v>1000.0</v>
      </c>
      <c r="J229" s="705">
        <f t="shared" si="1"/>
        <v>5800</v>
      </c>
      <c r="K229" s="705">
        <f t="shared" si="2"/>
        <v>1580</v>
      </c>
      <c r="L229" s="705">
        <f t="shared" si="3"/>
        <v>7380</v>
      </c>
      <c r="M229" s="706">
        <f t="shared" si="4"/>
        <v>7.38</v>
      </c>
    </row>
    <row r="230">
      <c r="A230" s="702" t="s">
        <v>32922</v>
      </c>
      <c r="B230" s="702" t="s">
        <v>32923</v>
      </c>
      <c r="C230" s="707"/>
      <c r="D230" s="707"/>
      <c r="E230" s="708" t="s">
        <v>523</v>
      </c>
      <c r="F230" s="709">
        <v>5000.0</v>
      </c>
      <c r="G230" s="708" t="s">
        <v>44</v>
      </c>
      <c r="H230" s="709">
        <v>4.75</v>
      </c>
      <c r="I230" s="709">
        <v>5000.0</v>
      </c>
      <c r="J230" s="705">
        <f t="shared" si="1"/>
        <v>28750</v>
      </c>
      <c r="K230" s="705">
        <f t="shared" si="2"/>
        <v>3875</v>
      </c>
      <c r="L230" s="705">
        <f t="shared" si="3"/>
        <v>32625</v>
      </c>
      <c r="M230" s="706">
        <f t="shared" si="4"/>
        <v>6.525</v>
      </c>
    </row>
    <row r="231">
      <c r="A231" s="702" t="s">
        <v>32922</v>
      </c>
      <c r="B231" s="702" t="s">
        <v>32924</v>
      </c>
      <c r="C231" s="707"/>
      <c r="D231" s="707"/>
      <c r="E231" s="708" t="s">
        <v>32925</v>
      </c>
      <c r="F231" s="709">
        <v>2000.0</v>
      </c>
      <c r="G231" s="708" t="s">
        <v>44</v>
      </c>
      <c r="H231" s="709">
        <v>45.0</v>
      </c>
      <c r="I231" s="709">
        <v>2000.0</v>
      </c>
      <c r="J231" s="705">
        <f t="shared" si="1"/>
        <v>92000</v>
      </c>
      <c r="K231" s="705">
        <f t="shared" si="2"/>
        <v>10200</v>
      </c>
      <c r="L231" s="705">
        <f t="shared" si="3"/>
        <v>102200</v>
      </c>
      <c r="M231" s="706">
        <f t="shared" si="4"/>
        <v>51.1</v>
      </c>
    </row>
    <row r="232">
      <c r="A232" s="702" t="s">
        <v>32922</v>
      </c>
      <c r="B232" s="702" t="s">
        <v>32924</v>
      </c>
      <c r="C232" s="707"/>
      <c r="D232" s="707"/>
      <c r="E232" s="708" t="s">
        <v>14416</v>
      </c>
      <c r="F232" s="709">
        <v>5000.0</v>
      </c>
      <c r="G232" s="708" t="s">
        <v>44</v>
      </c>
      <c r="H232" s="709">
        <v>30.0</v>
      </c>
      <c r="I232" s="709">
        <v>5000.0</v>
      </c>
      <c r="J232" s="705">
        <f t="shared" si="1"/>
        <v>155000</v>
      </c>
      <c r="K232" s="705">
        <f t="shared" si="2"/>
        <v>16500</v>
      </c>
      <c r="L232" s="705">
        <f t="shared" si="3"/>
        <v>171500</v>
      </c>
      <c r="M232" s="706">
        <f t="shared" si="4"/>
        <v>34.3</v>
      </c>
    </row>
    <row r="233">
      <c r="A233" s="702" t="s">
        <v>32922</v>
      </c>
      <c r="B233" s="702" t="s">
        <v>32926</v>
      </c>
      <c r="C233" s="707"/>
      <c r="D233" s="707"/>
      <c r="E233" s="708" t="s">
        <v>1902</v>
      </c>
      <c r="F233" s="709">
        <v>200.0</v>
      </c>
      <c r="G233" s="55" t="s">
        <v>32927</v>
      </c>
      <c r="H233" s="709">
        <v>27.0</v>
      </c>
      <c r="I233" s="709">
        <v>200.0</v>
      </c>
      <c r="J233" s="705">
        <f t="shared" si="1"/>
        <v>5600</v>
      </c>
      <c r="K233" s="705">
        <f t="shared" si="2"/>
        <v>1560</v>
      </c>
      <c r="L233" s="705">
        <f t="shared" si="3"/>
        <v>7160</v>
      </c>
      <c r="M233" s="706">
        <f t="shared" si="4"/>
        <v>35.8</v>
      </c>
    </row>
    <row r="234">
      <c r="A234" s="702" t="s">
        <v>32922</v>
      </c>
      <c r="B234" s="702" t="s">
        <v>32926</v>
      </c>
      <c r="C234" s="707"/>
      <c r="D234" s="707"/>
      <c r="E234" s="708" t="s">
        <v>2622</v>
      </c>
      <c r="F234" s="709">
        <v>200.0</v>
      </c>
      <c r="G234" s="708" t="s">
        <v>32927</v>
      </c>
      <c r="H234" s="709">
        <v>22.0</v>
      </c>
      <c r="I234" s="709">
        <v>200.0</v>
      </c>
      <c r="J234" s="705">
        <f t="shared" si="1"/>
        <v>4600</v>
      </c>
      <c r="K234" s="705">
        <f t="shared" si="2"/>
        <v>1460</v>
      </c>
      <c r="L234" s="705">
        <f t="shared" si="3"/>
        <v>6060</v>
      </c>
      <c r="M234" s="706">
        <f t="shared" si="4"/>
        <v>30.3</v>
      </c>
    </row>
    <row r="235">
      <c r="A235" s="702" t="s">
        <v>32922</v>
      </c>
      <c r="B235" s="702" t="s">
        <v>32926</v>
      </c>
      <c r="C235" s="707"/>
      <c r="D235" s="707"/>
      <c r="E235" s="98" t="s">
        <v>257</v>
      </c>
      <c r="F235" s="709">
        <v>5000.0</v>
      </c>
      <c r="G235" s="708" t="s">
        <v>32927</v>
      </c>
      <c r="H235" s="709">
        <v>4.2</v>
      </c>
      <c r="I235" s="709">
        <v>5000.0</v>
      </c>
      <c r="J235" s="705">
        <f t="shared" si="1"/>
        <v>26000</v>
      </c>
      <c r="K235" s="705">
        <f t="shared" si="2"/>
        <v>3600</v>
      </c>
      <c r="L235" s="705">
        <f t="shared" si="3"/>
        <v>29600</v>
      </c>
      <c r="M235" s="706">
        <f t="shared" si="4"/>
        <v>5.92</v>
      </c>
    </row>
    <row r="236">
      <c r="A236" s="702" t="s">
        <v>32922</v>
      </c>
      <c r="B236" s="702" t="s">
        <v>32926</v>
      </c>
      <c r="C236" s="707"/>
      <c r="D236" s="707"/>
      <c r="E236" s="708" t="s">
        <v>32928</v>
      </c>
      <c r="F236" s="709">
        <v>5000.0</v>
      </c>
      <c r="G236" s="708" t="s">
        <v>32927</v>
      </c>
      <c r="H236" s="709">
        <v>4.75</v>
      </c>
      <c r="I236" s="709">
        <v>5000.0</v>
      </c>
      <c r="J236" s="705">
        <f t="shared" si="1"/>
        <v>28750</v>
      </c>
      <c r="K236" s="705">
        <f t="shared" si="2"/>
        <v>3875</v>
      </c>
      <c r="L236" s="705">
        <f t="shared" si="3"/>
        <v>32625</v>
      </c>
      <c r="M236" s="706">
        <f t="shared" si="4"/>
        <v>6.525</v>
      </c>
    </row>
    <row r="237">
      <c r="A237" s="702" t="s">
        <v>32922</v>
      </c>
      <c r="B237" s="702" t="s">
        <v>32926</v>
      </c>
      <c r="C237" s="707"/>
      <c r="D237" s="707"/>
      <c r="E237" s="708" t="s">
        <v>32929</v>
      </c>
      <c r="F237" s="709">
        <v>200.0</v>
      </c>
      <c r="G237" s="708" t="s">
        <v>32927</v>
      </c>
      <c r="H237" s="709">
        <v>13.2</v>
      </c>
      <c r="I237" s="709">
        <v>200.0</v>
      </c>
      <c r="J237" s="705">
        <f t="shared" si="1"/>
        <v>2840</v>
      </c>
      <c r="K237" s="705">
        <f t="shared" si="2"/>
        <v>1284</v>
      </c>
      <c r="L237" s="705">
        <f t="shared" si="3"/>
        <v>4124</v>
      </c>
      <c r="M237" s="706">
        <f t="shared" si="4"/>
        <v>20.62</v>
      </c>
    </row>
    <row r="238">
      <c r="A238" s="702" t="s">
        <v>32922</v>
      </c>
      <c r="B238" s="702" t="s">
        <v>32926</v>
      </c>
      <c r="C238" s="707"/>
      <c r="D238" s="707"/>
      <c r="E238" s="708" t="s">
        <v>1749</v>
      </c>
      <c r="F238" s="709">
        <v>200.0</v>
      </c>
      <c r="G238" s="708" t="s">
        <v>32927</v>
      </c>
      <c r="H238" s="709">
        <v>46.0</v>
      </c>
      <c r="I238" s="709">
        <v>200.0</v>
      </c>
      <c r="J238" s="705">
        <f t="shared" si="1"/>
        <v>9400</v>
      </c>
      <c r="K238" s="705">
        <f t="shared" si="2"/>
        <v>1940</v>
      </c>
      <c r="L238" s="705">
        <f t="shared" si="3"/>
        <v>11340</v>
      </c>
      <c r="M238" s="706">
        <f t="shared" si="4"/>
        <v>56.7</v>
      </c>
    </row>
    <row r="239">
      <c r="A239" s="702" t="s">
        <v>32930</v>
      </c>
      <c r="B239" s="702" t="s">
        <v>32931</v>
      </c>
      <c r="C239" s="707"/>
      <c r="D239" s="707"/>
      <c r="E239" s="708" t="s">
        <v>97</v>
      </c>
      <c r="F239" s="709">
        <v>5000.0</v>
      </c>
      <c r="G239" s="708" t="s">
        <v>44</v>
      </c>
      <c r="H239" s="709">
        <v>13.5</v>
      </c>
      <c r="I239" s="709">
        <v>5000.0</v>
      </c>
      <c r="J239" s="705">
        <f t="shared" si="1"/>
        <v>72500</v>
      </c>
      <c r="K239" s="705">
        <f t="shared" si="2"/>
        <v>8250</v>
      </c>
      <c r="L239" s="705">
        <f t="shared" si="3"/>
        <v>80750</v>
      </c>
      <c r="M239" s="706">
        <f t="shared" si="4"/>
        <v>16.15</v>
      </c>
    </row>
    <row r="240">
      <c r="A240" s="702" t="s">
        <v>32932</v>
      </c>
      <c r="B240" s="702" t="s">
        <v>32933</v>
      </c>
      <c r="C240" s="707"/>
      <c r="D240" s="707"/>
      <c r="E240" s="708" t="s">
        <v>6275</v>
      </c>
      <c r="F240" s="709">
        <v>10000.0</v>
      </c>
      <c r="G240" s="708" t="s">
        <v>44</v>
      </c>
      <c r="H240" s="709">
        <v>5.6</v>
      </c>
      <c r="I240" s="709"/>
      <c r="J240" s="705">
        <f t="shared" si="1"/>
        <v>56000</v>
      </c>
      <c r="K240" s="705">
        <f t="shared" si="2"/>
        <v>6600</v>
      </c>
      <c r="L240" s="705">
        <f t="shared" si="3"/>
        <v>62600</v>
      </c>
      <c r="M240" s="706">
        <f t="shared" si="4"/>
        <v>6.26</v>
      </c>
    </row>
    <row r="241">
      <c r="A241" s="702" t="s">
        <v>32932</v>
      </c>
      <c r="B241" s="702" t="s">
        <v>32934</v>
      </c>
      <c r="C241" s="707"/>
      <c r="D241" s="707"/>
      <c r="E241" s="708" t="s">
        <v>32935</v>
      </c>
      <c r="F241" s="709">
        <v>7000.0</v>
      </c>
      <c r="G241" s="708"/>
      <c r="H241" s="709">
        <v>40.0</v>
      </c>
      <c r="I241" s="709">
        <v>7000.0</v>
      </c>
      <c r="J241" s="705">
        <f t="shared" si="1"/>
        <v>287000</v>
      </c>
      <c r="K241" s="705">
        <f t="shared" si="2"/>
        <v>29700</v>
      </c>
      <c r="L241" s="705">
        <f t="shared" si="3"/>
        <v>316700</v>
      </c>
      <c r="M241" s="706">
        <f t="shared" si="4"/>
        <v>45.24285714</v>
      </c>
    </row>
    <row r="242">
      <c r="A242" s="702" t="s">
        <v>32936</v>
      </c>
      <c r="B242" s="702" t="s">
        <v>32937</v>
      </c>
      <c r="C242" s="707"/>
      <c r="D242" s="707"/>
      <c r="E242" s="708" t="s">
        <v>1565</v>
      </c>
      <c r="F242" s="709">
        <v>1000.0</v>
      </c>
      <c r="G242" s="708" t="s">
        <v>19136</v>
      </c>
      <c r="H242" s="709">
        <v>20.5</v>
      </c>
      <c r="I242" s="709">
        <v>1000.0</v>
      </c>
      <c r="J242" s="705">
        <f t="shared" si="1"/>
        <v>21500</v>
      </c>
      <c r="K242" s="705">
        <f t="shared" si="2"/>
        <v>3150</v>
      </c>
      <c r="L242" s="705">
        <f t="shared" si="3"/>
        <v>24650</v>
      </c>
      <c r="M242" s="706">
        <f t="shared" si="4"/>
        <v>24.65</v>
      </c>
    </row>
    <row r="243">
      <c r="A243" s="702" t="s">
        <v>32936</v>
      </c>
      <c r="B243" s="702" t="s">
        <v>32938</v>
      </c>
      <c r="C243" s="707"/>
      <c r="D243" s="707"/>
      <c r="E243" s="708" t="s">
        <v>1018</v>
      </c>
      <c r="F243" s="709">
        <v>2000.0</v>
      </c>
      <c r="G243" s="708" t="s">
        <v>555</v>
      </c>
      <c r="H243" s="709">
        <v>52.0</v>
      </c>
      <c r="I243" s="709">
        <v>2000.0</v>
      </c>
      <c r="J243" s="705">
        <f t="shared" si="1"/>
        <v>106000</v>
      </c>
      <c r="K243" s="705">
        <f t="shared" si="2"/>
        <v>11600</v>
      </c>
      <c r="L243" s="705">
        <f t="shared" si="3"/>
        <v>117600</v>
      </c>
      <c r="M243" s="706">
        <f t="shared" si="4"/>
        <v>58.8</v>
      </c>
    </row>
    <row r="244">
      <c r="A244" s="702" t="s">
        <v>32936</v>
      </c>
      <c r="B244" s="702" t="s">
        <v>12413</v>
      </c>
      <c r="C244" s="707"/>
      <c r="D244" s="707"/>
      <c r="E244" s="708" t="s">
        <v>32939</v>
      </c>
      <c r="F244" s="709">
        <v>100.0</v>
      </c>
      <c r="G244" s="708" t="s">
        <v>44</v>
      </c>
      <c r="H244" s="709">
        <v>110.0</v>
      </c>
      <c r="I244" s="709">
        <v>500.0</v>
      </c>
      <c r="J244" s="705">
        <f t="shared" si="1"/>
        <v>11500</v>
      </c>
      <c r="K244" s="705">
        <f t="shared" si="2"/>
        <v>2150</v>
      </c>
      <c r="L244" s="705">
        <f t="shared" si="3"/>
        <v>13650</v>
      </c>
      <c r="M244" s="706">
        <f t="shared" si="4"/>
        <v>136.5</v>
      </c>
    </row>
    <row r="245">
      <c r="A245" s="702" t="s">
        <v>32936</v>
      </c>
      <c r="B245" s="702" t="s">
        <v>12413</v>
      </c>
      <c r="C245" s="707"/>
      <c r="D245" s="707"/>
      <c r="E245" s="708" t="s">
        <v>32940</v>
      </c>
      <c r="F245" s="709">
        <v>200.0</v>
      </c>
      <c r="G245" s="708" t="s">
        <v>44</v>
      </c>
      <c r="H245" s="709">
        <v>90.0</v>
      </c>
      <c r="I245" s="709">
        <v>500.0</v>
      </c>
      <c r="J245" s="705">
        <f t="shared" si="1"/>
        <v>18500</v>
      </c>
      <c r="K245" s="705">
        <f t="shared" si="2"/>
        <v>2850</v>
      </c>
      <c r="L245" s="705">
        <f t="shared" si="3"/>
        <v>21350</v>
      </c>
      <c r="M245" s="706">
        <f t="shared" si="4"/>
        <v>106.75</v>
      </c>
    </row>
    <row r="246">
      <c r="A246" s="702" t="s">
        <v>32936</v>
      </c>
      <c r="B246" s="702" t="s">
        <v>32941</v>
      </c>
      <c r="C246" s="707"/>
      <c r="D246" s="707"/>
      <c r="E246" s="708" t="s">
        <v>7197</v>
      </c>
      <c r="F246" s="709">
        <v>500.0</v>
      </c>
      <c r="G246" s="708" t="s">
        <v>25962</v>
      </c>
      <c r="H246" s="709">
        <v>27.0</v>
      </c>
      <c r="I246" s="709">
        <v>500.0</v>
      </c>
      <c r="J246" s="705">
        <f t="shared" si="1"/>
        <v>14000</v>
      </c>
      <c r="K246" s="705">
        <f t="shared" si="2"/>
        <v>2400</v>
      </c>
      <c r="L246" s="705">
        <f t="shared" si="3"/>
        <v>16400</v>
      </c>
      <c r="M246" s="706">
        <f t="shared" si="4"/>
        <v>32.8</v>
      </c>
    </row>
    <row r="247">
      <c r="A247" s="702" t="s">
        <v>32936</v>
      </c>
      <c r="B247" s="702" t="s">
        <v>32942</v>
      </c>
      <c r="C247" s="707"/>
      <c r="D247" s="707"/>
      <c r="E247" s="708" t="s">
        <v>2429</v>
      </c>
      <c r="F247" s="709">
        <v>10000.0</v>
      </c>
      <c r="G247" s="708" t="s">
        <v>1082</v>
      </c>
      <c r="H247" s="709">
        <v>41.0</v>
      </c>
      <c r="I247" s="709"/>
      <c r="J247" s="705">
        <f t="shared" si="1"/>
        <v>410000</v>
      </c>
      <c r="K247" s="705">
        <f t="shared" si="2"/>
        <v>42000</v>
      </c>
      <c r="L247" s="705">
        <f t="shared" si="3"/>
        <v>452000</v>
      </c>
      <c r="M247" s="706">
        <f t="shared" si="4"/>
        <v>45.2</v>
      </c>
    </row>
    <row r="248">
      <c r="A248" s="702" t="s">
        <v>32943</v>
      </c>
      <c r="B248" s="702" t="s">
        <v>32944</v>
      </c>
      <c r="C248" s="707"/>
      <c r="D248" s="707"/>
      <c r="E248" s="708" t="s">
        <v>32945</v>
      </c>
      <c r="F248" s="709">
        <v>3000.0</v>
      </c>
      <c r="G248" s="708" t="s">
        <v>44</v>
      </c>
      <c r="H248" s="709">
        <v>5.2</v>
      </c>
      <c r="I248" s="709">
        <v>2000.0</v>
      </c>
      <c r="J248" s="705">
        <f t="shared" si="1"/>
        <v>17600</v>
      </c>
      <c r="K248" s="705">
        <f t="shared" si="2"/>
        <v>2760</v>
      </c>
      <c r="L248" s="705">
        <f t="shared" si="3"/>
        <v>20360</v>
      </c>
      <c r="M248" s="706">
        <f t="shared" si="4"/>
        <v>6.786666667</v>
      </c>
    </row>
    <row r="249">
      <c r="A249" s="702" t="s">
        <v>32943</v>
      </c>
      <c r="B249" s="702" t="s">
        <v>32946</v>
      </c>
      <c r="C249" s="707"/>
      <c r="D249" s="707"/>
      <c r="E249" s="708" t="s">
        <v>786</v>
      </c>
      <c r="F249" s="709">
        <v>20000.0</v>
      </c>
      <c r="G249" s="708" t="s">
        <v>184</v>
      </c>
      <c r="H249" s="709">
        <v>42.0</v>
      </c>
      <c r="I249" s="709"/>
      <c r="J249" s="705">
        <f t="shared" si="1"/>
        <v>840000</v>
      </c>
      <c r="K249" s="705">
        <f t="shared" si="2"/>
        <v>85000</v>
      </c>
      <c r="L249" s="705">
        <f t="shared" si="3"/>
        <v>925000</v>
      </c>
      <c r="M249" s="706">
        <f t="shared" si="4"/>
        <v>46.25</v>
      </c>
    </row>
    <row r="250">
      <c r="A250" s="702" t="s">
        <v>32947</v>
      </c>
      <c r="B250" s="702" t="s">
        <v>32948</v>
      </c>
      <c r="C250" s="707"/>
      <c r="D250" s="707"/>
      <c r="E250" s="708" t="s">
        <v>7371</v>
      </c>
      <c r="F250" s="709">
        <v>10000.0</v>
      </c>
      <c r="G250" s="708" t="s">
        <v>44</v>
      </c>
      <c r="H250" s="709">
        <v>102.0</v>
      </c>
      <c r="I250" s="709"/>
      <c r="J250" s="705">
        <f t="shared" si="1"/>
        <v>1020000</v>
      </c>
      <c r="K250" s="705">
        <f t="shared" si="2"/>
        <v>103000</v>
      </c>
      <c r="L250" s="705">
        <f t="shared" si="3"/>
        <v>1123000</v>
      </c>
      <c r="M250" s="706">
        <f t="shared" si="4"/>
        <v>112.3</v>
      </c>
    </row>
    <row r="251">
      <c r="A251" s="702" t="s">
        <v>32947</v>
      </c>
      <c r="B251" s="702" t="s">
        <v>32949</v>
      </c>
      <c r="C251" s="707"/>
      <c r="D251" s="707"/>
      <c r="E251" s="708" t="s">
        <v>32950</v>
      </c>
      <c r="F251" s="709">
        <v>250.0</v>
      </c>
      <c r="G251" s="708" t="s">
        <v>472</v>
      </c>
      <c r="H251" s="709">
        <v>68.0</v>
      </c>
      <c r="I251" s="709"/>
      <c r="J251" s="705">
        <f t="shared" si="1"/>
        <v>17000</v>
      </c>
      <c r="K251" s="705">
        <f t="shared" si="2"/>
        <v>2700</v>
      </c>
      <c r="L251" s="705">
        <f t="shared" si="3"/>
        <v>19700</v>
      </c>
      <c r="M251" s="706">
        <f t="shared" si="4"/>
        <v>78.8</v>
      </c>
    </row>
    <row r="252">
      <c r="A252" s="702" t="s">
        <v>32947</v>
      </c>
      <c r="B252" s="702" t="s">
        <v>32949</v>
      </c>
      <c r="C252" s="707"/>
      <c r="D252" s="707"/>
      <c r="E252" s="708" t="s">
        <v>3489</v>
      </c>
      <c r="F252" s="709">
        <v>20000.0</v>
      </c>
      <c r="G252" s="708" t="s">
        <v>472</v>
      </c>
      <c r="H252" s="709">
        <v>52.0</v>
      </c>
      <c r="I252" s="709"/>
      <c r="J252" s="705">
        <f t="shared" si="1"/>
        <v>1040000</v>
      </c>
      <c r="K252" s="705">
        <f t="shared" si="2"/>
        <v>105000</v>
      </c>
      <c r="L252" s="705">
        <f t="shared" si="3"/>
        <v>1145000</v>
      </c>
      <c r="M252" s="706">
        <f t="shared" si="4"/>
        <v>57.25</v>
      </c>
    </row>
    <row r="253">
      <c r="A253" s="702" t="s">
        <v>32947</v>
      </c>
      <c r="B253" s="702" t="s">
        <v>32949</v>
      </c>
      <c r="C253" s="707"/>
      <c r="D253" s="707"/>
      <c r="E253" s="708" t="s">
        <v>32951</v>
      </c>
      <c r="F253" s="712">
        <v>20000.0</v>
      </c>
      <c r="G253" s="708" t="s">
        <v>472</v>
      </c>
      <c r="H253" s="709">
        <v>6.0</v>
      </c>
      <c r="I253" s="709"/>
      <c r="J253" s="705">
        <f t="shared" si="1"/>
        <v>120000</v>
      </c>
      <c r="K253" s="705">
        <f t="shared" si="2"/>
        <v>13000</v>
      </c>
      <c r="L253" s="705">
        <f t="shared" si="3"/>
        <v>133000</v>
      </c>
      <c r="M253" s="706">
        <f t="shared" si="4"/>
        <v>6.65</v>
      </c>
    </row>
    <row r="254">
      <c r="A254" s="702" t="s">
        <v>32952</v>
      </c>
      <c r="B254" s="702" t="s">
        <v>32953</v>
      </c>
      <c r="C254" s="707"/>
      <c r="D254" s="707"/>
      <c r="E254" s="708" t="s">
        <v>31876</v>
      </c>
      <c r="F254" s="709">
        <v>2000.0</v>
      </c>
      <c r="G254" s="708" t="s">
        <v>1082</v>
      </c>
      <c r="H254" s="709">
        <v>37.5</v>
      </c>
      <c r="I254" s="709">
        <v>2000.0</v>
      </c>
      <c r="J254" s="705">
        <f t="shared" si="1"/>
        <v>77000</v>
      </c>
      <c r="K254" s="705">
        <f t="shared" si="2"/>
        <v>8700</v>
      </c>
      <c r="L254" s="705">
        <f t="shared" si="3"/>
        <v>85700</v>
      </c>
      <c r="M254" s="706">
        <f t="shared" si="4"/>
        <v>42.85</v>
      </c>
    </row>
    <row r="255">
      <c r="A255" s="702" t="s">
        <v>32952</v>
      </c>
      <c r="B255" s="702" t="s">
        <v>32954</v>
      </c>
      <c r="C255" s="707"/>
      <c r="D255" s="707"/>
      <c r="E255" s="708" t="s">
        <v>178</v>
      </c>
      <c r="F255" s="709">
        <v>3000.0</v>
      </c>
      <c r="G255" s="708" t="s">
        <v>44</v>
      </c>
      <c r="H255" s="709">
        <v>4.6</v>
      </c>
      <c r="I255" s="709">
        <v>3000.0</v>
      </c>
      <c r="J255" s="705">
        <f t="shared" si="1"/>
        <v>16800</v>
      </c>
      <c r="K255" s="705">
        <f t="shared" si="2"/>
        <v>2680</v>
      </c>
      <c r="L255" s="705">
        <f t="shared" si="3"/>
        <v>19480</v>
      </c>
      <c r="M255" s="706">
        <f t="shared" si="4"/>
        <v>6.493333333</v>
      </c>
    </row>
    <row r="256">
      <c r="A256" s="702" t="s">
        <v>32952</v>
      </c>
      <c r="B256" s="702" t="s">
        <v>32955</v>
      </c>
      <c r="C256" s="707"/>
      <c r="D256" s="707"/>
      <c r="E256" s="708" t="s">
        <v>32956</v>
      </c>
      <c r="F256" s="709">
        <v>2000.0</v>
      </c>
      <c r="G256" s="708" t="s">
        <v>12621</v>
      </c>
      <c r="H256" s="709">
        <v>4.8</v>
      </c>
      <c r="I256" s="709">
        <v>2000.0</v>
      </c>
      <c r="J256" s="705">
        <f t="shared" si="1"/>
        <v>11600</v>
      </c>
      <c r="K256" s="705">
        <f t="shared" si="2"/>
        <v>2160</v>
      </c>
      <c r="L256" s="705">
        <f t="shared" si="3"/>
        <v>13760</v>
      </c>
      <c r="M256" s="706">
        <f t="shared" si="4"/>
        <v>6.88</v>
      </c>
    </row>
    <row r="257">
      <c r="A257" s="702" t="s">
        <v>32957</v>
      </c>
      <c r="B257" s="702" t="s">
        <v>32958</v>
      </c>
      <c r="C257" s="707"/>
      <c r="D257" s="707"/>
      <c r="E257" s="708" t="s">
        <v>222</v>
      </c>
      <c r="F257" s="709">
        <v>20000.0</v>
      </c>
      <c r="G257" s="708" t="s">
        <v>49</v>
      </c>
      <c r="H257" s="709">
        <v>3.2</v>
      </c>
      <c r="I257" s="709"/>
      <c r="J257" s="705">
        <f t="shared" si="1"/>
        <v>64000</v>
      </c>
      <c r="K257" s="705">
        <f t="shared" si="2"/>
        <v>7400</v>
      </c>
      <c r="L257" s="705">
        <f t="shared" si="3"/>
        <v>71400</v>
      </c>
      <c r="M257" s="706">
        <f t="shared" si="4"/>
        <v>3.57</v>
      </c>
    </row>
    <row r="258">
      <c r="A258" s="702" t="s">
        <v>32959</v>
      </c>
      <c r="B258" s="702" t="s">
        <v>32960</v>
      </c>
      <c r="C258" s="707"/>
      <c r="D258" s="707"/>
      <c r="E258" s="708" t="s">
        <v>32961</v>
      </c>
      <c r="F258" s="709">
        <v>10000.0</v>
      </c>
      <c r="G258" s="708" t="s">
        <v>1082</v>
      </c>
      <c r="H258" s="709">
        <v>88.0</v>
      </c>
      <c r="I258" s="709"/>
      <c r="J258" s="705">
        <f t="shared" si="1"/>
        <v>880000</v>
      </c>
      <c r="K258" s="705">
        <f t="shared" si="2"/>
        <v>89000</v>
      </c>
      <c r="L258" s="705">
        <f t="shared" si="3"/>
        <v>969000</v>
      </c>
      <c r="M258" s="706">
        <f t="shared" si="4"/>
        <v>96.9</v>
      </c>
    </row>
    <row r="259">
      <c r="A259" s="702" t="s">
        <v>32962</v>
      </c>
      <c r="B259" s="702" t="s">
        <v>32963</v>
      </c>
      <c r="C259" s="707"/>
      <c r="D259" s="707"/>
      <c r="E259" s="708" t="s">
        <v>2159</v>
      </c>
      <c r="F259" s="709">
        <v>1000.0</v>
      </c>
      <c r="G259" s="708" t="s">
        <v>20765</v>
      </c>
      <c r="H259" s="709">
        <v>66.0</v>
      </c>
      <c r="I259" s="709">
        <v>1000.0</v>
      </c>
      <c r="J259" s="705">
        <f t="shared" si="1"/>
        <v>67000</v>
      </c>
      <c r="K259" s="705">
        <f t="shared" si="2"/>
        <v>7700</v>
      </c>
      <c r="L259" s="705">
        <f t="shared" si="3"/>
        <v>74700</v>
      </c>
      <c r="M259" s="706">
        <f t="shared" si="4"/>
        <v>74.7</v>
      </c>
    </row>
    <row r="260">
      <c r="A260" s="702" t="s">
        <v>32962</v>
      </c>
      <c r="B260" s="702" t="s">
        <v>32964</v>
      </c>
      <c r="C260" s="707"/>
      <c r="D260" s="707"/>
      <c r="E260" s="708" t="s">
        <v>32965</v>
      </c>
      <c r="F260" s="709">
        <v>1000000.0</v>
      </c>
      <c r="G260" s="708" t="s">
        <v>6381</v>
      </c>
      <c r="H260" s="709">
        <v>10.0</v>
      </c>
      <c r="I260" s="709"/>
      <c r="J260" s="705">
        <f t="shared" si="1"/>
        <v>10000000</v>
      </c>
      <c r="K260" s="705">
        <f t="shared" si="2"/>
        <v>1001000</v>
      </c>
      <c r="L260" s="705">
        <f t="shared" si="3"/>
        <v>11001000</v>
      </c>
      <c r="M260" s="706">
        <f t="shared" si="4"/>
        <v>11.001</v>
      </c>
    </row>
    <row r="261">
      <c r="A261" s="702" t="s">
        <v>32962</v>
      </c>
      <c r="B261" s="702" t="s">
        <v>32966</v>
      </c>
      <c r="C261" s="707"/>
      <c r="D261" s="707"/>
      <c r="E261" s="708" t="s">
        <v>4114</v>
      </c>
      <c r="F261" s="709">
        <v>15000.0</v>
      </c>
      <c r="G261" s="708" t="s">
        <v>6747</v>
      </c>
      <c r="H261" s="709">
        <v>32.0</v>
      </c>
      <c r="I261" s="709"/>
      <c r="J261" s="705">
        <f t="shared" si="1"/>
        <v>480000</v>
      </c>
      <c r="K261" s="705">
        <f t="shared" si="2"/>
        <v>49000</v>
      </c>
      <c r="L261" s="705">
        <f t="shared" si="3"/>
        <v>529000</v>
      </c>
      <c r="M261" s="706">
        <f t="shared" si="4"/>
        <v>35.26666667</v>
      </c>
    </row>
    <row r="262">
      <c r="A262" s="702" t="s">
        <v>32967</v>
      </c>
      <c r="B262" s="702" t="s">
        <v>32968</v>
      </c>
      <c r="C262" s="707"/>
      <c r="D262" s="707"/>
      <c r="E262" s="708" t="s">
        <v>32969</v>
      </c>
      <c r="F262" s="709">
        <v>1000.0</v>
      </c>
      <c r="G262" s="708" t="s">
        <v>1082</v>
      </c>
      <c r="H262" s="709">
        <v>5.2</v>
      </c>
      <c r="I262" s="709">
        <v>1000.0</v>
      </c>
      <c r="J262" s="705">
        <f t="shared" si="1"/>
        <v>6200</v>
      </c>
      <c r="K262" s="705">
        <f t="shared" si="2"/>
        <v>1620</v>
      </c>
      <c r="L262" s="705">
        <f t="shared" si="3"/>
        <v>7820</v>
      </c>
      <c r="M262" s="706">
        <f t="shared" si="4"/>
        <v>7.82</v>
      </c>
    </row>
    <row r="263">
      <c r="A263" s="702" t="s">
        <v>32967</v>
      </c>
      <c r="B263" s="702" t="s">
        <v>32970</v>
      </c>
      <c r="C263" s="707"/>
      <c r="D263" s="707"/>
      <c r="E263" s="708" t="s">
        <v>1182</v>
      </c>
      <c r="F263" s="709">
        <v>1000.0</v>
      </c>
      <c r="G263" s="708" t="s">
        <v>25962</v>
      </c>
      <c r="H263" s="709">
        <v>13.8</v>
      </c>
      <c r="I263" s="709"/>
      <c r="J263" s="705">
        <f t="shared" si="1"/>
        <v>13800</v>
      </c>
      <c r="K263" s="705">
        <f t="shared" si="2"/>
        <v>2380</v>
      </c>
      <c r="L263" s="705">
        <f t="shared" si="3"/>
        <v>16180</v>
      </c>
      <c r="M263" s="706">
        <f t="shared" si="4"/>
        <v>16.18</v>
      </c>
    </row>
    <row r="264">
      <c r="A264" s="702" t="s">
        <v>32971</v>
      </c>
      <c r="B264" s="702" t="s">
        <v>32972</v>
      </c>
      <c r="C264" s="707"/>
      <c r="D264" s="707"/>
      <c r="E264" s="708" t="s">
        <v>32973</v>
      </c>
      <c r="F264" s="709">
        <v>60000.0</v>
      </c>
      <c r="G264" s="708" t="s">
        <v>20765</v>
      </c>
      <c r="H264" s="709">
        <v>3.5</v>
      </c>
      <c r="I264" s="709"/>
      <c r="J264" s="705">
        <f t="shared" si="1"/>
        <v>210000</v>
      </c>
      <c r="K264" s="705">
        <f t="shared" si="2"/>
        <v>22000</v>
      </c>
      <c r="L264" s="705">
        <f t="shared" si="3"/>
        <v>232000</v>
      </c>
      <c r="M264" s="706">
        <f t="shared" si="4"/>
        <v>3.866666667</v>
      </c>
    </row>
    <row r="265">
      <c r="A265" s="702" t="s">
        <v>32971</v>
      </c>
      <c r="B265" s="702" t="s">
        <v>32974</v>
      </c>
      <c r="C265" s="707"/>
      <c r="D265" s="707"/>
      <c r="E265" s="708" t="s">
        <v>6760</v>
      </c>
      <c r="F265" s="709">
        <v>375.0</v>
      </c>
      <c r="G265" s="708" t="s">
        <v>2682</v>
      </c>
      <c r="H265" s="709">
        <v>190.0</v>
      </c>
      <c r="I265" s="709">
        <v>500.0</v>
      </c>
      <c r="J265" s="705">
        <f t="shared" si="1"/>
        <v>71750</v>
      </c>
      <c r="K265" s="705">
        <f t="shared" si="2"/>
        <v>8175</v>
      </c>
      <c r="L265" s="705">
        <f t="shared" si="3"/>
        <v>79925</v>
      </c>
      <c r="M265" s="706">
        <f t="shared" si="4"/>
        <v>213.1333333</v>
      </c>
    </row>
    <row r="266">
      <c r="A266" s="702" t="s">
        <v>32975</v>
      </c>
      <c r="B266" s="702" t="s">
        <v>32976</v>
      </c>
      <c r="C266" s="707"/>
      <c r="D266" s="707"/>
      <c r="E266" s="708" t="s">
        <v>222</v>
      </c>
      <c r="F266" s="709">
        <v>10000.0</v>
      </c>
      <c r="G266" s="708" t="s">
        <v>44</v>
      </c>
      <c r="H266" s="709">
        <v>3.2</v>
      </c>
      <c r="I266" s="709"/>
      <c r="J266" s="705">
        <f t="shared" si="1"/>
        <v>32000</v>
      </c>
      <c r="K266" s="705">
        <f t="shared" si="2"/>
        <v>4200</v>
      </c>
      <c r="L266" s="705">
        <f t="shared" si="3"/>
        <v>36200</v>
      </c>
      <c r="M266" s="706">
        <f t="shared" si="4"/>
        <v>3.62</v>
      </c>
    </row>
    <row r="267">
      <c r="A267" s="702" t="s">
        <v>32977</v>
      </c>
      <c r="B267" s="702" t="s">
        <v>32978</v>
      </c>
      <c r="C267" s="707"/>
      <c r="D267" s="707"/>
      <c r="E267" s="708" t="s">
        <v>7694</v>
      </c>
      <c r="F267" s="712">
        <v>2000.0</v>
      </c>
      <c r="G267" s="708" t="s">
        <v>44</v>
      </c>
      <c r="H267" s="709">
        <v>4.8</v>
      </c>
      <c r="I267" s="709"/>
      <c r="J267" s="705">
        <f t="shared" si="1"/>
        <v>9600</v>
      </c>
      <c r="K267" s="705">
        <f t="shared" si="2"/>
        <v>1960</v>
      </c>
      <c r="L267" s="705">
        <f t="shared" si="3"/>
        <v>11560</v>
      </c>
      <c r="M267" s="706">
        <f t="shared" si="4"/>
        <v>5.78</v>
      </c>
    </row>
    <row r="268">
      <c r="A268" s="702" t="s">
        <v>32977</v>
      </c>
      <c r="B268" s="702" t="s">
        <v>32979</v>
      </c>
      <c r="C268" s="707"/>
      <c r="D268" s="707"/>
      <c r="E268" s="708" t="s">
        <v>13809</v>
      </c>
      <c r="F268" s="709">
        <v>150.0</v>
      </c>
      <c r="G268" s="708" t="s">
        <v>44</v>
      </c>
      <c r="H268" s="709">
        <v>475.0</v>
      </c>
      <c r="I268" s="709">
        <v>300.0</v>
      </c>
      <c r="J268" s="705">
        <f t="shared" si="1"/>
        <v>71550</v>
      </c>
      <c r="K268" s="705">
        <f t="shared" si="2"/>
        <v>8155</v>
      </c>
      <c r="L268" s="705">
        <f t="shared" si="3"/>
        <v>79705</v>
      </c>
      <c r="M268" s="706">
        <f t="shared" si="4"/>
        <v>531.3666667</v>
      </c>
    </row>
    <row r="269">
      <c r="A269" s="702" t="s">
        <v>32977</v>
      </c>
      <c r="B269" s="702" t="s">
        <v>32979</v>
      </c>
      <c r="C269" s="707"/>
      <c r="D269" s="707"/>
      <c r="E269" s="708" t="s">
        <v>14810</v>
      </c>
      <c r="F269" s="709">
        <v>150.0</v>
      </c>
      <c r="G269" s="708" t="s">
        <v>44</v>
      </c>
      <c r="H269" s="709">
        <v>475.0</v>
      </c>
      <c r="I269" s="709">
        <v>300.0</v>
      </c>
      <c r="J269" s="705">
        <f t="shared" si="1"/>
        <v>71550</v>
      </c>
      <c r="K269" s="705">
        <f t="shared" si="2"/>
        <v>8155</v>
      </c>
      <c r="L269" s="705">
        <f t="shared" si="3"/>
        <v>79705</v>
      </c>
      <c r="M269" s="706">
        <f t="shared" si="4"/>
        <v>531.3666667</v>
      </c>
    </row>
    <row r="270">
      <c r="A270" s="702" t="s">
        <v>32980</v>
      </c>
      <c r="B270" s="702" t="s">
        <v>32981</v>
      </c>
      <c r="C270" s="707"/>
      <c r="D270" s="707"/>
      <c r="E270" s="708" t="s">
        <v>10332</v>
      </c>
      <c r="F270" s="709">
        <v>1500.0</v>
      </c>
      <c r="G270" s="708" t="s">
        <v>44</v>
      </c>
      <c r="H270" s="709">
        <v>245.0</v>
      </c>
      <c r="I270" s="709">
        <v>1500.0</v>
      </c>
      <c r="J270" s="705">
        <f t="shared" si="1"/>
        <v>369000</v>
      </c>
      <c r="K270" s="705">
        <f t="shared" si="2"/>
        <v>37900</v>
      </c>
      <c r="L270" s="705">
        <f t="shared" si="3"/>
        <v>406900</v>
      </c>
      <c r="M270" s="706">
        <f t="shared" si="4"/>
        <v>271.2666667</v>
      </c>
    </row>
    <row r="271">
      <c r="A271" s="702" t="s">
        <v>32980</v>
      </c>
      <c r="B271" s="702" t="s">
        <v>32982</v>
      </c>
      <c r="C271" s="707"/>
      <c r="D271" s="707"/>
      <c r="E271" s="708" t="s">
        <v>116</v>
      </c>
      <c r="F271" s="709">
        <v>4000.0</v>
      </c>
      <c r="G271" s="708" t="s">
        <v>99</v>
      </c>
      <c r="H271" s="709">
        <v>74.0</v>
      </c>
      <c r="I271" s="709">
        <v>4000.0</v>
      </c>
      <c r="J271" s="705">
        <f t="shared" si="1"/>
        <v>300000</v>
      </c>
      <c r="K271" s="705">
        <f t="shared" si="2"/>
        <v>31000</v>
      </c>
      <c r="L271" s="705">
        <f t="shared" si="3"/>
        <v>331000</v>
      </c>
      <c r="M271" s="706">
        <f t="shared" si="4"/>
        <v>82.75</v>
      </c>
    </row>
    <row r="272">
      <c r="A272" s="702" t="s">
        <v>32980</v>
      </c>
      <c r="B272" s="702" t="s">
        <v>32983</v>
      </c>
      <c r="C272" s="707"/>
      <c r="D272" s="707"/>
      <c r="E272" s="708" t="s">
        <v>3926</v>
      </c>
      <c r="F272" s="709">
        <v>2000.0</v>
      </c>
      <c r="G272" s="708" t="s">
        <v>742</v>
      </c>
      <c r="H272" s="709">
        <v>300.0</v>
      </c>
      <c r="I272" s="709">
        <v>2000.0</v>
      </c>
      <c r="J272" s="705">
        <f t="shared" si="1"/>
        <v>602000</v>
      </c>
      <c r="K272" s="705">
        <f t="shared" si="2"/>
        <v>61200</v>
      </c>
      <c r="L272" s="705">
        <f t="shared" si="3"/>
        <v>663200</v>
      </c>
      <c r="M272" s="706">
        <f t="shared" si="4"/>
        <v>331.6</v>
      </c>
    </row>
    <row r="273">
      <c r="A273" s="702" t="s">
        <v>32984</v>
      </c>
      <c r="B273" s="702" t="s">
        <v>32985</v>
      </c>
      <c r="C273" s="707"/>
      <c r="D273" s="707"/>
      <c r="E273" s="708" t="s">
        <v>32986</v>
      </c>
      <c r="F273" s="709">
        <v>1000.0</v>
      </c>
      <c r="G273" s="708" t="s">
        <v>2682</v>
      </c>
      <c r="H273" s="709">
        <v>52.0</v>
      </c>
      <c r="I273" s="709">
        <v>1000.0</v>
      </c>
      <c r="J273" s="705">
        <f t="shared" si="1"/>
        <v>53000</v>
      </c>
      <c r="K273" s="705">
        <f t="shared" si="2"/>
        <v>6300</v>
      </c>
      <c r="L273" s="705">
        <f t="shared" si="3"/>
        <v>59300</v>
      </c>
      <c r="M273" s="706">
        <f t="shared" si="4"/>
        <v>59.3</v>
      </c>
    </row>
    <row r="274">
      <c r="A274" s="702" t="s">
        <v>32984</v>
      </c>
      <c r="B274" s="702" t="s">
        <v>32987</v>
      </c>
      <c r="C274" s="707"/>
      <c r="D274" s="707"/>
      <c r="E274" s="708" t="s">
        <v>13346</v>
      </c>
      <c r="F274" s="709">
        <v>400.0</v>
      </c>
      <c r="G274" s="708" t="s">
        <v>44</v>
      </c>
      <c r="H274" s="709">
        <v>158.0</v>
      </c>
      <c r="I274" s="709">
        <v>500.0</v>
      </c>
      <c r="J274" s="705">
        <f t="shared" si="1"/>
        <v>63700</v>
      </c>
      <c r="K274" s="705">
        <f t="shared" si="2"/>
        <v>7370</v>
      </c>
      <c r="L274" s="705">
        <f t="shared" si="3"/>
        <v>71070</v>
      </c>
      <c r="M274" s="706">
        <f t="shared" si="4"/>
        <v>177.675</v>
      </c>
    </row>
    <row r="275">
      <c r="A275" s="702" t="s">
        <v>32988</v>
      </c>
      <c r="B275" s="702" t="s">
        <v>32989</v>
      </c>
      <c r="C275" s="707"/>
      <c r="D275" s="707"/>
      <c r="E275" s="708" t="s">
        <v>116</v>
      </c>
      <c r="F275" s="709">
        <v>1000.0</v>
      </c>
      <c r="G275" s="708" t="s">
        <v>906</v>
      </c>
      <c r="H275" s="709">
        <v>74.0</v>
      </c>
      <c r="I275" s="709">
        <v>1000.0</v>
      </c>
      <c r="J275" s="705">
        <f t="shared" si="1"/>
        <v>75000</v>
      </c>
      <c r="K275" s="705">
        <f t="shared" si="2"/>
        <v>8500</v>
      </c>
      <c r="L275" s="705">
        <f t="shared" si="3"/>
        <v>83500</v>
      </c>
      <c r="M275" s="706">
        <f t="shared" si="4"/>
        <v>83.5</v>
      </c>
    </row>
    <row r="276">
      <c r="A276" s="702" t="s">
        <v>32988</v>
      </c>
      <c r="B276" s="702" t="s">
        <v>32990</v>
      </c>
      <c r="C276" s="707"/>
      <c r="D276" s="707"/>
      <c r="E276" s="708" t="s">
        <v>1565</v>
      </c>
      <c r="F276" s="709">
        <v>5000.0</v>
      </c>
      <c r="G276" s="708" t="s">
        <v>44</v>
      </c>
      <c r="H276" s="709">
        <v>20.5</v>
      </c>
      <c r="I276" s="709">
        <v>5000.0</v>
      </c>
      <c r="J276" s="705">
        <f t="shared" si="1"/>
        <v>107500</v>
      </c>
      <c r="K276" s="705">
        <f t="shared" si="2"/>
        <v>11750</v>
      </c>
      <c r="L276" s="705">
        <f t="shared" si="3"/>
        <v>119250</v>
      </c>
      <c r="M276" s="706">
        <f t="shared" si="4"/>
        <v>23.85</v>
      </c>
    </row>
    <row r="277">
      <c r="A277" s="702" t="s">
        <v>32988</v>
      </c>
      <c r="B277" s="702" t="s">
        <v>32991</v>
      </c>
      <c r="C277" s="707"/>
      <c r="D277" s="707"/>
      <c r="E277" s="708" t="s">
        <v>116</v>
      </c>
      <c r="F277" s="709">
        <v>5000.0</v>
      </c>
      <c r="G277" s="708" t="s">
        <v>32992</v>
      </c>
      <c r="H277" s="709">
        <v>74.0</v>
      </c>
      <c r="I277" s="709">
        <v>5000.0</v>
      </c>
      <c r="J277" s="705">
        <f t="shared" si="1"/>
        <v>375000</v>
      </c>
      <c r="K277" s="705">
        <f t="shared" si="2"/>
        <v>38500</v>
      </c>
      <c r="L277" s="705">
        <f t="shared" si="3"/>
        <v>413500</v>
      </c>
      <c r="M277" s="706">
        <f t="shared" si="4"/>
        <v>82.7</v>
      </c>
    </row>
    <row r="278">
      <c r="A278" s="702" t="s">
        <v>32993</v>
      </c>
      <c r="B278" s="702" t="s">
        <v>32994</v>
      </c>
      <c r="C278" s="707"/>
      <c r="D278" s="707"/>
      <c r="E278" s="708" t="s">
        <v>2813</v>
      </c>
      <c r="F278" s="709">
        <v>500.0</v>
      </c>
      <c r="G278" s="708" t="s">
        <v>158</v>
      </c>
      <c r="H278" s="709">
        <v>10.0</v>
      </c>
      <c r="I278" s="709">
        <v>500.0</v>
      </c>
      <c r="J278" s="705">
        <f t="shared" si="1"/>
        <v>5500</v>
      </c>
      <c r="K278" s="705">
        <f t="shared" si="2"/>
        <v>1550</v>
      </c>
      <c r="L278" s="705">
        <f t="shared" si="3"/>
        <v>7050</v>
      </c>
      <c r="M278" s="706">
        <f t="shared" si="4"/>
        <v>14.1</v>
      </c>
    </row>
    <row r="279">
      <c r="A279" s="702" t="s">
        <v>32995</v>
      </c>
      <c r="B279" s="702" t="s">
        <v>32996</v>
      </c>
      <c r="C279" s="707"/>
      <c r="D279" s="707"/>
      <c r="E279" s="708" t="s">
        <v>576</v>
      </c>
      <c r="F279" s="709">
        <v>1200.0</v>
      </c>
      <c r="G279" s="708" t="s">
        <v>44</v>
      </c>
      <c r="H279" s="709">
        <v>10.0</v>
      </c>
      <c r="I279" s="709">
        <v>1000.0</v>
      </c>
      <c r="J279" s="705">
        <f t="shared" si="1"/>
        <v>13000</v>
      </c>
      <c r="K279" s="705">
        <f t="shared" si="2"/>
        <v>2300</v>
      </c>
      <c r="L279" s="705">
        <f t="shared" si="3"/>
        <v>15300</v>
      </c>
      <c r="M279" s="706">
        <f t="shared" si="4"/>
        <v>12.75</v>
      </c>
    </row>
    <row r="280">
      <c r="A280" s="702" t="s">
        <v>32995</v>
      </c>
      <c r="B280" s="702" t="s">
        <v>32997</v>
      </c>
      <c r="C280" s="707"/>
      <c r="D280" s="707"/>
      <c r="E280" s="708" t="s">
        <v>10754</v>
      </c>
      <c r="F280" s="709">
        <v>1000.0</v>
      </c>
      <c r="G280" s="708" t="s">
        <v>184</v>
      </c>
      <c r="H280" s="709">
        <v>40.0</v>
      </c>
      <c r="I280" s="709">
        <v>1000.0</v>
      </c>
      <c r="J280" s="705">
        <f t="shared" si="1"/>
        <v>41000</v>
      </c>
      <c r="K280" s="705">
        <f t="shared" si="2"/>
        <v>5100</v>
      </c>
      <c r="L280" s="705">
        <f t="shared" si="3"/>
        <v>46100</v>
      </c>
      <c r="M280" s="706">
        <f t="shared" si="4"/>
        <v>46.1</v>
      </c>
    </row>
    <row r="281">
      <c r="A281" s="702" t="s">
        <v>32995</v>
      </c>
      <c r="B281" s="702" t="s">
        <v>32997</v>
      </c>
      <c r="C281" s="707"/>
      <c r="D281" s="707"/>
      <c r="E281" s="708" t="s">
        <v>1396</v>
      </c>
      <c r="F281" s="709">
        <v>1000.0</v>
      </c>
      <c r="G281" s="708" t="s">
        <v>184</v>
      </c>
      <c r="H281" s="709">
        <v>55.0</v>
      </c>
      <c r="I281" s="709">
        <v>5000.0</v>
      </c>
      <c r="J281" s="705">
        <f t="shared" si="1"/>
        <v>60000</v>
      </c>
      <c r="K281" s="705">
        <f t="shared" si="2"/>
        <v>7000</v>
      </c>
      <c r="L281" s="705">
        <f t="shared" si="3"/>
        <v>67000</v>
      </c>
      <c r="M281" s="706">
        <f t="shared" si="4"/>
        <v>67</v>
      </c>
    </row>
    <row r="282">
      <c r="A282" s="702" t="s">
        <v>32995</v>
      </c>
      <c r="B282" s="702" t="s">
        <v>32997</v>
      </c>
      <c r="C282" s="707"/>
      <c r="D282" s="707"/>
      <c r="E282" s="708" t="s">
        <v>3926</v>
      </c>
      <c r="F282" s="709">
        <v>1000.0</v>
      </c>
      <c r="G282" s="708" t="s">
        <v>184</v>
      </c>
      <c r="H282" s="709">
        <v>300.0</v>
      </c>
      <c r="I282" s="709">
        <v>1000.0</v>
      </c>
      <c r="J282" s="705">
        <f t="shared" si="1"/>
        <v>301000</v>
      </c>
      <c r="K282" s="705">
        <f t="shared" si="2"/>
        <v>31100</v>
      </c>
      <c r="L282" s="705">
        <f t="shared" si="3"/>
        <v>332100</v>
      </c>
      <c r="M282" s="706">
        <f t="shared" si="4"/>
        <v>332.1</v>
      </c>
    </row>
    <row r="283">
      <c r="A283" s="702" t="s">
        <v>32995</v>
      </c>
      <c r="B283" s="702" t="s">
        <v>32997</v>
      </c>
      <c r="C283" s="707"/>
      <c r="D283" s="707"/>
      <c r="E283" s="708" t="s">
        <v>6360</v>
      </c>
      <c r="F283" s="709">
        <v>1000.0</v>
      </c>
      <c r="G283" s="708" t="s">
        <v>184</v>
      </c>
      <c r="H283" s="709">
        <v>219.0</v>
      </c>
      <c r="I283" s="709">
        <v>1000.0</v>
      </c>
      <c r="J283" s="705">
        <f t="shared" si="1"/>
        <v>220000</v>
      </c>
      <c r="K283" s="705">
        <f t="shared" si="2"/>
        <v>23000</v>
      </c>
      <c r="L283" s="705">
        <f t="shared" si="3"/>
        <v>243000</v>
      </c>
      <c r="M283" s="706">
        <f t="shared" si="4"/>
        <v>243</v>
      </c>
    </row>
    <row r="284">
      <c r="A284" s="702" t="s">
        <v>32995</v>
      </c>
      <c r="B284" s="702" t="s">
        <v>32997</v>
      </c>
      <c r="C284" s="707"/>
      <c r="D284" s="707"/>
      <c r="E284" s="708" t="s">
        <v>1749</v>
      </c>
      <c r="F284" s="709">
        <v>1000.0</v>
      </c>
      <c r="G284" s="708" t="s">
        <v>184</v>
      </c>
      <c r="H284" s="709">
        <v>46.0</v>
      </c>
      <c r="I284" s="709">
        <v>1000.0</v>
      </c>
      <c r="J284" s="705">
        <f t="shared" si="1"/>
        <v>47000</v>
      </c>
      <c r="K284" s="705">
        <f t="shared" si="2"/>
        <v>5700</v>
      </c>
      <c r="L284" s="705">
        <f t="shared" si="3"/>
        <v>52700</v>
      </c>
      <c r="M284" s="706">
        <f t="shared" si="4"/>
        <v>52.7</v>
      </c>
    </row>
    <row r="285">
      <c r="A285" s="702" t="s">
        <v>32995</v>
      </c>
      <c r="B285" s="702" t="s">
        <v>32997</v>
      </c>
      <c r="C285" s="707"/>
      <c r="D285" s="707"/>
      <c r="E285" s="708" t="s">
        <v>2482</v>
      </c>
      <c r="F285" s="709">
        <v>1000.0</v>
      </c>
      <c r="G285" s="708" t="s">
        <v>184</v>
      </c>
      <c r="H285" s="709">
        <v>52.0</v>
      </c>
      <c r="I285" s="709">
        <v>1000.0</v>
      </c>
      <c r="J285" s="705">
        <f t="shared" si="1"/>
        <v>53000</v>
      </c>
      <c r="K285" s="705">
        <f t="shared" si="2"/>
        <v>6300</v>
      </c>
      <c r="L285" s="705">
        <f t="shared" si="3"/>
        <v>59300</v>
      </c>
      <c r="M285" s="706">
        <f t="shared" si="4"/>
        <v>59.3</v>
      </c>
    </row>
    <row r="286">
      <c r="A286" s="702" t="s">
        <v>32995</v>
      </c>
      <c r="B286" s="702" t="s">
        <v>32997</v>
      </c>
      <c r="C286" s="707"/>
      <c r="D286" s="707"/>
      <c r="E286" s="708" t="s">
        <v>3705</v>
      </c>
      <c r="F286" s="709">
        <v>1000.0</v>
      </c>
      <c r="G286" s="708" t="s">
        <v>184</v>
      </c>
      <c r="H286" s="709">
        <v>68.0</v>
      </c>
      <c r="I286" s="709">
        <v>1000.0</v>
      </c>
      <c r="J286" s="705">
        <f t="shared" si="1"/>
        <v>69000</v>
      </c>
      <c r="K286" s="705">
        <f t="shared" si="2"/>
        <v>7900</v>
      </c>
      <c r="L286" s="705">
        <f t="shared" si="3"/>
        <v>76900</v>
      </c>
      <c r="M286" s="706">
        <f t="shared" si="4"/>
        <v>76.9</v>
      </c>
    </row>
    <row r="287">
      <c r="A287" s="702" t="s">
        <v>32995</v>
      </c>
      <c r="B287" s="702" t="s">
        <v>32998</v>
      </c>
      <c r="C287" s="707"/>
      <c r="D287" s="707"/>
      <c r="E287" s="708" t="s">
        <v>32999</v>
      </c>
      <c r="F287" s="709">
        <v>500.0</v>
      </c>
      <c r="G287" s="55" t="s">
        <v>14497</v>
      </c>
      <c r="H287" s="709">
        <v>89.0</v>
      </c>
      <c r="I287" s="709">
        <v>500.0</v>
      </c>
      <c r="J287" s="705">
        <f t="shared" si="1"/>
        <v>45000</v>
      </c>
      <c r="K287" s="705">
        <f t="shared" si="2"/>
        <v>5500</v>
      </c>
      <c r="L287" s="705">
        <f t="shared" si="3"/>
        <v>50500</v>
      </c>
      <c r="M287" s="706">
        <f t="shared" si="4"/>
        <v>101</v>
      </c>
    </row>
    <row r="288">
      <c r="A288" s="702" t="s">
        <v>32995</v>
      </c>
      <c r="B288" s="702" t="s">
        <v>32998</v>
      </c>
      <c r="C288" s="707"/>
      <c r="D288" s="707"/>
      <c r="E288" s="708" t="s">
        <v>32720</v>
      </c>
      <c r="F288" s="709">
        <v>1000.0</v>
      </c>
      <c r="G288" s="708" t="s">
        <v>14497</v>
      </c>
      <c r="H288" s="709">
        <v>5.2</v>
      </c>
      <c r="I288" s="709">
        <v>500.0</v>
      </c>
      <c r="J288" s="705">
        <f t="shared" si="1"/>
        <v>5700</v>
      </c>
      <c r="K288" s="705">
        <f t="shared" si="2"/>
        <v>1570</v>
      </c>
      <c r="L288" s="705">
        <f t="shared" si="3"/>
        <v>7270</v>
      </c>
      <c r="M288" s="706">
        <f t="shared" si="4"/>
        <v>7.27</v>
      </c>
    </row>
    <row r="289">
      <c r="A289" s="702" t="s">
        <v>32995</v>
      </c>
      <c r="B289" s="702" t="s">
        <v>32998</v>
      </c>
      <c r="C289" s="707"/>
      <c r="D289" s="707"/>
      <c r="E289" s="708" t="s">
        <v>501</v>
      </c>
      <c r="F289" s="709">
        <v>500.0</v>
      </c>
      <c r="G289" s="708" t="s">
        <v>14497</v>
      </c>
      <c r="H289" s="709">
        <v>10.5</v>
      </c>
      <c r="I289" s="709">
        <v>500.0</v>
      </c>
      <c r="J289" s="705">
        <f t="shared" si="1"/>
        <v>5750</v>
      </c>
      <c r="K289" s="705">
        <f t="shared" si="2"/>
        <v>1575</v>
      </c>
      <c r="L289" s="705">
        <f t="shared" si="3"/>
        <v>7325</v>
      </c>
      <c r="M289" s="706">
        <f t="shared" si="4"/>
        <v>14.65</v>
      </c>
    </row>
    <row r="290">
      <c r="A290" s="702" t="s">
        <v>32995</v>
      </c>
      <c r="B290" s="702" t="s">
        <v>32998</v>
      </c>
      <c r="C290" s="707"/>
      <c r="D290" s="707"/>
      <c r="E290" s="708" t="s">
        <v>1749</v>
      </c>
      <c r="F290" s="709">
        <v>2000.0</v>
      </c>
      <c r="G290" s="708" t="s">
        <v>14497</v>
      </c>
      <c r="H290" s="709">
        <v>46.0</v>
      </c>
      <c r="I290" s="709">
        <v>2000.0</v>
      </c>
      <c r="J290" s="705">
        <f t="shared" si="1"/>
        <v>94000</v>
      </c>
      <c r="K290" s="705">
        <f t="shared" si="2"/>
        <v>10400</v>
      </c>
      <c r="L290" s="705">
        <f t="shared" si="3"/>
        <v>104400</v>
      </c>
      <c r="M290" s="706">
        <f t="shared" si="4"/>
        <v>52.2</v>
      </c>
    </row>
    <row r="291">
      <c r="A291" s="702" t="s">
        <v>32995</v>
      </c>
      <c r="B291" s="702" t="s">
        <v>33000</v>
      </c>
      <c r="C291" s="707"/>
      <c r="D291" s="707"/>
      <c r="E291" s="708" t="s">
        <v>13519</v>
      </c>
      <c r="F291" s="709">
        <v>10000.0</v>
      </c>
      <c r="G291" s="708" t="s">
        <v>99</v>
      </c>
      <c r="H291" s="709">
        <v>4.0</v>
      </c>
      <c r="I291" s="709"/>
      <c r="J291" s="705">
        <f t="shared" si="1"/>
        <v>40000</v>
      </c>
      <c r="K291" s="705">
        <f t="shared" si="2"/>
        <v>5000</v>
      </c>
      <c r="L291" s="705">
        <f t="shared" si="3"/>
        <v>45000</v>
      </c>
      <c r="M291" s="706">
        <f t="shared" si="4"/>
        <v>4.5</v>
      </c>
    </row>
    <row r="292">
      <c r="A292" s="702" t="s">
        <v>32995</v>
      </c>
      <c r="B292" s="702" t="s">
        <v>33001</v>
      </c>
      <c r="C292" s="707"/>
      <c r="D292" s="707"/>
      <c r="E292" s="708" t="s">
        <v>568</v>
      </c>
      <c r="F292" s="709">
        <v>10000.0</v>
      </c>
      <c r="G292" s="708" t="s">
        <v>977</v>
      </c>
      <c r="H292" s="709">
        <v>15.5</v>
      </c>
      <c r="I292" s="709"/>
      <c r="J292" s="705">
        <f t="shared" si="1"/>
        <v>155000</v>
      </c>
      <c r="K292" s="705">
        <f t="shared" si="2"/>
        <v>16500</v>
      </c>
      <c r="L292" s="705">
        <f t="shared" si="3"/>
        <v>171500</v>
      </c>
      <c r="M292" s="706">
        <f t="shared" si="4"/>
        <v>17.15</v>
      </c>
    </row>
    <row r="293">
      <c r="A293" s="702" t="s">
        <v>32995</v>
      </c>
      <c r="B293" s="702" t="s">
        <v>33002</v>
      </c>
      <c r="C293" s="707"/>
      <c r="D293" s="707"/>
      <c r="E293" s="708" t="s">
        <v>1675</v>
      </c>
      <c r="F293" s="709">
        <v>2000.0</v>
      </c>
      <c r="G293" s="708" t="s">
        <v>906</v>
      </c>
      <c r="H293" s="709">
        <v>260.0</v>
      </c>
      <c r="I293" s="709">
        <v>2000.0</v>
      </c>
      <c r="J293" s="705">
        <f t="shared" si="1"/>
        <v>522000</v>
      </c>
      <c r="K293" s="705">
        <f t="shared" si="2"/>
        <v>53200</v>
      </c>
      <c r="L293" s="705">
        <f t="shared" si="3"/>
        <v>575200</v>
      </c>
      <c r="M293" s="706">
        <f t="shared" si="4"/>
        <v>287.6</v>
      </c>
    </row>
    <row r="294">
      <c r="A294" s="702" t="s">
        <v>32995</v>
      </c>
      <c r="B294" s="702" t="s">
        <v>33003</v>
      </c>
      <c r="C294" s="707"/>
      <c r="D294" s="707"/>
      <c r="E294" s="708" t="s">
        <v>1230</v>
      </c>
      <c r="F294" s="709">
        <v>100000.0</v>
      </c>
      <c r="G294" s="708" t="s">
        <v>472</v>
      </c>
      <c r="H294" s="709">
        <v>4.6</v>
      </c>
      <c r="I294" s="709"/>
      <c r="J294" s="705">
        <f t="shared" si="1"/>
        <v>460000</v>
      </c>
      <c r="K294" s="705">
        <f t="shared" si="2"/>
        <v>47000</v>
      </c>
      <c r="L294" s="705">
        <f t="shared" si="3"/>
        <v>507000</v>
      </c>
      <c r="M294" s="706">
        <f t="shared" si="4"/>
        <v>5.07</v>
      </c>
    </row>
    <row r="295">
      <c r="A295" s="702" t="s">
        <v>32995</v>
      </c>
      <c r="B295" s="702" t="s">
        <v>33004</v>
      </c>
      <c r="C295" s="707"/>
      <c r="D295" s="707"/>
      <c r="E295" s="708" t="s">
        <v>894</v>
      </c>
      <c r="F295" s="709">
        <v>10000.0</v>
      </c>
      <c r="G295" s="708" t="s">
        <v>20765</v>
      </c>
      <c r="H295" s="709">
        <v>11.0</v>
      </c>
      <c r="I295" s="709"/>
      <c r="J295" s="705">
        <f t="shared" si="1"/>
        <v>110000</v>
      </c>
      <c r="K295" s="705">
        <f t="shared" si="2"/>
        <v>12000</v>
      </c>
      <c r="L295" s="705">
        <f t="shared" si="3"/>
        <v>122000</v>
      </c>
      <c r="M295" s="706">
        <f t="shared" si="4"/>
        <v>12.2</v>
      </c>
    </row>
    <row r="296">
      <c r="A296" s="702" t="s">
        <v>33005</v>
      </c>
      <c r="B296" s="702" t="s">
        <v>33006</v>
      </c>
      <c r="C296" s="707"/>
      <c r="D296" s="707"/>
      <c r="E296" s="708" t="s">
        <v>178</v>
      </c>
      <c r="F296" s="709">
        <v>1000000.0</v>
      </c>
      <c r="G296" s="708" t="s">
        <v>1082</v>
      </c>
      <c r="H296" s="709">
        <v>4.6</v>
      </c>
      <c r="I296" s="709"/>
      <c r="J296" s="705">
        <f t="shared" si="1"/>
        <v>4600000</v>
      </c>
      <c r="K296" s="705">
        <f t="shared" si="2"/>
        <v>461000</v>
      </c>
      <c r="L296" s="705">
        <f t="shared" si="3"/>
        <v>5061000</v>
      </c>
      <c r="M296" s="706">
        <f t="shared" si="4"/>
        <v>5.061</v>
      </c>
    </row>
    <row r="297">
      <c r="A297" s="702" t="s">
        <v>33005</v>
      </c>
      <c r="B297" s="702" t="s">
        <v>33007</v>
      </c>
      <c r="C297" s="707"/>
      <c r="D297" s="707"/>
      <c r="E297" s="708" t="s">
        <v>1230</v>
      </c>
      <c r="F297" s="709">
        <v>500000.0</v>
      </c>
      <c r="G297" s="708" t="s">
        <v>472</v>
      </c>
      <c r="H297" s="709">
        <v>4.6</v>
      </c>
      <c r="I297" s="709"/>
      <c r="J297" s="705">
        <f t="shared" si="1"/>
        <v>2300000</v>
      </c>
      <c r="K297" s="705">
        <f t="shared" si="2"/>
        <v>231000</v>
      </c>
      <c r="L297" s="705">
        <f t="shared" si="3"/>
        <v>2531000</v>
      </c>
      <c r="M297" s="706">
        <f t="shared" si="4"/>
        <v>5.062</v>
      </c>
    </row>
    <row r="298">
      <c r="A298" s="702" t="s">
        <v>33008</v>
      </c>
      <c r="B298" s="702" t="s">
        <v>33009</v>
      </c>
      <c r="C298" s="707"/>
      <c r="D298" s="707"/>
      <c r="E298" s="708" t="s">
        <v>33010</v>
      </c>
      <c r="F298" s="709" t="s">
        <v>33011</v>
      </c>
      <c r="G298" s="708"/>
      <c r="H298" s="709">
        <v>5.5</v>
      </c>
      <c r="I298" s="709"/>
      <c r="J298" s="705" t="str">
        <f t="shared" si="1"/>
        <v>#VALUE!</v>
      </c>
      <c r="K298" s="705" t="str">
        <f t="shared" si="2"/>
        <v>#VALUE!</v>
      </c>
      <c r="L298" s="705" t="str">
        <f t="shared" si="3"/>
        <v>#VALUE!</v>
      </c>
      <c r="M298" s="706" t="str">
        <f t="shared" si="4"/>
        <v>#VALUE!</v>
      </c>
    </row>
    <row r="299">
      <c r="A299" s="702" t="s">
        <v>33008</v>
      </c>
      <c r="B299" s="702" t="s">
        <v>13732</v>
      </c>
      <c r="C299" s="707"/>
      <c r="D299" s="707"/>
      <c r="E299" s="708" t="s">
        <v>501</v>
      </c>
      <c r="F299" s="709">
        <v>500.0</v>
      </c>
      <c r="G299" s="708" t="s">
        <v>158</v>
      </c>
      <c r="H299" s="709">
        <v>10.5</v>
      </c>
      <c r="I299" s="709">
        <v>500.0</v>
      </c>
      <c r="J299" s="705">
        <f t="shared" si="1"/>
        <v>5750</v>
      </c>
      <c r="K299" s="705">
        <f t="shared" si="2"/>
        <v>1575</v>
      </c>
      <c r="L299" s="705">
        <f t="shared" si="3"/>
        <v>7325</v>
      </c>
      <c r="M299" s="706">
        <f t="shared" si="4"/>
        <v>14.65</v>
      </c>
    </row>
    <row r="300">
      <c r="A300" s="702" t="s">
        <v>33008</v>
      </c>
      <c r="B300" s="702" t="s">
        <v>13732</v>
      </c>
      <c r="C300" s="707"/>
      <c r="D300" s="707"/>
      <c r="E300" s="708" t="s">
        <v>3165</v>
      </c>
      <c r="F300" s="709">
        <v>100.0</v>
      </c>
      <c r="G300" s="708" t="s">
        <v>158</v>
      </c>
      <c r="H300" s="709">
        <v>92.0</v>
      </c>
      <c r="I300" s="709">
        <v>250.0</v>
      </c>
      <c r="J300" s="705">
        <f t="shared" si="1"/>
        <v>9450</v>
      </c>
      <c r="K300" s="705">
        <f t="shared" si="2"/>
        <v>1945</v>
      </c>
      <c r="L300" s="705">
        <f t="shared" si="3"/>
        <v>11395</v>
      </c>
      <c r="M300" s="706">
        <f t="shared" si="4"/>
        <v>113.95</v>
      </c>
    </row>
    <row r="301">
      <c r="A301" s="702" t="s">
        <v>33008</v>
      </c>
      <c r="B301" s="702" t="s">
        <v>13732</v>
      </c>
      <c r="C301" s="707"/>
      <c r="D301" s="707"/>
      <c r="E301" s="708" t="s">
        <v>1749</v>
      </c>
      <c r="F301" s="709">
        <v>1000.0</v>
      </c>
      <c r="G301" s="708" t="s">
        <v>158</v>
      </c>
      <c r="H301" s="709">
        <v>46.0</v>
      </c>
      <c r="I301" s="709">
        <v>1000.0</v>
      </c>
      <c r="J301" s="705">
        <f t="shared" si="1"/>
        <v>47000</v>
      </c>
      <c r="K301" s="705">
        <f t="shared" si="2"/>
        <v>5700</v>
      </c>
      <c r="L301" s="705">
        <f t="shared" si="3"/>
        <v>52700</v>
      </c>
      <c r="M301" s="706">
        <f t="shared" si="4"/>
        <v>52.7</v>
      </c>
    </row>
    <row r="302">
      <c r="A302" s="702" t="s">
        <v>33008</v>
      </c>
      <c r="B302" s="702" t="s">
        <v>33012</v>
      </c>
      <c r="C302" s="707"/>
      <c r="D302" s="707"/>
      <c r="E302" s="708" t="s">
        <v>31</v>
      </c>
      <c r="F302" s="709">
        <v>60000.0</v>
      </c>
      <c r="G302" s="708" t="s">
        <v>20765</v>
      </c>
      <c r="H302" s="709">
        <v>4.5</v>
      </c>
      <c r="I302" s="709"/>
      <c r="J302" s="705">
        <f t="shared" si="1"/>
        <v>270000</v>
      </c>
      <c r="K302" s="705">
        <f t="shared" si="2"/>
        <v>28000</v>
      </c>
      <c r="L302" s="705">
        <f t="shared" si="3"/>
        <v>298000</v>
      </c>
      <c r="M302" s="706">
        <f t="shared" si="4"/>
        <v>4.966666667</v>
      </c>
    </row>
    <row r="303">
      <c r="A303" s="702" t="s">
        <v>33008</v>
      </c>
      <c r="B303" s="702" t="s">
        <v>13776</v>
      </c>
      <c r="C303" s="707"/>
      <c r="D303" s="707"/>
      <c r="E303" s="708" t="s">
        <v>18774</v>
      </c>
      <c r="F303" s="709">
        <v>200000.0</v>
      </c>
      <c r="G303" s="708" t="s">
        <v>8037</v>
      </c>
      <c r="H303" s="709">
        <v>25.0</v>
      </c>
      <c r="I303" s="709"/>
      <c r="J303" s="705">
        <f t="shared" si="1"/>
        <v>5000000</v>
      </c>
      <c r="K303" s="705">
        <f t="shared" si="2"/>
        <v>501000</v>
      </c>
      <c r="L303" s="705">
        <f t="shared" si="3"/>
        <v>5501000</v>
      </c>
      <c r="M303" s="706">
        <f t="shared" si="4"/>
        <v>27.505</v>
      </c>
    </row>
    <row r="304">
      <c r="A304" s="702" t="s">
        <v>33013</v>
      </c>
      <c r="B304" s="702" t="s">
        <v>33014</v>
      </c>
      <c r="C304" s="707"/>
      <c r="D304" s="707"/>
      <c r="E304" s="708" t="s">
        <v>92</v>
      </c>
      <c r="F304" s="709">
        <v>500.0</v>
      </c>
      <c r="G304" s="708" t="s">
        <v>268</v>
      </c>
      <c r="H304" s="709">
        <v>90.25</v>
      </c>
      <c r="I304" s="709">
        <v>700.0</v>
      </c>
      <c r="J304" s="705">
        <f t="shared" si="1"/>
        <v>45825</v>
      </c>
      <c r="K304" s="705">
        <f t="shared" si="2"/>
        <v>5582.5</v>
      </c>
      <c r="L304" s="705">
        <f t="shared" si="3"/>
        <v>51407.5</v>
      </c>
      <c r="M304" s="706">
        <f t="shared" si="4"/>
        <v>102.815</v>
      </c>
    </row>
    <row r="305">
      <c r="A305" s="702" t="s">
        <v>33013</v>
      </c>
      <c r="B305" s="702" t="s">
        <v>33014</v>
      </c>
      <c r="C305" s="707"/>
      <c r="D305" s="707"/>
      <c r="E305" s="708" t="s">
        <v>19459</v>
      </c>
      <c r="F305" s="709">
        <v>500.0</v>
      </c>
      <c r="G305" s="708" t="s">
        <v>268</v>
      </c>
      <c r="H305" s="709">
        <v>29.5</v>
      </c>
      <c r="I305" s="709">
        <v>700.0</v>
      </c>
      <c r="J305" s="705">
        <f t="shared" si="1"/>
        <v>15450</v>
      </c>
      <c r="K305" s="705">
        <f t="shared" si="2"/>
        <v>2545</v>
      </c>
      <c r="L305" s="705">
        <f t="shared" si="3"/>
        <v>17995</v>
      </c>
      <c r="M305" s="706">
        <f t="shared" si="4"/>
        <v>35.99</v>
      </c>
    </row>
    <row r="306">
      <c r="A306" s="702" t="s">
        <v>33013</v>
      </c>
      <c r="B306" s="702" t="s">
        <v>33015</v>
      </c>
      <c r="C306" s="707"/>
      <c r="D306" s="707"/>
      <c r="E306" s="708" t="s">
        <v>1373</v>
      </c>
      <c r="F306" s="709">
        <v>5000.0</v>
      </c>
      <c r="G306" s="708" t="s">
        <v>4514</v>
      </c>
      <c r="H306" s="709">
        <v>13.2</v>
      </c>
      <c r="I306" s="709">
        <v>5000.0</v>
      </c>
      <c r="J306" s="705">
        <f t="shared" si="1"/>
        <v>71000</v>
      </c>
      <c r="K306" s="705">
        <f t="shared" si="2"/>
        <v>8100</v>
      </c>
      <c r="L306" s="705">
        <f t="shared" si="3"/>
        <v>79100</v>
      </c>
      <c r="M306" s="706">
        <f t="shared" si="4"/>
        <v>15.82</v>
      </c>
    </row>
    <row r="307">
      <c r="A307" s="702" t="s">
        <v>33013</v>
      </c>
      <c r="B307" s="702" t="s">
        <v>33016</v>
      </c>
      <c r="C307" s="707"/>
      <c r="D307" s="707"/>
      <c r="E307" s="708" t="s">
        <v>1320</v>
      </c>
      <c r="F307" s="709">
        <v>10000.0</v>
      </c>
      <c r="G307" s="708" t="s">
        <v>158</v>
      </c>
      <c r="H307" s="709">
        <v>39.5</v>
      </c>
      <c r="I307" s="709"/>
      <c r="J307" s="705">
        <f t="shared" si="1"/>
        <v>395000</v>
      </c>
      <c r="K307" s="705">
        <f t="shared" si="2"/>
        <v>40500</v>
      </c>
      <c r="L307" s="705">
        <f t="shared" si="3"/>
        <v>435500</v>
      </c>
      <c r="M307" s="706">
        <f t="shared" si="4"/>
        <v>43.55</v>
      </c>
    </row>
    <row r="308">
      <c r="A308" s="702" t="s">
        <v>33013</v>
      </c>
      <c r="B308" s="702" t="s">
        <v>13858</v>
      </c>
      <c r="C308" s="707"/>
      <c r="D308" s="707"/>
      <c r="E308" s="708" t="s">
        <v>2622</v>
      </c>
      <c r="F308" s="709">
        <v>2000.0</v>
      </c>
      <c r="G308" s="708"/>
      <c r="H308" s="709">
        <v>22.5</v>
      </c>
      <c r="I308" s="709">
        <v>2000.0</v>
      </c>
      <c r="J308" s="705">
        <f t="shared" si="1"/>
        <v>47000</v>
      </c>
      <c r="K308" s="705">
        <f t="shared" si="2"/>
        <v>5700</v>
      </c>
      <c r="L308" s="705">
        <f t="shared" si="3"/>
        <v>52700</v>
      </c>
      <c r="M308" s="706">
        <f t="shared" si="4"/>
        <v>26.35</v>
      </c>
    </row>
    <row r="309">
      <c r="A309" s="702" t="s">
        <v>33013</v>
      </c>
      <c r="B309" s="702" t="s">
        <v>13858</v>
      </c>
      <c r="C309" s="707"/>
      <c r="D309" s="707"/>
      <c r="E309" s="708" t="s">
        <v>1309</v>
      </c>
      <c r="F309" s="709">
        <v>6000.0</v>
      </c>
      <c r="G309" s="708"/>
      <c r="H309" s="709">
        <v>10.0</v>
      </c>
      <c r="I309" s="709">
        <v>6000.0</v>
      </c>
      <c r="J309" s="705">
        <f t="shared" si="1"/>
        <v>66000</v>
      </c>
      <c r="K309" s="705">
        <f t="shared" si="2"/>
        <v>7600</v>
      </c>
      <c r="L309" s="705">
        <f t="shared" si="3"/>
        <v>73600</v>
      </c>
      <c r="M309" s="706">
        <f t="shared" si="4"/>
        <v>12.26666667</v>
      </c>
    </row>
    <row r="310">
      <c r="A310" s="702" t="s">
        <v>33013</v>
      </c>
      <c r="B310" s="702" t="s">
        <v>13858</v>
      </c>
      <c r="C310" s="707"/>
      <c r="D310" s="707"/>
      <c r="E310" s="708" t="s">
        <v>31</v>
      </c>
      <c r="F310" s="709">
        <v>8000.0</v>
      </c>
      <c r="G310" s="708"/>
      <c r="H310" s="709">
        <v>4.5</v>
      </c>
      <c r="I310" s="709">
        <v>8000.0</v>
      </c>
      <c r="J310" s="705">
        <f t="shared" si="1"/>
        <v>44000</v>
      </c>
      <c r="K310" s="705">
        <f t="shared" si="2"/>
        <v>5400</v>
      </c>
      <c r="L310" s="705">
        <f t="shared" si="3"/>
        <v>49400</v>
      </c>
      <c r="M310" s="706">
        <f t="shared" si="4"/>
        <v>6.175</v>
      </c>
    </row>
    <row r="311">
      <c r="A311" s="702" t="s">
        <v>33013</v>
      </c>
      <c r="B311" s="702" t="s">
        <v>33017</v>
      </c>
      <c r="C311" s="707"/>
      <c r="D311" s="707"/>
      <c r="E311" s="708" t="s">
        <v>33018</v>
      </c>
      <c r="F311" s="709">
        <v>1000.0</v>
      </c>
      <c r="G311" s="708"/>
      <c r="H311" s="709">
        <v>10.5</v>
      </c>
      <c r="I311" s="709">
        <v>1000.0</v>
      </c>
      <c r="J311" s="705">
        <f t="shared" si="1"/>
        <v>11500</v>
      </c>
      <c r="K311" s="705">
        <f t="shared" si="2"/>
        <v>2150</v>
      </c>
      <c r="L311" s="705">
        <f t="shared" si="3"/>
        <v>13650</v>
      </c>
      <c r="M311" s="706">
        <f t="shared" si="4"/>
        <v>13.65</v>
      </c>
    </row>
    <row r="312">
      <c r="A312" s="702" t="s">
        <v>33013</v>
      </c>
      <c r="B312" s="96" t="s">
        <v>13887</v>
      </c>
      <c r="C312" s="707"/>
      <c r="D312" s="707"/>
      <c r="E312" s="708" t="s">
        <v>33019</v>
      </c>
      <c r="F312" s="709">
        <v>15000.0</v>
      </c>
      <c r="G312" s="708" t="s">
        <v>44</v>
      </c>
      <c r="H312" s="709">
        <v>14.0</v>
      </c>
      <c r="I312" s="709"/>
      <c r="J312" s="705">
        <f t="shared" si="1"/>
        <v>210000</v>
      </c>
      <c r="K312" s="705">
        <f t="shared" si="2"/>
        <v>22000</v>
      </c>
      <c r="L312" s="705">
        <f t="shared" si="3"/>
        <v>232000</v>
      </c>
      <c r="M312" s="706">
        <f t="shared" si="4"/>
        <v>15.46666667</v>
      </c>
    </row>
    <row r="313">
      <c r="A313" s="702" t="s">
        <v>33013</v>
      </c>
      <c r="B313" s="96" t="s">
        <v>13887</v>
      </c>
      <c r="C313" s="707"/>
      <c r="D313" s="707"/>
      <c r="E313" s="708" t="s">
        <v>33020</v>
      </c>
      <c r="F313" s="709">
        <v>15000.0</v>
      </c>
      <c r="G313" s="708" t="s">
        <v>44</v>
      </c>
      <c r="H313" s="709">
        <v>5.2</v>
      </c>
      <c r="I313" s="709"/>
      <c r="J313" s="705">
        <f t="shared" si="1"/>
        <v>78000</v>
      </c>
      <c r="K313" s="705">
        <f t="shared" si="2"/>
        <v>8800</v>
      </c>
      <c r="L313" s="705">
        <f t="shared" si="3"/>
        <v>86800</v>
      </c>
      <c r="M313" s="706">
        <f t="shared" si="4"/>
        <v>5.786666667</v>
      </c>
    </row>
    <row r="314">
      <c r="A314" s="702" t="s">
        <v>33013</v>
      </c>
      <c r="B314" s="96" t="s">
        <v>13887</v>
      </c>
      <c r="C314" s="707"/>
      <c r="D314" s="707"/>
      <c r="E314" s="708" t="s">
        <v>33021</v>
      </c>
      <c r="F314" s="709">
        <v>15000.0</v>
      </c>
      <c r="G314" s="708" t="s">
        <v>44</v>
      </c>
      <c r="H314" s="709">
        <v>92.0</v>
      </c>
      <c r="I314" s="709"/>
      <c r="J314" s="705">
        <f t="shared" si="1"/>
        <v>1380000</v>
      </c>
      <c r="K314" s="705">
        <f t="shared" si="2"/>
        <v>139000</v>
      </c>
      <c r="L314" s="705">
        <f t="shared" si="3"/>
        <v>1519000</v>
      </c>
      <c r="M314" s="706">
        <f t="shared" si="4"/>
        <v>101.2666667</v>
      </c>
    </row>
    <row r="315">
      <c r="A315" s="702" t="s">
        <v>33013</v>
      </c>
      <c r="B315" s="96" t="s">
        <v>13887</v>
      </c>
      <c r="C315" s="707"/>
      <c r="D315" s="707"/>
      <c r="E315" s="708" t="s">
        <v>33022</v>
      </c>
      <c r="F315" s="709">
        <v>1000.0</v>
      </c>
      <c r="G315" s="708" t="s">
        <v>44</v>
      </c>
      <c r="H315" s="709">
        <v>160.0</v>
      </c>
      <c r="I315" s="709"/>
      <c r="J315" s="705">
        <f t="shared" si="1"/>
        <v>160000</v>
      </c>
      <c r="K315" s="705">
        <f t="shared" si="2"/>
        <v>17000</v>
      </c>
      <c r="L315" s="705">
        <f t="shared" si="3"/>
        <v>177000</v>
      </c>
      <c r="M315" s="706">
        <f t="shared" si="4"/>
        <v>177</v>
      </c>
    </row>
    <row r="316">
      <c r="A316" s="702" t="s">
        <v>33013</v>
      </c>
      <c r="B316" s="96" t="s">
        <v>13887</v>
      </c>
      <c r="C316" s="707"/>
      <c r="D316" s="707"/>
      <c r="E316" s="708" t="s">
        <v>33018</v>
      </c>
      <c r="F316" s="709">
        <v>15000.0</v>
      </c>
      <c r="G316" s="708" t="s">
        <v>44</v>
      </c>
      <c r="H316" s="709">
        <v>10.5</v>
      </c>
      <c r="I316" s="709"/>
      <c r="J316" s="705">
        <f t="shared" si="1"/>
        <v>157500</v>
      </c>
      <c r="K316" s="705">
        <f t="shared" si="2"/>
        <v>16750</v>
      </c>
      <c r="L316" s="705">
        <f t="shared" si="3"/>
        <v>174250</v>
      </c>
      <c r="M316" s="706">
        <f t="shared" si="4"/>
        <v>11.61666667</v>
      </c>
    </row>
    <row r="317">
      <c r="A317" s="702" t="s">
        <v>33013</v>
      </c>
      <c r="B317" s="96" t="s">
        <v>13887</v>
      </c>
      <c r="C317" s="707"/>
      <c r="D317" s="707"/>
      <c r="E317" s="708" t="s">
        <v>2622</v>
      </c>
      <c r="F317" s="709">
        <v>15000.0</v>
      </c>
      <c r="G317" s="708" t="s">
        <v>44</v>
      </c>
      <c r="H317" s="709">
        <v>22.5</v>
      </c>
      <c r="I317" s="709"/>
      <c r="J317" s="705">
        <f t="shared" si="1"/>
        <v>337500</v>
      </c>
      <c r="K317" s="705">
        <f t="shared" si="2"/>
        <v>34750</v>
      </c>
      <c r="L317" s="705">
        <f t="shared" si="3"/>
        <v>372250</v>
      </c>
      <c r="M317" s="706">
        <f t="shared" si="4"/>
        <v>24.81666667</v>
      </c>
    </row>
    <row r="318">
      <c r="A318" s="702" t="s">
        <v>33023</v>
      </c>
      <c r="B318" s="702" t="s">
        <v>33024</v>
      </c>
      <c r="C318" s="707"/>
      <c r="D318" s="707"/>
      <c r="E318" s="708" t="s">
        <v>1902</v>
      </c>
      <c r="F318" s="709">
        <v>50.0</v>
      </c>
      <c r="G318" s="708" t="s">
        <v>44</v>
      </c>
      <c r="H318" s="709">
        <v>27.0</v>
      </c>
      <c r="I318" s="709">
        <v>200.0</v>
      </c>
      <c r="J318" s="705">
        <f t="shared" si="1"/>
        <v>1550</v>
      </c>
      <c r="K318" s="705">
        <f t="shared" si="2"/>
        <v>1155</v>
      </c>
      <c r="L318" s="705">
        <f t="shared" si="3"/>
        <v>2705</v>
      </c>
      <c r="M318" s="706">
        <f t="shared" si="4"/>
        <v>54.1</v>
      </c>
    </row>
    <row r="319">
      <c r="A319" s="702" t="s">
        <v>33023</v>
      </c>
      <c r="B319" s="702" t="s">
        <v>33024</v>
      </c>
      <c r="C319" s="707"/>
      <c r="D319" s="707"/>
      <c r="E319" s="708" t="s">
        <v>6421</v>
      </c>
      <c r="F319" s="709">
        <v>200.0</v>
      </c>
      <c r="G319" s="708" t="s">
        <v>44</v>
      </c>
      <c r="H319" s="709">
        <v>7.0</v>
      </c>
      <c r="I319" s="709">
        <v>300.0</v>
      </c>
      <c r="J319" s="705">
        <f t="shared" si="1"/>
        <v>1700</v>
      </c>
      <c r="K319" s="705">
        <f t="shared" si="2"/>
        <v>1170</v>
      </c>
      <c r="L319" s="705">
        <f t="shared" si="3"/>
        <v>2870</v>
      </c>
      <c r="M319" s="706">
        <f t="shared" si="4"/>
        <v>14.35</v>
      </c>
    </row>
    <row r="320">
      <c r="A320" s="702" t="s">
        <v>33023</v>
      </c>
      <c r="B320" s="702" t="s">
        <v>33025</v>
      </c>
      <c r="C320" s="707"/>
      <c r="D320" s="707"/>
      <c r="E320" s="708" t="s">
        <v>178</v>
      </c>
      <c r="F320" s="709">
        <v>5000.0</v>
      </c>
      <c r="G320" s="708" t="s">
        <v>44</v>
      </c>
      <c r="H320" s="709">
        <v>4.6</v>
      </c>
      <c r="I320" s="709">
        <v>5000.0</v>
      </c>
      <c r="J320" s="705">
        <f t="shared" si="1"/>
        <v>28000</v>
      </c>
      <c r="K320" s="705">
        <f t="shared" si="2"/>
        <v>3800</v>
      </c>
      <c r="L320" s="705">
        <f t="shared" si="3"/>
        <v>31800</v>
      </c>
      <c r="M320" s="706">
        <f t="shared" si="4"/>
        <v>6.36</v>
      </c>
    </row>
    <row r="321">
      <c r="A321" s="702" t="s">
        <v>33023</v>
      </c>
      <c r="B321" s="702" t="s">
        <v>33026</v>
      </c>
      <c r="C321" s="707"/>
      <c r="D321" s="707"/>
      <c r="E321" s="708" t="s">
        <v>152</v>
      </c>
      <c r="F321" s="709">
        <v>2000.0</v>
      </c>
      <c r="G321" s="708" t="s">
        <v>617</v>
      </c>
      <c r="H321" s="709">
        <v>19.0</v>
      </c>
      <c r="I321" s="709">
        <v>2000.0</v>
      </c>
      <c r="J321" s="705">
        <f t="shared" si="1"/>
        <v>40000</v>
      </c>
      <c r="K321" s="705">
        <f t="shared" si="2"/>
        <v>5000</v>
      </c>
      <c r="L321" s="705">
        <f t="shared" si="3"/>
        <v>45000</v>
      </c>
      <c r="M321" s="706">
        <f t="shared" si="4"/>
        <v>22.5</v>
      </c>
    </row>
    <row r="322">
      <c r="A322" s="702" t="s">
        <v>33027</v>
      </c>
      <c r="B322" s="96" t="s">
        <v>14025</v>
      </c>
      <c r="C322" s="707"/>
      <c r="D322" s="707"/>
      <c r="E322" s="708" t="s">
        <v>32720</v>
      </c>
      <c r="F322" s="709">
        <v>500.0</v>
      </c>
      <c r="G322" s="708" t="s">
        <v>33028</v>
      </c>
      <c r="H322" s="709">
        <v>5.2</v>
      </c>
      <c r="I322" s="709">
        <v>500.0</v>
      </c>
      <c r="J322" s="705">
        <f t="shared" si="1"/>
        <v>3100</v>
      </c>
      <c r="K322" s="705">
        <f t="shared" si="2"/>
        <v>1310</v>
      </c>
      <c r="L322" s="705">
        <f t="shared" si="3"/>
        <v>4410</v>
      </c>
      <c r="M322" s="706">
        <f t="shared" si="4"/>
        <v>8.82</v>
      </c>
    </row>
    <row r="323">
      <c r="A323" s="702" t="s">
        <v>33027</v>
      </c>
      <c r="B323" s="96" t="s">
        <v>14025</v>
      </c>
      <c r="C323" s="707"/>
      <c r="D323" s="707"/>
      <c r="E323" s="708" t="s">
        <v>3634</v>
      </c>
      <c r="F323" s="709">
        <v>500.0</v>
      </c>
      <c r="G323" s="708" t="s">
        <v>33028</v>
      </c>
      <c r="H323" s="709">
        <v>29.5</v>
      </c>
      <c r="I323" s="709">
        <v>500.0</v>
      </c>
      <c r="J323" s="705">
        <f t="shared" si="1"/>
        <v>15250</v>
      </c>
      <c r="K323" s="705">
        <f t="shared" si="2"/>
        <v>2525</v>
      </c>
      <c r="L323" s="705">
        <f t="shared" si="3"/>
        <v>17775</v>
      </c>
      <c r="M323" s="706">
        <f t="shared" si="4"/>
        <v>35.55</v>
      </c>
    </row>
    <row r="324">
      <c r="A324" s="702" t="s">
        <v>33027</v>
      </c>
      <c r="B324" s="96" t="s">
        <v>14025</v>
      </c>
      <c r="C324" s="707"/>
      <c r="D324" s="707"/>
      <c r="E324" s="708" t="s">
        <v>32795</v>
      </c>
      <c r="F324" s="709">
        <v>500.0</v>
      </c>
      <c r="G324" s="708" t="s">
        <v>33028</v>
      </c>
      <c r="H324" s="709">
        <v>46.0</v>
      </c>
      <c r="I324" s="709">
        <v>500.0</v>
      </c>
      <c r="J324" s="705">
        <f t="shared" si="1"/>
        <v>23500</v>
      </c>
      <c r="K324" s="705">
        <f t="shared" si="2"/>
        <v>3350</v>
      </c>
      <c r="L324" s="705">
        <f t="shared" si="3"/>
        <v>26850</v>
      </c>
      <c r="M324" s="706">
        <f t="shared" si="4"/>
        <v>53.7</v>
      </c>
    </row>
    <row r="325">
      <c r="A325" s="702" t="s">
        <v>33027</v>
      </c>
      <c r="B325" s="96" t="s">
        <v>14025</v>
      </c>
      <c r="C325" s="707"/>
      <c r="D325" s="707"/>
      <c r="E325" s="708" t="s">
        <v>501</v>
      </c>
      <c r="F325" s="709">
        <v>500.0</v>
      </c>
      <c r="G325" s="708" t="s">
        <v>33028</v>
      </c>
      <c r="H325" s="709">
        <v>10.5</v>
      </c>
      <c r="I325" s="709">
        <v>500.0</v>
      </c>
      <c r="J325" s="705">
        <f t="shared" si="1"/>
        <v>5750</v>
      </c>
      <c r="K325" s="705">
        <f t="shared" si="2"/>
        <v>1575</v>
      </c>
      <c r="L325" s="705">
        <f t="shared" si="3"/>
        <v>7325</v>
      </c>
      <c r="M325" s="706">
        <f t="shared" si="4"/>
        <v>14.65</v>
      </c>
    </row>
    <row r="326">
      <c r="A326" s="702" t="s">
        <v>33027</v>
      </c>
      <c r="B326" s="702" t="s">
        <v>14015</v>
      </c>
      <c r="C326" s="707"/>
      <c r="D326" s="707"/>
      <c r="E326" s="708" t="s">
        <v>33029</v>
      </c>
      <c r="F326" s="709">
        <v>50.0</v>
      </c>
      <c r="G326" s="708" t="s">
        <v>44</v>
      </c>
      <c r="H326" s="709">
        <v>160.0</v>
      </c>
      <c r="I326" s="709">
        <v>250.0</v>
      </c>
      <c r="J326" s="705">
        <f t="shared" si="1"/>
        <v>8250</v>
      </c>
      <c r="K326" s="705">
        <f t="shared" si="2"/>
        <v>1825</v>
      </c>
      <c r="L326" s="705">
        <f t="shared" si="3"/>
        <v>10075</v>
      </c>
      <c r="M326" s="706">
        <f t="shared" si="4"/>
        <v>201.5</v>
      </c>
    </row>
    <row r="327">
      <c r="A327" s="702" t="s">
        <v>33027</v>
      </c>
      <c r="B327" s="702" t="s">
        <v>14015</v>
      </c>
      <c r="C327" s="707"/>
      <c r="D327" s="707"/>
      <c r="E327" s="708" t="s">
        <v>33030</v>
      </c>
      <c r="F327" s="709">
        <v>200.0</v>
      </c>
      <c r="G327" s="708" t="s">
        <v>44</v>
      </c>
      <c r="H327" s="709">
        <v>46.0</v>
      </c>
      <c r="I327" s="709">
        <v>500.0</v>
      </c>
      <c r="J327" s="705">
        <f t="shared" si="1"/>
        <v>9700</v>
      </c>
      <c r="K327" s="705">
        <f t="shared" si="2"/>
        <v>1970</v>
      </c>
      <c r="L327" s="705">
        <f t="shared" si="3"/>
        <v>11670</v>
      </c>
      <c r="M327" s="706">
        <f t="shared" si="4"/>
        <v>58.35</v>
      </c>
    </row>
    <row r="328">
      <c r="A328" s="702" t="s">
        <v>33027</v>
      </c>
      <c r="B328" s="702" t="s">
        <v>14015</v>
      </c>
      <c r="C328" s="707"/>
      <c r="D328" s="707"/>
      <c r="E328" s="708" t="s">
        <v>33031</v>
      </c>
      <c r="F328" s="709">
        <v>200.0</v>
      </c>
      <c r="G328" s="708" t="s">
        <v>44</v>
      </c>
      <c r="H328" s="709">
        <v>92.0</v>
      </c>
      <c r="I328" s="709">
        <v>500.0</v>
      </c>
      <c r="J328" s="705">
        <f t="shared" si="1"/>
        <v>18900</v>
      </c>
      <c r="K328" s="705">
        <f t="shared" si="2"/>
        <v>2890</v>
      </c>
      <c r="L328" s="705">
        <f t="shared" si="3"/>
        <v>21790</v>
      </c>
      <c r="M328" s="706">
        <f t="shared" si="4"/>
        <v>108.95</v>
      </c>
    </row>
    <row r="329">
      <c r="A329" s="702" t="s">
        <v>33027</v>
      </c>
      <c r="B329" s="702" t="s">
        <v>14015</v>
      </c>
      <c r="C329" s="707"/>
      <c r="D329" s="707"/>
      <c r="E329" s="708" t="s">
        <v>32928</v>
      </c>
      <c r="F329" s="709">
        <v>1000.0</v>
      </c>
      <c r="G329" s="708" t="s">
        <v>44</v>
      </c>
      <c r="H329" s="709">
        <v>5.2</v>
      </c>
      <c r="I329" s="709">
        <v>1000.0</v>
      </c>
      <c r="J329" s="705">
        <f t="shared" si="1"/>
        <v>6200</v>
      </c>
      <c r="K329" s="705">
        <f t="shared" si="2"/>
        <v>1620</v>
      </c>
      <c r="L329" s="705">
        <f t="shared" si="3"/>
        <v>7820</v>
      </c>
      <c r="M329" s="706">
        <f t="shared" si="4"/>
        <v>7.82</v>
      </c>
    </row>
    <row r="330">
      <c r="A330" s="702" t="s">
        <v>33027</v>
      </c>
      <c r="B330" s="702" t="s">
        <v>14015</v>
      </c>
      <c r="C330" s="707"/>
      <c r="D330" s="707"/>
      <c r="E330" s="708" t="s">
        <v>3748</v>
      </c>
      <c r="F330" s="709">
        <v>1000.0</v>
      </c>
      <c r="G330" s="708" t="s">
        <v>44</v>
      </c>
      <c r="H330" s="709">
        <v>4.8</v>
      </c>
      <c r="I330" s="709">
        <v>1000.0</v>
      </c>
      <c r="J330" s="705">
        <f t="shared" si="1"/>
        <v>5800</v>
      </c>
      <c r="K330" s="705">
        <f t="shared" si="2"/>
        <v>1580</v>
      </c>
      <c r="L330" s="705">
        <f t="shared" si="3"/>
        <v>7380</v>
      </c>
      <c r="M330" s="706">
        <f t="shared" si="4"/>
        <v>7.38</v>
      </c>
    </row>
    <row r="331">
      <c r="A331" s="702" t="s">
        <v>33027</v>
      </c>
      <c r="B331" s="702" t="s">
        <v>14015</v>
      </c>
      <c r="C331" s="707"/>
      <c r="D331" s="707"/>
      <c r="E331" s="708" t="s">
        <v>33032</v>
      </c>
      <c r="F331" s="709">
        <v>1000.0</v>
      </c>
      <c r="G331" s="708" t="s">
        <v>44</v>
      </c>
      <c r="H331" s="709">
        <v>5.5</v>
      </c>
      <c r="I331" s="709">
        <v>1000.0</v>
      </c>
      <c r="J331" s="705">
        <f t="shared" si="1"/>
        <v>6500</v>
      </c>
      <c r="K331" s="705">
        <f t="shared" si="2"/>
        <v>1650</v>
      </c>
      <c r="L331" s="705">
        <f t="shared" si="3"/>
        <v>8150</v>
      </c>
      <c r="M331" s="706">
        <f t="shared" si="4"/>
        <v>8.15</v>
      </c>
    </row>
    <row r="332">
      <c r="A332" s="702" t="s">
        <v>33027</v>
      </c>
      <c r="B332" s="702" t="s">
        <v>14039</v>
      </c>
      <c r="C332" s="707"/>
      <c r="D332" s="707"/>
      <c r="E332" s="708" t="s">
        <v>14041</v>
      </c>
      <c r="F332" s="709">
        <v>25.0</v>
      </c>
      <c r="G332" s="708" t="s">
        <v>158</v>
      </c>
      <c r="H332" s="709">
        <v>200.0</v>
      </c>
      <c r="I332" s="709">
        <v>2000.0</v>
      </c>
      <c r="J332" s="705">
        <f t="shared" si="1"/>
        <v>7000</v>
      </c>
      <c r="K332" s="705">
        <f t="shared" si="2"/>
        <v>1700</v>
      </c>
      <c r="L332" s="705">
        <f t="shared" si="3"/>
        <v>8700</v>
      </c>
      <c r="M332" s="706">
        <f t="shared" si="4"/>
        <v>348</v>
      </c>
    </row>
    <row r="333">
      <c r="A333" s="702" t="s">
        <v>33027</v>
      </c>
      <c r="B333" s="702" t="s">
        <v>33033</v>
      </c>
      <c r="C333" s="707"/>
      <c r="D333" s="707"/>
      <c r="E333" s="708" t="s">
        <v>523</v>
      </c>
      <c r="F333" s="709">
        <v>1000.0</v>
      </c>
      <c r="G333" s="708" t="s">
        <v>449</v>
      </c>
      <c r="H333" s="709">
        <v>5.2</v>
      </c>
      <c r="I333" s="709">
        <v>1000.0</v>
      </c>
      <c r="J333" s="705">
        <f t="shared" si="1"/>
        <v>6200</v>
      </c>
      <c r="K333" s="705">
        <f t="shared" si="2"/>
        <v>1620</v>
      </c>
      <c r="L333" s="705">
        <f t="shared" si="3"/>
        <v>7820</v>
      </c>
      <c r="M333" s="706">
        <f t="shared" si="4"/>
        <v>7.82</v>
      </c>
    </row>
    <row r="334">
      <c r="A334" s="702" t="s">
        <v>33027</v>
      </c>
      <c r="B334" s="702" t="s">
        <v>33033</v>
      </c>
      <c r="C334" s="707"/>
      <c r="D334" s="707"/>
      <c r="E334" s="708" t="s">
        <v>3165</v>
      </c>
      <c r="F334" s="709">
        <v>220.0</v>
      </c>
      <c r="G334" s="708" t="s">
        <v>449</v>
      </c>
      <c r="H334" s="709">
        <v>92.0</v>
      </c>
      <c r="I334" s="709">
        <v>500.0</v>
      </c>
      <c r="J334" s="705">
        <f t="shared" si="1"/>
        <v>20740</v>
      </c>
      <c r="K334" s="705">
        <f t="shared" si="2"/>
        <v>3074</v>
      </c>
      <c r="L334" s="705">
        <f t="shared" si="3"/>
        <v>23814</v>
      </c>
      <c r="M334" s="706">
        <f t="shared" si="4"/>
        <v>108.2454545</v>
      </c>
    </row>
    <row r="335">
      <c r="A335" s="702" t="s">
        <v>33027</v>
      </c>
      <c r="B335" s="702" t="s">
        <v>33033</v>
      </c>
      <c r="C335" s="707"/>
      <c r="D335" s="707"/>
      <c r="E335" s="708" t="s">
        <v>1902</v>
      </c>
      <c r="F335" s="709">
        <v>100.0</v>
      </c>
      <c r="G335" s="708" t="s">
        <v>449</v>
      </c>
      <c r="H335" s="709">
        <v>27.0</v>
      </c>
      <c r="I335" s="709">
        <v>200.0</v>
      </c>
      <c r="J335" s="705">
        <f t="shared" si="1"/>
        <v>2900</v>
      </c>
      <c r="K335" s="705">
        <f t="shared" si="2"/>
        <v>1290</v>
      </c>
      <c r="L335" s="705">
        <f t="shared" si="3"/>
        <v>4190</v>
      </c>
      <c r="M335" s="706">
        <f t="shared" si="4"/>
        <v>41.9</v>
      </c>
    </row>
    <row r="336">
      <c r="A336" s="702" t="s">
        <v>33027</v>
      </c>
      <c r="B336" s="702" t="s">
        <v>33033</v>
      </c>
      <c r="C336" s="707"/>
      <c r="D336" s="707"/>
      <c r="E336" s="708" t="s">
        <v>33034</v>
      </c>
      <c r="F336" s="709">
        <v>500.0</v>
      </c>
      <c r="G336" s="708" t="s">
        <v>449</v>
      </c>
      <c r="H336" s="709">
        <v>96.0</v>
      </c>
      <c r="I336" s="709">
        <v>200.0</v>
      </c>
      <c r="J336" s="705">
        <f t="shared" si="1"/>
        <v>48200</v>
      </c>
      <c r="K336" s="705">
        <f t="shared" si="2"/>
        <v>5820</v>
      </c>
      <c r="L336" s="705">
        <f t="shared" si="3"/>
        <v>54020</v>
      </c>
      <c r="M336" s="706">
        <f t="shared" si="4"/>
        <v>108.04</v>
      </c>
    </row>
    <row r="337">
      <c r="A337" s="702" t="s">
        <v>33027</v>
      </c>
      <c r="B337" s="702" t="s">
        <v>33033</v>
      </c>
      <c r="C337" s="707"/>
      <c r="D337" s="707"/>
      <c r="E337" s="708" t="s">
        <v>3748</v>
      </c>
      <c r="F337" s="709">
        <v>2000.0</v>
      </c>
      <c r="G337" s="708" t="s">
        <v>449</v>
      </c>
      <c r="H337" s="709">
        <v>4.8</v>
      </c>
      <c r="I337" s="709">
        <v>2000.0</v>
      </c>
      <c r="J337" s="705">
        <f t="shared" si="1"/>
        <v>11600</v>
      </c>
      <c r="K337" s="705">
        <f t="shared" si="2"/>
        <v>2160</v>
      </c>
      <c r="L337" s="705">
        <f t="shared" si="3"/>
        <v>13760</v>
      </c>
      <c r="M337" s="706">
        <f t="shared" si="4"/>
        <v>6.88</v>
      </c>
    </row>
    <row r="338">
      <c r="A338" s="702" t="s">
        <v>33027</v>
      </c>
      <c r="B338" s="702" t="s">
        <v>33033</v>
      </c>
      <c r="C338" s="707"/>
      <c r="D338" s="707"/>
      <c r="E338" s="708" t="s">
        <v>1749</v>
      </c>
      <c r="F338" s="709">
        <v>50.0</v>
      </c>
      <c r="G338" s="708" t="s">
        <v>449</v>
      </c>
      <c r="H338" s="709">
        <v>46.0</v>
      </c>
      <c r="I338" s="709">
        <v>250.0</v>
      </c>
      <c r="J338" s="705">
        <f t="shared" si="1"/>
        <v>2550</v>
      </c>
      <c r="K338" s="705">
        <f t="shared" si="2"/>
        <v>1255</v>
      </c>
      <c r="L338" s="705">
        <f t="shared" si="3"/>
        <v>3805</v>
      </c>
      <c r="M338" s="706">
        <f t="shared" si="4"/>
        <v>76.1</v>
      </c>
    </row>
    <row r="339">
      <c r="A339" s="702" t="s">
        <v>33027</v>
      </c>
      <c r="B339" s="702" t="s">
        <v>33035</v>
      </c>
      <c r="C339" s="707"/>
      <c r="D339" s="707"/>
      <c r="E339" s="708" t="s">
        <v>189</v>
      </c>
      <c r="F339" s="709">
        <v>7000.0</v>
      </c>
      <c r="G339" s="708" t="s">
        <v>44</v>
      </c>
      <c r="H339" s="709">
        <v>6.0</v>
      </c>
      <c r="I339" s="709">
        <v>7000.0</v>
      </c>
      <c r="J339" s="705">
        <f t="shared" si="1"/>
        <v>49000</v>
      </c>
      <c r="K339" s="705">
        <f t="shared" si="2"/>
        <v>5900</v>
      </c>
      <c r="L339" s="705">
        <f t="shared" si="3"/>
        <v>54900</v>
      </c>
      <c r="M339" s="706">
        <f t="shared" si="4"/>
        <v>7.842857143</v>
      </c>
    </row>
    <row r="340">
      <c r="A340" s="702" t="s">
        <v>33027</v>
      </c>
      <c r="B340" s="702" t="s">
        <v>33036</v>
      </c>
      <c r="C340" s="707"/>
      <c r="D340" s="707"/>
      <c r="E340" s="708" t="s">
        <v>3764</v>
      </c>
      <c r="F340" s="709">
        <v>500.0</v>
      </c>
      <c r="G340" s="708" t="s">
        <v>20765</v>
      </c>
      <c r="H340" s="709">
        <v>16.0</v>
      </c>
      <c r="I340" s="709">
        <v>500.0</v>
      </c>
      <c r="J340" s="705">
        <f t="shared" si="1"/>
        <v>8500</v>
      </c>
      <c r="K340" s="705">
        <f t="shared" si="2"/>
        <v>1850</v>
      </c>
      <c r="L340" s="705">
        <f t="shared" si="3"/>
        <v>10350</v>
      </c>
      <c r="M340" s="706">
        <f t="shared" si="4"/>
        <v>20.7</v>
      </c>
    </row>
    <row r="341">
      <c r="A341" s="702" t="s">
        <v>33027</v>
      </c>
      <c r="B341" s="702" t="s">
        <v>14074</v>
      </c>
      <c r="C341" s="707"/>
      <c r="D341" s="707"/>
      <c r="E341" s="708" t="s">
        <v>3193</v>
      </c>
      <c r="F341" s="709">
        <v>5000.0</v>
      </c>
      <c r="G341" s="708" t="s">
        <v>44</v>
      </c>
      <c r="H341" s="709">
        <v>10.0</v>
      </c>
      <c r="I341" s="709">
        <v>5000.0</v>
      </c>
      <c r="J341" s="705">
        <f t="shared" si="1"/>
        <v>55000</v>
      </c>
      <c r="K341" s="705">
        <f t="shared" si="2"/>
        <v>6500</v>
      </c>
      <c r="L341" s="705">
        <f t="shared" si="3"/>
        <v>61500</v>
      </c>
      <c r="M341" s="706">
        <f t="shared" si="4"/>
        <v>12.3</v>
      </c>
    </row>
    <row r="342">
      <c r="A342" s="702" t="s">
        <v>33027</v>
      </c>
      <c r="B342" s="702" t="s">
        <v>14083</v>
      </c>
      <c r="C342" s="707"/>
      <c r="D342" s="707"/>
      <c r="E342" s="708" t="s">
        <v>31499</v>
      </c>
      <c r="F342" s="709">
        <v>2000.0</v>
      </c>
      <c r="G342" s="708" t="s">
        <v>507</v>
      </c>
      <c r="H342" s="709">
        <v>2.5</v>
      </c>
      <c r="I342" s="709">
        <v>1000.0</v>
      </c>
      <c r="J342" s="705">
        <f t="shared" si="1"/>
        <v>6000</v>
      </c>
      <c r="K342" s="705">
        <f t="shared" si="2"/>
        <v>1600</v>
      </c>
      <c r="L342" s="705">
        <f t="shared" si="3"/>
        <v>7600</v>
      </c>
      <c r="M342" s="706">
        <f t="shared" si="4"/>
        <v>3.8</v>
      </c>
    </row>
    <row r="343">
      <c r="A343" s="702" t="s">
        <v>33027</v>
      </c>
      <c r="B343" s="702" t="s">
        <v>14083</v>
      </c>
      <c r="C343" s="707"/>
      <c r="D343" s="707"/>
      <c r="E343" s="708" t="s">
        <v>31500</v>
      </c>
      <c r="F343" s="709">
        <v>2000.0</v>
      </c>
      <c r="G343" s="708" t="s">
        <v>507</v>
      </c>
      <c r="H343" s="709">
        <v>4.0</v>
      </c>
      <c r="I343" s="709">
        <v>1000.0</v>
      </c>
      <c r="J343" s="705">
        <f t="shared" si="1"/>
        <v>9000</v>
      </c>
      <c r="K343" s="705">
        <f t="shared" si="2"/>
        <v>1900</v>
      </c>
      <c r="L343" s="705">
        <f t="shared" si="3"/>
        <v>10900</v>
      </c>
      <c r="M343" s="706">
        <f t="shared" si="4"/>
        <v>5.45</v>
      </c>
    </row>
    <row r="344">
      <c r="A344" s="702" t="s">
        <v>33027</v>
      </c>
      <c r="B344" s="702" t="s">
        <v>33037</v>
      </c>
      <c r="C344" s="707"/>
      <c r="D344" s="707"/>
      <c r="E344" s="708" t="s">
        <v>31499</v>
      </c>
      <c r="F344" s="709">
        <v>1000.0</v>
      </c>
      <c r="G344" s="708" t="s">
        <v>9359</v>
      </c>
      <c r="H344" s="709">
        <v>2.5</v>
      </c>
      <c r="I344" s="709">
        <v>500.0</v>
      </c>
      <c r="J344" s="705">
        <f t="shared" si="1"/>
        <v>3000</v>
      </c>
      <c r="K344" s="705">
        <f t="shared" si="2"/>
        <v>1300</v>
      </c>
      <c r="L344" s="705">
        <f t="shared" si="3"/>
        <v>4300</v>
      </c>
      <c r="M344" s="706">
        <f t="shared" si="4"/>
        <v>4.3</v>
      </c>
    </row>
    <row r="345">
      <c r="A345" s="702" t="s">
        <v>33027</v>
      </c>
      <c r="B345" s="702" t="s">
        <v>33037</v>
      </c>
      <c r="C345" s="707"/>
      <c r="D345" s="707"/>
      <c r="E345" s="708" t="s">
        <v>31500</v>
      </c>
      <c r="F345" s="709">
        <v>1000.0</v>
      </c>
      <c r="G345" s="708" t="s">
        <v>9359</v>
      </c>
      <c r="H345" s="709">
        <v>4.0</v>
      </c>
      <c r="I345" s="709">
        <v>500.0</v>
      </c>
      <c r="J345" s="705">
        <f t="shared" si="1"/>
        <v>4500</v>
      </c>
      <c r="K345" s="705">
        <f t="shared" si="2"/>
        <v>1450</v>
      </c>
      <c r="L345" s="705">
        <f t="shared" si="3"/>
        <v>5950</v>
      </c>
      <c r="M345" s="706">
        <f t="shared" si="4"/>
        <v>5.95</v>
      </c>
    </row>
    <row r="346">
      <c r="A346" s="702" t="s">
        <v>33027</v>
      </c>
      <c r="B346" s="702" t="s">
        <v>14096</v>
      </c>
      <c r="C346" s="707"/>
      <c r="D346" s="707"/>
      <c r="E346" s="708" t="s">
        <v>10426</v>
      </c>
      <c r="F346" s="709">
        <v>1000.0</v>
      </c>
      <c r="G346" s="708" t="s">
        <v>1315</v>
      </c>
      <c r="H346" s="709">
        <v>90.0</v>
      </c>
      <c r="I346" s="709"/>
      <c r="J346" s="705">
        <f t="shared" si="1"/>
        <v>90000</v>
      </c>
      <c r="K346" s="705">
        <f t="shared" si="2"/>
        <v>10000</v>
      </c>
      <c r="L346" s="705">
        <f t="shared" si="3"/>
        <v>100000</v>
      </c>
      <c r="M346" s="706">
        <f t="shared" si="4"/>
        <v>100</v>
      </c>
    </row>
    <row r="347">
      <c r="A347" s="702" t="s">
        <v>33038</v>
      </c>
      <c r="B347" s="96" t="s">
        <v>14165</v>
      </c>
      <c r="C347" s="707"/>
      <c r="D347" s="707"/>
      <c r="E347" s="708" t="s">
        <v>501</v>
      </c>
      <c r="F347" s="709">
        <v>500.0</v>
      </c>
      <c r="G347" s="708" t="s">
        <v>14169</v>
      </c>
      <c r="H347" s="709">
        <v>10.5</v>
      </c>
      <c r="I347" s="709">
        <v>500.0</v>
      </c>
      <c r="J347" s="705">
        <f t="shared" si="1"/>
        <v>5750</v>
      </c>
      <c r="K347" s="705">
        <f t="shared" si="2"/>
        <v>1575</v>
      </c>
      <c r="L347" s="705">
        <f t="shared" si="3"/>
        <v>7325</v>
      </c>
      <c r="M347" s="706">
        <f t="shared" si="4"/>
        <v>14.65</v>
      </c>
    </row>
    <row r="348">
      <c r="A348" s="702" t="s">
        <v>33038</v>
      </c>
      <c r="B348" s="96" t="s">
        <v>14165</v>
      </c>
      <c r="C348" s="707"/>
      <c r="D348" s="707"/>
      <c r="E348" s="708" t="s">
        <v>3165</v>
      </c>
      <c r="F348" s="709">
        <v>200.0</v>
      </c>
      <c r="G348" s="708" t="s">
        <v>14169</v>
      </c>
      <c r="H348" s="709">
        <v>92.0</v>
      </c>
      <c r="I348" s="709">
        <v>500.0</v>
      </c>
      <c r="J348" s="705">
        <f t="shared" si="1"/>
        <v>18900</v>
      </c>
      <c r="K348" s="705">
        <f t="shared" si="2"/>
        <v>2890</v>
      </c>
      <c r="L348" s="705">
        <f t="shared" si="3"/>
        <v>21790</v>
      </c>
      <c r="M348" s="706">
        <f t="shared" si="4"/>
        <v>108.95</v>
      </c>
    </row>
    <row r="349">
      <c r="A349" s="702" t="s">
        <v>33038</v>
      </c>
      <c r="B349" s="96" t="s">
        <v>14165</v>
      </c>
      <c r="C349" s="707"/>
      <c r="D349" s="707"/>
      <c r="E349" s="708" t="s">
        <v>1749</v>
      </c>
      <c r="F349" s="709">
        <v>500.0</v>
      </c>
      <c r="G349" s="708" t="s">
        <v>14169</v>
      </c>
      <c r="H349" s="709">
        <v>46.0</v>
      </c>
      <c r="I349" s="709">
        <v>500.0</v>
      </c>
      <c r="J349" s="705">
        <f t="shared" si="1"/>
        <v>23500</v>
      </c>
      <c r="K349" s="705">
        <f t="shared" si="2"/>
        <v>3350</v>
      </c>
      <c r="L349" s="705">
        <f t="shared" si="3"/>
        <v>26850</v>
      </c>
      <c r="M349" s="706">
        <f t="shared" si="4"/>
        <v>53.7</v>
      </c>
    </row>
    <row r="350">
      <c r="A350" s="702" t="s">
        <v>33038</v>
      </c>
      <c r="B350" s="702" t="s">
        <v>33039</v>
      </c>
      <c r="C350" s="707"/>
      <c r="D350" s="707"/>
      <c r="E350" s="708" t="s">
        <v>1749</v>
      </c>
      <c r="F350" s="709">
        <v>100.0</v>
      </c>
      <c r="G350" s="708" t="s">
        <v>44</v>
      </c>
      <c r="H350" s="709">
        <v>46.0</v>
      </c>
      <c r="I350" s="709">
        <v>300.0</v>
      </c>
      <c r="J350" s="705">
        <f t="shared" si="1"/>
        <v>4900</v>
      </c>
      <c r="K350" s="705">
        <f t="shared" si="2"/>
        <v>1490</v>
      </c>
      <c r="L350" s="705">
        <f t="shared" si="3"/>
        <v>6390</v>
      </c>
      <c r="M350" s="706">
        <f t="shared" si="4"/>
        <v>63.9</v>
      </c>
    </row>
    <row r="351">
      <c r="A351" s="702" t="s">
        <v>33038</v>
      </c>
      <c r="B351" s="702" t="s">
        <v>33039</v>
      </c>
      <c r="C351" s="707"/>
      <c r="D351" s="707"/>
      <c r="E351" s="708" t="s">
        <v>3165</v>
      </c>
      <c r="F351" s="709">
        <v>100.0</v>
      </c>
      <c r="G351" s="708" t="s">
        <v>44</v>
      </c>
      <c r="H351" s="709">
        <v>92.0</v>
      </c>
      <c r="I351" s="709">
        <v>300.0</v>
      </c>
      <c r="J351" s="705">
        <f t="shared" si="1"/>
        <v>9500</v>
      </c>
      <c r="K351" s="705">
        <f t="shared" si="2"/>
        <v>1950</v>
      </c>
      <c r="L351" s="705">
        <f t="shared" si="3"/>
        <v>11450</v>
      </c>
      <c r="M351" s="706">
        <f t="shared" si="4"/>
        <v>114.5</v>
      </c>
    </row>
    <row r="352">
      <c r="A352" s="702" t="s">
        <v>33038</v>
      </c>
      <c r="B352" s="702" t="s">
        <v>33039</v>
      </c>
      <c r="C352" s="707"/>
      <c r="D352" s="707"/>
      <c r="E352" s="708" t="s">
        <v>33040</v>
      </c>
      <c r="F352" s="709">
        <v>100.0</v>
      </c>
      <c r="G352" s="708" t="s">
        <v>44</v>
      </c>
      <c r="H352" s="709">
        <v>10.5</v>
      </c>
      <c r="I352" s="709">
        <v>300.0</v>
      </c>
      <c r="J352" s="705">
        <f t="shared" si="1"/>
        <v>1350</v>
      </c>
      <c r="K352" s="705">
        <f t="shared" si="2"/>
        <v>1135</v>
      </c>
      <c r="L352" s="705">
        <f t="shared" si="3"/>
        <v>2485</v>
      </c>
      <c r="M352" s="706">
        <f t="shared" si="4"/>
        <v>24.85</v>
      </c>
    </row>
    <row r="353">
      <c r="A353" s="702" t="s">
        <v>33038</v>
      </c>
      <c r="B353" s="702" t="s">
        <v>33041</v>
      </c>
      <c r="C353" s="707"/>
      <c r="D353" s="707"/>
      <c r="E353" s="708" t="s">
        <v>794</v>
      </c>
      <c r="F353" s="709">
        <v>10000.0</v>
      </c>
      <c r="G353" s="708" t="s">
        <v>44</v>
      </c>
      <c r="H353" s="709">
        <v>4.5</v>
      </c>
      <c r="I353" s="709"/>
      <c r="J353" s="705">
        <f t="shared" si="1"/>
        <v>45000</v>
      </c>
      <c r="K353" s="705">
        <f t="shared" si="2"/>
        <v>5500</v>
      </c>
      <c r="L353" s="705">
        <f t="shared" si="3"/>
        <v>50500</v>
      </c>
      <c r="M353" s="706">
        <f t="shared" si="4"/>
        <v>5.05</v>
      </c>
    </row>
    <row r="354">
      <c r="A354" s="702" t="s">
        <v>33038</v>
      </c>
      <c r="B354" s="702" t="s">
        <v>33042</v>
      </c>
      <c r="C354" s="707"/>
      <c r="D354" s="707"/>
      <c r="E354" s="708" t="s">
        <v>31499</v>
      </c>
      <c r="F354" s="709">
        <v>10000.0</v>
      </c>
      <c r="G354" s="708" t="s">
        <v>507</v>
      </c>
      <c r="H354" s="709">
        <v>2.5</v>
      </c>
      <c r="I354" s="709">
        <v>5000.0</v>
      </c>
      <c r="J354" s="705">
        <f t="shared" si="1"/>
        <v>30000</v>
      </c>
      <c r="K354" s="705">
        <f t="shared" si="2"/>
        <v>4000</v>
      </c>
      <c r="L354" s="705">
        <f t="shared" si="3"/>
        <v>34000</v>
      </c>
      <c r="M354" s="706">
        <f t="shared" si="4"/>
        <v>3.4</v>
      </c>
    </row>
    <row r="355">
      <c r="A355" s="702" t="s">
        <v>33038</v>
      </c>
      <c r="B355" s="702" t="s">
        <v>33042</v>
      </c>
      <c r="C355" s="707"/>
      <c r="D355" s="707"/>
      <c r="E355" s="708" t="s">
        <v>31500</v>
      </c>
      <c r="F355" s="709">
        <v>10000.0</v>
      </c>
      <c r="G355" s="708" t="s">
        <v>507</v>
      </c>
      <c r="H355" s="709">
        <v>4.0</v>
      </c>
      <c r="I355" s="709">
        <v>5000.0</v>
      </c>
      <c r="J355" s="705">
        <f t="shared" si="1"/>
        <v>45000</v>
      </c>
      <c r="K355" s="705">
        <f t="shared" si="2"/>
        <v>5500</v>
      </c>
      <c r="L355" s="705">
        <f t="shared" si="3"/>
        <v>50500</v>
      </c>
      <c r="M355" s="706">
        <f t="shared" si="4"/>
        <v>5.05</v>
      </c>
    </row>
    <row r="356">
      <c r="A356" s="702" t="s">
        <v>33038</v>
      </c>
      <c r="B356" s="702" t="s">
        <v>33043</v>
      </c>
      <c r="C356" s="707"/>
      <c r="D356" s="707"/>
      <c r="E356" s="708" t="s">
        <v>152</v>
      </c>
      <c r="F356" s="709">
        <v>30000.0</v>
      </c>
      <c r="G356" s="708" t="s">
        <v>99</v>
      </c>
      <c r="H356" s="709">
        <v>20.0</v>
      </c>
      <c r="I356" s="709"/>
      <c r="J356" s="705">
        <f t="shared" si="1"/>
        <v>600000</v>
      </c>
      <c r="K356" s="705">
        <f t="shared" si="2"/>
        <v>61000</v>
      </c>
      <c r="L356" s="705">
        <f t="shared" si="3"/>
        <v>661000</v>
      </c>
      <c r="M356" s="706">
        <f t="shared" si="4"/>
        <v>22.03333333</v>
      </c>
    </row>
    <row r="357">
      <c r="A357" s="702" t="s">
        <v>33038</v>
      </c>
      <c r="B357" s="702" t="s">
        <v>33044</v>
      </c>
      <c r="C357" s="707"/>
      <c r="D357" s="707"/>
      <c r="E357" s="708" t="s">
        <v>841</v>
      </c>
      <c r="F357" s="709">
        <v>2000.0</v>
      </c>
      <c r="G357" s="708" t="s">
        <v>44</v>
      </c>
      <c r="H357" s="709">
        <v>4.5</v>
      </c>
      <c r="I357" s="709">
        <v>2000.0</v>
      </c>
      <c r="J357" s="705">
        <f t="shared" si="1"/>
        <v>11000</v>
      </c>
      <c r="K357" s="705">
        <f t="shared" si="2"/>
        <v>2100</v>
      </c>
      <c r="L357" s="705">
        <f t="shared" si="3"/>
        <v>13100</v>
      </c>
      <c r="M357" s="706">
        <f t="shared" si="4"/>
        <v>6.55</v>
      </c>
    </row>
    <row r="358">
      <c r="A358" s="702" t="s">
        <v>33038</v>
      </c>
      <c r="B358" s="702" t="s">
        <v>33045</v>
      </c>
      <c r="C358" s="707"/>
      <c r="D358" s="707"/>
      <c r="E358" s="708" t="s">
        <v>152</v>
      </c>
      <c r="F358" s="709">
        <v>1000.0</v>
      </c>
      <c r="G358" s="708" t="s">
        <v>906</v>
      </c>
      <c r="H358" s="709">
        <v>17.0</v>
      </c>
      <c r="I358" s="709">
        <v>1000.0</v>
      </c>
      <c r="J358" s="705">
        <f t="shared" si="1"/>
        <v>18000</v>
      </c>
      <c r="K358" s="705">
        <f t="shared" si="2"/>
        <v>2800</v>
      </c>
      <c r="L358" s="705">
        <f t="shared" si="3"/>
        <v>20800</v>
      </c>
      <c r="M358" s="706">
        <f t="shared" si="4"/>
        <v>20.8</v>
      </c>
    </row>
    <row r="359">
      <c r="A359" s="702" t="s">
        <v>33038</v>
      </c>
      <c r="B359" s="702" t="s">
        <v>33046</v>
      </c>
      <c r="C359" s="707"/>
      <c r="D359" s="707"/>
      <c r="E359" s="708" t="s">
        <v>167</v>
      </c>
      <c r="F359" s="709">
        <v>1000.0</v>
      </c>
      <c r="G359" s="708" t="s">
        <v>44</v>
      </c>
      <c r="H359" s="709">
        <v>6.5</v>
      </c>
      <c r="I359" s="709">
        <v>1000.0</v>
      </c>
      <c r="J359" s="705">
        <f t="shared" si="1"/>
        <v>7500</v>
      </c>
      <c r="K359" s="705">
        <f t="shared" si="2"/>
        <v>1750</v>
      </c>
      <c r="L359" s="705">
        <f t="shared" si="3"/>
        <v>9250</v>
      </c>
      <c r="M359" s="706">
        <f t="shared" si="4"/>
        <v>9.25</v>
      </c>
    </row>
    <row r="360">
      <c r="A360" s="702" t="s">
        <v>33038</v>
      </c>
      <c r="B360" s="702" t="s">
        <v>33046</v>
      </c>
      <c r="C360" s="707"/>
      <c r="D360" s="707"/>
      <c r="E360" s="708" t="s">
        <v>14841</v>
      </c>
      <c r="F360" s="709">
        <v>1000.0</v>
      </c>
      <c r="G360" s="708" t="s">
        <v>44</v>
      </c>
      <c r="H360" s="709">
        <v>66.0</v>
      </c>
      <c r="I360" s="709">
        <v>1000.0</v>
      </c>
      <c r="J360" s="705">
        <f t="shared" si="1"/>
        <v>67000</v>
      </c>
      <c r="K360" s="705">
        <f t="shared" si="2"/>
        <v>7700</v>
      </c>
      <c r="L360" s="705">
        <f t="shared" si="3"/>
        <v>74700</v>
      </c>
      <c r="M360" s="706">
        <f t="shared" si="4"/>
        <v>74.7</v>
      </c>
    </row>
    <row r="361">
      <c r="A361" s="702" t="s">
        <v>33047</v>
      </c>
      <c r="B361" s="702" t="s">
        <v>33048</v>
      </c>
      <c r="C361" s="707"/>
      <c r="D361" s="707"/>
      <c r="E361" s="708" t="s">
        <v>167</v>
      </c>
      <c r="F361" s="709">
        <v>250000.0</v>
      </c>
      <c r="G361" s="708" t="s">
        <v>33049</v>
      </c>
      <c r="H361" s="709">
        <v>8.0</v>
      </c>
      <c r="I361" s="709"/>
      <c r="J361" s="705">
        <f t="shared" si="1"/>
        <v>2000000</v>
      </c>
      <c r="K361" s="705">
        <f t="shared" si="2"/>
        <v>201000</v>
      </c>
      <c r="L361" s="705">
        <f t="shared" si="3"/>
        <v>2201000</v>
      </c>
      <c r="M361" s="706">
        <f t="shared" si="4"/>
        <v>8.804</v>
      </c>
    </row>
    <row r="362">
      <c r="A362" s="702" t="s">
        <v>33047</v>
      </c>
      <c r="B362" s="702" t="s">
        <v>33050</v>
      </c>
      <c r="C362" s="707"/>
      <c r="D362" s="707"/>
      <c r="E362" s="708" t="s">
        <v>1373</v>
      </c>
      <c r="F362" s="709">
        <v>200.0</v>
      </c>
      <c r="G362" s="708" t="s">
        <v>26430</v>
      </c>
      <c r="H362" s="709">
        <v>13.2</v>
      </c>
      <c r="I362" s="709">
        <v>500.0</v>
      </c>
      <c r="J362" s="705">
        <f t="shared" si="1"/>
        <v>3140</v>
      </c>
      <c r="K362" s="705">
        <f t="shared" si="2"/>
        <v>1314</v>
      </c>
      <c r="L362" s="705">
        <f t="shared" si="3"/>
        <v>4454</v>
      </c>
      <c r="M362" s="706">
        <f t="shared" si="4"/>
        <v>22.27</v>
      </c>
    </row>
    <row r="363">
      <c r="A363" s="702" t="s">
        <v>33047</v>
      </c>
      <c r="B363" s="702" t="s">
        <v>33051</v>
      </c>
      <c r="C363" s="707"/>
      <c r="D363" s="707"/>
      <c r="E363" s="708" t="s">
        <v>189</v>
      </c>
      <c r="F363" s="709">
        <v>2500.0</v>
      </c>
      <c r="G363" s="708" t="s">
        <v>44</v>
      </c>
      <c r="H363" s="709">
        <v>6.0</v>
      </c>
      <c r="I363" s="709">
        <v>2500.0</v>
      </c>
      <c r="J363" s="705">
        <f t="shared" si="1"/>
        <v>17500</v>
      </c>
      <c r="K363" s="705">
        <f t="shared" si="2"/>
        <v>2750</v>
      </c>
      <c r="L363" s="705">
        <f t="shared" si="3"/>
        <v>20250</v>
      </c>
      <c r="M363" s="706">
        <f t="shared" si="4"/>
        <v>8.1</v>
      </c>
    </row>
    <row r="364">
      <c r="A364" s="702" t="s">
        <v>33047</v>
      </c>
      <c r="B364" s="702" t="s">
        <v>33052</v>
      </c>
      <c r="C364" s="707"/>
      <c r="D364" s="707"/>
      <c r="E364" s="708" t="s">
        <v>1629</v>
      </c>
      <c r="F364" s="709">
        <v>2500.0</v>
      </c>
      <c r="G364" s="708" t="s">
        <v>158</v>
      </c>
      <c r="H364" s="709">
        <v>26.0</v>
      </c>
      <c r="I364" s="709">
        <v>2500.0</v>
      </c>
      <c r="J364" s="705">
        <f t="shared" si="1"/>
        <v>67500</v>
      </c>
      <c r="K364" s="705">
        <f t="shared" si="2"/>
        <v>7750</v>
      </c>
      <c r="L364" s="705">
        <f t="shared" si="3"/>
        <v>75250</v>
      </c>
      <c r="M364" s="706">
        <f t="shared" si="4"/>
        <v>30.1</v>
      </c>
    </row>
    <row r="365">
      <c r="A365" s="702" t="s">
        <v>33047</v>
      </c>
      <c r="B365" s="702" t="s">
        <v>33053</v>
      </c>
      <c r="C365" s="707"/>
      <c r="D365" s="707"/>
      <c r="E365" s="708" t="s">
        <v>53</v>
      </c>
      <c r="F365" s="709">
        <v>1500.0</v>
      </c>
      <c r="G365" s="708" t="s">
        <v>184</v>
      </c>
      <c r="H365" s="709">
        <v>10.0</v>
      </c>
      <c r="I365" s="709">
        <v>2000.0</v>
      </c>
      <c r="J365" s="705">
        <f t="shared" si="1"/>
        <v>17000</v>
      </c>
      <c r="K365" s="705">
        <f t="shared" si="2"/>
        <v>2700</v>
      </c>
      <c r="L365" s="705">
        <f t="shared" si="3"/>
        <v>19700</v>
      </c>
      <c r="M365" s="706">
        <f t="shared" si="4"/>
        <v>13.13333333</v>
      </c>
    </row>
    <row r="366">
      <c r="A366" s="702" t="s">
        <v>33047</v>
      </c>
      <c r="B366" s="702" t="s">
        <v>33054</v>
      </c>
      <c r="C366" s="707"/>
      <c r="D366" s="707"/>
      <c r="E366" s="708" t="s">
        <v>6421</v>
      </c>
      <c r="F366" s="709">
        <v>500.0</v>
      </c>
      <c r="G366" s="708" t="s">
        <v>44</v>
      </c>
      <c r="H366" s="709">
        <v>7.0</v>
      </c>
      <c r="I366" s="709">
        <v>500.0</v>
      </c>
      <c r="J366" s="705">
        <f t="shared" si="1"/>
        <v>4000</v>
      </c>
      <c r="K366" s="705">
        <f t="shared" si="2"/>
        <v>1400</v>
      </c>
      <c r="L366" s="705">
        <f t="shared" si="3"/>
        <v>5400</v>
      </c>
      <c r="M366" s="706">
        <f t="shared" si="4"/>
        <v>10.8</v>
      </c>
    </row>
    <row r="367">
      <c r="A367" s="702" t="s">
        <v>33047</v>
      </c>
      <c r="B367" s="702" t="s">
        <v>33055</v>
      </c>
      <c r="C367" s="707"/>
      <c r="D367" s="707"/>
      <c r="E367" s="708" t="s">
        <v>1373</v>
      </c>
      <c r="F367" s="709">
        <v>200.0</v>
      </c>
      <c r="G367" s="708" t="s">
        <v>1414</v>
      </c>
      <c r="H367" s="709">
        <v>13.2</v>
      </c>
      <c r="I367" s="709">
        <v>500.0</v>
      </c>
      <c r="J367" s="705">
        <f t="shared" si="1"/>
        <v>3140</v>
      </c>
      <c r="K367" s="705">
        <f t="shared" si="2"/>
        <v>1314</v>
      </c>
      <c r="L367" s="705">
        <f t="shared" si="3"/>
        <v>4454</v>
      </c>
      <c r="M367" s="706">
        <f t="shared" si="4"/>
        <v>22.27</v>
      </c>
    </row>
    <row r="368">
      <c r="A368" s="702" t="s">
        <v>33047</v>
      </c>
      <c r="B368" s="96" t="s">
        <v>14279</v>
      </c>
      <c r="C368" s="707"/>
      <c r="D368" s="707"/>
      <c r="E368" s="708" t="s">
        <v>4171</v>
      </c>
      <c r="F368" s="709">
        <v>5000.0</v>
      </c>
      <c r="G368" s="708" t="s">
        <v>20765</v>
      </c>
      <c r="H368" s="709">
        <v>57.0</v>
      </c>
      <c r="I368" s="709">
        <v>5000.0</v>
      </c>
      <c r="J368" s="705">
        <f t="shared" si="1"/>
        <v>290000</v>
      </c>
      <c r="K368" s="705">
        <f t="shared" si="2"/>
        <v>30000</v>
      </c>
      <c r="L368" s="705">
        <f t="shared" si="3"/>
        <v>320000</v>
      </c>
      <c r="M368" s="706">
        <f t="shared" si="4"/>
        <v>64</v>
      </c>
    </row>
    <row r="369">
      <c r="A369" s="702" t="s">
        <v>33056</v>
      </c>
      <c r="B369" s="702" t="s">
        <v>33057</v>
      </c>
      <c r="C369" s="707"/>
      <c r="D369" s="707"/>
      <c r="E369" s="708" t="s">
        <v>31500</v>
      </c>
      <c r="F369" s="709">
        <v>2000.0</v>
      </c>
      <c r="G369" s="708" t="s">
        <v>507</v>
      </c>
      <c r="H369" s="709">
        <v>4.0</v>
      </c>
      <c r="I369" s="709">
        <v>1000.0</v>
      </c>
      <c r="J369" s="705">
        <f t="shared" si="1"/>
        <v>9000</v>
      </c>
      <c r="K369" s="705">
        <f t="shared" si="2"/>
        <v>1900</v>
      </c>
      <c r="L369" s="705">
        <f t="shared" si="3"/>
        <v>10900</v>
      </c>
      <c r="M369" s="706">
        <f t="shared" si="4"/>
        <v>5.45</v>
      </c>
    </row>
    <row r="370">
      <c r="A370" s="702" t="s">
        <v>33056</v>
      </c>
      <c r="B370" s="702" t="s">
        <v>33058</v>
      </c>
      <c r="C370" s="707"/>
      <c r="D370" s="707"/>
      <c r="E370" s="708" t="s">
        <v>3391</v>
      </c>
      <c r="F370" s="709">
        <v>2000.0</v>
      </c>
      <c r="G370" s="708" t="s">
        <v>507</v>
      </c>
      <c r="H370" s="709">
        <v>60.0</v>
      </c>
      <c r="I370" s="709">
        <v>2000.0</v>
      </c>
      <c r="J370" s="705">
        <f t="shared" si="1"/>
        <v>122000</v>
      </c>
      <c r="K370" s="705">
        <f t="shared" si="2"/>
        <v>13200</v>
      </c>
      <c r="L370" s="705">
        <f t="shared" si="3"/>
        <v>135200</v>
      </c>
      <c r="M370" s="706">
        <f t="shared" si="4"/>
        <v>67.6</v>
      </c>
      <c r="N370" s="526" t="s">
        <v>33059</v>
      </c>
    </row>
    <row r="371">
      <c r="A371" s="702" t="s">
        <v>33056</v>
      </c>
      <c r="B371" s="702" t="s">
        <v>33060</v>
      </c>
      <c r="C371" s="707"/>
      <c r="D371" s="707"/>
      <c r="E371" s="708" t="s">
        <v>189</v>
      </c>
      <c r="F371" s="709">
        <v>5000.0</v>
      </c>
      <c r="G371" s="708" t="s">
        <v>44</v>
      </c>
      <c r="H371" s="709">
        <v>6.0</v>
      </c>
      <c r="I371" s="709">
        <v>5000.0</v>
      </c>
      <c r="J371" s="705">
        <f t="shared" si="1"/>
        <v>35000</v>
      </c>
      <c r="K371" s="705">
        <f t="shared" si="2"/>
        <v>4500</v>
      </c>
      <c r="L371" s="705">
        <f t="shared" si="3"/>
        <v>39500</v>
      </c>
      <c r="M371" s="706">
        <f t="shared" si="4"/>
        <v>7.9</v>
      </c>
    </row>
    <row r="372">
      <c r="A372" s="702" t="s">
        <v>33056</v>
      </c>
      <c r="B372" s="702" t="s">
        <v>33061</v>
      </c>
      <c r="C372" s="707"/>
      <c r="D372" s="707"/>
      <c r="E372" s="708" t="s">
        <v>1749</v>
      </c>
      <c r="F372" s="709">
        <v>150.0</v>
      </c>
      <c r="G372" s="708" t="s">
        <v>44</v>
      </c>
      <c r="H372" s="709">
        <v>46.0</v>
      </c>
      <c r="I372" s="709">
        <v>300.0</v>
      </c>
      <c r="J372" s="705">
        <f t="shared" si="1"/>
        <v>7200</v>
      </c>
      <c r="K372" s="705">
        <f t="shared" si="2"/>
        <v>1720</v>
      </c>
      <c r="L372" s="705">
        <f t="shared" si="3"/>
        <v>8920</v>
      </c>
      <c r="M372" s="706">
        <f t="shared" si="4"/>
        <v>59.46666667</v>
      </c>
    </row>
    <row r="373">
      <c r="A373" s="702" t="s">
        <v>33056</v>
      </c>
      <c r="B373" s="702" t="s">
        <v>33062</v>
      </c>
      <c r="C373" s="707"/>
      <c r="D373" s="707"/>
      <c r="E373" s="708" t="s">
        <v>116</v>
      </c>
      <c r="F373" s="709">
        <v>100.0</v>
      </c>
      <c r="G373" s="708" t="s">
        <v>906</v>
      </c>
      <c r="H373" s="709">
        <v>74.0</v>
      </c>
      <c r="I373" s="709">
        <v>300.0</v>
      </c>
      <c r="J373" s="705">
        <f t="shared" si="1"/>
        <v>7700</v>
      </c>
      <c r="K373" s="705">
        <f t="shared" si="2"/>
        <v>1770</v>
      </c>
      <c r="L373" s="705">
        <f t="shared" si="3"/>
        <v>9470</v>
      </c>
      <c r="M373" s="706">
        <f t="shared" si="4"/>
        <v>94.7</v>
      </c>
    </row>
    <row r="374">
      <c r="A374" s="702" t="s">
        <v>33056</v>
      </c>
      <c r="B374" s="702" t="s">
        <v>33063</v>
      </c>
      <c r="C374" s="707"/>
      <c r="D374" s="707"/>
      <c r="E374" s="708" t="s">
        <v>14321</v>
      </c>
      <c r="F374" s="709">
        <v>1000.0</v>
      </c>
      <c r="G374" s="708" t="s">
        <v>20765</v>
      </c>
      <c r="H374" s="709">
        <v>4.0</v>
      </c>
      <c r="I374" s="709">
        <v>1000.0</v>
      </c>
      <c r="J374" s="705">
        <f t="shared" si="1"/>
        <v>5000</v>
      </c>
      <c r="K374" s="705">
        <f t="shared" si="2"/>
        <v>1500</v>
      </c>
      <c r="L374" s="705">
        <f t="shared" si="3"/>
        <v>6500</v>
      </c>
      <c r="M374" s="706">
        <f t="shared" si="4"/>
        <v>6.5</v>
      </c>
    </row>
    <row r="375">
      <c r="A375" s="702" t="s">
        <v>33056</v>
      </c>
      <c r="B375" s="702" t="s">
        <v>33064</v>
      </c>
      <c r="C375" s="707"/>
      <c r="D375" s="707"/>
      <c r="E375" s="708" t="s">
        <v>7868</v>
      </c>
      <c r="F375" s="709">
        <v>1000.0</v>
      </c>
      <c r="G375" s="708" t="s">
        <v>44</v>
      </c>
      <c r="H375" s="709">
        <v>110.0</v>
      </c>
      <c r="I375" s="709">
        <v>1000.0</v>
      </c>
      <c r="J375" s="705">
        <f t="shared" si="1"/>
        <v>111000</v>
      </c>
      <c r="K375" s="705">
        <f t="shared" si="2"/>
        <v>12100</v>
      </c>
      <c r="L375" s="705">
        <f t="shared" si="3"/>
        <v>123100</v>
      </c>
      <c r="M375" s="706">
        <f t="shared" si="4"/>
        <v>123.1</v>
      </c>
    </row>
    <row r="376">
      <c r="A376" s="702" t="s">
        <v>33056</v>
      </c>
      <c r="B376" s="702" t="s">
        <v>33065</v>
      </c>
      <c r="C376" s="707"/>
      <c r="D376" s="707"/>
      <c r="E376" s="708" t="s">
        <v>6421</v>
      </c>
      <c r="F376" s="709">
        <v>500.0</v>
      </c>
      <c r="G376" s="708" t="s">
        <v>44</v>
      </c>
      <c r="H376" s="709">
        <v>7.0</v>
      </c>
      <c r="I376" s="709">
        <v>500.0</v>
      </c>
      <c r="J376" s="705">
        <f t="shared" si="1"/>
        <v>4000</v>
      </c>
      <c r="K376" s="705">
        <f t="shared" si="2"/>
        <v>1400</v>
      </c>
      <c r="L376" s="705">
        <f t="shared" si="3"/>
        <v>5400</v>
      </c>
      <c r="M376" s="706">
        <f t="shared" si="4"/>
        <v>10.8</v>
      </c>
    </row>
    <row r="377">
      <c r="A377" s="702" t="s">
        <v>33066</v>
      </c>
      <c r="B377" s="702" t="s">
        <v>33067</v>
      </c>
      <c r="C377" s="707"/>
      <c r="D377" s="707"/>
      <c r="E377" s="708" t="s">
        <v>33068</v>
      </c>
      <c r="F377" s="709">
        <v>5000.0</v>
      </c>
      <c r="G377" s="708" t="s">
        <v>44</v>
      </c>
      <c r="H377" s="709">
        <v>46.0</v>
      </c>
      <c r="I377" s="709">
        <v>5000.0</v>
      </c>
      <c r="J377" s="705">
        <f t="shared" si="1"/>
        <v>235000</v>
      </c>
      <c r="K377" s="705">
        <f t="shared" si="2"/>
        <v>24500</v>
      </c>
      <c r="L377" s="705">
        <f t="shared" si="3"/>
        <v>259500</v>
      </c>
      <c r="M377" s="706">
        <f t="shared" si="4"/>
        <v>51.9</v>
      </c>
    </row>
    <row r="378">
      <c r="A378" s="702" t="s">
        <v>33066</v>
      </c>
      <c r="B378" s="702" t="s">
        <v>33069</v>
      </c>
      <c r="C378" s="707"/>
      <c r="D378" s="707"/>
      <c r="E378" s="708" t="s">
        <v>92</v>
      </c>
      <c r="F378" s="709">
        <v>100.0</v>
      </c>
      <c r="G378" s="708" t="s">
        <v>507</v>
      </c>
      <c r="H378" s="709">
        <v>85.0</v>
      </c>
      <c r="I378" s="709">
        <v>1000.0</v>
      </c>
      <c r="J378" s="705">
        <f t="shared" si="1"/>
        <v>9500</v>
      </c>
      <c r="K378" s="705">
        <f t="shared" si="2"/>
        <v>1950</v>
      </c>
      <c r="L378" s="705">
        <f t="shared" si="3"/>
        <v>11450</v>
      </c>
      <c r="M378" s="706">
        <f t="shared" si="4"/>
        <v>114.5</v>
      </c>
    </row>
    <row r="379">
      <c r="A379" s="702" t="s">
        <v>33066</v>
      </c>
      <c r="B379" s="702" t="s">
        <v>14377</v>
      </c>
      <c r="C379" s="707"/>
      <c r="D379" s="707"/>
      <c r="E379" s="708" t="s">
        <v>222</v>
      </c>
      <c r="F379" s="709">
        <v>3000.0</v>
      </c>
      <c r="G379" s="708" t="s">
        <v>44</v>
      </c>
      <c r="H379" s="709">
        <v>3.2</v>
      </c>
      <c r="I379" s="709">
        <v>3000.0</v>
      </c>
      <c r="J379" s="705">
        <f t="shared" si="1"/>
        <v>12600</v>
      </c>
      <c r="K379" s="705">
        <f t="shared" si="2"/>
        <v>2260</v>
      </c>
      <c r="L379" s="705">
        <f t="shared" si="3"/>
        <v>14860</v>
      </c>
      <c r="M379" s="706">
        <f t="shared" si="4"/>
        <v>4.953333333</v>
      </c>
    </row>
    <row r="380">
      <c r="A380" s="702" t="s">
        <v>33066</v>
      </c>
      <c r="B380" s="702" t="s">
        <v>14388</v>
      </c>
      <c r="C380" s="707"/>
      <c r="D380" s="707"/>
      <c r="E380" s="708" t="s">
        <v>31499</v>
      </c>
      <c r="F380" s="709">
        <v>6000.0</v>
      </c>
      <c r="G380" s="708" t="s">
        <v>507</v>
      </c>
      <c r="H380" s="709">
        <v>2.5</v>
      </c>
      <c r="I380" s="709">
        <v>3000.0</v>
      </c>
      <c r="J380" s="705">
        <f t="shared" si="1"/>
        <v>18000</v>
      </c>
      <c r="K380" s="705">
        <f t="shared" si="2"/>
        <v>2800</v>
      </c>
      <c r="L380" s="705">
        <f t="shared" si="3"/>
        <v>20800</v>
      </c>
      <c r="M380" s="706">
        <f t="shared" si="4"/>
        <v>3.466666667</v>
      </c>
    </row>
    <row r="381">
      <c r="A381" s="702" t="s">
        <v>33066</v>
      </c>
      <c r="B381" s="702" t="s">
        <v>14388</v>
      </c>
      <c r="C381" s="707"/>
      <c r="D381" s="707"/>
      <c r="E381" s="708" t="s">
        <v>31500</v>
      </c>
      <c r="F381" s="709">
        <v>6000.0</v>
      </c>
      <c r="G381" s="708" t="s">
        <v>507</v>
      </c>
      <c r="H381" s="709">
        <v>4.0</v>
      </c>
      <c r="I381" s="709">
        <v>3000.0</v>
      </c>
      <c r="J381" s="705">
        <f t="shared" si="1"/>
        <v>27000</v>
      </c>
      <c r="K381" s="705">
        <f t="shared" si="2"/>
        <v>3700</v>
      </c>
      <c r="L381" s="705">
        <f t="shared" si="3"/>
        <v>30700</v>
      </c>
      <c r="M381" s="706">
        <f t="shared" si="4"/>
        <v>5.116666667</v>
      </c>
    </row>
    <row r="382">
      <c r="A382" s="702" t="s">
        <v>33070</v>
      </c>
      <c r="B382" s="702" t="s">
        <v>33071</v>
      </c>
      <c r="C382" s="707"/>
      <c r="D382" s="707"/>
      <c r="E382" s="708" t="s">
        <v>9109</v>
      </c>
      <c r="F382" s="709">
        <v>1000.0</v>
      </c>
      <c r="G382" s="708" t="s">
        <v>44</v>
      </c>
      <c r="H382" s="709">
        <v>18.0</v>
      </c>
      <c r="I382" s="709">
        <v>5000.0</v>
      </c>
      <c r="J382" s="705">
        <f t="shared" si="1"/>
        <v>23000</v>
      </c>
      <c r="K382" s="705">
        <f t="shared" si="2"/>
        <v>3300</v>
      </c>
      <c r="L382" s="705">
        <f t="shared" si="3"/>
        <v>26300</v>
      </c>
      <c r="M382" s="706">
        <f t="shared" si="4"/>
        <v>26.3</v>
      </c>
      <c r="N382" s="526" t="s">
        <v>2974</v>
      </c>
    </row>
    <row r="383">
      <c r="A383" s="702" t="s">
        <v>33070</v>
      </c>
      <c r="B383" s="702" t="s">
        <v>33072</v>
      </c>
      <c r="C383" s="707"/>
      <c r="D383" s="707"/>
      <c r="E383" s="708" t="s">
        <v>10426</v>
      </c>
      <c r="F383" s="709">
        <v>5000.0</v>
      </c>
      <c r="G383" s="708" t="s">
        <v>33073</v>
      </c>
      <c r="H383" s="709">
        <v>90.0</v>
      </c>
      <c r="I383" s="709">
        <v>5000.0</v>
      </c>
      <c r="J383" s="705">
        <f t="shared" si="1"/>
        <v>455000</v>
      </c>
      <c r="K383" s="705">
        <f t="shared" si="2"/>
        <v>46500</v>
      </c>
      <c r="L383" s="705">
        <f t="shared" si="3"/>
        <v>501500</v>
      </c>
      <c r="M383" s="706">
        <f t="shared" si="4"/>
        <v>100.3</v>
      </c>
    </row>
    <row r="384">
      <c r="A384" s="702" t="s">
        <v>33070</v>
      </c>
      <c r="B384" s="702" t="s">
        <v>33074</v>
      </c>
      <c r="C384" s="707"/>
      <c r="D384" s="707"/>
      <c r="E384" s="708" t="s">
        <v>8779</v>
      </c>
      <c r="F384" s="709">
        <v>10000.0</v>
      </c>
      <c r="G384" s="708" t="s">
        <v>906</v>
      </c>
      <c r="H384" s="709">
        <v>28.0</v>
      </c>
      <c r="I384" s="709"/>
      <c r="J384" s="705">
        <f t="shared" si="1"/>
        <v>280000</v>
      </c>
      <c r="K384" s="705">
        <f t="shared" si="2"/>
        <v>29000</v>
      </c>
      <c r="L384" s="705">
        <f t="shared" si="3"/>
        <v>309000</v>
      </c>
      <c r="M384" s="713">
        <v>30.0</v>
      </c>
      <c r="N384" s="526" t="s">
        <v>33075</v>
      </c>
    </row>
    <row r="385">
      <c r="A385" s="702" t="s">
        <v>33070</v>
      </c>
      <c r="B385" s="702" t="s">
        <v>14477</v>
      </c>
      <c r="C385" s="707"/>
      <c r="D385" s="707"/>
      <c r="E385" s="708" t="s">
        <v>167</v>
      </c>
      <c r="F385" s="709">
        <v>25000.0</v>
      </c>
      <c r="G385" s="708" t="s">
        <v>33076</v>
      </c>
      <c r="H385" s="709">
        <v>6.5</v>
      </c>
      <c r="I385" s="709"/>
      <c r="J385" s="705">
        <f t="shared" si="1"/>
        <v>162500</v>
      </c>
      <c r="K385" s="705">
        <f t="shared" si="2"/>
        <v>17250</v>
      </c>
      <c r="L385" s="705">
        <f t="shared" si="3"/>
        <v>179750</v>
      </c>
      <c r="M385" s="706">
        <f t="shared" ref="M385:M1468" si="5">(L385/F385)</f>
        <v>7.19</v>
      </c>
    </row>
    <row r="386">
      <c r="A386" s="702" t="s">
        <v>33077</v>
      </c>
      <c r="B386" s="702" t="s">
        <v>14592</v>
      </c>
      <c r="C386" s="707"/>
      <c r="D386" s="707"/>
      <c r="E386" s="708" t="s">
        <v>152</v>
      </c>
      <c r="F386" s="709">
        <v>500.0</v>
      </c>
      <c r="G386" s="708" t="s">
        <v>44</v>
      </c>
      <c r="H386" s="709">
        <v>19.0</v>
      </c>
      <c r="I386" s="709">
        <v>500.0</v>
      </c>
      <c r="J386" s="705">
        <f t="shared" si="1"/>
        <v>10000</v>
      </c>
      <c r="K386" s="705">
        <f t="shared" si="2"/>
        <v>2000</v>
      </c>
      <c r="L386" s="705">
        <f t="shared" si="3"/>
        <v>12000</v>
      </c>
      <c r="M386" s="706">
        <f t="shared" si="5"/>
        <v>24</v>
      </c>
    </row>
    <row r="387">
      <c r="A387" s="702" t="s">
        <v>33077</v>
      </c>
      <c r="B387" s="702" t="s">
        <v>14595</v>
      </c>
      <c r="C387" s="707"/>
      <c r="D387" s="707"/>
      <c r="E387" s="708" t="s">
        <v>32795</v>
      </c>
      <c r="F387" s="709">
        <v>1000.0</v>
      </c>
      <c r="G387" s="708" t="s">
        <v>44</v>
      </c>
      <c r="H387" s="709">
        <v>52.0</v>
      </c>
      <c r="I387" s="709">
        <v>1000.0</v>
      </c>
      <c r="J387" s="705">
        <f t="shared" si="1"/>
        <v>53000</v>
      </c>
      <c r="K387" s="705">
        <f t="shared" si="2"/>
        <v>6300</v>
      </c>
      <c r="L387" s="705">
        <f t="shared" si="3"/>
        <v>59300</v>
      </c>
      <c r="M387" s="706">
        <f t="shared" si="5"/>
        <v>59.3</v>
      </c>
    </row>
    <row r="388">
      <c r="A388" s="702" t="s">
        <v>33077</v>
      </c>
      <c r="B388" s="702" t="s">
        <v>14621</v>
      </c>
      <c r="C388" s="707"/>
      <c r="D388" s="707"/>
      <c r="E388" s="708" t="s">
        <v>33078</v>
      </c>
      <c r="F388" s="709">
        <v>500.0</v>
      </c>
      <c r="G388" s="708" t="s">
        <v>49</v>
      </c>
      <c r="H388" s="709">
        <v>10.0</v>
      </c>
      <c r="I388" s="709">
        <v>500.0</v>
      </c>
      <c r="J388" s="705">
        <f t="shared" si="1"/>
        <v>5500</v>
      </c>
      <c r="K388" s="705">
        <f t="shared" si="2"/>
        <v>1550</v>
      </c>
      <c r="L388" s="705">
        <f t="shared" si="3"/>
        <v>7050</v>
      </c>
      <c r="M388" s="706">
        <f t="shared" si="5"/>
        <v>14.1</v>
      </c>
    </row>
    <row r="389">
      <c r="A389" s="702" t="s">
        <v>33077</v>
      </c>
      <c r="B389" s="702" t="s">
        <v>14621</v>
      </c>
      <c r="C389" s="707"/>
      <c r="D389" s="707"/>
      <c r="E389" s="708" t="s">
        <v>32999</v>
      </c>
      <c r="F389" s="709">
        <v>500.0</v>
      </c>
      <c r="G389" s="708" t="s">
        <v>49</v>
      </c>
      <c r="H389" s="709">
        <v>92.0</v>
      </c>
      <c r="I389" s="709">
        <v>500.0</v>
      </c>
      <c r="J389" s="705">
        <f t="shared" si="1"/>
        <v>46500</v>
      </c>
      <c r="K389" s="705">
        <f t="shared" si="2"/>
        <v>5650</v>
      </c>
      <c r="L389" s="705">
        <f t="shared" si="3"/>
        <v>52150</v>
      </c>
      <c r="M389" s="706">
        <f t="shared" si="5"/>
        <v>104.3</v>
      </c>
    </row>
    <row r="390">
      <c r="A390" s="702" t="s">
        <v>33077</v>
      </c>
      <c r="B390" s="702" t="s">
        <v>14621</v>
      </c>
      <c r="C390" s="707"/>
      <c r="D390" s="707"/>
      <c r="E390" s="708" t="s">
        <v>32795</v>
      </c>
      <c r="F390" s="709">
        <v>500.0</v>
      </c>
      <c r="G390" s="708" t="s">
        <v>49</v>
      </c>
      <c r="H390" s="709">
        <v>52.0</v>
      </c>
      <c r="I390" s="709">
        <v>500.0</v>
      </c>
      <c r="J390" s="705">
        <f t="shared" si="1"/>
        <v>26500</v>
      </c>
      <c r="K390" s="705">
        <f t="shared" si="2"/>
        <v>3650</v>
      </c>
      <c r="L390" s="705">
        <f t="shared" si="3"/>
        <v>30150</v>
      </c>
      <c r="M390" s="706">
        <f t="shared" si="5"/>
        <v>60.3</v>
      </c>
    </row>
    <row r="391">
      <c r="A391" s="702" t="s">
        <v>33077</v>
      </c>
      <c r="B391" s="702" t="s">
        <v>14627</v>
      </c>
      <c r="C391" s="707"/>
      <c r="D391" s="707"/>
      <c r="E391" s="708" t="s">
        <v>794</v>
      </c>
      <c r="F391" s="709">
        <v>1000.0</v>
      </c>
      <c r="G391" s="708" t="s">
        <v>99</v>
      </c>
      <c r="H391" s="709">
        <v>5.4</v>
      </c>
      <c r="I391" s="709">
        <v>1000.0</v>
      </c>
      <c r="J391" s="705">
        <f t="shared" si="1"/>
        <v>6400</v>
      </c>
      <c r="K391" s="705">
        <f t="shared" si="2"/>
        <v>1640</v>
      </c>
      <c r="L391" s="705">
        <f t="shared" si="3"/>
        <v>8040</v>
      </c>
      <c r="M391" s="706">
        <f t="shared" si="5"/>
        <v>8.04</v>
      </c>
    </row>
    <row r="392">
      <c r="A392" s="702" t="s">
        <v>33079</v>
      </c>
      <c r="B392" s="702" t="s">
        <v>33080</v>
      </c>
      <c r="C392" s="707"/>
      <c r="D392" s="707"/>
      <c r="E392" s="708" t="s">
        <v>31499</v>
      </c>
      <c r="F392" s="709">
        <v>10000.0</v>
      </c>
      <c r="G392" s="708" t="s">
        <v>507</v>
      </c>
      <c r="H392" s="709">
        <v>2.5</v>
      </c>
      <c r="I392" s="709">
        <v>5000.0</v>
      </c>
      <c r="J392" s="705">
        <f t="shared" si="1"/>
        <v>30000</v>
      </c>
      <c r="K392" s="705">
        <f t="shared" si="2"/>
        <v>4000</v>
      </c>
      <c r="L392" s="705">
        <f t="shared" si="3"/>
        <v>34000</v>
      </c>
      <c r="M392" s="706">
        <f t="shared" si="5"/>
        <v>3.4</v>
      </c>
    </row>
    <row r="393">
      <c r="A393" s="702" t="s">
        <v>33079</v>
      </c>
      <c r="B393" s="702" t="s">
        <v>14636</v>
      </c>
      <c r="C393" s="707"/>
      <c r="D393" s="707"/>
      <c r="E393" s="708" t="s">
        <v>31500</v>
      </c>
      <c r="F393" s="709">
        <v>10000.0</v>
      </c>
      <c r="G393" s="708" t="s">
        <v>507</v>
      </c>
      <c r="H393" s="709">
        <v>4.0</v>
      </c>
      <c r="I393" s="709">
        <v>5000.0</v>
      </c>
      <c r="J393" s="705">
        <f t="shared" si="1"/>
        <v>45000</v>
      </c>
      <c r="K393" s="705">
        <f t="shared" si="2"/>
        <v>5500</v>
      </c>
      <c r="L393" s="705">
        <f t="shared" si="3"/>
        <v>50500</v>
      </c>
      <c r="M393" s="706">
        <f t="shared" si="5"/>
        <v>5.05</v>
      </c>
    </row>
    <row r="394">
      <c r="A394" s="702" t="s">
        <v>33079</v>
      </c>
      <c r="B394" s="702" t="s">
        <v>14652</v>
      </c>
      <c r="C394" s="707"/>
      <c r="D394" s="707"/>
      <c r="E394" s="708" t="s">
        <v>33081</v>
      </c>
      <c r="F394" s="709">
        <v>100.0</v>
      </c>
      <c r="G394" s="708" t="s">
        <v>20765</v>
      </c>
      <c r="H394" s="709">
        <v>10.0</v>
      </c>
      <c r="I394" s="709">
        <v>500.0</v>
      </c>
      <c r="J394" s="705">
        <f t="shared" si="1"/>
        <v>1500</v>
      </c>
      <c r="K394" s="705">
        <f t="shared" si="2"/>
        <v>1150</v>
      </c>
      <c r="L394" s="705">
        <f t="shared" si="3"/>
        <v>2650</v>
      </c>
      <c r="M394" s="706">
        <f t="shared" si="5"/>
        <v>26.5</v>
      </c>
    </row>
    <row r="395">
      <c r="A395" s="702" t="s">
        <v>33079</v>
      </c>
      <c r="B395" s="702" t="s">
        <v>14652</v>
      </c>
      <c r="C395" s="707"/>
      <c r="D395" s="707"/>
      <c r="E395" s="708" t="s">
        <v>12378</v>
      </c>
      <c r="F395" s="709">
        <v>100.0</v>
      </c>
      <c r="G395" s="708" t="s">
        <v>20765</v>
      </c>
      <c r="H395" s="709">
        <v>13.2</v>
      </c>
      <c r="I395" s="709">
        <v>500.0</v>
      </c>
      <c r="J395" s="705">
        <f t="shared" si="1"/>
        <v>1820</v>
      </c>
      <c r="K395" s="705">
        <f t="shared" si="2"/>
        <v>1182</v>
      </c>
      <c r="L395" s="705">
        <f t="shared" si="3"/>
        <v>3002</v>
      </c>
      <c r="M395" s="706">
        <f t="shared" si="5"/>
        <v>30.02</v>
      </c>
    </row>
    <row r="396">
      <c r="A396" s="702" t="s">
        <v>33079</v>
      </c>
      <c r="B396" s="702" t="s">
        <v>14679</v>
      </c>
      <c r="C396" s="707"/>
      <c r="D396" s="707"/>
      <c r="E396" s="708" t="s">
        <v>116</v>
      </c>
      <c r="F396" s="709">
        <v>300.0</v>
      </c>
      <c r="G396" s="708" t="s">
        <v>7280</v>
      </c>
      <c r="H396" s="709">
        <v>84.0</v>
      </c>
      <c r="I396" s="709">
        <v>500.0</v>
      </c>
      <c r="J396" s="705">
        <f t="shared" si="1"/>
        <v>25700</v>
      </c>
      <c r="K396" s="705">
        <f t="shared" si="2"/>
        <v>3570</v>
      </c>
      <c r="L396" s="705">
        <f t="shared" si="3"/>
        <v>29270</v>
      </c>
      <c r="M396" s="706">
        <f t="shared" si="5"/>
        <v>97.56666667</v>
      </c>
    </row>
    <row r="397">
      <c r="A397" s="702" t="s">
        <v>33079</v>
      </c>
      <c r="B397" s="702" t="s">
        <v>33082</v>
      </c>
      <c r="C397" s="707"/>
      <c r="D397" s="707"/>
      <c r="E397" s="708" t="s">
        <v>207</v>
      </c>
      <c r="F397" s="709">
        <v>50000.0</v>
      </c>
      <c r="G397" s="708" t="s">
        <v>495</v>
      </c>
      <c r="H397" s="709">
        <v>10.0</v>
      </c>
      <c r="I397" s="709"/>
      <c r="J397" s="705">
        <f t="shared" si="1"/>
        <v>500000</v>
      </c>
      <c r="K397" s="705">
        <f t="shared" si="2"/>
        <v>51000</v>
      </c>
      <c r="L397" s="705">
        <f t="shared" si="3"/>
        <v>551000</v>
      </c>
      <c r="M397" s="706">
        <f t="shared" si="5"/>
        <v>11.02</v>
      </c>
    </row>
    <row r="398">
      <c r="A398" s="702" t="s">
        <v>33083</v>
      </c>
      <c r="B398" s="702" t="s">
        <v>14713</v>
      </c>
      <c r="C398" s="707"/>
      <c r="D398" s="707"/>
      <c r="E398" s="708" t="s">
        <v>116</v>
      </c>
      <c r="F398" s="709">
        <v>1000.0</v>
      </c>
      <c r="G398" s="708" t="s">
        <v>14715</v>
      </c>
      <c r="H398" s="709">
        <v>84.0</v>
      </c>
      <c r="I398" s="709">
        <v>1000.0</v>
      </c>
      <c r="J398" s="705">
        <f t="shared" si="1"/>
        <v>85000</v>
      </c>
      <c r="K398" s="705">
        <f t="shared" si="2"/>
        <v>9500</v>
      </c>
      <c r="L398" s="705">
        <f t="shared" si="3"/>
        <v>94500</v>
      </c>
      <c r="M398" s="706">
        <f t="shared" si="5"/>
        <v>94.5</v>
      </c>
    </row>
    <row r="399">
      <c r="A399" s="702" t="s">
        <v>33083</v>
      </c>
      <c r="B399" s="702" t="s">
        <v>14717</v>
      </c>
      <c r="C399" s="707"/>
      <c r="D399" s="707"/>
      <c r="E399" s="708" t="s">
        <v>2685</v>
      </c>
      <c r="F399" s="709">
        <v>200.0</v>
      </c>
      <c r="G399" s="708" t="s">
        <v>44</v>
      </c>
      <c r="H399" s="709">
        <v>48.0</v>
      </c>
      <c r="I399" s="709">
        <v>500.0</v>
      </c>
      <c r="J399" s="705">
        <f t="shared" si="1"/>
        <v>10100</v>
      </c>
      <c r="K399" s="705">
        <f t="shared" si="2"/>
        <v>2010</v>
      </c>
      <c r="L399" s="705">
        <f t="shared" si="3"/>
        <v>12110</v>
      </c>
      <c r="M399" s="706">
        <f t="shared" si="5"/>
        <v>60.55</v>
      </c>
      <c r="N399" s="526" t="s">
        <v>33084</v>
      </c>
    </row>
    <row r="400">
      <c r="A400" s="702" t="s">
        <v>33083</v>
      </c>
      <c r="B400" s="702" t="s">
        <v>14729</v>
      </c>
      <c r="C400" s="707"/>
      <c r="D400" s="707"/>
      <c r="E400" s="708" t="s">
        <v>32999</v>
      </c>
      <c r="F400" s="709">
        <v>50.0</v>
      </c>
      <c r="G400" s="708" t="s">
        <v>44</v>
      </c>
      <c r="H400" s="709">
        <v>92.0</v>
      </c>
      <c r="I400" s="709">
        <v>250.0</v>
      </c>
      <c r="J400" s="705">
        <f t="shared" si="1"/>
        <v>4850</v>
      </c>
      <c r="K400" s="705">
        <f t="shared" si="2"/>
        <v>1485</v>
      </c>
      <c r="L400" s="705">
        <f t="shared" si="3"/>
        <v>6335</v>
      </c>
      <c r="M400" s="706">
        <f t="shared" si="5"/>
        <v>126.7</v>
      </c>
    </row>
    <row r="401">
      <c r="A401" s="702" t="s">
        <v>33083</v>
      </c>
      <c r="B401" s="702" t="s">
        <v>14733</v>
      </c>
      <c r="C401" s="707"/>
      <c r="D401" s="707"/>
      <c r="E401" s="708" t="s">
        <v>9109</v>
      </c>
      <c r="F401" s="709">
        <v>750.0</v>
      </c>
      <c r="G401" s="708" t="s">
        <v>44</v>
      </c>
      <c r="H401" s="709">
        <v>18.0</v>
      </c>
      <c r="I401" s="709">
        <v>1000.0</v>
      </c>
      <c r="J401" s="705">
        <f t="shared" si="1"/>
        <v>14500</v>
      </c>
      <c r="K401" s="705">
        <f t="shared" si="2"/>
        <v>2450</v>
      </c>
      <c r="L401" s="705">
        <f t="shared" si="3"/>
        <v>16950</v>
      </c>
      <c r="M401" s="706">
        <f t="shared" si="5"/>
        <v>22.6</v>
      </c>
      <c r="N401" s="526" t="s">
        <v>33085</v>
      </c>
    </row>
    <row r="402">
      <c r="A402" s="702" t="s">
        <v>33083</v>
      </c>
      <c r="B402" s="702" t="s">
        <v>14736</v>
      </c>
      <c r="C402" s="707"/>
      <c r="D402" s="707"/>
      <c r="E402" s="708" t="s">
        <v>33086</v>
      </c>
      <c r="F402" s="709">
        <v>15000.0</v>
      </c>
      <c r="G402" s="708" t="s">
        <v>906</v>
      </c>
      <c r="H402" s="709">
        <v>5.0</v>
      </c>
      <c r="I402" s="709"/>
      <c r="J402" s="705">
        <f t="shared" si="1"/>
        <v>75000</v>
      </c>
      <c r="K402" s="705">
        <f t="shared" si="2"/>
        <v>8500</v>
      </c>
      <c r="L402" s="705">
        <f t="shared" si="3"/>
        <v>83500</v>
      </c>
      <c r="M402" s="706">
        <f t="shared" si="5"/>
        <v>5.566666667</v>
      </c>
      <c r="N402" s="526" t="s">
        <v>33087</v>
      </c>
    </row>
    <row r="403">
      <c r="A403" s="702" t="s">
        <v>33083</v>
      </c>
      <c r="B403" s="702" t="s">
        <v>14752</v>
      </c>
      <c r="C403" s="707"/>
      <c r="D403" s="707"/>
      <c r="E403" s="708" t="s">
        <v>116</v>
      </c>
      <c r="F403" s="709">
        <v>500.0</v>
      </c>
      <c r="G403" s="708" t="s">
        <v>3861</v>
      </c>
      <c r="H403" s="709">
        <v>84.0</v>
      </c>
      <c r="I403" s="709">
        <v>500.0</v>
      </c>
      <c r="J403" s="705">
        <f t="shared" si="1"/>
        <v>42500</v>
      </c>
      <c r="K403" s="705">
        <f t="shared" si="2"/>
        <v>5250</v>
      </c>
      <c r="L403" s="705">
        <f t="shared" si="3"/>
        <v>47750</v>
      </c>
      <c r="M403" s="706">
        <f t="shared" si="5"/>
        <v>95.5</v>
      </c>
    </row>
    <row r="404">
      <c r="A404" s="702" t="s">
        <v>33083</v>
      </c>
      <c r="B404" s="702" t="s">
        <v>14755</v>
      </c>
      <c r="C404" s="707"/>
      <c r="D404" s="707"/>
      <c r="E404" s="708" t="s">
        <v>152</v>
      </c>
      <c r="F404" s="709">
        <v>100.0</v>
      </c>
      <c r="G404" s="708" t="s">
        <v>3861</v>
      </c>
      <c r="H404" s="709">
        <v>19.0</v>
      </c>
      <c r="I404" s="709">
        <v>300.0</v>
      </c>
      <c r="J404" s="705">
        <f t="shared" si="1"/>
        <v>2200</v>
      </c>
      <c r="K404" s="705">
        <f t="shared" si="2"/>
        <v>1220</v>
      </c>
      <c r="L404" s="705">
        <f t="shared" si="3"/>
        <v>3420</v>
      </c>
      <c r="M404" s="706">
        <f t="shared" si="5"/>
        <v>34.2</v>
      </c>
    </row>
    <row r="405">
      <c r="A405" s="702" t="s">
        <v>33083</v>
      </c>
      <c r="B405" s="702" t="s">
        <v>14763</v>
      </c>
      <c r="C405" s="707"/>
      <c r="D405" s="707"/>
      <c r="E405" s="708" t="s">
        <v>10426</v>
      </c>
      <c r="F405" s="709">
        <v>1000.0</v>
      </c>
      <c r="G405" s="708" t="s">
        <v>1461</v>
      </c>
      <c r="H405" s="709">
        <v>90.0</v>
      </c>
      <c r="I405" s="709">
        <v>1000.0</v>
      </c>
      <c r="J405" s="705">
        <f t="shared" si="1"/>
        <v>91000</v>
      </c>
      <c r="K405" s="705">
        <f t="shared" si="2"/>
        <v>10100</v>
      </c>
      <c r="L405" s="705">
        <f t="shared" si="3"/>
        <v>101100</v>
      </c>
      <c r="M405" s="706">
        <f t="shared" si="5"/>
        <v>101.1</v>
      </c>
    </row>
    <row r="406">
      <c r="A406" s="702" t="s">
        <v>33088</v>
      </c>
      <c r="B406" s="702" t="s">
        <v>14794</v>
      </c>
      <c r="C406" s="707"/>
      <c r="D406" s="707"/>
      <c r="E406" s="708" t="s">
        <v>1749</v>
      </c>
      <c r="F406" s="709">
        <v>1000.0</v>
      </c>
      <c r="G406" s="708" t="s">
        <v>99</v>
      </c>
      <c r="H406" s="709">
        <v>52.0</v>
      </c>
      <c r="I406" s="709">
        <v>1000.0</v>
      </c>
      <c r="J406" s="705">
        <f t="shared" si="1"/>
        <v>53000</v>
      </c>
      <c r="K406" s="705">
        <f t="shared" si="2"/>
        <v>6300</v>
      </c>
      <c r="L406" s="705">
        <f t="shared" si="3"/>
        <v>59300</v>
      </c>
      <c r="M406" s="706">
        <f t="shared" si="5"/>
        <v>59.3</v>
      </c>
    </row>
    <row r="407">
      <c r="A407" s="702" t="s">
        <v>33088</v>
      </c>
      <c r="B407" s="702" t="s">
        <v>14798</v>
      </c>
      <c r="C407" s="707"/>
      <c r="D407" s="707"/>
      <c r="E407" s="708" t="s">
        <v>33089</v>
      </c>
      <c r="F407" s="709">
        <v>25000.0</v>
      </c>
      <c r="G407" s="708" t="s">
        <v>1029</v>
      </c>
      <c r="H407" s="709">
        <v>84.0</v>
      </c>
      <c r="I407" s="709"/>
      <c r="J407" s="705">
        <f t="shared" si="1"/>
        <v>2100000</v>
      </c>
      <c r="K407" s="705">
        <f t="shared" si="2"/>
        <v>211000</v>
      </c>
      <c r="L407" s="705">
        <f t="shared" si="3"/>
        <v>2311000</v>
      </c>
      <c r="M407" s="706">
        <f t="shared" si="5"/>
        <v>92.44</v>
      </c>
    </row>
    <row r="408">
      <c r="A408" s="702" t="s">
        <v>33088</v>
      </c>
      <c r="B408" s="702" t="s">
        <v>14806</v>
      </c>
      <c r="C408" s="707"/>
      <c r="D408" s="707"/>
      <c r="E408" s="708" t="s">
        <v>31500</v>
      </c>
      <c r="F408" s="709">
        <v>400000.0</v>
      </c>
      <c r="G408" s="708" t="s">
        <v>507</v>
      </c>
      <c r="H408" s="709">
        <v>4.0</v>
      </c>
      <c r="I408" s="709">
        <v>20000.0</v>
      </c>
      <c r="J408" s="705">
        <f t="shared" si="1"/>
        <v>1620000</v>
      </c>
      <c r="K408" s="705">
        <f t="shared" si="2"/>
        <v>163000</v>
      </c>
      <c r="L408" s="705">
        <f t="shared" si="3"/>
        <v>1783000</v>
      </c>
      <c r="M408" s="706">
        <f t="shared" si="5"/>
        <v>4.4575</v>
      </c>
    </row>
    <row r="409">
      <c r="A409" s="702" t="s">
        <v>33088</v>
      </c>
      <c r="B409" s="702" t="s">
        <v>14813</v>
      </c>
      <c r="C409" s="707"/>
      <c r="D409" s="707"/>
      <c r="E409" s="708" t="s">
        <v>47</v>
      </c>
      <c r="F409" s="709">
        <v>1000.0</v>
      </c>
      <c r="G409" s="708" t="s">
        <v>507</v>
      </c>
      <c r="H409" s="709">
        <v>5.0</v>
      </c>
      <c r="I409" s="709">
        <v>1000.0</v>
      </c>
      <c r="J409" s="705">
        <f t="shared" si="1"/>
        <v>6000</v>
      </c>
      <c r="K409" s="705">
        <f t="shared" si="2"/>
        <v>1600</v>
      </c>
      <c r="L409" s="705">
        <f t="shared" si="3"/>
        <v>7600</v>
      </c>
      <c r="M409" s="706">
        <f t="shared" si="5"/>
        <v>7.6</v>
      </c>
      <c r="N409" s="526" t="s">
        <v>33090</v>
      </c>
    </row>
    <row r="410">
      <c r="A410" s="702" t="s">
        <v>33088</v>
      </c>
      <c r="B410" s="702" t="s">
        <v>14815</v>
      </c>
      <c r="C410" s="707"/>
      <c r="D410" s="707"/>
      <c r="E410" s="708" t="s">
        <v>33091</v>
      </c>
      <c r="F410" s="709">
        <v>1000.0</v>
      </c>
      <c r="G410" s="708" t="s">
        <v>44</v>
      </c>
      <c r="H410" s="709">
        <v>15.0</v>
      </c>
      <c r="I410" s="709">
        <v>5000.0</v>
      </c>
      <c r="J410" s="705">
        <f t="shared" si="1"/>
        <v>20000</v>
      </c>
      <c r="K410" s="705">
        <f t="shared" si="2"/>
        <v>3000</v>
      </c>
      <c r="L410" s="705">
        <f t="shared" si="3"/>
        <v>23000</v>
      </c>
      <c r="M410" s="706">
        <f t="shared" si="5"/>
        <v>23</v>
      </c>
      <c r="N410" s="526" t="s">
        <v>33092</v>
      </c>
    </row>
    <row r="411">
      <c r="A411" s="702" t="s">
        <v>33088</v>
      </c>
      <c r="B411" s="702" t="s">
        <v>14821</v>
      </c>
      <c r="C411" s="707"/>
      <c r="D411" s="707"/>
      <c r="E411" s="708" t="s">
        <v>152</v>
      </c>
      <c r="F411" s="709">
        <v>10000.0</v>
      </c>
      <c r="G411" s="708" t="s">
        <v>33093</v>
      </c>
      <c r="H411" s="709">
        <v>17.0</v>
      </c>
      <c r="I411" s="709"/>
      <c r="J411" s="705">
        <f t="shared" si="1"/>
        <v>170000</v>
      </c>
      <c r="K411" s="705">
        <f t="shared" si="2"/>
        <v>18000</v>
      </c>
      <c r="L411" s="705">
        <f t="shared" si="3"/>
        <v>188000</v>
      </c>
      <c r="M411" s="706">
        <f t="shared" si="5"/>
        <v>18.8</v>
      </c>
    </row>
    <row r="412">
      <c r="A412" s="702" t="s">
        <v>33088</v>
      </c>
      <c r="B412" s="702" t="s">
        <v>14831</v>
      </c>
      <c r="C412" s="707"/>
      <c r="D412" s="707"/>
      <c r="E412" s="708" t="s">
        <v>1930</v>
      </c>
      <c r="F412" s="709">
        <v>100.0</v>
      </c>
      <c r="G412" s="708" t="s">
        <v>33094</v>
      </c>
      <c r="H412" s="709">
        <v>30.0</v>
      </c>
      <c r="I412" s="709">
        <v>300.0</v>
      </c>
      <c r="J412" s="705">
        <f t="shared" si="1"/>
        <v>3300</v>
      </c>
      <c r="K412" s="705">
        <f t="shared" si="2"/>
        <v>1330</v>
      </c>
      <c r="L412" s="705">
        <f t="shared" si="3"/>
        <v>4630</v>
      </c>
      <c r="M412" s="706">
        <f t="shared" si="5"/>
        <v>46.3</v>
      </c>
      <c r="N412" s="526" t="s">
        <v>33095</v>
      </c>
    </row>
    <row r="413">
      <c r="A413" s="702" t="s">
        <v>33088</v>
      </c>
      <c r="B413" s="702" t="s">
        <v>33096</v>
      </c>
      <c r="C413" s="707"/>
      <c r="D413" s="707"/>
      <c r="E413" s="708" t="s">
        <v>523</v>
      </c>
      <c r="F413" s="709">
        <v>42000.0</v>
      </c>
      <c r="G413" s="708" t="s">
        <v>184</v>
      </c>
      <c r="H413" s="709">
        <v>5.2</v>
      </c>
      <c r="I413" s="709"/>
      <c r="J413" s="705">
        <f t="shared" si="1"/>
        <v>218400</v>
      </c>
      <c r="K413" s="705">
        <f t="shared" si="2"/>
        <v>22840</v>
      </c>
      <c r="L413" s="705">
        <f t="shared" si="3"/>
        <v>241240</v>
      </c>
      <c r="M413" s="706">
        <f t="shared" si="5"/>
        <v>5.743809524</v>
      </c>
    </row>
    <row r="414">
      <c r="A414" s="702" t="s">
        <v>33097</v>
      </c>
      <c r="B414" s="702" t="s">
        <v>14850</v>
      </c>
      <c r="C414" s="707"/>
      <c r="D414" s="707"/>
      <c r="E414" s="708" t="s">
        <v>33098</v>
      </c>
      <c r="F414" s="709">
        <v>500.0</v>
      </c>
      <c r="G414" s="708" t="s">
        <v>20765</v>
      </c>
      <c r="H414" s="709">
        <v>10.0</v>
      </c>
      <c r="I414" s="709"/>
      <c r="J414" s="705">
        <f t="shared" si="1"/>
        <v>5000</v>
      </c>
      <c r="K414" s="705">
        <f t="shared" si="2"/>
        <v>1500</v>
      </c>
      <c r="L414" s="705">
        <f t="shared" si="3"/>
        <v>6500</v>
      </c>
      <c r="M414" s="706">
        <f t="shared" si="5"/>
        <v>13</v>
      </c>
    </row>
    <row r="415">
      <c r="A415" s="702" t="s">
        <v>33097</v>
      </c>
      <c r="B415" s="702" t="s">
        <v>14850</v>
      </c>
      <c r="C415" s="707"/>
      <c r="D415" s="707"/>
      <c r="E415" s="708" t="s">
        <v>1749</v>
      </c>
      <c r="F415" s="709">
        <v>500.0</v>
      </c>
      <c r="G415" s="708" t="s">
        <v>20765</v>
      </c>
      <c r="H415" s="709">
        <v>52.0</v>
      </c>
      <c r="I415" s="709"/>
      <c r="J415" s="705">
        <f t="shared" si="1"/>
        <v>26000</v>
      </c>
      <c r="K415" s="705">
        <f t="shared" si="2"/>
        <v>3600</v>
      </c>
      <c r="L415" s="705">
        <f t="shared" si="3"/>
        <v>29600</v>
      </c>
      <c r="M415" s="706">
        <f t="shared" si="5"/>
        <v>59.2</v>
      </c>
    </row>
    <row r="416">
      <c r="A416" s="702" t="s">
        <v>33099</v>
      </c>
      <c r="B416" s="702" t="s">
        <v>14863</v>
      </c>
      <c r="C416" s="707"/>
      <c r="D416" s="707"/>
      <c r="E416" s="708" t="s">
        <v>33100</v>
      </c>
      <c r="F416" s="709">
        <v>200.0</v>
      </c>
      <c r="G416" s="708" t="s">
        <v>507</v>
      </c>
      <c r="H416" s="709">
        <v>100.0</v>
      </c>
      <c r="I416" s="709">
        <v>200.0</v>
      </c>
      <c r="J416" s="705">
        <f t="shared" si="1"/>
        <v>20200</v>
      </c>
      <c r="K416" s="705">
        <f t="shared" si="2"/>
        <v>3020</v>
      </c>
      <c r="L416" s="705">
        <f t="shared" si="3"/>
        <v>23220</v>
      </c>
      <c r="M416" s="706">
        <f t="shared" si="5"/>
        <v>116.1</v>
      </c>
      <c r="N416" s="526" t="s">
        <v>33101</v>
      </c>
    </row>
    <row r="417">
      <c r="A417" s="702" t="s">
        <v>33099</v>
      </c>
      <c r="B417" s="702" t="s">
        <v>14870</v>
      </c>
      <c r="C417" s="707"/>
      <c r="D417" s="707"/>
      <c r="E417" s="708" t="s">
        <v>625</v>
      </c>
      <c r="F417" s="709">
        <v>5000.0</v>
      </c>
      <c r="G417" s="708" t="s">
        <v>1082</v>
      </c>
      <c r="H417" s="709">
        <v>25.0</v>
      </c>
      <c r="I417" s="709">
        <v>5000.0</v>
      </c>
      <c r="J417" s="705">
        <f t="shared" si="1"/>
        <v>130000</v>
      </c>
      <c r="K417" s="705">
        <f t="shared" si="2"/>
        <v>14000</v>
      </c>
      <c r="L417" s="705">
        <f t="shared" si="3"/>
        <v>144000</v>
      </c>
      <c r="M417" s="706">
        <f t="shared" si="5"/>
        <v>28.8</v>
      </c>
      <c r="N417" s="526" t="s">
        <v>33102</v>
      </c>
    </row>
    <row r="418">
      <c r="A418" s="702" t="s">
        <v>33099</v>
      </c>
      <c r="B418" s="702" t="s">
        <v>14878</v>
      </c>
      <c r="C418" s="707"/>
      <c r="D418" s="707"/>
      <c r="E418" s="708" t="s">
        <v>4507</v>
      </c>
      <c r="F418" s="709">
        <v>2000.0</v>
      </c>
      <c r="G418" s="708" t="s">
        <v>1082</v>
      </c>
      <c r="H418" s="709">
        <v>5.0</v>
      </c>
      <c r="I418" s="709"/>
      <c r="J418" s="705">
        <f t="shared" si="1"/>
        <v>10000</v>
      </c>
      <c r="K418" s="705">
        <f t="shared" si="2"/>
        <v>2000</v>
      </c>
      <c r="L418" s="705">
        <f t="shared" si="3"/>
        <v>12000</v>
      </c>
      <c r="M418" s="706">
        <f t="shared" si="5"/>
        <v>6</v>
      </c>
      <c r="N418" s="526" t="s">
        <v>33103</v>
      </c>
    </row>
    <row r="419">
      <c r="A419" s="702" t="s">
        <v>33099</v>
      </c>
      <c r="B419" s="702" t="s">
        <v>14896</v>
      </c>
      <c r="C419" s="707"/>
      <c r="D419" s="707"/>
      <c r="E419" s="708" t="s">
        <v>33104</v>
      </c>
      <c r="F419" s="709">
        <v>2000.0</v>
      </c>
      <c r="G419" s="708" t="s">
        <v>1082</v>
      </c>
      <c r="H419" s="709">
        <v>7.0</v>
      </c>
      <c r="I419" s="709">
        <v>2000.0</v>
      </c>
      <c r="J419" s="705">
        <f t="shared" si="1"/>
        <v>16000</v>
      </c>
      <c r="K419" s="705">
        <f t="shared" si="2"/>
        <v>2600</v>
      </c>
      <c r="L419" s="705">
        <f t="shared" si="3"/>
        <v>18600</v>
      </c>
      <c r="M419" s="706">
        <f t="shared" si="5"/>
        <v>9.3</v>
      </c>
      <c r="N419" s="526" t="s">
        <v>33105</v>
      </c>
    </row>
    <row r="420">
      <c r="A420" s="702" t="s">
        <v>33099</v>
      </c>
      <c r="B420" s="702" t="s">
        <v>14899</v>
      </c>
      <c r="C420" s="707"/>
      <c r="D420" s="707"/>
      <c r="E420" s="708" t="s">
        <v>7371</v>
      </c>
      <c r="F420" s="709">
        <v>5000.0</v>
      </c>
      <c r="G420" s="708" t="s">
        <v>1082</v>
      </c>
      <c r="H420" s="709">
        <v>100.0</v>
      </c>
      <c r="I420" s="709">
        <v>5000.0</v>
      </c>
      <c r="J420" s="705">
        <f t="shared" si="1"/>
        <v>505000</v>
      </c>
      <c r="K420" s="705">
        <f t="shared" si="2"/>
        <v>51500</v>
      </c>
      <c r="L420" s="705">
        <f t="shared" si="3"/>
        <v>556500</v>
      </c>
      <c r="M420" s="706">
        <f t="shared" si="5"/>
        <v>111.3</v>
      </c>
      <c r="N420" s="526" t="s">
        <v>33106</v>
      </c>
    </row>
    <row r="421">
      <c r="A421" s="702" t="s">
        <v>33099</v>
      </c>
      <c r="B421" s="702" t="s">
        <v>14901</v>
      </c>
      <c r="C421" s="707"/>
      <c r="D421" s="707"/>
      <c r="E421" s="708" t="s">
        <v>33107</v>
      </c>
      <c r="F421" s="709">
        <v>1000.0</v>
      </c>
      <c r="G421" s="708" t="s">
        <v>1082</v>
      </c>
      <c r="H421" s="709">
        <v>5.0</v>
      </c>
      <c r="I421" s="709">
        <v>1000.0</v>
      </c>
      <c r="J421" s="705">
        <f t="shared" si="1"/>
        <v>6000</v>
      </c>
      <c r="K421" s="705">
        <f t="shared" si="2"/>
        <v>1600</v>
      </c>
      <c r="L421" s="705">
        <f t="shared" si="3"/>
        <v>7600</v>
      </c>
      <c r="M421" s="706">
        <f t="shared" si="5"/>
        <v>7.6</v>
      </c>
      <c r="N421" s="526" t="s">
        <v>33108</v>
      </c>
    </row>
    <row r="422">
      <c r="A422" s="702" t="s">
        <v>33099</v>
      </c>
      <c r="B422" s="702" t="s">
        <v>14892</v>
      </c>
      <c r="C422" s="707"/>
      <c r="D422" s="707"/>
      <c r="E422" s="708" t="s">
        <v>31499</v>
      </c>
      <c r="F422" s="709">
        <v>2000.0</v>
      </c>
      <c r="G422" s="708" t="s">
        <v>507</v>
      </c>
      <c r="H422" s="709">
        <v>2.5</v>
      </c>
      <c r="I422" s="709">
        <v>1000.0</v>
      </c>
      <c r="J422" s="705">
        <f t="shared" si="1"/>
        <v>6000</v>
      </c>
      <c r="K422" s="705">
        <f t="shared" si="2"/>
        <v>1600</v>
      </c>
      <c r="L422" s="705">
        <f t="shared" si="3"/>
        <v>7600</v>
      </c>
      <c r="M422" s="706">
        <f t="shared" si="5"/>
        <v>3.8</v>
      </c>
    </row>
    <row r="423">
      <c r="A423" s="702" t="s">
        <v>33099</v>
      </c>
      <c r="B423" s="702" t="s">
        <v>14892</v>
      </c>
      <c r="C423" s="707"/>
      <c r="D423" s="707"/>
      <c r="E423" s="708" t="s">
        <v>31500</v>
      </c>
      <c r="F423" s="709">
        <v>2000.0</v>
      </c>
      <c r="G423" s="708" t="s">
        <v>507</v>
      </c>
      <c r="H423" s="709">
        <v>4.0</v>
      </c>
      <c r="I423" s="709">
        <v>1000.0</v>
      </c>
      <c r="J423" s="705">
        <f t="shared" si="1"/>
        <v>9000</v>
      </c>
      <c r="K423" s="705">
        <f t="shared" si="2"/>
        <v>1900</v>
      </c>
      <c r="L423" s="705">
        <f t="shared" si="3"/>
        <v>10900</v>
      </c>
      <c r="M423" s="706">
        <f t="shared" si="5"/>
        <v>5.45</v>
      </c>
    </row>
    <row r="424">
      <c r="A424" s="702" t="s">
        <v>33109</v>
      </c>
      <c r="B424" s="702" t="s">
        <v>33110</v>
      </c>
      <c r="C424" s="707"/>
      <c r="D424" s="707"/>
      <c r="E424" s="708" t="s">
        <v>202</v>
      </c>
      <c r="F424" s="709">
        <v>300.0</v>
      </c>
      <c r="G424" s="708" t="s">
        <v>495</v>
      </c>
      <c r="H424" s="709">
        <v>4.6</v>
      </c>
      <c r="I424" s="709"/>
      <c r="J424" s="705">
        <f t="shared" si="1"/>
        <v>1380</v>
      </c>
      <c r="K424" s="705">
        <f t="shared" si="2"/>
        <v>1138</v>
      </c>
      <c r="L424" s="705">
        <f t="shared" si="3"/>
        <v>2518</v>
      </c>
      <c r="M424" s="706">
        <f t="shared" si="5"/>
        <v>8.393333333</v>
      </c>
    </row>
    <row r="425">
      <c r="A425" s="702" t="s">
        <v>33109</v>
      </c>
      <c r="B425" s="702" t="s">
        <v>33111</v>
      </c>
      <c r="C425" s="707"/>
      <c r="D425" s="707"/>
      <c r="E425" s="708" t="s">
        <v>32999</v>
      </c>
      <c r="F425" s="709">
        <v>500.0</v>
      </c>
      <c r="G425" s="708" t="s">
        <v>1691</v>
      </c>
      <c r="H425" s="709">
        <v>86.0</v>
      </c>
      <c r="I425" s="709">
        <v>500.0</v>
      </c>
      <c r="J425" s="705">
        <f t="shared" si="1"/>
        <v>43500</v>
      </c>
      <c r="K425" s="705">
        <f t="shared" si="2"/>
        <v>5350</v>
      </c>
      <c r="L425" s="705">
        <f t="shared" si="3"/>
        <v>48850</v>
      </c>
      <c r="M425" s="706">
        <f t="shared" si="5"/>
        <v>97.7</v>
      </c>
    </row>
    <row r="426">
      <c r="A426" s="702" t="s">
        <v>33109</v>
      </c>
      <c r="B426" s="702" t="s">
        <v>33111</v>
      </c>
      <c r="C426" s="707"/>
      <c r="D426" s="707"/>
      <c r="E426" s="708" t="s">
        <v>501</v>
      </c>
      <c r="F426" s="709">
        <v>500.0</v>
      </c>
      <c r="G426" s="708" t="s">
        <v>1691</v>
      </c>
      <c r="H426" s="709">
        <v>10.0</v>
      </c>
      <c r="I426" s="709">
        <v>500.0</v>
      </c>
      <c r="J426" s="705">
        <f t="shared" si="1"/>
        <v>5500</v>
      </c>
      <c r="K426" s="705">
        <f t="shared" si="2"/>
        <v>1550</v>
      </c>
      <c r="L426" s="705">
        <f t="shared" si="3"/>
        <v>7050</v>
      </c>
      <c r="M426" s="706">
        <f t="shared" si="5"/>
        <v>14.1</v>
      </c>
    </row>
    <row r="427">
      <c r="A427" s="702" t="s">
        <v>33109</v>
      </c>
      <c r="B427" s="702" t="s">
        <v>33111</v>
      </c>
      <c r="C427" s="707"/>
      <c r="D427" s="707"/>
      <c r="E427" s="708" t="s">
        <v>1550</v>
      </c>
      <c r="F427" s="709">
        <v>500.0</v>
      </c>
      <c r="G427" s="708" t="s">
        <v>1691</v>
      </c>
      <c r="H427" s="709">
        <v>14.0</v>
      </c>
      <c r="I427" s="709">
        <v>500.0</v>
      </c>
      <c r="J427" s="705">
        <f t="shared" si="1"/>
        <v>7500</v>
      </c>
      <c r="K427" s="705">
        <f t="shared" si="2"/>
        <v>1750</v>
      </c>
      <c r="L427" s="705">
        <f t="shared" si="3"/>
        <v>9250</v>
      </c>
      <c r="M427" s="706">
        <f t="shared" si="5"/>
        <v>18.5</v>
      </c>
    </row>
    <row r="428">
      <c r="A428" s="702" t="s">
        <v>33109</v>
      </c>
      <c r="B428" s="702" t="s">
        <v>14923</v>
      </c>
      <c r="C428" s="707"/>
      <c r="D428" s="707"/>
      <c r="E428" s="708" t="s">
        <v>5844</v>
      </c>
      <c r="F428" s="709">
        <v>20000.0</v>
      </c>
      <c r="G428" s="708" t="s">
        <v>638</v>
      </c>
      <c r="H428" s="709">
        <v>35.0</v>
      </c>
      <c r="I428" s="709"/>
      <c r="J428" s="705">
        <f t="shared" si="1"/>
        <v>700000</v>
      </c>
      <c r="K428" s="705">
        <f t="shared" si="2"/>
        <v>71000</v>
      </c>
      <c r="L428" s="705">
        <f t="shared" si="3"/>
        <v>771000</v>
      </c>
      <c r="M428" s="706">
        <f t="shared" si="5"/>
        <v>38.55</v>
      </c>
      <c r="N428" s="526" t="s">
        <v>33112</v>
      </c>
    </row>
    <row r="429">
      <c r="A429" s="702" t="s">
        <v>33113</v>
      </c>
      <c r="B429" s="702" t="s">
        <v>14906</v>
      </c>
      <c r="C429" s="707"/>
      <c r="D429" s="707"/>
      <c r="E429" s="708" t="s">
        <v>6421</v>
      </c>
      <c r="F429" s="709">
        <v>1000.0</v>
      </c>
      <c r="G429" s="708" t="s">
        <v>1082</v>
      </c>
      <c r="H429" s="709">
        <v>7.5</v>
      </c>
      <c r="I429" s="709">
        <v>1000.0</v>
      </c>
      <c r="J429" s="705">
        <f t="shared" si="1"/>
        <v>8500</v>
      </c>
      <c r="K429" s="705">
        <f t="shared" si="2"/>
        <v>1850</v>
      </c>
      <c r="L429" s="705">
        <f t="shared" si="3"/>
        <v>10350</v>
      </c>
      <c r="M429" s="706">
        <f t="shared" si="5"/>
        <v>10.35</v>
      </c>
    </row>
    <row r="430">
      <c r="A430" s="702" t="s">
        <v>33113</v>
      </c>
      <c r="B430" s="702" t="s">
        <v>14916</v>
      </c>
      <c r="C430" s="707"/>
      <c r="D430" s="707"/>
      <c r="E430" s="708" t="s">
        <v>152</v>
      </c>
      <c r="F430" s="709">
        <v>1000.0</v>
      </c>
      <c r="G430" s="708" t="s">
        <v>507</v>
      </c>
      <c r="H430" s="709">
        <v>19.0</v>
      </c>
      <c r="I430" s="709">
        <v>1000.0</v>
      </c>
      <c r="J430" s="705">
        <f t="shared" si="1"/>
        <v>20000</v>
      </c>
      <c r="K430" s="705">
        <f t="shared" si="2"/>
        <v>3000</v>
      </c>
      <c r="L430" s="705">
        <f t="shared" si="3"/>
        <v>23000</v>
      </c>
      <c r="M430" s="706">
        <f t="shared" si="5"/>
        <v>23</v>
      </c>
    </row>
    <row r="431">
      <c r="A431" s="702" t="s">
        <v>33113</v>
      </c>
      <c r="B431" s="702" t="s">
        <v>14920</v>
      </c>
      <c r="C431" s="707"/>
      <c r="D431" s="707"/>
      <c r="E431" s="708" t="s">
        <v>207</v>
      </c>
      <c r="F431" s="709">
        <v>15000.0</v>
      </c>
      <c r="G431" s="708" t="s">
        <v>495</v>
      </c>
      <c r="H431" s="709">
        <v>10.0</v>
      </c>
      <c r="I431" s="709"/>
      <c r="J431" s="705">
        <f t="shared" si="1"/>
        <v>150000</v>
      </c>
      <c r="K431" s="705">
        <f t="shared" si="2"/>
        <v>16000</v>
      </c>
      <c r="L431" s="705">
        <f t="shared" si="3"/>
        <v>166000</v>
      </c>
      <c r="M431" s="706">
        <f t="shared" si="5"/>
        <v>11.06666667</v>
      </c>
    </row>
    <row r="432">
      <c r="A432" s="702" t="s">
        <v>33113</v>
      </c>
      <c r="B432" s="702" t="s">
        <v>14927</v>
      </c>
      <c r="C432" s="707"/>
      <c r="D432" s="707"/>
      <c r="E432" s="708" t="s">
        <v>147</v>
      </c>
      <c r="F432" s="709">
        <v>5000.0</v>
      </c>
      <c r="G432" s="708" t="s">
        <v>1082</v>
      </c>
      <c r="H432" s="709">
        <v>10.5</v>
      </c>
      <c r="I432" s="709">
        <v>5000.0</v>
      </c>
      <c r="J432" s="705">
        <f t="shared" si="1"/>
        <v>57500</v>
      </c>
      <c r="K432" s="705">
        <f t="shared" si="2"/>
        <v>6750</v>
      </c>
      <c r="L432" s="705">
        <f t="shared" si="3"/>
        <v>64250</v>
      </c>
      <c r="M432" s="706">
        <f t="shared" si="5"/>
        <v>12.85</v>
      </c>
    </row>
    <row r="433">
      <c r="A433" s="702" t="s">
        <v>33113</v>
      </c>
      <c r="B433" s="702" t="s">
        <v>14927</v>
      </c>
      <c r="C433" s="707"/>
      <c r="D433" s="707"/>
      <c r="E433" s="708" t="s">
        <v>6600</v>
      </c>
      <c r="F433" s="709">
        <v>27000.0</v>
      </c>
      <c r="G433" s="708" t="s">
        <v>1082</v>
      </c>
      <c r="H433" s="709">
        <v>7.5</v>
      </c>
      <c r="I433" s="709"/>
      <c r="J433" s="705">
        <f t="shared" si="1"/>
        <v>202500</v>
      </c>
      <c r="K433" s="705">
        <f t="shared" si="2"/>
        <v>21250</v>
      </c>
      <c r="L433" s="705">
        <f t="shared" si="3"/>
        <v>223750</v>
      </c>
      <c r="M433" s="706">
        <f t="shared" si="5"/>
        <v>8.287037037</v>
      </c>
    </row>
    <row r="434">
      <c r="A434" s="702" t="s">
        <v>33113</v>
      </c>
      <c r="B434" s="702" t="s">
        <v>14933</v>
      </c>
      <c r="C434" s="707"/>
      <c r="D434" s="707"/>
      <c r="E434" s="708" t="s">
        <v>31</v>
      </c>
      <c r="F434" s="709">
        <v>1000.0</v>
      </c>
      <c r="G434" s="708" t="s">
        <v>131</v>
      </c>
      <c r="H434" s="709">
        <v>5.0</v>
      </c>
      <c r="I434" s="709">
        <v>1000.0</v>
      </c>
      <c r="J434" s="705">
        <f t="shared" si="1"/>
        <v>6000</v>
      </c>
      <c r="K434" s="705">
        <f t="shared" si="2"/>
        <v>1600</v>
      </c>
      <c r="L434" s="705">
        <f t="shared" si="3"/>
        <v>7600</v>
      </c>
      <c r="M434" s="706">
        <f t="shared" si="5"/>
        <v>7.6</v>
      </c>
    </row>
    <row r="435">
      <c r="A435" s="702" t="s">
        <v>33113</v>
      </c>
      <c r="B435" s="702" t="s">
        <v>14937</v>
      </c>
      <c r="C435" s="707"/>
      <c r="D435" s="707"/>
      <c r="E435" s="708" t="s">
        <v>207</v>
      </c>
      <c r="F435" s="709">
        <v>2000.0</v>
      </c>
      <c r="G435" s="708" t="s">
        <v>44</v>
      </c>
      <c r="H435" s="709">
        <v>10.0</v>
      </c>
      <c r="I435" s="709">
        <v>2000.0</v>
      </c>
      <c r="J435" s="705">
        <f t="shared" si="1"/>
        <v>22000</v>
      </c>
      <c r="K435" s="705">
        <f t="shared" si="2"/>
        <v>3200</v>
      </c>
      <c r="L435" s="705">
        <f t="shared" si="3"/>
        <v>25200</v>
      </c>
      <c r="M435" s="706">
        <f t="shared" si="5"/>
        <v>12.6</v>
      </c>
    </row>
    <row r="436">
      <c r="A436" s="702" t="s">
        <v>33113</v>
      </c>
      <c r="B436" s="702" t="s">
        <v>14940</v>
      </c>
      <c r="C436" s="707"/>
      <c r="D436" s="707"/>
      <c r="E436" s="708" t="s">
        <v>32795</v>
      </c>
      <c r="F436" s="709">
        <v>50.0</v>
      </c>
      <c r="G436" s="708" t="s">
        <v>1691</v>
      </c>
      <c r="H436" s="709">
        <v>52.0</v>
      </c>
      <c r="I436" s="709">
        <v>250.0</v>
      </c>
      <c r="J436" s="705">
        <f t="shared" si="1"/>
        <v>2850</v>
      </c>
      <c r="K436" s="705">
        <f t="shared" si="2"/>
        <v>1285</v>
      </c>
      <c r="L436" s="705">
        <f t="shared" si="3"/>
        <v>4135</v>
      </c>
      <c r="M436" s="706">
        <f t="shared" si="5"/>
        <v>82.7</v>
      </c>
    </row>
    <row r="437">
      <c r="A437" s="702" t="s">
        <v>33113</v>
      </c>
      <c r="B437" s="702" t="s">
        <v>14942</v>
      </c>
      <c r="C437" s="707"/>
      <c r="D437" s="707"/>
      <c r="E437" s="708" t="s">
        <v>794</v>
      </c>
      <c r="F437" s="709">
        <v>1000.0</v>
      </c>
      <c r="G437" s="708" t="s">
        <v>44</v>
      </c>
      <c r="H437" s="709">
        <v>5.0</v>
      </c>
      <c r="I437" s="709">
        <v>1000.0</v>
      </c>
      <c r="J437" s="705">
        <f t="shared" si="1"/>
        <v>6000</v>
      </c>
      <c r="K437" s="705">
        <f t="shared" si="2"/>
        <v>1600</v>
      </c>
      <c r="L437" s="705">
        <f t="shared" si="3"/>
        <v>7600</v>
      </c>
      <c r="M437" s="706">
        <f t="shared" si="5"/>
        <v>7.6</v>
      </c>
    </row>
    <row r="438">
      <c r="A438" s="702" t="s">
        <v>33113</v>
      </c>
      <c r="B438" s="702" t="s">
        <v>14948</v>
      </c>
      <c r="C438" s="707"/>
      <c r="D438" s="707"/>
      <c r="E438" s="708" t="s">
        <v>33114</v>
      </c>
      <c r="F438" s="709">
        <v>300.0</v>
      </c>
      <c r="G438" s="708" t="s">
        <v>44</v>
      </c>
      <c r="H438" s="709">
        <v>15.0</v>
      </c>
      <c r="I438" s="709">
        <v>500.0</v>
      </c>
      <c r="J438" s="705">
        <f t="shared" si="1"/>
        <v>5000</v>
      </c>
      <c r="K438" s="705">
        <f t="shared" si="2"/>
        <v>1500</v>
      </c>
      <c r="L438" s="705">
        <f t="shared" si="3"/>
        <v>6500</v>
      </c>
      <c r="M438" s="706">
        <f t="shared" si="5"/>
        <v>21.66666667</v>
      </c>
    </row>
    <row r="439">
      <c r="A439" s="702" t="s">
        <v>33113</v>
      </c>
      <c r="B439" s="702" t="s">
        <v>14952</v>
      </c>
      <c r="C439" s="707"/>
      <c r="D439" s="707"/>
      <c r="E439" s="708" t="s">
        <v>9492</v>
      </c>
      <c r="F439" s="709">
        <v>60000.0</v>
      </c>
      <c r="G439" s="708" t="s">
        <v>906</v>
      </c>
      <c r="H439" s="709">
        <v>4.0</v>
      </c>
      <c r="I439" s="709"/>
      <c r="J439" s="705">
        <f t="shared" si="1"/>
        <v>240000</v>
      </c>
      <c r="K439" s="705">
        <f t="shared" si="2"/>
        <v>25000</v>
      </c>
      <c r="L439" s="705">
        <f t="shared" si="3"/>
        <v>265000</v>
      </c>
      <c r="M439" s="706">
        <f t="shared" si="5"/>
        <v>4.416666667</v>
      </c>
      <c r="N439" s="526" t="s">
        <v>33115</v>
      </c>
    </row>
    <row r="440">
      <c r="A440" s="702" t="s">
        <v>33109</v>
      </c>
      <c r="B440" s="702" t="s">
        <v>14956</v>
      </c>
      <c r="C440" s="707"/>
      <c r="D440" s="707"/>
      <c r="E440" s="708" t="s">
        <v>31499</v>
      </c>
      <c r="F440" s="709">
        <v>1000.0</v>
      </c>
      <c r="G440" s="708" t="s">
        <v>14958</v>
      </c>
      <c r="H440" s="709">
        <v>2.5</v>
      </c>
      <c r="I440" s="709">
        <v>500.0</v>
      </c>
      <c r="J440" s="705">
        <f t="shared" si="1"/>
        <v>3000</v>
      </c>
      <c r="K440" s="705">
        <f t="shared" si="2"/>
        <v>1300</v>
      </c>
      <c r="L440" s="705">
        <f t="shared" si="3"/>
        <v>4300</v>
      </c>
      <c r="M440" s="706">
        <f t="shared" si="5"/>
        <v>4.3</v>
      </c>
    </row>
    <row r="441">
      <c r="A441" s="702" t="s">
        <v>33109</v>
      </c>
      <c r="B441" s="702" t="s">
        <v>14956</v>
      </c>
      <c r="C441" s="707"/>
      <c r="D441" s="707"/>
      <c r="E441" s="708" t="s">
        <v>31500</v>
      </c>
      <c r="F441" s="709">
        <v>1000.0</v>
      </c>
      <c r="G441" s="708" t="s">
        <v>14958</v>
      </c>
      <c r="H441" s="709">
        <v>4.0</v>
      </c>
      <c r="I441" s="709">
        <v>500.0</v>
      </c>
      <c r="J441" s="705">
        <f t="shared" si="1"/>
        <v>4500</v>
      </c>
      <c r="K441" s="705">
        <f t="shared" si="2"/>
        <v>1450</v>
      </c>
      <c r="L441" s="705">
        <f t="shared" si="3"/>
        <v>5950</v>
      </c>
      <c r="M441" s="706">
        <f t="shared" si="5"/>
        <v>5.95</v>
      </c>
    </row>
    <row r="442">
      <c r="A442" s="702" t="s">
        <v>33109</v>
      </c>
      <c r="B442" s="702" t="s">
        <v>14960</v>
      </c>
      <c r="C442" s="707"/>
      <c r="D442" s="707"/>
      <c r="E442" s="708" t="s">
        <v>1579</v>
      </c>
      <c r="F442" s="709">
        <v>60000.0</v>
      </c>
      <c r="G442" s="708" t="s">
        <v>44</v>
      </c>
      <c r="H442" s="709">
        <v>15.0</v>
      </c>
      <c r="I442" s="709"/>
      <c r="J442" s="705">
        <f t="shared" si="1"/>
        <v>900000</v>
      </c>
      <c r="K442" s="705">
        <f t="shared" si="2"/>
        <v>91000</v>
      </c>
      <c r="L442" s="705">
        <f t="shared" si="3"/>
        <v>991000</v>
      </c>
      <c r="M442" s="706">
        <f t="shared" si="5"/>
        <v>16.51666667</v>
      </c>
      <c r="N442" s="526" t="s">
        <v>33116</v>
      </c>
    </row>
    <row r="443">
      <c r="A443" s="702" t="s">
        <v>33117</v>
      </c>
      <c r="B443" s="702" t="s">
        <v>15068</v>
      </c>
      <c r="C443" s="707"/>
      <c r="D443" s="707"/>
      <c r="E443" s="708" t="s">
        <v>286</v>
      </c>
      <c r="F443" s="709">
        <v>300.0</v>
      </c>
      <c r="G443" s="708" t="s">
        <v>44</v>
      </c>
      <c r="H443" s="709">
        <v>30.0</v>
      </c>
      <c r="I443" s="709">
        <v>500.0</v>
      </c>
      <c r="J443" s="705">
        <f t="shared" si="1"/>
        <v>9500</v>
      </c>
      <c r="K443" s="705">
        <f t="shared" si="2"/>
        <v>1950</v>
      </c>
      <c r="L443" s="705">
        <f t="shared" si="3"/>
        <v>11450</v>
      </c>
      <c r="M443" s="706">
        <f t="shared" si="5"/>
        <v>38.16666667</v>
      </c>
      <c r="N443" s="526" t="s">
        <v>33118</v>
      </c>
    </row>
    <row r="444">
      <c r="A444" s="714" t="s">
        <v>33117</v>
      </c>
      <c r="B444" s="714" t="s">
        <v>15071</v>
      </c>
      <c r="C444" s="715"/>
      <c r="D444" s="715"/>
      <c r="E444" s="52" t="s">
        <v>6360</v>
      </c>
      <c r="F444" s="716">
        <v>500.0</v>
      </c>
      <c r="G444" s="52" t="s">
        <v>44</v>
      </c>
      <c r="H444" s="716">
        <v>220.0</v>
      </c>
      <c r="I444" s="716">
        <v>500.0</v>
      </c>
      <c r="J444" s="717">
        <f t="shared" si="1"/>
        <v>110500</v>
      </c>
      <c r="K444" s="717">
        <f t="shared" si="2"/>
        <v>12050</v>
      </c>
      <c r="L444" s="717">
        <f t="shared" si="3"/>
        <v>122550</v>
      </c>
      <c r="M444" s="718">
        <f t="shared" si="5"/>
        <v>245.1</v>
      </c>
      <c r="N444" s="233" t="s">
        <v>33119</v>
      </c>
      <c r="O444" s="234"/>
      <c r="P444" s="234"/>
      <c r="Q444" s="234"/>
      <c r="R444" s="234"/>
      <c r="S444" s="234"/>
      <c r="T444" s="234"/>
      <c r="U444" s="234"/>
      <c r="V444" s="234"/>
      <c r="W444" s="234"/>
      <c r="X444" s="234"/>
      <c r="Y444" s="234"/>
      <c r="Z444" s="234"/>
      <c r="AA444" s="234"/>
      <c r="AB444" s="234"/>
    </row>
    <row r="445">
      <c r="A445" s="702" t="s">
        <v>33117</v>
      </c>
      <c r="B445" s="702" t="s">
        <v>15078</v>
      </c>
      <c r="C445" s="707"/>
      <c r="D445" s="707"/>
      <c r="E445" s="708" t="s">
        <v>2685</v>
      </c>
      <c r="F445" s="709">
        <v>500.0</v>
      </c>
      <c r="G445" s="708" t="s">
        <v>44</v>
      </c>
      <c r="H445" s="709">
        <v>50.0</v>
      </c>
      <c r="I445" s="709">
        <v>500.0</v>
      </c>
      <c r="J445" s="705">
        <f t="shared" si="1"/>
        <v>25500</v>
      </c>
      <c r="K445" s="705">
        <f t="shared" si="2"/>
        <v>3550</v>
      </c>
      <c r="L445" s="705">
        <f t="shared" si="3"/>
        <v>29050</v>
      </c>
      <c r="M445" s="706">
        <f t="shared" si="5"/>
        <v>58.1</v>
      </c>
    </row>
    <row r="446">
      <c r="A446" s="702" t="s">
        <v>33117</v>
      </c>
      <c r="B446" s="702" t="s">
        <v>15075</v>
      </c>
      <c r="C446" s="707"/>
      <c r="D446" s="707"/>
      <c r="E446" s="708" t="s">
        <v>38</v>
      </c>
      <c r="F446" s="709">
        <v>20000.0</v>
      </c>
      <c r="G446" s="708" t="s">
        <v>44</v>
      </c>
      <c r="H446" s="709">
        <v>80.0</v>
      </c>
      <c r="I446" s="709"/>
      <c r="J446" s="705">
        <f t="shared" si="1"/>
        <v>1600000</v>
      </c>
      <c r="K446" s="705">
        <f t="shared" si="2"/>
        <v>161000</v>
      </c>
      <c r="L446" s="705">
        <f t="shared" si="3"/>
        <v>1761000</v>
      </c>
      <c r="M446" s="706">
        <f t="shared" si="5"/>
        <v>88.05</v>
      </c>
      <c r="N446" s="526" t="s">
        <v>33120</v>
      </c>
    </row>
    <row r="447">
      <c r="A447" s="702" t="s">
        <v>33117</v>
      </c>
      <c r="B447" s="702" t="s">
        <v>15214</v>
      </c>
      <c r="C447" s="707"/>
      <c r="D447" s="707"/>
      <c r="E447" s="708" t="s">
        <v>5756</v>
      </c>
      <c r="F447" s="709">
        <v>1000.0</v>
      </c>
      <c r="G447" s="708" t="s">
        <v>278</v>
      </c>
      <c r="H447" s="709">
        <v>18.0</v>
      </c>
      <c r="I447" s="709">
        <v>1000.0</v>
      </c>
      <c r="J447" s="705">
        <f t="shared" si="1"/>
        <v>19000</v>
      </c>
      <c r="K447" s="705">
        <f t="shared" si="2"/>
        <v>2900</v>
      </c>
      <c r="L447" s="705">
        <f t="shared" si="3"/>
        <v>21900</v>
      </c>
      <c r="M447" s="706">
        <f t="shared" si="5"/>
        <v>21.9</v>
      </c>
      <c r="N447" s="526"/>
    </row>
    <row r="448">
      <c r="A448" s="702" t="s">
        <v>33117</v>
      </c>
      <c r="B448" s="702" t="s">
        <v>15084</v>
      </c>
      <c r="C448" s="707"/>
      <c r="D448" s="707"/>
      <c r="E448" s="708" t="s">
        <v>10508</v>
      </c>
      <c r="F448" s="709">
        <v>200.0</v>
      </c>
      <c r="G448" s="708" t="s">
        <v>44</v>
      </c>
      <c r="H448" s="709">
        <v>150.0</v>
      </c>
      <c r="I448" s="709">
        <v>500.0</v>
      </c>
      <c r="J448" s="705">
        <f t="shared" si="1"/>
        <v>30500</v>
      </c>
      <c r="K448" s="705">
        <f t="shared" si="2"/>
        <v>4050</v>
      </c>
      <c r="L448" s="705">
        <f t="shared" si="3"/>
        <v>34550</v>
      </c>
      <c r="M448" s="706">
        <f t="shared" si="5"/>
        <v>172.75</v>
      </c>
      <c r="N448" s="526" t="s">
        <v>33121</v>
      </c>
    </row>
    <row r="449">
      <c r="A449" s="702" t="s">
        <v>33117</v>
      </c>
      <c r="B449" s="702" t="s">
        <v>15088</v>
      </c>
      <c r="C449" s="707"/>
      <c r="D449" s="707"/>
      <c r="E449" s="708" t="s">
        <v>189</v>
      </c>
      <c r="F449" s="709">
        <v>2000.0</v>
      </c>
      <c r="G449" s="708" t="s">
        <v>44</v>
      </c>
      <c r="H449" s="709">
        <v>15.0</v>
      </c>
      <c r="I449" s="709">
        <v>2000.0</v>
      </c>
      <c r="J449" s="705">
        <f t="shared" si="1"/>
        <v>32000</v>
      </c>
      <c r="K449" s="705">
        <f t="shared" si="2"/>
        <v>4200</v>
      </c>
      <c r="L449" s="705">
        <f t="shared" si="3"/>
        <v>36200</v>
      </c>
      <c r="M449" s="706">
        <f t="shared" si="5"/>
        <v>18.1</v>
      </c>
      <c r="N449" s="526" t="s">
        <v>33122</v>
      </c>
    </row>
    <row r="450">
      <c r="A450" s="702" t="s">
        <v>33117</v>
      </c>
      <c r="B450" s="702" t="s">
        <v>15091</v>
      </c>
      <c r="C450" s="707"/>
      <c r="D450" s="707"/>
      <c r="E450" s="708" t="s">
        <v>92</v>
      </c>
      <c r="F450" s="709">
        <v>25.0</v>
      </c>
      <c r="G450" s="708" t="s">
        <v>44</v>
      </c>
      <c r="H450" s="709">
        <v>90.0</v>
      </c>
      <c r="I450" s="709">
        <v>500.0</v>
      </c>
      <c r="J450" s="705">
        <f t="shared" si="1"/>
        <v>2750</v>
      </c>
      <c r="K450" s="705">
        <f t="shared" si="2"/>
        <v>1275</v>
      </c>
      <c r="L450" s="705">
        <f t="shared" si="3"/>
        <v>4025</v>
      </c>
      <c r="M450" s="706">
        <f t="shared" si="5"/>
        <v>161</v>
      </c>
    </row>
    <row r="451">
      <c r="A451" s="702" t="s">
        <v>33117</v>
      </c>
      <c r="B451" s="702" t="s">
        <v>15091</v>
      </c>
      <c r="C451" s="707"/>
      <c r="D451" s="707"/>
      <c r="E451" s="708" t="s">
        <v>207</v>
      </c>
      <c r="F451" s="709">
        <v>500.0</v>
      </c>
      <c r="G451" s="708" t="s">
        <v>44</v>
      </c>
      <c r="H451" s="709">
        <v>10.0</v>
      </c>
      <c r="I451" s="709">
        <v>500.0</v>
      </c>
      <c r="J451" s="705">
        <f t="shared" si="1"/>
        <v>5500</v>
      </c>
      <c r="K451" s="705">
        <f t="shared" si="2"/>
        <v>1550</v>
      </c>
      <c r="L451" s="705">
        <f t="shared" si="3"/>
        <v>7050</v>
      </c>
      <c r="M451" s="706">
        <f t="shared" si="5"/>
        <v>14.1</v>
      </c>
    </row>
    <row r="452">
      <c r="A452" s="702" t="s">
        <v>33117</v>
      </c>
      <c r="B452" s="702" t="s">
        <v>15099</v>
      </c>
      <c r="C452" s="707"/>
      <c r="D452" s="707"/>
      <c r="E452" s="708" t="s">
        <v>33123</v>
      </c>
      <c r="F452" s="709">
        <v>235.0</v>
      </c>
      <c r="G452" s="708" t="s">
        <v>44</v>
      </c>
      <c r="H452" s="709">
        <v>86.0</v>
      </c>
      <c r="I452" s="709">
        <v>500.0</v>
      </c>
      <c r="J452" s="705">
        <f t="shared" si="1"/>
        <v>20710</v>
      </c>
      <c r="K452" s="705">
        <f t="shared" si="2"/>
        <v>3071</v>
      </c>
      <c r="L452" s="705">
        <f t="shared" si="3"/>
        <v>23781</v>
      </c>
      <c r="M452" s="706">
        <f t="shared" si="5"/>
        <v>101.1957447</v>
      </c>
    </row>
    <row r="453">
      <c r="A453" s="702" t="s">
        <v>33117</v>
      </c>
      <c r="B453" s="702" t="s">
        <v>15103</v>
      </c>
      <c r="C453" s="707"/>
      <c r="D453" s="707"/>
      <c r="E453" s="708" t="s">
        <v>1280</v>
      </c>
      <c r="F453" s="709">
        <v>5200.0</v>
      </c>
      <c r="G453" s="708" t="s">
        <v>906</v>
      </c>
      <c r="H453" s="709">
        <v>13.0</v>
      </c>
      <c r="I453" s="709">
        <v>5500.0</v>
      </c>
      <c r="J453" s="705">
        <f t="shared" si="1"/>
        <v>73100</v>
      </c>
      <c r="K453" s="705">
        <f t="shared" si="2"/>
        <v>8310</v>
      </c>
      <c r="L453" s="705">
        <f t="shared" si="3"/>
        <v>81410</v>
      </c>
      <c r="M453" s="706">
        <f t="shared" si="5"/>
        <v>15.65576923</v>
      </c>
      <c r="N453" s="526" t="s">
        <v>33124</v>
      </c>
    </row>
    <row r="454">
      <c r="A454" s="702" t="s">
        <v>33117</v>
      </c>
      <c r="B454" s="702" t="s">
        <v>15106</v>
      </c>
      <c r="C454" s="707"/>
      <c r="D454" s="707"/>
      <c r="E454" s="708" t="s">
        <v>10409</v>
      </c>
      <c r="F454" s="709">
        <v>5000.0</v>
      </c>
      <c r="G454" s="708" t="s">
        <v>519</v>
      </c>
      <c r="H454" s="709">
        <v>17.0</v>
      </c>
      <c r="I454" s="709">
        <v>5000.0</v>
      </c>
      <c r="J454" s="705">
        <f t="shared" si="1"/>
        <v>90000</v>
      </c>
      <c r="K454" s="705">
        <f t="shared" si="2"/>
        <v>10000</v>
      </c>
      <c r="L454" s="705">
        <f t="shared" si="3"/>
        <v>100000</v>
      </c>
      <c r="M454" s="706">
        <f t="shared" si="5"/>
        <v>20</v>
      </c>
    </row>
    <row r="455">
      <c r="A455" s="702" t="s">
        <v>33117</v>
      </c>
      <c r="B455" s="702" t="s">
        <v>15110</v>
      </c>
      <c r="C455" s="707"/>
      <c r="D455" s="707"/>
      <c r="E455" s="708" t="s">
        <v>9187</v>
      </c>
      <c r="F455" s="709">
        <v>1000.0</v>
      </c>
      <c r="G455" s="708" t="s">
        <v>44</v>
      </c>
      <c r="H455" s="709">
        <v>5.0</v>
      </c>
      <c r="I455" s="709">
        <v>1000.0</v>
      </c>
      <c r="J455" s="705">
        <f t="shared" si="1"/>
        <v>6000</v>
      </c>
      <c r="K455" s="705">
        <f t="shared" si="2"/>
        <v>1600</v>
      </c>
      <c r="L455" s="705">
        <f t="shared" si="3"/>
        <v>7600</v>
      </c>
      <c r="M455" s="706">
        <f t="shared" si="5"/>
        <v>7.6</v>
      </c>
    </row>
    <row r="456">
      <c r="A456" s="702" t="s">
        <v>33117</v>
      </c>
      <c r="B456" s="702" t="s">
        <v>15117</v>
      </c>
      <c r="C456" s="707"/>
      <c r="D456" s="707"/>
      <c r="E456" s="708" t="s">
        <v>13475</v>
      </c>
      <c r="F456" s="709">
        <v>2500.0</v>
      </c>
      <c r="G456" s="708" t="s">
        <v>906</v>
      </c>
      <c r="H456" s="709">
        <v>6.0</v>
      </c>
      <c r="I456" s="709">
        <v>2500.0</v>
      </c>
      <c r="J456" s="705">
        <f t="shared" si="1"/>
        <v>17500</v>
      </c>
      <c r="K456" s="705">
        <f t="shared" si="2"/>
        <v>2750</v>
      </c>
      <c r="L456" s="705">
        <f t="shared" si="3"/>
        <v>20250</v>
      </c>
      <c r="M456" s="706">
        <f t="shared" si="5"/>
        <v>8.1</v>
      </c>
      <c r="N456" s="526" t="s">
        <v>33125</v>
      </c>
    </row>
    <row r="457">
      <c r="A457" s="702" t="s">
        <v>33126</v>
      </c>
      <c r="B457" s="702" t="s">
        <v>15140</v>
      </c>
      <c r="C457" s="707"/>
      <c r="D457" s="707"/>
      <c r="E457" s="708" t="s">
        <v>22</v>
      </c>
      <c r="F457" s="709">
        <v>15000.0</v>
      </c>
      <c r="G457" s="708" t="s">
        <v>44</v>
      </c>
      <c r="H457" s="709">
        <v>18.0</v>
      </c>
      <c r="I457" s="709"/>
      <c r="J457" s="705">
        <f t="shared" si="1"/>
        <v>270000</v>
      </c>
      <c r="K457" s="705">
        <f t="shared" si="2"/>
        <v>28000</v>
      </c>
      <c r="L457" s="705">
        <f t="shared" si="3"/>
        <v>298000</v>
      </c>
      <c r="M457" s="706">
        <f t="shared" si="5"/>
        <v>19.86666667</v>
      </c>
      <c r="N457" s="526" t="s">
        <v>33127</v>
      </c>
    </row>
    <row r="458">
      <c r="A458" s="702" t="s">
        <v>33126</v>
      </c>
      <c r="B458" s="702" t="s">
        <v>15136</v>
      </c>
      <c r="C458" s="707"/>
      <c r="D458" s="707"/>
      <c r="E458" s="708" t="s">
        <v>178</v>
      </c>
      <c r="F458" s="709">
        <v>15000.0</v>
      </c>
      <c r="G458" s="708" t="s">
        <v>44</v>
      </c>
      <c r="H458" s="709">
        <v>6.0</v>
      </c>
      <c r="I458" s="709"/>
      <c r="J458" s="705">
        <f t="shared" si="1"/>
        <v>90000</v>
      </c>
      <c r="K458" s="705">
        <f t="shared" si="2"/>
        <v>10000</v>
      </c>
      <c r="L458" s="705">
        <f t="shared" si="3"/>
        <v>100000</v>
      </c>
      <c r="M458" s="706">
        <f t="shared" si="5"/>
        <v>6.666666667</v>
      </c>
      <c r="N458" s="526" t="s">
        <v>33128</v>
      </c>
    </row>
    <row r="459">
      <c r="A459" s="702" t="s">
        <v>33126</v>
      </c>
      <c r="B459" s="702" t="s">
        <v>15130</v>
      </c>
      <c r="C459" s="707"/>
      <c r="D459" s="707"/>
      <c r="E459" s="708" t="s">
        <v>33129</v>
      </c>
      <c r="F459" s="709">
        <v>8000.0</v>
      </c>
      <c r="G459" s="708" t="s">
        <v>99</v>
      </c>
      <c r="H459" s="709">
        <v>12.0</v>
      </c>
      <c r="I459" s="709">
        <v>8000.0</v>
      </c>
      <c r="J459" s="705">
        <f t="shared" si="1"/>
        <v>104000</v>
      </c>
      <c r="K459" s="705">
        <f t="shared" si="2"/>
        <v>11400</v>
      </c>
      <c r="L459" s="705">
        <f t="shared" si="3"/>
        <v>115400</v>
      </c>
      <c r="M459" s="706">
        <f t="shared" si="5"/>
        <v>14.425</v>
      </c>
      <c r="N459" s="526" t="s">
        <v>33130</v>
      </c>
    </row>
    <row r="460">
      <c r="A460" s="702" t="s">
        <v>33126</v>
      </c>
      <c r="B460" s="702" t="s">
        <v>15125</v>
      </c>
      <c r="C460" s="707"/>
      <c r="D460" s="707"/>
      <c r="E460" s="708" t="s">
        <v>116</v>
      </c>
      <c r="F460" s="709">
        <v>100.0</v>
      </c>
      <c r="G460" s="708" t="s">
        <v>507</v>
      </c>
      <c r="H460" s="709">
        <v>84.0</v>
      </c>
      <c r="I460" s="709">
        <v>500.0</v>
      </c>
      <c r="J460" s="705">
        <f t="shared" si="1"/>
        <v>8900</v>
      </c>
      <c r="K460" s="705">
        <f t="shared" si="2"/>
        <v>1890</v>
      </c>
      <c r="L460" s="705">
        <f t="shared" si="3"/>
        <v>10790</v>
      </c>
      <c r="M460" s="706">
        <f t="shared" si="5"/>
        <v>107.9</v>
      </c>
    </row>
    <row r="461">
      <c r="A461" s="702" t="s">
        <v>33126</v>
      </c>
      <c r="B461" s="702" t="s">
        <v>15133</v>
      </c>
      <c r="C461" s="707"/>
      <c r="D461" s="707"/>
      <c r="E461" s="708" t="s">
        <v>130</v>
      </c>
      <c r="F461" s="709">
        <v>1000.0</v>
      </c>
      <c r="G461" s="708" t="s">
        <v>44</v>
      </c>
      <c r="H461" s="709">
        <v>25.0</v>
      </c>
      <c r="I461" s="709">
        <v>1000.0</v>
      </c>
      <c r="J461" s="705">
        <f t="shared" si="1"/>
        <v>26000</v>
      </c>
      <c r="K461" s="705">
        <f t="shared" si="2"/>
        <v>3600</v>
      </c>
      <c r="L461" s="705">
        <f t="shared" si="3"/>
        <v>29600</v>
      </c>
      <c r="M461" s="706">
        <f t="shared" si="5"/>
        <v>29.6</v>
      </c>
    </row>
    <row r="462">
      <c r="A462" s="702" t="s">
        <v>33126</v>
      </c>
      <c r="B462" s="702" t="s">
        <v>15149</v>
      </c>
      <c r="C462" s="707"/>
      <c r="D462" s="707"/>
      <c r="E462" s="708" t="s">
        <v>31499</v>
      </c>
      <c r="F462" s="709">
        <v>400000.0</v>
      </c>
      <c r="G462" s="708" t="s">
        <v>107</v>
      </c>
      <c r="H462" s="709">
        <v>2.5</v>
      </c>
      <c r="I462" s="709">
        <v>200000.0</v>
      </c>
      <c r="J462" s="705">
        <f t="shared" si="1"/>
        <v>1200000</v>
      </c>
      <c r="K462" s="705">
        <f t="shared" si="2"/>
        <v>121000</v>
      </c>
      <c r="L462" s="705">
        <f t="shared" si="3"/>
        <v>1321000</v>
      </c>
      <c r="M462" s="706">
        <f t="shared" si="5"/>
        <v>3.3025</v>
      </c>
    </row>
    <row r="463">
      <c r="A463" s="702" t="s">
        <v>33126</v>
      </c>
      <c r="B463" s="702" t="s">
        <v>15149</v>
      </c>
      <c r="C463" s="707"/>
      <c r="D463" s="707"/>
      <c r="E463" s="708" t="s">
        <v>31500</v>
      </c>
      <c r="F463" s="709">
        <v>400000.0</v>
      </c>
      <c r="G463" s="708" t="s">
        <v>107</v>
      </c>
      <c r="H463" s="709">
        <v>4.0</v>
      </c>
      <c r="I463" s="709">
        <v>200000.0</v>
      </c>
      <c r="J463" s="705">
        <f t="shared" si="1"/>
        <v>1800000</v>
      </c>
      <c r="K463" s="705">
        <f t="shared" si="2"/>
        <v>181000</v>
      </c>
      <c r="L463" s="705">
        <f t="shared" si="3"/>
        <v>1981000</v>
      </c>
      <c r="M463" s="706">
        <f t="shared" si="5"/>
        <v>4.9525</v>
      </c>
    </row>
    <row r="464">
      <c r="A464" s="702" t="s">
        <v>33126</v>
      </c>
      <c r="B464" s="702" t="s">
        <v>15143</v>
      </c>
      <c r="C464" s="707"/>
      <c r="D464" s="707"/>
      <c r="E464" s="708" t="s">
        <v>33131</v>
      </c>
      <c r="F464" s="709">
        <v>200.0</v>
      </c>
      <c r="G464" s="708" t="s">
        <v>44</v>
      </c>
      <c r="H464" s="709">
        <v>68.0</v>
      </c>
      <c r="I464" s="709">
        <v>500.0</v>
      </c>
      <c r="J464" s="705">
        <f t="shared" si="1"/>
        <v>14100</v>
      </c>
      <c r="K464" s="705">
        <f t="shared" si="2"/>
        <v>2410</v>
      </c>
      <c r="L464" s="705">
        <f t="shared" si="3"/>
        <v>16510</v>
      </c>
      <c r="M464" s="706">
        <f t="shared" si="5"/>
        <v>82.55</v>
      </c>
      <c r="N464" s="526" t="s">
        <v>33132</v>
      </c>
    </row>
    <row r="465">
      <c r="A465" s="702" t="s">
        <v>33133</v>
      </c>
      <c r="B465" s="702" t="s">
        <v>15186</v>
      </c>
      <c r="C465" s="707"/>
      <c r="D465" s="707"/>
      <c r="E465" s="708" t="s">
        <v>9283</v>
      </c>
      <c r="F465" s="709">
        <v>400.0</v>
      </c>
      <c r="G465" s="708" t="s">
        <v>44</v>
      </c>
      <c r="H465" s="709">
        <v>18.0</v>
      </c>
      <c r="I465" s="709">
        <v>500.0</v>
      </c>
      <c r="J465" s="705">
        <f t="shared" si="1"/>
        <v>7700</v>
      </c>
      <c r="K465" s="705">
        <f t="shared" si="2"/>
        <v>1770</v>
      </c>
      <c r="L465" s="705">
        <f t="shared" si="3"/>
        <v>9470</v>
      </c>
      <c r="M465" s="706">
        <f t="shared" si="5"/>
        <v>23.675</v>
      </c>
    </row>
    <row r="466">
      <c r="A466" s="702" t="s">
        <v>33133</v>
      </c>
      <c r="B466" s="702" t="s">
        <v>15189</v>
      </c>
      <c r="C466" s="707"/>
      <c r="D466" s="707"/>
      <c r="E466" s="708" t="s">
        <v>152</v>
      </c>
      <c r="F466" s="709">
        <v>25000.0</v>
      </c>
      <c r="G466" s="708" t="s">
        <v>985</v>
      </c>
      <c r="H466" s="709">
        <v>18.0</v>
      </c>
      <c r="I466" s="709"/>
      <c r="J466" s="705">
        <f t="shared" si="1"/>
        <v>450000</v>
      </c>
      <c r="K466" s="705">
        <f t="shared" si="2"/>
        <v>46000</v>
      </c>
      <c r="L466" s="705">
        <f t="shared" si="3"/>
        <v>496000</v>
      </c>
      <c r="M466" s="706">
        <f t="shared" si="5"/>
        <v>19.84</v>
      </c>
    </row>
    <row r="467">
      <c r="A467" s="702" t="s">
        <v>33133</v>
      </c>
      <c r="B467" s="702" t="s">
        <v>15192</v>
      </c>
      <c r="C467" s="707"/>
      <c r="D467" s="707"/>
      <c r="E467" s="708" t="s">
        <v>207</v>
      </c>
      <c r="F467" s="709">
        <v>25000.0</v>
      </c>
      <c r="G467" s="708" t="s">
        <v>44</v>
      </c>
      <c r="H467" s="709">
        <v>10.0</v>
      </c>
      <c r="I467" s="709"/>
      <c r="J467" s="705">
        <f t="shared" si="1"/>
        <v>250000</v>
      </c>
      <c r="K467" s="705">
        <f t="shared" si="2"/>
        <v>26000</v>
      </c>
      <c r="L467" s="705">
        <f t="shared" si="3"/>
        <v>276000</v>
      </c>
      <c r="M467" s="706">
        <f t="shared" si="5"/>
        <v>11.04</v>
      </c>
    </row>
    <row r="468">
      <c r="A468" s="702" t="s">
        <v>33134</v>
      </c>
      <c r="B468" s="702" t="s">
        <v>15197</v>
      </c>
      <c r="C468" s="707"/>
      <c r="D468" s="707"/>
      <c r="E468" s="708" t="s">
        <v>31499</v>
      </c>
      <c r="F468" s="709">
        <v>3000.0</v>
      </c>
      <c r="G468" s="708" t="s">
        <v>1696</v>
      </c>
      <c r="H468" s="709">
        <v>2.5</v>
      </c>
      <c r="I468" s="709">
        <v>1500.0</v>
      </c>
      <c r="J468" s="705">
        <f t="shared" si="1"/>
        <v>9000</v>
      </c>
      <c r="K468" s="705">
        <f t="shared" si="2"/>
        <v>1900</v>
      </c>
      <c r="L468" s="705">
        <f t="shared" si="3"/>
        <v>10900</v>
      </c>
      <c r="M468" s="706">
        <f t="shared" si="5"/>
        <v>3.633333333</v>
      </c>
    </row>
    <row r="469">
      <c r="A469" s="702" t="s">
        <v>33134</v>
      </c>
      <c r="B469" s="702" t="s">
        <v>15197</v>
      </c>
      <c r="C469" s="707"/>
      <c r="D469" s="707"/>
      <c r="E469" s="708" t="s">
        <v>31500</v>
      </c>
      <c r="F469" s="709">
        <v>3000.0</v>
      </c>
      <c r="G469" s="708" t="s">
        <v>1696</v>
      </c>
      <c r="H469" s="709">
        <v>4.0</v>
      </c>
      <c r="I469" s="709">
        <v>1500.0</v>
      </c>
      <c r="J469" s="705">
        <f t="shared" si="1"/>
        <v>13500</v>
      </c>
      <c r="K469" s="705">
        <f t="shared" si="2"/>
        <v>2350</v>
      </c>
      <c r="L469" s="705">
        <f t="shared" si="3"/>
        <v>15850</v>
      </c>
      <c r="M469" s="706">
        <f t="shared" si="5"/>
        <v>5.283333333</v>
      </c>
    </row>
    <row r="470">
      <c r="A470" s="702" t="s">
        <v>33134</v>
      </c>
      <c r="B470" s="702" t="s">
        <v>15208</v>
      </c>
      <c r="C470" s="707"/>
      <c r="D470" s="707"/>
      <c r="E470" s="708" t="s">
        <v>444</v>
      </c>
      <c r="F470" s="709">
        <v>600.0</v>
      </c>
      <c r="G470" s="708" t="s">
        <v>218</v>
      </c>
      <c r="H470" s="709">
        <v>13.2</v>
      </c>
      <c r="I470" s="709">
        <v>500.0</v>
      </c>
      <c r="J470" s="705">
        <f t="shared" si="1"/>
        <v>8420</v>
      </c>
      <c r="K470" s="705">
        <f t="shared" si="2"/>
        <v>1842</v>
      </c>
      <c r="L470" s="705">
        <f t="shared" si="3"/>
        <v>10262</v>
      </c>
      <c r="M470" s="706">
        <f t="shared" si="5"/>
        <v>17.10333333</v>
      </c>
    </row>
    <row r="471">
      <c r="A471" s="702" t="s">
        <v>33134</v>
      </c>
      <c r="B471" s="702" t="s">
        <v>15208</v>
      </c>
      <c r="C471" s="707"/>
      <c r="D471" s="707"/>
      <c r="E471" s="708" t="s">
        <v>501</v>
      </c>
      <c r="F471" s="709">
        <v>300.0</v>
      </c>
      <c r="G471" s="708" t="s">
        <v>218</v>
      </c>
      <c r="H471" s="709">
        <v>10.0</v>
      </c>
      <c r="I471" s="709">
        <v>500.0</v>
      </c>
      <c r="J471" s="705">
        <f t="shared" si="1"/>
        <v>3500</v>
      </c>
      <c r="K471" s="705">
        <f t="shared" si="2"/>
        <v>1350</v>
      </c>
      <c r="L471" s="705">
        <f t="shared" si="3"/>
        <v>4850</v>
      </c>
      <c r="M471" s="706">
        <f t="shared" si="5"/>
        <v>16.16666667</v>
      </c>
    </row>
    <row r="472">
      <c r="A472" s="702" t="s">
        <v>33134</v>
      </c>
      <c r="B472" s="702" t="s">
        <v>15208</v>
      </c>
      <c r="C472" s="707"/>
      <c r="D472" s="707"/>
      <c r="E472" s="708" t="s">
        <v>3165</v>
      </c>
      <c r="F472" s="709">
        <v>200.0</v>
      </c>
      <c r="G472" s="708" t="s">
        <v>218</v>
      </c>
      <c r="H472" s="709">
        <v>86.0</v>
      </c>
      <c r="I472" s="709">
        <v>500.0</v>
      </c>
      <c r="J472" s="705">
        <f t="shared" si="1"/>
        <v>17700</v>
      </c>
      <c r="K472" s="705">
        <f t="shared" si="2"/>
        <v>2770</v>
      </c>
      <c r="L472" s="705">
        <f t="shared" si="3"/>
        <v>20470</v>
      </c>
      <c r="M472" s="706">
        <f t="shared" si="5"/>
        <v>102.35</v>
      </c>
    </row>
    <row r="473">
      <c r="A473" s="702" t="s">
        <v>33134</v>
      </c>
      <c r="B473" s="702" t="s">
        <v>15230</v>
      </c>
      <c r="C473" s="707"/>
      <c r="D473" s="707"/>
      <c r="E473" s="708" t="s">
        <v>444</v>
      </c>
      <c r="F473" s="709">
        <v>300.0</v>
      </c>
      <c r="G473" s="708" t="s">
        <v>44</v>
      </c>
      <c r="H473" s="709">
        <v>13.2</v>
      </c>
      <c r="I473" s="709">
        <v>500.0</v>
      </c>
      <c r="J473" s="705">
        <f t="shared" si="1"/>
        <v>4460</v>
      </c>
      <c r="K473" s="705">
        <f t="shared" si="2"/>
        <v>1446</v>
      </c>
      <c r="L473" s="705">
        <f t="shared" si="3"/>
        <v>5906</v>
      </c>
      <c r="M473" s="706">
        <f t="shared" si="5"/>
        <v>19.68666667</v>
      </c>
    </row>
    <row r="474">
      <c r="A474" s="702" t="s">
        <v>33135</v>
      </c>
      <c r="B474" s="702" t="s">
        <v>15252</v>
      </c>
      <c r="C474" s="707"/>
      <c r="D474" s="707"/>
      <c r="E474" s="708" t="s">
        <v>130</v>
      </c>
      <c r="F474" s="709">
        <v>500.0</v>
      </c>
      <c r="G474" s="708" t="s">
        <v>507</v>
      </c>
      <c r="H474" s="709">
        <v>25.0</v>
      </c>
      <c r="I474" s="709">
        <v>1000.0</v>
      </c>
      <c r="J474" s="705">
        <f t="shared" si="1"/>
        <v>13500</v>
      </c>
      <c r="K474" s="705">
        <f t="shared" si="2"/>
        <v>2350</v>
      </c>
      <c r="L474" s="705">
        <f t="shared" si="3"/>
        <v>15850</v>
      </c>
      <c r="M474" s="706">
        <f t="shared" si="5"/>
        <v>31.7</v>
      </c>
    </row>
    <row r="475">
      <c r="A475" s="702" t="s">
        <v>33135</v>
      </c>
      <c r="B475" s="702" t="s">
        <v>15249</v>
      </c>
      <c r="C475" s="707"/>
      <c r="D475" s="707"/>
      <c r="E475" s="708" t="s">
        <v>1373</v>
      </c>
      <c r="F475" s="709">
        <v>300.0</v>
      </c>
      <c r="G475" s="708" t="s">
        <v>44</v>
      </c>
      <c r="H475" s="709">
        <v>13.2</v>
      </c>
      <c r="I475" s="709">
        <v>500.0</v>
      </c>
      <c r="J475" s="705">
        <f t="shared" si="1"/>
        <v>4460</v>
      </c>
      <c r="K475" s="705">
        <f t="shared" si="2"/>
        <v>1446</v>
      </c>
      <c r="L475" s="705">
        <f t="shared" si="3"/>
        <v>5906</v>
      </c>
      <c r="M475" s="706">
        <f t="shared" si="5"/>
        <v>19.68666667</v>
      </c>
    </row>
    <row r="476">
      <c r="A476" s="702" t="s">
        <v>33136</v>
      </c>
      <c r="B476" s="702" t="s">
        <v>15277</v>
      </c>
      <c r="C476" s="707"/>
      <c r="D476" s="707"/>
      <c r="E476" s="708" t="s">
        <v>32795</v>
      </c>
      <c r="F476" s="709">
        <v>100.0</v>
      </c>
      <c r="G476" s="708" t="s">
        <v>158</v>
      </c>
      <c r="H476" s="709">
        <v>52.0</v>
      </c>
      <c r="I476" s="709">
        <v>500.0</v>
      </c>
      <c r="J476" s="705">
        <f t="shared" si="1"/>
        <v>5700</v>
      </c>
      <c r="K476" s="705">
        <f t="shared" si="2"/>
        <v>1570</v>
      </c>
      <c r="L476" s="705">
        <f t="shared" si="3"/>
        <v>7270</v>
      </c>
      <c r="M476" s="706">
        <f t="shared" si="5"/>
        <v>72.7</v>
      </c>
    </row>
    <row r="477">
      <c r="A477" s="702" t="s">
        <v>33136</v>
      </c>
      <c r="B477" s="702" t="s">
        <v>15284</v>
      </c>
      <c r="C477" s="707"/>
      <c r="D477" s="707"/>
      <c r="E477" s="708" t="s">
        <v>794</v>
      </c>
      <c r="F477" s="709">
        <v>20000.0</v>
      </c>
      <c r="G477" s="708" t="s">
        <v>1082</v>
      </c>
      <c r="H477" s="709">
        <v>5.0</v>
      </c>
      <c r="I477" s="709"/>
      <c r="J477" s="705">
        <f t="shared" si="1"/>
        <v>100000</v>
      </c>
      <c r="K477" s="705">
        <f t="shared" si="2"/>
        <v>11000</v>
      </c>
      <c r="L477" s="705">
        <f t="shared" si="3"/>
        <v>111000</v>
      </c>
      <c r="M477" s="706">
        <f t="shared" si="5"/>
        <v>5.55</v>
      </c>
    </row>
    <row r="478">
      <c r="A478" s="702" t="s">
        <v>33136</v>
      </c>
      <c r="B478" s="702" t="s">
        <v>15291</v>
      </c>
      <c r="C478" s="707"/>
      <c r="D478" s="707"/>
      <c r="E478" s="708" t="s">
        <v>7897</v>
      </c>
      <c r="F478" s="709">
        <v>1000.0</v>
      </c>
      <c r="G478" s="708" t="s">
        <v>2682</v>
      </c>
      <c r="H478" s="709">
        <v>19.0</v>
      </c>
      <c r="I478" s="709">
        <v>1000.0</v>
      </c>
      <c r="J478" s="705">
        <f t="shared" si="1"/>
        <v>20000</v>
      </c>
      <c r="K478" s="705">
        <f t="shared" si="2"/>
        <v>3000</v>
      </c>
      <c r="L478" s="705">
        <f t="shared" si="3"/>
        <v>23000</v>
      </c>
      <c r="M478" s="706">
        <f t="shared" si="5"/>
        <v>23</v>
      </c>
    </row>
    <row r="479">
      <c r="A479" s="702" t="s">
        <v>33136</v>
      </c>
      <c r="B479" s="96" t="s">
        <v>15296</v>
      </c>
      <c r="C479" s="707"/>
      <c r="D479" s="707"/>
      <c r="E479" s="708" t="s">
        <v>31499</v>
      </c>
      <c r="F479" s="709">
        <v>1000.0</v>
      </c>
      <c r="G479" s="708" t="s">
        <v>1053</v>
      </c>
      <c r="H479" s="709">
        <v>2.5</v>
      </c>
      <c r="I479" s="709">
        <v>500.0</v>
      </c>
      <c r="J479" s="705">
        <f t="shared" si="1"/>
        <v>3000</v>
      </c>
      <c r="K479" s="705">
        <f t="shared" si="2"/>
        <v>1300</v>
      </c>
      <c r="L479" s="705">
        <f t="shared" si="3"/>
        <v>4300</v>
      </c>
      <c r="M479" s="706">
        <f t="shared" si="5"/>
        <v>4.3</v>
      </c>
    </row>
    <row r="480">
      <c r="A480" s="702" t="s">
        <v>33136</v>
      </c>
      <c r="B480" s="96" t="s">
        <v>15296</v>
      </c>
      <c r="C480" s="707"/>
      <c r="D480" s="707"/>
      <c r="E480" s="708" t="s">
        <v>31500</v>
      </c>
      <c r="F480" s="709">
        <v>1000.0</v>
      </c>
      <c r="G480" s="708" t="s">
        <v>1053</v>
      </c>
      <c r="H480" s="709">
        <v>4.0</v>
      </c>
      <c r="I480" s="709">
        <v>500.0</v>
      </c>
      <c r="J480" s="705">
        <f t="shared" si="1"/>
        <v>4500</v>
      </c>
      <c r="K480" s="705">
        <f t="shared" si="2"/>
        <v>1450</v>
      </c>
      <c r="L480" s="705">
        <f t="shared" si="3"/>
        <v>5950</v>
      </c>
      <c r="M480" s="706">
        <f t="shared" si="5"/>
        <v>5.95</v>
      </c>
    </row>
    <row r="481">
      <c r="A481" s="702" t="s">
        <v>33137</v>
      </c>
      <c r="B481" s="702" t="s">
        <v>33138</v>
      </c>
      <c r="C481" s="707"/>
      <c r="D481" s="707"/>
      <c r="E481" s="708" t="s">
        <v>1373</v>
      </c>
      <c r="F481" s="709">
        <v>200.0</v>
      </c>
      <c r="G481" s="708" t="s">
        <v>1082</v>
      </c>
      <c r="H481" s="709">
        <v>13.2</v>
      </c>
      <c r="I481" s="709">
        <v>500.0</v>
      </c>
      <c r="J481" s="705">
        <f t="shared" si="1"/>
        <v>3140</v>
      </c>
      <c r="K481" s="705">
        <f t="shared" si="2"/>
        <v>1314</v>
      </c>
      <c r="L481" s="705">
        <f t="shared" si="3"/>
        <v>4454</v>
      </c>
      <c r="M481" s="706">
        <f t="shared" si="5"/>
        <v>22.27</v>
      </c>
    </row>
    <row r="482">
      <c r="A482" s="702" t="s">
        <v>33137</v>
      </c>
      <c r="B482" s="702" t="s">
        <v>33138</v>
      </c>
      <c r="C482" s="707"/>
      <c r="D482" s="707"/>
      <c r="E482" s="708" t="s">
        <v>501</v>
      </c>
      <c r="F482" s="709">
        <v>1000.0</v>
      </c>
      <c r="G482" s="708" t="s">
        <v>1082</v>
      </c>
      <c r="H482" s="709">
        <v>10.0</v>
      </c>
      <c r="I482" s="709">
        <v>1000.0</v>
      </c>
      <c r="J482" s="705">
        <f t="shared" si="1"/>
        <v>11000</v>
      </c>
      <c r="K482" s="705">
        <f t="shared" si="2"/>
        <v>2100</v>
      </c>
      <c r="L482" s="705">
        <f t="shared" si="3"/>
        <v>13100</v>
      </c>
      <c r="M482" s="706">
        <f t="shared" si="5"/>
        <v>13.1</v>
      </c>
    </row>
    <row r="483">
      <c r="A483" s="702" t="s">
        <v>33137</v>
      </c>
      <c r="B483" s="702" t="s">
        <v>33138</v>
      </c>
      <c r="C483" s="707"/>
      <c r="D483" s="707"/>
      <c r="E483" s="708" t="s">
        <v>3165</v>
      </c>
      <c r="F483" s="709">
        <v>1000.0</v>
      </c>
      <c r="G483" s="708" t="s">
        <v>44</v>
      </c>
      <c r="H483" s="709">
        <v>86.0</v>
      </c>
      <c r="I483" s="709">
        <v>1000.0</v>
      </c>
      <c r="J483" s="705">
        <f t="shared" si="1"/>
        <v>87000</v>
      </c>
      <c r="K483" s="705">
        <f t="shared" si="2"/>
        <v>9700</v>
      </c>
      <c r="L483" s="705">
        <f t="shared" si="3"/>
        <v>96700</v>
      </c>
      <c r="M483" s="706">
        <f t="shared" si="5"/>
        <v>96.7</v>
      </c>
    </row>
    <row r="484">
      <c r="A484" s="702" t="s">
        <v>33139</v>
      </c>
      <c r="B484" s="702" t="s">
        <v>15314</v>
      </c>
      <c r="C484" s="707"/>
      <c r="D484" s="707"/>
      <c r="E484" s="708" t="s">
        <v>444</v>
      </c>
      <c r="F484" s="709">
        <v>600.0</v>
      </c>
      <c r="G484" s="708" t="s">
        <v>158</v>
      </c>
      <c r="H484" s="709">
        <v>18.0</v>
      </c>
      <c r="I484" s="709">
        <v>600.0</v>
      </c>
      <c r="J484" s="705">
        <f t="shared" si="1"/>
        <v>11400</v>
      </c>
      <c r="K484" s="705">
        <f t="shared" si="2"/>
        <v>2140</v>
      </c>
      <c r="L484" s="705">
        <f t="shared" si="3"/>
        <v>13540</v>
      </c>
      <c r="M484" s="706">
        <f t="shared" si="5"/>
        <v>22.56666667</v>
      </c>
      <c r="N484" s="526" t="s">
        <v>33140</v>
      </c>
    </row>
    <row r="485">
      <c r="A485" s="702" t="s">
        <v>33139</v>
      </c>
      <c r="B485" s="702" t="s">
        <v>15319</v>
      </c>
      <c r="C485" s="707"/>
      <c r="D485" s="707"/>
      <c r="E485" s="708" t="s">
        <v>33141</v>
      </c>
      <c r="F485" s="709">
        <v>1000.0</v>
      </c>
      <c r="G485" s="708" t="s">
        <v>906</v>
      </c>
      <c r="H485" s="709">
        <v>12.0</v>
      </c>
      <c r="I485" s="709">
        <v>1000.0</v>
      </c>
      <c r="J485" s="705">
        <f t="shared" si="1"/>
        <v>13000</v>
      </c>
      <c r="K485" s="705">
        <f t="shared" si="2"/>
        <v>2300</v>
      </c>
      <c r="L485" s="705">
        <f t="shared" si="3"/>
        <v>15300</v>
      </c>
      <c r="M485" s="706">
        <f t="shared" si="5"/>
        <v>15.3</v>
      </c>
      <c r="N485" s="526" t="s">
        <v>33142</v>
      </c>
    </row>
    <row r="486">
      <c r="A486" s="702" t="s">
        <v>33139</v>
      </c>
      <c r="B486" s="702" t="s">
        <v>15326</v>
      </c>
      <c r="C486" s="707"/>
      <c r="D486" s="707"/>
      <c r="E486" s="708" t="s">
        <v>4205</v>
      </c>
      <c r="F486" s="709">
        <v>15000.0</v>
      </c>
      <c r="G486" s="708" t="s">
        <v>44</v>
      </c>
      <c r="H486" s="709">
        <v>6.0</v>
      </c>
      <c r="I486" s="709"/>
      <c r="J486" s="705">
        <f t="shared" si="1"/>
        <v>90000</v>
      </c>
      <c r="K486" s="705">
        <f t="shared" si="2"/>
        <v>10000</v>
      </c>
      <c r="L486" s="705">
        <f t="shared" si="3"/>
        <v>100000</v>
      </c>
      <c r="M486" s="706">
        <f t="shared" si="5"/>
        <v>6.666666667</v>
      </c>
      <c r="N486" s="526" t="s">
        <v>33108</v>
      </c>
    </row>
    <row r="487">
      <c r="A487" s="702" t="s">
        <v>33139</v>
      </c>
      <c r="B487" s="702" t="s">
        <v>15333</v>
      </c>
      <c r="C487" s="707"/>
      <c r="D487" s="707"/>
      <c r="E487" s="708" t="s">
        <v>9682</v>
      </c>
      <c r="F487" s="709">
        <v>500.0</v>
      </c>
      <c r="G487" s="708" t="s">
        <v>44</v>
      </c>
      <c r="H487" s="709">
        <v>12.0</v>
      </c>
      <c r="I487" s="709">
        <v>500.0</v>
      </c>
      <c r="J487" s="705">
        <f t="shared" si="1"/>
        <v>6500</v>
      </c>
      <c r="K487" s="705">
        <f t="shared" si="2"/>
        <v>1650</v>
      </c>
      <c r="L487" s="705">
        <f t="shared" si="3"/>
        <v>8150</v>
      </c>
      <c r="M487" s="706">
        <f t="shared" si="5"/>
        <v>16.3</v>
      </c>
      <c r="N487" s="526" t="s">
        <v>33143</v>
      </c>
    </row>
    <row r="488">
      <c r="A488" s="702" t="s">
        <v>33139</v>
      </c>
      <c r="B488" s="702" t="s">
        <v>15336</v>
      </c>
      <c r="C488" s="707"/>
      <c r="D488" s="707"/>
      <c r="E488" s="708" t="s">
        <v>6421</v>
      </c>
      <c r="F488" s="709">
        <v>400.0</v>
      </c>
      <c r="G488" s="708" t="s">
        <v>44</v>
      </c>
      <c r="H488" s="709">
        <v>15.0</v>
      </c>
      <c r="I488" s="709">
        <v>500.0</v>
      </c>
      <c r="J488" s="705">
        <f t="shared" si="1"/>
        <v>6500</v>
      </c>
      <c r="K488" s="705">
        <f t="shared" si="2"/>
        <v>1650</v>
      </c>
      <c r="L488" s="705">
        <f t="shared" si="3"/>
        <v>8150</v>
      </c>
      <c r="M488" s="706">
        <f t="shared" si="5"/>
        <v>20.375</v>
      </c>
      <c r="N488" s="526" t="s">
        <v>33144</v>
      </c>
    </row>
    <row r="489">
      <c r="A489" s="702" t="s">
        <v>33139</v>
      </c>
      <c r="B489" s="702" t="s">
        <v>15342</v>
      </c>
      <c r="C489" s="707"/>
      <c r="D489" s="707"/>
      <c r="E489" s="708" t="s">
        <v>189</v>
      </c>
      <c r="F489" s="709">
        <v>10000.0</v>
      </c>
      <c r="G489" s="708" t="s">
        <v>1640</v>
      </c>
      <c r="H489" s="709">
        <v>8.0</v>
      </c>
      <c r="I489" s="709"/>
      <c r="J489" s="705">
        <f t="shared" si="1"/>
        <v>80000</v>
      </c>
      <c r="K489" s="705">
        <f t="shared" si="2"/>
        <v>9000</v>
      </c>
      <c r="L489" s="705">
        <f t="shared" si="3"/>
        <v>89000</v>
      </c>
      <c r="M489" s="706">
        <f t="shared" si="5"/>
        <v>8.9</v>
      </c>
      <c r="N489" s="526" t="s">
        <v>33145</v>
      </c>
    </row>
    <row r="490">
      <c r="A490" s="702" t="s">
        <v>33139</v>
      </c>
      <c r="B490" s="702" t="s">
        <v>15351</v>
      </c>
      <c r="C490" s="707"/>
      <c r="D490" s="707"/>
      <c r="E490" s="708" t="s">
        <v>9283</v>
      </c>
      <c r="F490" s="709">
        <v>100.0</v>
      </c>
      <c r="G490" s="708" t="s">
        <v>44</v>
      </c>
      <c r="H490" s="709">
        <v>18.0</v>
      </c>
      <c r="I490" s="709">
        <v>500.0</v>
      </c>
      <c r="J490" s="705">
        <f t="shared" si="1"/>
        <v>2300</v>
      </c>
      <c r="K490" s="705">
        <f t="shared" si="2"/>
        <v>1230</v>
      </c>
      <c r="L490" s="705">
        <f t="shared" si="3"/>
        <v>3530</v>
      </c>
      <c r="M490" s="706">
        <f t="shared" si="5"/>
        <v>35.3</v>
      </c>
    </row>
    <row r="491">
      <c r="A491" s="702" t="s">
        <v>33139</v>
      </c>
      <c r="B491" s="702" t="s">
        <v>15348</v>
      </c>
      <c r="C491" s="707"/>
      <c r="D491" s="707"/>
      <c r="E491" s="708" t="s">
        <v>152</v>
      </c>
      <c r="F491" s="709">
        <v>5000.0</v>
      </c>
      <c r="G491" s="708" t="s">
        <v>507</v>
      </c>
      <c r="H491" s="709">
        <v>17.0</v>
      </c>
      <c r="I491" s="709">
        <v>5000.0</v>
      </c>
      <c r="J491" s="705">
        <f t="shared" si="1"/>
        <v>90000</v>
      </c>
      <c r="K491" s="705">
        <f t="shared" si="2"/>
        <v>10000</v>
      </c>
      <c r="L491" s="705">
        <f t="shared" si="3"/>
        <v>100000</v>
      </c>
      <c r="M491" s="706">
        <f t="shared" si="5"/>
        <v>20</v>
      </c>
    </row>
    <row r="492">
      <c r="A492" s="702" t="s">
        <v>33146</v>
      </c>
      <c r="B492" s="702" t="s">
        <v>15361</v>
      </c>
      <c r="C492" s="707"/>
      <c r="D492" s="707"/>
      <c r="E492" s="708" t="s">
        <v>116</v>
      </c>
      <c r="F492" s="709">
        <v>100.0</v>
      </c>
      <c r="G492" s="708" t="s">
        <v>33049</v>
      </c>
      <c r="H492" s="709">
        <v>84.0</v>
      </c>
      <c r="I492" s="709">
        <v>500.0</v>
      </c>
      <c r="J492" s="705">
        <f t="shared" si="1"/>
        <v>8900</v>
      </c>
      <c r="K492" s="705">
        <f t="shared" si="2"/>
        <v>1890</v>
      </c>
      <c r="L492" s="705">
        <f t="shared" si="3"/>
        <v>10790</v>
      </c>
      <c r="M492" s="706">
        <f t="shared" si="5"/>
        <v>107.9</v>
      </c>
    </row>
    <row r="493">
      <c r="A493" s="702" t="s">
        <v>33146</v>
      </c>
      <c r="B493" s="702" t="s">
        <v>15365</v>
      </c>
      <c r="C493" s="707"/>
      <c r="D493" s="707"/>
      <c r="E493" s="708" t="s">
        <v>3489</v>
      </c>
      <c r="F493" s="712">
        <v>20000.0</v>
      </c>
      <c r="G493" s="708" t="s">
        <v>906</v>
      </c>
      <c r="H493" s="709">
        <v>50.0</v>
      </c>
      <c r="I493" s="709">
        <v>1000.0</v>
      </c>
      <c r="J493" s="705">
        <f t="shared" si="1"/>
        <v>1001000</v>
      </c>
      <c r="K493" s="705">
        <f t="shared" si="2"/>
        <v>101100</v>
      </c>
      <c r="L493" s="705">
        <f t="shared" si="3"/>
        <v>1102100</v>
      </c>
      <c r="M493" s="706">
        <f t="shared" si="5"/>
        <v>55.105</v>
      </c>
      <c r="N493" s="526" t="s">
        <v>33147</v>
      </c>
    </row>
    <row r="494">
      <c r="A494" s="702" t="s">
        <v>33146</v>
      </c>
      <c r="B494" s="702" t="s">
        <v>15368</v>
      </c>
      <c r="C494" s="707"/>
      <c r="D494" s="707"/>
      <c r="E494" s="708" t="s">
        <v>9187</v>
      </c>
      <c r="F494" s="709">
        <v>1300.0</v>
      </c>
      <c r="G494" s="708" t="s">
        <v>20765</v>
      </c>
      <c r="H494" s="709">
        <v>5.0</v>
      </c>
      <c r="I494" s="709">
        <v>1500.0</v>
      </c>
      <c r="J494" s="705">
        <f t="shared" si="1"/>
        <v>8000</v>
      </c>
      <c r="K494" s="705">
        <f t="shared" si="2"/>
        <v>1800</v>
      </c>
      <c r="L494" s="705">
        <f t="shared" si="3"/>
        <v>9800</v>
      </c>
      <c r="M494" s="706">
        <f t="shared" si="5"/>
        <v>7.538461538</v>
      </c>
    </row>
    <row r="495">
      <c r="A495" s="702" t="s">
        <v>33146</v>
      </c>
      <c r="B495" s="702" t="s">
        <v>15371</v>
      </c>
      <c r="C495" s="707"/>
      <c r="D495" s="707"/>
      <c r="E495" s="708" t="s">
        <v>10409</v>
      </c>
      <c r="F495" s="709">
        <v>5000.0</v>
      </c>
      <c r="G495" s="708" t="s">
        <v>467</v>
      </c>
      <c r="H495" s="709">
        <v>17.0</v>
      </c>
      <c r="I495" s="709">
        <v>5000.0</v>
      </c>
      <c r="J495" s="705">
        <f t="shared" si="1"/>
        <v>90000</v>
      </c>
      <c r="K495" s="705">
        <f t="shared" si="2"/>
        <v>10000</v>
      </c>
      <c r="L495" s="705">
        <f t="shared" si="3"/>
        <v>100000</v>
      </c>
      <c r="M495" s="706">
        <f t="shared" si="5"/>
        <v>20</v>
      </c>
    </row>
    <row r="496">
      <c r="A496" s="702" t="s">
        <v>33146</v>
      </c>
      <c r="B496" s="702" t="s">
        <v>15378</v>
      </c>
      <c r="C496" s="707"/>
      <c r="D496" s="707"/>
      <c r="E496" s="708" t="s">
        <v>33148</v>
      </c>
      <c r="F496" s="709">
        <v>3000.0</v>
      </c>
      <c r="G496" s="708" t="s">
        <v>44</v>
      </c>
      <c r="H496" s="709">
        <v>25.0</v>
      </c>
      <c r="I496" s="709">
        <v>3000.0</v>
      </c>
      <c r="J496" s="705">
        <f t="shared" si="1"/>
        <v>78000</v>
      </c>
      <c r="K496" s="705">
        <f t="shared" si="2"/>
        <v>8800</v>
      </c>
      <c r="L496" s="705">
        <f t="shared" si="3"/>
        <v>86800</v>
      </c>
      <c r="M496" s="706">
        <f t="shared" si="5"/>
        <v>28.93333333</v>
      </c>
    </row>
    <row r="497">
      <c r="A497" s="702" t="s">
        <v>33149</v>
      </c>
      <c r="B497" s="702" t="s">
        <v>15374</v>
      </c>
      <c r="C497" s="707"/>
      <c r="D497" s="707"/>
      <c r="E497" s="708" t="s">
        <v>7057</v>
      </c>
      <c r="F497" s="709">
        <v>200.0</v>
      </c>
      <c r="G497" s="708" t="s">
        <v>44</v>
      </c>
      <c r="H497" s="709">
        <v>200.0</v>
      </c>
      <c r="I497" s="709">
        <v>300.0</v>
      </c>
      <c r="J497" s="705">
        <f t="shared" si="1"/>
        <v>40300</v>
      </c>
      <c r="K497" s="705">
        <f t="shared" si="2"/>
        <v>5030</v>
      </c>
      <c r="L497" s="705">
        <f t="shared" si="3"/>
        <v>45330</v>
      </c>
      <c r="M497" s="706">
        <f t="shared" si="5"/>
        <v>226.65</v>
      </c>
      <c r="N497" s="526" t="s">
        <v>33150</v>
      </c>
    </row>
    <row r="498">
      <c r="A498" s="702" t="s">
        <v>33151</v>
      </c>
      <c r="B498" s="702" t="s">
        <v>15444</v>
      </c>
      <c r="C498" s="707"/>
      <c r="D498" s="707"/>
      <c r="E498" s="708" t="s">
        <v>31499</v>
      </c>
      <c r="F498" s="709">
        <v>10000.0</v>
      </c>
      <c r="G498" s="708" t="s">
        <v>372</v>
      </c>
      <c r="H498" s="709">
        <v>2.5</v>
      </c>
      <c r="I498" s="709">
        <v>5000.0</v>
      </c>
      <c r="J498" s="705">
        <f t="shared" si="1"/>
        <v>30000</v>
      </c>
      <c r="K498" s="705">
        <f t="shared" si="2"/>
        <v>4000</v>
      </c>
      <c r="L498" s="705">
        <f t="shared" si="3"/>
        <v>34000</v>
      </c>
      <c r="M498" s="706">
        <f t="shared" si="5"/>
        <v>3.4</v>
      </c>
    </row>
    <row r="499">
      <c r="A499" s="702" t="s">
        <v>33151</v>
      </c>
      <c r="B499" s="702" t="s">
        <v>15444</v>
      </c>
      <c r="C499" s="707"/>
      <c r="D499" s="707"/>
      <c r="E499" s="708" t="s">
        <v>31500</v>
      </c>
      <c r="F499" s="709">
        <v>10000.0</v>
      </c>
      <c r="G499" s="708" t="s">
        <v>372</v>
      </c>
      <c r="H499" s="709">
        <v>4.0</v>
      </c>
      <c r="I499" s="709">
        <v>5000.0</v>
      </c>
      <c r="J499" s="705">
        <f t="shared" si="1"/>
        <v>45000</v>
      </c>
      <c r="K499" s="705">
        <f t="shared" si="2"/>
        <v>5500</v>
      </c>
      <c r="L499" s="705">
        <f t="shared" si="3"/>
        <v>50500</v>
      </c>
      <c r="M499" s="706">
        <f t="shared" si="5"/>
        <v>5.05</v>
      </c>
    </row>
    <row r="500">
      <c r="A500" s="702" t="s">
        <v>33151</v>
      </c>
      <c r="B500" s="702" t="s">
        <v>15483</v>
      </c>
      <c r="C500" s="707"/>
      <c r="D500" s="707"/>
      <c r="E500" s="708" t="s">
        <v>33152</v>
      </c>
      <c r="F500" s="709">
        <v>500.0</v>
      </c>
      <c r="G500" s="708" t="s">
        <v>44</v>
      </c>
      <c r="H500" s="709">
        <v>25.0</v>
      </c>
      <c r="I500" s="709">
        <v>500.0</v>
      </c>
      <c r="J500" s="705">
        <f t="shared" si="1"/>
        <v>13000</v>
      </c>
      <c r="K500" s="705">
        <f t="shared" si="2"/>
        <v>2300</v>
      </c>
      <c r="L500" s="705">
        <f t="shared" si="3"/>
        <v>15300</v>
      </c>
      <c r="M500" s="706">
        <f t="shared" si="5"/>
        <v>30.6</v>
      </c>
    </row>
    <row r="501">
      <c r="A501" s="702" t="s">
        <v>33151</v>
      </c>
      <c r="B501" s="702" t="s">
        <v>15496</v>
      </c>
      <c r="C501" s="707"/>
      <c r="D501" s="707"/>
      <c r="E501" s="708" t="s">
        <v>152</v>
      </c>
      <c r="F501" s="709">
        <v>500.0</v>
      </c>
      <c r="G501" s="708" t="s">
        <v>1408</v>
      </c>
      <c r="H501" s="709">
        <v>19.0</v>
      </c>
      <c r="I501" s="709">
        <v>500.0</v>
      </c>
      <c r="J501" s="705">
        <f t="shared" si="1"/>
        <v>10000</v>
      </c>
      <c r="K501" s="705">
        <f t="shared" si="2"/>
        <v>2000</v>
      </c>
      <c r="L501" s="705">
        <f t="shared" si="3"/>
        <v>12000</v>
      </c>
      <c r="M501" s="706">
        <f t="shared" si="5"/>
        <v>24</v>
      </c>
    </row>
    <row r="502">
      <c r="A502" s="702" t="s">
        <v>33151</v>
      </c>
      <c r="B502" s="702" t="s">
        <v>15503</v>
      </c>
      <c r="C502" s="707"/>
      <c r="D502" s="707"/>
      <c r="E502" s="708" t="s">
        <v>167</v>
      </c>
      <c r="F502" s="709">
        <v>10000.0</v>
      </c>
      <c r="G502" s="708" t="s">
        <v>1919</v>
      </c>
      <c r="H502" s="709">
        <v>20.0</v>
      </c>
      <c r="I502" s="709"/>
      <c r="J502" s="705">
        <f t="shared" si="1"/>
        <v>200000</v>
      </c>
      <c r="K502" s="705">
        <f t="shared" si="2"/>
        <v>21000</v>
      </c>
      <c r="L502" s="705">
        <f t="shared" si="3"/>
        <v>221000</v>
      </c>
      <c r="M502" s="706">
        <f t="shared" si="5"/>
        <v>22.1</v>
      </c>
    </row>
    <row r="503">
      <c r="A503" s="702" t="s">
        <v>33151</v>
      </c>
      <c r="B503" s="702" t="s">
        <v>15476</v>
      </c>
      <c r="C503" s="707"/>
      <c r="D503" s="707"/>
      <c r="E503" s="708" t="s">
        <v>15478</v>
      </c>
      <c r="F503" s="709">
        <v>100.0</v>
      </c>
      <c r="G503" s="708" t="s">
        <v>44</v>
      </c>
      <c r="H503" s="709">
        <v>70.0</v>
      </c>
      <c r="I503" s="709">
        <v>500.0</v>
      </c>
      <c r="J503" s="705">
        <f t="shared" si="1"/>
        <v>7500</v>
      </c>
      <c r="K503" s="705">
        <f t="shared" si="2"/>
        <v>1750</v>
      </c>
      <c r="L503" s="705">
        <f t="shared" si="3"/>
        <v>9250</v>
      </c>
      <c r="M503" s="706">
        <f t="shared" si="5"/>
        <v>92.5</v>
      </c>
      <c r="N503" s="526" t="s">
        <v>33153</v>
      </c>
    </row>
    <row r="504">
      <c r="A504" s="702" t="s">
        <v>33151</v>
      </c>
      <c r="B504" s="702" t="s">
        <v>15499</v>
      </c>
      <c r="C504" s="707"/>
      <c r="D504" s="707"/>
      <c r="E504" s="708" t="s">
        <v>15501</v>
      </c>
      <c r="F504" s="709">
        <v>20000.0</v>
      </c>
      <c r="G504" s="708" t="s">
        <v>3304</v>
      </c>
      <c r="H504" s="709">
        <v>45.0</v>
      </c>
      <c r="I504" s="709"/>
      <c r="J504" s="705">
        <f t="shared" si="1"/>
        <v>900000</v>
      </c>
      <c r="K504" s="705">
        <f t="shared" si="2"/>
        <v>91000</v>
      </c>
      <c r="L504" s="705">
        <f t="shared" si="3"/>
        <v>991000</v>
      </c>
      <c r="M504" s="706">
        <f t="shared" si="5"/>
        <v>49.55</v>
      </c>
      <c r="N504" s="526" t="s">
        <v>33154</v>
      </c>
    </row>
    <row r="505">
      <c r="A505" s="702" t="s">
        <v>33151</v>
      </c>
      <c r="B505" s="702" t="s">
        <v>15489</v>
      </c>
      <c r="C505" s="707"/>
      <c r="D505" s="707"/>
      <c r="E505" s="708" t="s">
        <v>3615</v>
      </c>
      <c r="F505" s="709">
        <v>2500.0</v>
      </c>
      <c r="G505" s="708" t="s">
        <v>283</v>
      </c>
      <c r="H505" s="709">
        <v>35.0</v>
      </c>
      <c r="I505" s="709">
        <v>2500.0</v>
      </c>
      <c r="J505" s="705">
        <f t="shared" si="1"/>
        <v>90000</v>
      </c>
      <c r="K505" s="705">
        <f t="shared" si="2"/>
        <v>10000</v>
      </c>
      <c r="L505" s="705">
        <f t="shared" si="3"/>
        <v>100000</v>
      </c>
      <c r="M505" s="706">
        <f t="shared" si="5"/>
        <v>40</v>
      </c>
      <c r="N505" s="526" t="s">
        <v>33155</v>
      </c>
    </row>
    <row r="506">
      <c r="A506" s="702" t="s">
        <v>33151</v>
      </c>
      <c r="B506" s="702" t="s">
        <v>15480</v>
      </c>
      <c r="C506" s="707"/>
      <c r="D506" s="707"/>
      <c r="E506" s="708" t="s">
        <v>5756</v>
      </c>
      <c r="F506" s="709">
        <v>1000.0</v>
      </c>
      <c r="G506" s="708" t="s">
        <v>99</v>
      </c>
      <c r="H506" s="709">
        <v>15.0</v>
      </c>
      <c r="I506" s="709">
        <v>1000.0</v>
      </c>
      <c r="J506" s="705">
        <f t="shared" si="1"/>
        <v>16000</v>
      </c>
      <c r="K506" s="705">
        <f t="shared" si="2"/>
        <v>2600</v>
      </c>
      <c r="L506" s="705">
        <f t="shared" si="3"/>
        <v>18600</v>
      </c>
      <c r="M506" s="706">
        <f t="shared" si="5"/>
        <v>18.6</v>
      </c>
      <c r="N506" s="526" t="s">
        <v>33127</v>
      </c>
    </row>
    <row r="507">
      <c r="A507" s="702" t="s">
        <v>33151</v>
      </c>
      <c r="B507" s="702" t="s">
        <v>15435</v>
      </c>
      <c r="C507" s="707"/>
      <c r="D507" s="707"/>
      <c r="E507" s="708" t="s">
        <v>15040</v>
      </c>
      <c r="F507" s="709">
        <v>500.0</v>
      </c>
      <c r="G507" s="708" t="s">
        <v>906</v>
      </c>
      <c r="H507" s="709">
        <v>45.0</v>
      </c>
      <c r="I507" s="709">
        <v>500.0</v>
      </c>
      <c r="J507" s="705">
        <f t="shared" si="1"/>
        <v>23000</v>
      </c>
      <c r="K507" s="705">
        <f t="shared" si="2"/>
        <v>3300</v>
      </c>
      <c r="L507" s="705">
        <f t="shared" si="3"/>
        <v>26300</v>
      </c>
      <c r="M507" s="706">
        <f t="shared" si="5"/>
        <v>52.6</v>
      </c>
      <c r="N507" s="526" t="s">
        <v>33156</v>
      </c>
    </row>
    <row r="508">
      <c r="A508" s="702" t="s">
        <v>33151</v>
      </c>
      <c r="B508" s="702" t="s">
        <v>15492</v>
      </c>
      <c r="C508" s="707"/>
      <c r="D508" s="707"/>
      <c r="E508" s="708" t="s">
        <v>92</v>
      </c>
      <c r="F508" s="709">
        <v>500.0</v>
      </c>
      <c r="G508" s="708" t="s">
        <v>44</v>
      </c>
      <c r="H508" s="709">
        <v>130.0</v>
      </c>
      <c r="I508" s="709">
        <v>500.0</v>
      </c>
      <c r="J508" s="705">
        <f t="shared" si="1"/>
        <v>65500</v>
      </c>
      <c r="K508" s="705">
        <f t="shared" si="2"/>
        <v>7550</v>
      </c>
      <c r="L508" s="705">
        <f t="shared" si="3"/>
        <v>73050</v>
      </c>
      <c r="M508" s="706">
        <f t="shared" si="5"/>
        <v>146.1</v>
      </c>
      <c r="N508" s="526" t="s">
        <v>33157</v>
      </c>
    </row>
    <row r="509">
      <c r="A509" s="702" t="s">
        <v>33158</v>
      </c>
      <c r="B509" s="702" t="s">
        <v>15512</v>
      </c>
      <c r="C509" s="707"/>
      <c r="D509" s="707"/>
      <c r="E509" s="708" t="s">
        <v>33159</v>
      </c>
      <c r="F509" s="709">
        <v>500.0</v>
      </c>
      <c r="G509" s="708" t="s">
        <v>44</v>
      </c>
      <c r="H509" s="709">
        <v>15.0</v>
      </c>
      <c r="I509" s="709">
        <v>500.0</v>
      </c>
      <c r="J509" s="705">
        <f t="shared" si="1"/>
        <v>8000</v>
      </c>
      <c r="K509" s="705">
        <f t="shared" si="2"/>
        <v>1800</v>
      </c>
      <c r="L509" s="705">
        <f t="shared" si="3"/>
        <v>9800</v>
      </c>
      <c r="M509" s="706">
        <f t="shared" si="5"/>
        <v>19.6</v>
      </c>
      <c r="N509" s="526" t="s">
        <v>33160</v>
      </c>
    </row>
    <row r="510">
      <c r="A510" s="702" t="s">
        <v>33158</v>
      </c>
      <c r="B510" s="96" t="s">
        <v>15515</v>
      </c>
      <c r="C510" s="707"/>
      <c r="D510" s="707"/>
      <c r="E510" s="708" t="s">
        <v>3165</v>
      </c>
      <c r="F510" s="709">
        <v>1000.0</v>
      </c>
      <c r="G510" s="708" t="s">
        <v>44</v>
      </c>
      <c r="H510" s="709">
        <v>86.0</v>
      </c>
      <c r="I510" s="709">
        <v>1000.0</v>
      </c>
      <c r="J510" s="705">
        <f t="shared" si="1"/>
        <v>87000</v>
      </c>
      <c r="K510" s="705">
        <f t="shared" si="2"/>
        <v>9700</v>
      </c>
      <c r="L510" s="705">
        <f t="shared" si="3"/>
        <v>96700</v>
      </c>
      <c r="M510" s="706">
        <f t="shared" si="5"/>
        <v>96.7</v>
      </c>
    </row>
    <row r="511">
      <c r="A511" s="702" t="s">
        <v>33158</v>
      </c>
      <c r="B511" s="96" t="s">
        <v>15515</v>
      </c>
      <c r="C511" s="707"/>
      <c r="D511" s="707"/>
      <c r="E511" s="708" t="s">
        <v>501</v>
      </c>
      <c r="F511" s="709">
        <v>1500.0</v>
      </c>
      <c r="G511" s="708" t="s">
        <v>44</v>
      </c>
      <c r="H511" s="709">
        <v>10.0</v>
      </c>
      <c r="I511" s="709">
        <v>1500.0</v>
      </c>
      <c r="J511" s="705">
        <f t="shared" si="1"/>
        <v>16500</v>
      </c>
      <c r="K511" s="705">
        <f t="shared" si="2"/>
        <v>2650</v>
      </c>
      <c r="L511" s="705">
        <f t="shared" si="3"/>
        <v>19150</v>
      </c>
      <c r="M511" s="706">
        <f t="shared" si="5"/>
        <v>12.76666667</v>
      </c>
    </row>
    <row r="512">
      <c r="A512" s="702" t="s">
        <v>33158</v>
      </c>
      <c r="B512" s="702" t="s">
        <v>15515</v>
      </c>
      <c r="C512" s="707"/>
      <c r="D512" s="707"/>
      <c r="E512" s="96" t="s">
        <v>1373</v>
      </c>
      <c r="F512" s="709">
        <v>1500.0</v>
      </c>
      <c r="G512" s="708" t="s">
        <v>44</v>
      </c>
      <c r="H512" s="709">
        <v>13.2</v>
      </c>
      <c r="I512" s="709">
        <v>1500.0</v>
      </c>
      <c r="J512" s="705">
        <f t="shared" si="1"/>
        <v>21300</v>
      </c>
      <c r="K512" s="705">
        <f t="shared" si="2"/>
        <v>3130</v>
      </c>
      <c r="L512" s="705">
        <f t="shared" si="3"/>
        <v>24430</v>
      </c>
      <c r="M512" s="706">
        <f t="shared" si="5"/>
        <v>16.28666667</v>
      </c>
    </row>
    <row r="513">
      <c r="A513" s="702" t="s">
        <v>33161</v>
      </c>
      <c r="B513" s="702" t="s">
        <v>15546</v>
      </c>
      <c r="C513" s="707"/>
      <c r="D513" s="707"/>
      <c r="E513" s="708" t="s">
        <v>31499</v>
      </c>
      <c r="F513" s="709">
        <v>500.0</v>
      </c>
      <c r="G513" s="708" t="s">
        <v>33162</v>
      </c>
      <c r="H513" s="709">
        <v>2.5</v>
      </c>
      <c r="I513" s="709">
        <v>250.0</v>
      </c>
      <c r="J513" s="705">
        <f t="shared" si="1"/>
        <v>1500</v>
      </c>
      <c r="K513" s="705">
        <f t="shared" si="2"/>
        <v>1150</v>
      </c>
      <c r="L513" s="705">
        <f t="shared" si="3"/>
        <v>2650</v>
      </c>
      <c r="M513" s="706">
        <f t="shared" si="5"/>
        <v>5.3</v>
      </c>
    </row>
    <row r="514">
      <c r="A514" s="702" t="s">
        <v>33161</v>
      </c>
      <c r="B514" s="702" t="s">
        <v>15546</v>
      </c>
      <c r="C514" s="707"/>
      <c r="D514" s="707"/>
      <c r="E514" s="708" t="s">
        <v>31500</v>
      </c>
      <c r="F514" s="709">
        <v>500.0</v>
      </c>
      <c r="G514" s="708" t="s">
        <v>33162</v>
      </c>
      <c r="H514" s="709">
        <v>4.0</v>
      </c>
      <c r="I514" s="709">
        <v>250.0</v>
      </c>
      <c r="J514" s="705">
        <f t="shared" si="1"/>
        <v>2250</v>
      </c>
      <c r="K514" s="705">
        <f t="shared" si="2"/>
        <v>1225</v>
      </c>
      <c r="L514" s="705">
        <f t="shared" si="3"/>
        <v>3475</v>
      </c>
      <c r="M514" s="706">
        <f t="shared" si="5"/>
        <v>6.95</v>
      </c>
    </row>
    <row r="515">
      <c r="A515" s="702" t="s">
        <v>33161</v>
      </c>
      <c r="B515" s="702" t="s">
        <v>15550</v>
      </c>
      <c r="C515" s="707"/>
      <c r="D515" s="707"/>
      <c r="E515" s="708" t="s">
        <v>152</v>
      </c>
      <c r="F515" s="709">
        <v>3000.0</v>
      </c>
      <c r="G515" s="708" t="s">
        <v>44</v>
      </c>
      <c r="H515" s="709">
        <v>20.0</v>
      </c>
      <c r="I515" s="709">
        <v>3000.0</v>
      </c>
      <c r="J515" s="705">
        <f t="shared" si="1"/>
        <v>63000</v>
      </c>
      <c r="K515" s="705">
        <f t="shared" si="2"/>
        <v>7300</v>
      </c>
      <c r="L515" s="705">
        <f t="shared" si="3"/>
        <v>70300</v>
      </c>
      <c r="M515" s="706">
        <f t="shared" si="5"/>
        <v>23.43333333</v>
      </c>
      <c r="N515" s="526" t="s">
        <v>33163</v>
      </c>
    </row>
    <row r="516">
      <c r="A516" s="702" t="s">
        <v>33161</v>
      </c>
      <c r="B516" s="702" t="s">
        <v>15553</v>
      </c>
      <c r="C516" s="707"/>
      <c r="D516" s="707"/>
      <c r="E516" s="708" t="s">
        <v>7897</v>
      </c>
      <c r="F516" s="709">
        <v>16000.0</v>
      </c>
      <c r="G516" s="708" t="s">
        <v>467</v>
      </c>
      <c r="H516" s="709">
        <v>17.0</v>
      </c>
      <c r="I516" s="709"/>
      <c r="J516" s="705">
        <f t="shared" si="1"/>
        <v>272000</v>
      </c>
      <c r="K516" s="705">
        <f t="shared" si="2"/>
        <v>28200</v>
      </c>
      <c r="L516" s="705">
        <f t="shared" si="3"/>
        <v>300200</v>
      </c>
      <c r="M516" s="706">
        <f t="shared" si="5"/>
        <v>18.7625</v>
      </c>
    </row>
    <row r="517">
      <c r="A517" s="702" t="s">
        <v>33161</v>
      </c>
      <c r="B517" s="702" t="s">
        <v>15556</v>
      </c>
      <c r="C517" s="707"/>
      <c r="D517" s="707"/>
      <c r="E517" s="708" t="s">
        <v>15558</v>
      </c>
      <c r="F517" s="709">
        <v>200.0</v>
      </c>
      <c r="G517" s="708" t="s">
        <v>44</v>
      </c>
      <c r="H517" s="709">
        <v>200.0</v>
      </c>
      <c r="I517" s="709">
        <v>500.0</v>
      </c>
      <c r="J517" s="705">
        <f t="shared" si="1"/>
        <v>40500</v>
      </c>
      <c r="K517" s="705">
        <f t="shared" si="2"/>
        <v>5050</v>
      </c>
      <c r="L517" s="705">
        <f t="shared" si="3"/>
        <v>45550</v>
      </c>
      <c r="M517" s="706">
        <f t="shared" si="5"/>
        <v>227.75</v>
      </c>
      <c r="N517" s="526" t="s">
        <v>33164</v>
      </c>
    </row>
    <row r="518">
      <c r="A518" s="702" t="s">
        <v>33161</v>
      </c>
      <c r="B518" s="702" t="s">
        <v>15560</v>
      </c>
      <c r="C518" s="707"/>
      <c r="D518" s="707"/>
      <c r="E518" s="708" t="s">
        <v>31499</v>
      </c>
      <c r="F518" s="709">
        <v>10000.0</v>
      </c>
      <c r="G518" s="708" t="s">
        <v>601</v>
      </c>
      <c r="H518" s="709">
        <v>2.5</v>
      </c>
      <c r="I518" s="709">
        <v>5000.0</v>
      </c>
      <c r="J518" s="705">
        <f t="shared" si="1"/>
        <v>30000</v>
      </c>
      <c r="K518" s="705">
        <f t="shared" si="2"/>
        <v>4000</v>
      </c>
      <c r="L518" s="705">
        <f t="shared" si="3"/>
        <v>34000</v>
      </c>
      <c r="M518" s="706">
        <f t="shared" si="5"/>
        <v>3.4</v>
      </c>
    </row>
    <row r="519">
      <c r="A519" s="702" t="s">
        <v>33161</v>
      </c>
      <c r="B519" s="702" t="s">
        <v>15560</v>
      </c>
      <c r="C519" s="707"/>
      <c r="D519" s="707"/>
      <c r="E519" s="708" t="s">
        <v>31500</v>
      </c>
      <c r="F519" s="709">
        <v>10000.0</v>
      </c>
      <c r="G519" s="708" t="s">
        <v>601</v>
      </c>
      <c r="H519" s="709">
        <v>4.0</v>
      </c>
      <c r="I519" s="709">
        <v>5000.0</v>
      </c>
      <c r="J519" s="705">
        <f t="shared" si="1"/>
        <v>45000</v>
      </c>
      <c r="K519" s="705">
        <f t="shared" si="2"/>
        <v>5500</v>
      </c>
      <c r="L519" s="705">
        <f t="shared" si="3"/>
        <v>50500</v>
      </c>
      <c r="M519" s="706">
        <f t="shared" si="5"/>
        <v>5.05</v>
      </c>
    </row>
    <row r="520">
      <c r="A520" s="702" t="s">
        <v>33161</v>
      </c>
      <c r="B520" s="702" t="s">
        <v>15564</v>
      </c>
      <c r="C520" s="707"/>
      <c r="D520" s="707"/>
      <c r="E520" s="708" t="s">
        <v>14041</v>
      </c>
      <c r="F520" s="709">
        <v>2000.0</v>
      </c>
      <c r="G520" s="708" t="s">
        <v>44</v>
      </c>
      <c r="H520" s="709">
        <v>160.0</v>
      </c>
      <c r="I520" s="709">
        <v>1000.0</v>
      </c>
      <c r="J520" s="705">
        <f t="shared" si="1"/>
        <v>321000</v>
      </c>
      <c r="K520" s="705">
        <f t="shared" si="2"/>
        <v>33100</v>
      </c>
      <c r="L520" s="705">
        <f t="shared" si="3"/>
        <v>354100</v>
      </c>
      <c r="M520" s="706">
        <f t="shared" si="5"/>
        <v>177.05</v>
      </c>
      <c r="N520" s="526" t="s">
        <v>33165</v>
      </c>
    </row>
    <row r="521">
      <c r="A521" s="702" t="s">
        <v>33161</v>
      </c>
      <c r="B521" s="702" t="s">
        <v>15573</v>
      </c>
      <c r="C521" s="707"/>
      <c r="D521" s="707"/>
      <c r="E521" s="708" t="s">
        <v>6405</v>
      </c>
      <c r="F521" s="709">
        <v>200.0</v>
      </c>
      <c r="G521" s="708" t="s">
        <v>44</v>
      </c>
      <c r="H521" s="709">
        <v>45.0</v>
      </c>
      <c r="I521" s="709">
        <v>500.0</v>
      </c>
      <c r="J521" s="705">
        <f t="shared" si="1"/>
        <v>9500</v>
      </c>
      <c r="K521" s="705">
        <f t="shared" si="2"/>
        <v>1950</v>
      </c>
      <c r="L521" s="705">
        <f t="shared" si="3"/>
        <v>11450</v>
      </c>
      <c r="M521" s="706">
        <f t="shared" si="5"/>
        <v>57.25</v>
      </c>
      <c r="N521" s="526" t="s">
        <v>33166</v>
      </c>
    </row>
    <row r="522">
      <c r="A522" s="702" t="s">
        <v>33161</v>
      </c>
      <c r="B522" s="702" t="s">
        <v>33167</v>
      </c>
      <c r="C522" s="707"/>
      <c r="D522" s="707"/>
      <c r="E522" s="708" t="s">
        <v>33152</v>
      </c>
      <c r="F522" s="709">
        <v>500.0</v>
      </c>
      <c r="G522" s="708" t="s">
        <v>906</v>
      </c>
      <c r="H522" s="709">
        <v>25.0</v>
      </c>
      <c r="I522" s="709">
        <v>500.0</v>
      </c>
      <c r="J522" s="705">
        <f t="shared" si="1"/>
        <v>13000</v>
      </c>
      <c r="K522" s="705">
        <f t="shared" si="2"/>
        <v>2300</v>
      </c>
      <c r="L522" s="705">
        <f t="shared" si="3"/>
        <v>15300</v>
      </c>
      <c r="M522" s="706">
        <f t="shared" si="5"/>
        <v>30.6</v>
      </c>
    </row>
    <row r="523">
      <c r="A523" s="702" t="s">
        <v>33168</v>
      </c>
      <c r="B523" s="702" t="s">
        <v>15588</v>
      </c>
      <c r="C523" s="707"/>
      <c r="D523" s="707"/>
      <c r="E523" s="708" t="s">
        <v>794</v>
      </c>
      <c r="F523" s="709">
        <v>500.0</v>
      </c>
      <c r="G523" s="708" t="s">
        <v>44</v>
      </c>
      <c r="H523" s="709">
        <v>5.0</v>
      </c>
      <c r="I523" s="709">
        <v>500.0</v>
      </c>
      <c r="J523" s="705">
        <f t="shared" si="1"/>
        <v>3000</v>
      </c>
      <c r="K523" s="705">
        <f t="shared" si="2"/>
        <v>1300</v>
      </c>
      <c r="L523" s="705">
        <f t="shared" si="3"/>
        <v>4300</v>
      </c>
      <c r="M523" s="706">
        <f t="shared" si="5"/>
        <v>8.6</v>
      </c>
    </row>
    <row r="524">
      <c r="A524" s="702" t="s">
        <v>33168</v>
      </c>
      <c r="B524" s="702" t="s">
        <v>15611</v>
      </c>
      <c r="C524" s="707"/>
      <c r="D524" s="707"/>
      <c r="E524" s="708" t="s">
        <v>152</v>
      </c>
      <c r="F524" s="709">
        <v>300.0</v>
      </c>
      <c r="G524" s="708" t="s">
        <v>398</v>
      </c>
      <c r="H524" s="709">
        <v>20.0</v>
      </c>
      <c r="I524" s="709">
        <v>500.0</v>
      </c>
      <c r="J524" s="705">
        <f t="shared" si="1"/>
        <v>6500</v>
      </c>
      <c r="K524" s="705">
        <f t="shared" si="2"/>
        <v>1650</v>
      </c>
      <c r="L524" s="705">
        <f t="shared" si="3"/>
        <v>8150</v>
      </c>
      <c r="M524" s="706">
        <f t="shared" si="5"/>
        <v>27.16666667</v>
      </c>
    </row>
    <row r="525">
      <c r="A525" s="702" t="s">
        <v>33168</v>
      </c>
      <c r="B525" s="702" t="s">
        <v>33169</v>
      </c>
      <c r="C525" s="707"/>
      <c r="D525" s="707"/>
      <c r="E525" s="708" t="s">
        <v>167</v>
      </c>
      <c r="F525" s="709">
        <v>100.0</v>
      </c>
      <c r="G525" s="708" t="s">
        <v>1663</v>
      </c>
      <c r="H525" s="709">
        <v>20.0</v>
      </c>
      <c r="I525" s="709">
        <v>300.0</v>
      </c>
      <c r="J525" s="705">
        <f t="shared" si="1"/>
        <v>2300</v>
      </c>
      <c r="K525" s="705">
        <f t="shared" si="2"/>
        <v>1230</v>
      </c>
      <c r="L525" s="705">
        <f t="shared" si="3"/>
        <v>3530</v>
      </c>
      <c r="M525" s="706">
        <f t="shared" si="5"/>
        <v>35.3</v>
      </c>
    </row>
    <row r="526">
      <c r="A526" s="702" t="s">
        <v>33168</v>
      </c>
      <c r="B526" s="702" t="s">
        <v>15623</v>
      </c>
      <c r="C526" s="707"/>
      <c r="D526" s="707"/>
      <c r="E526" s="708" t="s">
        <v>794</v>
      </c>
      <c r="F526" s="709">
        <v>500.0</v>
      </c>
      <c r="G526" s="708" t="s">
        <v>44</v>
      </c>
      <c r="H526" s="709">
        <v>5.0</v>
      </c>
      <c r="I526" s="709">
        <v>500.0</v>
      </c>
      <c r="J526" s="705">
        <f t="shared" si="1"/>
        <v>3000</v>
      </c>
      <c r="K526" s="705">
        <f t="shared" si="2"/>
        <v>1300</v>
      </c>
      <c r="L526" s="705">
        <f t="shared" si="3"/>
        <v>4300</v>
      </c>
      <c r="M526" s="706">
        <f t="shared" si="5"/>
        <v>8.6</v>
      </c>
    </row>
    <row r="527">
      <c r="A527" s="702" t="s">
        <v>33168</v>
      </c>
      <c r="B527" s="702" t="s">
        <v>15637</v>
      </c>
      <c r="C527" s="707"/>
      <c r="D527" s="707"/>
      <c r="E527" s="708" t="s">
        <v>152</v>
      </c>
      <c r="F527" s="709">
        <v>20000.0</v>
      </c>
      <c r="G527" s="708" t="s">
        <v>977</v>
      </c>
      <c r="H527" s="709">
        <v>20.0</v>
      </c>
      <c r="I527" s="709"/>
      <c r="J527" s="705">
        <f t="shared" si="1"/>
        <v>400000</v>
      </c>
      <c r="K527" s="705">
        <f t="shared" si="2"/>
        <v>41000</v>
      </c>
      <c r="L527" s="705">
        <f t="shared" si="3"/>
        <v>441000</v>
      </c>
      <c r="M527" s="706">
        <f t="shared" si="5"/>
        <v>22.05</v>
      </c>
    </row>
    <row r="528">
      <c r="A528" s="702" t="s">
        <v>33168</v>
      </c>
      <c r="B528" s="702" t="s">
        <v>33170</v>
      </c>
      <c r="C528" s="707"/>
      <c r="D528" s="707"/>
      <c r="E528" s="708" t="s">
        <v>38</v>
      </c>
      <c r="F528" s="709">
        <v>10000.0</v>
      </c>
      <c r="G528" s="708" t="s">
        <v>44</v>
      </c>
      <c r="H528" s="709">
        <v>95.0</v>
      </c>
      <c r="I528" s="709"/>
      <c r="J528" s="705">
        <f t="shared" si="1"/>
        <v>950000</v>
      </c>
      <c r="K528" s="705">
        <f t="shared" si="2"/>
        <v>96000</v>
      </c>
      <c r="L528" s="705">
        <f t="shared" si="3"/>
        <v>1046000</v>
      </c>
      <c r="M528" s="706">
        <f t="shared" si="5"/>
        <v>104.6</v>
      </c>
      <c r="N528" s="526" t="s">
        <v>33171</v>
      </c>
    </row>
    <row r="529">
      <c r="A529" s="702" t="s">
        <v>33168</v>
      </c>
      <c r="B529" s="702" t="s">
        <v>15648</v>
      </c>
      <c r="C529" s="707"/>
      <c r="D529" s="707"/>
      <c r="E529" s="708" t="s">
        <v>6311</v>
      </c>
      <c r="F529" s="709">
        <v>1000.0</v>
      </c>
      <c r="G529" s="708" t="s">
        <v>184</v>
      </c>
      <c r="H529" s="709">
        <v>7.0</v>
      </c>
      <c r="I529" s="709">
        <v>1000.0</v>
      </c>
      <c r="J529" s="705">
        <f t="shared" si="1"/>
        <v>8000</v>
      </c>
      <c r="K529" s="705">
        <f t="shared" si="2"/>
        <v>1800</v>
      </c>
      <c r="L529" s="705">
        <f t="shared" si="3"/>
        <v>9800</v>
      </c>
      <c r="M529" s="706">
        <f t="shared" si="5"/>
        <v>9.8</v>
      </c>
      <c r="N529" s="526" t="s">
        <v>33172</v>
      </c>
    </row>
    <row r="530">
      <c r="A530" s="702" t="s">
        <v>33168</v>
      </c>
      <c r="B530" s="702" t="s">
        <v>33173</v>
      </c>
      <c r="C530" s="707"/>
      <c r="D530" s="707"/>
      <c r="E530" s="708" t="s">
        <v>213</v>
      </c>
      <c r="F530" s="709">
        <v>2000.0</v>
      </c>
      <c r="G530" s="708" t="s">
        <v>906</v>
      </c>
      <c r="H530" s="709">
        <v>25.0</v>
      </c>
      <c r="I530" s="709">
        <v>2000.0</v>
      </c>
      <c r="J530" s="705">
        <f t="shared" si="1"/>
        <v>52000</v>
      </c>
      <c r="K530" s="705">
        <f t="shared" si="2"/>
        <v>6200</v>
      </c>
      <c r="L530" s="705">
        <f t="shared" si="3"/>
        <v>58200</v>
      </c>
      <c r="M530" s="706">
        <f t="shared" si="5"/>
        <v>29.1</v>
      </c>
    </row>
    <row r="531">
      <c r="A531" s="702" t="s">
        <v>33168</v>
      </c>
      <c r="B531" s="702" t="s">
        <v>33174</v>
      </c>
      <c r="C531" s="707"/>
      <c r="D531" s="707"/>
      <c r="E531" s="708" t="s">
        <v>33175</v>
      </c>
      <c r="F531" s="709">
        <v>500.0</v>
      </c>
      <c r="G531" s="708" t="s">
        <v>930</v>
      </c>
      <c r="H531" s="709">
        <v>85.0</v>
      </c>
      <c r="I531" s="709">
        <v>500.0</v>
      </c>
      <c r="J531" s="705">
        <f t="shared" si="1"/>
        <v>43000</v>
      </c>
      <c r="K531" s="705">
        <f t="shared" si="2"/>
        <v>5300</v>
      </c>
      <c r="L531" s="705">
        <f t="shared" si="3"/>
        <v>48300</v>
      </c>
      <c r="M531" s="706">
        <f t="shared" si="5"/>
        <v>96.6</v>
      </c>
      <c r="N531" s="526" t="s">
        <v>33176</v>
      </c>
    </row>
    <row r="532">
      <c r="A532" s="702" t="s">
        <v>33177</v>
      </c>
      <c r="B532" s="702" t="s">
        <v>15780</v>
      </c>
      <c r="C532" s="707"/>
      <c r="D532" s="707"/>
      <c r="E532" s="708" t="s">
        <v>15782</v>
      </c>
      <c r="F532" s="709">
        <v>150.0</v>
      </c>
      <c r="G532" s="708" t="s">
        <v>44</v>
      </c>
      <c r="H532" s="709">
        <v>55.0</v>
      </c>
      <c r="I532" s="709">
        <v>300.0</v>
      </c>
      <c r="J532" s="705">
        <f t="shared" si="1"/>
        <v>8550</v>
      </c>
      <c r="K532" s="705">
        <f t="shared" si="2"/>
        <v>1855</v>
      </c>
      <c r="L532" s="705">
        <f t="shared" si="3"/>
        <v>10405</v>
      </c>
      <c r="M532" s="706">
        <f t="shared" si="5"/>
        <v>69.36666667</v>
      </c>
      <c r="N532" s="526" t="s">
        <v>33178</v>
      </c>
    </row>
    <row r="533">
      <c r="A533" s="702" t="s">
        <v>33177</v>
      </c>
      <c r="B533" s="702" t="s">
        <v>15795</v>
      </c>
      <c r="C533" s="707"/>
      <c r="D533" s="707"/>
      <c r="E533" s="708" t="s">
        <v>20215</v>
      </c>
      <c r="F533" s="709">
        <v>500.0</v>
      </c>
      <c r="G533" s="708" t="s">
        <v>33179</v>
      </c>
      <c r="H533" s="709">
        <v>40.0</v>
      </c>
      <c r="I533" s="709">
        <v>2000.0</v>
      </c>
      <c r="J533" s="705">
        <f t="shared" si="1"/>
        <v>22000</v>
      </c>
      <c r="K533" s="705">
        <f t="shared" si="2"/>
        <v>3200</v>
      </c>
      <c r="L533" s="705">
        <f t="shared" si="3"/>
        <v>25200</v>
      </c>
      <c r="M533" s="706">
        <f t="shared" si="5"/>
        <v>50.4</v>
      </c>
      <c r="N533" s="526" t="s">
        <v>33180</v>
      </c>
    </row>
    <row r="534">
      <c r="A534" s="702" t="s">
        <v>33177</v>
      </c>
      <c r="B534" s="702" t="s">
        <v>15799</v>
      </c>
      <c r="C534" s="707"/>
      <c r="D534" s="707"/>
      <c r="E534" s="708" t="s">
        <v>1412</v>
      </c>
      <c r="F534" s="709">
        <v>1000.0</v>
      </c>
      <c r="G534" s="708" t="s">
        <v>519</v>
      </c>
      <c r="H534" s="709">
        <v>25.0</v>
      </c>
      <c r="I534" s="709">
        <v>1000.0</v>
      </c>
      <c r="J534" s="705">
        <f t="shared" si="1"/>
        <v>26000</v>
      </c>
      <c r="K534" s="705">
        <f t="shared" si="2"/>
        <v>3600</v>
      </c>
      <c r="L534" s="705">
        <f t="shared" si="3"/>
        <v>29600</v>
      </c>
      <c r="M534" s="706">
        <f t="shared" si="5"/>
        <v>29.6</v>
      </c>
      <c r="N534" s="526" t="s">
        <v>33181</v>
      </c>
    </row>
    <row r="535">
      <c r="A535" s="702" t="s">
        <v>33177</v>
      </c>
      <c r="B535" s="702" t="s">
        <v>15837</v>
      </c>
      <c r="C535" s="707"/>
      <c r="D535" s="707"/>
      <c r="E535" s="708" t="s">
        <v>15839</v>
      </c>
      <c r="F535" s="709">
        <v>500.0</v>
      </c>
      <c r="G535" s="708" t="s">
        <v>507</v>
      </c>
      <c r="H535" s="709">
        <v>1500.0</v>
      </c>
      <c r="I535" s="709">
        <v>500.0</v>
      </c>
      <c r="J535" s="705">
        <f t="shared" si="1"/>
        <v>750500</v>
      </c>
      <c r="K535" s="705">
        <f t="shared" si="2"/>
        <v>76050</v>
      </c>
      <c r="L535" s="705">
        <f t="shared" si="3"/>
        <v>826550</v>
      </c>
      <c r="M535" s="706">
        <f t="shared" si="5"/>
        <v>1653.1</v>
      </c>
      <c r="N535" s="526" t="s">
        <v>33182</v>
      </c>
    </row>
    <row r="536">
      <c r="A536" s="702" t="s">
        <v>33177</v>
      </c>
      <c r="B536" s="702" t="s">
        <v>15719</v>
      </c>
      <c r="C536" s="707"/>
      <c r="D536" s="707"/>
      <c r="E536" s="708" t="s">
        <v>33183</v>
      </c>
      <c r="F536" s="709">
        <v>100.0</v>
      </c>
      <c r="G536" s="708" t="s">
        <v>20765</v>
      </c>
      <c r="H536" s="709">
        <v>200.0</v>
      </c>
      <c r="I536" s="709">
        <v>500.0</v>
      </c>
      <c r="J536" s="705">
        <f t="shared" si="1"/>
        <v>20500</v>
      </c>
      <c r="K536" s="705">
        <f t="shared" si="2"/>
        <v>3050</v>
      </c>
      <c r="L536" s="705">
        <f t="shared" si="3"/>
        <v>23550</v>
      </c>
      <c r="M536" s="706">
        <f t="shared" si="5"/>
        <v>235.5</v>
      </c>
      <c r="N536" s="526" t="s">
        <v>33184</v>
      </c>
    </row>
    <row r="537">
      <c r="A537" s="702" t="s">
        <v>33177</v>
      </c>
      <c r="B537" s="702" t="s">
        <v>15668</v>
      </c>
      <c r="C537" s="707"/>
      <c r="D537" s="707"/>
      <c r="E537" s="708" t="s">
        <v>167</v>
      </c>
      <c r="F537" s="709">
        <v>2000.0</v>
      </c>
      <c r="G537" s="708" t="s">
        <v>7280</v>
      </c>
      <c r="H537" s="709">
        <v>20.0</v>
      </c>
      <c r="I537" s="709">
        <v>2000.0</v>
      </c>
      <c r="J537" s="705">
        <f t="shared" si="1"/>
        <v>42000</v>
      </c>
      <c r="K537" s="705">
        <f t="shared" si="2"/>
        <v>5200</v>
      </c>
      <c r="L537" s="705">
        <f t="shared" si="3"/>
        <v>47200</v>
      </c>
      <c r="M537" s="706">
        <f t="shared" si="5"/>
        <v>23.6</v>
      </c>
    </row>
    <row r="538">
      <c r="A538" s="702" t="s">
        <v>33177</v>
      </c>
      <c r="B538" s="702" t="s">
        <v>15676</v>
      </c>
      <c r="C538" s="707"/>
      <c r="D538" s="707"/>
      <c r="E538" s="708" t="s">
        <v>130</v>
      </c>
      <c r="F538" s="709">
        <v>250.0</v>
      </c>
      <c r="G538" s="708" t="s">
        <v>906</v>
      </c>
      <c r="H538" s="709">
        <v>25.0</v>
      </c>
      <c r="I538" s="709">
        <v>500.0</v>
      </c>
      <c r="J538" s="705">
        <f t="shared" si="1"/>
        <v>6750</v>
      </c>
      <c r="K538" s="705">
        <f t="shared" si="2"/>
        <v>1675</v>
      </c>
      <c r="L538" s="705">
        <f t="shared" si="3"/>
        <v>8425</v>
      </c>
      <c r="M538" s="706">
        <f t="shared" si="5"/>
        <v>33.7</v>
      </c>
    </row>
    <row r="539">
      <c r="A539" s="702" t="s">
        <v>33177</v>
      </c>
      <c r="B539" s="702" t="s">
        <v>15686</v>
      </c>
      <c r="C539" s="707"/>
      <c r="D539" s="707"/>
      <c r="E539" s="708" t="s">
        <v>3729</v>
      </c>
      <c r="F539" s="709">
        <v>500.0</v>
      </c>
      <c r="G539" s="708" t="s">
        <v>28639</v>
      </c>
      <c r="H539" s="709">
        <v>5.0</v>
      </c>
      <c r="I539" s="709">
        <v>500.0</v>
      </c>
      <c r="J539" s="705">
        <f t="shared" si="1"/>
        <v>3000</v>
      </c>
      <c r="K539" s="705">
        <f t="shared" si="2"/>
        <v>1300</v>
      </c>
      <c r="L539" s="705">
        <f t="shared" si="3"/>
        <v>4300</v>
      </c>
      <c r="M539" s="706">
        <f t="shared" si="5"/>
        <v>8.6</v>
      </c>
      <c r="N539" s="526" t="s">
        <v>33185</v>
      </c>
    </row>
    <row r="540">
      <c r="A540" s="702" t="s">
        <v>33177</v>
      </c>
      <c r="B540" s="702" t="s">
        <v>33186</v>
      </c>
      <c r="C540" s="707"/>
      <c r="D540" s="707"/>
      <c r="E540" s="708" t="s">
        <v>15750</v>
      </c>
      <c r="F540" s="709">
        <v>100.0</v>
      </c>
      <c r="G540" s="708" t="s">
        <v>906</v>
      </c>
      <c r="H540" s="709">
        <v>30.0</v>
      </c>
      <c r="I540" s="709">
        <v>500.0</v>
      </c>
      <c r="J540" s="705">
        <f t="shared" si="1"/>
        <v>3500</v>
      </c>
      <c r="K540" s="705">
        <f t="shared" si="2"/>
        <v>1350</v>
      </c>
      <c r="L540" s="705">
        <f t="shared" si="3"/>
        <v>4850</v>
      </c>
      <c r="M540" s="706">
        <f t="shared" si="5"/>
        <v>48.5</v>
      </c>
      <c r="N540" s="526" t="s">
        <v>33187</v>
      </c>
    </row>
    <row r="541">
      <c r="A541" s="702" t="s">
        <v>33177</v>
      </c>
      <c r="B541" s="702" t="s">
        <v>15788</v>
      </c>
      <c r="C541" s="707"/>
      <c r="D541" s="707"/>
      <c r="E541" s="708" t="s">
        <v>3634</v>
      </c>
      <c r="F541" s="709">
        <v>20000.0</v>
      </c>
      <c r="G541" s="708" t="s">
        <v>2682</v>
      </c>
      <c r="H541" s="709">
        <v>25.0</v>
      </c>
      <c r="I541" s="709"/>
      <c r="J541" s="705">
        <f t="shared" si="1"/>
        <v>500000</v>
      </c>
      <c r="K541" s="705">
        <f t="shared" si="2"/>
        <v>51000</v>
      </c>
      <c r="L541" s="705">
        <f t="shared" si="3"/>
        <v>551000</v>
      </c>
      <c r="M541" s="706">
        <f t="shared" si="5"/>
        <v>27.55</v>
      </c>
      <c r="N541" s="526" t="s">
        <v>33188</v>
      </c>
    </row>
    <row r="542">
      <c r="A542" s="702" t="s">
        <v>33177</v>
      </c>
      <c r="B542" s="702" t="s">
        <v>15711</v>
      </c>
      <c r="C542" s="707"/>
      <c r="D542" s="707"/>
      <c r="E542" s="708" t="s">
        <v>12378</v>
      </c>
      <c r="F542" s="709">
        <v>500.0</v>
      </c>
      <c r="G542" s="708" t="s">
        <v>44</v>
      </c>
      <c r="H542" s="709">
        <v>18.0</v>
      </c>
      <c r="I542" s="709">
        <v>500.0</v>
      </c>
      <c r="J542" s="705">
        <f t="shared" si="1"/>
        <v>9500</v>
      </c>
      <c r="K542" s="705">
        <f t="shared" si="2"/>
        <v>1950</v>
      </c>
      <c r="L542" s="705">
        <f t="shared" si="3"/>
        <v>11450</v>
      </c>
      <c r="M542" s="706">
        <f t="shared" si="5"/>
        <v>22.9</v>
      </c>
    </row>
    <row r="543">
      <c r="A543" s="702" t="s">
        <v>33177</v>
      </c>
      <c r="B543" s="702" t="s">
        <v>15723</v>
      </c>
      <c r="C543" s="707"/>
      <c r="D543" s="707"/>
      <c r="E543" s="708" t="s">
        <v>152</v>
      </c>
      <c r="F543" s="709">
        <v>100.0</v>
      </c>
      <c r="G543" s="708" t="s">
        <v>44</v>
      </c>
      <c r="H543" s="709">
        <v>22.0</v>
      </c>
      <c r="I543" s="709">
        <v>300.0</v>
      </c>
      <c r="J543" s="705">
        <f t="shared" si="1"/>
        <v>2500</v>
      </c>
      <c r="K543" s="705">
        <f t="shared" si="2"/>
        <v>1250</v>
      </c>
      <c r="L543" s="705">
        <f t="shared" si="3"/>
        <v>3750</v>
      </c>
      <c r="M543" s="706">
        <f t="shared" si="5"/>
        <v>37.5</v>
      </c>
    </row>
    <row r="544">
      <c r="A544" s="702" t="s">
        <v>33177</v>
      </c>
      <c r="B544" s="702" t="s">
        <v>15754</v>
      </c>
      <c r="C544" s="707"/>
      <c r="D544" s="707"/>
      <c r="E544" s="708" t="s">
        <v>31499</v>
      </c>
      <c r="F544" s="709">
        <v>2800.0</v>
      </c>
      <c r="G544" s="708" t="s">
        <v>2882</v>
      </c>
      <c r="H544" s="709">
        <v>2.5</v>
      </c>
      <c r="I544" s="709">
        <v>1400.0</v>
      </c>
      <c r="J544" s="705">
        <f t="shared" si="1"/>
        <v>8400</v>
      </c>
      <c r="K544" s="705">
        <f t="shared" si="2"/>
        <v>1840</v>
      </c>
      <c r="L544" s="705">
        <f t="shared" si="3"/>
        <v>10240</v>
      </c>
      <c r="M544" s="706">
        <f t="shared" si="5"/>
        <v>3.657142857</v>
      </c>
    </row>
    <row r="545">
      <c r="A545" s="702" t="s">
        <v>33177</v>
      </c>
      <c r="B545" s="702" t="s">
        <v>15754</v>
      </c>
      <c r="C545" s="707"/>
      <c r="D545" s="707"/>
      <c r="E545" s="708" t="s">
        <v>31500</v>
      </c>
      <c r="F545" s="709">
        <v>2800.0</v>
      </c>
      <c r="G545" s="708" t="s">
        <v>2882</v>
      </c>
      <c r="H545" s="709">
        <v>4.0</v>
      </c>
      <c r="I545" s="709">
        <v>1400.0</v>
      </c>
      <c r="J545" s="705">
        <f t="shared" si="1"/>
        <v>12600</v>
      </c>
      <c r="K545" s="705">
        <f t="shared" si="2"/>
        <v>2260</v>
      </c>
      <c r="L545" s="705">
        <f t="shared" si="3"/>
        <v>14860</v>
      </c>
      <c r="M545" s="706">
        <f t="shared" si="5"/>
        <v>5.307142857</v>
      </c>
    </row>
    <row r="546">
      <c r="A546" s="702" t="s">
        <v>33177</v>
      </c>
      <c r="B546" s="702" t="s">
        <v>15760</v>
      </c>
      <c r="C546" s="707"/>
      <c r="D546" s="707"/>
      <c r="E546" s="708" t="s">
        <v>31499</v>
      </c>
      <c r="F546" s="709">
        <v>1500.0</v>
      </c>
      <c r="G546" s="708" t="s">
        <v>2682</v>
      </c>
      <c r="H546" s="709">
        <v>2.5</v>
      </c>
      <c r="I546" s="709">
        <v>750.0</v>
      </c>
      <c r="J546" s="705">
        <f t="shared" si="1"/>
        <v>4500</v>
      </c>
      <c r="K546" s="705">
        <f t="shared" si="2"/>
        <v>1450</v>
      </c>
      <c r="L546" s="705">
        <f t="shared" si="3"/>
        <v>5950</v>
      </c>
      <c r="M546" s="706">
        <f t="shared" si="5"/>
        <v>3.966666667</v>
      </c>
    </row>
    <row r="547">
      <c r="A547" s="702" t="s">
        <v>33177</v>
      </c>
      <c r="B547" s="702" t="s">
        <v>15760</v>
      </c>
      <c r="C547" s="707"/>
      <c r="D547" s="707"/>
      <c r="E547" s="708" t="s">
        <v>31500</v>
      </c>
      <c r="F547" s="709">
        <v>1500.0</v>
      </c>
      <c r="G547" s="708" t="s">
        <v>2682</v>
      </c>
      <c r="H547" s="709">
        <v>4.0</v>
      </c>
      <c r="I547" s="709">
        <v>750.0</v>
      </c>
      <c r="J547" s="705">
        <f t="shared" si="1"/>
        <v>6750</v>
      </c>
      <c r="K547" s="705">
        <f t="shared" si="2"/>
        <v>1675</v>
      </c>
      <c r="L547" s="705">
        <f t="shared" si="3"/>
        <v>8425</v>
      </c>
      <c r="M547" s="706">
        <f t="shared" si="5"/>
        <v>5.616666667</v>
      </c>
    </row>
    <row r="548">
      <c r="A548" s="702" t="s">
        <v>33177</v>
      </c>
      <c r="B548" s="702" t="s">
        <v>15764</v>
      </c>
      <c r="C548" s="707"/>
      <c r="D548" s="707"/>
      <c r="E548" s="708" t="s">
        <v>3165</v>
      </c>
      <c r="F548" s="709">
        <v>200.0</v>
      </c>
      <c r="G548" s="708" t="s">
        <v>196</v>
      </c>
      <c r="H548" s="709">
        <v>86.0</v>
      </c>
      <c r="I548" s="709">
        <v>500.0</v>
      </c>
      <c r="J548" s="705">
        <f t="shared" si="1"/>
        <v>17700</v>
      </c>
      <c r="K548" s="705">
        <f t="shared" si="2"/>
        <v>2770</v>
      </c>
      <c r="L548" s="705">
        <f t="shared" si="3"/>
        <v>20470</v>
      </c>
      <c r="M548" s="706">
        <f t="shared" si="5"/>
        <v>102.35</v>
      </c>
    </row>
    <row r="549">
      <c r="A549" s="702" t="s">
        <v>33177</v>
      </c>
      <c r="B549" s="702" t="s">
        <v>15770</v>
      </c>
      <c r="C549" s="707"/>
      <c r="D549" s="707"/>
      <c r="E549" s="708" t="s">
        <v>794</v>
      </c>
      <c r="F549" s="709">
        <v>20000.0</v>
      </c>
      <c r="G549" s="708" t="s">
        <v>44</v>
      </c>
      <c r="H549" s="709">
        <v>5.0</v>
      </c>
      <c r="I549" s="709"/>
      <c r="J549" s="705">
        <f t="shared" si="1"/>
        <v>100000</v>
      </c>
      <c r="K549" s="705">
        <f t="shared" si="2"/>
        <v>11000</v>
      </c>
      <c r="L549" s="705">
        <f t="shared" si="3"/>
        <v>111000</v>
      </c>
      <c r="M549" s="706">
        <f t="shared" si="5"/>
        <v>5.55</v>
      </c>
    </row>
    <row r="550">
      <c r="A550" s="702" t="s">
        <v>33177</v>
      </c>
      <c r="B550" s="702" t="s">
        <v>15784</v>
      </c>
      <c r="C550" s="707"/>
      <c r="D550" s="707"/>
      <c r="E550" s="708" t="s">
        <v>167</v>
      </c>
      <c r="F550" s="709">
        <v>100.0</v>
      </c>
      <c r="G550" s="708" t="s">
        <v>2662</v>
      </c>
      <c r="H550" s="709">
        <v>20.0</v>
      </c>
      <c r="I550" s="709">
        <v>500.0</v>
      </c>
      <c r="J550" s="705">
        <f t="shared" si="1"/>
        <v>2500</v>
      </c>
      <c r="K550" s="705">
        <f t="shared" si="2"/>
        <v>1250</v>
      </c>
      <c r="L550" s="705">
        <f t="shared" si="3"/>
        <v>3750</v>
      </c>
      <c r="M550" s="706">
        <f t="shared" si="5"/>
        <v>37.5</v>
      </c>
    </row>
    <row r="551">
      <c r="A551" s="702" t="s">
        <v>33177</v>
      </c>
      <c r="B551" s="702" t="s">
        <v>15803</v>
      </c>
      <c r="C551" s="707"/>
      <c r="D551" s="707"/>
      <c r="E551" s="708" t="s">
        <v>2266</v>
      </c>
      <c r="F551" s="709">
        <v>1000.0</v>
      </c>
      <c r="G551" s="708" t="s">
        <v>44</v>
      </c>
      <c r="H551" s="709">
        <v>19.0</v>
      </c>
      <c r="I551" s="709"/>
      <c r="J551" s="705">
        <f t="shared" si="1"/>
        <v>19000</v>
      </c>
      <c r="K551" s="705">
        <f t="shared" si="2"/>
        <v>2900</v>
      </c>
      <c r="L551" s="705">
        <f t="shared" si="3"/>
        <v>21900</v>
      </c>
      <c r="M551" s="706">
        <f t="shared" si="5"/>
        <v>21.9</v>
      </c>
    </row>
    <row r="552">
      <c r="A552" s="702" t="s">
        <v>33177</v>
      </c>
      <c r="B552" s="702" t="s">
        <v>15809</v>
      </c>
      <c r="C552" s="707"/>
      <c r="D552" s="707"/>
      <c r="E552" s="708" t="s">
        <v>3824</v>
      </c>
      <c r="F552" s="709">
        <v>24000.0</v>
      </c>
      <c r="G552" s="708" t="s">
        <v>1082</v>
      </c>
      <c r="H552" s="709">
        <v>135.0</v>
      </c>
      <c r="I552" s="709"/>
      <c r="J552" s="705">
        <f t="shared" si="1"/>
        <v>3240000</v>
      </c>
      <c r="K552" s="705">
        <f t="shared" si="2"/>
        <v>325000</v>
      </c>
      <c r="L552" s="705">
        <f t="shared" si="3"/>
        <v>3565000</v>
      </c>
      <c r="M552" s="706">
        <f t="shared" si="5"/>
        <v>148.5416667</v>
      </c>
      <c r="N552" s="526" t="s">
        <v>33189</v>
      </c>
    </row>
    <row r="553">
      <c r="A553" s="702" t="s">
        <v>33177</v>
      </c>
      <c r="B553" s="702" t="s">
        <v>15815</v>
      </c>
      <c r="C553" s="707"/>
      <c r="D553" s="707"/>
      <c r="E553" s="708" t="s">
        <v>32795</v>
      </c>
      <c r="F553" s="709">
        <v>500.0</v>
      </c>
      <c r="G553" s="708" t="s">
        <v>33190</v>
      </c>
      <c r="H553" s="709">
        <v>52.0</v>
      </c>
      <c r="I553" s="709">
        <v>500.0</v>
      </c>
      <c r="J553" s="705">
        <f t="shared" si="1"/>
        <v>26500</v>
      </c>
      <c r="K553" s="705">
        <f t="shared" si="2"/>
        <v>3650</v>
      </c>
      <c r="L553" s="705">
        <f t="shared" si="3"/>
        <v>30150</v>
      </c>
      <c r="M553" s="706">
        <f t="shared" si="5"/>
        <v>60.3</v>
      </c>
    </row>
    <row r="554">
      <c r="A554" s="702" t="s">
        <v>33177</v>
      </c>
      <c r="B554" s="702" t="s">
        <v>15819</v>
      </c>
      <c r="C554" s="707"/>
      <c r="D554" s="707"/>
      <c r="E554" s="708" t="s">
        <v>116</v>
      </c>
      <c r="F554" s="709">
        <v>500.0</v>
      </c>
      <c r="G554" s="708" t="s">
        <v>184</v>
      </c>
      <c r="H554" s="709">
        <v>84.0</v>
      </c>
      <c r="I554" s="709">
        <v>500.0</v>
      </c>
      <c r="J554" s="705">
        <f t="shared" si="1"/>
        <v>42500</v>
      </c>
      <c r="K554" s="705">
        <f t="shared" si="2"/>
        <v>5250</v>
      </c>
      <c r="L554" s="705">
        <f t="shared" si="3"/>
        <v>47750</v>
      </c>
      <c r="M554" s="706">
        <f t="shared" si="5"/>
        <v>95.5</v>
      </c>
    </row>
    <row r="555">
      <c r="A555" s="702" t="s">
        <v>33177</v>
      </c>
      <c r="B555" s="702" t="s">
        <v>15827</v>
      </c>
      <c r="C555" s="707"/>
      <c r="D555" s="707"/>
      <c r="E555" s="708" t="s">
        <v>130</v>
      </c>
      <c r="F555" s="709">
        <v>1500.0</v>
      </c>
      <c r="G555" s="708" t="s">
        <v>44</v>
      </c>
      <c r="H555" s="709">
        <v>25.0</v>
      </c>
      <c r="I555" s="709">
        <v>1500.0</v>
      </c>
      <c r="J555" s="705">
        <f t="shared" si="1"/>
        <v>39000</v>
      </c>
      <c r="K555" s="705">
        <f t="shared" si="2"/>
        <v>4900</v>
      </c>
      <c r="L555" s="705">
        <f t="shared" si="3"/>
        <v>43900</v>
      </c>
      <c r="M555" s="706">
        <f t="shared" si="5"/>
        <v>29.26666667</v>
      </c>
    </row>
    <row r="556">
      <c r="A556" s="702" t="s">
        <v>33177</v>
      </c>
      <c r="B556" s="702" t="s">
        <v>33191</v>
      </c>
      <c r="C556" s="707"/>
      <c r="D556" s="707"/>
      <c r="E556" s="708" t="s">
        <v>167</v>
      </c>
      <c r="F556" s="709">
        <v>100.0</v>
      </c>
      <c r="G556" s="708" t="s">
        <v>2662</v>
      </c>
      <c r="H556" s="709">
        <v>20.0</v>
      </c>
      <c r="I556" s="709">
        <v>500.0</v>
      </c>
      <c r="J556" s="705">
        <f t="shared" si="1"/>
        <v>2500</v>
      </c>
      <c r="K556" s="705">
        <f t="shared" si="2"/>
        <v>1250</v>
      </c>
      <c r="L556" s="705">
        <f t="shared" si="3"/>
        <v>3750</v>
      </c>
      <c r="M556" s="706">
        <f t="shared" si="5"/>
        <v>37.5</v>
      </c>
    </row>
    <row r="557">
      <c r="A557" s="702" t="s">
        <v>33192</v>
      </c>
      <c r="B557" s="702" t="s">
        <v>15846</v>
      </c>
      <c r="C557" s="707"/>
      <c r="D557" s="707"/>
      <c r="E557" s="708" t="s">
        <v>213</v>
      </c>
      <c r="F557" s="709">
        <v>5000.0</v>
      </c>
      <c r="G557" s="708" t="s">
        <v>20765</v>
      </c>
      <c r="H557" s="709">
        <v>25.0</v>
      </c>
      <c r="I557" s="709">
        <v>5000.0</v>
      </c>
      <c r="J557" s="705">
        <f t="shared" si="1"/>
        <v>130000</v>
      </c>
      <c r="K557" s="705">
        <f t="shared" si="2"/>
        <v>14000</v>
      </c>
      <c r="L557" s="705">
        <f t="shared" si="3"/>
        <v>144000</v>
      </c>
      <c r="M557" s="706">
        <f t="shared" si="5"/>
        <v>28.8</v>
      </c>
    </row>
    <row r="558">
      <c r="A558" s="702" t="s">
        <v>33192</v>
      </c>
      <c r="B558" s="702" t="s">
        <v>15849</v>
      </c>
      <c r="C558" s="707"/>
      <c r="D558" s="707"/>
      <c r="E558" s="708" t="s">
        <v>167</v>
      </c>
      <c r="F558" s="709">
        <v>5000.0</v>
      </c>
      <c r="G558" s="708" t="s">
        <v>930</v>
      </c>
      <c r="H558" s="709">
        <v>20.0</v>
      </c>
      <c r="I558" s="709">
        <v>5000.0</v>
      </c>
      <c r="J558" s="705">
        <f t="shared" si="1"/>
        <v>105000</v>
      </c>
      <c r="K558" s="705">
        <f t="shared" si="2"/>
        <v>11500</v>
      </c>
      <c r="L558" s="705">
        <f t="shared" si="3"/>
        <v>116500</v>
      </c>
      <c r="M558" s="706">
        <f t="shared" si="5"/>
        <v>23.3</v>
      </c>
    </row>
    <row r="559">
      <c r="A559" s="702" t="s">
        <v>33192</v>
      </c>
      <c r="B559" s="702" t="s">
        <v>33193</v>
      </c>
      <c r="C559" s="707"/>
      <c r="D559" s="707"/>
      <c r="E559" s="708" t="s">
        <v>5014</v>
      </c>
      <c r="F559" s="709">
        <v>15000.0</v>
      </c>
      <c r="G559" s="708" t="s">
        <v>519</v>
      </c>
      <c r="H559" s="709">
        <v>50.0</v>
      </c>
      <c r="I559" s="709"/>
      <c r="J559" s="705">
        <f t="shared" si="1"/>
        <v>750000</v>
      </c>
      <c r="K559" s="705">
        <f t="shared" si="2"/>
        <v>76000</v>
      </c>
      <c r="L559" s="705">
        <f t="shared" si="3"/>
        <v>826000</v>
      </c>
      <c r="M559" s="706">
        <f t="shared" si="5"/>
        <v>55.06666667</v>
      </c>
    </row>
    <row r="560">
      <c r="A560" s="702" t="s">
        <v>33192</v>
      </c>
      <c r="B560" s="702" t="s">
        <v>15854</v>
      </c>
      <c r="C560" s="707"/>
      <c r="D560" s="707"/>
      <c r="E560" s="708" t="s">
        <v>14841</v>
      </c>
      <c r="F560" s="709">
        <v>1000.0</v>
      </c>
      <c r="G560" s="708" t="s">
        <v>44</v>
      </c>
      <c r="H560" s="709">
        <v>70.0</v>
      </c>
      <c r="I560" s="709">
        <v>1000.0</v>
      </c>
      <c r="J560" s="705">
        <f t="shared" si="1"/>
        <v>71000</v>
      </c>
      <c r="K560" s="705">
        <f t="shared" si="2"/>
        <v>8100</v>
      </c>
      <c r="L560" s="705">
        <f t="shared" si="3"/>
        <v>79100</v>
      </c>
      <c r="M560" s="706">
        <f t="shared" si="5"/>
        <v>79.1</v>
      </c>
      <c r="N560" s="526" t="s">
        <v>33194</v>
      </c>
    </row>
    <row r="561">
      <c r="A561" s="702" t="s">
        <v>33195</v>
      </c>
      <c r="B561" s="702" t="s">
        <v>15861</v>
      </c>
      <c r="C561" s="707"/>
      <c r="D561" s="707"/>
      <c r="E561" s="708" t="s">
        <v>167</v>
      </c>
      <c r="F561" s="709">
        <v>100000.0</v>
      </c>
      <c r="G561" s="708" t="s">
        <v>9359</v>
      </c>
      <c r="H561" s="709">
        <v>20.0</v>
      </c>
      <c r="I561" s="709"/>
      <c r="J561" s="705">
        <f t="shared" si="1"/>
        <v>2000000</v>
      </c>
      <c r="K561" s="705">
        <f t="shared" si="2"/>
        <v>201000</v>
      </c>
      <c r="L561" s="705">
        <f t="shared" si="3"/>
        <v>2201000</v>
      </c>
      <c r="M561" s="706">
        <f t="shared" si="5"/>
        <v>22.01</v>
      </c>
    </row>
    <row r="562">
      <c r="A562" s="702" t="s">
        <v>33195</v>
      </c>
      <c r="B562" s="702" t="s">
        <v>15868</v>
      </c>
      <c r="C562" s="707"/>
      <c r="D562" s="707"/>
      <c r="E562" s="708" t="s">
        <v>1373</v>
      </c>
      <c r="F562" s="709">
        <v>200.0</v>
      </c>
      <c r="G562" s="708" t="s">
        <v>20765</v>
      </c>
      <c r="H562" s="709">
        <v>18.0</v>
      </c>
      <c r="I562" s="709">
        <v>500.0</v>
      </c>
      <c r="J562" s="705">
        <f t="shared" si="1"/>
        <v>4100</v>
      </c>
      <c r="K562" s="705">
        <f t="shared" si="2"/>
        <v>1410</v>
      </c>
      <c r="L562" s="705">
        <f t="shared" si="3"/>
        <v>5510</v>
      </c>
      <c r="M562" s="706">
        <f t="shared" si="5"/>
        <v>27.55</v>
      </c>
    </row>
    <row r="563">
      <c r="A563" s="702" t="s">
        <v>33196</v>
      </c>
      <c r="B563" s="702" t="s">
        <v>15928</v>
      </c>
      <c r="C563" s="707"/>
      <c r="D563" s="707"/>
      <c r="E563" s="708" t="s">
        <v>286</v>
      </c>
      <c r="F563" s="709">
        <v>500.0</v>
      </c>
      <c r="G563" s="708" t="s">
        <v>20765</v>
      </c>
      <c r="H563" s="709">
        <v>30.0</v>
      </c>
      <c r="I563" s="709">
        <v>500.0</v>
      </c>
      <c r="J563" s="705">
        <f t="shared" si="1"/>
        <v>15500</v>
      </c>
      <c r="K563" s="705">
        <f t="shared" si="2"/>
        <v>2550</v>
      </c>
      <c r="L563" s="705">
        <f t="shared" si="3"/>
        <v>18050</v>
      </c>
      <c r="M563" s="706">
        <f t="shared" si="5"/>
        <v>36.1</v>
      </c>
      <c r="N563" s="526" t="s">
        <v>33197</v>
      </c>
    </row>
    <row r="564">
      <c r="A564" s="702" t="s">
        <v>33198</v>
      </c>
      <c r="B564" s="702" t="s">
        <v>15934</v>
      </c>
      <c r="C564" s="707"/>
      <c r="D564" s="707"/>
      <c r="E564" s="708" t="s">
        <v>412</v>
      </c>
      <c r="F564" s="709">
        <v>500.0</v>
      </c>
      <c r="G564" s="708" t="s">
        <v>1082</v>
      </c>
      <c r="H564" s="709">
        <v>180.0</v>
      </c>
      <c r="I564" s="709">
        <v>500.0</v>
      </c>
      <c r="J564" s="705">
        <f t="shared" si="1"/>
        <v>90500</v>
      </c>
      <c r="K564" s="705">
        <f t="shared" si="2"/>
        <v>10050</v>
      </c>
      <c r="L564" s="705">
        <f t="shared" si="3"/>
        <v>100550</v>
      </c>
      <c r="M564" s="706">
        <f t="shared" si="5"/>
        <v>201.1</v>
      </c>
    </row>
    <row r="565">
      <c r="A565" s="702" t="s">
        <v>33198</v>
      </c>
      <c r="B565" s="702" t="s">
        <v>15934</v>
      </c>
      <c r="C565" s="707"/>
      <c r="D565" s="707"/>
      <c r="E565" s="708" t="s">
        <v>16165</v>
      </c>
      <c r="F565" s="709">
        <v>500.0</v>
      </c>
      <c r="G565" s="708" t="s">
        <v>1082</v>
      </c>
      <c r="H565" s="709">
        <v>240.0</v>
      </c>
      <c r="I565" s="709">
        <v>500.0</v>
      </c>
      <c r="J565" s="705">
        <f t="shared" si="1"/>
        <v>120500</v>
      </c>
      <c r="K565" s="705">
        <f t="shared" si="2"/>
        <v>13050</v>
      </c>
      <c r="L565" s="705">
        <f t="shared" si="3"/>
        <v>133550</v>
      </c>
      <c r="M565" s="706">
        <f t="shared" si="5"/>
        <v>267.1</v>
      </c>
      <c r="N565" s="526" t="s">
        <v>32638</v>
      </c>
    </row>
    <row r="566">
      <c r="A566" s="702" t="s">
        <v>33198</v>
      </c>
      <c r="B566" s="702" t="s">
        <v>15878</v>
      </c>
      <c r="C566" s="707"/>
      <c r="D566" s="707"/>
      <c r="E566" s="708" t="s">
        <v>387</v>
      </c>
      <c r="F566" s="709">
        <v>500.0</v>
      </c>
      <c r="G566" s="708" t="s">
        <v>184</v>
      </c>
      <c r="H566" s="709">
        <v>20.0</v>
      </c>
      <c r="I566" s="709">
        <v>500.0</v>
      </c>
      <c r="J566" s="705">
        <f t="shared" si="1"/>
        <v>10500</v>
      </c>
      <c r="K566" s="705">
        <f t="shared" si="2"/>
        <v>2050</v>
      </c>
      <c r="L566" s="705">
        <f t="shared" si="3"/>
        <v>12550</v>
      </c>
      <c r="M566" s="706">
        <f t="shared" si="5"/>
        <v>25.1</v>
      </c>
      <c r="N566" s="526" t="s">
        <v>33199</v>
      </c>
    </row>
    <row r="567">
      <c r="A567" s="702" t="s">
        <v>33198</v>
      </c>
      <c r="B567" s="702" t="s">
        <v>15881</v>
      </c>
      <c r="C567" s="707"/>
      <c r="D567" s="707"/>
      <c r="E567" s="708" t="s">
        <v>753</v>
      </c>
      <c r="F567" s="709">
        <v>30000.0</v>
      </c>
      <c r="G567" s="708" t="s">
        <v>33200</v>
      </c>
      <c r="H567" s="709">
        <v>5.0</v>
      </c>
      <c r="I567" s="709"/>
      <c r="J567" s="705">
        <f t="shared" si="1"/>
        <v>150000</v>
      </c>
      <c r="K567" s="705">
        <f t="shared" si="2"/>
        <v>16000</v>
      </c>
      <c r="L567" s="705">
        <f t="shared" si="3"/>
        <v>166000</v>
      </c>
      <c r="M567" s="706">
        <f t="shared" si="5"/>
        <v>5.533333333</v>
      </c>
      <c r="N567" s="526" t="s">
        <v>33201</v>
      </c>
    </row>
    <row r="568">
      <c r="A568" s="702" t="s">
        <v>33198</v>
      </c>
      <c r="B568" s="702" t="s">
        <v>15885</v>
      </c>
      <c r="C568" s="707"/>
      <c r="D568" s="707"/>
      <c r="E568" s="708" t="s">
        <v>794</v>
      </c>
      <c r="F568" s="709">
        <v>200.0</v>
      </c>
      <c r="G568" s="708" t="s">
        <v>349</v>
      </c>
      <c r="H568" s="709">
        <v>5.0</v>
      </c>
      <c r="I568" s="709">
        <v>500.0</v>
      </c>
      <c r="J568" s="705">
        <f t="shared" si="1"/>
        <v>1500</v>
      </c>
      <c r="K568" s="705">
        <f t="shared" si="2"/>
        <v>1150</v>
      </c>
      <c r="L568" s="705">
        <f t="shared" si="3"/>
        <v>2650</v>
      </c>
      <c r="M568" s="706">
        <f t="shared" si="5"/>
        <v>13.25</v>
      </c>
    </row>
    <row r="569">
      <c r="A569" s="702" t="s">
        <v>33198</v>
      </c>
      <c r="B569" s="702" t="s">
        <v>15906</v>
      </c>
      <c r="C569" s="707"/>
      <c r="D569" s="707"/>
      <c r="E569" s="708" t="s">
        <v>1902</v>
      </c>
      <c r="F569" s="709">
        <v>300.0</v>
      </c>
      <c r="G569" s="708" t="s">
        <v>20765</v>
      </c>
      <c r="H569" s="709">
        <v>40.0</v>
      </c>
      <c r="I569" s="709">
        <v>500.0</v>
      </c>
      <c r="J569" s="705">
        <f t="shared" si="1"/>
        <v>12500</v>
      </c>
      <c r="K569" s="705">
        <f t="shared" si="2"/>
        <v>2250</v>
      </c>
      <c r="L569" s="705">
        <f t="shared" si="3"/>
        <v>14750</v>
      </c>
      <c r="M569" s="706">
        <f t="shared" si="5"/>
        <v>49.16666667</v>
      </c>
    </row>
    <row r="570">
      <c r="A570" s="702" t="s">
        <v>33198</v>
      </c>
      <c r="B570" s="702" t="s">
        <v>15906</v>
      </c>
      <c r="C570" s="707"/>
      <c r="D570" s="707"/>
      <c r="E570" s="708" t="s">
        <v>12378</v>
      </c>
      <c r="F570" s="709">
        <v>100.0</v>
      </c>
      <c r="G570" s="708" t="s">
        <v>20765</v>
      </c>
      <c r="H570" s="709">
        <v>18.0</v>
      </c>
      <c r="I570" s="709">
        <v>300.0</v>
      </c>
      <c r="J570" s="705">
        <f t="shared" si="1"/>
        <v>2100</v>
      </c>
      <c r="K570" s="705">
        <f t="shared" si="2"/>
        <v>1210</v>
      </c>
      <c r="L570" s="705">
        <f t="shared" si="3"/>
        <v>3310</v>
      </c>
      <c r="M570" s="706">
        <f t="shared" si="5"/>
        <v>33.1</v>
      </c>
    </row>
    <row r="571">
      <c r="A571" s="702" t="s">
        <v>33198</v>
      </c>
      <c r="B571" s="702" t="s">
        <v>15913</v>
      </c>
      <c r="C571" s="707"/>
      <c r="D571" s="707"/>
      <c r="E571" s="708" t="s">
        <v>116</v>
      </c>
      <c r="F571" s="709">
        <v>20000.0</v>
      </c>
      <c r="G571" s="708" t="s">
        <v>2682</v>
      </c>
      <c r="H571" s="709">
        <v>84.0</v>
      </c>
      <c r="I571" s="709"/>
      <c r="J571" s="705">
        <f t="shared" si="1"/>
        <v>1680000</v>
      </c>
      <c r="K571" s="705">
        <f t="shared" si="2"/>
        <v>169000</v>
      </c>
      <c r="L571" s="705">
        <f t="shared" si="3"/>
        <v>1849000</v>
      </c>
      <c r="M571" s="706">
        <f t="shared" si="5"/>
        <v>92.45</v>
      </c>
    </row>
    <row r="572">
      <c r="A572" s="702" t="s">
        <v>33198</v>
      </c>
      <c r="B572" s="702" t="s">
        <v>15917</v>
      </c>
      <c r="C572" s="707"/>
      <c r="D572" s="707"/>
      <c r="E572" s="708" t="s">
        <v>3165</v>
      </c>
      <c r="F572" s="709">
        <v>200.0</v>
      </c>
      <c r="G572" s="708" t="s">
        <v>44</v>
      </c>
      <c r="H572" s="709">
        <v>102.0</v>
      </c>
      <c r="I572" s="709">
        <v>500.0</v>
      </c>
      <c r="J572" s="705">
        <f t="shared" si="1"/>
        <v>20900</v>
      </c>
      <c r="K572" s="705">
        <f t="shared" si="2"/>
        <v>3090</v>
      </c>
      <c r="L572" s="705">
        <f t="shared" si="3"/>
        <v>23990</v>
      </c>
      <c r="M572" s="706">
        <f t="shared" si="5"/>
        <v>119.95</v>
      </c>
    </row>
    <row r="573">
      <c r="A573" s="702" t="s">
        <v>33198</v>
      </c>
      <c r="B573" s="702" t="s">
        <v>15923</v>
      </c>
      <c r="C573" s="707"/>
      <c r="D573" s="707"/>
      <c r="E573" s="708" t="s">
        <v>5293</v>
      </c>
      <c r="F573" s="709">
        <v>5000.0</v>
      </c>
      <c r="G573" s="708" t="s">
        <v>1082</v>
      </c>
      <c r="H573" s="709">
        <v>70.0</v>
      </c>
      <c r="I573" s="709">
        <v>5000.0</v>
      </c>
      <c r="J573" s="705">
        <f t="shared" si="1"/>
        <v>355000</v>
      </c>
      <c r="K573" s="705">
        <f t="shared" si="2"/>
        <v>36500</v>
      </c>
      <c r="L573" s="705">
        <f t="shared" si="3"/>
        <v>391500</v>
      </c>
      <c r="M573" s="706">
        <f t="shared" si="5"/>
        <v>78.3</v>
      </c>
    </row>
    <row r="574">
      <c r="A574" s="702" t="s">
        <v>33198</v>
      </c>
      <c r="B574" s="702" t="s">
        <v>15939</v>
      </c>
      <c r="C574" s="707"/>
      <c r="D574" s="707"/>
      <c r="E574" s="708" t="s">
        <v>9050</v>
      </c>
      <c r="F574" s="709">
        <v>100.0</v>
      </c>
      <c r="G574" s="708" t="s">
        <v>44</v>
      </c>
      <c r="H574" s="709">
        <v>600.0</v>
      </c>
      <c r="I574" s="709">
        <v>500.0</v>
      </c>
      <c r="J574" s="705">
        <f t="shared" si="1"/>
        <v>60500</v>
      </c>
      <c r="K574" s="705">
        <f t="shared" si="2"/>
        <v>7050</v>
      </c>
      <c r="L574" s="705">
        <f t="shared" si="3"/>
        <v>67550</v>
      </c>
      <c r="M574" s="706">
        <f t="shared" si="5"/>
        <v>675.5</v>
      </c>
      <c r="N574" s="526" t="s">
        <v>33202</v>
      </c>
    </row>
    <row r="575">
      <c r="A575" s="702" t="s">
        <v>33203</v>
      </c>
      <c r="B575" s="702" t="s">
        <v>15951</v>
      </c>
      <c r="C575" s="707"/>
      <c r="D575" s="707"/>
      <c r="E575" s="708" t="s">
        <v>22</v>
      </c>
      <c r="F575" s="709">
        <v>100.0</v>
      </c>
      <c r="G575" s="708" t="s">
        <v>44</v>
      </c>
      <c r="H575" s="709">
        <v>35.0</v>
      </c>
      <c r="I575" s="709">
        <v>500.0</v>
      </c>
      <c r="J575" s="705">
        <f t="shared" si="1"/>
        <v>4000</v>
      </c>
      <c r="K575" s="705">
        <f t="shared" si="2"/>
        <v>1400</v>
      </c>
      <c r="L575" s="705">
        <f t="shared" si="3"/>
        <v>5400</v>
      </c>
      <c r="M575" s="706">
        <f t="shared" si="5"/>
        <v>54</v>
      </c>
      <c r="N575" s="526" t="s">
        <v>33204</v>
      </c>
    </row>
    <row r="576">
      <c r="A576" s="702" t="s">
        <v>33203</v>
      </c>
      <c r="B576" s="702" t="s">
        <v>33205</v>
      </c>
      <c r="C576" s="707"/>
      <c r="D576" s="707"/>
      <c r="E576" s="708" t="s">
        <v>31499</v>
      </c>
      <c r="F576" s="709">
        <v>1000.0</v>
      </c>
      <c r="G576" s="708" t="s">
        <v>33206</v>
      </c>
      <c r="H576" s="709">
        <v>2.5</v>
      </c>
      <c r="I576" s="709">
        <v>500.0</v>
      </c>
      <c r="J576" s="705">
        <f t="shared" si="1"/>
        <v>3000</v>
      </c>
      <c r="K576" s="705">
        <f t="shared" si="2"/>
        <v>1300</v>
      </c>
      <c r="L576" s="705">
        <f t="shared" si="3"/>
        <v>4300</v>
      </c>
      <c r="M576" s="706">
        <f t="shared" si="5"/>
        <v>4.3</v>
      </c>
    </row>
    <row r="577">
      <c r="A577" s="702" t="s">
        <v>33203</v>
      </c>
      <c r="B577" s="702" t="s">
        <v>33205</v>
      </c>
      <c r="C577" s="707"/>
      <c r="D577" s="707"/>
      <c r="E577" s="708" t="s">
        <v>31500</v>
      </c>
      <c r="F577" s="709">
        <v>1000.0</v>
      </c>
      <c r="G577" s="708" t="s">
        <v>33206</v>
      </c>
      <c r="H577" s="709">
        <v>4.0</v>
      </c>
      <c r="I577" s="709">
        <v>500.0</v>
      </c>
      <c r="J577" s="705">
        <f t="shared" si="1"/>
        <v>4500</v>
      </c>
      <c r="K577" s="705">
        <f t="shared" si="2"/>
        <v>1450</v>
      </c>
      <c r="L577" s="705">
        <f t="shared" si="3"/>
        <v>5950</v>
      </c>
      <c r="M577" s="706">
        <f t="shared" si="5"/>
        <v>5.95</v>
      </c>
    </row>
    <row r="578">
      <c r="A578" s="702" t="s">
        <v>33203</v>
      </c>
      <c r="B578" s="702" t="s">
        <v>15980</v>
      </c>
      <c r="C578" s="707"/>
      <c r="D578" s="707"/>
      <c r="E578" s="708" t="s">
        <v>8807</v>
      </c>
      <c r="F578" s="709">
        <v>2000.0</v>
      </c>
      <c r="G578" s="708" t="s">
        <v>20725</v>
      </c>
      <c r="H578" s="709">
        <v>75.0</v>
      </c>
      <c r="I578" s="709">
        <v>2000.0</v>
      </c>
      <c r="J578" s="705">
        <f t="shared" si="1"/>
        <v>152000</v>
      </c>
      <c r="K578" s="705">
        <f t="shared" si="2"/>
        <v>16200</v>
      </c>
      <c r="L578" s="705">
        <f t="shared" si="3"/>
        <v>168200</v>
      </c>
      <c r="M578" s="706">
        <f t="shared" si="5"/>
        <v>84.1</v>
      </c>
      <c r="N578" s="526" t="s">
        <v>33207</v>
      </c>
    </row>
    <row r="579">
      <c r="A579" s="702" t="s">
        <v>33203</v>
      </c>
      <c r="B579" s="702" t="s">
        <v>15977</v>
      </c>
      <c r="C579" s="707"/>
      <c r="D579" s="707"/>
      <c r="E579" s="708" t="s">
        <v>412</v>
      </c>
      <c r="F579" s="709">
        <v>50.0</v>
      </c>
      <c r="G579" s="708" t="s">
        <v>1082</v>
      </c>
      <c r="H579" s="709">
        <v>180.0</v>
      </c>
      <c r="I579" s="709">
        <v>300.0</v>
      </c>
      <c r="J579" s="705">
        <f t="shared" si="1"/>
        <v>9300</v>
      </c>
      <c r="K579" s="705">
        <f t="shared" si="2"/>
        <v>1930</v>
      </c>
      <c r="L579" s="705">
        <f t="shared" si="3"/>
        <v>11230</v>
      </c>
      <c r="M579" s="706">
        <f t="shared" si="5"/>
        <v>224.6</v>
      </c>
    </row>
    <row r="580">
      <c r="A580" s="702" t="s">
        <v>33203</v>
      </c>
      <c r="B580" s="702" t="s">
        <v>15986</v>
      </c>
      <c r="C580" s="707"/>
      <c r="D580" s="707"/>
      <c r="E580" s="708" t="s">
        <v>7897</v>
      </c>
      <c r="F580" s="709">
        <v>20000.0</v>
      </c>
      <c r="G580" s="708" t="s">
        <v>218</v>
      </c>
      <c r="H580" s="709">
        <v>25.0</v>
      </c>
      <c r="I580" s="709"/>
      <c r="J580" s="705">
        <f t="shared" si="1"/>
        <v>500000</v>
      </c>
      <c r="K580" s="705">
        <f t="shared" si="2"/>
        <v>51000</v>
      </c>
      <c r="L580" s="705">
        <f t="shared" si="3"/>
        <v>551000</v>
      </c>
      <c r="M580" s="706">
        <f t="shared" si="5"/>
        <v>27.55</v>
      </c>
    </row>
    <row r="581">
      <c r="A581" s="702" t="s">
        <v>33203</v>
      </c>
      <c r="B581" s="702" t="s">
        <v>15990</v>
      </c>
      <c r="C581" s="707"/>
      <c r="D581" s="707"/>
      <c r="E581" s="708" t="s">
        <v>3165</v>
      </c>
      <c r="F581" s="709">
        <v>4000.0</v>
      </c>
      <c r="G581" s="708" t="s">
        <v>1082</v>
      </c>
      <c r="H581" s="709">
        <v>102.0</v>
      </c>
      <c r="I581" s="709">
        <v>4000.0</v>
      </c>
      <c r="J581" s="705">
        <f t="shared" si="1"/>
        <v>412000</v>
      </c>
      <c r="K581" s="705">
        <f t="shared" si="2"/>
        <v>42200</v>
      </c>
      <c r="L581" s="705">
        <f t="shared" si="3"/>
        <v>454200</v>
      </c>
      <c r="M581" s="706">
        <f t="shared" si="5"/>
        <v>113.55</v>
      </c>
    </row>
    <row r="582">
      <c r="A582" s="702" t="s">
        <v>33203</v>
      </c>
      <c r="B582" s="702" t="s">
        <v>33208</v>
      </c>
      <c r="C582" s="707"/>
      <c r="D582" s="707"/>
      <c r="E582" s="708" t="s">
        <v>9462</v>
      </c>
      <c r="F582" s="709">
        <v>200.0</v>
      </c>
      <c r="G582" s="708" t="s">
        <v>906</v>
      </c>
      <c r="H582" s="709">
        <v>120.0</v>
      </c>
      <c r="I582" s="709">
        <v>500.0</v>
      </c>
      <c r="J582" s="705">
        <f t="shared" si="1"/>
        <v>24500</v>
      </c>
      <c r="K582" s="705">
        <f t="shared" si="2"/>
        <v>3450</v>
      </c>
      <c r="L582" s="705">
        <f t="shared" si="3"/>
        <v>27950</v>
      </c>
      <c r="M582" s="706">
        <f t="shared" si="5"/>
        <v>139.75</v>
      </c>
      <c r="N582" s="526" t="s">
        <v>33209</v>
      </c>
    </row>
    <row r="583">
      <c r="A583" s="702" t="s">
        <v>33203</v>
      </c>
      <c r="B583" s="702" t="s">
        <v>33210</v>
      </c>
      <c r="C583" s="707"/>
      <c r="D583" s="707"/>
      <c r="E583" s="708" t="s">
        <v>9462</v>
      </c>
      <c r="F583" s="709">
        <v>200.0</v>
      </c>
      <c r="G583" s="708" t="s">
        <v>44</v>
      </c>
      <c r="H583" s="709">
        <v>120.0</v>
      </c>
      <c r="I583" s="709">
        <v>500.0</v>
      </c>
      <c r="J583" s="705">
        <f t="shared" si="1"/>
        <v>24500</v>
      </c>
      <c r="K583" s="705">
        <f t="shared" si="2"/>
        <v>3450</v>
      </c>
      <c r="L583" s="705">
        <f t="shared" si="3"/>
        <v>27950</v>
      </c>
      <c r="M583" s="706">
        <f t="shared" si="5"/>
        <v>139.75</v>
      </c>
      <c r="N583" s="526" t="s">
        <v>33211</v>
      </c>
    </row>
    <row r="584">
      <c r="A584" s="702" t="s">
        <v>33212</v>
      </c>
      <c r="B584" s="702" t="s">
        <v>15995</v>
      </c>
      <c r="C584" s="707"/>
      <c r="D584" s="707"/>
      <c r="E584" s="708" t="s">
        <v>152</v>
      </c>
      <c r="F584" s="709">
        <v>10000.0</v>
      </c>
      <c r="G584" s="708" t="s">
        <v>519</v>
      </c>
      <c r="H584" s="709">
        <v>17.0</v>
      </c>
      <c r="I584" s="709"/>
      <c r="J584" s="705">
        <f t="shared" si="1"/>
        <v>170000</v>
      </c>
      <c r="K584" s="705">
        <f t="shared" si="2"/>
        <v>18000</v>
      </c>
      <c r="L584" s="705">
        <f t="shared" si="3"/>
        <v>188000</v>
      </c>
      <c r="M584" s="706">
        <f t="shared" si="5"/>
        <v>18.8</v>
      </c>
    </row>
    <row r="585">
      <c r="A585" s="702" t="s">
        <v>33212</v>
      </c>
      <c r="B585" s="702" t="s">
        <v>16002</v>
      </c>
      <c r="C585" s="707"/>
      <c r="D585" s="707"/>
      <c r="E585" s="708" t="s">
        <v>213</v>
      </c>
      <c r="F585" s="709">
        <v>10000.0</v>
      </c>
      <c r="G585" s="708" t="s">
        <v>507</v>
      </c>
      <c r="H585" s="709">
        <v>25.0</v>
      </c>
      <c r="I585" s="709"/>
      <c r="J585" s="705">
        <f t="shared" si="1"/>
        <v>250000</v>
      </c>
      <c r="K585" s="705">
        <f t="shared" si="2"/>
        <v>26000</v>
      </c>
      <c r="L585" s="705">
        <f t="shared" si="3"/>
        <v>276000</v>
      </c>
      <c r="M585" s="706">
        <f t="shared" si="5"/>
        <v>27.6</v>
      </c>
    </row>
    <row r="586">
      <c r="A586" s="702" t="s">
        <v>33212</v>
      </c>
      <c r="B586" s="702" t="s">
        <v>16021</v>
      </c>
      <c r="C586" s="707"/>
      <c r="D586" s="707"/>
      <c r="E586" s="708" t="s">
        <v>152</v>
      </c>
      <c r="F586" s="709">
        <v>100.0</v>
      </c>
      <c r="G586" s="708" t="s">
        <v>44</v>
      </c>
      <c r="H586" s="709">
        <v>22.0</v>
      </c>
      <c r="I586" s="709">
        <v>500.0</v>
      </c>
      <c r="J586" s="705">
        <f t="shared" si="1"/>
        <v>2700</v>
      </c>
      <c r="K586" s="705">
        <f t="shared" si="2"/>
        <v>1270</v>
      </c>
      <c r="L586" s="705">
        <f t="shared" si="3"/>
        <v>3970</v>
      </c>
      <c r="M586" s="706">
        <f t="shared" si="5"/>
        <v>39.7</v>
      </c>
    </row>
    <row r="587">
      <c r="A587" s="702" t="s">
        <v>33212</v>
      </c>
      <c r="B587" s="702" t="s">
        <v>16008</v>
      </c>
      <c r="C587" s="707"/>
      <c r="D587" s="707"/>
      <c r="E587" s="708" t="s">
        <v>5102</v>
      </c>
      <c r="F587" s="712">
        <v>10000.0</v>
      </c>
      <c r="G587" s="708" t="s">
        <v>507</v>
      </c>
      <c r="H587" s="709">
        <v>14.0</v>
      </c>
      <c r="I587" s="709">
        <v>500.0</v>
      </c>
      <c r="J587" s="705">
        <f t="shared" si="1"/>
        <v>140500</v>
      </c>
      <c r="K587" s="705">
        <f t="shared" si="2"/>
        <v>15050</v>
      </c>
      <c r="L587" s="705">
        <f t="shared" si="3"/>
        <v>155550</v>
      </c>
      <c r="M587" s="706">
        <f t="shared" si="5"/>
        <v>15.555</v>
      </c>
      <c r="N587" s="526" t="s">
        <v>33213</v>
      </c>
    </row>
    <row r="588">
      <c r="A588" s="702" t="s">
        <v>33212</v>
      </c>
      <c r="B588" s="702" t="s">
        <v>16028</v>
      </c>
      <c r="C588" s="707"/>
      <c r="D588" s="707"/>
      <c r="E588" s="708" t="s">
        <v>2576</v>
      </c>
      <c r="F588" s="712">
        <v>70000.0</v>
      </c>
      <c r="G588" s="708" t="s">
        <v>906</v>
      </c>
      <c r="H588" s="709">
        <v>7.0</v>
      </c>
      <c r="I588" s="709"/>
      <c r="J588" s="705">
        <f t="shared" si="1"/>
        <v>490000</v>
      </c>
      <c r="K588" s="705">
        <f t="shared" si="2"/>
        <v>50000</v>
      </c>
      <c r="L588" s="705">
        <f t="shared" si="3"/>
        <v>540000</v>
      </c>
      <c r="M588" s="706">
        <f t="shared" si="5"/>
        <v>7.714285714</v>
      </c>
      <c r="N588" s="526" t="s">
        <v>33214</v>
      </c>
    </row>
    <row r="589">
      <c r="A589" s="702" t="s">
        <v>33215</v>
      </c>
      <c r="B589" s="702" t="s">
        <v>16038</v>
      </c>
      <c r="C589" s="707"/>
      <c r="D589" s="707"/>
      <c r="E589" s="708" t="s">
        <v>207</v>
      </c>
      <c r="F589" s="709">
        <v>3000.0</v>
      </c>
      <c r="G589" s="708" t="s">
        <v>44</v>
      </c>
      <c r="H589" s="709">
        <v>10.0</v>
      </c>
      <c r="I589" s="709">
        <v>3000.0</v>
      </c>
      <c r="J589" s="705">
        <f t="shared" si="1"/>
        <v>33000</v>
      </c>
      <c r="K589" s="705">
        <f t="shared" si="2"/>
        <v>4300</v>
      </c>
      <c r="L589" s="705">
        <f t="shared" si="3"/>
        <v>37300</v>
      </c>
      <c r="M589" s="706">
        <f t="shared" si="5"/>
        <v>12.43333333</v>
      </c>
      <c r="N589" s="526" t="s">
        <v>33216</v>
      </c>
    </row>
    <row r="590">
      <c r="A590" s="702" t="s">
        <v>33215</v>
      </c>
      <c r="B590" s="702" t="s">
        <v>33217</v>
      </c>
      <c r="C590" s="707"/>
      <c r="D590" s="707"/>
      <c r="E590" s="708" t="s">
        <v>38</v>
      </c>
      <c r="F590" s="709">
        <v>1000.0</v>
      </c>
      <c r="G590" s="708" t="s">
        <v>507</v>
      </c>
      <c r="H590" s="709">
        <v>90.0</v>
      </c>
      <c r="I590" s="709">
        <v>1000.0</v>
      </c>
      <c r="J590" s="705">
        <f t="shared" si="1"/>
        <v>91000</v>
      </c>
      <c r="K590" s="705">
        <f t="shared" si="2"/>
        <v>10100</v>
      </c>
      <c r="L590" s="705">
        <f t="shared" si="3"/>
        <v>101100</v>
      </c>
      <c r="M590" s="706">
        <f t="shared" si="5"/>
        <v>101.1</v>
      </c>
      <c r="N590" s="526" t="s">
        <v>33218</v>
      </c>
    </row>
    <row r="591">
      <c r="A591" s="702" t="s">
        <v>33215</v>
      </c>
      <c r="B591" s="702" t="s">
        <v>33219</v>
      </c>
      <c r="C591" s="707"/>
      <c r="D591" s="707"/>
      <c r="E591" s="708" t="s">
        <v>16046</v>
      </c>
      <c r="F591" s="709">
        <v>10000.0</v>
      </c>
      <c r="G591" s="708" t="s">
        <v>1082</v>
      </c>
      <c r="H591" s="709">
        <v>5.0</v>
      </c>
      <c r="I591" s="709"/>
      <c r="J591" s="705">
        <f t="shared" si="1"/>
        <v>50000</v>
      </c>
      <c r="K591" s="705">
        <f t="shared" si="2"/>
        <v>6000</v>
      </c>
      <c r="L591" s="705">
        <f t="shared" si="3"/>
        <v>56000</v>
      </c>
      <c r="M591" s="706">
        <f t="shared" si="5"/>
        <v>5.6</v>
      </c>
      <c r="N591" s="526" t="s">
        <v>33220</v>
      </c>
    </row>
    <row r="592">
      <c r="A592" s="702" t="s">
        <v>33215</v>
      </c>
      <c r="B592" s="702" t="s">
        <v>16051</v>
      </c>
      <c r="C592" s="707"/>
      <c r="D592" s="707"/>
      <c r="E592" s="708" t="s">
        <v>16052</v>
      </c>
      <c r="F592" s="709">
        <v>200.0</v>
      </c>
      <c r="G592" s="708" t="s">
        <v>33221</v>
      </c>
      <c r="H592" s="709">
        <v>170.0</v>
      </c>
      <c r="I592" s="709">
        <v>500.0</v>
      </c>
      <c r="J592" s="705">
        <f t="shared" si="1"/>
        <v>34500</v>
      </c>
      <c r="K592" s="705">
        <f t="shared" si="2"/>
        <v>4450</v>
      </c>
      <c r="L592" s="705">
        <f t="shared" si="3"/>
        <v>38950</v>
      </c>
      <c r="M592" s="706">
        <f t="shared" si="5"/>
        <v>194.75</v>
      </c>
      <c r="N592" s="526" t="s">
        <v>33222</v>
      </c>
    </row>
    <row r="593">
      <c r="A593" s="702" t="s">
        <v>33215</v>
      </c>
      <c r="B593" s="702" t="s">
        <v>16059</v>
      </c>
      <c r="C593" s="707"/>
      <c r="D593" s="707"/>
      <c r="E593" s="708" t="s">
        <v>33223</v>
      </c>
      <c r="F593" s="709">
        <v>70.0</v>
      </c>
      <c r="G593" s="708" t="s">
        <v>1082</v>
      </c>
      <c r="H593" s="709">
        <v>110.0</v>
      </c>
      <c r="I593" s="709">
        <v>300.0</v>
      </c>
      <c r="J593" s="705">
        <f t="shared" si="1"/>
        <v>8000</v>
      </c>
      <c r="K593" s="705">
        <f t="shared" si="2"/>
        <v>1800</v>
      </c>
      <c r="L593" s="705">
        <f t="shared" si="3"/>
        <v>9800</v>
      </c>
      <c r="M593" s="706">
        <f t="shared" si="5"/>
        <v>140</v>
      </c>
      <c r="N593" s="526" t="s">
        <v>33224</v>
      </c>
    </row>
    <row r="594">
      <c r="A594" s="702" t="s">
        <v>33215</v>
      </c>
      <c r="B594" s="702" t="s">
        <v>16061</v>
      </c>
      <c r="C594" s="707"/>
      <c r="D594" s="707"/>
      <c r="E594" s="708" t="s">
        <v>7197</v>
      </c>
      <c r="F594" s="709">
        <v>5000.0</v>
      </c>
      <c r="G594" s="708" t="s">
        <v>44</v>
      </c>
      <c r="H594" s="709">
        <v>30.0</v>
      </c>
      <c r="I594" s="709">
        <v>5000.0</v>
      </c>
      <c r="J594" s="705">
        <f t="shared" si="1"/>
        <v>155000</v>
      </c>
      <c r="K594" s="705">
        <f t="shared" si="2"/>
        <v>16500</v>
      </c>
      <c r="L594" s="705">
        <f t="shared" si="3"/>
        <v>171500</v>
      </c>
      <c r="M594" s="706">
        <f t="shared" si="5"/>
        <v>34.3</v>
      </c>
      <c r="N594" s="526" t="s">
        <v>33225</v>
      </c>
    </row>
    <row r="595">
      <c r="A595" s="702" t="s">
        <v>33215</v>
      </c>
      <c r="B595" s="702" t="s">
        <v>16069</v>
      </c>
      <c r="C595" s="707"/>
      <c r="D595" s="707"/>
      <c r="E595" s="708" t="s">
        <v>11748</v>
      </c>
      <c r="F595" s="709">
        <v>7000.0</v>
      </c>
      <c r="G595" s="708" t="s">
        <v>467</v>
      </c>
      <c r="H595" s="709">
        <v>25.0</v>
      </c>
      <c r="I595" s="709">
        <v>7000.0</v>
      </c>
      <c r="J595" s="705">
        <f t="shared" si="1"/>
        <v>182000</v>
      </c>
      <c r="K595" s="705">
        <f t="shared" si="2"/>
        <v>19200</v>
      </c>
      <c r="L595" s="705">
        <f t="shared" si="3"/>
        <v>201200</v>
      </c>
      <c r="M595" s="706">
        <f t="shared" si="5"/>
        <v>28.74285714</v>
      </c>
    </row>
    <row r="596">
      <c r="A596" s="702" t="s">
        <v>33215</v>
      </c>
      <c r="B596" s="702" t="s">
        <v>16074</v>
      </c>
      <c r="C596" s="707"/>
      <c r="D596" s="707"/>
      <c r="E596" s="708" t="s">
        <v>33089</v>
      </c>
      <c r="F596" s="709">
        <v>5000.0</v>
      </c>
      <c r="G596" s="708" t="s">
        <v>1006</v>
      </c>
      <c r="H596" s="709">
        <v>84.0</v>
      </c>
      <c r="I596" s="709">
        <v>5000.0</v>
      </c>
      <c r="J596" s="705">
        <f t="shared" si="1"/>
        <v>425000</v>
      </c>
      <c r="K596" s="705">
        <f t="shared" si="2"/>
        <v>43500</v>
      </c>
      <c r="L596" s="705">
        <f t="shared" si="3"/>
        <v>468500</v>
      </c>
      <c r="M596" s="706">
        <f t="shared" si="5"/>
        <v>93.7</v>
      </c>
    </row>
    <row r="597">
      <c r="A597" s="702" t="s">
        <v>33215</v>
      </c>
      <c r="B597" s="702" t="s">
        <v>16079</v>
      </c>
      <c r="C597" s="707"/>
      <c r="D597" s="707"/>
      <c r="E597" s="708" t="s">
        <v>14778</v>
      </c>
      <c r="F597" s="709">
        <v>100.0</v>
      </c>
      <c r="G597" s="708" t="s">
        <v>519</v>
      </c>
      <c r="H597" s="709">
        <v>400.0</v>
      </c>
      <c r="I597" s="709">
        <v>500.0</v>
      </c>
      <c r="J597" s="705">
        <f t="shared" si="1"/>
        <v>40500</v>
      </c>
      <c r="K597" s="705">
        <f t="shared" si="2"/>
        <v>5050</v>
      </c>
      <c r="L597" s="705">
        <f t="shared" si="3"/>
        <v>45550</v>
      </c>
      <c r="M597" s="706">
        <f t="shared" si="5"/>
        <v>455.5</v>
      </c>
      <c r="N597" s="526" t="s">
        <v>33226</v>
      </c>
    </row>
    <row r="598">
      <c r="A598" s="702" t="s">
        <v>33215</v>
      </c>
      <c r="B598" s="702" t="s">
        <v>16083</v>
      </c>
      <c r="C598" s="707"/>
      <c r="D598" s="707"/>
      <c r="E598" s="708" t="s">
        <v>31499</v>
      </c>
      <c r="F598" s="709">
        <v>1000.0</v>
      </c>
      <c r="G598" s="708" t="s">
        <v>3078</v>
      </c>
      <c r="H598" s="709">
        <v>2.5</v>
      </c>
      <c r="I598" s="709">
        <v>500.0</v>
      </c>
      <c r="J598" s="705">
        <f t="shared" si="1"/>
        <v>3000</v>
      </c>
      <c r="K598" s="705">
        <f t="shared" si="2"/>
        <v>1300</v>
      </c>
      <c r="L598" s="705">
        <f t="shared" si="3"/>
        <v>4300</v>
      </c>
      <c r="M598" s="706">
        <f t="shared" si="5"/>
        <v>4.3</v>
      </c>
    </row>
    <row r="599">
      <c r="A599" s="702" t="s">
        <v>33215</v>
      </c>
      <c r="B599" s="719" t="s">
        <v>16083</v>
      </c>
      <c r="C599" s="707"/>
      <c r="D599" s="707"/>
      <c r="E599" s="708" t="s">
        <v>31500</v>
      </c>
      <c r="F599" s="709">
        <v>1000.0</v>
      </c>
      <c r="G599" s="708" t="s">
        <v>3078</v>
      </c>
      <c r="H599" s="709">
        <v>4.0</v>
      </c>
      <c r="I599" s="709">
        <v>500.0</v>
      </c>
      <c r="J599" s="705">
        <f t="shared" si="1"/>
        <v>4500</v>
      </c>
      <c r="K599" s="705">
        <f t="shared" si="2"/>
        <v>1450</v>
      </c>
      <c r="L599" s="705">
        <f t="shared" si="3"/>
        <v>5950</v>
      </c>
      <c r="M599" s="706">
        <f t="shared" si="5"/>
        <v>5.95</v>
      </c>
    </row>
    <row r="600">
      <c r="A600" s="702" t="s">
        <v>33215</v>
      </c>
      <c r="B600" s="702" t="s">
        <v>16086</v>
      </c>
      <c r="C600" s="707"/>
      <c r="D600" s="707"/>
      <c r="E600" s="708" t="s">
        <v>444</v>
      </c>
      <c r="F600" s="709">
        <v>100.0</v>
      </c>
      <c r="G600" s="708" t="s">
        <v>44</v>
      </c>
      <c r="H600" s="709">
        <v>18.0</v>
      </c>
      <c r="I600" s="709"/>
      <c r="J600" s="705">
        <f t="shared" si="1"/>
        <v>1800</v>
      </c>
      <c r="K600" s="705">
        <f t="shared" si="2"/>
        <v>1180</v>
      </c>
      <c r="L600" s="705">
        <f t="shared" si="3"/>
        <v>2980</v>
      </c>
      <c r="M600" s="706">
        <f t="shared" si="5"/>
        <v>29.8</v>
      </c>
    </row>
    <row r="601">
      <c r="A601" s="702" t="s">
        <v>33227</v>
      </c>
      <c r="B601" s="702" t="s">
        <v>33228</v>
      </c>
      <c r="C601" s="707"/>
      <c r="D601" s="707"/>
      <c r="E601" s="708" t="s">
        <v>116</v>
      </c>
      <c r="F601" s="709">
        <v>5000.0</v>
      </c>
      <c r="G601" s="708" t="s">
        <v>33229</v>
      </c>
      <c r="H601" s="709">
        <v>84.0</v>
      </c>
      <c r="I601" s="709">
        <v>5000.0</v>
      </c>
      <c r="J601" s="705">
        <f t="shared" si="1"/>
        <v>425000</v>
      </c>
      <c r="K601" s="705">
        <f t="shared" si="2"/>
        <v>43500</v>
      </c>
      <c r="L601" s="705">
        <f t="shared" si="3"/>
        <v>468500</v>
      </c>
      <c r="M601" s="706">
        <f t="shared" si="5"/>
        <v>93.7</v>
      </c>
    </row>
    <row r="602">
      <c r="A602" s="702" t="s">
        <v>33227</v>
      </c>
      <c r="B602" s="702" t="s">
        <v>33230</v>
      </c>
      <c r="C602" s="707"/>
      <c r="D602" s="707"/>
      <c r="E602" s="708" t="s">
        <v>152</v>
      </c>
      <c r="F602" s="709">
        <v>1000.0</v>
      </c>
      <c r="G602" s="708" t="s">
        <v>99</v>
      </c>
      <c r="H602" s="709">
        <v>20.0</v>
      </c>
      <c r="I602" s="709">
        <v>1000.0</v>
      </c>
      <c r="J602" s="705">
        <f t="shared" si="1"/>
        <v>21000</v>
      </c>
      <c r="K602" s="705">
        <f t="shared" si="2"/>
        <v>3100</v>
      </c>
      <c r="L602" s="705">
        <f t="shared" si="3"/>
        <v>24100</v>
      </c>
      <c r="M602" s="706">
        <f t="shared" si="5"/>
        <v>24.1</v>
      </c>
    </row>
    <row r="603">
      <c r="A603" s="702" t="s">
        <v>33227</v>
      </c>
      <c r="B603" s="702" t="s">
        <v>16095</v>
      </c>
      <c r="C603" s="707"/>
      <c r="D603" s="707"/>
      <c r="E603" s="708" t="s">
        <v>152</v>
      </c>
      <c r="F603" s="709">
        <v>2000.0</v>
      </c>
      <c r="G603" s="708" t="s">
        <v>2682</v>
      </c>
      <c r="H603" s="709">
        <v>17.0</v>
      </c>
      <c r="I603" s="709">
        <v>2000.0</v>
      </c>
      <c r="J603" s="705">
        <f t="shared" si="1"/>
        <v>36000</v>
      </c>
      <c r="K603" s="705">
        <f t="shared" si="2"/>
        <v>4600</v>
      </c>
      <c r="L603" s="705">
        <f t="shared" si="3"/>
        <v>40600</v>
      </c>
      <c r="M603" s="706">
        <f t="shared" si="5"/>
        <v>20.3</v>
      </c>
    </row>
    <row r="604">
      <c r="A604" s="702" t="s">
        <v>33227</v>
      </c>
      <c r="B604" s="702" t="s">
        <v>16098</v>
      </c>
      <c r="C604" s="707"/>
      <c r="D604" s="707"/>
      <c r="E604" s="708" t="s">
        <v>9187</v>
      </c>
      <c r="F604" s="709">
        <v>2000.0</v>
      </c>
      <c r="G604" s="708" t="s">
        <v>44</v>
      </c>
      <c r="H604" s="709">
        <v>5.0</v>
      </c>
      <c r="I604" s="709">
        <v>2000.0</v>
      </c>
      <c r="J604" s="705">
        <f t="shared" si="1"/>
        <v>12000</v>
      </c>
      <c r="K604" s="705">
        <f t="shared" si="2"/>
        <v>2200</v>
      </c>
      <c r="L604" s="705">
        <f t="shared" si="3"/>
        <v>14200</v>
      </c>
      <c r="M604" s="706">
        <f t="shared" si="5"/>
        <v>7.1</v>
      </c>
    </row>
    <row r="605">
      <c r="A605" s="702" t="s">
        <v>33227</v>
      </c>
      <c r="B605" s="702" t="s">
        <v>16101</v>
      </c>
      <c r="C605" s="707"/>
      <c r="D605" s="707"/>
      <c r="E605" s="708" t="s">
        <v>353</v>
      </c>
      <c r="F605" s="709">
        <v>100.0</v>
      </c>
      <c r="G605" s="708" t="s">
        <v>184</v>
      </c>
      <c r="H605" s="709">
        <v>100.0</v>
      </c>
      <c r="I605" s="709">
        <v>500.0</v>
      </c>
      <c r="J605" s="705">
        <f t="shared" si="1"/>
        <v>10500</v>
      </c>
      <c r="K605" s="705">
        <f t="shared" si="2"/>
        <v>2050</v>
      </c>
      <c r="L605" s="705">
        <f t="shared" si="3"/>
        <v>12550</v>
      </c>
      <c r="M605" s="706">
        <f t="shared" si="5"/>
        <v>125.5</v>
      </c>
      <c r="N605" s="526" t="s">
        <v>33231</v>
      </c>
    </row>
    <row r="606">
      <c r="A606" s="702" t="s">
        <v>33227</v>
      </c>
      <c r="B606" s="702" t="s">
        <v>16105</v>
      </c>
      <c r="C606" s="707"/>
      <c r="D606" s="707"/>
      <c r="E606" s="708" t="s">
        <v>116</v>
      </c>
      <c r="F606" s="709">
        <v>200.0</v>
      </c>
      <c r="G606" s="708" t="s">
        <v>398</v>
      </c>
      <c r="H606" s="709">
        <v>84.0</v>
      </c>
      <c r="I606" s="709">
        <v>500.0</v>
      </c>
      <c r="J606" s="705">
        <f t="shared" si="1"/>
        <v>17300</v>
      </c>
      <c r="K606" s="705">
        <f t="shared" si="2"/>
        <v>2730</v>
      </c>
      <c r="L606" s="705">
        <f t="shared" si="3"/>
        <v>20030</v>
      </c>
      <c r="M606" s="706">
        <f t="shared" si="5"/>
        <v>100.15</v>
      </c>
    </row>
    <row r="607">
      <c r="A607" s="702" t="s">
        <v>33227</v>
      </c>
      <c r="B607" s="702" t="s">
        <v>16111</v>
      </c>
      <c r="C607" s="707"/>
      <c r="D607" s="707"/>
      <c r="E607" s="708" t="s">
        <v>156</v>
      </c>
      <c r="F607" s="709">
        <v>500.0</v>
      </c>
      <c r="G607" s="708" t="s">
        <v>44</v>
      </c>
      <c r="H607" s="709">
        <v>9.0</v>
      </c>
      <c r="I607" s="709"/>
      <c r="J607" s="705">
        <f t="shared" si="1"/>
        <v>4500</v>
      </c>
      <c r="K607" s="705">
        <f t="shared" si="2"/>
        <v>1450</v>
      </c>
      <c r="L607" s="705">
        <f t="shared" si="3"/>
        <v>5950</v>
      </c>
      <c r="M607" s="706">
        <f t="shared" si="5"/>
        <v>11.9</v>
      </c>
    </row>
    <row r="608">
      <c r="A608" s="702" t="s">
        <v>33227</v>
      </c>
      <c r="B608" s="702" t="s">
        <v>16118</v>
      </c>
      <c r="C608" s="707"/>
      <c r="D608" s="707"/>
      <c r="E608" s="708" t="s">
        <v>2501</v>
      </c>
      <c r="F608" s="709">
        <v>2000.0</v>
      </c>
      <c r="G608" s="708" t="s">
        <v>507</v>
      </c>
      <c r="H608" s="709">
        <v>9.0</v>
      </c>
      <c r="I608" s="709">
        <v>1000.0</v>
      </c>
      <c r="J608" s="705">
        <f t="shared" si="1"/>
        <v>19000</v>
      </c>
      <c r="K608" s="705">
        <f t="shared" si="2"/>
        <v>2900</v>
      </c>
      <c r="L608" s="705">
        <f t="shared" si="3"/>
        <v>21900</v>
      </c>
      <c r="M608" s="706">
        <f t="shared" si="5"/>
        <v>10.95</v>
      </c>
      <c r="N608" s="526" t="s">
        <v>33232</v>
      </c>
    </row>
    <row r="609">
      <c r="A609" s="702" t="s">
        <v>33227</v>
      </c>
      <c r="B609" s="702" t="s">
        <v>16122</v>
      </c>
      <c r="C609" s="707"/>
      <c r="D609" s="707"/>
      <c r="E609" s="708" t="s">
        <v>3193</v>
      </c>
      <c r="F609" s="709">
        <v>500.0</v>
      </c>
      <c r="G609" s="708" t="s">
        <v>906</v>
      </c>
      <c r="H609" s="709">
        <v>15.0</v>
      </c>
      <c r="I609" s="709">
        <v>500.0</v>
      </c>
      <c r="J609" s="705">
        <f t="shared" si="1"/>
        <v>8000</v>
      </c>
      <c r="K609" s="705">
        <f t="shared" si="2"/>
        <v>1800</v>
      </c>
      <c r="L609" s="705">
        <f t="shared" si="3"/>
        <v>9800</v>
      </c>
      <c r="M609" s="706">
        <f t="shared" si="5"/>
        <v>19.6</v>
      </c>
      <c r="N609" s="526" t="s">
        <v>33233</v>
      </c>
    </row>
    <row r="610">
      <c r="A610" s="702" t="s">
        <v>33227</v>
      </c>
      <c r="B610" s="702" t="s">
        <v>16127</v>
      </c>
      <c r="C610" s="707"/>
      <c r="D610" s="707"/>
      <c r="E610" s="708" t="s">
        <v>7897</v>
      </c>
      <c r="F610" s="709">
        <v>300000.0</v>
      </c>
      <c r="G610" s="708" t="s">
        <v>9266</v>
      </c>
      <c r="H610" s="709">
        <v>17.0</v>
      </c>
      <c r="I610" s="709"/>
      <c r="J610" s="705">
        <f t="shared" si="1"/>
        <v>5100000</v>
      </c>
      <c r="K610" s="705">
        <f t="shared" si="2"/>
        <v>511000</v>
      </c>
      <c r="L610" s="705">
        <f t="shared" si="3"/>
        <v>5611000</v>
      </c>
      <c r="M610" s="706">
        <f t="shared" si="5"/>
        <v>18.70333333</v>
      </c>
    </row>
    <row r="611">
      <c r="A611" s="702" t="s">
        <v>33227</v>
      </c>
      <c r="B611" s="702" t="s">
        <v>16130</v>
      </c>
      <c r="C611" s="707"/>
      <c r="D611" s="707"/>
      <c r="E611" s="708" t="s">
        <v>9050</v>
      </c>
      <c r="F611" s="709">
        <v>500.0</v>
      </c>
      <c r="G611" s="708" t="s">
        <v>20765</v>
      </c>
      <c r="H611" s="709">
        <v>600.0</v>
      </c>
      <c r="I611" s="709">
        <v>1000.0</v>
      </c>
      <c r="J611" s="705">
        <f t="shared" si="1"/>
        <v>301000</v>
      </c>
      <c r="K611" s="705">
        <f t="shared" si="2"/>
        <v>31100</v>
      </c>
      <c r="L611" s="705">
        <f t="shared" si="3"/>
        <v>332100</v>
      </c>
      <c r="M611" s="706">
        <f t="shared" si="5"/>
        <v>664.2</v>
      </c>
      <c r="N611" s="526" t="s">
        <v>33202</v>
      </c>
    </row>
    <row r="612">
      <c r="A612" s="702" t="s">
        <v>33227</v>
      </c>
      <c r="B612" s="702" t="s">
        <v>16140</v>
      </c>
      <c r="C612" s="707"/>
      <c r="D612" s="707"/>
      <c r="E612" s="708" t="s">
        <v>152</v>
      </c>
      <c r="F612" s="709">
        <v>1000.0</v>
      </c>
      <c r="G612" s="708" t="s">
        <v>2070</v>
      </c>
      <c r="H612" s="709">
        <v>20.0</v>
      </c>
      <c r="I612" s="709">
        <v>1000.0</v>
      </c>
      <c r="J612" s="705">
        <f t="shared" si="1"/>
        <v>21000</v>
      </c>
      <c r="K612" s="705">
        <f t="shared" si="2"/>
        <v>3100</v>
      </c>
      <c r="L612" s="705">
        <f t="shared" si="3"/>
        <v>24100</v>
      </c>
      <c r="M612" s="706">
        <f t="shared" si="5"/>
        <v>24.1</v>
      </c>
    </row>
    <row r="613">
      <c r="A613" s="702" t="s">
        <v>33227</v>
      </c>
      <c r="B613" s="702" t="s">
        <v>16146</v>
      </c>
      <c r="C613" s="707"/>
      <c r="D613" s="707"/>
      <c r="E613" s="708" t="s">
        <v>841</v>
      </c>
      <c r="F613" s="709">
        <v>20000.0</v>
      </c>
      <c r="G613" s="708" t="s">
        <v>196</v>
      </c>
      <c r="H613" s="709">
        <v>5.0</v>
      </c>
      <c r="I613" s="709"/>
      <c r="J613" s="705">
        <f t="shared" si="1"/>
        <v>100000</v>
      </c>
      <c r="K613" s="705">
        <f t="shared" si="2"/>
        <v>11000</v>
      </c>
      <c r="L613" s="705">
        <f t="shared" si="3"/>
        <v>111000</v>
      </c>
      <c r="M613" s="706">
        <f t="shared" si="5"/>
        <v>5.55</v>
      </c>
    </row>
    <row r="614">
      <c r="A614" s="702" t="s">
        <v>33227</v>
      </c>
      <c r="B614" s="702" t="s">
        <v>16153</v>
      </c>
      <c r="C614" s="707"/>
      <c r="D614" s="707"/>
      <c r="E614" s="708" t="s">
        <v>3165</v>
      </c>
      <c r="F614" s="709">
        <v>50.0</v>
      </c>
      <c r="G614" s="708" t="s">
        <v>44</v>
      </c>
      <c r="H614" s="709">
        <v>102.0</v>
      </c>
      <c r="I614" s="709">
        <v>300.0</v>
      </c>
      <c r="J614" s="705">
        <f t="shared" si="1"/>
        <v>5400</v>
      </c>
      <c r="K614" s="705">
        <f t="shared" si="2"/>
        <v>1540</v>
      </c>
      <c r="L614" s="705">
        <f t="shared" si="3"/>
        <v>6940</v>
      </c>
      <c r="M614" s="706">
        <f t="shared" si="5"/>
        <v>138.8</v>
      </c>
    </row>
    <row r="615">
      <c r="A615" s="702" t="s">
        <v>33234</v>
      </c>
      <c r="B615" s="702" t="s">
        <v>33235</v>
      </c>
      <c r="C615" s="707"/>
      <c r="D615" s="707"/>
      <c r="E615" s="708" t="s">
        <v>167</v>
      </c>
      <c r="F615" s="709">
        <v>20000.0</v>
      </c>
      <c r="G615" s="708" t="s">
        <v>2662</v>
      </c>
      <c r="H615" s="709">
        <v>20.0</v>
      </c>
      <c r="I615" s="709"/>
      <c r="J615" s="705">
        <f t="shared" si="1"/>
        <v>400000</v>
      </c>
      <c r="K615" s="705">
        <f t="shared" si="2"/>
        <v>41000</v>
      </c>
      <c r="L615" s="705">
        <f t="shared" si="3"/>
        <v>441000</v>
      </c>
      <c r="M615" s="706">
        <f t="shared" si="5"/>
        <v>22.05</v>
      </c>
    </row>
    <row r="616">
      <c r="A616" s="702" t="s">
        <v>33234</v>
      </c>
      <c r="B616" s="702" t="s">
        <v>33236</v>
      </c>
      <c r="C616" s="707"/>
      <c r="D616" s="707"/>
      <c r="E616" s="708" t="s">
        <v>3165</v>
      </c>
      <c r="F616" s="709">
        <v>4000.0</v>
      </c>
      <c r="G616" s="708" t="s">
        <v>8895</v>
      </c>
      <c r="H616" s="709">
        <v>90.0</v>
      </c>
      <c r="I616" s="709">
        <v>4000.0</v>
      </c>
      <c r="J616" s="705">
        <f t="shared" si="1"/>
        <v>364000</v>
      </c>
      <c r="K616" s="705">
        <f t="shared" si="2"/>
        <v>37400</v>
      </c>
      <c r="L616" s="705">
        <f t="shared" si="3"/>
        <v>401400</v>
      </c>
      <c r="M616" s="706">
        <f t="shared" si="5"/>
        <v>100.35</v>
      </c>
      <c r="N616" s="526" t="s">
        <v>33237</v>
      </c>
    </row>
    <row r="617">
      <c r="A617" s="702" t="s">
        <v>33234</v>
      </c>
      <c r="B617" s="702" t="s">
        <v>33238</v>
      </c>
      <c r="C617" s="707"/>
      <c r="D617" s="707"/>
      <c r="E617" s="708" t="s">
        <v>14261</v>
      </c>
      <c r="F617" s="709">
        <v>1500.0</v>
      </c>
      <c r="G617" s="708" t="s">
        <v>507</v>
      </c>
      <c r="H617" s="709">
        <v>5.0</v>
      </c>
      <c r="I617" s="709">
        <v>1500.0</v>
      </c>
      <c r="J617" s="705">
        <f t="shared" si="1"/>
        <v>9000</v>
      </c>
      <c r="K617" s="705">
        <f t="shared" si="2"/>
        <v>1900</v>
      </c>
      <c r="L617" s="705">
        <f t="shared" si="3"/>
        <v>10900</v>
      </c>
      <c r="M617" s="706">
        <f t="shared" si="5"/>
        <v>7.266666667</v>
      </c>
      <c r="N617" s="526" t="s">
        <v>33239</v>
      </c>
    </row>
    <row r="618">
      <c r="A618" s="702" t="s">
        <v>33234</v>
      </c>
      <c r="B618" s="702" t="s">
        <v>16190</v>
      </c>
      <c r="C618" s="707"/>
      <c r="D618" s="707"/>
      <c r="E618" s="708" t="s">
        <v>353</v>
      </c>
      <c r="F618" s="709">
        <v>100.0</v>
      </c>
      <c r="G618" s="708" t="s">
        <v>184</v>
      </c>
      <c r="H618" s="709">
        <v>100.0</v>
      </c>
      <c r="I618" s="709">
        <v>500.0</v>
      </c>
      <c r="J618" s="705">
        <f t="shared" si="1"/>
        <v>10500</v>
      </c>
      <c r="K618" s="705">
        <f t="shared" si="2"/>
        <v>2050</v>
      </c>
      <c r="L618" s="705">
        <f t="shared" si="3"/>
        <v>12550</v>
      </c>
      <c r="M618" s="706">
        <f t="shared" si="5"/>
        <v>125.5</v>
      </c>
      <c r="N618" s="526" t="s">
        <v>33231</v>
      </c>
    </row>
    <row r="619">
      <c r="A619" s="702" t="s">
        <v>33234</v>
      </c>
      <c r="B619" s="702" t="s">
        <v>16187</v>
      </c>
      <c r="C619" s="707"/>
      <c r="D619" s="707"/>
      <c r="E619" s="708" t="s">
        <v>1579</v>
      </c>
      <c r="F619" s="709">
        <v>50000.0</v>
      </c>
      <c r="G619" s="708" t="s">
        <v>906</v>
      </c>
      <c r="H619" s="709">
        <v>10.0</v>
      </c>
      <c r="I619" s="709"/>
      <c r="J619" s="705">
        <f t="shared" si="1"/>
        <v>500000</v>
      </c>
      <c r="K619" s="705">
        <f t="shared" si="2"/>
        <v>51000</v>
      </c>
      <c r="L619" s="705">
        <f t="shared" si="3"/>
        <v>551000</v>
      </c>
      <c r="M619" s="706">
        <f t="shared" si="5"/>
        <v>11.02</v>
      </c>
      <c r="N619" s="526" t="s">
        <v>33240</v>
      </c>
    </row>
    <row r="620">
      <c r="A620" s="702" t="s">
        <v>33234</v>
      </c>
      <c r="B620" s="702" t="s">
        <v>16197</v>
      </c>
      <c r="C620" s="707"/>
      <c r="D620" s="707"/>
      <c r="E620" s="708" t="s">
        <v>152</v>
      </c>
      <c r="F620" s="709">
        <v>500.0</v>
      </c>
      <c r="G620" s="708" t="s">
        <v>449</v>
      </c>
      <c r="H620" s="709">
        <v>17.0</v>
      </c>
      <c r="I620" s="709">
        <v>500.0</v>
      </c>
      <c r="J620" s="705">
        <f t="shared" si="1"/>
        <v>9000</v>
      </c>
      <c r="K620" s="705">
        <f t="shared" si="2"/>
        <v>1900</v>
      </c>
      <c r="L620" s="705">
        <f t="shared" si="3"/>
        <v>10900</v>
      </c>
      <c r="M620" s="706">
        <f t="shared" si="5"/>
        <v>21.8</v>
      </c>
    </row>
    <row r="621">
      <c r="A621" s="702" t="s">
        <v>33234</v>
      </c>
      <c r="B621" s="702" t="s">
        <v>16207</v>
      </c>
      <c r="C621" s="707"/>
      <c r="D621" s="707"/>
      <c r="E621" s="708" t="s">
        <v>116</v>
      </c>
      <c r="F621" s="709">
        <v>1000.0</v>
      </c>
      <c r="G621" s="708" t="s">
        <v>495</v>
      </c>
      <c r="H621" s="709">
        <v>84.0</v>
      </c>
      <c r="I621" s="709">
        <v>1000.0</v>
      </c>
      <c r="J621" s="705">
        <f t="shared" si="1"/>
        <v>85000</v>
      </c>
      <c r="K621" s="705">
        <f t="shared" si="2"/>
        <v>9500</v>
      </c>
      <c r="L621" s="705">
        <f t="shared" si="3"/>
        <v>94500</v>
      </c>
      <c r="M621" s="706">
        <f t="shared" si="5"/>
        <v>94.5</v>
      </c>
    </row>
    <row r="622">
      <c r="A622" s="702" t="s">
        <v>33234</v>
      </c>
      <c r="B622" s="702" t="s">
        <v>16210</v>
      </c>
      <c r="C622" s="707"/>
      <c r="D622" s="707"/>
      <c r="E622" s="708" t="s">
        <v>1373</v>
      </c>
      <c r="F622" s="709">
        <v>200.0</v>
      </c>
      <c r="G622" s="708" t="s">
        <v>218</v>
      </c>
      <c r="H622" s="709">
        <v>13.2</v>
      </c>
      <c r="I622" s="709">
        <v>500.0</v>
      </c>
      <c r="J622" s="705">
        <f t="shared" si="1"/>
        <v>3140</v>
      </c>
      <c r="K622" s="705">
        <f t="shared" si="2"/>
        <v>1314</v>
      </c>
      <c r="L622" s="705">
        <f t="shared" si="3"/>
        <v>4454</v>
      </c>
      <c r="M622" s="706">
        <f t="shared" si="5"/>
        <v>22.27</v>
      </c>
    </row>
    <row r="623">
      <c r="A623" s="702" t="s">
        <v>33234</v>
      </c>
      <c r="B623" s="702" t="s">
        <v>16215</v>
      </c>
      <c r="C623" s="707"/>
      <c r="D623" s="707"/>
      <c r="E623" s="708" t="s">
        <v>1749</v>
      </c>
      <c r="F623" s="709">
        <v>50.0</v>
      </c>
      <c r="G623" s="708" t="s">
        <v>20765</v>
      </c>
      <c r="H623" s="709">
        <v>52.0</v>
      </c>
      <c r="I623" s="709">
        <v>300.0</v>
      </c>
      <c r="J623" s="705">
        <f t="shared" si="1"/>
        <v>2900</v>
      </c>
      <c r="K623" s="705">
        <f t="shared" si="2"/>
        <v>1290</v>
      </c>
      <c r="L623" s="705">
        <f t="shared" si="3"/>
        <v>4190</v>
      </c>
      <c r="M623" s="706">
        <f t="shared" si="5"/>
        <v>83.8</v>
      </c>
    </row>
    <row r="624">
      <c r="A624" s="702" t="s">
        <v>33234</v>
      </c>
      <c r="B624" s="702" t="s">
        <v>16217</v>
      </c>
      <c r="C624" s="707"/>
      <c r="D624" s="707"/>
      <c r="E624" s="708" t="s">
        <v>794</v>
      </c>
      <c r="F624" s="709">
        <v>200.0</v>
      </c>
      <c r="G624" s="708" t="s">
        <v>278</v>
      </c>
      <c r="H624" s="709">
        <v>5.0</v>
      </c>
      <c r="I624" s="709">
        <v>500.0</v>
      </c>
      <c r="J624" s="705">
        <f t="shared" si="1"/>
        <v>1500</v>
      </c>
      <c r="K624" s="705">
        <f t="shared" si="2"/>
        <v>1150</v>
      </c>
      <c r="L624" s="705">
        <f t="shared" si="3"/>
        <v>2650</v>
      </c>
      <c r="M624" s="706">
        <f t="shared" si="5"/>
        <v>13.25</v>
      </c>
    </row>
    <row r="625">
      <c r="A625" s="702" t="s">
        <v>33234</v>
      </c>
      <c r="B625" s="702" t="s">
        <v>16230</v>
      </c>
      <c r="C625" s="707"/>
      <c r="D625" s="707"/>
      <c r="E625" s="708" t="s">
        <v>501</v>
      </c>
      <c r="F625" s="709">
        <v>200.0</v>
      </c>
      <c r="G625" s="708" t="s">
        <v>44</v>
      </c>
      <c r="H625" s="709">
        <v>10.0</v>
      </c>
      <c r="I625" s="709">
        <v>500.0</v>
      </c>
      <c r="J625" s="705">
        <f t="shared" si="1"/>
        <v>2500</v>
      </c>
      <c r="K625" s="705">
        <f t="shared" si="2"/>
        <v>1250</v>
      </c>
      <c r="L625" s="705">
        <f t="shared" si="3"/>
        <v>3750</v>
      </c>
      <c r="M625" s="706">
        <f t="shared" si="5"/>
        <v>18.75</v>
      </c>
    </row>
    <row r="626">
      <c r="A626" s="702" t="s">
        <v>33234</v>
      </c>
      <c r="B626" s="702" t="s">
        <v>16230</v>
      </c>
      <c r="C626" s="707"/>
      <c r="D626" s="707"/>
      <c r="E626" s="708" t="s">
        <v>33241</v>
      </c>
      <c r="F626" s="709">
        <v>200.0</v>
      </c>
      <c r="G626" s="708" t="s">
        <v>44</v>
      </c>
      <c r="H626" s="709">
        <v>52.0</v>
      </c>
      <c r="I626" s="709">
        <v>500.0</v>
      </c>
      <c r="J626" s="705">
        <f t="shared" si="1"/>
        <v>10900</v>
      </c>
      <c r="K626" s="705">
        <f t="shared" si="2"/>
        <v>2090</v>
      </c>
      <c r="L626" s="705">
        <f t="shared" si="3"/>
        <v>12990</v>
      </c>
      <c r="M626" s="706">
        <f t="shared" si="5"/>
        <v>64.95</v>
      </c>
    </row>
    <row r="627">
      <c r="A627" s="702" t="s">
        <v>33234</v>
      </c>
      <c r="B627" s="702" t="s">
        <v>16230</v>
      </c>
      <c r="C627" s="707"/>
      <c r="D627" s="707"/>
      <c r="E627" s="708" t="s">
        <v>3165</v>
      </c>
      <c r="F627" s="709">
        <v>200.0</v>
      </c>
      <c r="G627" s="708" t="s">
        <v>44</v>
      </c>
      <c r="H627" s="709">
        <v>102.0</v>
      </c>
      <c r="I627" s="709">
        <v>500.0</v>
      </c>
      <c r="J627" s="705">
        <f t="shared" si="1"/>
        <v>20900</v>
      </c>
      <c r="K627" s="705">
        <f t="shared" si="2"/>
        <v>3090</v>
      </c>
      <c r="L627" s="705">
        <f t="shared" si="3"/>
        <v>23990</v>
      </c>
      <c r="M627" s="706">
        <f t="shared" si="5"/>
        <v>119.95</v>
      </c>
    </row>
    <row r="628">
      <c r="A628" s="702" t="s">
        <v>33234</v>
      </c>
      <c r="B628" s="702" t="s">
        <v>16230</v>
      </c>
      <c r="C628" s="707"/>
      <c r="D628" s="707"/>
      <c r="E628" s="708" t="s">
        <v>1902</v>
      </c>
      <c r="F628" s="709">
        <v>200.0</v>
      </c>
      <c r="G628" s="708" t="s">
        <v>44</v>
      </c>
      <c r="H628" s="709">
        <v>40.0</v>
      </c>
      <c r="I628" s="709">
        <v>500.0</v>
      </c>
      <c r="J628" s="705">
        <f t="shared" si="1"/>
        <v>8500</v>
      </c>
      <c r="K628" s="705">
        <f t="shared" si="2"/>
        <v>1850</v>
      </c>
      <c r="L628" s="705">
        <f t="shared" si="3"/>
        <v>10350</v>
      </c>
      <c r="M628" s="706">
        <f t="shared" si="5"/>
        <v>51.75</v>
      </c>
    </row>
    <row r="629">
      <c r="A629" s="702" t="s">
        <v>33234</v>
      </c>
      <c r="B629" s="702" t="s">
        <v>16230</v>
      </c>
      <c r="C629" s="707"/>
      <c r="D629" s="707"/>
      <c r="E629" s="708" t="s">
        <v>2622</v>
      </c>
      <c r="F629" s="709">
        <v>500.0</v>
      </c>
      <c r="G629" s="708" t="s">
        <v>44</v>
      </c>
      <c r="H629" s="709">
        <v>22.0</v>
      </c>
      <c r="I629" s="709">
        <v>500.0</v>
      </c>
      <c r="J629" s="705">
        <f t="shared" si="1"/>
        <v>11500</v>
      </c>
      <c r="K629" s="705">
        <f t="shared" si="2"/>
        <v>2150</v>
      </c>
      <c r="L629" s="705">
        <f t="shared" si="3"/>
        <v>13650</v>
      </c>
      <c r="M629" s="706">
        <f t="shared" si="5"/>
        <v>27.3</v>
      </c>
    </row>
    <row r="630">
      <c r="A630" s="702" t="s">
        <v>33234</v>
      </c>
      <c r="B630" s="702" t="s">
        <v>16236</v>
      </c>
      <c r="C630" s="707"/>
      <c r="D630" s="707"/>
      <c r="E630" s="708" t="s">
        <v>38</v>
      </c>
      <c r="F630" s="709">
        <v>5000.0</v>
      </c>
      <c r="G630" s="708" t="s">
        <v>44</v>
      </c>
      <c r="H630" s="709">
        <v>90.0</v>
      </c>
      <c r="I630" s="709">
        <v>5000.0</v>
      </c>
      <c r="J630" s="705">
        <f t="shared" si="1"/>
        <v>455000</v>
      </c>
      <c r="K630" s="705">
        <f t="shared" si="2"/>
        <v>46500</v>
      </c>
      <c r="L630" s="705">
        <f t="shared" si="3"/>
        <v>501500</v>
      </c>
      <c r="M630" s="706">
        <f t="shared" si="5"/>
        <v>100.3</v>
      </c>
      <c r="N630" s="526" t="s">
        <v>33242</v>
      </c>
    </row>
    <row r="631">
      <c r="A631" s="702" t="s">
        <v>33234</v>
      </c>
      <c r="B631" s="702" t="s">
        <v>16239</v>
      </c>
      <c r="C631" s="707"/>
      <c r="D631" s="707"/>
      <c r="E631" s="708" t="s">
        <v>152</v>
      </c>
      <c r="F631" s="709">
        <v>1000.0</v>
      </c>
      <c r="G631" s="708" t="s">
        <v>44</v>
      </c>
      <c r="H631" s="709">
        <v>20.0</v>
      </c>
      <c r="I631" s="709">
        <v>1000.0</v>
      </c>
      <c r="J631" s="705">
        <f t="shared" si="1"/>
        <v>21000</v>
      </c>
      <c r="K631" s="705">
        <f t="shared" si="2"/>
        <v>3100</v>
      </c>
      <c r="L631" s="705">
        <f t="shared" si="3"/>
        <v>24100</v>
      </c>
      <c r="M631" s="706">
        <f t="shared" si="5"/>
        <v>24.1</v>
      </c>
    </row>
    <row r="632">
      <c r="A632" s="702" t="s">
        <v>33234</v>
      </c>
      <c r="B632" s="702" t="s">
        <v>16242</v>
      </c>
      <c r="C632" s="707"/>
      <c r="D632" s="707"/>
      <c r="E632" s="708" t="s">
        <v>1749</v>
      </c>
      <c r="F632" s="709">
        <v>50.0</v>
      </c>
      <c r="G632" s="708" t="s">
        <v>44</v>
      </c>
      <c r="H632" s="709">
        <v>52.0</v>
      </c>
      <c r="I632" s="709">
        <v>300.0</v>
      </c>
      <c r="J632" s="705">
        <f t="shared" si="1"/>
        <v>2900</v>
      </c>
      <c r="K632" s="705">
        <f t="shared" si="2"/>
        <v>1290</v>
      </c>
      <c r="L632" s="705">
        <f t="shared" si="3"/>
        <v>4190</v>
      </c>
      <c r="M632" s="706">
        <f t="shared" si="5"/>
        <v>83.8</v>
      </c>
    </row>
    <row r="633">
      <c r="A633" s="702" t="s">
        <v>33234</v>
      </c>
      <c r="B633" s="702" t="s">
        <v>16244</v>
      </c>
      <c r="C633" s="707"/>
      <c r="D633" s="707"/>
      <c r="E633" s="708" t="s">
        <v>116</v>
      </c>
      <c r="F633" s="709">
        <v>1000.0</v>
      </c>
      <c r="G633" s="708" t="s">
        <v>9359</v>
      </c>
      <c r="H633" s="709">
        <v>84.0</v>
      </c>
      <c r="I633" s="709">
        <v>1000.0</v>
      </c>
      <c r="J633" s="705">
        <f t="shared" si="1"/>
        <v>85000</v>
      </c>
      <c r="K633" s="705">
        <f t="shared" si="2"/>
        <v>9500</v>
      </c>
      <c r="L633" s="705">
        <f t="shared" si="3"/>
        <v>94500</v>
      </c>
      <c r="M633" s="706">
        <f t="shared" si="5"/>
        <v>94.5</v>
      </c>
    </row>
    <row r="634">
      <c r="A634" s="702" t="s">
        <v>33234</v>
      </c>
      <c r="B634" s="702" t="s">
        <v>16255</v>
      </c>
      <c r="C634" s="707"/>
      <c r="D634" s="707"/>
      <c r="E634" s="708" t="s">
        <v>130</v>
      </c>
      <c r="F634" s="709">
        <v>5000.0</v>
      </c>
      <c r="G634" s="708" t="s">
        <v>15041</v>
      </c>
      <c r="H634" s="709">
        <v>25.0</v>
      </c>
      <c r="I634" s="709">
        <v>5000.0</v>
      </c>
      <c r="J634" s="705">
        <f t="shared" si="1"/>
        <v>130000</v>
      </c>
      <c r="K634" s="705">
        <f t="shared" si="2"/>
        <v>14000</v>
      </c>
      <c r="L634" s="705">
        <f t="shared" si="3"/>
        <v>144000</v>
      </c>
      <c r="M634" s="706">
        <f t="shared" si="5"/>
        <v>28.8</v>
      </c>
    </row>
    <row r="635">
      <c r="A635" s="702" t="s">
        <v>33234</v>
      </c>
      <c r="B635" s="702" t="s">
        <v>16267</v>
      </c>
      <c r="C635" s="707"/>
      <c r="D635" s="707"/>
      <c r="E635" s="708" t="s">
        <v>1749</v>
      </c>
      <c r="F635" s="709">
        <v>200.0</v>
      </c>
      <c r="G635" s="708" t="s">
        <v>44</v>
      </c>
      <c r="H635" s="709">
        <v>52.0</v>
      </c>
      <c r="I635" s="709">
        <v>500.0</v>
      </c>
      <c r="J635" s="705">
        <f t="shared" si="1"/>
        <v>10900</v>
      </c>
      <c r="K635" s="705">
        <f t="shared" si="2"/>
        <v>2090</v>
      </c>
      <c r="L635" s="705">
        <f t="shared" si="3"/>
        <v>12990</v>
      </c>
      <c r="M635" s="706">
        <f t="shared" si="5"/>
        <v>64.95</v>
      </c>
    </row>
    <row r="636">
      <c r="A636" s="702" t="s">
        <v>33234</v>
      </c>
      <c r="B636" s="702" t="s">
        <v>16270</v>
      </c>
      <c r="C636" s="707"/>
      <c r="D636" s="707"/>
      <c r="E636" s="708" t="s">
        <v>3165</v>
      </c>
      <c r="F636" s="709">
        <v>100.0</v>
      </c>
      <c r="G636" s="708" t="s">
        <v>1082</v>
      </c>
      <c r="H636" s="709">
        <v>102.0</v>
      </c>
      <c r="I636" s="709">
        <v>500.0</v>
      </c>
      <c r="J636" s="705">
        <f t="shared" si="1"/>
        <v>10700</v>
      </c>
      <c r="K636" s="705">
        <f t="shared" si="2"/>
        <v>2070</v>
      </c>
      <c r="L636" s="705">
        <f t="shared" si="3"/>
        <v>12770</v>
      </c>
      <c r="M636" s="706">
        <f t="shared" si="5"/>
        <v>127.7</v>
      </c>
    </row>
    <row r="637">
      <c r="A637" s="702" t="s">
        <v>33234</v>
      </c>
      <c r="B637" s="702" t="s">
        <v>16270</v>
      </c>
      <c r="C637" s="707"/>
      <c r="D637" s="707"/>
      <c r="E637" s="708" t="s">
        <v>523</v>
      </c>
      <c r="F637" s="709">
        <v>500.0</v>
      </c>
      <c r="G637" s="708" t="s">
        <v>1082</v>
      </c>
      <c r="H637" s="709">
        <v>6.0</v>
      </c>
      <c r="I637" s="709">
        <v>500.0</v>
      </c>
      <c r="J637" s="705">
        <f t="shared" si="1"/>
        <v>3500</v>
      </c>
      <c r="K637" s="705">
        <f t="shared" si="2"/>
        <v>1350</v>
      </c>
      <c r="L637" s="705">
        <f t="shared" si="3"/>
        <v>4850</v>
      </c>
      <c r="M637" s="706">
        <f t="shared" si="5"/>
        <v>9.7</v>
      </c>
    </row>
    <row r="638">
      <c r="A638" s="702" t="s">
        <v>33234</v>
      </c>
      <c r="B638" s="702" t="s">
        <v>16270</v>
      </c>
      <c r="C638" s="707"/>
      <c r="D638" s="707"/>
      <c r="E638" s="708" t="s">
        <v>2622</v>
      </c>
      <c r="F638" s="709">
        <v>500.0</v>
      </c>
      <c r="G638" s="708" t="s">
        <v>1082</v>
      </c>
      <c r="H638" s="709">
        <v>22.0</v>
      </c>
      <c r="I638" s="709">
        <v>500.0</v>
      </c>
      <c r="J638" s="705">
        <f t="shared" si="1"/>
        <v>11500</v>
      </c>
      <c r="K638" s="705">
        <f t="shared" si="2"/>
        <v>2150</v>
      </c>
      <c r="L638" s="705">
        <f t="shared" si="3"/>
        <v>13650</v>
      </c>
      <c r="M638" s="706">
        <f t="shared" si="5"/>
        <v>27.3</v>
      </c>
    </row>
    <row r="639">
      <c r="A639" s="702" t="s">
        <v>33234</v>
      </c>
      <c r="B639" s="702" t="s">
        <v>16277</v>
      </c>
      <c r="C639" s="707"/>
      <c r="D639" s="707"/>
      <c r="E639" s="708" t="s">
        <v>167</v>
      </c>
      <c r="F639" s="709">
        <v>1000.0</v>
      </c>
      <c r="G639" s="708" t="s">
        <v>33243</v>
      </c>
      <c r="H639" s="709">
        <v>20.0</v>
      </c>
      <c r="I639" s="709">
        <v>1000.0</v>
      </c>
      <c r="J639" s="705">
        <f t="shared" si="1"/>
        <v>21000</v>
      </c>
      <c r="K639" s="705">
        <f t="shared" si="2"/>
        <v>3100</v>
      </c>
      <c r="L639" s="705">
        <f t="shared" si="3"/>
        <v>24100</v>
      </c>
      <c r="M639" s="706">
        <f t="shared" si="5"/>
        <v>24.1</v>
      </c>
    </row>
    <row r="640">
      <c r="A640" s="702" t="s">
        <v>33234</v>
      </c>
      <c r="B640" s="702" t="s">
        <v>16293</v>
      </c>
      <c r="C640" s="707"/>
      <c r="D640" s="707"/>
      <c r="E640" s="708" t="s">
        <v>9237</v>
      </c>
      <c r="F640" s="709">
        <v>100.0</v>
      </c>
      <c r="G640" s="708" t="s">
        <v>2662</v>
      </c>
      <c r="H640" s="709">
        <v>84.0</v>
      </c>
      <c r="I640" s="709">
        <v>500.0</v>
      </c>
      <c r="J640" s="705">
        <f t="shared" si="1"/>
        <v>8900</v>
      </c>
      <c r="K640" s="705">
        <f t="shared" si="2"/>
        <v>1890</v>
      </c>
      <c r="L640" s="705">
        <f t="shared" si="3"/>
        <v>10790</v>
      </c>
      <c r="M640" s="706">
        <f t="shared" si="5"/>
        <v>107.9</v>
      </c>
    </row>
    <row r="641">
      <c r="A641" s="702" t="s">
        <v>33244</v>
      </c>
      <c r="B641" s="702" t="s">
        <v>33245</v>
      </c>
      <c r="C641" s="707"/>
      <c r="D641" s="707"/>
      <c r="E641" s="708" t="s">
        <v>9434</v>
      </c>
      <c r="F641" s="709">
        <v>20000.0</v>
      </c>
      <c r="G641" s="708" t="s">
        <v>1082</v>
      </c>
      <c r="H641" s="709">
        <v>15.0</v>
      </c>
      <c r="I641" s="709"/>
      <c r="J641" s="705">
        <f t="shared" si="1"/>
        <v>300000</v>
      </c>
      <c r="K641" s="705">
        <f t="shared" si="2"/>
        <v>31000</v>
      </c>
      <c r="L641" s="705">
        <f t="shared" si="3"/>
        <v>331000</v>
      </c>
      <c r="M641" s="706">
        <f t="shared" si="5"/>
        <v>16.55</v>
      </c>
    </row>
    <row r="642">
      <c r="A642" s="702" t="s">
        <v>33244</v>
      </c>
      <c r="B642" s="702" t="s">
        <v>16249</v>
      </c>
      <c r="C642" s="707"/>
      <c r="D642" s="707"/>
      <c r="E642" s="708" t="s">
        <v>9050</v>
      </c>
      <c r="F642" s="709">
        <v>500.0</v>
      </c>
      <c r="G642" s="708" t="s">
        <v>495</v>
      </c>
      <c r="H642" s="709">
        <v>590.0</v>
      </c>
      <c r="I642" s="709">
        <v>500.0</v>
      </c>
      <c r="J642" s="705">
        <f t="shared" si="1"/>
        <v>295500</v>
      </c>
      <c r="K642" s="705">
        <f t="shared" si="2"/>
        <v>30550</v>
      </c>
      <c r="L642" s="705">
        <f t="shared" si="3"/>
        <v>326050</v>
      </c>
      <c r="M642" s="706">
        <f t="shared" si="5"/>
        <v>652.1</v>
      </c>
      <c r="N642" s="526" t="s">
        <v>33246</v>
      </c>
    </row>
    <row r="643">
      <c r="A643" s="702" t="s">
        <v>33244</v>
      </c>
      <c r="B643" s="702" t="s">
        <v>16252</v>
      </c>
      <c r="C643" s="707"/>
      <c r="D643" s="707"/>
      <c r="E643" s="708" t="s">
        <v>10433</v>
      </c>
      <c r="F643" s="709">
        <v>50.0</v>
      </c>
      <c r="G643" s="708" t="s">
        <v>44</v>
      </c>
      <c r="H643" s="709">
        <v>100.0</v>
      </c>
      <c r="I643" s="709">
        <v>500.0</v>
      </c>
      <c r="J643" s="705">
        <f t="shared" si="1"/>
        <v>5500</v>
      </c>
      <c r="K643" s="705">
        <f t="shared" si="2"/>
        <v>1550</v>
      </c>
      <c r="L643" s="705">
        <f t="shared" si="3"/>
        <v>7050</v>
      </c>
      <c r="M643" s="706">
        <f t="shared" si="5"/>
        <v>141</v>
      </c>
      <c r="N643" s="526" t="s">
        <v>33157</v>
      </c>
    </row>
    <row r="644">
      <c r="A644" s="702" t="s">
        <v>33247</v>
      </c>
      <c r="B644" s="702" t="s">
        <v>16327</v>
      </c>
      <c r="C644" s="707"/>
      <c r="D644" s="707"/>
      <c r="E644" s="708" t="s">
        <v>7897</v>
      </c>
      <c r="F644" s="709">
        <v>20000.0</v>
      </c>
      <c r="G644" s="708" t="s">
        <v>131</v>
      </c>
      <c r="H644" s="709">
        <v>20.0</v>
      </c>
      <c r="I644" s="709"/>
      <c r="J644" s="705">
        <f t="shared" si="1"/>
        <v>400000</v>
      </c>
      <c r="K644" s="705">
        <f t="shared" si="2"/>
        <v>41000</v>
      </c>
      <c r="L644" s="705">
        <f t="shared" si="3"/>
        <v>441000</v>
      </c>
      <c r="M644" s="706">
        <f t="shared" si="5"/>
        <v>22.05</v>
      </c>
    </row>
    <row r="645">
      <c r="A645" s="702" t="s">
        <v>33247</v>
      </c>
      <c r="B645" s="702" t="s">
        <v>16333</v>
      </c>
      <c r="C645" s="707"/>
      <c r="D645" s="707"/>
      <c r="E645" s="708" t="s">
        <v>33248</v>
      </c>
      <c r="F645" s="709">
        <v>4000.0</v>
      </c>
      <c r="G645" s="708" t="s">
        <v>1461</v>
      </c>
      <c r="H645" s="709">
        <v>17.0</v>
      </c>
      <c r="I645" s="709">
        <v>4000.0</v>
      </c>
      <c r="J645" s="705">
        <f t="shared" si="1"/>
        <v>72000</v>
      </c>
      <c r="K645" s="705">
        <f t="shared" si="2"/>
        <v>8200</v>
      </c>
      <c r="L645" s="705">
        <f t="shared" si="3"/>
        <v>80200</v>
      </c>
      <c r="M645" s="706">
        <f t="shared" si="5"/>
        <v>20.05</v>
      </c>
    </row>
    <row r="646">
      <c r="A646" s="702" t="s">
        <v>33249</v>
      </c>
      <c r="B646" s="702" t="s">
        <v>16367</v>
      </c>
      <c r="C646" s="707"/>
      <c r="D646" s="707"/>
      <c r="E646" s="708" t="s">
        <v>16369</v>
      </c>
      <c r="F646" s="709">
        <v>10000.0</v>
      </c>
      <c r="G646" s="708" t="s">
        <v>44</v>
      </c>
      <c r="H646" s="709">
        <v>120.0</v>
      </c>
      <c r="I646" s="709">
        <v>0.0</v>
      </c>
      <c r="J646" s="705">
        <f t="shared" si="1"/>
        <v>1200000</v>
      </c>
      <c r="K646" s="705">
        <f t="shared" si="2"/>
        <v>121000</v>
      </c>
      <c r="L646" s="705">
        <f t="shared" si="3"/>
        <v>1321000</v>
      </c>
      <c r="M646" s="706">
        <f t="shared" si="5"/>
        <v>132.1</v>
      </c>
      <c r="N646" s="526" t="s">
        <v>33250</v>
      </c>
    </row>
    <row r="647">
      <c r="A647" s="702" t="s">
        <v>33249</v>
      </c>
      <c r="B647" s="702" t="s">
        <v>16374</v>
      </c>
      <c r="C647" s="707"/>
      <c r="D647" s="707"/>
      <c r="E647" s="708" t="s">
        <v>7897</v>
      </c>
      <c r="F647" s="709">
        <v>20000.0</v>
      </c>
      <c r="G647" s="708" t="s">
        <v>33251</v>
      </c>
      <c r="H647" s="709">
        <v>17.0</v>
      </c>
      <c r="I647" s="705"/>
      <c r="J647" s="705">
        <f t="shared" si="1"/>
        <v>340000</v>
      </c>
      <c r="K647" s="705">
        <f t="shared" si="2"/>
        <v>35000</v>
      </c>
      <c r="L647" s="705">
        <f t="shared" si="3"/>
        <v>375000</v>
      </c>
      <c r="M647" s="706">
        <f t="shared" si="5"/>
        <v>18.75</v>
      </c>
    </row>
    <row r="648">
      <c r="A648" s="702" t="s">
        <v>33249</v>
      </c>
      <c r="B648" s="702" t="s">
        <v>16378</v>
      </c>
      <c r="C648" s="707"/>
      <c r="D648" s="707"/>
      <c r="E648" s="708" t="s">
        <v>116</v>
      </c>
      <c r="F648" s="709">
        <v>200.0</v>
      </c>
      <c r="G648" s="708" t="s">
        <v>7280</v>
      </c>
      <c r="H648" s="709">
        <v>84.0</v>
      </c>
      <c r="I648" s="709">
        <v>500.0</v>
      </c>
      <c r="J648" s="705">
        <f t="shared" si="1"/>
        <v>17300</v>
      </c>
      <c r="K648" s="705">
        <f t="shared" si="2"/>
        <v>2730</v>
      </c>
      <c r="L648" s="705">
        <f t="shared" si="3"/>
        <v>20030</v>
      </c>
      <c r="M648" s="706">
        <f t="shared" si="5"/>
        <v>100.15</v>
      </c>
    </row>
    <row r="649">
      <c r="A649" s="702" t="s">
        <v>33249</v>
      </c>
      <c r="B649" s="702" t="s">
        <v>16354</v>
      </c>
      <c r="C649" s="707"/>
      <c r="D649" s="707"/>
      <c r="E649" s="708" t="s">
        <v>16165</v>
      </c>
      <c r="F649" s="709">
        <v>200.0</v>
      </c>
      <c r="G649" s="708" t="s">
        <v>44</v>
      </c>
      <c r="H649" s="709">
        <v>220.0</v>
      </c>
      <c r="I649" s="705"/>
      <c r="J649" s="705">
        <f t="shared" si="1"/>
        <v>44000</v>
      </c>
      <c r="K649" s="705">
        <f t="shared" si="2"/>
        <v>5400</v>
      </c>
      <c r="L649" s="705">
        <f t="shared" si="3"/>
        <v>49400</v>
      </c>
      <c r="M649" s="706">
        <f t="shared" si="5"/>
        <v>247</v>
      </c>
      <c r="N649" s="526" t="s">
        <v>32638</v>
      </c>
    </row>
    <row r="650">
      <c r="A650" s="702" t="s">
        <v>33249</v>
      </c>
      <c r="B650" s="702" t="s">
        <v>16339</v>
      </c>
      <c r="C650" s="707"/>
      <c r="D650" s="707"/>
      <c r="E650" s="708" t="s">
        <v>33252</v>
      </c>
      <c r="F650" s="709">
        <v>2000.0</v>
      </c>
      <c r="G650" s="708" t="s">
        <v>49</v>
      </c>
      <c r="H650" s="709">
        <v>5.0</v>
      </c>
      <c r="I650" s="709">
        <v>2000.0</v>
      </c>
      <c r="J650" s="705">
        <f t="shared" si="1"/>
        <v>12000</v>
      </c>
      <c r="K650" s="705">
        <f t="shared" si="2"/>
        <v>2200</v>
      </c>
      <c r="L650" s="705">
        <f t="shared" si="3"/>
        <v>14200</v>
      </c>
      <c r="M650" s="706">
        <f t="shared" si="5"/>
        <v>7.1</v>
      </c>
    </row>
    <row r="651">
      <c r="A651" s="702" t="s">
        <v>33253</v>
      </c>
      <c r="B651" s="702" t="s">
        <v>16428</v>
      </c>
      <c r="C651" s="707"/>
      <c r="D651" s="707"/>
      <c r="E651" s="708" t="s">
        <v>1230</v>
      </c>
      <c r="F651" s="709">
        <v>80000.0</v>
      </c>
      <c r="G651" s="708" t="s">
        <v>33254</v>
      </c>
      <c r="H651" s="709">
        <v>5.0</v>
      </c>
      <c r="I651" s="705"/>
      <c r="J651" s="705">
        <f t="shared" si="1"/>
        <v>400000</v>
      </c>
      <c r="K651" s="705">
        <f t="shared" si="2"/>
        <v>41000</v>
      </c>
      <c r="L651" s="705">
        <f t="shared" si="3"/>
        <v>441000</v>
      </c>
      <c r="M651" s="706">
        <f t="shared" si="5"/>
        <v>5.5125</v>
      </c>
    </row>
    <row r="652">
      <c r="A652" s="702" t="s">
        <v>33253</v>
      </c>
      <c r="B652" s="702" t="s">
        <v>16428</v>
      </c>
      <c r="C652" s="707"/>
      <c r="D652" s="707"/>
      <c r="E652" s="708" t="s">
        <v>523</v>
      </c>
      <c r="F652" s="709">
        <v>1000.0</v>
      </c>
      <c r="G652" s="708" t="s">
        <v>33254</v>
      </c>
      <c r="H652" s="709">
        <v>6.0</v>
      </c>
      <c r="I652" s="705"/>
      <c r="J652" s="705">
        <f t="shared" si="1"/>
        <v>6000</v>
      </c>
      <c r="K652" s="705">
        <f t="shared" si="2"/>
        <v>1600</v>
      </c>
      <c r="L652" s="705">
        <f t="shared" si="3"/>
        <v>7600</v>
      </c>
      <c r="M652" s="706">
        <f t="shared" si="5"/>
        <v>7.6</v>
      </c>
    </row>
    <row r="653">
      <c r="A653" s="702" t="s">
        <v>33253</v>
      </c>
      <c r="B653" s="702" t="s">
        <v>16392</v>
      </c>
      <c r="C653" s="707"/>
      <c r="D653" s="707"/>
      <c r="E653" s="708" t="s">
        <v>1749</v>
      </c>
      <c r="F653" s="709">
        <v>50.0</v>
      </c>
      <c r="G653" s="708" t="s">
        <v>3167</v>
      </c>
      <c r="H653" s="709">
        <v>52.0</v>
      </c>
      <c r="I653" s="709">
        <v>300.0</v>
      </c>
      <c r="J653" s="705">
        <f t="shared" si="1"/>
        <v>2900</v>
      </c>
      <c r="K653" s="705">
        <f t="shared" si="2"/>
        <v>1290</v>
      </c>
      <c r="L653" s="705">
        <f t="shared" si="3"/>
        <v>4190</v>
      </c>
      <c r="M653" s="706">
        <f t="shared" si="5"/>
        <v>83.8</v>
      </c>
    </row>
    <row r="654">
      <c r="A654" s="702" t="s">
        <v>33253</v>
      </c>
      <c r="B654" s="702" t="s">
        <v>16396</v>
      </c>
      <c r="C654" s="707"/>
      <c r="D654" s="707"/>
      <c r="E654" s="708" t="s">
        <v>152</v>
      </c>
      <c r="F654" s="709">
        <v>200.0</v>
      </c>
      <c r="G654" s="708" t="s">
        <v>44</v>
      </c>
      <c r="H654" s="709">
        <v>17.0</v>
      </c>
      <c r="I654" s="709">
        <v>500.0</v>
      </c>
      <c r="J654" s="705">
        <f t="shared" si="1"/>
        <v>3900</v>
      </c>
      <c r="K654" s="705">
        <f t="shared" si="2"/>
        <v>1390</v>
      </c>
      <c r="L654" s="705">
        <f t="shared" si="3"/>
        <v>5290</v>
      </c>
      <c r="M654" s="706">
        <f t="shared" si="5"/>
        <v>26.45</v>
      </c>
    </row>
    <row r="655">
      <c r="A655" s="702" t="s">
        <v>33253</v>
      </c>
      <c r="B655" s="702" t="s">
        <v>16405</v>
      </c>
      <c r="C655" s="707"/>
      <c r="D655" s="707"/>
      <c r="E655" s="708" t="s">
        <v>9187</v>
      </c>
      <c r="F655" s="709">
        <v>500.0</v>
      </c>
      <c r="G655" s="708" t="s">
        <v>44</v>
      </c>
      <c r="H655" s="709">
        <v>5.0</v>
      </c>
      <c r="I655" s="709">
        <v>500.0</v>
      </c>
      <c r="J655" s="705">
        <f t="shared" si="1"/>
        <v>3000</v>
      </c>
      <c r="K655" s="705">
        <f t="shared" si="2"/>
        <v>1300</v>
      </c>
      <c r="L655" s="705">
        <f t="shared" si="3"/>
        <v>4300</v>
      </c>
      <c r="M655" s="706">
        <f t="shared" si="5"/>
        <v>8.6</v>
      </c>
    </row>
    <row r="656">
      <c r="A656" s="702" t="s">
        <v>33253</v>
      </c>
      <c r="B656" s="702" t="s">
        <v>16409</v>
      </c>
      <c r="C656" s="707"/>
      <c r="D656" s="707"/>
      <c r="E656" s="708" t="s">
        <v>116</v>
      </c>
      <c r="F656" s="709">
        <v>30000.0</v>
      </c>
      <c r="G656" s="708" t="s">
        <v>9094</v>
      </c>
      <c r="H656" s="709">
        <v>84.0</v>
      </c>
      <c r="I656" s="705"/>
      <c r="J656" s="705">
        <f t="shared" si="1"/>
        <v>2520000</v>
      </c>
      <c r="K656" s="705">
        <f t="shared" si="2"/>
        <v>253000</v>
      </c>
      <c r="L656" s="705">
        <f t="shared" si="3"/>
        <v>2773000</v>
      </c>
      <c r="M656" s="706">
        <f t="shared" si="5"/>
        <v>92.43333333</v>
      </c>
    </row>
    <row r="657">
      <c r="A657" s="702" t="s">
        <v>33253</v>
      </c>
      <c r="B657" s="702" t="s">
        <v>16416</v>
      </c>
      <c r="C657" s="707"/>
      <c r="D657" s="707"/>
      <c r="E657" s="708" t="s">
        <v>3165</v>
      </c>
      <c r="F657" s="709">
        <v>100.0</v>
      </c>
      <c r="G657" s="708" t="s">
        <v>191</v>
      </c>
      <c r="H657" s="709">
        <v>102.0</v>
      </c>
      <c r="I657" s="709">
        <v>500.0</v>
      </c>
      <c r="J657" s="705">
        <f t="shared" si="1"/>
        <v>10700</v>
      </c>
      <c r="K657" s="705">
        <f t="shared" si="2"/>
        <v>2070</v>
      </c>
      <c r="L657" s="705">
        <f t="shared" si="3"/>
        <v>12770</v>
      </c>
      <c r="M657" s="706">
        <f t="shared" si="5"/>
        <v>127.7</v>
      </c>
    </row>
    <row r="658">
      <c r="A658" s="702" t="s">
        <v>33253</v>
      </c>
      <c r="B658" s="702" t="s">
        <v>16420</v>
      </c>
      <c r="C658" s="707"/>
      <c r="D658" s="707"/>
      <c r="E658" s="702" t="s">
        <v>9050</v>
      </c>
      <c r="F658" s="709">
        <v>3000.0</v>
      </c>
      <c r="G658" s="708" t="s">
        <v>44</v>
      </c>
      <c r="H658" s="709">
        <v>590.0</v>
      </c>
      <c r="I658" s="709">
        <v>3000.0</v>
      </c>
      <c r="J658" s="705">
        <f t="shared" si="1"/>
        <v>1773000</v>
      </c>
      <c r="K658" s="705">
        <f t="shared" si="2"/>
        <v>178300</v>
      </c>
      <c r="L658" s="705">
        <f t="shared" si="3"/>
        <v>1951300</v>
      </c>
      <c r="M658" s="706">
        <f t="shared" si="5"/>
        <v>650.4333333</v>
      </c>
      <c r="N658" s="526" t="s">
        <v>33255</v>
      </c>
    </row>
    <row r="659">
      <c r="A659" s="702" t="s">
        <v>33253</v>
      </c>
      <c r="B659" s="702" t="s">
        <v>16423</v>
      </c>
      <c r="C659" s="707"/>
      <c r="D659" s="707"/>
      <c r="E659" s="702" t="s">
        <v>16425</v>
      </c>
      <c r="F659" s="709">
        <v>500.0</v>
      </c>
      <c r="G659" s="720" t="s">
        <v>16426</v>
      </c>
      <c r="H659" s="709">
        <v>100.0</v>
      </c>
      <c r="I659" s="709">
        <v>500.0</v>
      </c>
      <c r="J659" s="705">
        <f t="shared" si="1"/>
        <v>50500</v>
      </c>
      <c r="K659" s="705">
        <f t="shared" si="2"/>
        <v>6050</v>
      </c>
      <c r="L659" s="705">
        <f t="shared" si="3"/>
        <v>56550</v>
      </c>
      <c r="M659" s="706">
        <f t="shared" si="5"/>
        <v>113.1</v>
      </c>
      <c r="N659" s="526" t="s">
        <v>33256</v>
      </c>
    </row>
    <row r="660">
      <c r="A660" s="702" t="s">
        <v>33257</v>
      </c>
      <c r="B660" s="702" t="s">
        <v>16456</v>
      </c>
      <c r="C660" s="707"/>
      <c r="D660" s="707"/>
      <c r="E660" s="708" t="s">
        <v>16165</v>
      </c>
      <c r="F660" s="709">
        <v>100.0</v>
      </c>
      <c r="G660" s="708" t="s">
        <v>638</v>
      </c>
      <c r="H660" s="709">
        <v>220.0</v>
      </c>
      <c r="I660" s="709">
        <v>500.0</v>
      </c>
      <c r="J660" s="705">
        <f t="shared" si="1"/>
        <v>22500</v>
      </c>
      <c r="K660" s="705">
        <f t="shared" si="2"/>
        <v>3250</v>
      </c>
      <c r="L660" s="705">
        <f t="shared" si="3"/>
        <v>25750</v>
      </c>
      <c r="M660" s="706">
        <f t="shared" si="5"/>
        <v>257.5</v>
      </c>
      <c r="N660" s="526" t="s">
        <v>33258</v>
      </c>
    </row>
    <row r="661">
      <c r="A661" s="702" t="s">
        <v>33257</v>
      </c>
      <c r="B661" s="702" t="s">
        <v>16464</v>
      </c>
      <c r="C661" s="707"/>
      <c r="D661" s="707"/>
      <c r="E661" s="708" t="s">
        <v>130</v>
      </c>
      <c r="F661" s="709">
        <v>1000.0</v>
      </c>
      <c r="G661" s="708" t="s">
        <v>44</v>
      </c>
      <c r="H661" s="709">
        <v>25.0</v>
      </c>
      <c r="I661" s="709">
        <v>1000.0</v>
      </c>
      <c r="J661" s="705">
        <f t="shared" si="1"/>
        <v>26000</v>
      </c>
      <c r="K661" s="705">
        <f t="shared" si="2"/>
        <v>3600</v>
      </c>
      <c r="L661" s="705">
        <f t="shared" si="3"/>
        <v>29600</v>
      </c>
      <c r="M661" s="706">
        <f t="shared" si="5"/>
        <v>29.6</v>
      </c>
    </row>
    <row r="662">
      <c r="A662" s="702" t="s">
        <v>33257</v>
      </c>
      <c r="B662" s="702" t="s">
        <v>16439</v>
      </c>
      <c r="C662" s="707"/>
      <c r="D662" s="707"/>
      <c r="E662" s="708" t="s">
        <v>116</v>
      </c>
      <c r="F662" s="709">
        <v>100.0</v>
      </c>
      <c r="G662" s="708" t="s">
        <v>2662</v>
      </c>
      <c r="H662" s="709">
        <v>84.0</v>
      </c>
      <c r="I662" s="709">
        <v>500.0</v>
      </c>
      <c r="J662" s="705">
        <f t="shared" si="1"/>
        <v>8900</v>
      </c>
      <c r="K662" s="705">
        <f t="shared" si="2"/>
        <v>1890</v>
      </c>
      <c r="L662" s="705">
        <f t="shared" si="3"/>
        <v>10790</v>
      </c>
      <c r="M662" s="706">
        <f t="shared" si="5"/>
        <v>107.9</v>
      </c>
    </row>
    <row r="663">
      <c r="A663" s="702" t="s">
        <v>33257</v>
      </c>
      <c r="B663" s="702" t="s">
        <v>16445</v>
      </c>
      <c r="C663" s="707"/>
      <c r="D663" s="707"/>
      <c r="E663" s="708" t="s">
        <v>207</v>
      </c>
      <c r="F663" s="709">
        <v>3000.0</v>
      </c>
      <c r="G663" s="708" t="s">
        <v>1082</v>
      </c>
      <c r="H663" s="709">
        <v>9.5</v>
      </c>
      <c r="I663" s="709">
        <v>3000.0</v>
      </c>
      <c r="J663" s="705">
        <f t="shared" si="1"/>
        <v>31500</v>
      </c>
      <c r="K663" s="705">
        <f t="shared" si="2"/>
        <v>4150</v>
      </c>
      <c r="L663" s="705">
        <f t="shared" si="3"/>
        <v>35650</v>
      </c>
      <c r="M663" s="706">
        <f t="shared" si="5"/>
        <v>11.88333333</v>
      </c>
      <c r="N663" s="526" t="s">
        <v>33259</v>
      </c>
    </row>
    <row r="664">
      <c r="A664" s="702" t="s">
        <v>33257</v>
      </c>
      <c r="B664" s="702" t="s">
        <v>16450</v>
      </c>
      <c r="C664" s="707"/>
      <c r="D664" s="707"/>
      <c r="E664" s="708" t="s">
        <v>3073</v>
      </c>
      <c r="F664" s="709">
        <v>100.0</v>
      </c>
      <c r="G664" s="708" t="s">
        <v>495</v>
      </c>
      <c r="H664" s="709">
        <v>240.0</v>
      </c>
      <c r="I664" s="709">
        <v>500.0</v>
      </c>
      <c r="J664" s="705">
        <f t="shared" si="1"/>
        <v>24500</v>
      </c>
      <c r="K664" s="705">
        <f t="shared" si="2"/>
        <v>3450</v>
      </c>
      <c r="L664" s="705">
        <f t="shared" si="3"/>
        <v>27950</v>
      </c>
      <c r="M664" s="706">
        <f t="shared" si="5"/>
        <v>279.5</v>
      </c>
      <c r="N664" s="526" t="s">
        <v>33260</v>
      </c>
    </row>
    <row r="665">
      <c r="A665" s="702" t="s">
        <v>33257</v>
      </c>
      <c r="B665" s="702" t="s">
        <v>16470</v>
      </c>
      <c r="C665" s="707"/>
      <c r="D665" s="707"/>
      <c r="E665" s="708" t="s">
        <v>523</v>
      </c>
      <c r="F665" s="709">
        <v>300.0</v>
      </c>
      <c r="G665" s="708" t="s">
        <v>1082</v>
      </c>
      <c r="H665" s="709">
        <v>6.0</v>
      </c>
      <c r="I665" s="705"/>
      <c r="J665" s="705">
        <f t="shared" si="1"/>
        <v>1800</v>
      </c>
      <c r="K665" s="705">
        <f t="shared" si="2"/>
        <v>1180</v>
      </c>
      <c r="L665" s="705">
        <f t="shared" si="3"/>
        <v>2980</v>
      </c>
      <c r="M665" s="706">
        <f t="shared" si="5"/>
        <v>9.933333333</v>
      </c>
    </row>
    <row r="666">
      <c r="A666" s="702" t="s">
        <v>33257</v>
      </c>
      <c r="B666" s="702" t="s">
        <v>16470</v>
      </c>
      <c r="C666" s="707"/>
      <c r="D666" s="707"/>
      <c r="E666" s="708" t="s">
        <v>3165</v>
      </c>
      <c r="F666" s="709">
        <v>200.0</v>
      </c>
      <c r="G666" s="708" t="s">
        <v>1082</v>
      </c>
      <c r="H666" s="709">
        <v>102.0</v>
      </c>
      <c r="I666" s="705"/>
      <c r="J666" s="705">
        <f t="shared" si="1"/>
        <v>20400</v>
      </c>
      <c r="K666" s="705">
        <f t="shared" si="2"/>
        <v>3040</v>
      </c>
      <c r="L666" s="705">
        <f t="shared" si="3"/>
        <v>23440</v>
      </c>
      <c r="M666" s="706">
        <f t="shared" si="5"/>
        <v>117.2</v>
      </c>
    </row>
    <row r="667">
      <c r="A667" s="702" t="s">
        <v>33257</v>
      </c>
      <c r="B667" s="702" t="s">
        <v>16470</v>
      </c>
      <c r="C667" s="707"/>
      <c r="D667" s="707"/>
      <c r="E667" s="708" t="s">
        <v>501</v>
      </c>
      <c r="F667" s="709">
        <v>300.0</v>
      </c>
      <c r="G667" s="708" t="s">
        <v>1082</v>
      </c>
      <c r="H667" s="709">
        <v>10.0</v>
      </c>
      <c r="I667" s="705"/>
      <c r="J667" s="705">
        <f t="shared" si="1"/>
        <v>3000</v>
      </c>
      <c r="K667" s="705">
        <f t="shared" si="2"/>
        <v>1300</v>
      </c>
      <c r="L667" s="705">
        <f t="shared" si="3"/>
        <v>4300</v>
      </c>
      <c r="M667" s="706">
        <f t="shared" si="5"/>
        <v>14.33333333</v>
      </c>
    </row>
    <row r="668">
      <c r="A668" s="702" t="s">
        <v>33257</v>
      </c>
      <c r="B668" s="702" t="s">
        <v>16470</v>
      </c>
      <c r="C668" s="707"/>
      <c r="D668" s="707"/>
      <c r="E668" s="708" t="s">
        <v>1749</v>
      </c>
      <c r="F668" s="709">
        <v>300.0</v>
      </c>
      <c r="G668" s="708" t="s">
        <v>44</v>
      </c>
      <c r="H668" s="709">
        <v>52.0</v>
      </c>
      <c r="I668" s="705"/>
      <c r="J668" s="705">
        <f t="shared" si="1"/>
        <v>15600</v>
      </c>
      <c r="K668" s="705">
        <f t="shared" si="2"/>
        <v>2560</v>
      </c>
      <c r="L668" s="705">
        <f t="shared" si="3"/>
        <v>18160</v>
      </c>
      <c r="M668" s="706">
        <f t="shared" si="5"/>
        <v>60.53333333</v>
      </c>
    </row>
    <row r="669">
      <c r="A669" s="702" t="s">
        <v>33257</v>
      </c>
      <c r="B669" s="702" t="s">
        <v>16477</v>
      </c>
      <c r="C669" s="707"/>
      <c r="D669" s="707"/>
      <c r="E669" s="708" t="s">
        <v>1717</v>
      </c>
      <c r="F669" s="709">
        <v>100.0</v>
      </c>
      <c r="G669" s="708" t="s">
        <v>472</v>
      </c>
      <c r="H669" s="709">
        <v>35.0</v>
      </c>
      <c r="I669" s="709">
        <v>500.0</v>
      </c>
      <c r="J669" s="705">
        <f t="shared" si="1"/>
        <v>4000</v>
      </c>
      <c r="K669" s="705">
        <f t="shared" si="2"/>
        <v>1400</v>
      </c>
      <c r="L669" s="705">
        <f t="shared" si="3"/>
        <v>5400</v>
      </c>
      <c r="M669" s="706">
        <f t="shared" si="5"/>
        <v>54</v>
      </c>
      <c r="N669" s="526" t="s">
        <v>33261</v>
      </c>
    </row>
    <row r="670">
      <c r="A670" s="702" t="s">
        <v>33262</v>
      </c>
      <c r="B670" s="702" t="s">
        <v>16481</v>
      </c>
      <c r="C670" s="707"/>
      <c r="D670" s="707"/>
      <c r="E670" s="708" t="s">
        <v>77</v>
      </c>
      <c r="F670" s="709">
        <v>20000.0</v>
      </c>
      <c r="G670" s="708" t="s">
        <v>44</v>
      </c>
      <c r="H670" s="709">
        <v>6.0</v>
      </c>
      <c r="I670" s="705"/>
      <c r="J670" s="705">
        <f t="shared" si="1"/>
        <v>120000</v>
      </c>
      <c r="K670" s="705">
        <f t="shared" si="2"/>
        <v>13000</v>
      </c>
      <c r="L670" s="705">
        <f t="shared" si="3"/>
        <v>133000</v>
      </c>
      <c r="M670" s="706">
        <f t="shared" si="5"/>
        <v>6.65</v>
      </c>
      <c r="N670" s="526" t="s">
        <v>33263</v>
      </c>
    </row>
    <row r="671">
      <c r="A671" s="702" t="s">
        <v>33262</v>
      </c>
      <c r="B671" s="702" t="s">
        <v>16531</v>
      </c>
      <c r="C671" s="707"/>
      <c r="D671" s="707"/>
      <c r="E671" s="708" t="s">
        <v>267</v>
      </c>
      <c r="F671" s="709">
        <v>1000.0</v>
      </c>
      <c r="G671" s="708" t="s">
        <v>44</v>
      </c>
      <c r="H671" s="709">
        <v>5.0</v>
      </c>
      <c r="I671" s="709">
        <v>500.0</v>
      </c>
      <c r="J671" s="705">
        <f t="shared" si="1"/>
        <v>5500</v>
      </c>
      <c r="K671" s="705">
        <f t="shared" si="2"/>
        <v>1550</v>
      </c>
      <c r="L671" s="705">
        <f t="shared" si="3"/>
        <v>7050</v>
      </c>
      <c r="M671" s="706">
        <f t="shared" si="5"/>
        <v>7.05</v>
      </c>
      <c r="N671" s="526" t="s">
        <v>33264</v>
      </c>
    </row>
    <row r="672">
      <c r="A672" s="702" t="s">
        <v>33262</v>
      </c>
      <c r="B672" s="702" t="s">
        <v>16487</v>
      </c>
      <c r="C672" s="707"/>
      <c r="D672" s="707"/>
      <c r="E672" s="708" t="s">
        <v>167</v>
      </c>
      <c r="F672" s="709">
        <v>1000.0</v>
      </c>
      <c r="G672" s="708" t="s">
        <v>2682</v>
      </c>
      <c r="H672" s="709">
        <v>20.0</v>
      </c>
      <c r="I672" s="709">
        <v>1000.0</v>
      </c>
      <c r="J672" s="705">
        <f t="shared" si="1"/>
        <v>21000</v>
      </c>
      <c r="K672" s="705">
        <f t="shared" si="2"/>
        <v>3100</v>
      </c>
      <c r="L672" s="705">
        <f t="shared" si="3"/>
        <v>24100</v>
      </c>
      <c r="M672" s="706">
        <f t="shared" si="5"/>
        <v>24.1</v>
      </c>
      <c r="N672" s="526" t="s">
        <v>33265</v>
      </c>
    </row>
    <row r="673">
      <c r="A673" s="702" t="s">
        <v>33262</v>
      </c>
      <c r="B673" s="702" t="s">
        <v>16494</v>
      </c>
      <c r="C673" s="707"/>
      <c r="D673" s="707"/>
      <c r="E673" s="702" t="s">
        <v>167</v>
      </c>
      <c r="F673" s="709">
        <v>500.0</v>
      </c>
      <c r="G673" s="708" t="s">
        <v>29030</v>
      </c>
      <c r="H673" s="709">
        <v>20.0</v>
      </c>
      <c r="I673" s="709">
        <v>500.0</v>
      </c>
      <c r="J673" s="705">
        <f t="shared" si="1"/>
        <v>10500</v>
      </c>
      <c r="K673" s="705">
        <f t="shared" si="2"/>
        <v>2050</v>
      </c>
      <c r="L673" s="705">
        <f t="shared" si="3"/>
        <v>12550</v>
      </c>
      <c r="M673" s="706">
        <f t="shared" si="5"/>
        <v>25.1</v>
      </c>
      <c r="N673" s="526" t="s">
        <v>33266</v>
      </c>
    </row>
    <row r="674">
      <c r="A674" s="702" t="s">
        <v>33262</v>
      </c>
      <c r="B674" s="719" t="s">
        <v>16502</v>
      </c>
      <c r="C674" s="707"/>
      <c r="D674" s="707"/>
      <c r="E674" s="708" t="s">
        <v>3165</v>
      </c>
      <c r="F674" s="709">
        <v>200.0</v>
      </c>
      <c r="G674" s="708" t="s">
        <v>20765</v>
      </c>
      <c r="H674" s="721">
        <v>102.0</v>
      </c>
      <c r="I674" s="709">
        <v>500.0</v>
      </c>
      <c r="J674" s="705">
        <f t="shared" si="1"/>
        <v>20900</v>
      </c>
      <c r="K674" s="705">
        <f t="shared" si="2"/>
        <v>3090</v>
      </c>
      <c r="L674" s="705">
        <f t="shared" si="3"/>
        <v>23990</v>
      </c>
      <c r="M674" s="706">
        <f t="shared" si="5"/>
        <v>119.95</v>
      </c>
    </row>
    <row r="675">
      <c r="A675" s="702" t="s">
        <v>33262</v>
      </c>
      <c r="B675" s="719" t="s">
        <v>16502</v>
      </c>
      <c r="C675" s="707"/>
      <c r="D675" s="707"/>
      <c r="E675" s="98" t="s">
        <v>1749</v>
      </c>
      <c r="F675" s="709">
        <v>300.0</v>
      </c>
      <c r="G675" s="708" t="s">
        <v>20765</v>
      </c>
      <c r="H675" s="709">
        <v>52.0</v>
      </c>
      <c r="I675" s="709">
        <v>500.0</v>
      </c>
      <c r="J675" s="705">
        <f t="shared" si="1"/>
        <v>16100</v>
      </c>
      <c r="K675" s="705">
        <f t="shared" si="2"/>
        <v>2610</v>
      </c>
      <c r="L675" s="705">
        <f t="shared" si="3"/>
        <v>18710</v>
      </c>
      <c r="M675" s="706">
        <f t="shared" si="5"/>
        <v>62.36666667</v>
      </c>
    </row>
    <row r="676">
      <c r="A676" s="702" t="s">
        <v>33262</v>
      </c>
      <c r="B676" s="702" t="s">
        <v>16522</v>
      </c>
      <c r="C676" s="707"/>
      <c r="D676" s="707"/>
      <c r="E676" s="708" t="s">
        <v>794</v>
      </c>
      <c r="F676" s="709">
        <v>15000.0</v>
      </c>
      <c r="G676" s="708" t="s">
        <v>44</v>
      </c>
      <c r="H676" s="709">
        <v>5.0</v>
      </c>
      <c r="I676" s="705"/>
      <c r="J676" s="705">
        <f t="shared" si="1"/>
        <v>75000</v>
      </c>
      <c r="K676" s="705">
        <f t="shared" si="2"/>
        <v>8500</v>
      </c>
      <c r="L676" s="705">
        <f t="shared" si="3"/>
        <v>83500</v>
      </c>
      <c r="M676" s="706">
        <f t="shared" si="5"/>
        <v>5.566666667</v>
      </c>
    </row>
    <row r="677">
      <c r="A677" s="702" t="s">
        <v>33262</v>
      </c>
      <c r="B677" s="702" t="s">
        <v>16525</v>
      </c>
      <c r="C677" s="707"/>
      <c r="D677" s="707"/>
      <c r="E677" s="708" t="s">
        <v>7897</v>
      </c>
      <c r="F677" s="709">
        <v>1000.0</v>
      </c>
      <c r="G677" s="708" t="s">
        <v>2662</v>
      </c>
      <c r="H677" s="709">
        <v>18.0</v>
      </c>
      <c r="I677" s="709">
        <v>1000.0</v>
      </c>
      <c r="J677" s="705">
        <f t="shared" si="1"/>
        <v>19000</v>
      </c>
      <c r="K677" s="705">
        <f t="shared" si="2"/>
        <v>2900</v>
      </c>
      <c r="L677" s="705">
        <f t="shared" si="3"/>
        <v>21900</v>
      </c>
      <c r="M677" s="706">
        <f t="shared" si="5"/>
        <v>21.9</v>
      </c>
      <c r="N677" s="526" t="s">
        <v>33267</v>
      </c>
    </row>
    <row r="678">
      <c r="A678" s="702" t="s">
        <v>33262</v>
      </c>
      <c r="B678" s="702" t="s">
        <v>16528</v>
      </c>
      <c r="C678" s="707"/>
      <c r="D678" s="707"/>
      <c r="E678" s="708" t="s">
        <v>7897</v>
      </c>
      <c r="F678" s="709">
        <v>500.0</v>
      </c>
      <c r="G678" s="708" t="s">
        <v>10533</v>
      </c>
      <c r="H678" s="709">
        <v>18.0</v>
      </c>
      <c r="I678" s="709">
        <v>500.0</v>
      </c>
      <c r="J678" s="705">
        <f t="shared" si="1"/>
        <v>9500</v>
      </c>
      <c r="K678" s="705">
        <f t="shared" si="2"/>
        <v>1950</v>
      </c>
      <c r="L678" s="705">
        <f t="shared" si="3"/>
        <v>11450</v>
      </c>
      <c r="M678" s="706">
        <f t="shared" si="5"/>
        <v>22.9</v>
      </c>
      <c r="N678" s="526" t="s">
        <v>33268</v>
      </c>
    </row>
    <row r="679">
      <c r="A679" s="702" t="s">
        <v>33262</v>
      </c>
      <c r="B679" s="702" t="s">
        <v>16534</v>
      </c>
      <c r="C679" s="707"/>
      <c r="D679" s="707"/>
      <c r="E679" s="708" t="s">
        <v>3165</v>
      </c>
      <c r="F679" s="709">
        <v>500.0</v>
      </c>
      <c r="G679" s="702" t="s">
        <v>131</v>
      </c>
      <c r="H679" s="709">
        <v>102.0</v>
      </c>
      <c r="I679" s="709">
        <v>500.0</v>
      </c>
      <c r="J679" s="705">
        <f t="shared" si="1"/>
        <v>51500</v>
      </c>
      <c r="K679" s="705">
        <f t="shared" si="2"/>
        <v>6150</v>
      </c>
      <c r="L679" s="705">
        <f t="shared" si="3"/>
        <v>57650</v>
      </c>
      <c r="M679" s="706">
        <f t="shared" si="5"/>
        <v>115.3</v>
      </c>
    </row>
    <row r="680">
      <c r="A680" s="702" t="s">
        <v>33269</v>
      </c>
      <c r="B680" s="702" t="s">
        <v>16539</v>
      </c>
      <c r="C680" s="707"/>
      <c r="D680" s="707"/>
      <c r="E680" s="708" t="s">
        <v>6042</v>
      </c>
      <c r="F680" s="709">
        <v>500.0</v>
      </c>
      <c r="G680" s="708" t="s">
        <v>3167</v>
      </c>
      <c r="H680" s="709">
        <v>200.0</v>
      </c>
      <c r="I680" s="709">
        <v>500.0</v>
      </c>
      <c r="J680" s="705">
        <f t="shared" si="1"/>
        <v>100500</v>
      </c>
      <c r="K680" s="705">
        <f t="shared" si="2"/>
        <v>11050</v>
      </c>
      <c r="L680" s="705">
        <f t="shared" si="3"/>
        <v>111550</v>
      </c>
      <c r="M680" s="706">
        <f t="shared" si="5"/>
        <v>223.1</v>
      </c>
      <c r="N680" s="526" t="s">
        <v>33270</v>
      </c>
    </row>
    <row r="681">
      <c r="A681" s="702" t="s">
        <v>33269</v>
      </c>
      <c r="B681" s="702" t="s">
        <v>16546</v>
      </c>
      <c r="C681" s="707"/>
      <c r="D681" s="707"/>
      <c r="E681" s="708" t="s">
        <v>1749</v>
      </c>
      <c r="F681" s="709">
        <v>50.0</v>
      </c>
      <c r="G681" s="708" t="s">
        <v>2478</v>
      </c>
      <c r="H681" s="709">
        <v>52.0</v>
      </c>
      <c r="I681" s="709">
        <v>500.0</v>
      </c>
      <c r="J681" s="705">
        <f t="shared" si="1"/>
        <v>3100</v>
      </c>
      <c r="K681" s="705">
        <f t="shared" si="2"/>
        <v>1310</v>
      </c>
      <c r="L681" s="705">
        <f t="shared" si="3"/>
        <v>4410</v>
      </c>
      <c r="M681" s="706">
        <f t="shared" si="5"/>
        <v>88.2</v>
      </c>
    </row>
    <row r="682">
      <c r="A682" s="702" t="s">
        <v>33269</v>
      </c>
      <c r="B682" s="702" t="s">
        <v>16561</v>
      </c>
      <c r="C682" s="707"/>
      <c r="D682" s="707"/>
      <c r="E682" s="708" t="s">
        <v>31499</v>
      </c>
      <c r="F682" s="709">
        <v>10000.0</v>
      </c>
      <c r="G682" s="708" t="s">
        <v>519</v>
      </c>
      <c r="H682" s="721">
        <v>2.5</v>
      </c>
      <c r="I682" s="709">
        <v>5000.0</v>
      </c>
      <c r="J682" s="705">
        <f t="shared" si="1"/>
        <v>30000</v>
      </c>
      <c r="K682" s="705">
        <f t="shared" si="2"/>
        <v>4000</v>
      </c>
      <c r="L682" s="705">
        <f t="shared" si="3"/>
        <v>34000</v>
      </c>
      <c r="M682" s="706">
        <f t="shared" si="5"/>
        <v>3.4</v>
      </c>
    </row>
    <row r="683">
      <c r="A683" s="702" t="s">
        <v>33269</v>
      </c>
      <c r="B683" s="702" t="s">
        <v>16561</v>
      </c>
      <c r="C683" s="707"/>
      <c r="D683" s="707"/>
      <c r="E683" s="708" t="s">
        <v>31500</v>
      </c>
      <c r="F683" s="709">
        <v>10000.0</v>
      </c>
      <c r="G683" s="708" t="s">
        <v>519</v>
      </c>
      <c r="H683" s="721">
        <v>4.0</v>
      </c>
      <c r="I683" s="709">
        <v>5000.0</v>
      </c>
      <c r="J683" s="705">
        <f t="shared" si="1"/>
        <v>45000</v>
      </c>
      <c r="K683" s="705">
        <f t="shared" si="2"/>
        <v>5500</v>
      </c>
      <c r="L683" s="705">
        <f t="shared" si="3"/>
        <v>50500</v>
      </c>
      <c r="M683" s="706">
        <f t="shared" si="5"/>
        <v>5.05</v>
      </c>
    </row>
    <row r="684">
      <c r="A684" s="702" t="s">
        <v>33269</v>
      </c>
      <c r="B684" s="702" t="s">
        <v>16584</v>
      </c>
      <c r="C684" s="707"/>
      <c r="D684" s="707"/>
      <c r="E684" s="708" t="s">
        <v>130</v>
      </c>
      <c r="F684" s="709">
        <v>100000.0</v>
      </c>
      <c r="G684" s="708" t="s">
        <v>9359</v>
      </c>
      <c r="H684" s="709">
        <v>25.0</v>
      </c>
      <c r="I684" s="705"/>
      <c r="J684" s="705">
        <f t="shared" si="1"/>
        <v>2500000</v>
      </c>
      <c r="K684" s="705">
        <f t="shared" si="2"/>
        <v>251000</v>
      </c>
      <c r="L684" s="705">
        <f t="shared" si="3"/>
        <v>2751000</v>
      </c>
      <c r="M684" s="706">
        <f t="shared" si="5"/>
        <v>27.51</v>
      </c>
    </row>
    <row r="685">
      <c r="A685" s="702" t="s">
        <v>33271</v>
      </c>
      <c r="B685" s="702" t="s">
        <v>33272</v>
      </c>
      <c r="C685" s="707"/>
      <c r="D685" s="707"/>
      <c r="E685" s="708" t="s">
        <v>539</v>
      </c>
      <c r="F685" s="709">
        <v>5000.0</v>
      </c>
      <c r="G685" s="708" t="s">
        <v>44</v>
      </c>
      <c r="H685" s="709">
        <v>18.0</v>
      </c>
      <c r="I685" s="709">
        <v>5000.0</v>
      </c>
      <c r="J685" s="705">
        <f t="shared" si="1"/>
        <v>95000</v>
      </c>
      <c r="K685" s="705">
        <f t="shared" si="2"/>
        <v>10500</v>
      </c>
      <c r="L685" s="705">
        <f t="shared" si="3"/>
        <v>105500</v>
      </c>
      <c r="M685" s="706">
        <f t="shared" si="5"/>
        <v>21.1</v>
      </c>
    </row>
    <row r="686">
      <c r="A686" s="702" t="s">
        <v>33271</v>
      </c>
      <c r="B686" s="702" t="s">
        <v>16599</v>
      </c>
      <c r="C686" s="707"/>
      <c r="D686" s="707"/>
      <c r="E686" s="708" t="s">
        <v>31499</v>
      </c>
      <c r="F686" s="709">
        <v>5000.0</v>
      </c>
      <c r="G686" s="708" t="s">
        <v>507</v>
      </c>
      <c r="H686" s="721">
        <v>2.5</v>
      </c>
      <c r="I686" s="709">
        <v>2500.0</v>
      </c>
      <c r="J686" s="705">
        <f t="shared" si="1"/>
        <v>15000</v>
      </c>
      <c r="K686" s="705">
        <f t="shared" si="2"/>
        <v>2500</v>
      </c>
      <c r="L686" s="705">
        <f t="shared" si="3"/>
        <v>17500</v>
      </c>
      <c r="M686" s="706">
        <f t="shared" si="5"/>
        <v>3.5</v>
      </c>
    </row>
    <row r="687">
      <c r="A687" s="702" t="s">
        <v>33271</v>
      </c>
      <c r="B687" s="702" t="s">
        <v>16599</v>
      </c>
      <c r="C687" s="707"/>
      <c r="D687" s="707"/>
      <c r="E687" s="708" t="s">
        <v>31500</v>
      </c>
      <c r="F687" s="709">
        <v>5000.0</v>
      </c>
      <c r="G687" s="708" t="s">
        <v>507</v>
      </c>
      <c r="H687" s="721">
        <v>4.0</v>
      </c>
      <c r="I687" s="709">
        <v>2500.0</v>
      </c>
      <c r="J687" s="705">
        <f t="shared" si="1"/>
        <v>22500</v>
      </c>
      <c r="K687" s="705">
        <f t="shared" si="2"/>
        <v>3250</v>
      </c>
      <c r="L687" s="705">
        <f t="shared" si="3"/>
        <v>25750</v>
      </c>
      <c r="M687" s="706">
        <f t="shared" si="5"/>
        <v>5.15</v>
      </c>
    </row>
    <row r="688">
      <c r="A688" s="702" t="s">
        <v>33273</v>
      </c>
      <c r="B688" s="702" t="s">
        <v>16611</v>
      </c>
      <c r="C688" s="707"/>
      <c r="D688" s="707"/>
      <c r="E688" s="708" t="s">
        <v>894</v>
      </c>
      <c r="F688" s="709">
        <v>1000.0</v>
      </c>
      <c r="G688" s="708" t="s">
        <v>184</v>
      </c>
      <c r="H688" s="709">
        <v>12.0</v>
      </c>
      <c r="I688" s="709">
        <v>1000.0</v>
      </c>
      <c r="J688" s="705">
        <f t="shared" si="1"/>
        <v>13000</v>
      </c>
      <c r="K688" s="705">
        <f t="shared" si="2"/>
        <v>2300</v>
      </c>
      <c r="L688" s="705">
        <f t="shared" si="3"/>
        <v>15300</v>
      </c>
      <c r="M688" s="706">
        <f t="shared" si="5"/>
        <v>15.3</v>
      </c>
      <c r="N688" s="526" t="s">
        <v>33274</v>
      </c>
    </row>
    <row r="689">
      <c r="A689" s="702" t="s">
        <v>33273</v>
      </c>
      <c r="B689" s="702" t="s">
        <v>16627</v>
      </c>
      <c r="C689" s="707"/>
      <c r="D689" s="707"/>
      <c r="E689" s="708" t="s">
        <v>202</v>
      </c>
      <c r="F689" s="709">
        <v>30000.0</v>
      </c>
      <c r="G689" s="708" t="s">
        <v>33254</v>
      </c>
      <c r="H689" s="709">
        <v>4.8</v>
      </c>
      <c r="I689" s="705"/>
      <c r="J689" s="705">
        <f t="shared" si="1"/>
        <v>144000</v>
      </c>
      <c r="K689" s="705">
        <f t="shared" si="2"/>
        <v>15400</v>
      </c>
      <c r="L689" s="705">
        <f t="shared" si="3"/>
        <v>159400</v>
      </c>
      <c r="M689" s="706">
        <f t="shared" si="5"/>
        <v>5.313333333</v>
      </c>
    </row>
    <row r="690">
      <c r="A690" s="702" t="s">
        <v>33273</v>
      </c>
      <c r="B690" s="722" t="s">
        <v>16627</v>
      </c>
      <c r="C690" s="707"/>
      <c r="D690" s="707"/>
      <c r="E690" s="708" t="s">
        <v>33275</v>
      </c>
      <c r="F690" s="709">
        <v>10000.0</v>
      </c>
      <c r="G690" s="708" t="s">
        <v>33254</v>
      </c>
      <c r="H690" s="709">
        <v>4.5</v>
      </c>
      <c r="I690" s="705"/>
      <c r="J690" s="705">
        <f t="shared" si="1"/>
        <v>45000</v>
      </c>
      <c r="K690" s="705">
        <f t="shared" si="2"/>
        <v>5500</v>
      </c>
      <c r="L690" s="705">
        <f t="shared" si="3"/>
        <v>50500</v>
      </c>
      <c r="M690" s="706">
        <f t="shared" si="5"/>
        <v>5.05</v>
      </c>
    </row>
    <row r="691">
      <c r="A691" s="702" t="s">
        <v>33273</v>
      </c>
      <c r="B691" s="702" t="s">
        <v>16624</v>
      </c>
      <c r="C691" s="707"/>
      <c r="D691" s="707"/>
      <c r="E691" s="708" t="s">
        <v>10689</v>
      </c>
      <c r="F691" s="709">
        <v>500.0</v>
      </c>
      <c r="G691" s="708" t="s">
        <v>44</v>
      </c>
      <c r="H691" s="709">
        <v>28.0</v>
      </c>
      <c r="I691" s="709">
        <v>500.0</v>
      </c>
      <c r="J691" s="705">
        <f t="shared" si="1"/>
        <v>14500</v>
      </c>
      <c r="K691" s="705">
        <f t="shared" si="2"/>
        <v>2450</v>
      </c>
      <c r="L691" s="705">
        <f t="shared" si="3"/>
        <v>16950</v>
      </c>
      <c r="M691" s="706">
        <f t="shared" si="5"/>
        <v>33.9</v>
      </c>
      <c r="N691" s="526" t="s">
        <v>33276</v>
      </c>
    </row>
    <row r="692">
      <c r="A692" s="702" t="s">
        <v>33273</v>
      </c>
      <c r="B692" s="702" t="s">
        <v>16636</v>
      </c>
      <c r="C692" s="707"/>
      <c r="D692" s="707"/>
      <c r="E692" s="708" t="s">
        <v>92</v>
      </c>
      <c r="F692" s="709">
        <v>1000.0</v>
      </c>
      <c r="G692" s="708" t="s">
        <v>44</v>
      </c>
      <c r="H692" s="709">
        <v>135.0</v>
      </c>
      <c r="I692" s="709">
        <v>1000.0</v>
      </c>
      <c r="J692" s="705">
        <f t="shared" si="1"/>
        <v>136000</v>
      </c>
      <c r="K692" s="705">
        <f t="shared" si="2"/>
        <v>14600</v>
      </c>
      <c r="L692" s="705">
        <f t="shared" si="3"/>
        <v>150600</v>
      </c>
      <c r="M692" s="706">
        <f t="shared" si="5"/>
        <v>150.6</v>
      </c>
      <c r="N692" s="526" t="s">
        <v>33157</v>
      </c>
    </row>
    <row r="693">
      <c r="A693" s="702" t="s">
        <v>33273</v>
      </c>
      <c r="B693" s="702" t="s">
        <v>16633</v>
      </c>
      <c r="C693" s="707"/>
      <c r="D693" s="707"/>
      <c r="E693" s="708" t="s">
        <v>7897</v>
      </c>
      <c r="F693" s="709">
        <v>1000.0</v>
      </c>
      <c r="G693" s="708" t="s">
        <v>1337</v>
      </c>
      <c r="H693" s="709">
        <v>25.0</v>
      </c>
      <c r="I693" s="709">
        <v>1000.0</v>
      </c>
      <c r="J693" s="705">
        <f t="shared" si="1"/>
        <v>26000</v>
      </c>
      <c r="K693" s="705">
        <f t="shared" si="2"/>
        <v>3600</v>
      </c>
      <c r="L693" s="705">
        <f t="shared" si="3"/>
        <v>29600</v>
      </c>
      <c r="M693" s="706">
        <f t="shared" si="5"/>
        <v>29.6</v>
      </c>
      <c r="N693" s="526" t="s">
        <v>33277</v>
      </c>
    </row>
    <row r="694">
      <c r="A694" s="702" t="s">
        <v>33278</v>
      </c>
      <c r="B694" s="702" t="s">
        <v>16640</v>
      </c>
      <c r="C694" s="707"/>
      <c r="D694" s="707"/>
      <c r="E694" s="708" t="s">
        <v>33248</v>
      </c>
      <c r="F694" s="709">
        <v>100.0</v>
      </c>
      <c r="G694" s="708" t="s">
        <v>1082</v>
      </c>
      <c r="H694" s="709">
        <v>17.0</v>
      </c>
      <c r="I694" s="709">
        <v>500.0</v>
      </c>
      <c r="J694" s="705">
        <f t="shared" si="1"/>
        <v>2200</v>
      </c>
      <c r="K694" s="705">
        <f t="shared" si="2"/>
        <v>1220</v>
      </c>
      <c r="L694" s="705">
        <f t="shared" si="3"/>
        <v>3420</v>
      </c>
      <c r="M694" s="706">
        <f t="shared" si="5"/>
        <v>34.2</v>
      </c>
    </row>
    <row r="695">
      <c r="A695" s="702" t="s">
        <v>33278</v>
      </c>
      <c r="B695" s="702" t="s">
        <v>33279</v>
      </c>
      <c r="C695" s="707"/>
      <c r="D695" s="707"/>
      <c r="E695" s="708" t="s">
        <v>4481</v>
      </c>
      <c r="F695" s="709">
        <v>10000.0</v>
      </c>
      <c r="G695" s="708" t="s">
        <v>1082</v>
      </c>
      <c r="H695" s="709">
        <v>40.0</v>
      </c>
      <c r="I695" s="705"/>
      <c r="J695" s="705">
        <f t="shared" si="1"/>
        <v>400000</v>
      </c>
      <c r="K695" s="705">
        <f t="shared" si="2"/>
        <v>41000</v>
      </c>
      <c r="L695" s="705">
        <f t="shared" si="3"/>
        <v>441000</v>
      </c>
      <c r="M695" s="706">
        <f t="shared" si="5"/>
        <v>44.1</v>
      </c>
      <c r="N695" s="526" t="s">
        <v>33280</v>
      </c>
    </row>
    <row r="696">
      <c r="A696" s="702" t="s">
        <v>33278</v>
      </c>
      <c r="B696" s="702" t="s">
        <v>16647</v>
      </c>
      <c r="C696" s="707"/>
      <c r="D696" s="707"/>
      <c r="E696" s="708" t="s">
        <v>1749</v>
      </c>
      <c r="F696" s="709">
        <v>500.0</v>
      </c>
      <c r="G696" s="708" t="s">
        <v>20765</v>
      </c>
      <c r="H696" s="709">
        <v>52.0</v>
      </c>
      <c r="I696" s="709">
        <v>500.0</v>
      </c>
      <c r="J696" s="705">
        <f t="shared" si="1"/>
        <v>26500</v>
      </c>
      <c r="K696" s="705">
        <f t="shared" si="2"/>
        <v>3650</v>
      </c>
      <c r="L696" s="705">
        <f t="shared" si="3"/>
        <v>30150</v>
      </c>
      <c r="M696" s="706">
        <f t="shared" si="5"/>
        <v>60.3</v>
      </c>
    </row>
    <row r="697">
      <c r="A697" s="702" t="s">
        <v>33278</v>
      </c>
      <c r="B697" s="96" t="s">
        <v>16644</v>
      </c>
      <c r="C697" s="707"/>
      <c r="D697" s="707"/>
      <c r="E697" s="708" t="s">
        <v>116</v>
      </c>
      <c r="F697" s="709">
        <v>1000.0</v>
      </c>
      <c r="G697" s="708" t="s">
        <v>507</v>
      </c>
      <c r="H697" s="709">
        <v>84.0</v>
      </c>
      <c r="I697" s="709">
        <v>1000.0</v>
      </c>
      <c r="J697" s="705">
        <f t="shared" si="1"/>
        <v>85000</v>
      </c>
      <c r="K697" s="705">
        <f t="shared" si="2"/>
        <v>9500</v>
      </c>
      <c r="L697" s="705">
        <f t="shared" si="3"/>
        <v>94500</v>
      </c>
      <c r="M697" s="706">
        <f t="shared" si="5"/>
        <v>94.5</v>
      </c>
    </row>
    <row r="698">
      <c r="A698" s="702" t="s">
        <v>33278</v>
      </c>
      <c r="B698" s="702" t="s">
        <v>33281</v>
      </c>
      <c r="C698" s="707"/>
      <c r="D698" s="707"/>
      <c r="E698" s="708" t="s">
        <v>894</v>
      </c>
      <c r="F698" s="709">
        <v>1000.0</v>
      </c>
      <c r="G698" s="708" t="s">
        <v>742</v>
      </c>
      <c r="H698" s="709">
        <v>10.0</v>
      </c>
      <c r="I698" s="709">
        <v>1000.0</v>
      </c>
      <c r="J698" s="705">
        <f t="shared" si="1"/>
        <v>11000</v>
      </c>
      <c r="K698" s="705">
        <f t="shared" si="2"/>
        <v>2100</v>
      </c>
      <c r="L698" s="705">
        <f t="shared" si="3"/>
        <v>13100</v>
      </c>
      <c r="M698" s="706">
        <f t="shared" si="5"/>
        <v>13.1</v>
      </c>
    </row>
    <row r="699">
      <c r="A699" s="702" t="s">
        <v>33278</v>
      </c>
      <c r="B699" s="702" t="s">
        <v>33282</v>
      </c>
      <c r="C699" s="707"/>
      <c r="D699" s="707"/>
      <c r="E699" s="708" t="s">
        <v>235</v>
      </c>
      <c r="F699" s="709">
        <v>5000.0</v>
      </c>
      <c r="G699" s="708" t="s">
        <v>742</v>
      </c>
      <c r="H699" s="709">
        <v>20.0</v>
      </c>
      <c r="I699" s="709">
        <v>5000.0</v>
      </c>
      <c r="J699" s="705">
        <f t="shared" si="1"/>
        <v>105000</v>
      </c>
      <c r="K699" s="705">
        <f t="shared" si="2"/>
        <v>11500</v>
      </c>
      <c r="L699" s="705">
        <f t="shared" si="3"/>
        <v>116500</v>
      </c>
      <c r="M699" s="706">
        <f t="shared" si="5"/>
        <v>23.3</v>
      </c>
      <c r="N699" s="526" t="s">
        <v>33188</v>
      </c>
    </row>
    <row r="700">
      <c r="A700" s="702" t="s">
        <v>33283</v>
      </c>
      <c r="B700" s="702" t="s">
        <v>16681</v>
      </c>
      <c r="C700" s="707"/>
      <c r="D700" s="707"/>
      <c r="E700" s="708" t="s">
        <v>116</v>
      </c>
      <c r="F700" s="709">
        <v>1000.0</v>
      </c>
      <c r="G700" s="708" t="s">
        <v>17514</v>
      </c>
      <c r="H700" s="709">
        <v>84.0</v>
      </c>
      <c r="I700" s="709">
        <v>1000.0</v>
      </c>
      <c r="J700" s="705">
        <f t="shared" si="1"/>
        <v>85000</v>
      </c>
      <c r="K700" s="705">
        <f t="shared" si="2"/>
        <v>9500</v>
      </c>
      <c r="L700" s="705">
        <f t="shared" si="3"/>
        <v>94500</v>
      </c>
      <c r="M700" s="706">
        <f t="shared" si="5"/>
        <v>94.5</v>
      </c>
    </row>
    <row r="701">
      <c r="A701" s="702" t="s">
        <v>33283</v>
      </c>
      <c r="B701" s="702" t="s">
        <v>33284</v>
      </c>
      <c r="C701" s="707"/>
      <c r="D701" s="707"/>
      <c r="E701" s="708" t="s">
        <v>130</v>
      </c>
      <c r="F701" s="709">
        <v>100000.0</v>
      </c>
      <c r="G701" s="708" t="s">
        <v>2662</v>
      </c>
      <c r="H701" s="709">
        <v>18.0</v>
      </c>
      <c r="I701" s="705"/>
      <c r="J701" s="705">
        <f t="shared" si="1"/>
        <v>1800000</v>
      </c>
      <c r="K701" s="705">
        <f t="shared" si="2"/>
        <v>181000</v>
      </c>
      <c r="L701" s="705">
        <f t="shared" si="3"/>
        <v>1981000</v>
      </c>
      <c r="M701" s="706">
        <f t="shared" si="5"/>
        <v>19.81</v>
      </c>
      <c r="N701" s="526" t="s">
        <v>33285</v>
      </c>
    </row>
    <row r="702">
      <c r="A702" s="702" t="s">
        <v>33283</v>
      </c>
      <c r="B702" s="702" t="s">
        <v>16710</v>
      </c>
      <c r="C702" s="707"/>
      <c r="D702" s="707"/>
      <c r="E702" s="708" t="s">
        <v>10433</v>
      </c>
      <c r="F702" s="709">
        <v>500.0</v>
      </c>
      <c r="G702" s="708" t="s">
        <v>25962</v>
      </c>
      <c r="H702" s="709">
        <v>125.0</v>
      </c>
      <c r="I702" s="709">
        <v>500.0</v>
      </c>
      <c r="J702" s="705">
        <f t="shared" si="1"/>
        <v>63000</v>
      </c>
      <c r="K702" s="705">
        <f t="shared" si="2"/>
        <v>7300</v>
      </c>
      <c r="L702" s="705">
        <f t="shared" si="3"/>
        <v>70300</v>
      </c>
      <c r="M702" s="706">
        <f t="shared" si="5"/>
        <v>140.6</v>
      </c>
    </row>
    <row r="703">
      <c r="A703" s="702" t="s">
        <v>33283</v>
      </c>
      <c r="B703" s="702" t="s">
        <v>33286</v>
      </c>
      <c r="C703" s="707"/>
      <c r="D703" s="707"/>
      <c r="E703" s="708" t="s">
        <v>3165</v>
      </c>
      <c r="F703" s="709">
        <v>15000.0</v>
      </c>
      <c r="G703" s="708" t="s">
        <v>44</v>
      </c>
      <c r="H703" s="709">
        <v>79.0</v>
      </c>
      <c r="I703" s="705"/>
      <c r="J703" s="705">
        <f t="shared" si="1"/>
        <v>1185000</v>
      </c>
      <c r="K703" s="705">
        <f t="shared" si="2"/>
        <v>119500</v>
      </c>
      <c r="L703" s="705">
        <f t="shared" si="3"/>
        <v>1304500</v>
      </c>
      <c r="M703" s="706">
        <f t="shared" si="5"/>
        <v>86.96666667</v>
      </c>
    </row>
    <row r="704">
      <c r="A704" s="702" t="s">
        <v>33283</v>
      </c>
      <c r="B704" s="702" t="s">
        <v>33287</v>
      </c>
      <c r="C704" s="707"/>
      <c r="D704" s="707"/>
      <c r="E704" s="708" t="s">
        <v>7897</v>
      </c>
      <c r="F704" s="709">
        <v>5000.0</v>
      </c>
      <c r="G704" s="708" t="s">
        <v>2662</v>
      </c>
      <c r="H704" s="709">
        <v>17.0</v>
      </c>
      <c r="I704" s="709">
        <v>5000.0</v>
      </c>
      <c r="J704" s="705">
        <f t="shared" si="1"/>
        <v>90000</v>
      </c>
      <c r="K704" s="705">
        <f t="shared" si="2"/>
        <v>10000</v>
      </c>
      <c r="L704" s="705">
        <f t="shared" si="3"/>
        <v>100000</v>
      </c>
      <c r="M704" s="706">
        <f t="shared" si="5"/>
        <v>20</v>
      </c>
    </row>
    <row r="705">
      <c r="A705" s="702" t="s">
        <v>33283</v>
      </c>
      <c r="B705" s="702" t="s">
        <v>33288</v>
      </c>
      <c r="C705" s="707"/>
      <c r="D705" s="707"/>
      <c r="E705" s="708" t="s">
        <v>794</v>
      </c>
      <c r="F705" s="709">
        <v>3000.0</v>
      </c>
      <c r="G705" s="708" t="s">
        <v>44</v>
      </c>
      <c r="H705" s="709">
        <v>5.0</v>
      </c>
      <c r="I705" s="709">
        <v>3000.0</v>
      </c>
      <c r="J705" s="705">
        <f t="shared" si="1"/>
        <v>18000</v>
      </c>
      <c r="K705" s="705">
        <f t="shared" si="2"/>
        <v>2800</v>
      </c>
      <c r="L705" s="705">
        <f t="shared" si="3"/>
        <v>20800</v>
      </c>
      <c r="M705" s="706">
        <f t="shared" si="5"/>
        <v>6.933333333</v>
      </c>
    </row>
    <row r="706">
      <c r="A706" s="702" t="s">
        <v>33283</v>
      </c>
      <c r="B706" s="702" t="s">
        <v>33289</v>
      </c>
      <c r="C706" s="707"/>
      <c r="D706" s="707"/>
      <c r="E706" s="708" t="s">
        <v>16708</v>
      </c>
      <c r="F706" s="709">
        <v>10000.0</v>
      </c>
      <c r="G706" s="708" t="s">
        <v>507</v>
      </c>
      <c r="H706" s="709">
        <v>5.0</v>
      </c>
      <c r="I706" s="705"/>
      <c r="J706" s="705">
        <f t="shared" si="1"/>
        <v>50000</v>
      </c>
      <c r="K706" s="705">
        <f t="shared" si="2"/>
        <v>6000</v>
      </c>
      <c r="L706" s="705">
        <f t="shared" si="3"/>
        <v>56000</v>
      </c>
      <c r="M706" s="706">
        <f t="shared" si="5"/>
        <v>5.6</v>
      </c>
      <c r="N706" s="526" t="s">
        <v>33125</v>
      </c>
    </row>
    <row r="707">
      <c r="A707" s="702" t="s">
        <v>33283</v>
      </c>
      <c r="B707" s="96" t="s">
        <v>16723</v>
      </c>
      <c r="C707" s="707"/>
      <c r="D707" s="707"/>
      <c r="E707" s="96" t="s">
        <v>4892</v>
      </c>
      <c r="F707" s="709">
        <v>300.0</v>
      </c>
      <c r="G707" s="708" t="s">
        <v>1492</v>
      </c>
      <c r="H707" s="709">
        <v>20.0</v>
      </c>
      <c r="I707" s="709">
        <v>500.0</v>
      </c>
      <c r="J707" s="705">
        <f t="shared" si="1"/>
        <v>6500</v>
      </c>
      <c r="K707" s="705">
        <f t="shared" si="2"/>
        <v>1650</v>
      </c>
      <c r="L707" s="705">
        <f t="shared" si="3"/>
        <v>8150</v>
      </c>
      <c r="M707" s="706">
        <f t="shared" si="5"/>
        <v>27.16666667</v>
      </c>
      <c r="N707" s="526" t="s">
        <v>33290</v>
      </c>
    </row>
    <row r="708">
      <c r="A708" s="702" t="s">
        <v>33291</v>
      </c>
      <c r="B708" s="702" t="s">
        <v>33292</v>
      </c>
      <c r="C708" s="707"/>
      <c r="D708" s="707"/>
      <c r="E708" s="708" t="s">
        <v>7897</v>
      </c>
      <c r="F708" s="709">
        <v>20000.0</v>
      </c>
      <c r="G708" s="708" t="s">
        <v>9094</v>
      </c>
      <c r="H708" s="709">
        <v>17.0</v>
      </c>
      <c r="I708" s="705"/>
      <c r="J708" s="705">
        <f t="shared" si="1"/>
        <v>340000</v>
      </c>
      <c r="K708" s="705">
        <f t="shared" si="2"/>
        <v>35000</v>
      </c>
      <c r="L708" s="705">
        <f t="shared" si="3"/>
        <v>375000</v>
      </c>
      <c r="M708" s="706">
        <f t="shared" si="5"/>
        <v>18.75</v>
      </c>
    </row>
    <row r="709">
      <c r="A709" s="702" t="s">
        <v>33291</v>
      </c>
      <c r="B709" s="702" t="s">
        <v>16728</v>
      </c>
      <c r="C709" s="707"/>
      <c r="D709" s="707"/>
      <c r="E709" s="708" t="s">
        <v>31500</v>
      </c>
      <c r="F709" s="721">
        <v>2000.0</v>
      </c>
      <c r="G709" s="708" t="s">
        <v>15263</v>
      </c>
      <c r="H709" s="721">
        <v>4.0</v>
      </c>
      <c r="I709" s="709">
        <v>1000.0</v>
      </c>
      <c r="J709" s="705">
        <f t="shared" si="1"/>
        <v>9000</v>
      </c>
      <c r="K709" s="705">
        <f t="shared" si="2"/>
        <v>1900</v>
      </c>
      <c r="L709" s="705">
        <f t="shared" si="3"/>
        <v>10900</v>
      </c>
      <c r="M709" s="706">
        <f t="shared" si="5"/>
        <v>5.45</v>
      </c>
    </row>
    <row r="710">
      <c r="A710" s="702" t="s">
        <v>33291</v>
      </c>
      <c r="B710" s="702" t="s">
        <v>16728</v>
      </c>
      <c r="C710" s="707"/>
      <c r="D710" s="707"/>
      <c r="E710" s="708" t="s">
        <v>31499</v>
      </c>
      <c r="F710" s="721">
        <v>2000.0</v>
      </c>
      <c r="G710" s="708" t="s">
        <v>15263</v>
      </c>
      <c r="H710" s="721">
        <v>2.5</v>
      </c>
      <c r="I710" s="709">
        <v>1000.0</v>
      </c>
      <c r="J710" s="705">
        <f t="shared" si="1"/>
        <v>6000</v>
      </c>
      <c r="K710" s="705">
        <f t="shared" si="2"/>
        <v>1600</v>
      </c>
      <c r="L710" s="705">
        <f t="shared" si="3"/>
        <v>7600</v>
      </c>
      <c r="M710" s="706">
        <f t="shared" si="5"/>
        <v>3.8</v>
      </c>
    </row>
    <row r="711">
      <c r="A711" s="702" t="s">
        <v>33291</v>
      </c>
      <c r="B711" s="702" t="s">
        <v>16755</v>
      </c>
      <c r="C711" s="707"/>
      <c r="D711" s="707"/>
      <c r="E711" s="708" t="s">
        <v>31500</v>
      </c>
      <c r="F711" s="709">
        <v>2000.0</v>
      </c>
      <c r="G711" s="708" t="s">
        <v>906</v>
      </c>
      <c r="H711" s="721">
        <v>4.0</v>
      </c>
      <c r="I711" s="709">
        <v>1000.0</v>
      </c>
      <c r="J711" s="705">
        <f t="shared" si="1"/>
        <v>9000</v>
      </c>
      <c r="K711" s="705">
        <f t="shared" si="2"/>
        <v>1900</v>
      </c>
      <c r="L711" s="705">
        <f t="shared" si="3"/>
        <v>10900</v>
      </c>
      <c r="M711" s="706">
        <f t="shared" si="5"/>
        <v>5.45</v>
      </c>
    </row>
    <row r="712">
      <c r="A712" s="702" t="s">
        <v>33291</v>
      </c>
      <c r="B712" s="702" t="s">
        <v>16755</v>
      </c>
      <c r="C712" s="707"/>
      <c r="D712" s="707"/>
      <c r="E712" s="708" t="s">
        <v>31499</v>
      </c>
      <c r="F712" s="709">
        <v>2000.0</v>
      </c>
      <c r="G712" s="708" t="s">
        <v>906</v>
      </c>
      <c r="H712" s="721">
        <v>2.5</v>
      </c>
      <c r="I712" s="709">
        <v>1000.0</v>
      </c>
      <c r="J712" s="705">
        <f t="shared" si="1"/>
        <v>6000</v>
      </c>
      <c r="K712" s="705">
        <f t="shared" si="2"/>
        <v>1600</v>
      </c>
      <c r="L712" s="705">
        <f t="shared" si="3"/>
        <v>7600</v>
      </c>
      <c r="M712" s="706">
        <f t="shared" si="5"/>
        <v>3.8</v>
      </c>
    </row>
    <row r="713">
      <c r="A713" s="702" t="s">
        <v>33291</v>
      </c>
      <c r="B713" s="702" t="s">
        <v>16777</v>
      </c>
      <c r="C713" s="707"/>
      <c r="D713" s="707"/>
      <c r="E713" s="708" t="s">
        <v>31500</v>
      </c>
      <c r="F713" s="709">
        <v>1000.0</v>
      </c>
      <c r="G713" s="708" t="s">
        <v>2682</v>
      </c>
      <c r="H713" s="721">
        <v>4.0</v>
      </c>
      <c r="I713" s="709">
        <v>500.0</v>
      </c>
      <c r="J713" s="705">
        <f t="shared" si="1"/>
        <v>4500</v>
      </c>
      <c r="K713" s="705">
        <f t="shared" si="2"/>
        <v>1450</v>
      </c>
      <c r="L713" s="705">
        <f t="shared" si="3"/>
        <v>5950</v>
      </c>
      <c r="M713" s="706">
        <f t="shared" si="5"/>
        <v>5.95</v>
      </c>
    </row>
    <row r="714">
      <c r="A714" s="702" t="s">
        <v>33291</v>
      </c>
      <c r="B714" s="702" t="s">
        <v>16777</v>
      </c>
      <c r="C714" s="707"/>
      <c r="D714" s="707"/>
      <c r="E714" s="708" t="s">
        <v>31499</v>
      </c>
      <c r="F714" s="709">
        <v>1000.0</v>
      </c>
      <c r="G714" s="708" t="s">
        <v>2682</v>
      </c>
      <c r="H714" s="721">
        <v>2.5</v>
      </c>
      <c r="I714" s="709">
        <v>500.0</v>
      </c>
      <c r="J714" s="705">
        <f t="shared" si="1"/>
        <v>3000</v>
      </c>
      <c r="K714" s="705">
        <f t="shared" si="2"/>
        <v>1300</v>
      </c>
      <c r="L714" s="705">
        <f t="shared" si="3"/>
        <v>4300</v>
      </c>
      <c r="M714" s="706">
        <f t="shared" si="5"/>
        <v>4.3</v>
      </c>
    </row>
    <row r="715">
      <c r="A715" s="702" t="s">
        <v>33291</v>
      </c>
      <c r="B715" s="702" t="s">
        <v>33293</v>
      </c>
      <c r="C715" s="707"/>
      <c r="D715" s="707"/>
      <c r="E715" s="708" t="s">
        <v>539</v>
      </c>
      <c r="F715" s="709">
        <v>100000.0</v>
      </c>
      <c r="G715" s="708" t="s">
        <v>44</v>
      </c>
      <c r="H715" s="709">
        <v>15.0</v>
      </c>
      <c r="I715" s="705"/>
      <c r="J715" s="705">
        <f t="shared" si="1"/>
        <v>1500000</v>
      </c>
      <c r="K715" s="705">
        <f t="shared" si="2"/>
        <v>151000</v>
      </c>
      <c r="L715" s="705">
        <f t="shared" si="3"/>
        <v>1651000</v>
      </c>
      <c r="M715" s="706">
        <f t="shared" si="5"/>
        <v>16.51</v>
      </c>
      <c r="N715" s="526" t="s">
        <v>33294</v>
      </c>
    </row>
    <row r="716">
      <c r="A716" s="702" t="s">
        <v>33291</v>
      </c>
      <c r="B716" s="702" t="s">
        <v>33295</v>
      </c>
      <c r="C716" s="707"/>
      <c r="D716" s="707"/>
      <c r="E716" s="708" t="s">
        <v>70</v>
      </c>
      <c r="F716" s="709">
        <v>7000.0</v>
      </c>
      <c r="G716" s="708" t="s">
        <v>977</v>
      </c>
      <c r="H716" s="709">
        <v>18.0</v>
      </c>
      <c r="I716" s="709">
        <v>7000.0</v>
      </c>
      <c r="J716" s="705">
        <f t="shared" si="1"/>
        <v>133000</v>
      </c>
      <c r="K716" s="705">
        <f t="shared" si="2"/>
        <v>14300</v>
      </c>
      <c r="L716" s="705">
        <f t="shared" si="3"/>
        <v>147300</v>
      </c>
      <c r="M716" s="706">
        <f t="shared" si="5"/>
        <v>21.04285714</v>
      </c>
      <c r="N716" s="526" t="s">
        <v>33296</v>
      </c>
    </row>
    <row r="717">
      <c r="A717" s="702" t="s">
        <v>33291</v>
      </c>
      <c r="B717" s="702" t="s">
        <v>16736</v>
      </c>
      <c r="C717" s="707"/>
      <c r="D717" s="707"/>
      <c r="E717" s="708" t="s">
        <v>167</v>
      </c>
      <c r="F717" s="709">
        <v>200.0</v>
      </c>
      <c r="G717" s="708" t="s">
        <v>906</v>
      </c>
      <c r="H717" s="709">
        <v>25.0</v>
      </c>
      <c r="I717" s="709">
        <v>500.0</v>
      </c>
      <c r="J717" s="705">
        <f t="shared" si="1"/>
        <v>5500</v>
      </c>
      <c r="K717" s="705">
        <f t="shared" si="2"/>
        <v>1550</v>
      </c>
      <c r="L717" s="705">
        <f t="shared" si="3"/>
        <v>7050</v>
      </c>
      <c r="M717" s="706">
        <f t="shared" si="5"/>
        <v>35.25</v>
      </c>
      <c r="N717" s="526" t="s">
        <v>33297</v>
      </c>
    </row>
    <row r="718">
      <c r="A718" s="702" t="s">
        <v>33291</v>
      </c>
      <c r="B718" s="702" t="s">
        <v>33298</v>
      </c>
      <c r="C718" s="707"/>
      <c r="D718" s="707"/>
      <c r="E718" s="708" t="s">
        <v>16760</v>
      </c>
      <c r="F718" s="709">
        <v>10000.0</v>
      </c>
      <c r="G718" s="708" t="s">
        <v>1461</v>
      </c>
      <c r="H718" s="709">
        <v>12.0</v>
      </c>
      <c r="I718" s="705"/>
      <c r="J718" s="705">
        <f t="shared" si="1"/>
        <v>120000</v>
      </c>
      <c r="K718" s="705">
        <f t="shared" si="2"/>
        <v>13000</v>
      </c>
      <c r="L718" s="705">
        <f t="shared" si="3"/>
        <v>133000</v>
      </c>
      <c r="M718" s="706">
        <f t="shared" si="5"/>
        <v>13.3</v>
      </c>
      <c r="N718" s="526" t="s">
        <v>33299</v>
      </c>
    </row>
    <row r="719">
      <c r="A719" s="702" t="s">
        <v>33291</v>
      </c>
      <c r="B719" s="702" t="s">
        <v>16763</v>
      </c>
      <c r="C719" s="707"/>
      <c r="D719" s="707"/>
      <c r="E719" s="708" t="s">
        <v>3073</v>
      </c>
      <c r="F719" s="709">
        <v>100.0</v>
      </c>
      <c r="G719" s="708" t="s">
        <v>507</v>
      </c>
      <c r="H719" s="709">
        <v>180.0</v>
      </c>
      <c r="I719" s="709">
        <v>500.0</v>
      </c>
      <c r="J719" s="705">
        <f t="shared" si="1"/>
        <v>18500</v>
      </c>
      <c r="K719" s="705">
        <f t="shared" si="2"/>
        <v>2850</v>
      </c>
      <c r="L719" s="705">
        <f t="shared" si="3"/>
        <v>21350</v>
      </c>
      <c r="M719" s="706">
        <f t="shared" si="5"/>
        <v>213.5</v>
      </c>
      <c r="N719" s="526" t="s">
        <v>33213</v>
      </c>
    </row>
    <row r="720">
      <c r="A720" s="702" t="s">
        <v>33291</v>
      </c>
      <c r="B720" s="702" t="s">
        <v>33300</v>
      </c>
      <c r="C720" s="707"/>
      <c r="D720" s="707"/>
      <c r="E720" s="708" t="s">
        <v>83</v>
      </c>
      <c r="F720" s="709">
        <v>2500.0</v>
      </c>
      <c r="G720" s="708" t="s">
        <v>44</v>
      </c>
      <c r="H720" s="709">
        <v>26.0</v>
      </c>
      <c r="I720" s="709">
        <v>1000.0</v>
      </c>
      <c r="J720" s="705">
        <f t="shared" si="1"/>
        <v>66000</v>
      </c>
      <c r="K720" s="705">
        <f t="shared" si="2"/>
        <v>7600</v>
      </c>
      <c r="L720" s="705">
        <f t="shared" si="3"/>
        <v>73600</v>
      </c>
      <c r="M720" s="706">
        <f t="shared" si="5"/>
        <v>29.44</v>
      </c>
      <c r="N720" s="526" t="s">
        <v>33301</v>
      </c>
    </row>
    <row r="721">
      <c r="A721" s="702" t="s">
        <v>33302</v>
      </c>
      <c r="B721" s="702" t="s">
        <v>33303</v>
      </c>
      <c r="C721" s="707"/>
      <c r="D721" s="707"/>
      <c r="E721" s="708" t="s">
        <v>539</v>
      </c>
      <c r="F721" s="709">
        <v>100000.0</v>
      </c>
      <c r="G721" s="708" t="s">
        <v>107</v>
      </c>
      <c r="H721" s="709">
        <v>6.2</v>
      </c>
      <c r="I721" s="705"/>
      <c r="J721" s="705">
        <f t="shared" si="1"/>
        <v>620000</v>
      </c>
      <c r="K721" s="705">
        <f t="shared" si="2"/>
        <v>63000</v>
      </c>
      <c r="L721" s="705">
        <f t="shared" si="3"/>
        <v>683000</v>
      </c>
      <c r="M721" s="706">
        <f t="shared" si="5"/>
        <v>6.83</v>
      </c>
      <c r="N721" s="526" t="s">
        <v>33304</v>
      </c>
    </row>
    <row r="722">
      <c r="A722" s="702" t="s">
        <v>33302</v>
      </c>
      <c r="B722" s="702" t="s">
        <v>16787</v>
      </c>
      <c r="C722" s="707"/>
      <c r="D722" s="707"/>
      <c r="E722" s="708" t="s">
        <v>130</v>
      </c>
      <c r="F722" s="709">
        <v>1000.0</v>
      </c>
      <c r="G722" s="708" t="s">
        <v>472</v>
      </c>
      <c r="H722" s="709">
        <v>25.0</v>
      </c>
      <c r="I722" s="709">
        <v>1000.0</v>
      </c>
      <c r="J722" s="705">
        <f t="shared" si="1"/>
        <v>26000</v>
      </c>
      <c r="K722" s="705">
        <f t="shared" si="2"/>
        <v>3600</v>
      </c>
      <c r="L722" s="705">
        <f t="shared" si="3"/>
        <v>29600</v>
      </c>
      <c r="M722" s="706">
        <f t="shared" si="5"/>
        <v>29.6</v>
      </c>
    </row>
    <row r="723">
      <c r="A723" s="702" t="s">
        <v>33302</v>
      </c>
      <c r="B723" s="702" t="s">
        <v>16790</v>
      </c>
      <c r="C723" s="707"/>
      <c r="D723" s="707"/>
      <c r="E723" s="708" t="s">
        <v>841</v>
      </c>
      <c r="F723" s="709">
        <v>500.0</v>
      </c>
      <c r="G723" s="708" t="s">
        <v>44</v>
      </c>
      <c r="H723" s="709">
        <v>5.0</v>
      </c>
      <c r="I723" s="709">
        <v>500.0</v>
      </c>
      <c r="J723" s="705">
        <f t="shared" si="1"/>
        <v>3000</v>
      </c>
      <c r="K723" s="705">
        <f t="shared" si="2"/>
        <v>1300</v>
      </c>
      <c r="L723" s="705">
        <f t="shared" si="3"/>
        <v>4300</v>
      </c>
      <c r="M723" s="706">
        <f t="shared" si="5"/>
        <v>8.6</v>
      </c>
    </row>
    <row r="724">
      <c r="A724" s="702" t="s">
        <v>33302</v>
      </c>
      <c r="B724" s="702" t="s">
        <v>16800</v>
      </c>
      <c r="C724" s="707"/>
      <c r="D724" s="707"/>
      <c r="E724" s="708" t="s">
        <v>1280</v>
      </c>
      <c r="F724" s="709">
        <v>10000.0</v>
      </c>
      <c r="G724" s="708" t="s">
        <v>507</v>
      </c>
      <c r="H724" s="709">
        <v>20.0</v>
      </c>
      <c r="I724" s="705"/>
      <c r="J724" s="705">
        <f t="shared" si="1"/>
        <v>200000</v>
      </c>
      <c r="K724" s="705">
        <f t="shared" si="2"/>
        <v>21000</v>
      </c>
      <c r="L724" s="705">
        <f t="shared" si="3"/>
        <v>221000</v>
      </c>
      <c r="M724" s="706">
        <f t="shared" si="5"/>
        <v>22.1</v>
      </c>
      <c r="N724" s="526" t="s">
        <v>33305</v>
      </c>
    </row>
    <row r="725">
      <c r="A725" s="702" t="s">
        <v>33302</v>
      </c>
      <c r="B725" s="702" t="s">
        <v>16805</v>
      </c>
      <c r="C725" s="707"/>
      <c r="D725" s="707"/>
      <c r="E725" s="96" t="s">
        <v>5293</v>
      </c>
      <c r="F725" s="709">
        <v>500.0</v>
      </c>
      <c r="G725" s="708" t="s">
        <v>20765</v>
      </c>
      <c r="H725" s="709">
        <v>70.0</v>
      </c>
      <c r="I725" s="709">
        <v>1000.0</v>
      </c>
      <c r="J725" s="705">
        <f t="shared" si="1"/>
        <v>36000</v>
      </c>
      <c r="K725" s="705">
        <f t="shared" si="2"/>
        <v>4600</v>
      </c>
      <c r="L725" s="705">
        <f t="shared" si="3"/>
        <v>40600</v>
      </c>
      <c r="M725" s="706">
        <f t="shared" si="5"/>
        <v>81.2</v>
      </c>
    </row>
    <row r="726">
      <c r="A726" s="702" t="s">
        <v>33302</v>
      </c>
      <c r="B726" s="702" t="s">
        <v>16810</v>
      </c>
      <c r="C726" s="707"/>
      <c r="D726" s="707"/>
      <c r="E726" s="708" t="s">
        <v>10404</v>
      </c>
      <c r="F726" s="709">
        <v>10000.0</v>
      </c>
      <c r="G726" s="708" t="s">
        <v>822</v>
      </c>
      <c r="H726" s="709">
        <v>17.0</v>
      </c>
      <c r="I726" s="705"/>
      <c r="J726" s="705">
        <f t="shared" si="1"/>
        <v>170000</v>
      </c>
      <c r="K726" s="705">
        <f t="shared" si="2"/>
        <v>18000</v>
      </c>
      <c r="L726" s="705">
        <f t="shared" si="3"/>
        <v>188000</v>
      </c>
      <c r="M726" s="706">
        <f t="shared" si="5"/>
        <v>18.8</v>
      </c>
    </row>
    <row r="727">
      <c r="A727" s="702" t="s">
        <v>33302</v>
      </c>
      <c r="B727" s="702" t="s">
        <v>33306</v>
      </c>
      <c r="C727" s="707"/>
      <c r="D727" s="707"/>
      <c r="E727" s="708" t="s">
        <v>16850</v>
      </c>
      <c r="F727" s="709">
        <v>1000.0</v>
      </c>
      <c r="G727" s="708" t="s">
        <v>44</v>
      </c>
      <c r="H727" s="709">
        <v>130.0</v>
      </c>
      <c r="I727" s="709">
        <v>1000.0</v>
      </c>
      <c r="J727" s="705">
        <f t="shared" si="1"/>
        <v>131000</v>
      </c>
      <c r="K727" s="705">
        <f t="shared" si="2"/>
        <v>14100</v>
      </c>
      <c r="L727" s="705">
        <f t="shared" si="3"/>
        <v>145100</v>
      </c>
      <c r="M727" s="706">
        <f t="shared" si="5"/>
        <v>145.1</v>
      </c>
      <c r="N727" s="526" t="s">
        <v>33307</v>
      </c>
    </row>
    <row r="728">
      <c r="A728" s="702" t="s">
        <v>33302</v>
      </c>
      <c r="B728" s="702" t="s">
        <v>16817</v>
      </c>
      <c r="C728" s="707"/>
      <c r="D728" s="707"/>
      <c r="E728" s="708" t="s">
        <v>116</v>
      </c>
      <c r="F728" s="709">
        <v>1000.0</v>
      </c>
      <c r="G728" s="708" t="s">
        <v>507</v>
      </c>
      <c r="H728" s="709">
        <v>84.0</v>
      </c>
      <c r="I728" s="709">
        <v>1000.0</v>
      </c>
      <c r="J728" s="705">
        <f t="shared" si="1"/>
        <v>85000</v>
      </c>
      <c r="K728" s="705">
        <f t="shared" si="2"/>
        <v>9500</v>
      </c>
      <c r="L728" s="705">
        <f t="shared" si="3"/>
        <v>94500</v>
      </c>
      <c r="M728" s="706">
        <f t="shared" si="5"/>
        <v>94.5</v>
      </c>
    </row>
    <row r="729">
      <c r="A729" s="702" t="s">
        <v>33302</v>
      </c>
      <c r="B729" s="702" t="s">
        <v>16822</v>
      </c>
      <c r="C729" s="707"/>
      <c r="D729" s="707"/>
      <c r="E729" s="708" t="s">
        <v>7897</v>
      </c>
      <c r="F729" s="709">
        <v>25000.0</v>
      </c>
      <c r="G729" s="708" t="s">
        <v>1461</v>
      </c>
      <c r="H729" s="709">
        <v>17.0</v>
      </c>
      <c r="I729" s="705"/>
      <c r="J729" s="705">
        <f t="shared" si="1"/>
        <v>425000</v>
      </c>
      <c r="K729" s="705">
        <f t="shared" si="2"/>
        <v>43500</v>
      </c>
      <c r="L729" s="705">
        <f t="shared" si="3"/>
        <v>468500</v>
      </c>
      <c r="M729" s="706">
        <f t="shared" si="5"/>
        <v>18.74</v>
      </c>
    </row>
    <row r="730">
      <c r="A730" s="702" t="s">
        <v>33302</v>
      </c>
      <c r="B730" s="702" t="s">
        <v>16825</v>
      </c>
      <c r="C730" s="707"/>
      <c r="D730" s="707"/>
      <c r="E730" s="708" t="s">
        <v>31499</v>
      </c>
      <c r="F730" s="709">
        <v>1500.0</v>
      </c>
      <c r="G730" s="708" t="s">
        <v>107</v>
      </c>
      <c r="H730" s="721">
        <v>2.5</v>
      </c>
      <c r="I730" s="709">
        <v>750.0</v>
      </c>
      <c r="J730" s="705">
        <f t="shared" si="1"/>
        <v>4500</v>
      </c>
      <c r="K730" s="705">
        <f t="shared" si="2"/>
        <v>1450</v>
      </c>
      <c r="L730" s="705">
        <f t="shared" si="3"/>
        <v>5950</v>
      </c>
      <c r="M730" s="706">
        <f t="shared" si="5"/>
        <v>3.966666667</v>
      </c>
    </row>
    <row r="731">
      <c r="A731" s="702" t="s">
        <v>33302</v>
      </c>
      <c r="B731" s="702" t="s">
        <v>16825</v>
      </c>
      <c r="C731" s="707"/>
      <c r="D731" s="707"/>
      <c r="E731" s="708" t="s">
        <v>31500</v>
      </c>
      <c r="F731" s="709">
        <v>1500.0</v>
      </c>
      <c r="G731" s="708" t="s">
        <v>107</v>
      </c>
      <c r="H731" s="721">
        <v>4.0</v>
      </c>
      <c r="I731" s="709">
        <v>750.0</v>
      </c>
      <c r="J731" s="705">
        <f t="shared" si="1"/>
        <v>6750</v>
      </c>
      <c r="K731" s="705">
        <f t="shared" si="2"/>
        <v>1675</v>
      </c>
      <c r="L731" s="705">
        <f t="shared" si="3"/>
        <v>8425</v>
      </c>
      <c r="M731" s="706">
        <f t="shared" si="5"/>
        <v>5.616666667</v>
      </c>
    </row>
    <row r="732">
      <c r="A732" s="702" t="s">
        <v>33302</v>
      </c>
      <c r="B732" s="702" t="s">
        <v>16835</v>
      </c>
      <c r="C732" s="707"/>
      <c r="D732" s="707"/>
      <c r="E732" s="708" t="s">
        <v>31499</v>
      </c>
      <c r="F732" s="709">
        <v>50000.0</v>
      </c>
      <c r="G732" s="708" t="s">
        <v>2882</v>
      </c>
      <c r="H732" s="721">
        <v>2.5</v>
      </c>
      <c r="I732" s="709">
        <v>25000.0</v>
      </c>
      <c r="J732" s="705">
        <f t="shared" si="1"/>
        <v>150000</v>
      </c>
      <c r="K732" s="705">
        <f t="shared" si="2"/>
        <v>16000</v>
      </c>
      <c r="L732" s="705">
        <f t="shared" si="3"/>
        <v>166000</v>
      </c>
      <c r="M732" s="706">
        <f t="shared" si="5"/>
        <v>3.32</v>
      </c>
    </row>
    <row r="733">
      <c r="A733" s="702" t="s">
        <v>33302</v>
      </c>
      <c r="B733" s="702" t="s">
        <v>16835</v>
      </c>
      <c r="C733" s="707"/>
      <c r="D733" s="707"/>
      <c r="E733" s="708" t="s">
        <v>31500</v>
      </c>
      <c r="F733" s="709">
        <v>50000.0</v>
      </c>
      <c r="G733" s="708" t="s">
        <v>2882</v>
      </c>
      <c r="H733" s="721">
        <v>4.0</v>
      </c>
      <c r="I733" s="709">
        <v>25000.0</v>
      </c>
      <c r="J733" s="705">
        <f t="shared" si="1"/>
        <v>225000</v>
      </c>
      <c r="K733" s="705">
        <f t="shared" si="2"/>
        <v>23500</v>
      </c>
      <c r="L733" s="705">
        <f t="shared" si="3"/>
        <v>248500</v>
      </c>
      <c r="M733" s="706">
        <f t="shared" si="5"/>
        <v>4.97</v>
      </c>
    </row>
    <row r="734">
      <c r="A734" s="702" t="s">
        <v>33302</v>
      </c>
      <c r="B734" s="702" t="s">
        <v>16838</v>
      </c>
      <c r="C734" s="707"/>
      <c r="D734" s="707"/>
      <c r="E734" s="708" t="s">
        <v>33308</v>
      </c>
      <c r="F734" s="709">
        <v>500.0</v>
      </c>
      <c r="G734" s="708" t="s">
        <v>20765</v>
      </c>
      <c r="H734" s="709">
        <v>5.0</v>
      </c>
      <c r="I734" s="709">
        <v>500.0</v>
      </c>
      <c r="J734" s="705">
        <f t="shared" si="1"/>
        <v>3000</v>
      </c>
      <c r="K734" s="705">
        <f t="shared" si="2"/>
        <v>1300</v>
      </c>
      <c r="L734" s="705">
        <f t="shared" si="3"/>
        <v>4300</v>
      </c>
      <c r="M734" s="706">
        <f t="shared" si="5"/>
        <v>8.6</v>
      </c>
    </row>
    <row r="735">
      <c r="A735" s="702" t="s">
        <v>33302</v>
      </c>
      <c r="B735" s="702" t="s">
        <v>16843</v>
      </c>
      <c r="C735" s="707"/>
      <c r="D735" s="707"/>
      <c r="E735" s="708" t="s">
        <v>31499</v>
      </c>
      <c r="F735" s="709">
        <v>2000.0</v>
      </c>
      <c r="G735" s="708" t="s">
        <v>906</v>
      </c>
      <c r="H735" s="721">
        <v>2.5</v>
      </c>
      <c r="I735" s="709">
        <v>1000.0</v>
      </c>
      <c r="J735" s="705">
        <f t="shared" si="1"/>
        <v>6000</v>
      </c>
      <c r="K735" s="705">
        <f t="shared" si="2"/>
        <v>1600</v>
      </c>
      <c r="L735" s="705">
        <f t="shared" si="3"/>
        <v>7600</v>
      </c>
      <c r="M735" s="706">
        <f t="shared" si="5"/>
        <v>3.8</v>
      </c>
    </row>
    <row r="736">
      <c r="A736" s="702" t="s">
        <v>33302</v>
      </c>
      <c r="B736" s="702" t="s">
        <v>16843</v>
      </c>
      <c r="C736" s="707"/>
      <c r="D736" s="707"/>
      <c r="E736" s="708" t="s">
        <v>31500</v>
      </c>
      <c r="F736" s="709">
        <v>2000.0</v>
      </c>
      <c r="G736" s="708" t="s">
        <v>906</v>
      </c>
      <c r="H736" s="721">
        <v>4.0</v>
      </c>
      <c r="I736" s="709">
        <v>1000.0</v>
      </c>
      <c r="J736" s="705">
        <f t="shared" si="1"/>
        <v>9000</v>
      </c>
      <c r="K736" s="705">
        <f t="shared" si="2"/>
        <v>1900</v>
      </c>
      <c r="L736" s="705">
        <f t="shared" si="3"/>
        <v>10900</v>
      </c>
      <c r="M736" s="706">
        <f t="shared" si="5"/>
        <v>5.45</v>
      </c>
    </row>
    <row r="737">
      <c r="A737" s="702" t="s">
        <v>33302</v>
      </c>
      <c r="B737" s="722" t="s">
        <v>16854</v>
      </c>
      <c r="C737" s="707"/>
      <c r="D737" s="707"/>
      <c r="E737" s="708" t="s">
        <v>3165</v>
      </c>
      <c r="F737" s="709">
        <v>2000.0</v>
      </c>
      <c r="G737" s="708" t="s">
        <v>33206</v>
      </c>
      <c r="H737" s="709">
        <v>79.0</v>
      </c>
      <c r="I737" s="709">
        <v>2000.0</v>
      </c>
      <c r="J737" s="705">
        <f t="shared" si="1"/>
        <v>160000</v>
      </c>
      <c r="K737" s="705">
        <f t="shared" si="2"/>
        <v>17000</v>
      </c>
      <c r="L737" s="705">
        <f t="shared" si="3"/>
        <v>177000</v>
      </c>
      <c r="M737" s="706">
        <f t="shared" si="5"/>
        <v>88.5</v>
      </c>
    </row>
    <row r="738">
      <c r="A738" s="702" t="s">
        <v>33302</v>
      </c>
      <c r="B738" s="702" t="s">
        <v>16857</v>
      </c>
      <c r="C738" s="707"/>
      <c r="D738" s="707"/>
      <c r="E738" s="708" t="s">
        <v>16859</v>
      </c>
      <c r="F738" s="709">
        <v>500.0</v>
      </c>
      <c r="G738" s="708" t="s">
        <v>44</v>
      </c>
      <c r="H738" s="709">
        <v>5.0</v>
      </c>
      <c r="I738" s="709">
        <v>500.0</v>
      </c>
      <c r="J738" s="705">
        <f t="shared" si="1"/>
        <v>3000</v>
      </c>
      <c r="K738" s="705">
        <f t="shared" si="2"/>
        <v>1300</v>
      </c>
      <c r="L738" s="705">
        <f t="shared" si="3"/>
        <v>4300</v>
      </c>
      <c r="M738" s="706">
        <f t="shared" si="5"/>
        <v>8.6</v>
      </c>
    </row>
    <row r="739">
      <c r="A739" s="702" t="s">
        <v>33302</v>
      </c>
      <c r="B739" s="702" t="s">
        <v>16862</v>
      </c>
      <c r="C739" s="707"/>
      <c r="D739" s="707"/>
      <c r="E739" s="708" t="s">
        <v>16864</v>
      </c>
      <c r="F739" s="709">
        <v>200.0</v>
      </c>
      <c r="G739" s="708" t="s">
        <v>44</v>
      </c>
      <c r="H739" s="709">
        <v>25.0</v>
      </c>
      <c r="I739" s="709">
        <v>500.0</v>
      </c>
      <c r="J739" s="705">
        <f t="shared" si="1"/>
        <v>5500</v>
      </c>
      <c r="K739" s="705">
        <f t="shared" si="2"/>
        <v>1550</v>
      </c>
      <c r="L739" s="705">
        <f t="shared" si="3"/>
        <v>7050</v>
      </c>
      <c r="M739" s="706">
        <f t="shared" si="5"/>
        <v>35.25</v>
      </c>
      <c r="N739" s="526" t="s">
        <v>33309</v>
      </c>
    </row>
    <row r="740">
      <c r="A740" s="702" t="s">
        <v>33302</v>
      </c>
      <c r="B740" s="702" t="s">
        <v>16866</v>
      </c>
      <c r="C740" s="707"/>
      <c r="D740" s="707"/>
      <c r="E740" s="708" t="s">
        <v>1902</v>
      </c>
      <c r="F740" s="709">
        <v>100.0</v>
      </c>
      <c r="G740" s="708" t="s">
        <v>44</v>
      </c>
      <c r="H740" s="709">
        <v>30.0</v>
      </c>
      <c r="I740" s="709">
        <v>500.0</v>
      </c>
      <c r="J740" s="705">
        <f t="shared" si="1"/>
        <v>3500</v>
      </c>
      <c r="K740" s="705">
        <f t="shared" si="2"/>
        <v>1350</v>
      </c>
      <c r="L740" s="705">
        <f t="shared" si="3"/>
        <v>4850</v>
      </c>
      <c r="M740" s="706">
        <f t="shared" si="5"/>
        <v>48.5</v>
      </c>
    </row>
    <row r="741">
      <c r="A741" s="702" t="s">
        <v>33302</v>
      </c>
      <c r="B741" s="702" t="s">
        <v>16866</v>
      </c>
      <c r="C741" s="707"/>
      <c r="D741" s="707"/>
      <c r="E741" s="708" t="s">
        <v>12378</v>
      </c>
      <c r="F741" s="709">
        <v>200.0</v>
      </c>
      <c r="G741" s="708" t="s">
        <v>44</v>
      </c>
      <c r="H741" s="709">
        <v>13.2</v>
      </c>
      <c r="I741" s="709">
        <v>500.0</v>
      </c>
      <c r="J741" s="705">
        <f t="shared" si="1"/>
        <v>3140</v>
      </c>
      <c r="K741" s="705">
        <f t="shared" si="2"/>
        <v>1314</v>
      </c>
      <c r="L741" s="705">
        <f t="shared" si="3"/>
        <v>4454</v>
      </c>
      <c r="M741" s="706">
        <f t="shared" si="5"/>
        <v>22.27</v>
      </c>
    </row>
    <row r="742">
      <c r="A742" s="702" t="s">
        <v>33302</v>
      </c>
      <c r="B742" s="702" t="s">
        <v>33310</v>
      </c>
      <c r="C742" s="707"/>
      <c r="D742" s="707"/>
      <c r="E742" s="708" t="s">
        <v>31</v>
      </c>
      <c r="F742" s="709">
        <v>20000.0</v>
      </c>
      <c r="G742" s="708" t="s">
        <v>507</v>
      </c>
      <c r="H742" s="709">
        <v>6.0</v>
      </c>
      <c r="I742" s="705"/>
      <c r="J742" s="705">
        <f t="shared" si="1"/>
        <v>120000</v>
      </c>
      <c r="K742" s="705">
        <f t="shared" si="2"/>
        <v>13000</v>
      </c>
      <c r="L742" s="705">
        <f t="shared" si="3"/>
        <v>133000</v>
      </c>
      <c r="M742" s="706">
        <f t="shared" si="5"/>
        <v>6.65</v>
      </c>
      <c r="N742" s="526" t="s">
        <v>33311</v>
      </c>
    </row>
    <row r="743">
      <c r="A743" s="702" t="s">
        <v>33302</v>
      </c>
      <c r="B743" s="702" t="s">
        <v>16871</v>
      </c>
      <c r="C743" s="707"/>
      <c r="D743" s="707"/>
      <c r="E743" s="708" t="s">
        <v>32928</v>
      </c>
      <c r="F743" s="709">
        <v>200.0</v>
      </c>
      <c r="G743" s="708" t="s">
        <v>1561</v>
      </c>
      <c r="H743" s="709">
        <v>5.2</v>
      </c>
      <c r="I743" s="709">
        <v>500.0</v>
      </c>
      <c r="J743" s="705">
        <f t="shared" si="1"/>
        <v>1540</v>
      </c>
      <c r="K743" s="705">
        <f t="shared" si="2"/>
        <v>1154</v>
      </c>
      <c r="L743" s="705">
        <f t="shared" si="3"/>
        <v>2694</v>
      </c>
      <c r="M743" s="706">
        <f t="shared" si="5"/>
        <v>13.47</v>
      </c>
    </row>
    <row r="744">
      <c r="A744" s="702" t="s">
        <v>33302</v>
      </c>
      <c r="B744" s="702" t="s">
        <v>16871</v>
      </c>
      <c r="C744" s="707"/>
      <c r="D744" s="707"/>
      <c r="E744" s="708" t="s">
        <v>2622</v>
      </c>
      <c r="F744" s="712">
        <v>20000.0</v>
      </c>
      <c r="G744" s="708" t="s">
        <v>1561</v>
      </c>
      <c r="H744" s="709">
        <v>21.3</v>
      </c>
      <c r="I744" s="709">
        <v>500.0</v>
      </c>
      <c r="J744" s="705">
        <f t="shared" si="1"/>
        <v>426500</v>
      </c>
      <c r="K744" s="705">
        <f t="shared" si="2"/>
        <v>43650</v>
      </c>
      <c r="L744" s="705">
        <f t="shared" si="3"/>
        <v>470150</v>
      </c>
      <c r="M744" s="706">
        <f t="shared" si="5"/>
        <v>23.5075</v>
      </c>
    </row>
    <row r="745">
      <c r="A745" s="702" t="s">
        <v>33302</v>
      </c>
      <c r="B745" s="702" t="s">
        <v>16871</v>
      </c>
      <c r="C745" s="707"/>
      <c r="D745" s="707"/>
      <c r="E745" s="708" t="s">
        <v>5988</v>
      </c>
      <c r="F745" s="709">
        <v>200.0</v>
      </c>
      <c r="G745" s="708" t="s">
        <v>1561</v>
      </c>
      <c r="H745" s="709">
        <v>96.0</v>
      </c>
      <c r="I745" s="709">
        <v>500.0</v>
      </c>
      <c r="J745" s="705">
        <f t="shared" si="1"/>
        <v>19700</v>
      </c>
      <c r="K745" s="705">
        <f t="shared" si="2"/>
        <v>2970</v>
      </c>
      <c r="L745" s="705">
        <f t="shared" si="3"/>
        <v>22670</v>
      </c>
      <c r="M745" s="706">
        <f t="shared" si="5"/>
        <v>113.35</v>
      </c>
    </row>
    <row r="746">
      <c r="A746" s="702" t="s">
        <v>33302</v>
      </c>
      <c r="B746" s="702" t="s">
        <v>16871</v>
      </c>
      <c r="C746" s="707"/>
      <c r="D746" s="707"/>
      <c r="E746" s="708" t="s">
        <v>3165</v>
      </c>
      <c r="F746" s="709">
        <v>200.0</v>
      </c>
      <c r="G746" s="708" t="s">
        <v>1561</v>
      </c>
      <c r="H746" s="709">
        <v>79.0</v>
      </c>
      <c r="I746" s="709">
        <v>500.0</v>
      </c>
      <c r="J746" s="705">
        <f t="shared" si="1"/>
        <v>16300</v>
      </c>
      <c r="K746" s="705">
        <f t="shared" si="2"/>
        <v>2630</v>
      </c>
      <c r="L746" s="705">
        <f t="shared" si="3"/>
        <v>18930</v>
      </c>
      <c r="M746" s="706">
        <f t="shared" si="5"/>
        <v>94.65</v>
      </c>
    </row>
    <row r="747">
      <c r="A747" s="702" t="s">
        <v>33302</v>
      </c>
      <c r="B747" s="702" t="s">
        <v>16871</v>
      </c>
      <c r="C747" s="707"/>
      <c r="D747" s="707"/>
      <c r="E747" s="708" t="s">
        <v>501</v>
      </c>
      <c r="F747" s="712">
        <v>20000.0</v>
      </c>
      <c r="G747" s="708" t="s">
        <v>1561</v>
      </c>
      <c r="H747" s="709">
        <v>10.0</v>
      </c>
      <c r="I747" s="709">
        <v>500.0</v>
      </c>
      <c r="J747" s="705">
        <f t="shared" si="1"/>
        <v>200500</v>
      </c>
      <c r="K747" s="705">
        <f t="shared" si="2"/>
        <v>21050</v>
      </c>
      <c r="L747" s="705">
        <f t="shared" si="3"/>
        <v>221550</v>
      </c>
      <c r="M747" s="706">
        <f t="shared" si="5"/>
        <v>11.0775</v>
      </c>
    </row>
    <row r="748">
      <c r="A748" s="702" t="s">
        <v>33302</v>
      </c>
      <c r="B748" s="702" t="s">
        <v>16871</v>
      </c>
      <c r="C748" s="707"/>
      <c r="D748" s="707"/>
      <c r="E748" s="708" t="s">
        <v>1749</v>
      </c>
      <c r="F748" s="709">
        <v>200.0</v>
      </c>
      <c r="G748" s="708" t="s">
        <v>1561</v>
      </c>
      <c r="H748" s="709">
        <v>52.0</v>
      </c>
      <c r="I748" s="709">
        <v>500.0</v>
      </c>
      <c r="J748" s="705">
        <f t="shared" si="1"/>
        <v>10900</v>
      </c>
      <c r="K748" s="705">
        <f t="shared" si="2"/>
        <v>2090</v>
      </c>
      <c r="L748" s="705">
        <f t="shared" si="3"/>
        <v>12990</v>
      </c>
      <c r="M748" s="706">
        <f t="shared" si="5"/>
        <v>64.95</v>
      </c>
    </row>
    <row r="749">
      <c r="A749" s="702" t="s">
        <v>33312</v>
      </c>
      <c r="B749" s="702" t="s">
        <v>33313</v>
      </c>
      <c r="C749" s="707"/>
      <c r="D749" s="707"/>
      <c r="E749" s="708" t="s">
        <v>794</v>
      </c>
      <c r="F749" s="709">
        <v>1000.0</v>
      </c>
      <c r="G749" s="708" t="s">
        <v>44</v>
      </c>
      <c r="H749" s="709">
        <v>5.0</v>
      </c>
      <c r="I749" s="709">
        <v>1000.0</v>
      </c>
      <c r="J749" s="705">
        <f t="shared" si="1"/>
        <v>6000</v>
      </c>
      <c r="K749" s="705">
        <f t="shared" si="2"/>
        <v>1600</v>
      </c>
      <c r="L749" s="705">
        <f t="shared" si="3"/>
        <v>7600</v>
      </c>
      <c r="M749" s="706">
        <f t="shared" si="5"/>
        <v>7.6</v>
      </c>
    </row>
    <row r="750">
      <c r="A750" s="702" t="s">
        <v>33312</v>
      </c>
      <c r="B750" s="702" t="s">
        <v>33314</v>
      </c>
      <c r="C750" s="707"/>
      <c r="D750" s="707"/>
      <c r="E750" s="708" t="s">
        <v>286</v>
      </c>
      <c r="F750" s="709">
        <v>5000.0</v>
      </c>
      <c r="G750" s="708" t="s">
        <v>2682</v>
      </c>
      <c r="H750" s="709">
        <v>28.0</v>
      </c>
      <c r="I750" s="709">
        <v>5000.0</v>
      </c>
      <c r="J750" s="705">
        <f t="shared" si="1"/>
        <v>145000</v>
      </c>
      <c r="K750" s="705">
        <f t="shared" si="2"/>
        <v>15500</v>
      </c>
      <c r="L750" s="705">
        <f t="shared" si="3"/>
        <v>160500</v>
      </c>
      <c r="M750" s="706">
        <f t="shared" si="5"/>
        <v>32.1</v>
      </c>
      <c r="N750" s="526" t="s">
        <v>33276</v>
      </c>
    </row>
    <row r="751">
      <c r="A751" s="702" t="s">
        <v>33312</v>
      </c>
      <c r="B751" s="702" t="s">
        <v>33315</v>
      </c>
      <c r="C751" s="707"/>
      <c r="D751" s="707"/>
      <c r="E751" s="708" t="s">
        <v>8247</v>
      </c>
      <c r="F751" s="709">
        <v>1000.0</v>
      </c>
      <c r="G751" s="708" t="s">
        <v>44</v>
      </c>
      <c r="H751" s="709">
        <v>120.0</v>
      </c>
      <c r="I751" s="709">
        <v>1000.0</v>
      </c>
      <c r="J751" s="705">
        <f t="shared" si="1"/>
        <v>121000</v>
      </c>
      <c r="K751" s="705">
        <f t="shared" si="2"/>
        <v>13100</v>
      </c>
      <c r="L751" s="705">
        <f t="shared" si="3"/>
        <v>134100</v>
      </c>
      <c r="M751" s="706">
        <f t="shared" si="5"/>
        <v>134.1</v>
      </c>
      <c r="N751" s="526" t="s">
        <v>33316</v>
      </c>
    </row>
    <row r="752">
      <c r="A752" s="702" t="s">
        <v>33312</v>
      </c>
      <c r="B752" s="702" t="s">
        <v>33317</v>
      </c>
      <c r="C752" s="707"/>
      <c r="D752" s="707"/>
      <c r="E752" s="708" t="s">
        <v>5844</v>
      </c>
      <c r="F752" s="709">
        <v>5000.0</v>
      </c>
      <c r="G752" s="708" t="s">
        <v>10533</v>
      </c>
      <c r="H752" s="709">
        <v>35.0</v>
      </c>
      <c r="I752" s="709">
        <v>5000.0</v>
      </c>
      <c r="J752" s="705">
        <f t="shared" si="1"/>
        <v>180000</v>
      </c>
      <c r="K752" s="705">
        <f t="shared" si="2"/>
        <v>19000</v>
      </c>
      <c r="L752" s="705">
        <f t="shared" si="3"/>
        <v>199000</v>
      </c>
      <c r="M752" s="706">
        <f t="shared" si="5"/>
        <v>39.8</v>
      </c>
      <c r="N752" s="526" t="s">
        <v>33318</v>
      </c>
    </row>
    <row r="753">
      <c r="A753" s="702" t="s">
        <v>33312</v>
      </c>
      <c r="B753" s="702" t="s">
        <v>16884</v>
      </c>
      <c r="C753" s="707"/>
      <c r="D753" s="707"/>
      <c r="E753" s="708" t="s">
        <v>12378</v>
      </c>
      <c r="F753" s="709">
        <v>100.0</v>
      </c>
      <c r="G753" s="708" t="s">
        <v>20765</v>
      </c>
      <c r="H753" s="709">
        <v>13.2</v>
      </c>
      <c r="I753" s="709">
        <v>500.0</v>
      </c>
      <c r="J753" s="705">
        <f t="shared" si="1"/>
        <v>1820</v>
      </c>
      <c r="K753" s="705">
        <f t="shared" si="2"/>
        <v>1182</v>
      </c>
      <c r="L753" s="705">
        <f t="shared" si="3"/>
        <v>3002</v>
      </c>
      <c r="M753" s="706">
        <f t="shared" si="5"/>
        <v>30.02</v>
      </c>
    </row>
    <row r="754">
      <c r="A754" s="702" t="s">
        <v>33312</v>
      </c>
      <c r="B754" s="96" t="s">
        <v>16889</v>
      </c>
      <c r="C754" s="707"/>
      <c r="D754" s="707"/>
      <c r="E754" s="708" t="s">
        <v>3165</v>
      </c>
      <c r="F754" s="709">
        <v>100.0</v>
      </c>
      <c r="G754" s="708" t="s">
        <v>44</v>
      </c>
      <c r="H754" s="709">
        <v>79.0</v>
      </c>
      <c r="I754" s="709">
        <v>500.0</v>
      </c>
      <c r="J754" s="705">
        <f t="shared" si="1"/>
        <v>8400</v>
      </c>
      <c r="K754" s="705">
        <f t="shared" si="2"/>
        <v>1840</v>
      </c>
      <c r="L754" s="705">
        <f t="shared" si="3"/>
        <v>10240</v>
      </c>
      <c r="M754" s="706">
        <f t="shared" si="5"/>
        <v>102.4</v>
      </c>
    </row>
    <row r="755">
      <c r="A755" s="702" t="s">
        <v>33312</v>
      </c>
      <c r="B755" s="96" t="s">
        <v>16889</v>
      </c>
      <c r="C755" s="707"/>
      <c r="D755" s="707"/>
      <c r="E755" s="708" t="s">
        <v>501</v>
      </c>
      <c r="F755" s="709">
        <v>300.0</v>
      </c>
      <c r="G755" s="708" t="s">
        <v>44</v>
      </c>
      <c r="H755" s="709">
        <v>10.0</v>
      </c>
      <c r="I755" s="709">
        <v>500.0</v>
      </c>
      <c r="J755" s="705">
        <f t="shared" si="1"/>
        <v>3500</v>
      </c>
      <c r="K755" s="705">
        <f t="shared" si="2"/>
        <v>1350</v>
      </c>
      <c r="L755" s="705">
        <f t="shared" si="3"/>
        <v>4850</v>
      </c>
      <c r="M755" s="706">
        <f t="shared" si="5"/>
        <v>16.16666667</v>
      </c>
    </row>
    <row r="756">
      <c r="A756" s="702" t="s">
        <v>33312</v>
      </c>
      <c r="B756" s="96" t="s">
        <v>16889</v>
      </c>
      <c r="C756" s="707"/>
      <c r="D756" s="707"/>
      <c r="E756" s="708" t="s">
        <v>1749</v>
      </c>
      <c r="F756" s="709">
        <v>300.0</v>
      </c>
      <c r="G756" s="708" t="s">
        <v>44</v>
      </c>
      <c r="H756" s="709">
        <v>52.0</v>
      </c>
      <c r="I756" s="709">
        <v>500.0</v>
      </c>
      <c r="J756" s="705">
        <f t="shared" si="1"/>
        <v>16100</v>
      </c>
      <c r="K756" s="705">
        <f t="shared" si="2"/>
        <v>2610</v>
      </c>
      <c r="L756" s="705">
        <f t="shared" si="3"/>
        <v>18710</v>
      </c>
      <c r="M756" s="706">
        <f t="shared" si="5"/>
        <v>62.36666667</v>
      </c>
    </row>
    <row r="757">
      <c r="A757" s="702" t="s">
        <v>33319</v>
      </c>
      <c r="B757" s="702" t="s">
        <v>33320</v>
      </c>
      <c r="C757" s="707"/>
      <c r="D757" s="707"/>
      <c r="E757" s="708" t="s">
        <v>9187</v>
      </c>
      <c r="F757" s="709">
        <v>15000.0</v>
      </c>
      <c r="G757" s="708" t="s">
        <v>44</v>
      </c>
      <c r="H757" s="709">
        <v>5.0</v>
      </c>
      <c r="I757" s="705"/>
      <c r="J757" s="705">
        <f t="shared" si="1"/>
        <v>75000</v>
      </c>
      <c r="K757" s="705">
        <f t="shared" si="2"/>
        <v>8500</v>
      </c>
      <c r="L757" s="705">
        <f t="shared" si="3"/>
        <v>83500</v>
      </c>
      <c r="M757" s="706">
        <f t="shared" si="5"/>
        <v>5.566666667</v>
      </c>
    </row>
    <row r="758">
      <c r="A758" s="702" t="s">
        <v>33319</v>
      </c>
      <c r="B758" s="702" t="s">
        <v>16949</v>
      </c>
      <c r="C758" s="707"/>
      <c r="D758" s="707"/>
      <c r="E758" s="708" t="s">
        <v>1749</v>
      </c>
      <c r="F758" s="709">
        <v>100.0</v>
      </c>
      <c r="G758" s="708" t="s">
        <v>158</v>
      </c>
      <c r="H758" s="709">
        <v>52.0</v>
      </c>
      <c r="I758" s="709">
        <v>500.0</v>
      </c>
      <c r="J758" s="705">
        <f t="shared" si="1"/>
        <v>5700</v>
      </c>
      <c r="K758" s="705">
        <f t="shared" si="2"/>
        <v>1570</v>
      </c>
      <c r="L758" s="705">
        <f t="shared" si="3"/>
        <v>7270</v>
      </c>
      <c r="M758" s="706">
        <f t="shared" si="5"/>
        <v>72.7</v>
      </c>
    </row>
    <row r="759">
      <c r="A759" s="702" t="s">
        <v>33319</v>
      </c>
      <c r="B759" s="702" t="s">
        <v>33321</v>
      </c>
      <c r="C759" s="707"/>
      <c r="D759" s="707"/>
      <c r="E759" s="708" t="s">
        <v>1749</v>
      </c>
      <c r="F759" s="709">
        <v>1000.0</v>
      </c>
      <c r="G759" s="708" t="s">
        <v>44</v>
      </c>
      <c r="H759" s="709">
        <v>52.0</v>
      </c>
      <c r="I759" s="709">
        <v>1000.0</v>
      </c>
      <c r="J759" s="705">
        <f t="shared" si="1"/>
        <v>53000</v>
      </c>
      <c r="K759" s="705">
        <f t="shared" si="2"/>
        <v>6300</v>
      </c>
      <c r="L759" s="705">
        <f t="shared" si="3"/>
        <v>59300</v>
      </c>
      <c r="M759" s="706">
        <f t="shared" si="5"/>
        <v>59.3</v>
      </c>
    </row>
    <row r="760">
      <c r="A760" s="702" t="s">
        <v>33319</v>
      </c>
      <c r="B760" s="702" t="s">
        <v>33322</v>
      </c>
      <c r="C760" s="707"/>
      <c r="D760" s="707"/>
      <c r="E760" s="708" t="s">
        <v>130</v>
      </c>
      <c r="F760" s="709">
        <v>15000.0</v>
      </c>
      <c r="G760" s="708" t="s">
        <v>44</v>
      </c>
      <c r="H760" s="709">
        <v>25.0</v>
      </c>
      <c r="I760" s="705"/>
      <c r="J760" s="705">
        <f t="shared" si="1"/>
        <v>375000</v>
      </c>
      <c r="K760" s="705">
        <f t="shared" si="2"/>
        <v>38500</v>
      </c>
      <c r="L760" s="705">
        <f t="shared" si="3"/>
        <v>413500</v>
      </c>
      <c r="M760" s="706">
        <f t="shared" si="5"/>
        <v>27.56666667</v>
      </c>
    </row>
    <row r="761">
      <c r="A761" s="702" t="s">
        <v>33319</v>
      </c>
      <c r="B761" s="702" t="s">
        <v>33323</v>
      </c>
      <c r="C761" s="707"/>
      <c r="D761" s="707"/>
      <c r="E761" s="708" t="s">
        <v>9187</v>
      </c>
      <c r="F761" s="709">
        <v>30000.0</v>
      </c>
      <c r="G761" s="708" t="s">
        <v>44</v>
      </c>
      <c r="H761" s="709">
        <v>5.0</v>
      </c>
      <c r="I761" s="705"/>
      <c r="J761" s="705">
        <f t="shared" si="1"/>
        <v>150000</v>
      </c>
      <c r="K761" s="705">
        <f t="shared" si="2"/>
        <v>16000</v>
      </c>
      <c r="L761" s="705">
        <f t="shared" si="3"/>
        <v>166000</v>
      </c>
      <c r="M761" s="706">
        <f t="shared" si="5"/>
        <v>5.533333333</v>
      </c>
    </row>
    <row r="762">
      <c r="A762" s="702" t="s">
        <v>33319</v>
      </c>
      <c r="B762" s="702" t="s">
        <v>33324</v>
      </c>
      <c r="C762" s="707"/>
      <c r="D762" s="707"/>
      <c r="E762" s="708" t="s">
        <v>31499</v>
      </c>
      <c r="F762" s="709">
        <v>1000.0</v>
      </c>
      <c r="G762" s="708" t="s">
        <v>10533</v>
      </c>
      <c r="H762" s="709">
        <v>2.5</v>
      </c>
      <c r="I762" s="709">
        <v>500.0</v>
      </c>
      <c r="J762" s="705">
        <f t="shared" si="1"/>
        <v>3000</v>
      </c>
      <c r="K762" s="705">
        <f t="shared" si="2"/>
        <v>1300</v>
      </c>
      <c r="L762" s="705">
        <f t="shared" si="3"/>
        <v>4300</v>
      </c>
      <c r="M762" s="706">
        <f t="shared" si="5"/>
        <v>4.3</v>
      </c>
    </row>
    <row r="763">
      <c r="A763" s="702" t="s">
        <v>33319</v>
      </c>
      <c r="B763" s="702" t="s">
        <v>33324</v>
      </c>
      <c r="C763" s="707"/>
      <c r="D763" s="707"/>
      <c r="E763" s="708" t="s">
        <v>31500</v>
      </c>
      <c r="F763" s="709">
        <v>1000.0</v>
      </c>
      <c r="G763" s="708" t="s">
        <v>10533</v>
      </c>
      <c r="H763" s="709">
        <v>4.0</v>
      </c>
      <c r="I763" s="709">
        <v>500.0</v>
      </c>
      <c r="J763" s="705">
        <f t="shared" si="1"/>
        <v>4500</v>
      </c>
      <c r="K763" s="705">
        <f t="shared" si="2"/>
        <v>1450</v>
      </c>
      <c r="L763" s="705">
        <f t="shared" si="3"/>
        <v>5950</v>
      </c>
      <c r="M763" s="706">
        <f t="shared" si="5"/>
        <v>5.95</v>
      </c>
    </row>
    <row r="764">
      <c r="A764" s="702" t="s">
        <v>33319</v>
      </c>
      <c r="B764" s="702" t="s">
        <v>33325</v>
      </c>
      <c r="C764" s="707"/>
      <c r="D764" s="707"/>
      <c r="E764" s="708" t="s">
        <v>794</v>
      </c>
      <c r="F764" s="709">
        <v>10000.0</v>
      </c>
      <c r="G764" s="708" t="s">
        <v>44</v>
      </c>
      <c r="H764" s="709">
        <v>5.0</v>
      </c>
      <c r="I764" s="705"/>
      <c r="J764" s="705">
        <f t="shared" si="1"/>
        <v>50000</v>
      </c>
      <c r="K764" s="705">
        <f t="shared" si="2"/>
        <v>6000</v>
      </c>
      <c r="L764" s="705">
        <f t="shared" si="3"/>
        <v>56000</v>
      </c>
      <c r="M764" s="706">
        <f t="shared" si="5"/>
        <v>5.6</v>
      </c>
    </row>
    <row r="765">
      <c r="A765" s="702" t="s">
        <v>33326</v>
      </c>
      <c r="B765" s="702" t="s">
        <v>33327</v>
      </c>
      <c r="C765" s="707"/>
      <c r="D765" s="707"/>
      <c r="E765" s="708" t="s">
        <v>32999</v>
      </c>
      <c r="F765" s="709">
        <v>200.0</v>
      </c>
      <c r="G765" s="708" t="s">
        <v>196</v>
      </c>
      <c r="H765" s="709">
        <v>79.0</v>
      </c>
      <c r="I765" s="709">
        <v>500.0</v>
      </c>
      <c r="J765" s="705">
        <f t="shared" si="1"/>
        <v>16300</v>
      </c>
      <c r="K765" s="705">
        <f t="shared" si="2"/>
        <v>2630</v>
      </c>
      <c r="L765" s="705">
        <f t="shared" si="3"/>
        <v>18930</v>
      </c>
      <c r="M765" s="706">
        <f t="shared" si="5"/>
        <v>94.65</v>
      </c>
    </row>
    <row r="766">
      <c r="A766" s="702" t="s">
        <v>33326</v>
      </c>
      <c r="B766" s="702" t="s">
        <v>33327</v>
      </c>
      <c r="C766" s="707"/>
      <c r="D766" s="707"/>
      <c r="E766" s="708" t="s">
        <v>501</v>
      </c>
      <c r="F766" s="709">
        <v>300.0</v>
      </c>
      <c r="G766" s="708" t="s">
        <v>196</v>
      </c>
      <c r="H766" s="709">
        <v>10.0</v>
      </c>
      <c r="I766" s="709">
        <v>500.0</v>
      </c>
      <c r="J766" s="705">
        <f t="shared" si="1"/>
        <v>3500</v>
      </c>
      <c r="K766" s="705">
        <f t="shared" si="2"/>
        <v>1350</v>
      </c>
      <c r="L766" s="705">
        <f t="shared" si="3"/>
        <v>4850</v>
      </c>
      <c r="M766" s="706">
        <f t="shared" si="5"/>
        <v>16.16666667</v>
      </c>
    </row>
    <row r="767">
      <c r="A767" s="702" t="s">
        <v>33326</v>
      </c>
      <c r="B767" s="702" t="s">
        <v>33327</v>
      </c>
      <c r="C767" s="707"/>
      <c r="D767" s="707"/>
      <c r="E767" s="708" t="s">
        <v>1749</v>
      </c>
      <c r="F767" s="709">
        <v>300.0</v>
      </c>
      <c r="G767" s="708" t="s">
        <v>196</v>
      </c>
      <c r="H767" s="709">
        <v>52.0</v>
      </c>
      <c r="I767" s="709">
        <v>500.0</v>
      </c>
      <c r="J767" s="705">
        <f t="shared" si="1"/>
        <v>16100</v>
      </c>
      <c r="K767" s="705">
        <f t="shared" si="2"/>
        <v>2610</v>
      </c>
      <c r="L767" s="705">
        <f t="shared" si="3"/>
        <v>18710</v>
      </c>
      <c r="M767" s="706">
        <f t="shared" si="5"/>
        <v>62.36666667</v>
      </c>
    </row>
    <row r="768">
      <c r="A768" s="702" t="s">
        <v>33326</v>
      </c>
      <c r="B768" s="702" t="s">
        <v>33328</v>
      </c>
      <c r="C768" s="707"/>
      <c r="D768" s="707"/>
      <c r="E768" s="708" t="s">
        <v>189</v>
      </c>
      <c r="F768" s="709">
        <v>7500.0</v>
      </c>
      <c r="G768" s="708" t="s">
        <v>44</v>
      </c>
      <c r="H768" s="709">
        <v>6.0</v>
      </c>
      <c r="I768" s="709">
        <v>7500.0</v>
      </c>
      <c r="J768" s="705">
        <f t="shared" si="1"/>
        <v>52500</v>
      </c>
      <c r="K768" s="705">
        <f t="shared" si="2"/>
        <v>6250</v>
      </c>
      <c r="L768" s="705">
        <f t="shared" si="3"/>
        <v>58750</v>
      </c>
      <c r="M768" s="706">
        <f t="shared" si="5"/>
        <v>7.833333333</v>
      </c>
    </row>
    <row r="769">
      <c r="A769" s="702" t="s">
        <v>33326</v>
      </c>
      <c r="B769" s="702" t="s">
        <v>16962</v>
      </c>
      <c r="C769" s="707"/>
      <c r="D769" s="707"/>
      <c r="E769" s="708" t="s">
        <v>11748</v>
      </c>
      <c r="F769" s="709">
        <v>50000.0</v>
      </c>
      <c r="G769" s="708" t="s">
        <v>906</v>
      </c>
      <c r="H769" s="709">
        <v>21.0</v>
      </c>
      <c r="I769" s="705"/>
      <c r="J769" s="705">
        <f t="shared" si="1"/>
        <v>1050000</v>
      </c>
      <c r="K769" s="705">
        <f t="shared" si="2"/>
        <v>106000</v>
      </c>
      <c r="L769" s="705">
        <f t="shared" si="3"/>
        <v>1156000</v>
      </c>
      <c r="M769" s="706">
        <f t="shared" si="5"/>
        <v>23.12</v>
      </c>
      <c r="N769" s="526" t="s">
        <v>33329</v>
      </c>
    </row>
    <row r="770">
      <c r="A770" s="702" t="s">
        <v>33326</v>
      </c>
      <c r="B770" s="702" t="s">
        <v>16978</v>
      </c>
      <c r="C770" s="707"/>
      <c r="D770" s="707"/>
      <c r="E770" s="708" t="s">
        <v>33330</v>
      </c>
      <c r="F770" s="709">
        <v>500.0</v>
      </c>
      <c r="G770" s="708" t="s">
        <v>44</v>
      </c>
      <c r="H770" s="709">
        <v>6.0</v>
      </c>
      <c r="I770" s="709">
        <v>500.0</v>
      </c>
      <c r="J770" s="705">
        <f t="shared" si="1"/>
        <v>3500</v>
      </c>
      <c r="K770" s="705">
        <f t="shared" si="2"/>
        <v>1350</v>
      </c>
      <c r="L770" s="705">
        <f t="shared" si="3"/>
        <v>4850</v>
      </c>
      <c r="M770" s="706">
        <f t="shared" si="5"/>
        <v>9.7</v>
      </c>
    </row>
    <row r="771">
      <c r="A771" s="702" t="s">
        <v>33326</v>
      </c>
      <c r="B771" s="702" t="s">
        <v>16990</v>
      </c>
      <c r="C771" s="707"/>
      <c r="D771" s="707"/>
      <c r="E771" s="708" t="s">
        <v>38</v>
      </c>
      <c r="F771" s="709">
        <v>500.0</v>
      </c>
      <c r="G771" s="708" t="s">
        <v>184</v>
      </c>
      <c r="H771" s="709">
        <v>85.0</v>
      </c>
      <c r="I771" s="709">
        <v>500.0</v>
      </c>
      <c r="J771" s="705">
        <f t="shared" si="1"/>
        <v>43000</v>
      </c>
      <c r="K771" s="705">
        <f t="shared" si="2"/>
        <v>5300</v>
      </c>
      <c r="L771" s="705">
        <f t="shared" si="3"/>
        <v>48300</v>
      </c>
      <c r="M771" s="706">
        <f t="shared" si="5"/>
        <v>96.6</v>
      </c>
      <c r="N771" s="526" t="s">
        <v>33331</v>
      </c>
    </row>
    <row r="772">
      <c r="A772" s="702" t="s">
        <v>33326</v>
      </c>
      <c r="B772" s="702" t="s">
        <v>16981</v>
      </c>
      <c r="C772" s="707"/>
      <c r="D772" s="707"/>
      <c r="E772" s="708" t="s">
        <v>152</v>
      </c>
      <c r="F772" s="709">
        <v>200.0</v>
      </c>
      <c r="G772" s="708" t="s">
        <v>2682</v>
      </c>
      <c r="H772" s="709">
        <v>17.0</v>
      </c>
      <c r="I772" s="709">
        <v>500.0</v>
      </c>
      <c r="J772" s="705">
        <f t="shared" si="1"/>
        <v>3900</v>
      </c>
      <c r="K772" s="705">
        <f t="shared" si="2"/>
        <v>1390</v>
      </c>
      <c r="L772" s="705">
        <f t="shared" si="3"/>
        <v>5290</v>
      </c>
      <c r="M772" s="706">
        <f t="shared" si="5"/>
        <v>26.45</v>
      </c>
    </row>
    <row r="773">
      <c r="A773" s="702" t="s">
        <v>33326</v>
      </c>
      <c r="B773" s="702" t="s">
        <v>33332</v>
      </c>
      <c r="C773" s="707"/>
      <c r="D773" s="707"/>
      <c r="E773" s="708" t="s">
        <v>9187</v>
      </c>
      <c r="F773" s="709">
        <v>4000.0</v>
      </c>
      <c r="G773" s="708" t="s">
        <v>44</v>
      </c>
      <c r="H773" s="709">
        <v>5.0</v>
      </c>
      <c r="I773" s="709">
        <v>4000.0</v>
      </c>
      <c r="J773" s="705">
        <f t="shared" si="1"/>
        <v>24000</v>
      </c>
      <c r="K773" s="705">
        <f t="shared" si="2"/>
        <v>3400</v>
      </c>
      <c r="L773" s="705">
        <f t="shared" si="3"/>
        <v>27400</v>
      </c>
      <c r="M773" s="706">
        <f t="shared" si="5"/>
        <v>6.85</v>
      </c>
    </row>
    <row r="774">
      <c r="A774" s="702" t="s">
        <v>33326</v>
      </c>
      <c r="B774" s="702" t="s">
        <v>33333</v>
      </c>
      <c r="C774" s="707"/>
      <c r="D774" s="707"/>
      <c r="E774" s="708" t="s">
        <v>31499</v>
      </c>
      <c r="F774" s="709">
        <v>2500.0</v>
      </c>
      <c r="G774" s="720" t="s">
        <v>507</v>
      </c>
      <c r="H774" s="709">
        <v>2.5</v>
      </c>
      <c r="I774" s="709">
        <v>1250.0</v>
      </c>
      <c r="J774" s="705">
        <f t="shared" si="1"/>
        <v>7500</v>
      </c>
      <c r="K774" s="705">
        <f t="shared" si="2"/>
        <v>1750</v>
      </c>
      <c r="L774" s="705">
        <f t="shared" si="3"/>
        <v>9250</v>
      </c>
      <c r="M774" s="706">
        <f t="shared" si="5"/>
        <v>3.7</v>
      </c>
    </row>
    <row r="775">
      <c r="A775" s="702" t="s">
        <v>33326</v>
      </c>
      <c r="B775" s="702" t="s">
        <v>33333</v>
      </c>
      <c r="C775" s="707"/>
      <c r="D775" s="707"/>
      <c r="E775" s="708" t="s">
        <v>31500</v>
      </c>
      <c r="F775" s="709">
        <v>2500.0</v>
      </c>
      <c r="G775" s="708" t="s">
        <v>507</v>
      </c>
      <c r="H775" s="709">
        <v>4.0</v>
      </c>
      <c r="I775" s="709">
        <v>1250.0</v>
      </c>
      <c r="J775" s="705">
        <f t="shared" si="1"/>
        <v>11250</v>
      </c>
      <c r="K775" s="705">
        <f t="shared" si="2"/>
        <v>2125</v>
      </c>
      <c r="L775" s="705">
        <f t="shared" si="3"/>
        <v>13375</v>
      </c>
      <c r="M775" s="706">
        <f t="shared" si="5"/>
        <v>5.35</v>
      </c>
    </row>
    <row r="776">
      <c r="A776" s="702" t="s">
        <v>33334</v>
      </c>
      <c r="B776" s="702" t="s">
        <v>17009</v>
      </c>
      <c r="C776" s="707"/>
      <c r="D776" s="707"/>
      <c r="E776" s="708" t="s">
        <v>116</v>
      </c>
      <c r="F776" s="709">
        <v>100.0</v>
      </c>
      <c r="G776" s="708" t="s">
        <v>22564</v>
      </c>
      <c r="H776" s="709">
        <v>84.0</v>
      </c>
      <c r="I776" s="709">
        <v>500.0</v>
      </c>
      <c r="J776" s="705">
        <f t="shared" si="1"/>
        <v>8900</v>
      </c>
      <c r="K776" s="705">
        <f t="shared" si="2"/>
        <v>1890</v>
      </c>
      <c r="L776" s="705">
        <f t="shared" si="3"/>
        <v>10790</v>
      </c>
      <c r="M776" s="706">
        <f t="shared" si="5"/>
        <v>107.9</v>
      </c>
    </row>
    <row r="777">
      <c r="A777" s="702" t="s">
        <v>33334</v>
      </c>
      <c r="B777" s="702" t="s">
        <v>33335</v>
      </c>
      <c r="C777" s="707"/>
      <c r="D777" s="707"/>
      <c r="E777" s="708" t="s">
        <v>794</v>
      </c>
      <c r="F777" s="709">
        <v>2500.0</v>
      </c>
      <c r="G777" s="708" t="s">
        <v>44</v>
      </c>
      <c r="H777" s="709">
        <v>5.0</v>
      </c>
      <c r="I777" s="709">
        <v>2500.0</v>
      </c>
      <c r="J777" s="705">
        <f t="shared" si="1"/>
        <v>15000</v>
      </c>
      <c r="K777" s="705">
        <f t="shared" si="2"/>
        <v>2500</v>
      </c>
      <c r="L777" s="705">
        <f t="shared" si="3"/>
        <v>17500</v>
      </c>
      <c r="M777" s="706">
        <f t="shared" si="5"/>
        <v>7</v>
      </c>
    </row>
    <row r="778">
      <c r="A778" s="702" t="s">
        <v>33334</v>
      </c>
      <c r="B778" s="702" t="s">
        <v>33336</v>
      </c>
      <c r="C778" s="707"/>
      <c r="D778" s="707"/>
      <c r="E778" s="708" t="s">
        <v>286</v>
      </c>
      <c r="F778" s="709">
        <v>1000.0</v>
      </c>
      <c r="G778" s="708" t="s">
        <v>2662</v>
      </c>
      <c r="H778" s="709">
        <v>25.0</v>
      </c>
      <c r="I778" s="709">
        <v>1000.0</v>
      </c>
      <c r="J778" s="705">
        <f t="shared" si="1"/>
        <v>26000</v>
      </c>
      <c r="K778" s="705">
        <f t="shared" si="2"/>
        <v>3600</v>
      </c>
      <c r="L778" s="705">
        <f t="shared" si="3"/>
        <v>29600</v>
      </c>
      <c r="M778" s="706">
        <f t="shared" si="5"/>
        <v>29.6</v>
      </c>
      <c r="N778" s="526" t="s">
        <v>33337</v>
      </c>
    </row>
    <row r="779">
      <c r="A779" s="702" t="s">
        <v>33334</v>
      </c>
      <c r="B779" s="702" t="s">
        <v>33336</v>
      </c>
      <c r="C779" s="707"/>
      <c r="D779" s="707"/>
      <c r="E779" s="708" t="s">
        <v>53</v>
      </c>
      <c r="F779" s="709">
        <v>1000.0</v>
      </c>
      <c r="G779" s="708" t="s">
        <v>2662</v>
      </c>
      <c r="H779" s="709">
        <v>8.0</v>
      </c>
      <c r="I779" s="709">
        <v>1000.0</v>
      </c>
      <c r="J779" s="705">
        <f t="shared" si="1"/>
        <v>9000</v>
      </c>
      <c r="K779" s="705">
        <f t="shared" si="2"/>
        <v>1900</v>
      </c>
      <c r="L779" s="705">
        <f t="shared" si="3"/>
        <v>10900</v>
      </c>
      <c r="M779" s="706">
        <f t="shared" si="5"/>
        <v>10.9</v>
      </c>
      <c r="N779" s="526" t="s">
        <v>33338</v>
      </c>
    </row>
    <row r="780">
      <c r="A780" s="702" t="s">
        <v>33334</v>
      </c>
      <c r="B780" s="702" t="s">
        <v>17022</v>
      </c>
      <c r="C780" s="707"/>
      <c r="D780" s="707"/>
      <c r="E780" s="708" t="s">
        <v>152</v>
      </c>
      <c r="F780" s="709">
        <v>900.0</v>
      </c>
      <c r="G780" s="708" t="s">
        <v>930</v>
      </c>
      <c r="H780" s="709">
        <v>20.0</v>
      </c>
      <c r="I780" s="709">
        <v>1000.0</v>
      </c>
      <c r="J780" s="705">
        <f t="shared" si="1"/>
        <v>19000</v>
      </c>
      <c r="K780" s="705">
        <f t="shared" si="2"/>
        <v>2900</v>
      </c>
      <c r="L780" s="705">
        <f t="shared" si="3"/>
        <v>21900</v>
      </c>
      <c r="M780" s="706">
        <f t="shared" si="5"/>
        <v>24.33333333</v>
      </c>
      <c r="N780" s="526" t="s">
        <v>33339</v>
      </c>
    </row>
    <row r="781">
      <c r="A781" s="702" t="s">
        <v>33334</v>
      </c>
      <c r="B781" s="702" t="s">
        <v>33340</v>
      </c>
      <c r="C781" s="707"/>
      <c r="D781" s="707"/>
      <c r="E781" s="708" t="s">
        <v>841</v>
      </c>
      <c r="F781" s="709">
        <v>2000.0</v>
      </c>
      <c r="G781" s="708" t="s">
        <v>44</v>
      </c>
      <c r="H781" s="709">
        <v>5.0</v>
      </c>
      <c r="I781" s="709">
        <v>2000.0</v>
      </c>
      <c r="J781" s="705">
        <f t="shared" si="1"/>
        <v>12000</v>
      </c>
      <c r="K781" s="705">
        <f t="shared" si="2"/>
        <v>2200</v>
      </c>
      <c r="L781" s="705">
        <f t="shared" si="3"/>
        <v>14200</v>
      </c>
      <c r="M781" s="706">
        <f t="shared" si="5"/>
        <v>7.1</v>
      </c>
    </row>
    <row r="782">
      <c r="A782" s="702" t="s">
        <v>33334</v>
      </c>
      <c r="B782" s="702" t="s">
        <v>33341</v>
      </c>
      <c r="C782" s="707"/>
      <c r="D782" s="707"/>
      <c r="E782" s="708" t="s">
        <v>130</v>
      </c>
      <c r="F782" s="709">
        <v>1000.0</v>
      </c>
      <c r="G782" s="708" t="s">
        <v>33342</v>
      </c>
      <c r="H782" s="709">
        <v>25.0</v>
      </c>
      <c r="I782" s="709">
        <v>1000.0</v>
      </c>
      <c r="J782" s="705">
        <f t="shared" si="1"/>
        <v>26000</v>
      </c>
      <c r="K782" s="705">
        <f t="shared" si="2"/>
        <v>3600</v>
      </c>
      <c r="L782" s="705">
        <f t="shared" si="3"/>
        <v>29600</v>
      </c>
      <c r="M782" s="706">
        <f t="shared" si="5"/>
        <v>29.6</v>
      </c>
      <c r="N782" s="526" t="s">
        <v>33343</v>
      </c>
    </row>
    <row r="783">
      <c r="A783" s="702" t="s">
        <v>33334</v>
      </c>
      <c r="B783" s="702" t="s">
        <v>33344</v>
      </c>
      <c r="C783" s="707"/>
      <c r="D783" s="707"/>
      <c r="E783" s="708" t="s">
        <v>33345</v>
      </c>
      <c r="F783" s="709">
        <v>1000.0</v>
      </c>
      <c r="G783" s="708" t="s">
        <v>906</v>
      </c>
      <c r="H783" s="709">
        <v>25.0</v>
      </c>
      <c r="I783" s="709">
        <v>1000.0</v>
      </c>
      <c r="J783" s="705">
        <f t="shared" si="1"/>
        <v>26000</v>
      </c>
      <c r="K783" s="705">
        <f t="shared" si="2"/>
        <v>3600</v>
      </c>
      <c r="L783" s="705">
        <f t="shared" si="3"/>
        <v>29600</v>
      </c>
      <c r="M783" s="706">
        <f t="shared" si="5"/>
        <v>29.6</v>
      </c>
      <c r="N783" s="526" t="s">
        <v>33346</v>
      </c>
    </row>
    <row r="784">
      <c r="A784" s="702" t="s">
        <v>33334</v>
      </c>
      <c r="B784" s="702" t="s">
        <v>33347</v>
      </c>
      <c r="C784" s="707"/>
      <c r="D784" s="707"/>
      <c r="E784" s="708" t="s">
        <v>3073</v>
      </c>
      <c r="F784" s="709">
        <v>20000.0</v>
      </c>
      <c r="G784" s="708" t="s">
        <v>906</v>
      </c>
      <c r="H784" s="709">
        <v>170.0</v>
      </c>
      <c r="I784" s="705"/>
      <c r="J784" s="705">
        <f t="shared" si="1"/>
        <v>3400000</v>
      </c>
      <c r="K784" s="705">
        <f t="shared" si="2"/>
        <v>341000</v>
      </c>
      <c r="L784" s="705">
        <f t="shared" si="3"/>
        <v>3741000</v>
      </c>
      <c r="M784" s="706">
        <f t="shared" si="5"/>
        <v>187.05</v>
      </c>
    </row>
    <row r="785">
      <c r="A785" s="702" t="s">
        <v>33334</v>
      </c>
      <c r="B785" s="702" t="s">
        <v>33348</v>
      </c>
      <c r="C785" s="707"/>
      <c r="D785" s="707"/>
      <c r="E785" s="708" t="s">
        <v>1579</v>
      </c>
      <c r="F785" s="709">
        <v>100000.0</v>
      </c>
      <c r="G785" s="708" t="s">
        <v>10805</v>
      </c>
      <c r="H785" s="709">
        <v>15.0</v>
      </c>
      <c r="I785" s="705"/>
      <c r="J785" s="705">
        <f t="shared" si="1"/>
        <v>1500000</v>
      </c>
      <c r="K785" s="705">
        <f t="shared" si="2"/>
        <v>151000</v>
      </c>
      <c r="L785" s="705">
        <f t="shared" si="3"/>
        <v>1651000</v>
      </c>
      <c r="M785" s="706">
        <f t="shared" si="5"/>
        <v>16.51</v>
      </c>
      <c r="N785" s="526" t="s">
        <v>33213</v>
      </c>
    </row>
    <row r="786">
      <c r="A786" s="702" t="s">
        <v>33349</v>
      </c>
      <c r="B786" s="702" t="s">
        <v>33350</v>
      </c>
      <c r="C786" s="707"/>
      <c r="D786" s="707"/>
      <c r="E786" s="708" t="s">
        <v>33308</v>
      </c>
      <c r="F786" s="709">
        <v>56000.0</v>
      </c>
      <c r="G786" s="708" t="s">
        <v>10805</v>
      </c>
      <c r="H786" s="709">
        <v>5.0</v>
      </c>
      <c r="I786" s="705"/>
      <c r="J786" s="705">
        <f t="shared" si="1"/>
        <v>280000</v>
      </c>
      <c r="K786" s="705">
        <f t="shared" si="2"/>
        <v>29000</v>
      </c>
      <c r="L786" s="705">
        <f t="shared" si="3"/>
        <v>309000</v>
      </c>
      <c r="M786" s="706">
        <f t="shared" si="5"/>
        <v>5.517857143</v>
      </c>
    </row>
    <row r="787">
      <c r="A787" s="702" t="s">
        <v>33349</v>
      </c>
      <c r="B787" s="702" t="s">
        <v>33351</v>
      </c>
      <c r="C787" s="707"/>
      <c r="D787" s="707"/>
      <c r="E787" s="708" t="s">
        <v>14538</v>
      </c>
      <c r="F787" s="709">
        <v>25000.0</v>
      </c>
      <c r="G787" s="708" t="s">
        <v>44</v>
      </c>
      <c r="H787" s="709">
        <v>13.0</v>
      </c>
      <c r="I787" s="705"/>
      <c r="J787" s="705">
        <f t="shared" si="1"/>
        <v>325000</v>
      </c>
      <c r="K787" s="705">
        <f t="shared" si="2"/>
        <v>33500</v>
      </c>
      <c r="L787" s="705">
        <f t="shared" si="3"/>
        <v>358500</v>
      </c>
      <c r="M787" s="706">
        <f t="shared" si="5"/>
        <v>14.34</v>
      </c>
    </row>
    <row r="788">
      <c r="A788" s="702" t="s">
        <v>33349</v>
      </c>
      <c r="B788" s="702" t="s">
        <v>17085</v>
      </c>
      <c r="C788" s="707"/>
      <c r="D788" s="707"/>
      <c r="E788" s="708" t="s">
        <v>14677</v>
      </c>
      <c r="F788" s="709">
        <v>50.0</v>
      </c>
      <c r="G788" s="708" t="s">
        <v>9072</v>
      </c>
      <c r="H788" s="709">
        <v>140.0</v>
      </c>
      <c r="I788" s="709">
        <v>250.0</v>
      </c>
      <c r="J788" s="705">
        <f t="shared" si="1"/>
        <v>7250</v>
      </c>
      <c r="K788" s="705">
        <f t="shared" si="2"/>
        <v>1725</v>
      </c>
      <c r="L788" s="705">
        <f t="shared" si="3"/>
        <v>8975</v>
      </c>
      <c r="M788" s="706">
        <f t="shared" si="5"/>
        <v>179.5</v>
      </c>
    </row>
    <row r="789">
      <c r="A789" s="702" t="s">
        <v>33349</v>
      </c>
      <c r="B789" s="702" t="s">
        <v>17061</v>
      </c>
      <c r="C789" s="707"/>
      <c r="D789" s="707"/>
      <c r="E789" s="708" t="s">
        <v>412</v>
      </c>
      <c r="F789" s="709">
        <v>1000.0</v>
      </c>
      <c r="G789" s="708" t="s">
        <v>44</v>
      </c>
      <c r="H789" s="709">
        <v>170.0</v>
      </c>
      <c r="I789" s="709">
        <v>1000.0</v>
      </c>
      <c r="J789" s="705">
        <f t="shared" si="1"/>
        <v>171000</v>
      </c>
      <c r="K789" s="705">
        <f t="shared" si="2"/>
        <v>18100</v>
      </c>
      <c r="L789" s="705">
        <f t="shared" si="3"/>
        <v>189100</v>
      </c>
      <c r="M789" s="706">
        <f t="shared" si="5"/>
        <v>189.1</v>
      </c>
    </row>
    <row r="790">
      <c r="A790" s="702" t="s">
        <v>33352</v>
      </c>
      <c r="B790" s="702" t="s">
        <v>33353</v>
      </c>
      <c r="C790" s="707"/>
      <c r="D790" s="707"/>
      <c r="E790" s="708" t="s">
        <v>412</v>
      </c>
      <c r="F790" s="709">
        <v>8240.0</v>
      </c>
      <c r="G790" s="708" t="s">
        <v>44</v>
      </c>
      <c r="H790" s="709">
        <v>170.0</v>
      </c>
      <c r="I790" s="709">
        <v>8000.0</v>
      </c>
      <c r="J790" s="705">
        <f t="shared" si="1"/>
        <v>1408800</v>
      </c>
      <c r="K790" s="705">
        <f t="shared" si="2"/>
        <v>141880</v>
      </c>
      <c r="L790" s="705">
        <f t="shared" si="3"/>
        <v>1550680</v>
      </c>
      <c r="M790" s="706">
        <f t="shared" si="5"/>
        <v>188.1893204</v>
      </c>
    </row>
    <row r="791">
      <c r="A791" s="702" t="s">
        <v>33349</v>
      </c>
      <c r="B791" s="702" t="s">
        <v>17064</v>
      </c>
      <c r="C791" s="707"/>
      <c r="D791" s="707"/>
      <c r="E791" s="96" t="s">
        <v>152</v>
      </c>
      <c r="F791" s="709">
        <v>5000.0</v>
      </c>
      <c r="G791" s="708" t="s">
        <v>519</v>
      </c>
      <c r="H791" s="709">
        <v>17.0</v>
      </c>
      <c r="I791" s="709">
        <v>5000.0</v>
      </c>
      <c r="J791" s="705">
        <f t="shared" si="1"/>
        <v>90000</v>
      </c>
      <c r="K791" s="705">
        <f t="shared" si="2"/>
        <v>10000</v>
      </c>
      <c r="L791" s="705">
        <f t="shared" si="3"/>
        <v>100000</v>
      </c>
      <c r="M791" s="706">
        <f t="shared" si="5"/>
        <v>20</v>
      </c>
    </row>
    <row r="792">
      <c r="A792" s="702" t="s">
        <v>33349</v>
      </c>
      <c r="B792" s="702" t="s">
        <v>17071</v>
      </c>
      <c r="C792" s="707"/>
      <c r="D792" s="707"/>
      <c r="E792" s="708" t="s">
        <v>5293</v>
      </c>
      <c r="F792" s="709">
        <v>20000.0</v>
      </c>
      <c r="G792" s="708" t="s">
        <v>467</v>
      </c>
      <c r="H792" s="709">
        <v>70.0</v>
      </c>
      <c r="I792" s="705"/>
      <c r="J792" s="705">
        <f t="shared" si="1"/>
        <v>1400000</v>
      </c>
      <c r="K792" s="705">
        <f t="shared" si="2"/>
        <v>141000</v>
      </c>
      <c r="L792" s="705">
        <f t="shared" si="3"/>
        <v>1541000</v>
      </c>
      <c r="M792" s="706">
        <f t="shared" si="5"/>
        <v>77.05</v>
      </c>
    </row>
    <row r="793">
      <c r="A793" s="702" t="s">
        <v>33349</v>
      </c>
      <c r="B793" s="702" t="s">
        <v>17077</v>
      </c>
      <c r="C793" s="707"/>
      <c r="D793" s="707"/>
      <c r="E793" s="96" t="s">
        <v>116</v>
      </c>
      <c r="F793" s="709">
        <v>10000.0</v>
      </c>
      <c r="G793" s="708" t="s">
        <v>99</v>
      </c>
      <c r="H793" s="709">
        <v>84.0</v>
      </c>
      <c r="I793" s="705"/>
      <c r="J793" s="705">
        <f t="shared" si="1"/>
        <v>840000</v>
      </c>
      <c r="K793" s="705">
        <f t="shared" si="2"/>
        <v>85000</v>
      </c>
      <c r="L793" s="705">
        <f t="shared" si="3"/>
        <v>925000</v>
      </c>
      <c r="M793" s="706">
        <f t="shared" si="5"/>
        <v>92.5</v>
      </c>
    </row>
    <row r="794">
      <c r="A794" s="702" t="s">
        <v>33349</v>
      </c>
      <c r="B794" s="702" t="s">
        <v>17082</v>
      </c>
      <c r="C794" s="707"/>
      <c r="D794" s="707"/>
      <c r="E794" s="708" t="s">
        <v>33089</v>
      </c>
      <c r="F794" s="709">
        <v>500.0</v>
      </c>
      <c r="G794" s="708" t="s">
        <v>507</v>
      </c>
      <c r="H794" s="709">
        <v>84.0</v>
      </c>
      <c r="I794" s="709">
        <v>500.0</v>
      </c>
      <c r="J794" s="705">
        <f t="shared" si="1"/>
        <v>42500</v>
      </c>
      <c r="K794" s="705">
        <f t="shared" ref="K794:K980" si="6">(1000+J794*25%)</f>
        <v>11625</v>
      </c>
      <c r="L794" s="705">
        <f t="shared" si="3"/>
        <v>54125</v>
      </c>
      <c r="M794" s="706">
        <f t="shared" si="5"/>
        <v>108.25</v>
      </c>
    </row>
    <row r="795">
      <c r="A795" s="702" t="s">
        <v>33354</v>
      </c>
      <c r="B795" s="702" t="s">
        <v>17101</v>
      </c>
      <c r="C795" s="707"/>
      <c r="D795" s="707"/>
      <c r="E795" s="708" t="s">
        <v>794</v>
      </c>
      <c r="F795" s="709">
        <v>1000.0</v>
      </c>
      <c r="G795" s="708" t="s">
        <v>507</v>
      </c>
      <c r="H795" s="709">
        <v>5.0</v>
      </c>
      <c r="I795" s="709">
        <v>1000.0</v>
      </c>
      <c r="J795" s="705">
        <f t="shared" si="1"/>
        <v>6000</v>
      </c>
      <c r="K795" s="705">
        <f t="shared" si="6"/>
        <v>2500</v>
      </c>
      <c r="L795" s="705">
        <f t="shared" si="3"/>
        <v>8500</v>
      </c>
      <c r="M795" s="706">
        <f t="shared" si="5"/>
        <v>8.5</v>
      </c>
    </row>
    <row r="796">
      <c r="A796" s="702" t="s">
        <v>33354</v>
      </c>
      <c r="B796" s="702" t="s">
        <v>17117</v>
      </c>
      <c r="C796" s="707"/>
      <c r="D796" s="707"/>
      <c r="E796" s="708" t="s">
        <v>7897</v>
      </c>
      <c r="F796" s="709">
        <v>1000.0</v>
      </c>
      <c r="G796" s="708" t="s">
        <v>2662</v>
      </c>
      <c r="H796" s="709">
        <v>17.0</v>
      </c>
      <c r="I796" s="709">
        <v>1000.0</v>
      </c>
      <c r="J796" s="705">
        <f t="shared" si="1"/>
        <v>18000</v>
      </c>
      <c r="K796" s="705">
        <f t="shared" si="6"/>
        <v>5500</v>
      </c>
      <c r="L796" s="705">
        <f t="shared" si="3"/>
        <v>23500</v>
      </c>
      <c r="M796" s="706">
        <f t="shared" si="5"/>
        <v>23.5</v>
      </c>
    </row>
    <row r="797">
      <c r="A797" s="702" t="s">
        <v>33354</v>
      </c>
      <c r="B797" s="702" t="s">
        <v>17127</v>
      </c>
      <c r="C797" s="707"/>
      <c r="D797" s="707"/>
      <c r="E797" s="708" t="s">
        <v>33355</v>
      </c>
      <c r="F797" s="709">
        <v>5000.0</v>
      </c>
      <c r="G797" s="708" t="s">
        <v>44</v>
      </c>
      <c r="H797" s="709">
        <v>5.0</v>
      </c>
      <c r="I797" s="709">
        <v>5000.0</v>
      </c>
      <c r="J797" s="705">
        <f t="shared" si="1"/>
        <v>30000</v>
      </c>
      <c r="K797" s="705">
        <f t="shared" si="6"/>
        <v>8500</v>
      </c>
      <c r="L797" s="705">
        <f t="shared" si="3"/>
        <v>38500</v>
      </c>
      <c r="M797" s="706">
        <f t="shared" si="5"/>
        <v>7.7</v>
      </c>
    </row>
    <row r="798">
      <c r="A798" s="702" t="s">
        <v>33354</v>
      </c>
      <c r="B798" s="702" t="s">
        <v>17114</v>
      </c>
      <c r="C798" s="707"/>
      <c r="D798" s="707"/>
      <c r="E798" s="708" t="s">
        <v>9237</v>
      </c>
      <c r="F798" s="709">
        <v>1000.0</v>
      </c>
      <c r="G798" s="708" t="s">
        <v>519</v>
      </c>
      <c r="H798" s="709">
        <v>84.0</v>
      </c>
      <c r="I798" s="709">
        <v>1000.0</v>
      </c>
      <c r="J798" s="705">
        <f t="shared" si="1"/>
        <v>85000</v>
      </c>
      <c r="K798" s="705">
        <f t="shared" si="6"/>
        <v>22250</v>
      </c>
      <c r="L798" s="705">
        <f t="shared" si="3"/>
        <v>107250</v>
      </c>
      <c r="M798" s="706">
        <f t="shared" si="5"/>
        <v>107.25</v>
      </c>
    </row>
    <row r="799">
      <c r="A799" s="702" t="s">
        <v>33356</v>
      </c>
      <c r="B799" s="702" t="s">
        <v>17171</v>
      </c>
      <c r="C799" s="707"/>
      <c r="D799" s="707"/>
      <c r="E799" s="708" t="s">
        <v>444</v>
      </c>
      <c r="F799" s="709">
        <v>200.0</v>
      </c>
      <c r="G799" s="708" t="s">
        <v>184</v>
      </c>
      <c r="H799" s="709">
        <v>18.0</v>
      </c>
      <c r="I799" s="709">
        <v>500.0</v>
      </c>
      <c r="J799" s="705">
        <f t="shared" si="1"/>
        <v>4100</v>
      </c>
      <c r="K799" s="705">
        <f t="shared" si="6"/>
        <v>2025</v>
      </c>
      <c r="L799" s="705">
        <f t="shared" si="3"/>
        <v>6125</v>
      </c>
      <c r="M799" s="706">
        <f t="shared" si="5"/>
        <v>30.625</v>
      </c>
    </row>
    <row r="800">
      <c r="A800" s="702" t="s">
        <v>33356</v>
      </c>
      <c r="B800" s="702" t="s">
        <v>17163</v>
      </c>
      <c r="C800" s="707"/>
      <c r="D800" s="707"/>
      <c r="E800" s="708" t="s">
        <v>152</v>
      </c>
      <c r="F800" s="709">
        <v>100000.0</v>
      </c>
      <c r="G800" s="708" t="s">
        <v>398</v>
      </c>
      <c r="H800" s="709">
        <v>17.0</v>
      </c>
      <c r="I800" s="705"/>
      <c r="J800" s="705">
        <f t="shared" si="1"/>
        <v>1700000</v>
      </c>
      <c r="K800" s="705">
        <f t="shared" si="6"/>
        <v>426000</v>
      </c>
      <c r="L800" s="705">
        <f t="shared" si="3"/>
        <v>2126000</v>
      </c>
      <c r="M800" s="706">
        <f t="shared" si="5"/>
        <v>21.26</v>
      </c>
    </row>
    <row r="801">
      <c r="A801" s="702" t="s">
        <v>33356</v>
      </c>
      <c r="B801" s="702" t="s">
        <v>17156</v>
      </c>
      <c r="C801" s="707"/>
      <c r="D801" s="707"/>
      <c r="E801" s="708" t="s">
        <v>841</v>
      </c>
      <c r="F801" s="709">
        <v>500.0</v>
      </c>
      <c r="G801" s="708" t="s">
        <v>507</v>
      </c>
      <c r="H801" s="709">
        <v>5.0</v>
      </c>
      <c r="I801" s="709">
        <v>500.0</v>
      </c>
      <c r="J801" s="705">
        <f t="shared" si="1"/>
        <v>3000</v>
      </c>
      <c r="K801" s="705">
        <f t="shared" si="6"/>
        <v>1750</v>
      </c>
      <c r="L801" s="705">
        <f t="shared" si="3"/>
        <v>4750</v>
      </c>
      <c r="M801" s="706">
        <f t="shared" si="5"/>
        <v>9.5</v>
      </c>
    </row>
    <row r="802">
      <c r="A802" s="702" t="s">
        <v>33356</v>
      </c>
      <c r="B802" s="702" t="s">
        <v>17152</v>
      </c>
      <c r="C802" s="707"/>
      <c r="D802" s="707"/>
      <c r="E802" s="708" t="s">
        <v>116</v>
      </c>
      <c r="F802" s="709">
        <v>100.0</v>
      </c>
      <c r="G802" s="708" t="s">
        <v>2682</v>
      </c>
      <c r="H802" s="709">
        <v>84.0</v>
      </c>
      <c r="I802" s="709">
        <v>500.0</v>
      </c>
      <c r="J802" s="705">
        <f t="shared" si="1"/>
        <v>8900</v>
      </c>
      <c r="K802" s="705">
        <f t="shared" si="6"/>
        <v>3225</v>
      </c>
      <c r="L802" s="705">
        <f t="shared" si="3"/>
        <v>12125</v>
      </c>
      <c r="M802" s="706">
        <f t="shared" si="5"/>
        <v>121.25</v>
      </c>
    </row>
    <row r="803">
      <c r="A803" s="702" t="s">
        <v>33356</v>
      </c>
      <c r="B803" s="702" t="s">
        <v>33357</v>
      </c>
      <c r="C803" s="707"/>
      <c r="D803" s="707"/>
      <c r="E803" s="708" t="s">
        <v>33358</v>
      </c>
      <c r="F803" s="709">
        <v>1000.0</v>
      </c>
      <c r="G803" s="708" t="s">
        <v>822</v>
      </c>
      <c r="H803" s="709">
        <v>125.0</v>
      </c>
      <c r="I803" s="709">
        <v>1000.0</v>
      </c>
      <c r="J803" s="705">
        <f t="shared" si="1"/>
        <v>126000</v>
      </c>
      <c r="K803" s="705">
        <f t="shared" si="6"/>
        <v>32500</v>
      </c>
      <c r="L803" s="705">
        <f t="shared" si="3"/>
        <v>158500</v>
      </c>
      <c r="M803" s="706">
        <f t="shared" si="5"/>
        <v>158.5</v>
      </c>
    </row>
    <row r="804">
      <c r="A804" s="702" t="s">
        <v>33356</v>
      </c>
      <c r="B804" s="702" t="s">
        <v>33359</v>
      </c>
      <c r="C804" s="707"/>
      <c r="D804" s="720"/>
      <c r="E804" s="708" t="s">
        <v>227</v>
      </c>
      <c r="F804" s="709">
        <v>3000.0</v>
      </c>
      <c r="G804" s="708" t="s">
        <v>44</v>
      </c>
      <c r="H804" s="709">
        <v>30.0</v>
      </c>
      <c r="I804" s="709">
        <v>3000.0</v>
      </c>
      <c r="J804" s="705">
        <f t="shared" si="1"/>
        <v>93000</v>
      </c>
      <c r="K804" s="705">
        <f t="shared" si="6"/>
        <v>24250</v>
      </c>
      <c r="L804" s="705">
        <f t="shared" si="3"/>
        <v>117250</v>
      </c>
      <c r="M804" s="706">
        <f t="shared" si="5"/>
        <v>39.08333333</v>
      </c>
      <c r="N804" s="526" t="s">
        <v>31514</v>
      </c>
    </row>
    <row r="805">
      <c r="A805" s="702" t="s">
        <v>33356</v>
      </c>
      <c r="B805" s="702" t="s">
        <v>33360</v>
      </c>
      <c r="C805" s="707"/>
      <c r="D805" s="707"/>
      <c r="E805" s="708" t="s">
        <v>17192</v>
      </c>
      <c r="F805" s="709">
        <v>5000.0</v>
      </c>
      <c r="G805" s="708" t="s">
        <v>2662</v>
      </c>
      <c r="H805" s="709">
        <v>5.0</v>
      </c>
      <c r="I805" s="709">
        <v>5000.0</v>
      </c>
      <c r="J805" s="705">
        <f t="shared" si="1"/>
        <v>30000</v>
      </c>
      <c r="K805" s="705">
        <f t="shared" si="6"/>
        <v>8500</v>
      </c>
      <c r="L805" s="705">
        <f t="shared" si="3"/>
        <v>38500</v>
      </c>
      <c r="M805" s="706">
        <f t="shared" si="5"/>
        <v>7.7</v>
      </c>
      <c r="N805" s="526" t="s">
        <v>33361</v>
      </c>
    </row>
    <row r="806">
      <c r="A806" s="702" t="s">
        <v>33356</v>
      </c>
      <c r="B806" s="702" t="s">
        <v>33362</v>
      </c>
      <c r="C806" s="707"/>
      <c r="D806" s="707"/>
      <c r="E806" s="708" t="s">
        <v>841</v>
      </c>
      <c r="F806" s="709">
        <v>3000.0</v>
      </c>
      <c r="G806" s="708" t="s">
        <v>44</v>
      </c>
      <c r="H806" s="709">
        <v>5.0</v>
      </c>
      <c r="I806" s="709">
        <v>3000.0</v>
      </c>
      <c r="J806" s="705">
        <f t="shared" si="1"/>
        <v>18000</v>
      </c>
      <c r="K806" s="705">
        <f t="shared" si="6"/>
        <v>5500</v>
      </c>
      <c r="L806" s="705">
        <f t="shared" si="3"/>
        <v>23500</v>
      </c>
      <c r="M806" s="706">
        <f t="shared" si="5"/>
        <v>7.833333333</v>
      </c>
      <c r="N806" s="526" t="s">
        <v>33363</v>
      </c>
    </row>
    <row r="807">
      <c r="A807" s="702" t="s">
        <v>33356</v>
      </c>
      <c r="B807" s="702" t="s">
        <v>33364</v>
      </c>
      <c r="C807" s="707"/>
      <c r="D807" s="707"/>
      <c r="E807" s="708" t="s">
        <v>33365</v>
      </c>
      <c r="F807" s="709">
        <v>10000.0</v>
      </c>
      <c r="G807" s="708" t="s">
        <v>507</v>
      </c>
      <c r="H807" s="709">
        <v>390.0</v>
      </c>
      <c r="I807" s="705"/>
      <c r="J807" s="705">
        <f t="shared" si="1"/>
        <v>3900000</v>
      </c>
      <c r="K807" s="705">
        <f t="shared" si="6"/>
        <v>976000</v>
      </c>
      <c r="L807" s="705">
        <f t="shared" si="3"/>
        <v>4876000</v>
      </c>
      <c r="M807" s="706">
        <f t="shared" si="5"/>
        <v>487.6</v>
      </c>
      <c r="N807" s="526" t="s">
        <v>33366</v>
      </c>
    </row>
    <row r="808">
      <c r="A808" s="702" t="s">
        <v>33356</v>
      </c>
      <c r="B808" s="702" t="s">
        <v>33364</v>
      </c>
      <c r="C808" s="707"/>
      <c r="D808" s="707"/>
      <c r="E808" s="708" t="s">
        <v>33367</v>
      </c>
      <c r="F808" s="709">
        <v>25000.0</v>
      </c>
      <c r="G808" s="708" t="s">
        <v>33368</v>
      </c>
      <c r="H808" s="709">
        <v>40.0</v>
      </c>
      <c r="I808" s="705"/>
      <c r="J808" s="705">
        <f t="shared" si="1"/>
        <v>1000000</v>
      </c>
      <c r="K808" s="705">
        <f t="shared" si="6"/>
        <v>251000</v>
      </c>
      <c r="L808" s="705">
        <f t="shared" si="3"/>
        <v>1251000</v>
      </c>
      <c r="M808" s="706">
        <f t="shared" si="5"/>
        <v>50.04</v>
      </c>
      <c r="N808" s="526" t="s">
        <v>33369</v>
      </c>
    </row>
    <row r="809">
      <c r="A809" s="702" t="s">
        <v>33370</v>
      </c>
      <c r="B809" s="702" t="s">
        <v>17208</v>
      </c>
      <c r="C809" s="707"/>
      <c r="D809" s="707"/>
      <c r="E809" s="708" t="s">
        <v>1749</v>
      </c>
      <c r="F809" s="709">
        <v>200.0</v>
      </c>
      <c r="G809" s="708" t="s">
        <v>33371</v>
      </c>
      <c r="H809" s="709">
        <v>52.0</v>
      </c>
      <c r="I809" s="709">
        <v>500.0</v>
      </c>
      <c r="J809" s="705">
        <f t="shared" si="1"/>
        <v>10900</v>
      </c>
      <c r="K809" s="705">
        <f t="shared" si="6"/>
        <v>3725</v>
      </c>
      <c r="L809" s="705">
        <f t="shared" si="3"/>
        <v>14625</v>
      </c>
      <c r="M809" s="706">
        <f t="shared" si="5"/>
        <v>73.125</v>
      </c>
      <c r="N809" s="526" t="s">
        <v>33372</v>
      </c>
    </row>
    <row r="810">
      <c r="A810" s="702" t="s">
        <v>33370</v>
      </c>
      <c r="B810" s="702" t="s">
        <v>33373</v>
      </c>
      <c r="C810" s="707"/>
      <c r="D810" s="707"/>
      <c r="E810" s="708" t="s">
        <v>18037</v>
      </c>
      <c r="F810" s="709">
        <v>15000.0</v>
      </c>
      <c r="G810" s="708" t="s">
        <v>1414</v>
      </c>
      <c r="H810" s="709">
        <v>12.0</v>
      </c>
      <c r="I810" s="705"/>
      <c r="J810" s="705">
        <f t="shared" si="1"/>
        <v>180000</v>
      </c>
      <c r="K810" s="705">
        <f t="shared" si="6"/>
        <v>46000</v>
      </c>
      <c r="L810" s="705">
        <f t="shared" si="3"/>
        <v>226000</v>
      </c>
      <c r="M810" s="706">
        <f t="shared" si="5"/>
        <v>15.06666667</v>
      </c>
      <c r="N810" s="526" t="s">
        <v>33374</v>
      </c>
    </row>
    <row r="811">
      <c r="A811" s="702" t="s">
        <v>33370</v>
      </c>
      <c r="B811" s="702" t="s">
        <v>33375</v>
      </c>
      <c r="C811" s="707"/>
      <c r="D811" s="707"/>
      <c r="E811" s="708" t="s">
        <v>412</v>
      </c>
      <c r="F811" s="709">
        <v>5000.0</v>
      </c>
      <c r="G811" s="708" t="s">
        <v>44</v>
      </c>
      <c r="H811" s="709">
        <v>180.0</v>
      </c>
      <c r="I811" s="709">
        <v>5000.0</v>
      </c>
      <c r="J811" s="705">
        <f t="shared" si="1"/>
        <v>905000</v>
      </c>
      <c r="K811" s="705">
        <f t="shared" si="6"/>
        <v>227250</v>
      </c>
      <c r="L811" s="705">
        <f t="shared" si="3"/>
        <v>1132250</v>
      </c>
      <c r="M811" s="706">
        <f t="shared" si="5"/>
        <v>226.45</v>
      </c>
      <c r="N811" s="526" t="s">
        <v>33164</v>
      </c>
    </row>
    <row r="812">
      <c r="A812" s="702" t="s">
        <v>33370</v>
      </c>
      <c r="B812" s="702" t="s">
        <v>33376</v>
      </c>
      <c r="C812" s="707"/>
      <c r="D812" s="707"/>
      <c r="E812" s="708" t="s">
        <v>10501</v>
      </c>
      <c r="F812" s="709">
        <v>100.0</v>
      </c>
      <c r="G812" s="708" t="s">
        <v>2643</v>
      </c>
      <c r="H812" s="709">
        <v>20.0</v>
      </c>
      <c r="I812" s="709">
        <v>500.0</v>
      </c>
      <c r="J812" s="705">
        <f t="shared" si="1"/>
        <v>2500</v>
      </c>
      <c r="K812" s="705">
        <f t="shared" si="6"/>
        <v>1625</v>
      </c>
      <c r="L812" s="705">
        <f t="shared" si="3"/>
        <v>4125</v>
      </c>
      <c r="M812" s="706">
        <f t="shared" si="5"/>
        <v>41.25</v>
      </c>
      <c r="N812" s="526" t="s">
        <v>33377</v>
      </c>
    </row>
    <row r="813">
      <c r="A813" s="702" t="s">
        <v>33370</v>
      </c>
      <c r="B813" s="702" t="s">
        <v>33378</v>
      </c>
      <c r="C813" s="707"/>
      <c r="D813" s="707"/>
      <c r="E813" s="708" t="s">
        <v>10404</v>
      </c>
      <c r="F813" s="709">
        <v>100.0</v>
      </c>
      <c r="G813" s="708" t="s">
        <v>1408</v>
      </c>
      <c r="H813" s="709">
        <v>20.0</v>
      </c>
      <c r="I813" s="709">
        <v>500.0</v>
      </c>
      <c r="J813" s="705">
        <f t="shared" si="1"/>
        <v>2500</v>
      </c>
      <c r="K813" s="705">
        <f t="shared" si="6"/>
        <v>1625</v>
      </c>
      <c r="L813" s="705">
        <f t="shared" si="3"/>
        <v>4125</v>
      </c>
      <c r="M813" s="706">
        <f t="shared" si="5"/>
        <v>41.25</v>
      </c>
      <c r="N813" s="526" t="s">
        <v>33379</v>
      </c>
    </row>
    <row r="814">
      <c r="A814" s="702" t="s">
        <v>33370</v>
      </c>
      <c r="B814" s="702" t="s">
        <v>33380</v>
      </c>
      <c r="C814" s="707"/>
      <c r="D814" s="707"/>
      <c r="E814" s="708" t="s">
        <v>92</v>
      </c>
      <c r="F814" s="709">
        <v>500.0</v>
      </c>
      <c r="G814" s="708" t="s">
        <v>44</v>
      </c>
      <c r="H814" s="709">
        <v>120.0</v>
      </c>
      <c r="I814" s="709">
        <v>500.0</v>
      </c>
      <c r="J814" s="705">
        <f t="shared" si="1"/>
        <v>60500</v>
      </c>
      <c r="K814" s="705">
        <f t="shared" si="6"/>
        <v>16125</v>
      </c>
      <c r="L814" s="705">
        <f t="shared" si="3"/>
        <v>76625</v>
      </c>
      <c r="M814" s="706">
        <f t="shared" si="5"/>
        <v>153.25</v>
      </c>
      <c r="N814" s="526" t="s">
        <v>33381</v>
      </c>
    </row>
    <row r="815">
      <c r="A815" s="702" t="s">
        <v>33370</v>
      </c>
      <c r="B815" s="702" t="s">
        <v>33382</v>
      </c>
      <c r="C815" s="707"/>
      <c r="D815" s="707"/>
      <c r="E815" s="708" t="s">
        <v>794</v>
      </c>
      <c r="F815" s="709">
        <v>1000.0</v>
      </c>
      <c r="G815" s="708" t="s">
        <v>44</v>
      </c>
      <c r="H815" s="709">
        <v>5.0</v>
      </c>
      <c r="I815" s="709">
        <v>1000.0</v>
      </c>
      <c r="J815" s="705">
        <f t="shared" si="1"/>
        <v>6000</v>
      </c>
      <c r="K815" s="705">
        <f t="shared" si="6"/>
        <v>2500</v>
      </c>
      <c r="L815" s="705">
        <f t="shared" si="3"/>
        <v>8500</v>
      </c>
      <c r="M815" s="706">
        <f t="shared" si="5"/>
        <v>8.5</v>
      </c>
    </row>
    <row r="816">
      <c r="A816" s="702" t="s">
        <v>33383</v>
      </c>
      <c r="B816" s="702" t="s">
        <v>33384</v>
      </c>
      <c r="C816" s="707"/>
      <c r="D816" s="707"/>
      <c r="E816" s="708" t="s">
        <v>11049</v>
      </c>
      <c r="F816" s="709">
        <v>1000.0</v>
      </c>
      <c r="G816" s="708" t="s">
        <v>184</v>
      </c>
      <c r="H816" s="709">
        <v>200.0</v>
      </c>
      <c r="I816" s="709">
        <v>1000.0</v>
      </c>
      <c r="J816" s="705">
        <f t="shared" si="1"/>
        <v>201000</v>
      </c>
      <c r="K816" s="705">
        <f t="shared" si="6"/>
        <v>51250</v>
      </c>
      <c r="L816" s="705">
        <f t="shared" si="3"/>
        <v>252250</v>
      </c>
      <c r="M816" s="706">
        <f t="shared" si="5"/>
        <v>252.25</v>
      </c>
    </row>
    <row r="817">
      <c r="A817" s="702" t="s">
        <v>33383</v>
      </c>
      <c r="B817" s="702" t="s">
        <v>17227</v>
      </c>
      <c r="C817" s="707"/>
      <c r="D817" s="707"/>
      <c r="E817" s="708" t="s">
        <v>10622</v>
      </c>
      <c r="F817" s="709">
        <v>300.0</v>
      </c>
      <c r="G817" s="708" t="s">
        <v>519</v>
      </c>
      <c r="H817" s="709">
        <v>84.0</v>
      </c>
      <c r="I817" s="709">
        <v>500.0</v>
      </c>
      <c r="J817" s="705">
        <f t="shared" si="1"/>
        <v>25700</v>
      </c>
      <c r="K817" s="705">
        <f t="shared" si="6"/>
        <v>7425</v>
      </c>
      <c r="L817" s="705">
        <f t="shared" si="3"/>
        <v>33125</v>
      </c>
      <c r="M817" s="706">
        <f t="shared" si="5"/>
        <v>110.4166667</v>
      </c>
    </row>
    <row r="818">
      <c r="A818" s="702" t="s">
        <v>33383</v>
      </c>
      <c r="B818" s="702" t="s">
        <v>17230</v>
      </c>
      <c r="C818" s="707"/>
      <c r="D818" s="707"/>
      <c r="E818" s="708" t="s">
        <v>38</v>
      </c>
      <c r="F818" s="709">
        <v>1000.0</v>
      </c>
      <c r="G818" s="708" t="s">
        <v>33385</v>
      </c>
      <c r="H818" s="709">
        <v>125.0</v>
      </c>
      <c r="I818" s="709">
        <v>1000.0</v>
      </c>
      <c r="J818" s="705">
        <f t="shared" si="1"/>
        <v>126000</v>
      </c>
      <c r="K818" s="705">
        <f t="shared" si="6"/>
        <v>32500</v>
      </c>
      <c r="L818" s="705">
        <f t="shared" si="3"/>
        <v>158500</v>
      </c>
      <c r="M818" s="706">
        <f t="shared" si="5"/>
        <v>158.5</v>
      </c>
    </row>
    <row r="819">
      <c r="A819" s="702" t="s">
        <v>33383</v>
      </c>
      <c r="B819" s="702" t="s">
        <v>17234</v>
      </c>
      <c r="C819" s="707"/>
      <c r="D819" s="707"/>
      <c r="E819" s="708" t="s">
        <v>33386</v>
      </c>
      <c r="F819" s="709">
        <v>100.0</v>
      </c>
      <c r="G819" s="708" t="s">
        <v>44</v>
      </c>
      <c r="H819" s="709">
        <v>57.0</v>
      </c>
      <c r="I819" s="709">
        <v>500.0</v>
      </c>
      <c r="J819" s="705">
        <f t="shared" si="1"/>
        <v>6200</v>
      </c>
      <c r="K819" s="705">
        <f t="shared" si="6"/>
        <v>2550</v>
      </c>
      <c r="L819" s="705">
        <f t="shared" si="3"/>
        <v>8750</v>
      </c>
      <c r="M819" s="706">
        <f t="shared" si="5"/>
        <v>87.5</v>
      </c>
      <c r="N819" s="526" t="s">
        <v>33387</v>
      </c>
    </row>
    <row r="820">
      <c r="A820" s="702" t="s">
        <v>33383</v>
      </c>
      <c r="B820" s="702" t="s">
        <v>33388</v>
      </c>
      <c r="C820" s="707"/>
      <c r="D820" s="707"/>
      <c r="E820" s="708" t="s">
        <v>207</v>
      </c>
      <c r="F820" s="709">
        <v>5000.0</v>
      </c>
      <c r="G820" s="708" t="s">
        <v>184</v>
      </c>
      <c r="H820" s="709">
        <v>9.0</v>
      </c>
      <c r="I820" s="709">
        <v>5000.0</v>
      </c>
      <c r="J820" s="705">
        <f t="shared" si="1"/>
        <v>50000</v>
      </c>
      <c r="K820" s="705">
        <f t="shared" si="6"/>
        <v>13500</v>
      </c>
      <c r="L820" s="705">
        <f t="shared" si="3"/>
        <v>63500</v>
      </c>
      <c r="M820" s="706">
        <f t="shared" si="5"/>
        <v>12.7</v>
      </c>
    </row>
    <row r="821">
      <c r="A821" s="702" t="s">
        <v>33383</v>
      </c>
      <c r="B821" s="702" t="s">
        <v>17244</v>
      </c>
      <c r="C821" s="707"/>
      <c r="D821" s="707"/>
      <c r="E821" s="708" t="s">
        <v>10622</v>
      </c>
      <c r="F821" s="709">
        <v>100.0</v>
      </c>
      <c r="G821" s="708" t="s">
        <v>467</v>
      </c>
      <c r="H821" s="709">
        <v>84.0</v>
      </c>
      <c r="I821" s="709">
        <v>500.0</v>
      </c>
      <c r="J821" s="705">
        <f t="shared" si="1"/>
        <v>8900</v>
      </c>
      <c r="K821" s="705">
        <f t="shared" si="6"/>
        <v>3225</v>
      </c>
      <c r="L821" s="705">
        <f t="shared" si="3"/>
        <v>12125</v>
      </c>
      <c r="M821" s="706">
        <f t="shared" si="5"/>
        <v>121.25</v>
      </c>
    </row>
    <row r="822">
      <c r="A822" s="702" t="s">
        <v>33383</v>
      </c>
      <c r="B822" s="702" t="s">
        <v>33389</v>
      </c>
      <c r="C822" s="707"/>
      <c r="D822" s="707"/>
      <c r="E822" s="708" t="s">
        <v>794</v>
      </c>
      <c r="F822" s="709">
        <v>2000.0</v>
      </c>
      <c r="G822" s="708" t="s">
        <v>44</v>
      </c>
      <c r="H822" s="709">
        <v>5.0</v>
      </c>
      <c r="I822" s="709">
        <v>2000.0</v>
      </c>
      <c r="J822" s="705">
        <f t="shared" si="1"/>
        <v>12000</v>
      </c>
      <c r="K822" s="705">
        <f t="shared" si="6"/>
        <v>4000</v>
      </c>
      <c r="L822" s="705">
        <f t="shared" si="3"/>
        <v>16000</v>
      </c>
      <c r="M822" s="706">
        <f t="shared" si="5"/>
        <v>8</v>
      </c>
    </row>
    <row r="823">
      <c r="A823" s="702" t="s">
        <v>33383</v>
      </c>
      <c r="B823" s="702" t="s">
        <v>33390</v>
      </c>
      <c r="C823" s="707"/>
      <c r="D823" s="707"/>
      <c r="E823" s="708" t="s">
        <v>9187</v>
      </c>
      <c r="F823" s="709">
        <v>5000.0</v>
      </c>
      <c r="G823" s="708" t="s">
        <v>44</v>
      </c>
      <c r="H823" s="709">
        <v>5.0</v>
      </c>
      <c r="I823" s="709">
        <v>5000.0</v>
      </c>
      <c r="J823" s="705">
        <f t="shared" si="1"/>
        <v>30000</v>
      </c>
      <c r="K823" s="705">
        <f t="shared" si="6"/>
        <v>8500</v>
      </c>
      <c r="L823" s="705">
        <f t="shared" si="3"/>
        <v>38500</v>
      </c>
      <c r="M823" s="706">
        <f t="shared" si="5"/>
        <v>7.7</v>
      </c>
    </row>
    <row r="824">
      <c r="A824" s="702" t="s">
        <v>33383</v>
      </c>
      <c r="B824" s="702" t="s">
        <v>17260</v>
      </c>
      <c r="C824" s="707"/>
      <c r="D824" s="707"/>
      <c r="E824" s="708" t="s">
        <v>10622</v>
      </c>
      <c r="F824" s="709">
        <v>100.0</v>
      </c>
      <c r="G824" s="708" t="s">
        <v>507</v>
      </c>
      <c r="H824" s="709">
        <v>84.0</v>
      </c>
      <c r="I824" s="709">
        <v>500.0</v>
      </c>
      <c r="J824" s="705">
        <f t="shared" si="1"/>
        <v>8900</v>
      </c>
      <c r="K824" s="705">
        <f t="shared" si="6"/>
        <v>3225</v>
      </c>
      <c r="L824" s="705">
        <f t="shared" si="3"/>
        <v>12125</v>
      </c>
      <c r="M824" s="706">
        <f t="shared" si="5"/>
        <v>121.25</v>
      </c>
    </row>
    <row r="825">
      <c r="A825" s="702" t="s">
        <v>33383</v>
      </c>
      <c r="B825" s="702" t="s">
        <v>33391</v>
      </c>
      <c r="C825" s="707"/>
      <c r="D825" s="707"/>
      <c r="E825" s="708" t="s">
        <v>794</v>
      </c>
      <c r="F825" s="709">
        <v>10000.0</v>
      </c>
      <c r="G825" s="708" t="s">
        <v>44</v>
      </c>
      <c r="H825" s="709">
        <v>5.0</v>
      </c>
      <c r="I825" s="705"/>
      <c r="J825" s="705">
        <f t="shared" si="1"/>
        <v>50000</v>
      </c>
      <c r="K825" s="705">
        <f t="shared" si="6"/>
        <v>13500</v>
      </c>
      <c r="L825" s="705">
        <f t="shared" si="3"/>
        <v>63500</v>
      </c>
      <c r="M825" s="706">
        <f t="shared" si="5"/>
        <v>6.35</v>
      </c>
    </row>
    <row r="826">
      <c r="A826" s="702" t="s">
        <v>33383</v>
      </c>
      <c r="B826" s="702" t="s">
        <v>33392</v>
      </c>
      <c r="C826" s="707"/>
      <c r="D826" s="707"/>
      <c r="E826" s="708" t="s">
        <v>38</v>
      </c>
      <c r="F826" s="709">
        <v>1000.0</v>
      </c>
      <c r="G826" s="708" t="s">
        <v>33254</v>
      </c>
      <c r="H826" s="709">
        <v>125.0</v>
      </c>
      <c r="I826" s="709">
        <v>1000.0</v>
      </c>
      <c r="J826" s="705">
        <f t="shared" si="1"/>
        <v>126000</v>
      </c>
      <c r="K826" s="705">
        <f t="shared" si="6"/>
        <v>32500</v>
      </c>
      <c r="L826" s="705">
        <f t="shared" si="3"/>
        <v>158500</v>
      </c>
      <c r="M826" s="706">
        <f t="shared" si="5"/>
        <v>158.5</v>
      </c>
    </row>
    <row r="827">
      <c r="A827" s="702" t="s">
        <v>33383</v>
      </c>
      <c r="B827" s="702" t="s">
        <v>17272</v>
      </c>
      <c r="C827" s="707"/>
      <c r="D827" s="707"/>
      <c r="E827" s="708" t="s">
        <v>16165</v>
      </c>
      <c r="F827" s="709">
        <v>100.0</v>
      </c>
      <c r="G827" s="708" t="s">
        <v>742</v>
      </c>
      <c r="H827" s="709">
        <v>175.0</v>
      </c>
      <c r="I827" s="709">
        <v>500.0</v>
      </c>
      <c r="J827" s="705">
        <f t="shared" si="1"/>
        <v>18000</v>
      </c>
      <c r="K827" s="705">
        <f t="shared" si="6"/>
        <v>5500</v>
      </c>
      <c r="L827" s="705">
        <f t="shared" si="3"/>
        <v>23500</v>
      </c>
      <c r="M827" s="706">
        <f t="shared" si="5"/>
        <v>235</v>
      </c>
    </row>
    <row r="828">
      <c r="A828" s="702" t="s">
        <v>33393</v>
      </c>
      <c r="B828" s="702" t="s">
        <v>17274</v>
      </c>
      <c r="C828" s="707"/>
      <c r="D828" s="707"/>
      <c r="E828" s="708" t="s">
        <v>33394</v>
      </c>
      <c r="F828" s="709">
        <v>100.0</v>
      </c>
      <c r="G828" s="708" t="s">
        <v>44</v>
      </c>
      <c r="H828" s="709">
        <v>125.0</v>
      </c>
      <c r="I828" s="709">
        <v>500.0</v>
      </c>
      <c r="J828" s="705">
        <f t="shared" si="1"/>
        <v>13000</v>
      </c>
      <c r="K828" s="705">
        <f t="shared" si="6"/>
        <v>4250</v>
      </c>
      <c r="L828" s="705">
        <f t="shared" si="3"/>
        <v>17250</v>
      </c>
      <c r="M828" s="706">
        <f t="shared" si="5"/>
        <v>172.5</v>
      </c>
    </row>
    <row r="829">
      <c r="A829" s="702" t="s">
        <v>33395</v>
      </c>
      <c r="B829" s="702" t="s">
        <v>33396</v>
      </c>
      <c r="C829" s="707"/>
      <c r="D829" s="707"/>
      <c r="E829" s="708" t="s">
        <v>7897</v>
      </c>
      <c r="F829" s="709">
        <v>1000.0</v>
      </c>
      <c r="G829" s="708" t="s">
        <v>2662</v>
      </c>
      <c r="H829" s="709">
        <v>17.0</v>
      </c>
      <c r="I829" s="709">
        <v>1000.0</v>
      </c>
      <c r="J829" s="705">
        <f t="shared" si="1"/>
        <v>18000</v>
      </c>
      <c r="K829" s="705">
        <f t="shared" si="6"/>
        <v>5500</v>
      </c>
      <c r="L829" s="705">
        <f t="shared" si="3"/>
        <v>23500</v>
      </c>
      <c r="M829" s="706">
        <f t="shared" si="5"/>
        <v>23.5</v>
      </c>
    </row>
    <row r="830">
      <c r="A830" s="702" t="s">
        <v>33395</v>
      </c>
      <c r="B830" s="702" t="s">
        <v>33397</v>
      </c>
      <c r="C830" s="707"/>
      <c r="D830" s="707"/>
      <c r="E830" s="708" t="s">
        <v>6719</v>
      </c>
      <c r="F830" s="709">
        <v>10000.0</v>
      </c>
      <c r="G830" s="708" t="s">
        <v>495</v>
      </c>
      <c r="H830" s="709">
        <v>18.0</v>
      </c>
      <c r="I830" s="709">
        <v>3500.0</v>
      </c>
      <c r="J830" s="705">
        <f t="shared" si="1"/>
        <v>183500</v>
      </c>
      <c r="K830" s="705">
        <f t="shared" si="6"/>
        <v>46875</v>
      </c>
      <c r="L830" s="705">
        <f t="shared" si="3"/>
        <v>230375</v>
      </c>
      <c r="M830" s="706">
        <f t="shared" si="5"/>
        <v>23.0375</v>
      </c>
    </row>
    <row r="831">
      <c r="A831" s="702" t="s">
        <v>33395</v>
      </c>
      <c r="B831" s="702" t="s">
        <v>17327</v>
      </c>
      <c r="C831" s="707"/>
      <c r="D831" s="707"/>
      <c r="E831" s="708" t="s">
        <v>15040</v>
      </c>
      <c r="F831" s="709">
        <v>100.0</v>
      </c>
      <c r="G831" s="708" t="s">
        <v>20765</v>
      </c>
      <c r="H831" s="709">
        <v>35.0</v>
      </c>
      <c r="I831" s="709">
        <v>500.0</v>
      </c>
      <c r="J831" s="705">
        <f t="shared" si="1"/>
        <v>4000</v>
      </c>
      <c r="K831" s="705">
        <f t="shared" si="6"/>
        <v>2000</v>
      </c>
      <c r="L831" s="705">
        <f t="shared" si="3"/>
        <v>6000</v>
      </c>
      <c r="M831" s="706">
        <f t="shared" si="5"/>
        <v>60</v>
      </c>
    </row>
    <row r="832">
      <c r="A832" s="702" t="s">
        <v>33395</v>
      </c>
      <c r="B832" s="702" t="s">
        <v>33398</v>
      </c>
      <c r="C832" s="707"/>
      <c r="D832" s="707"/>
      <c r="E832" s="708" t="s">
        <v>14706</v>
      </c>
      <c r="F832" s="709">
        <v>500.0</v>
      </c>
      <c r="G832" s="708" t="s">
        <v>44</v>
      </c>
      <c r="H832" s="709">
        <v>40.0</v>
      </c>
      <c r="I832" s="709">
        <v>500.0</v>
      </c>
      <c r="J832" s="705">
        <f t="shared" si="1"/>
        <v>20500</v>
      </c>
      <c r="K832" s="705">
        <f t="shared" si="6"/>
        <v>6125</v>
      </c>
      <c r="L832" s="705">
        <f t="shared" si="3"/>
        <v>26625</v>
      </c>
      <c r="M832" s="706">
        <f t="shared" si="5"/>
        <v>53.25</v>
      </c>
    </row>
    <row r="833">
      <c r="A833" s="702" t="s">
        <v>33395</v>
      </c>
      <c r="B833" s="702" t="s">
        <v>33399</v>
      </c>
      <c r="C833" s="707"/>
      <c r="D833" s="707"/>
      <c r="E833" s="708" t="s">
        <v>152</v>
      </c>
      <c r="F833" s="709">
        <v>20000.0</v>
      </c>
      <c r="G833" s="708" t="s">
        <v>10805</v>
      </c>
      <c r="H833" s="709">
        <v>17.0</v>
      </c>
      <c r="I833" s="705"/>
      <c r="J833" s="705">
        <f t="shared" si="1"/>
        <v>340000</v>
      </c>
      <c r="K833" s="705">
        <f t="shared" si="6"/>
        <v>86000</v>
      </c>
      <c r="L833" s="705">
        <f t="shared" si="3"/>
        <v>426000</v>
      </c>
      <c r="M833" s="706">
        <f t="shared" si="5"/>
        <v>21.3</v>
      </c>
    </row>
    <row r="834">
      <c r="A834" s="702" t="s">
        <v>33395</v>
      </c>
      <c r="B834" s="702" t="s">
        <v>33400</v>
      </c>
      <c r="C834" s="707"/>
      <c r="D834" s="707"/>
      <c r="E834" s="708" t="s">
        <v>4481</v>
      </c>
      <c r="F834" s="709">
        <v>33000.0</v>
      </c>
      <c r="G834" s="708" t="s">
        <v>507</v>
      </c>
      <c r="H834" s="709">
        <v>30.0</v>
      </c>
      <c r="I834" s="705"/>
      <c r="J834" s="705">
        <f t="shared" si="1"/>
        <v>990000</v>
      </c>
      <c r="K834" s="705">
        <f t="shared" si="6"/>
        <v>248500</v>
      </c>
      <c r="L834" s="705">
        <f t="shared" si="3"/>
        <v>1238500</v>
      </c>
      <c r="M834" s="706">
        <f t="shared" si="5"/>
        <v>37.53030303</v>
      </c>
      <c r="N834" s="526" t="s">
        <v>33401</v>
      </c>
    </row>
    <row r="835">
      <c r="A835" s="702" t="s">
        <v>33402</v>
      </c>
      <c r="B835" s="702" t="s">
        <v>33403</v>
      </c>
      <c r="C835" s="707"/>
      <c r="D835" s="707"/>
      <c r="E835" s="708" t="s">
        <v>10622</v>
      </c>
      <c r="F835" s="709">
        <v>500.0</v>
      </c>
      <c r="G835" s="708" t="s">
        <v>11351</v>
      </c>
      <c r="H835" s="709">
        <v>84.0</v>
      </c>
      <c r="I835" s="709">
        <v>500.0</v>
      </c>
      <c r="J835" s="705">
        <f t="shared" si="1"/>
        <v>42500</v>
      </c>
      <c r="K835" s="705">
        <f t="shared" si="6"/>
        <v>11625</v>
      </c>
      <c r="L835" s="705">
        <f t="shared" si="3"/>
        <v>54125</v>
      </c>
      <c r="M835" s="706">
        <f t="shared" si="5"/>
        <v>108.25</v>
      </c>
    </row>
    <row r="836">
      <c r="A836" s="702" t="s">
        <v>33402</v>
      </c>
      <c r="B836" s="702" t="s">
        <v>33404</v>
      </c>
      <c r="C836" s="707"/>
      <c r="D836" s="707"/>
      <c r="E836" s="708" t="s">
        <v>178</v>
      </c>
      <c r="F836" s="709">
        <v>2000.0</v>
      </c>
      <c r="G836" s="708" t="s">
        <v>10805</v>
      </c>
      <c r="H836" s="709">
        <v>7.0</v>
      </c>
      <c r="I836" s="709">
        <v>2500.0</v>
      </c>
      <c r="J836" s="705">
        <f t="shared" si="1"/>
        <v>16500</v>
      </c>
      <c r="K836" s="705">
        <f t="shared" si="6"/>
        <v>5125</v>
      </c>
      <c r="L836" s="705">
        <f t="shared" si="3"/>
        <v>21625</v>
      </c>
      <c r="M836" s="706">
        <f t="shared" si="5"/>
        <v>10.8125</v>
      </c>
    </row>
    <row r="837">
      <c r="A837" s="702" t="s">
        <v>33402</v>
      </c>
      <c r="B837" s="702" t="s">
        <v>33405</v>
      </c>
      <c r="C837" s="707"/>
      <c r="D837" s="707"/>
      <c r="E837" s="708" t="s">
        <v>33406</v>
      </c>
      <c r="F837" s="709">
        <v>10000.0</v>
      </c>
      <c r="G837" s="708" t="s">
        <v>10805</v>
      </c>
      <c r="H837" s="709">
        <v>32.0</v>
      </c>
      <c r="I837" s="705"/>
      <c r="J837" s="705">
        <f t="shared" si="1"/>
        <v>320000</v>
      </c>
      <c r="K837" s="705">
        <f t="shared" si="6"/>
        <v>81000</v>
      </c>
      <c r="L837" s="705">
        <f t="shared" si="3"/>
        <v>401000</v>
      </c>
      <c r="M837" s="706">
        <f t="shared" si="5"/>
        <v>40.1</v>
      </c>
    </row>
    <row r="838">
      <c r="A838" s="702" t="s">
        <v>33402</v>
      </c>
      <c r="B838" s="702" t="s">
        <v>33407</v>
      </c>
      <c r="C838" s="707"/>
      <c r="D838" s="707"/>
      <c r="E838" s="708" t="s">
        <v>31499</v>
      </c>
      <c r="F838" s="721">
        <v>10000.0</v>
      </c>
      <c r="G838" s="708" t="s">
        <v>930</v>
      </c>
      <c r="H838" s="721">
        <v>2.5</v>
      </c>
      <c r="I838" s="709">
        <v>5000.0</v>
      </c>
      <c r="J838" s="705">
        <f t="shared" si="1"/>
        <v>30000</v>
      </c>
      <c r="K838" s="705">
        <f t="shared" si="6"/>
        <v>8500</v>
      </c>
      <c r="L838" s="705">
        <f t="shared" si="3"/>
        <v>38500</v>
      </c>
      <c r="M838" s="706">
        <f t="shared" si="5"/>
        <v>3.85</v>
      </c>
    </row>
    <row r="839">
      <c r="A839" s="702" t="s">
        <v>33402</v>
      </c>
      <c r="B839" s="702" t="s">
        <v>33407</v>
      </c>
      <c r="C839" s="707"/>
      <c r="D839" s="707"/>
      <c r="E839" s="708" t="s">
        <v>31500</v>
      </c>
      <c r="F839" s="721">
        <v>10000.0</v>
      </c>
      <c r="G839" s="708" t="s">
        <v>930</v>
      </c>
      <c r="H839" s="721">
        <v>4.0</v>
      </c>
      <c r="I839" s="709">
        <v>5000.0</v>
      </c>
      <c r="J839" s="705">
        <f t="shared" si="1"/>
        <v>45000</v>
      </c>
      <c r="K839" s="705">
        <f t="shared" si="6"/>
        <v>12250</v>
      </c>
      <c r="L839" s="705">
        <f t="shared" si="3"/>
        <v>57250</v>
      </c>
      <c r="M839" s="706">
        <f t="shared" si="5"/>
        <v>5.725</v>
      </c>
    </row>
    <row r="840">
      <c r="A840" s="702" t="s">
        <v>33402</v>
      </c>
      <c r="B840" s="702" t="s">
        <v>17351</v>
      </c>
      <c r="C840" s="707"/>
      <c r="D840" s="707"/>
      <c r="E840" s="708" t="s">
        <v>33408</v>
      </c>
      <c r="F840" s="709">
        <v>100.0</v>
      </c>
      <c r="G840" s="708" t="s">
        <v>44</v>
      </c>
      <c r="H840" s="709">
        <v>125.0</v>
      </c>
      <c r="I840" s="709">
        <v>500.0</v>
      </c>
      <c r="J840" s="705">
        <f t="shared" si="1"/>
        <v>13000</v>
      </c>
      <c r="K840" s="705">
        <f t="shared" si="6"/>
        <v>4250</v>
      </c>
      <c r="L840" s="705">
        <f t="shared" si="3"/>
        <v>17250</v>
      </c>
      <c r="M840" s="706">
        <f t="shared" si="5"/>
        <v>172.5</v>
      </c>
    </row>
    <row r="841">
      <c r="A841" s="702" t="s">
        <v>33402</v>
      </c>
      <c r="B841" s="702" t="s">
        <v>17376</v>
      </c>
      <c r="C841" s="707"/>
      <c r="D841" s="707"/>
      <c r="E841" s="708" t="s">
        <v>116</v>
      </c>
      <c r="F841" s="709">
        <v>500.0</v>
      </c>
      <c r="G841" s="708" t="s">
        <v>507</v>
      </c>
      <c r="H841" s="709">
        <v>84.0</v>
      </c>
      <c r="I841" s="709">
        <v>500.0</v>
      </c>
      <c r="J841" s="705">
        <f t="shared" si="1"/>
        <v>42500</v>
      </c>
      <c r="K841" s="705">
        <f t="shared" si="6"/>
        <v>11625</v>
      </c>
      <c r="L841" s="705">
        <f t="shared" si="3"/>
        <v>54125</v>
      </c>
      <c r="M841" s="706">
        <f t="shared" si="5"/>
        <v>108.25</v>
      </c>
    </row>
    <row r="842">
      <c r="A842" s="702" t="s">
        <v>33402</v>
      </c>
      <c r="B842" s="702" t="s">
        <v>17382</v>
      </c>
      <c r="C842" s="707"/>
      <c r="D842" s="707"/>
      <c r="E842" s="708" t="s">
        <v>3073</v>
      </c>
      <c r="F842" s="709">
        <v>100.0</v>
      </c>
      <c r="G842" s="708" t="s">
        <v>44</v>
      </c>
      <c r="H842" s="709">
        <v>180.0</v>
      </c>
      <c r="I842" s="709">
        <v>500.0</v>
      </c>
      <c r="J842" s="705">
        <f t="shared" si="1"/>
        <v>18500</v>
      </c>
      <c r="K842" s="705">
        <f t="shared" si="6"/>
        <v>5625</v>
      </c>
      <c r="L842" s="705">
        <f t="shared" si="3"/>
        <v>24125</v>
      </c>
      <c r="M842" s="706">
        <f t="shared" si="5"/>
        <v>241.25</v>
      </c>
    </row>
    <row r="843">
      <c r="A843" s="702" t="s">
        <v>33402</v>
      </c>
      <c r="B843" s="702" t="s">
        <v>33409</v>
      </c>
      <c r="C843" s="707"/>
      <c r="D843" s="707"/>
      <c r="E843" s="708" t="s">
        <v>17393</v>
      </c>
      <c r="F843" s="709">
        <v>5000.0</v>
      </c>
      <c r="G843" s="708" t="s">
        <v>2662</v>
      </c>
      <c r="H843" s="709">
        <v>65.0</v>
      </c>
      <c r="I843" s="709">
        <v>5000.0</v>
      </c>
      <c r="J843" s="705">
        <f t="shared" si="1"/>
        <v>330000</v>
      </c>
      <c r="K843" s="705">
        <f t="shared" si="6"/>
        <v>83500</v>
      </c>
      <c r="L843" s="705">
        <f t="shared" si="3"/>
        <v>413500</v>
      </c>
      <c r="M843" s="706">
        <f t="shared" si="5"/>
        <v>82.7</v>
      </c>
      <c r="N843" s="526" t="s">
        <v>33410</v>
      </c>
    </row>
    <row r="844">
      <c r="A844" s="702" t="s">
        <v>33402</v>
      </c>
      <c r="B844" s="702" t="s">
        <v>33411</v>
      </c>
      <c r="C844" s="707"/>
      <c r="D844" s="707"/>
      <c r="E844" s="708" t="s">
        <v>10501</v>
      </c>
      <c r="F844" s="709">
        <v>20000.0</v>
      </c>
      <c r="G844" s="708" t="s">
        <v>10805</v>
      </c>
      <c r="H844" s="709">
        <v>19.0</v>
      </c>
      <c r="I844" s="705"/>
      <c r="J844" s="705">
        <f t="shared" si="1"/>
        <v>380000</v>
      </c>
      <c r="K844" s="705">
        <f t="shared" si="6"/>
        <v>96000</v>
      </c>
      <c r="L844" s="705">
        <f t="shared" si="3"/>
        <v>476000</v>
      </c>
      <c r="M844" s="706">
        <f t="shared" si="5"/>
        <v>23.8</v>
      </c>
    </row>
    <row r="845">
      <c r="A845" s="702" t="s">
        <v>33402</v>
      </c>
      <c r="B845" s="702" t="s">
        <v>33412</v>
      </c>
      <c r="C845" s="707"/>
      <c r="D845" s="707"/>
      <c r="E845" s="708" t="s">
        <v>17353</v>
      </c>
      <c r="F845" s="709">
        <v>1000.0</v>
      </c>
      <c r="G845" s="708" t="s">
        <v>44</v>
      </c>
      <c r="H845" s="709">
        <v>125.0</v>
      </c>
      <c r="I845" s="709">
        <v>1000.0</v>
      </c>
      <c r="J845" s="705">
        <f t="shared" si="1"/>
        <v>126000</v>
      </c>
      <c r="K845" s="705">
        <f t="shared" si="6"/>
        <v>32500</v>
      </c>
      <c r="L845" s="705">
        <f t="shared" si="3"/>
        <v>158500</v>
      </c>
      <c r="M845" s="706">
        <f t="shared" si="5"/>
        <v>158.5</v>
      </c>
    </row>
    <row r="846">
      <c r="A846" s="702" t="s">
        <v>33413</v>
      </c>
      <c r="B846" s="702" t="s">
        <v>33414</v>
      </c>
      <c r="C846" s="707"/>
      <c r="D846" s="707"/>
      <c r="E846" s="708" t="s">
        <v>33415</v>
      </c>
      <c r="F846" s="709">
        <v>15000.0</v>
      </c>
      <c r="G846" s="708" t="s">
        <v>107</v>
      </c>
      <c r="H846" s="709">
        <v>20.0</v>
      </c>
      <c r="I846" s="705"/>
      <c r="J846" s="705">
        <f t="shared" si="1"/>
        <v>300000</v>
      </c>
      <c r="K846" s="705">
        <f t="shared" si="6"/>
        <v>76000</v>
      </c>
      <c r="L846" s="705">
        <f t="shared" si="3"/>
        <v>376000</v>
      </c>
      <c r="M846" s="706">
        <f t="shared" si="5"/>
        <v>25.06666667</v>
      </c>
      <c r="N846" s="526" t="s">
        <v>33416</v>
      </c>
    </row>
    <row r="847">
      <c r="A847" s="702" t="s">
        <v>33413</v>
      </c>
      <c r="B847" s="702" t="s">
        <v>17430</v>
      </c>
      <c r="C847" s="707"/>
      <c r="D847" s="707"/>
      <c r="E847" s="708" t="s">
        <v>4481</v>
      </c>
      <c r="F847" s="709">
        <v>300.0</v>
      </c>
      <c r="G847" s="708" t="s">
        <v>44</v>
      </c>
      <c r="H847" s="709">
        <v>35.0</v>
      </c>
      <c r="I847" s="709">
        <v>500.0</v>
      </c>
      <c r="J847" s="705">
        <f t="shared" si="1"/>
        <v>11000</v>
      </c>
      <c r="K847" s="705">
        <f t="shared" si="6"/>
        <v>3750</v>
      </c>
      <c r="L847" s="705">
        <f t="shared" si="3"/>
        <v>14750</v>
      </c>
      <c r="M847" s="706">
        <f t="shared" si="5"/>
        <v>49.16666667</v>
      </c>
      <c r="N847" s="526" t="s">
        <v>33417</v>
      </c>
    </row>
    <row r="848">
      <c r="A848" s="702" t="s">
        <v>33418</v>
      </c>
      <c r="B848" s="702" t="s">
        <v>33419</v>
      </c>
      <c r="C848" s="707"/>
      <c r="D848" s="707"/>
      <c r="E848" s="708" t="s">
        <v>38</v>
      </c>
      <c r="F848" s="709">
        <v>10000.0</v>
      </c>
      <c r="G848" s="708" t="s">
        <v>44</v>
      </c>
      <c r="H848" s="709">
        <v>125.0</v>
      </c>
      <c r="I848" s="705"/>
      <c r="J848" s="705">
        <f t="shared" si="1"/>
        <v>1250000</v>
      </c>
      <c r="K848" s="705">
        <f t="shared" si="6"/>
        <v>313500</v>
      </c>
      <c r="L848" s="705">
        <f t="shared" si="3"/>
        <v>1563500</v>
      </c>
      <c r="M848" s="706">
        <f t="shared" si="5"/>
        <v>156.35</v>
      </c>
    </row>
    <row r="849">
      <c r="A849" s="702" t="s">
        <v>33418</v>
      </c>
      <c r="B849" s="702" t="s">
        <v>17457</v>
      </c>
      <c r="C849" s="707"/>
      <c r="D849" s="707"/>
      <c r="E849" s="708" t="s">
        <v>3165</v>
      </c>
      <c r="F849" s="709">
        <v>200.0</v>
      </c>
      <c r="G849" s="708" t="s">
        <v>184</v>
      </c>
      <c r="H849" s="709">
        <v>80.0</v>
      </c>
      <c r="I849" s="709">
        <v>500.0</v>
      </c>
      <c r="J849" s="705">
        <f t="shared" si="1"/>
        <v>16500</v>
      </c>
      <c r="K849" s="705">
        <f t="shared" si="6"/>
        <v>5125</v>
      </c>
      <c r="L849" s="705">
        <f t="shared" si="3"/>
        <v>21625</v>
      </c>
      <c r="M849" s="706">
        <f t="shared" si="5"/>
        <v>108.125</v>
      </c>
    </row>
    <row r="850">
      <c r="A850" s="702" t="s">
        <v>33418</v>
      </c>
      <c r="B850" s="702" t="s">
        <v>17472</v>
      </c>
      <c r="C850" s="707"/>
      <c r="D850" s="707"/>
      <c r="E850" s="708" t="s">
        <v>152</v>
      </c>
      <c r="F850" s="709">
        <v>600.0</v>
      </c>
      <c r="G850" s="708" t="s">
        <v>7280</v>
      </c>
      <c r="H850" s="709">
        <v>20.0</v>
      </c>
      <c r="I850" s="709">
        <v>1000.0</v>
      </c>
      <c r="J850" s="705">
        <f t="shared" si="1"/>
        <v>13000</v>
      </c>
      <c r="K850" s="705">
        <f t="shared" si="6"/>
        <v>4250</v>
      </c>
      <c r="L850" s="705">
        <f t="shared" si="3"/>
        <v>17250</v>
      </c>
      <c r="M850" s="706">
        <f t="shared" si="5"/>
        <v>28.75</v>
      </c>
    </row>
    <row r="851">
      <c r="A851" s="702" t="s">
        <v>33418</v>
      </c>
      <c r="B851" s="702" t="s">
        <v>17469</v>
      </c>
      <c r="C851" s="707"/>
      <c r="D851" s="707"/>
      <c r="E851" s="708" t="s">
        <v>38</v>
      </c>
      <c r="F851" s="709">
        <v>200.0</v>
      </c>
      <c r="G851" s="708" t="s">
        <v>44</v>
      </c>
      <c r="H851" s="709">
        <v>125.0</v>
      </c>
      <c r="I851" s="709">
        <v>500.0</v>
      </c>
      <c r="J851" s="705">
        <f t="shared" si="1"/>
        <v>25500</v>
      </c>
      <c r="K851" s="705">
        <f t="shared" si="6"/>
        <v>7375</v>
      </c>
      <c r="L851" s="705">
        <f t="shared" si="3"/>
        <v>32875</v>
      </c>
      <c r="M851" s="706">
        <f t="shared" si="5"/>
        <v>164.375</v>
      </c>
    </row>
    <row r="852">
      <c r="A852" s="702" t="s">
        <v>33420</v>
      </c>
      <c r="B852" s="702" t="s">
        <v>17486</v>
      </c>
      <c r="C852" s="707"/>
      <c r="D852" s="707"/>
      <c r="E852" s="708" t="s">
        <v>38</v>
      </c>
      <c r="F852" s="709">
        <v>100.0</v>
      </c>
      <c r="G852" s="708" t="s">
        <v>44</v>
      </c>
      <c r="H852" s="709">
        <v>125.0</v>
      </c>
      <c r="I852" s="709">
        <v>500.0</v>
      </c>
      <c r="J852" s="705">
        <f t="shared" si="1"/>
        <v>13000</v>
      </c>
      <c r="K852" s="705">
        <f t="shared" si="6"/>
        <v>4250</v>
      </c>
      <c r="L852" s="705">
        <f t="shared" si="3"/>
        <v>17250</v>
      </c>
      <c r="M852" s="706">
        <f t="shared" si="5"/>
        <v>172.5</v>
      </c>
    </row>
    <row r="853">
      <c r="A853" s="702" t="s">
        <v>33420</v>
      </c>
      <c r="B853" s="702" t="s">
        <v>17493</v>
      </c>
      <c r="C853" s="707"/>
      <c r="D853" s="707"/>
      <c r="E853" s="708" t="s">
        <v>38</v>
      </c>
      <c r="F853" s="709">
        <v>200.0</v>
      </c>
      <c r="G853" s="708" t="s">
        <v>44</v>
      </c>
      <c r="H853" s="709">
        <v>125.0</v>
      </c>
      <c r="I853" s="709">
        <v>500.0</v>
      </c>
      <c r="J853" s="705">
        <f t="shared" si="1"/>
        <v>25500</v>
      </c>
      <c r="K853" s="705">
        <f t="shared" si="6"/>
        <v>7375</v>
      </c>
      <c r="L853" s="705">
        <f t="shared" si="3"/>
        <v>32875</v>
      </c>
      <c r="M853" s="706">
        <f t="shared" si="5"/>
        <v>164.375</v>
      </c>
    </row>
    <row r="854">
      <c r="A854" s="702" t="s">
        <v>33420</v>
      </c>
      <c r="B854" s="702" t="s">
        <v>33421</v>
      </c>
      <c r="C854" s="707"/>
      <c r="D854" s="707"/>
      <c r="E854" s="708" t="s">
        <v>31499</v>
      </c>
      <c r="F854" s="709">
        <v>10000.0</v>
      </c>
      <c r="G854" s="708" t="s">
        <v>7280</v>
      </c>
      <c r="H854" s="709">
        <v>2.5</v>
      </c>
      <c r="I854" s="709">
        <v>5000.0</v>
      </c>
      <c r="J854" s="705">
        <f t="shared" si="1"/>
        <v>30000</v>
      </c>
      <c r="K854" s="705">
        <f t="shared" si="6"/>
        <v>8500</v>
      </c>
      <c r="L854" s="705">
        <f t="shared" si="3"/>
        <v>38500</v>
      </c>
      <c r="M854" s="706">
        <f t="shared" si="5"/>
        <v>3.85</v>
      </c>
    </row>
    <row r="855">
      <c r="A855" s="702" t="s">
        <v>33420</v>
      </c>
      <c r="B855" s="702" t="s">
        <v>33421</v>
      </c>
      <c r="C855" s="707"/>
      <c r="D855" s="707"/>
      <c r="E855" s="708" t="s">
        <v>31500</v>
      </c>
      <c r="F855" s="709">
        <v>10000.0</v>
      </c>
      <c r="G855" s="708" t="s">
        <v>7280</v>
      </c>
      <c r="H855" s="709">
        <v>4.0</v>
      </c>
      <c r="I855" s="709">
        <v>5000.0</v>
      </c>
      <c r="J855" s="705">
        <f t="shared" si="1"/>
        <v>45000</v>
      </c>
      <c r="K855" s="705">
        <f t="shared" si="6"/>
        <v>12250</v>
      </c>
      <c r="L855" s="705">
        <f t="shared" si="3"/>
        <v>57250</v>
      </c>
      <c r="M855" s="706">
        <f t="shared" si="5"/>
        <v>5.725</v>
      </c>
    </row>
    <row r="856">
      <c r="A856" s="702" t="s">
        <v>33422</v>
      </c>
      <c r="B856" s="702" t="s">
        <v>33423</v>
      </c>
      <c r="C856" s="707"/>
      <c r="D856" s="707"/>
      <c r="E856" s="708" t="s">
        <v>33424</v>
      </c>
      <c r="F856" s="709">
        <v>100000.0</v>
      </c>
      <c r="G856" s="708" t="s">
        <v>33425</v>
      </c>
      <c r="H856" s="709">
        <v>18.0</v>
      </c>
      <c r="I856" s="705"/>
      <c r="J856" s="705">
        <f t="shared" si="1"/>
        <v>1800000</v>
      </c>
      <c r="K856" s="705">
        <f t="shared" si="6"/>
        <v>451000</v>
      </c>
      <c r="L856" s="705">
        <f t="shared" si="3"/>
        <v>2251000</v>
      </c>
      <c r="M856" s="706">
        <f t="shared" si="5"/>
        <v>22.51</v>
      </c>
      <c r="N856" s="526" t="s">
        <v>33426</v>
      </c>
    </row>
    <row r="857">
      <c r="A857" s="702" t="s">
        <v>33422</v>
      </c>
      <c r="B857" s="702" t="s">
        <v>33427</v>
      </c>
      <c r="C857" s="707"/>
      <c r="D857" s="707"/>
      <c r="E857" s="708" t="s">
        <v>3571</v>
      </c>
      <c r="F857" s="709">
        <v>50000.0</v>
      </c>
      <c r="G857" s="708" t="s">
        <v>507</v>
      </c>
      <c r="H857" s="709">
        <v>22.0</v>
      </c>
      <c r="I857" s="705"/>
      <c r="J857" s="705">
        <f t="shared" si="1"/>
        <v>1100000</v>
      </c>
      <c r="K857" s="705">
        <f t="shared" si="6"/>
        <v>276000</v>
      </c>
      <c r="L857" s="705">
        <f t="shared" si="3"/>
        <v>1376000</v>
      </c>
      <c r="M857" s="706">
        <f t="shared" si="5"/>
        <v>27.52</v>
      </c>
      <c r="N857" s="526" t="s">
        <v>33337</v>
      </c>
    </row>
    <row r="858">
      <c r="A858" s="702" t="s">
        <v>33428</v>
      </c>
      <c r="B858" s="702" t="s">
        <v>17508</v>
      </c>
      <c r="C858" s="707"/>
      <c r="D858" s="707"/>
      <c r="E858" s="708" t="s">
        <v>539</v>
      </c>
      <c r="F858" s="709">
        <v>300.0</v>
      </c>
      <c r="G858" s="708" t="s">
        <v>33254</v>
      </c>
      <c r="H858" s="709">
        <v>18.0</v>
      </c>
      <c r="I858" s="709">
        <v>500.0</v>
      </c>
      <c r="J858" s="705">
        <f t="shared" si="1"/>
        <v>5900</v>
      </c>
      <c r="K858" s="705">
        <f t="shared" si="6"/>
        <v>2475</v>
      </c>
      <c r="L858" s="705">
        <f t="shared" si="3"/>
        <v>8375</v>
      </c>
      <c r="M858" s="706">
        <f t="shared" si="5"/>
        <v>27.91666667</v>
      </c>
    </row>
    <row r="859">
      <c r="A859" s="702" t="s">
        <v>33428</v>
      </c>
      <c r="B859" s="702" t="s">
        <v>33429</v>
      </c>
      <c r="C859" s="707"/>
      <c r="D859" s="707"/>
      <c r="E859" s="708" t="s">
        <v>156</v>
      </c>
      <c r="F859" s="709">
        <v>20000.0</v>
      </c>
      <c r="G859" s="708" t="s">
        <v>44</v>
      </c>
      <c r="H859" s="709">
        <v>9.0</v>
      </c>
      <c r="I859" s="705"/>
      <c r="J859" s="705">
        <f t="shared" si="1"/>
        <v>180000</v>
      </c>
      <c r="K859" s="705">
        <f t="shared" si="6"/>
        <v>46000</v>
      </c>
      <c r="L859" s="705">
        <f t="shared" si="3"/>
        <v>226000</v>
      </c>
      <c r="M859" s="706">
        <f t="shared" si="5"/>
        <v>11.3</v>
      </c>
    </row>
    <row r="860">
      <c r="A860" s="702" t="s">
        <v>33428</v>
      </c>
      <c r="B860" s="702" t="s">
        <v>33430</v>
      </c>
      <c r="C860" s="707"/>
      <c r="D860" s="707"/>
      <c r="E860" s="708" t="s">
        <v>31499</v>
      </c>
      <c r="F860" s="709">
        <v>2000.0</v>
      </c>
      <c r="G860" s="708" t="s">
        <v>742</v>
      </c>
      <c r="H860" s="709">
        <v>2.5</v>
      </c>
      <c r="I860" s="709">
        <v>1000.0</v>
      </c>
      <c r="J860" s="705">
        <f t="shared" si="1"/>
        <v>6000</v>
      </c>
      <c r="K860" s="705">
        <f t="shared" si="6"/>
        <v>2500</v>
      </c>
      <c r="L860" s="705">
        <f t="shared" si="3"/>
        <v>8500</v>
      </c>
      <c r="M860" s="706">
        <f t="shared" si="5"/>
        <v>4.25</v>
      </c>
    </row>
    <row r="861">
      <c r="A861" s="702" t="s">
        <v>33428</v>
      </c>
      <c r="B861" s="702" t="s">
        <v>33430</v>
      </c>
      <c r="C861" s="707"/>
      <c r="D861" s="707"/>
      <c r="E861" s="708" t="s">
        <v>31500</v>
      </c>
      <c r="F861" s="709">
        <v>2000.0</v>
      </c>
      <c r="G861" s="708" t="s">
        <v>742</v>
      </c>
      <c r="H861" s="709">
        <v>4.0</v>
      </c>
      <c r="I861" s="709">
        <v>1000.0</v>
      </c>
      <c r="J861" s="705">
        <f t="shared" si="1"/>
        <v>9000</v>
      </c>
      <c r="K861" s="705">
        <f t="shared" si="6"/>
        <v>3250</v>
      </c>
      <c r="L861" s="705">
        <f t="shared" si="3"/>
        <v>12250</v>
      </c>
      <c r="M861" s="706">
        <f t="shared" si="5"/>
        <v>6.125</v>
      </c>
    </row>
    <row r="862">
      <c r="A862" s="702" t="s">
        <v>33428</v>
      </c>
      <c r="B862" s="702" t="s">
        <v>33431</v>
      </c>
      <c r="C862" s="707"/>
      <c r="D862" s="707"/>
      <c r="E862" s="708" t="s">
        <v>17353</v>
      </c>
      <c r="F862" s="709">
        <v>2000.0</v>
      </c>
      <c r="G862" s="708" t="s">
        <v>44</v>
      </c>
      <c r="H862" s="709">
        <v>125.0</v>
      </c>
      <c r="I862" s="709">
        <v>2000.0</v>
      </c>
      <c r="J862" s="705">
        <f t="shared" si="1"/>
        <v>252000</v>
      </c>
      <c r="K862" s="705">
        <f t="shared" si="6"/>
        <v>64000</v>
      </c>
      <c r="L862" s="705">
        <f t="shared" si="3"/>
        <v>316000</v>
      </c>
      <c r="M862" s="706">
        <f t="shared" si="5"/>
        <v>158</v>
      </c>
    </row>
    <row r="863">
      <c r="A863" s="702" t="s">
        <v>33428</v>
      </c>
      <c r="B863" s="702" t="s">
        <v>33432</v>
      </c>
      <c r="C863" s="707"/>
      <c r="D863" s="707"/>
      <c r="E863" s="708" t="s">
        <v>12775</v>
      </c>
      <c r="F863" s="709">
        <v>10000.0</v>
      </c>
      <c r="G863" s="708" t="s">
        <v>2682</v>
      </c>
      <c r="H863" s="709">
        <v>125.0</v>
      </c>
      <c r="I863" s="705"/>
      <c r="J863" s="705">
        <f t="shared" si="1"/>
        <v>1250000</v>
      </c>
      <c r="K863" s="705">
        <f t="shared" si="6"/>
        <v>313500</v>
      </c>
      <c r="L863" s="705">
        <f t="shared" si="3"/>
        <v>1563500</v>
      </c>
      <c r="M863" s="706">
        <f t="shared" si="5"/>
        <v>156.35</v>
      </c>
    </row>
    <row r="864">
      <c r="A864" s="702" t="s">
        <v>33428</v>
      </c>
      <c r="B864" s="702" t="s">
        <v>33433</v>
      </c>
      <c r="C864" s="707"/>
      <c r="D864" s="707"/>
      <c r="E864" s="708" t="s">
        <v>152</v>
      </c>
      <c r="F864" s="709">
        <v>60000.0</v>
      </c>
      <c r="G864" s="708" t="s">
        <v>17883</v>
      </c>
      <c r="H864" s="709">
        <v>18.0</v>
      </c>
      <c r="I864" s="705"/>
      <c r="J864" s="705">
        <f t="shared" si="1"/>
        <v>1080000</v>
      </c>
      <c r="K864" s="705">
        <f t="shared" si="6"/>
        <v>271000</v>
      </c>
      <c r="L864" s="705">
        <f t="shared" si="3"/>
        <v>1351000</v>
      </c>
      <c r="M864" s="706">
        <f t="shared" si="5"/>
        <v>22.51666667</v>
      </c>
    </row>
    <row r="865">
      <c r="A865" s="702" t="s">
        <v>33434</v>
      </c>
      <c r="B865" s="702" t="s">
        <v>17527</v>
      </c>
      <c r="C865" s="707"/>
      <c r="D865" s="707"/>
      <c r="E865" s="708" t="s">
        <v>33435</v>
      </c>
      <c r="F865" s="709">
        <v>100.0</v>
      </c>
      <c r="G865" s="708" t="s">
        <v>507</v>
      </c>
      <c r="H865" s="709">
        <v>125.0</v>
      </c>
      <c r="I865" s="709">
        <v>500.0</v>
      </c>
      <c r="J865" s="705">
        <f t="shared" si="1"/>
        <v>13000</v>
      </c>
      <c r="K865" s="705">
        <f t="shared" si="6"/>
        <v>4250</v>
      </c>
      <c r="L865" s="705">
        <f t="shared" si="3"/>
        <v>17250</v>
      </c>
      <c r="M865" s="706">
        <f t="shared" si="5"/>
        <v>172.5</v>
      </c>
    </row>
    <row r="866">
      <c r="A866" s="702" t="s">
        <v>33434</v>
      </c>
      <c r="B866" s="702" t="s">
        <v>33436</v>
      </c>
      <c r="C866" s="707"/>
      <c r="D866" s="707"/>
      <c r="E866" s="708" t="s">
        <v>17535</v>
      </c>
      <c r="F866" s="709">
        <v>1000.0</v>
      </c>
      <c r="G866" s="708" t="s">
        <v>507</v>
      </c>
      <c r="H866" s="709">
        <v>125.0</v>
      </c>
      <c r="I866" s="709">
        <v>1000.0</v>
      </c>
      <c r="J866" s="705">
        <f t="shared" si="1"/>
        <v>126000</v>
      </c>
      <c r="K866" s="705">
        <f t="shared" si="6"/>
        <v>32500</v>
      </c>
      <c r="L866" s="705">
        <f t="shared" si="3"/>
        <v>158500</v>
      </c>
      <c r="M866" s="706">
        <f t="shared" si="5"/>
        <v>158.5</v>
      </c>
    </row>
    <row r="867">
      <c r="A867" s="702" t="s">
        <v>33434</v>
      </c>
      <c r="B867" s="702" t="s">
        <v>33437</v>
      </c>
      <c r="C867" s="707"/>
      <c r="D867" s="707"/>
      <c r="E867" s="708" t="s">
        <v>152</v>
      </c>
      <c r="F867" s="709">
        <v>20000.0</v>
      </c>
      <c r="G867" s="708" t="s">
        <v>44</v>
      </c>
      <c r="H867" s="709">
        <v>18.0</v>
      </c>
      <c r="I867" s="705"/>
      <c r="J867" s="705">
        <f t="shared" si="1"/>
        <v>360000</v>
      </c>
      <c r="K867" s="705">
        <f t="shared" si="6"/>
        <v>91000</v>
      </c>
      <c r="L867" s="705">
        <f t="shared" si="3"/>
        <v>451000</v>
      </c>
      <c r="M867" s="706">
        <f t="shared" si="5"/>
        <v>22.55</v>
      </c>
    </row>
    <row r="868">
      <c r="A868" s="702" t="s">
        <v>33434</v>
      </c>
      <c r="B868" s="702" t="s">
        <v>17542</v>
      </c>
      <c r="C868" s="707"/>
      <c r="D868" s="707"/>
      <c r="E868" s="708" t="s">
        <v>8247</v>
      </c>
      <c r="F868" s="709">
        <v>250.0</v>
      </c>
      <c r="G868" s="708" t="s">
        <v>44</v>
      </c>
      <c r="H868" s="709">
        <v>125.0</v>
      </c>
      <c r="I868" s="709">
        <v>500.0</v>
      </c>
      <c r="J868" s="705">
        <f t="shared" si="1"/>
        <v>31750</v>
      </c>
      <c r="K868" s="705">
        <f t="shared" si="6"/>
        <v>8937.5</v>
      </c>
      <c r="L868" s="705">
        <f t="shared" si="3"/>
        <v>40687.5</v>
      </c>
      <c r="M868" s="706">
        <f t="shared" si="5"/>
        <v>162.75</v>
      </c>
    </row>
    <row r="869">
      <c r="A869" s="702" t="s">
        <v>33434</v>
      </c>
      <c r="B869" s="702" t="s">
        <v>33438</v>
      </c>
      <c r="C869" s="707"/>
      <c r="D869" s="707"/>
      <c r="E869" s="708" t="s">
        <v>33439</v>
      </c>
      <c r="F869" s="709">
        <v>700.0</v>
      </c>
      <c r="G869" s="708" t="s">
        <v>33076</v>
      </c>
      <c r="H869" s="709">
        <v>200.0</v>
      </c>
      <c r="I869" s="709">
        <v>1000.0</v>
      </c>
      <c r="J869" s="705">
        <f t="shared" si="1"/>
        <v>141000</v>
      </c>
      <c r="K869" s="705">
        <f t="shared" si="6"/>
        <v>36250</v>
      </c>
      <c r="L869" s="705">
        <f t="shared" si="3"/>
        <v>177250</v>
      </c>
      <c r="M869" s="706">
        <f t="shared" si="5"/>
        <v>253.2142857</v>
      </c>
    </row>
    <row r="870">
      <c r="A870" s="702" t="s">
        <v>33434</v>
      </c>
      <c r="B870" s="702" t="s">
        <v>33440</v>
      </c>
      <c r="C870" s="707"/>
      <c r="D870" s="707"/>
      <c r="E870" s="708" t="s">
        <v>11049</v>
      </c>
      <c r="F870" s="709">
        <v>500.0</v>
      </c>
      <c r="G870" s="708" t="s">
        <v>184</v>
      </c>
      <c r="H870" s="709">
        <v>200.0</v>
      </c>
      <c r="I870" s="709">
        <v>700.0</v>
      </c>
      <c r="J870" s="705">
        <f t="shared" si="1"/>
        <v>100700</v>
      </c>
      <c r="K870" s="705">
        <f t="shared" si="6"/>
        <v>26175</v>
      </c>
      <c r="L870" s="705">
        <f t="shared" si="3"/>
        <v>126875</v>
      </c>
      <c r="M870" s="706">
        <f t="shared" si="5"/>
        <v>253.75</v>
      </c>
    </row>
    <row r="871">
      <c r="A871" s="702" t="s">
        <v>33434</v>
      </c>
      <c r="B871" s="702" t="s">
        <v>33441</v>
      </c>
      <c r="C871" s="707"/>
      <c r="D871" s="707"/>
      <c r="E871" s="708" t="s">
        <v>12775</v>
      </c>
      <c r="F871" s="709">
        <v>500.0</v>
      </c>
      <c r="G871" s="708" t="s">
        <v>398</v>
      </c>
      <c r="H871" s="709">
        <v>125.0</v>
      </c>
      <c r="I871" s="709">
        <v>1000.0</v>
      </c>
      <c r="J871" s="705">
        <f t="shared" si="1"/>
        <v>63500</v>
      </c>
      <c r="K871" s="705">
        <f t="shared" si="6"/>
        <v>16875</v>
      </c>
      <c r="L871" s="705">
        <f t="shared" si="3"/>
        <v>80375</v>
      </c>
      <c r="M871" s="706">
        <f t="shared" si="5"/>
        <v>160.75</v>
      </c>
    </row>
    <row r="872">
      <c r="A872" s="702" t="s">
        <v>33434</v>
      </c>
      <c r="B872" s="702" t="s">
        <v>33442</v>
      </c>
      <c r="C872" s="707"/>
      <c r="D872" s="707"/>
      <c r="E872" s="708" t="s">
        <v>18184</v>
      </c>
      <c r="F872" s="709">
        <v>500.0</v>
      </c>
      <c r="G872" s="708" t="s">
        <v>398</v>
      </c>
      <c r="H872" s="709">
        <v>125.0</v>
      </c>
      <c r="I872" s="709">
        <v>1000.0</v>
      </c>
      <c r="J872" s="705">
        <f t="shared" si="1"/>
        <v>63500</v>
      </c>
      <c r="K872" s="705">
        <f t="shared" si="6"/>
        <v>16875</v>
      </c>
      <c r="L872" s="705">
        <f t="shared" si="3"/>
        <v>80375</v>
      </c>
      <c r="M872" s="706">
        <f t="shared" si="5"/>
        <v>160.75</v>
      </c>
    </row>
    <row r="873">
      <c r="A873" s="702" t="s">
        <v>33434</v>
      </c>
      <c r="B873" s="702" t="s">
        <v>33443</v>
      </c>
      <c r="C873" s="707"/>
      <c r="D873" s="707"/>
      <c r="E873" s="708" t="s">
        <v>167</v>
      </c>
      <c r="F873" s="709">
        <v>1000.0</v>
      </c>
      <c r="G873" s="708" t="s">
        <v>507</v>
      </c>
      <c r="H873" s="709">
        <v>20.0</v>
      </c>
      <c r="I873" s="709">
        <v>1000.0</v>
      </c>
      <c r="J873" s="705">
        <f t="shared" si="1"/>
        <v>21000</v>
      </c>
      <c r="K873" s="705">
        <f t="shared" si="6"/>
        <v>6250</v>
      </c>
      <c r="L873" s="705">
        <f t="shared" si="3"/>
        <v>27250</v>
      </c>
      <c r="M873" s="706">
        <f t="shared" si="5"/>
        <v>27.25</v>
      </c>
    </row>
    <row r="874">
      <c r="A874" s="702" t="s">
        <v>33434</v>
      </c>
      <c r="B874" s="702" t="s">
        <v>33444</v>
      </c>
      <c r="C874" s="707"/>
      <c r="D874" s="707"/>
      <c r="E874" s="708" t="s">
        <v>9187</v>
      </c>
      <c r="F874" s="709">
        <v>5000.0</v>
      </c>
      <c r="G874" s="708" t="s">
        <v>44</v>
      </c>
      <c r="H874" s="709">
        <v>5.0</v>
      </c>
      <c r="I874" s="709">
        <v>5000.0</v>
      </c>
      <c r="J874" s="705">
        <f t="shared" si="1"/>
        <v>30000</v>
      </c>
      <c r="K874" s="705">
        <f t="shared" si="6"/>
        <v>8500</v>
      </c>
      <c r="L874" s="705">
        <f t="shared" si="3"/>
        <v>38500</v>
      </c>
      <c r="M874" s="706">
        <f t="shared" si="5"/>
        <v>7.7</v>
      </c>
    </row>
    <row r="875">
      <c r="A875" s="702" t="s">
        <v>33445</v>
      </c>
      <c r="B875" s="702" t="s">
        <v>33446</v>
      </c>
      <c r="C875" s="707"/>
      <c r="D875" s="707"/>
      <c r="E875" s="708" t="s">
        <v>444</v>
      </c>
      <c r="F875" s="709">
        <v>600.0</v>
      </c>
      <c r="G875" s="708" t="s">
        <v>33447</v>
      </c>
      <c r="H875" s="709">
        <v>18.0</v>
      </c>
      <c r="I875" s="709">
        <v>1000.0</v>
      </c>
      <c r="J875" s="705">
        <f t="shared" si="1"/>
        <v>11800</v>
      </c>
      <c r="K875" s="705">
        <f t="shared" si="6"/>
        <v>3950</v>
      </c>
      <c r="L875" s="705">
        <f t="shared" si="3"/>
        <v>15750</v>
      </c>
      <c r="M875" s="706">
        <f t="shared" si="5"/>
        <v>26.25</v>
      </c>
    </row>
    <row r="876">
      <c r="A876" s="702" t="s">
        <v>33445</v>
      </c>
      <c r="B876" s="702" t="s">
        <v>33448</v>
      </c>
      <c r="C876" s="707"/>
      <c r="D876" s="707"/>
      <c r="E876" s="708" t="s">
        <v>539</v>
      </c>
      <c r="F876" s="709">
        <v>500.0</v>
      </c>
      <c r="G876" s="708" t="s">
        <v>472</v>
      </c>
      <c r="H876" s="709">
        <v>18.0</v>
      </c>
      <c r="I876" s="709">
        <v>500.0</v>
      </c>
      <c r="J876" s="705">
        <f t="shared" si="1"/>
        <v>9500</v>
      </c>
      <c r="K876" s="705">
        <f t="shared" si="6"/>
        <v>3375</v>
      </c>
      <c r="L876" s="705">
        <f t="shared" si="3"/>
        <v>12875</v>
      </c>
      <c r="M876" s="706">
        <f t="shared" si="5"/>
        <v>25.75</v>
      </c>
    </row>
    <row r="877">
      <c r="A877" s="702" t="s">
        <v>33445</v>
      </c>
      <c r="B877" s="702" t="s">
        <v>33449</v>
      </c>
      <c r="C877" s="707"/>
      <c r="D877" s="707"/>
      <c r="E877" s="708" t="s">
        <v>83</v>
      </c>
      <c r="F877" s="709">
        <v>1000.0</v>
      </c>
      <c r="G877" s="708" t="s">
        <v>2882</v>
      </c>
      <c r="H877" s="709">
        <v>38.0</v>
      </c>
      <c r="I877" s="709">
        <v>1000.0</v>
      </c>
      <c r="J877" s="705">
        <f t="shared" si="1"/>
        <v>39000</v>
      </c>
      <c r="K877" s="705">
        <f t="shared" si="6"/>
        <v>10750</v>
      </c>
      <c r="L877" s="705">
        <f t="shared" si="3"/>
        <v>49750</v>
      </c>
      <c r="M877" s="706">
        <f t="shared" si="5"/>
        <v>49.75</v>
      </c>
    </row>
    <row r="878">
      <c r="A878" s="702" t="s">
        <v>33445</v>
      </c>
      <c r="B878" s="702" t="s">
        <v>33450</v>
      </c>
      <c r="C878" s="707"/>
      <c r="D878" s="707"/>
      <c r="E878" s="708" t="s">
        <v>1230</v>
      </c>
      <c r="F878" s="709">
        <v>40000.0</v>
      </c>
      <c r="G878" s="707"/>
      <c r="H878" s="709">
        <v>5.0</v>
      </c>
      <c r="I878" s="705"/>
      <c r="J878" s="705">
        <f t="shared" si="1"/>
        <v>200000</v>
      </c>
      <c r="K878" s="705">
        <f t="shared" si="6"/>
        <v>51000</v>
      </c>
      <c r="L878" s="705">
        <f t="shared" si="3"/>
        <v>251000</v>
      </c>
      <c r="M878" s="706">
        <f t="shared" si="5"/>
        <v>6.275</v>
      </c>
    </row>
    <row r="879">
      <c r="A879" s="702" t="s">
        <v>33445</v>
      </c>
      <c r="B879" s="702" t="s">
        <v>33451</v>
      </c>
      <c r="C879" s="707"/>
      <c r="D879" s="707"/>
      <c r="E879" s="708" t="s">
        <v>38</v>
      </c>
      <c r="F879" s="709">
        <v>10000.0</v>
      </c>
      <c r="G879" s="708" t="s">
        <v>507</v>
      </c>
      <c r="H879" s="709">
        <v>125.0</v>
      </c>
      <c r="I879" s="705"/>
      <c r="J879" s="705">
        <f t="shared" si="1"/>
        <v>1250000</v>
      </c>
      <c r="K879" s="705">
        <f t="shared" si="6"/>
        <v>313500</v>
      </c>
      <c r="L879" s="705">
        <f t="shared" si="3"/>
        <v>1563500</v>
      </c>
      <c r="M879" s="706">
        <f t="shared" si="5"/>
        <v>156.35</v>
      </c>
    </row>
    <row r="880">
      <c r="A880" s="702" t="s">
        <v>33445</v>
      </c>
      <c r="B880" s="702" t="s">
        <v>33452</v>
      </c>
      <c r="C880" s="707"/>
      <c r="D880" s="707"/>
      <c r="E880" s="708" t="s">
        <v>33152</v>
      </c>
      <c r="F880" s="709">
        <v>4000.0</v>
      </c>
      <c r="G880" s="708" t="s">
        <v>44</v>
      </c>
      <c r="H880" s="709">
        <v>20.0</v>
      </c>
      <c r="I880" s="709">
        <v>4000.0</v>
      </c>
      <c r="J880" s="705">
        <f t="shared" si="1"/>
        <v>84000</v>
      </c>
      <c r="K880" s="705">
        <f t="shared" si="6"/>
        <v>22000</v>
      </c>
      <c r="L880" s="705">
        <f t="shared" si="3"/>
        <v>106000</v>
      </c>
      <c r="M880" s="706">
        <f t="shared" si="5"/>
        <v>26.5</v>
      </c>
    </row>
    <row r="881">
      <c r="A881" s="702" t="s">
        <v>33445</v>
      </c>
      <c r="B881" s="702" t="s">
        <v>33453</v>
      </c>
      <c r="C881" s="707"/>
      <c r="D881" s="707"/>
      <c r="E881" s="720" t="s">
        <v>31499</v>
      </c>
      <c r="F881" s="709">
        <v>1000.0</v>
      </c>
      <c r="G881" s="708" t="s">
        <v>17603</v>
      </c>
      <c r="H881" s="709">
        <v>2.5</v>
      </c>
      <c r="I881" s="709">
        <v>500.0</v>
      </c>
      <c r="J881" s="705">
        <f t="shared" si="1"/>
        <v>3000</v>
      </c>
      <c r="K881" s="705">
        <f t="shared" si="6"/>
        <v>1750</v>
      </c>
      <c r="L881" s="705">
        <f t="shared" si="3"/>
        <v>4750</v>
      </c>
      <c r="M881" s="706">
        <f t="shared" si="5"/>
        <v>4.75</v>
      </c>
    </row>
    <row r="882">
      <c r="A882" s="702" t="s">
        <v>33445</v>
      </c>
      <c r="B882" s="702" t="s">
        <v>33453</v>
      </c>
      <c r="C882" s="707"/>
      <c r="D882" s="707"/>
      <c r="E882" s="720" t="s">
        <v>31500</v>
      </c>
      <c r="F882" s="709">
        <v>1000.0</v>
      </c>
      <c r="G882" s="708" t="s">
        <v>17603</v>
      </c>
      <c r="H882" s="709">
        <v>4.0</v>
      </c>
      <c r="I882" s="709">
        <v>500.0</v>
      </c>
      <c r="J882" s="705">
        <f t="shared" si="1"/>
        <v>4500</v>
      </c>
      <c r="K882" s="705">
        <f t="shared" si="6"/>
        <v>2125</v>
      </c>
      <c r="L882" s="705">
        <f t="shared" si="3"/>
        <v>6625</v>
      </c>
      <c r="M882" s="706">
        <f t="shared" si="5"/>
        <v>6.625</v>
      </c>
    </row>
    <row r="883">
      <c r="A883" s="702" t="s">
        <v>33445</v>
      </c>
      <c r="B883" s="702" t="s">
        <v>33454</v>
      </c>
      <c r="C883" s="707"/>
      <c r="D883" s="707"/>
      <c r="E883" s="708" t="s">
        <v>17625</v>
      </c>
      <c r="F883" s="709">
        <v>5000.0</v>
      </c>
      <c r="G883" s="708" t="s">
        <v>32879</v>
      </c>
      <c r="H883" s="709">
        <v>15.0</v>
      </c>
      <c r="I883" s="709">
        <v>5000.0</v>
      </c>
      <c r="J883" s="705">
        <f t="shared" si="1"/>
        <v>80000</v>
      </c>
      <c r="K883" s="705">
        <f t="shared" si="6"/>
        <v>21000</v>
      </c>
      <c r="L883" s="705">
        <f t="shared" si="3"/>
        <v>101000</v>
      </c>
      <c r="M883" s="706">
        <f t="shared" si="5"/>
        <v>20.2</v>
      </c>
      <c r="N883" s="526" t="s">
        <v>33455</v>
      </c>
    </row>
    <row r="884">
      <c r="A884" s="702" t="s">
        <v>33445</v>
      </c>
      <c r="B884" s="702" t="s">
        <v>33456</v>
      </c>
      <c r="C884" s="707"/>
      <c r="D884" s="707"/>
      <c r="E884" s="708" t="s">
        <v>12756</v>
      </c>
      <c r="F884" s="709">
        <v>10000.0</v>
      </c>
      <c r="G884" s="708" t="s">
        <v>44</v>
      </c>
      <c r="H884" s="709">
        <v>35.0</v>
      </c>
      <c r="I884" s="705"/>
      <c r="J884" s="705">
        <f t="shared" si="1"/>
        <v>350000</v>
      </c>
      <c r="K884" s="705">
        <f t="shared" si="6"/>
        <v>88500</v>
      </c>
      <c r="L884" s="705">
        <f t="shared" si="3"/>
        <v>438500</v>
      </c>
      <c r="M884" s="706">
        <f t="shared" si="5"/>
        <v>43.85</v>
      </c>
    </row>
    <row r="885">
      <c r="A885" s="702" t="s">
        <v>33457</v>
      </c>
      <c r="B885" s="702" t="s">
        <v>17631</v>
      </c>
      <c r="C885" s="707"/>
      <c r="D885" s="707"/>
      <c r="E885" s="708" t="s">
        <v>130</v>
      </c>
      <c r="F885" s="709">
        <v>500.0</v>
      </c>
      <c r="G885" s="708" t="s">
        <v>44</v>
      </c>
      <c r="H885" s="709">
        <v>18.0</v>
      </c>
      <c r="I885" s="709">
        <v>500.0</v>
      </c>
      <c r="J885" s="705">
        <f t="shared" si="1"/>
        <v>9500</v>
      </c>
      <c r="K885" s="705">
        <f t="shared" si="6"/>
        <v>3375</v>
      </c>
      <c r="L885" s="705">
        <f t="shared" si="3"/>
        <v>12875</v>
      </c>
      <c r="M885" s="706">
        <f t="shared" si="5"/>
        <v>25.75</v>
      </c>
    </row>
    <row r="886">
      <c r="A886" s="702" t="s">
        <v>33457</v>
      </c>
      <c r="B886" s="702" t="s">
        <v>17634</v>
      </c>
      <c r="C886" s="707"/>
      <c r="D886" s="707"/>
      <c r="E886" s="708" t="s">
        <v>1836</v>
      </c>
      <c r="F886" s="709">
        <v>100.0</v>
      </c>
      <c r="G886" s="708" t="s">
        <v>17636</v>
      </c>
      <c r="H886" s="709">
        <v>90.0</v>
      </c>
      <c r="I886" s="709">
        <v>500.0</v>
      </c>
      <c r="J886" s="705">
        <f t="shared" si="1"/>
        <v>9500</v>
      </c>
      <c r="K886" s="705">
        <f t="shared" si="6"/>
        <v>3375</v>
      </c>
      <c r="L886" s="705">
        <f t="shared" si="3"/>
        <v>12875</v>
      </c>
      <c r="M886" s="706">
        <f t="shared" si="5"/>
        <v>128.75</v>
      </c>
    </row>
    <row r="887">
      <c r="A887" s="702" t="s">
        <v>33457</v>
      </c>
      <c r="B887" s="702" t="s">
        <v>33458</v>
      </c>
      <c r="C887" s="707"/>
      <c r="D887" s="707"/>
      <c r="E887" s="708" t="s">
        <v>116</v>
      </c>
      <c r="F887" s="709">
        <v>2000.0</v>
      </c>
      <c r="G887" s="708" t="s">
        <v>2662</v>
      </c>
      <c r="H887" s="709">
        <v>76.0</v>
      </c>
      <c r="I887" s="709">
        <v>2000.0</v>
      </c>
      <c r="J887" s="705">
        <f t="shared" si="1"/>
        <v>154000</v>
      </c>
      <c r="K887" s="705">
        <f t="shared" si="6"/>
        <v>39500</v>
      </c>
      <c r="L887" s="705">
        <f t="shared" si="3"/>
        <v>193500</v>
      </c>
      <c r="M887" s="706">
        <f t="shared" si="5"/>
        <v>96.75</v>
      </c>
    </row>
    <row r="888">
      <c r="A888" s="702" t="s">
        <v>33457</v>
      </c>
      <c r="B888" s="702" t="s">
        <v>17662</v>
      </c>
      <c r="C888" s="707"/>
      <c r="D888" s="707"/>
      <c r="E888" s="708" t="s">
        <v>6766</v>
      </c>
      <c r="F888" s="709">
        <v>300.0</v>
      </c>
      <c r="G888" s="708" t="s">
        <v>44</v>
      </c>
      <c r="H888" s="709">
        <v>140.0</v>
      </c>
      <c r="I888" s="709">
        <v>700.0</v>
      </c>
      <c r="J888" s="705">
        <f t="shared" si="1"/>
        <v>42700</v>
      </c>
      <c r="K888" s="705">
        <f t="shared" si="6"/>
        <v>11675</v>
      </c>
      <c r="L888" s="705">
        <f t="shared" si="3"/>
        <v>54375</v>
      </c>
      <c r="M888" s="706">
        <f t="shared" si="5"/>
        <v>181.25</v>
      </c>
    </row>
    <row r="889">
      <c r="A889" s="702" t="s">
        <v>33457</v>
      </c>
      <c r="B889" s="702" t="s">
        <v>17646</v>
      </c>
      <c r="C889" s="707"/>
      <c r="D889" s="707"/>
      <c r="E889" s="708" t="s">
        <v>38</v>
      </c>
      <c r="F889" s="709">
        <v>500.0</v>
      </c>
      <c r="G889" s="708" t="s">
        <v>44</v>
      </c>
      <c r="H889" s="709">
        <v>125.0</v>
      </c>
      <c r="I889" s="709">
        <v>1000.0</v>
      </c>
      <c r="J889" s="705">
        <f t="shared" si="1"/>
        <v>63500</v>
      </c>
      <c r="K889" s="705">
        <f t="shared" si="6"/>
        <v>16875</v>
      </c>
      <c r="L889" s="705">
        <f t="shared" si="3"/>
        <v>80375</v>
      </c>
      <c r="M889" s="706">
        <f t="shared" si="5"/>
        <v>160.75</v>
      </c>
    </row>
    <row r="890">
      <c r="A890" s="702" t="s">
        <v>33457</v>
      </c>
      <c r="B890" s="702" t="s">
        <v>33459</v>
      </c>
      <c r="C890" s="707"/>
      <c r="D890" s="707"/>
      <c r="E890" s="708" t="s">
        <v>12775</v>
      </c>
      <c r="F890" s="709">
        <v>4000.0</v>
      </c>
      <c r="G890" s="708" t="s">
        <v>44</v>
      </c>
      <c r="H890" s="709">
        <v>125.0</v>
      </c>
      <c r="I890" s="709">
        <v>4000.0</v>
      </c>
      <c r="J890" s="705">
        <f t="shared" si="1"/>
        <v>504000</v>
      </c>
      <c r="K890" s="705">
        <f t="shared" si="6"/>
        <v>127000</v>
      </c>
      <c r="L890" s="705">
        <f t="shared" si="3"/>
        <v>631000</v>
      </c>
      <c r="M890" s="706">
        <f t="shared" si="5"/>
        <v>157.75</v>
      </c>
      <c r="N890" s="526" t="s">
        <v>33460</v>
      </c>
    </row>
    <row r="891">
      <c r="A891" s="702" t="s">
        <v>33457</v>
      </c>
      <c r="B891" s="702" t="s">
        <v>17657</v>
      </c>
      <c r="C891" s="707"/>
      <c r="D891" s="707"/>
      <c r="E891" s="708" t="s">
        <v>10433</v>
      </c>
      <c r="F891" s="709">
        <v>100.0</v>
      </c>
      <c r="G891" s="708" t="s">
        <v>33461</v>
      </c>
      <c r="H891" s="709">
        <v>125.0</v>
      </c>
      <c r="I891" s="709">
        <v>500.0</v>
      </c>
      <c r="J891" s="705">
        <f t="shared" si="1"/>
        <v>13000</v>
      </c>
      <c r="K891" s="705">
        <f t="shared" si="6"/>
        <v>4250</v>
      </c>
      <c r="L891" s="705">
        <f t="shared" si="3"/>
        <v>17250</v>
      </c>
      <c r="M891" s="706">
        <f t="shared" si="5"/>
        <v>172.5</v>
      </c>
    </row>
    <row r="892">
      <c r="A892" s="702" t="s">
        <v>33457</v>
      </c>
      <c r="B892" s="702" t="s">
        <v>17652</v>
      </c>
      <c r="C892" s="707"/>
      <c r="D892" s="707"/>
      <c r="E892" s="708" t="s">
        <v>16923</v>
      </c>
      <c r="F892" s="709">
        <v>100.0</v>
      </c>
      <c r="G892" s="708" t="s">
        <v>44</v>
      </c>
      <c r="H892" s="709">
        <v>125.0</v>
      </c>
      <c r="I892" s="709">
        <v>500.0</v>
      </c>
      <c r="J892" s="705">
        <f t="shared" si="1"/>
        <v>13000</v>
      </c>
      <c r="K892" s="705">
        <f t="shared" si="6"/>
        <v>4250</v>
      </c>
      <c r="L892" s="705">
        <f t="shared" si="3"/>
        <v>17250</v>
      </c>
      <c r="M892" s="706">
        <f t="shared" si="5"/>
        <v>172.5</v>
      </c>
    </row>
    <row r="893">
      <c r="A893" s="702" t="s">
        <v>33457</v>
      </c>
      <c r="B893" s="702" t="s">
        <v>33462</v>
      </c>
      <c r="C893" s="707"/>
      <c r="D893" s="707"/>
      <c r="E893" s="708" t="s">
        <v>2402</v>
      </c>
      <c r="F893" s="709">
        <v>600.0</v>
      </c>
      <c r="G893" s="708" t="s">
        <v>44</v>
      </c>
      <c r="H893" s="709">
        <v>18.0</v>
      </c>
      <c r="I893" s="709">
        <v>1000.0</v>
      </c>
      <c r="J893" s="705">
        <f t="shared" si="1"/>
        <v>11800</v>
      </c>
      <c r="K893" s="705">
        <f t="shared" si="6"/>
        <v>3950</v>
      </c>
      <c r="L893" s="705">
        <f t="shared" si="3"/>
        <v>15750</v>
      </c>
      <c r="M893" s="706">
        <f t="shared" si="5"/>
        <v>26.25</v>
      </c>
    </row>
    <row r="894">
      <c r="A894" s="702" t="s">
        <v>33457</v>
      </c>
      <c r="B894" s="702" t="s">
        <v>33463</v>
      </c>
      <c r="C894" s="707"/>
      <c r="D894" s="707"/>
      <c r="E894" s="708" t="s">
        <v>6760</v>
      </c>
      <c r="F894" s="709">
        <v>500.0</v>
      </c>
      <c r="G894" s="708" t="s">
        <v>507</v>
      </c>
      <c r="H894" s="709">
        <v>150.0</v>
      </c>
      <c r="I894" s="709">
        <v>700.0</v>
      </c>
      <c r="J894" s="705">
        <f t="shared" si="1"/>
        <v>75700</v>
      </c>
      <c r="K894" s="705">
        <f t="shared" si="6"/>
        <v>19925</v>
      </c>
      <c r="L894" s="705">
        <f t="shared" si="3"/>
        <v>95625</v>
      </c>
      <c r="M894" s="706">
        <f t="shared" si="5"/>
        <v>191.25</v>
      </c>
    </row>
    <row r="895">
      <c r="A895" s="702" t="s">
        <v>33457</v>
      </c>
      <c r="B895" s="702" t="s">
        <v>33464</v>
      </c>
      <c r="C895" s="707"/>
      <c r="D895" s="707"/>
      <c r="E895" s="708" t="s">
        <v>7197</v>
      </c>
      <c r="F895" s="709">
        <v>1000.0</v>
      </c>
      <c r="G895" s="708" t="s">
        <v>2882</v>
      </c>
      <c r="H895" s="709">
        <v>35.0</v>
      </c>
      <c r="I895" s="709">
        <v>1000.0</v>
      </c>
      <c r="J895" s="705">
        <f t="shared" si="1"/>
        <v>36000</v>
      </c>
      <c r="K895" s="705">
        <f t="shared" si="6"/>
        <v>10000</v>
      </c>
      <c r="L895" s="705">
        <f t="shared" si="3"/>
        <v>46000</v>
      </c>
      <c r="M895" s="706">
        <f t="shared" si="5"/>
        <v>46</v>
      </c>
    </row>
    <row r="896">
      <c r="A896" s="702" t="s">
        <v>33465</v>
      </c>
      <c r="B896" s="702" t="s">
        <v>33466</v>
      </c>
      <c r="C896" s="707"/>
      <c r="D896" s="707"/>
      <c r="E896" s="708" t="s">
        <v>10508</v>
      </c>
      <c r="F896" s="709">
        <v>1000.0</v>
      </c>
      <c r="G896" s="708" t="s">
        <v>507</v>
      </c>
      <c r="H896" s="709">
        <v>125.0</v>
      </c>
      <c r="I896" s="709">
        <v>1000.0</v>
      </c>
      <c r="J896" s="705">
        <f t="shared" si="1"/>
        <v>126000</v>
      </c>
      <c r="K896" s="705">
        <f t="shared" si="6"/>
        <v>32500</v>
      </c>
      <c r="L896" s="705">
        <f t="shared" si="3"/>
        <v>158500</v>
      </c>
      <c r="M896" s="706">
        <f t="shared" si="5"/>
        <v>158.5</v>
      </c>
    </row>
    <row r="897">
      <c r="A897" s="702" t="s">
        <v>33465</v>
      </c>
      <c r="B897" s="702" t="s">
        <v>33467</v>
      </c>
      <c r="C897" s="707"/>
      <c r="D897" s="707"/>
      <c r="E897" s="720" t="s">
        <v>31499</v>
      </c>
      <c r="F897" s="709">
        <v>10000.0</v>
      </c>
      <c r="G897" s="708" t="s">
        <v>507</v>
      </c>
      <c r="H897" s="709">
        <v>2.5</v>
      </c>
      <c r="I897" s="709">
        <v>5000.0</v>
      </c>
      <c r="J897" s="705">
        <f t="shared" si="1"/>
        <v>30000</v>
      </c>
      <c r="K897" s="705">
        <f t="shared" si="6"/>
        <v>8500</v>
      </c>
      <c r="L897" s="705">
        <f t="shared" si="3"/>
        <v>38500</v>
      </c>
      <c r="M897" s="706">
        <f t="shared" si="5"/>
        <v>3.85</v>
      </c>
    </row>
    <row r="898">
      <c r="A898" s="702" t="s">
        <v>33465</v>
      </c>
      <c r="B898" s="702" t="s">
        <v>33467</v>
      </c>
      <c r="C898" s="707"/>
      <c r="D898" s="707"/>
      <c r="E898" s="720" t="s">
        <v>31500</v>
      </c>
      <c r="F898" s="709">
        <v>10000.0</v>
      </c>
      <c r="G898" s="708" t="s">
        <v>507</v>
      </c>
      <c r="H898" s="709">
        <v>4.0</v>
      </c>
      <c r="I898" s="709">
        <v>5000.0</v>
      </c>
      <c r="J898" s="705">
        <f t="shared" si="1"/>
        <v>45000</v>
      </c>
      <c r="K898" s="705">
        <f t="shared" si="6"/>
        <v>12250</v>
      </c>
      <c r="L898" s="705">
        <f t="shared" si="3"/>
        <v>57250</v>
      </c>
      <c r="M898" s="706">
        <f t="shared" si="5"/>
        <v>5.725</v>
      </c>
    </row>
    <row r="899">
      <c r="A899" s="702" t="s">
        <v>33465</v>
      </c>
      <c r="B899" s="702" t="s">
        <v>33468</v>
      </c>
      <c r="C899" s="707"/>
      <c r="D899" s="707"/>
      <c r="E899" s="708" t="s">
        <v>33469</v>
      </c>
      <c r="F899" s="709">
        <v>1000.0</v>
      </c>
      <c r="G899" s="708" t="s">
        <v>507</v>
      </c>
      <c r="H899" s="709">
        <v>175.0</v>
      </c>
      <c r="I899" s="709">
        <v>1000.0</v>
      </c>
      <c r="J899" s="705">
        <f t="shared" si="1"/>
        <v>176000</v>
      </c>
      <c r="K899" s="705">
        <f t="shared" si="6"/>
        <v>45000</v>
      </c>
      <c r="L899" s="705">
        <f t="shared" si="3"/>
        <v>221000</v>
      </c>
      <c r="M899" s="706">
        <f t="shared" si="5"/>
        <v>221</v>
      </c>
    </row>
    <row r="900">
      <c r="A900" s="702" t="s">
        <v>33465</v>
      </c>
      <c r="B900" s="702" t="s">
        <v>33470</v>
      </c>
      <c r="C900" s="707"/>
      <c r="D900" s="707"/>
      <c r="E900" s="708" t="s">
        <v>33471</v>
      </c>
      <c r="F900" s="709">
        <v>10000.0</v>
      </c>
      <c r="G900" s="708" t="s">
        <v>495</v>
      </c>
      <c r="H900" s="709">
        <v>76.0</v>
      </c>
      <c r="I900" s="705"/>
      <c r="J900" s="705">
        <f t="shared" si="1"/>
        <v>760000</v>
      </c>
      <c r="K900" s="705">
        <f t="shared" si="6"/>
        <v>191000</v>
      </c>
      <c r="L900" s="705">
        <f t="shared" si="3"/>
        <v>951000</v>
      </c>
      <c r="M900" s="706">
        <f t="shared" si="5"/>
        <v>95.1</v>
      </c>
    </row>
    <row r="901">
      <c r="A901" s="702" t="s">
        <v>33465</v>
      </c>
      <c r="B901" s="702" t="s">
        <v>33472</v>
      </c>
      <c r="C901" s="707"/>
      <c r="D901" s="707"/>
      <c r="E901" s="708" t="s">
        <v>33471</v>
      </c>
      <c r="F901" s="709">
        <v>500.0</v>
      </c>
      <c r="G901" s="708" t="s">
        <v>507</v>
      </c>
      <c r="H901" s="709">
        <v>76.0</v>
      </c>
      <c r="I901" s="709">
        <v>500.0</v>
      </c>
      <c r="J901" s="705">
        <f t="shared" si="1"/>
        <v>38500</v>
      </c>
      <c r="K901" s="705">
        <f t="shared" si="6"/>
        <v>10625</v>
      </c>
      <c r="L901" s="705">
        <f t="shared" si="3"/>
        <v>49125</v>
      </c>
      <c r="M901" s="706">
        <f t="shared" si="5"/>
        <v>98.25</v>
      </c>
    </row>
    <row r="902">
      <c r="A902" s="702" t="s">
        <v>33465</v>
      </c>
      <c r="B902" s="702" t="s">
        <v>33473</v>
      </c>
      <c r="C902" s="707"/>
      <c r="D902" s="707"/>
      <c r="E902" s="720" t="s">
        <v>31499</v>
      </c>
      <c r="F902" s="709">
        <v>3200.0</v>
      </c>
      <c r="G902" s="708" t="s">
        <v>507</v>
      </c>
      <c r="H902" s="709">
        <v>2.5</v>
      </c>
      <c r="I902" s="709">
        <v>1600.0</v>
      </c>
      <c r="J902" s="705">
        <f t="shared" si="1"/>
        <v>9600</v>
      </c>
      <c r="K902" s="705">
        <f t="shared" si="6"/>
        <v>3400</v>
      </c>
      <c r="L902" s="705">
        <f t="shared" si="3"/>
        <v>13000</v>
      </c>
      <c r="M902" s="706">
        <f t="shared" si="5"/>
        <v>4.0625</v>
      </c>
    </row>
    <row r="903">
      <c r="A903" s="702" t="s">
        <v>33465</v>
      </c>
      <c r="B903" s="702" t="s">
        <v>33473</v>
      </c>
      <c r="C903" s="707"/>
      <c r="D903" s="707"/>
      <c r="E903" s="720" t="s">
        <v>31500</v>
      </c>
      <c r="F903" s="709">
        <v>3200.0</v>
      </c>
      <c r="G903" s="708" t="s">
        <v>507</v>
      </c>
      <c r="H903" s="709">
        <v>4.0</v>
      </c>
      <c r="I903" s="709">
        <v>1600.0</v>
      </c>
      <c r="J903" s="705">
        <f t="shared" si="1"/>
        <v>14400</v>
      </c>
      <c r="K903" s="705">
        <f t="shared" si="6"/>
        <v>4600</v>
      </c>
      <c r="L903" s="705">
        <f t="shared" si="3"/>
        <v>19000</v>
      </c>
      <c r="M903" s="706">
        <f t="shared" si="5"/>
        <v>5.9375</v>
      </c>
    </row>
    <row r="904">
      <c r="A904" s="702" t="s">
        <v>33474</v>
      </c>
      <c r="B904" s="702" t="s">
        <v>17704</v>
      </c>
      <c r="C904" s="707"/>
      <c r="D904" s="707"/>
      <c r="E904" s="708" t="s">
        <v>2546</v>
      </c>
      <c r="F904" s="709">
        <v>200.0</v>
      </c>
      <c r="G904" s="708" t="s">
        <v>99</v>
      </c>
      <c r="H904" s="709">
        <v>250.0</v>
      </c>
      <c r="I904" s="709">
        <v>500.0</v>
      </c>
      <c r="J904" s="705">
        <f t="shared" si="1"/>
        <v>50500</v>
      </c>
      <c r="K904" s="705">
        <f t="shared" si="6"/>
        <v>13625</v>
      </c>
      <c r="L904" s="705">
        <f t="shared" si="3"/>
        <v>64125</v>
      </c>
      <c r="M904" s="706">
        <f t="shared" si="5"/>
        <v>320.625</v>
      </c>
    </row>
    <row r="905">
      <c r="A905" s="702" t="s">
        <v>33474</v>
      </c>
      <c r="B905" s="702" t="s">
        <v>17708</v>
      </c>
      <c r="C905" s="707"/>
      <c r="D905" s="707"/>
      <c r="E905" s="708" t="s">
        <v>11049</v>
      </c>
      <c r="F905" s="709">
        <v>200.0</v>
      </c>
      <c r="G905" s="708" t="s">
        <v>33475</v>
      </c>
      <c r="H905" s="709">
        <v>200.0</v>
      </c>
      <c r="I905" s="709">
        <v>500.0</v>
      </c>
      <c r="J905" s="705">
        <f t="shared" si="1"/>
        <v>40500</v>
      </c>
      <c r="K905" s="705">
        <f t="shared" si="6"/>
        <v>11125</v>
      </c>
      <c r="L905" s="705">
        <f t="shared" si="3"/>
        <v>51625</v>
      </c>
      <c r="M905" s="706">
        <f t="shared" si="5"/>
        <v>258.125</v>
      </c>
    </row>
    <row r="906">
      <c r="A906" s="702" t="s">
        <v>33474</v>
      </c>
      <c r="B906" s="702" t="s">
        <v>33476</v>
      </c>
      <c r="C906" s="707"/>
      <c r="D906" s="707"/>
      <c r="E906" s="708" t="s">
        <v>43</v>
      </c>
      <c r="F906" s="709">
        <v>1000.0</v>
      </c>
      <c r="G906" s="708" t="s">
        <v>44</v>
      </c>
      <c r="H906" s="709">
        <v>7.0</v>
      </c>
      <c r="I906" s="709">
        <v>1000.0</v>
      </c>
      <c r="J906" s="705">
        <f t="shared" si="1"/>
        <v>8000</v>
      </c>
      <c r="K906" s="705">
        <f t="shared" si="6"/>
        <v>3000</v>
      </c>
      <c r="L906" s="705">
        <f t="shared" si="3"/>
        <v>11000</v>
      </c>
      <c r="M906" s="706">
        <f t="shared" si="5"/>
        <v>11</v>
      </c>
    </row>
    <row r="907">
      <c r="A907" s="702" t="s">
        <v>33474</v>
      </c>
      <c r="B907" s="702" t="s">
        <v>17722</v>
      </c>
      <c r="C907" s="707"/>
      <c r="D907" s="707"/>
      <c r="E907" s="708" t="s">
        <v>17724</v>
      </c>
      <c r="F907" s="709">
        <v>300.0</v>
      </c>
      <c r="G907" s="708" t="s">
        <v>507</v>
      </c>
      <c r="H907" s="709">
        <v>150.0</v>
      </c>
      <c r="I907" s="709">
        <v>500.0</v>
      </c>
      <c r="J907" s="705">
        <f t="shared" si="1"/>
        <v>45500</v>
      </c>
      <c r="K907" s="705">
        <f t="shared" si="6"/>
        <v>12375</v>
      </c>
      <c r="L907" s="705">
        <f t="shared" si="3"/>
        <v>57875</v>
      </c>
      <c r="M907" s="706">
        <f t="shared" si="5"/>
        <v>192.9166667</v>
      </c>
    </row>
    <row r="908">
      <c r="A908" s="702" t="s">
        <v>33474</v>
      </c>
      <c r="B908" s="702" t="s">
        <v>33477</v>
      </c>
      <c r="C908" s="707"/>
      <c r="D908" s="707"/>
      <c r="E908" s="708" t="s">
        <v>4171</v>
      </c>
      <c r="F908" s="709">
        <v>200.0</v>
      </c>
      <c r="G908" s="708" t="s">
        <v>44</v>
      </c>
      <c r="H908" s="709">
        <v>65.0</v>
      </c>
      <c r="I908" s="709">
        <v>500.0</v>
      </c>
      <c r="J908" s="705">
        <f t="shared" si="1"/>
        <v>13500</v>
      </c>
      <c r="K908" s="705">
        <f t="shared" si="6"/>
        <v>4375</v>
      </c>
      <c r="L908" s="705">
        <f t="shared" si="3"/>
        <v>17875</v>
      </c>
      <c r="M908" s="706">
        <f t="shared" si="5"/>
        <v>89.375</v>
      </c>
    </row>
    <row r="909">
      <c r="A909" s="702" t="s">
        <v>33474</v>
      </c>
      <c r="B909" s="702" t="s">
        <v>33478</v>
      </c>
      <c r="C909" s="707"/>
      <c r="D909" s="707"/>
      <c r="E909" s="708" t="s">
        <v>17742</v>
      </c>
      <c r="F909" s="709">
        <v>20000.0</v>
      </c>
      <c r="G909" s="708" t="s">
        <v>33479</v>
      </c>
      <c r="H909" s="709">
        <v>5.0</v>
      </c>
      <c r="I909" s="709">
        <v>0.0</v>
      </c>
      <c r="J909" s="705">
        <f t="shared" si="1"/>
        <v>100000</v>
      </c>
      <c r="K909" s="705">
        <f t="shared" si="6"/>
        <v>26000</v>
      </c>
      <c r="L909" s="705">
        <f t="shared" si="3"/>
        <v>126000</v>
      </c>
      <c r="M909" s="706">
        <f t="shared" si="5"/>
        <v>6.3</v>
      </c>
    </row>
    <row r="910">
      <c r="A910" s="702" t="s">
        <v>33474</v>
      </c>
      <c r="B910" s="702" t="s">
        <v>33480</v>
      </c>
      <c r="C910" s="707"/>
      <c r="D910" s="707"/>
      <c r="E910" s="708" t="s">
        <v>106</v>
      </c>
      <c r="F910" s="709">
        <v>10000.0</v>
      </c>
      <c r="G910" s="708" t="s">
        <v>507</v>
      </c>
      <c r="H910" s="709">
        <v>5.0</v>
      </c>
      <c r="I910" s="709">
        <v>0.0</v>
      </c>
      <c r="J910" s="705">
        <f t="shared" si="1"/>
        <v>50000</v>
      </c>
      <c r="K910" s="705">
        <f t="shared" si="6"/>
        <v>13500</v>
      </c>
      <c r="L910" s="705">
        <f t="shared" si="3"/>
        <v>63500</v>
      </c>
      <c r="M910" s="706">
        <f t="shared" si="5"/>
        <v>6.35</v>
      </c>
    </row>
    <row r="911">
      <c r="A911" s="702" t="s">
        <v>33474</v>
      </c>
      <c r="B911" s="702" t="s">
        <v>33481</v>
      </c>
      <c r="C911" s="707"/>
      <c r="D911" s="707"/>
      <c r="E911" s="708" t="s">
        <v>38</v>
      </c>
      <c r="F911" s="709">
        <v>1000.0</v>
      </c>
      <c r="G911" s="708" t="s">
        <v>44</v>
      </c>
      <c r="H911" s="709">
        <v>125.0</v>
      </c>
      <c r="I911" s="709">
        <v>1000.0</v>
      </c>
      <c r="J911" s="705">
        <f t="shared" si="1"/>
        <v>126000</v>
      </c>
      <c r="K911" s="705">
        <f t="shared" si="6"/>
        <v>32500</v>
      </c>
      <c r="L911" s="705">
        <f t="shared" si="3"/>
        <v>158500</v>
      </c>
      <c r="M911" s="706">
        <f t="shared" si="5"/>
        <v>158.5</v>
      </c>
    </row>
    <row r="912">
      <c r="A912" s="702" t="s">
        <v>33482</v>
      </c>
      <c r="B912" s="702" t="s">
        <v>17761</v>
      </c>
      <c r="C912" s="707"/>
      <c r="D912" s="707"/>
      <c r="E912" s="708" t="s">
        <v>17763</v>
      </c>
      <c r="F912" s="709">
        <v>200.0</v>
      </c>
      <c r="G912" s="708" t="s">
        <v>44</v>
      </c>
      <c r="H912" s="709">
        <v>125.0</v>
      </c>
      <c r="I912" s="709">
        <v>500.0</v>
      </c>
      <c r="J912" s="705">
        <f t="shared" si="1"/>
        <v>25500</v>
      </c>
      <c r="K912" s="705">
        <f t="shared" si="6"/>
        <v>7375</v>
      </c>
      <c r="L912" s="705">
        <f t="shared" si="3"/>
        <v>32875</v>
      </c>
      <c r="M912" s="706">
        <f t="shared" si="5"/>
        <v>164.375</v>
      </c>
    </row>
    <row r="913">
      <c r="A913" s="702" t="s">
        <v>33482</v>
      </c>
      <c r="B913" s="702" t="s">
        <v>33483</v>
      </c>
      <c r="C913" s="707"/>
      <c r="D913" s="707"/>
      <c r="E913" s="708" t="s">
        <v>7897</v>
      </c>
      <c r="F913" s="709">
        <v>1000.0</v>
      </c>
      <c r="G913" s="708" t="s">
        <v>33484</v>
      </c>
      <c r="H913" s="709">
        <v>22.0</v>
      </c>
      <c r="I913" s="709">
        <v>1000.0</v>
      </c>
      <c r="J913" s="705">
        <f t="shared" si="1"/>
        <v>23000</v>
      </c>
      <c r="K913" s="705">
        <f t="shared" si="6"/>
        <v>6750</v>
      </c>
      <c r="L913" s="705">
        <f t="shared" si="3"/>
        <v>29750</v>
      </c>
      <c r="M913" s="706">
        <f t="shared" si="5"/>
        <v>29.75</v>
      </c>
    </row>
    <row r="914">
      <c r="A914" s="702" t="s">
        <v>33482</v>
      </c>
      <c r="B914" s="702" t="s">
        <v>17783</v>
      </c>
      <c r="C914" s="707"/>
      <c r="D914" s="707"/>
      <c r="E914" s="708" t="s">
        <v>33485</v>
      </c>
      <c r="F914" s="709">
        <v>200.0</v>
      </c>
      <c r="G914" s="708" t="s">
        <v>507</v>
      </c>
      <c r="H914" s="709">
        <v>125.0</v>
      </c>
      <c r="I914" s="709">
        <v>500.0</v>
      </c>
      <c r="J914" s="705">
        <f t="shared" si="1"/>
        <v>25500</v>
      </c>
      <c r="K914" s="705">
        <f t="shared" si="6"/>
        <v>7375</v>
      </c>
      <c r="L914" s="705">
        <f t="shared" si="3"/>
        <v>32875</v>
      </c>
      <c r="M914" s="706">
        <f t="shared" si="5"/>
        <v>164.375</v>
      </c>
    </row>
    <row r="915">
      <c r="A915" s="702" t="s">
        <v>33482</v>
      </c>
      <c r="B915" s="702" t="s">
        <v>17812</v>
      </c>
      <c r="C915" s="707"/>
      <c r="D915" s="707"/>
      <c r="E915" s="708" t="s">
        <v>8247</v>
      </c>
      <c r="F915" s="709">
        <v>200.0</v>
      </c>
      <c r="G915" s="708" t="s">
        <v>20765</v>
      </c>
      <c r="H915" s="709">
        <v>125.0</v>
      </c>
      <c r="I915" s="709">
        <v>500.0</v>
      </c>
      <c r="J915" s="705">
        <f t="shared" si="1"/>
        <v>25500</v>
      </c>
      <c r="K915" s="705">
        <f t="shared" si="6"/>
        <v>7375</v>
      </c>
      <c r="L915" s="705">
        <f t="shared" si="3"/>
        <v>32875</v>
      </c>
      <c r="M915" s="706">
        <f t="shared" si="5"/>
        <v>164.375</v>
      </c>
    </row>
    <row r="916">
      <c r="A916" s="702" t="s">
        <v>33482</v>
      </c>
      <c r="B916" s="702" t="s">
        <v>33486</v>
      </c>
      <c r="C916" s="707"/>
      <c r="D916" s="707"/>
      <c r="E916" s="708" t="s">
        <v>7897</v>
      </c>
      <c r="F916" s="709">
        <v>500.0</v>
      </c>
      <c r="G916" s="708" t="s">
        <v>507</v>
      </c>
      <c r="H916" s="709">
        <v>20.0</v>
      </c>
      <c r="I916" s="709">
        <v>500.0</v>
      </c>
      <c r="J916" s="705">
        <f t="shared" si="1"/>
        <v>10500</v>
      </c>
      <c r="K916" s="705">
        <f t="shared" si="6"/>
        <v>3625</v>
      </c>
      <c r="L916" s="705">
        <f t="shared" si="3"/>
        <v>14125</v>
      </c>
      <c r="M916" s="706">
        <f t="shared" si="5"/>
        <v>28.25</v>
      </c>
    </row>
    <row r="917">
      <c r="A917" s="702" t="s">
        <v>33482</v>
      </c>
      <c r="B917" s="702" t="s">
        <v>33487</v>
      </c>
      <c r="C917" s="707"/>
      <c r="D917" s="707"/>
      <c r="E917" s="708" t="s">
        <v>7897</v>
      </c>
      <c r="F917" s="709">
        <v>25000.0</v>
      </c>
      <c r="G917" s="708" t="s">
        <v>2662</v>
      </c>
      <c r="H917" s="709">
        <v>20.0</v>
      </c>
      <c r="I917" s="705"/>
      <c r="J917" s="705">
        <f t="shared" si="1"/>
        <v>500000</v>
      </c>
      <c r="K917" s="705">
        <f t="shared" si="6"/>
        <v>126000</v>
      </c>
      <c r="L917" s="705">
        <f t="shared" si="3"/>
        <v>626000</v>
      </c>
      <c r="M917" s="706">
        <f t="shared" si="5"/>
        <v>25.04</v>
      </c>
      <c r="N917" s="526" t="s">
        <v>33488</v>
      </c>
    </row>
    <row r="918">
      <c r="A918" s="702" t="s">
        <v>33489</v>
      </c>
      <c r="B918" s="702" t="s">
        <v>33490</v>
      </c>
      <c r="C918" s="707"/>
      <c r="D918" s="707"/>
      <c r="E918" s="720" t="s">
        <v>31499</v>
      </c>
      <c r="F918" s="709">
        <v>5000.0</v>
      </c>
      <c r="G918" s="708" t="s">
        <v>32879</v>
      </c>
      <c r="H918" s="709">
        <v>2.5</v>
      </c>
      <c r="I918" s="709">
        <v>2500.0</v>
      </c>
      <c r="J918" s="705">
        <f t="shared" si="1"/>
        <v>15000</v>
      </c>
      <c r="K918" s="705">
        <f t="shared" si="6"/>
        <v>4750</v>
      </c>
      <c r="L918" s="705">
        <f t="shared" si="3"/>
        <v>19750</v>
      </c>
      <c r="M918" s="706">
        <f t="shared" si="5"/>
        <v>3.95</v>
      </c>
    </row>
    <row r="919">
      <c r="A919" s="702" t="s">
        <v>33489</v>
      </c>
      <c r="B919" s="702" t="s">
        <v>33490</v>
      </c>
      <c r="C919" s="707"/>
      <c r="D919" s="707"/>
      <c r="E919" s="720" t="s">
        <v>31500</v>
      </c>
      <c r="F919" s="709">
        <v>5000.0</v>
      </c>
      <c r="G919" s="708" t="s">
        <v>32879</v>
      </c>
      <c r="H919" s="709">
        <v>4.0</v>
      </c>
      <c r="I919" s="709">
        <v>2500.0</v>
      </c>
      <c r="J919" s="705">
        <f t="shared" si="1"/>
        <v>22500</v>
      </c>
      <c r="K919" s="705">
        <f t="shared" si="6"/>
        <v>6625</v>
      </c>
      <c r="L919" s="705">
        <f t="shared" si="3"/>
        <v>29125</v>
      </c>
      <c r="M919" s="706">
        <f t="shared" si="5"/>
        <v>5.825</v>
      </c>
    </row>
    <row r="920">
      <c r="A920" s="702" t="s">
        <v>33489</v>
      </c>
      <c r="B920" s="702" t="s">
        <v>33491</v>
      </c>
      <c r="C920" s="707"/>
      <c r="D920" s="707"/>
      <c r="E920" s="708" t="s">
        <v>31499</v>
      </c>
      <c r="F920" s="709">
        <v>10000.0</v>
      </c>
      <c r="G920" s="708" t="s">
        <v>2662</v>
      </c>
      <c r="H920" s="709">
        <v>2.5</v>
      </c>
      <c r="I920" s="709">
        <v>5000.0</v>
      </c>
      <c r="J920" s="705">
        <f t="shared" si="1"/>
        <v>30000</v>
      </c>
      <c r="K920" s="705">
        <f t="shared" si="6"/>
        <v>8500</v>
      </c>
      <c r="L920" s="705">
        <f t="shared" si="3"/>
        <v>38500</v>
      </c>
      <c r="M920" s="706">
        <f t="shared" si="5"/>
        <v>3.85</v>
      </c>
    </row>
    <row r="921">
      <c r="A921" s="702" t="s">
        <v>33489</v>
      </c>
      <c r="B921" s="702" t="s">
        <v>33491</v>
      </c>
      <c r="C921" s="707"/>
      <c r="D921" s="707"/>
      <c r="E921" s="708" t="s">
        <v>31500</v>
      </c>
      <c r="F921" s="709">
        <v>10000.0</v>
      </c>
      <c r="G921" s="708" t="s">
        <v>2662</v>
      </c>
      <c r="H921" s="709">
        <v>4.0</v>
      </c>
      <c r="I921" s="709">
        <v>5000.0</v>
      </c>
      <c r="J921" s="705">
        <f t="shared" si="1"/>
        <v>45000</v>
      </c>
      <c r="K921" s="705">
        <f t="shared" si="6"/>
        <v>12250</v>
      </c>
      <c r="L921" s="705">
        <f t="shared" si="3"/>
        <v>57250</v>
      </c>
      <c r="M921" s="706">
        <f t="shared" si="5"/>
        <v>5.725</v>
      </c>
    </row>
    <row r="922">
      <c r="A922" s="702" t="s">
        <v>33489</v>
      </c>
      <c r="B922" s="702" t="s">
        <v>33364</v>
      </c>
      <c r="C922" s="707"/>
      <c r="D922" s="707"/>
      <c r="E922" s="708" t="s">
        <v>1675</v>
      </c>
      <c r="F922" s="709">
        <v>1000.0</v>
      </c>
      <c r="G922" s="708" t="s">
        <v>507</v>
      </c>
      <c r="H922" s="709">
        <v>300.0</v>
      </c>
      <c r="I922" s="709">
        <v>1000.0</v>
      </c>
      <c r="J922" s="705">
        <f t="shared" si="1"/>
        <v>301000</v>
      </c>
      <c r="K922" s="705">
        <f t="shared" si="6"/>
        <v>76250</v>
      </c>
      <c r="L922" s="705">
        <f t="shared" si="3"/>
        <v>377250</v>
      </c>
      <c r="M922" s="706">
        <f t="shared" si="5"/>
        <v>377.25</v>
      </c>
    </row>
    <row r="923">
      <c r="A923" s="702" t="s">
        <v>33489</v>
      </c>
      <c r="B923" s="702" t="s">
        <v>33364</v>
      </c>
      <c r="C923" s="707"/>
      <c r="D923" s="707"/>
      <c r="E923" s="708" t="s">
        <v>539</v>
      </c>
      <c r="F923" s="709">
        <v>1500.0</v>
      </c>
      <c r="G923" s="708" t="s">
        <v>930</v>
      </c>
      <c r="H923" s="709">
        <v>18.0</v>
      </c>
      <c r="I923" s="709">
        <v>1500.0</v>
      </c>
      <c r="J923" s="705">
        <f t="shared" si="1"/>
        <v>28500</v>
      </c>
      <c r="K923" s="705">
        <f t="shared" si="6"/>
        <v>8125</v>
      </c>
      <c r="L923" s="705">
        <f t="shared" si="3"/>
        <v>36625</v>
      </c>
      <c r="M923" s="706">
        <f t="shared" si="5"/>
        <v>24.41666667</v>
      </c>
    </row>
    <row r="924">
      <c r="A924" s="702" t="s">
        <v>33489</v>
      </c>
      <c r="B924" s="702" t="s">
        <v>33364</v>
      </c>
      <c r="C924" s="707"/>
      <c r="D924" s="707"/>
      <c r="E924" s="708" t="s">
        <v>539</v>
      </c>
      <c r="F924" s="709">
        <v>1000.0</v>
      </c>
      <c r="G924" s="708" t="s">
        <v>930</v>
      </c>
      <c r="H924" s="709">
        <v>18.0</v>
      </c>
      <c r="I924" s="709">
        <v>1000.0</v>
      </c>
      <c r="J924" s="705">
        <f t="shared" si="1"/>
        <v>19000</v>
      </c>
      <c r="K924" s="705">
        <f t="shared" si="6"/>
        <v>5750</v>
      </c>
      <c r="L924" s="705">
        <f t="shared" si="3"/>
        <v>24750</v>
      </c>
      <c r="M924" s="706">
        <f t="shared" si="5"/>
        <v>24.75</v>
      </c>
    </row>
    <row r="925">
      <c r="A925" s="702" t="s">
        <v>33492</v>
      </c>
      <c r="B925" s="702" t="s">
        <v>33493</v>
      </c>
      <c r="C925" s="707"/>
      <c r="D925" s="707"/>
      <c r="E925" s="708" t="s">
        <v>9434</v>
      </c>
      <c r="F925" s="712">
        <v>10000.0</v>
      </c>
      <c r="G925" s="708" t="s">
        <v>33494</v>
      </c>
      <c r="H925" s="709">
        <v>45.0</v>
      </c>
      <c r="I925" s="709">
        <v>500.0</v>
      </c>
      <c r="J925" s="705">
        <f t="shared" si="1"/>
        <v>450500</v>
      </c>
      <c r="K925" s="705">
        <f t="shared" si="6"/>
        <v>113625</v>
      </c>
      <c r="L925" s="705">
        <f t="shared" si="3"/>
        <v>564125</v>
      </c>
      <c r="M925" s="706">
        <f t="shared" si="5"/>
        <v>56.4125</v>
      </c>
    </row>
    <row r="926">
      <c r="A926" s="702" t="s">
        <v>33492</v>
      </c>
      <c r="B926" s="702" t="s">
        <v>33495</v>
      </c>
      <c r="C926" s="707"/>
      <c r="D926" s="707"/>
      <c r="E926" s="708" t="s">
        <v>539</v>
      </c>
      <c r="F926" s="709">
        <v>5000.0</v>
      </c>
      <c r="G926" s="708" t="s">
        <v>33496</v>
      </c>
      <c r="H926" s="709">
        <v>18.0</v>
      </c>
      <c r="I926" s="709">
        <v>5000.0</v>
      </c>
      <c r="J926" s="705">
        <f t="shared" si="1"/>
        <v>95000</v>
      </c>
      <c r="K926" s="705">
        <f t="shared" si="6"/>
        <v>24750</v>
      </c>
      <c r="L926" s="705">
        <f t="shared" si="3"/>
        <v>119750</v>
      </c>
      <c r="M926" s="706">
        <f t="shared" si="5"/>
        <v>23.95</v>
      </c>
    </row>
    <row r="927">
      <c r="A927" s="702" t="s">
        <v>33492</v>
      </c>
      <c r="B927" s="702" t="s">
        <v>33497</v>
      </c>
      <c r="C927" s="707"/>
      <c r="D927" s="707"/>
      <c r="E927" s="708" t="s">
        <v>207</v>
      </c>
      <c r="F927" s="709">
        <v>1000.0</v>
      </c>
      <c r="G927" s="708" t="s">
        <v>174</v>
      </c>
      <c r="H927" s="709">
        <v>10.0</v>
      </c>
      <c r="I927" s="709">
        <v>1000.0</v>
      </c>
      <c r="J927" s="705">
        <f t="shared" si="1"/>
        <v>11000</v>
      </c>
      <c r="K927" s="705">
        <f t="shared" si="6"/>
        <v>3750</v>
      </c>
      <c r="L927" s="705">
        <f t="shared" si="3"/>
        <v>14750</v>
      </c>
      <c r="M927" s="706">
        <f t="shared" si="5"/>
        <v>14.75</v>
      </c>
    </row>
    <row r="928">
      <c r="A928" s="702" t="s">
        <v>33492</v>
      </c>
      <c r="B928" s="702" t="s">
        <v>33498</v>
      </c>
      <c r="C928" s="707"/>
      <c r="D928" s="707"/>
      <c r="E928" s="708" t="s">
        <v>10512</v>
      </c>
      <c r="F928" s="709">
        <v>500.0</v>
      </c>
      <c r="G928" s="708" t="s">
        <v>33494</v>
      </c>
      <c r="H928" s="709">
        <v>20.0</v>
      </c>
      <c r="I928" s="709">
        <v>500.0</v>
      </c>
      <c r="J928" s="705">
        <f t="shared" si="1"/>
        <v>10500</v>
      </c>
      <c r="K928" s="705">
        <f t="shared" si="6"/>
        <v>3625</v>
      </c>
      <c r="L928" s="705">
        <f t="shared" si="3"/>
        <v>14125</v>
      </c>
      <c r="M928" s="706">
        <f t="shared" si="5"/>
        <v>28.25</v>
      </c>
      <c r="N928" s="526" t="s">
        <v>33499</v>
      </c>
    </row>
    <row r="929">
      <c r="A929" s="702" t="s">
        <v>33500</v>
      </c>
      <c r="B929" s="702" t="s">
        <v>33501</v>
      </c>
      <c r="C929" s="707"/>
      <c r="D929" s="707"/>
      <c r="E929" s="708" t="s">
        <v>17934</v>
      </c>
      <c r="F929" s="709">
        <v>25.0</v>
      </c>
      <c r="G929" s="708" t="s">
        <v>44</v>
      </c>
      <c r="H929" s="709">
        <v>115.0</v>
      </c>
      <c r="I929" s="709">
        <v>500.0</v>
      </c>
      <c r="J929" s="705">
        <f t="shared" si="1"/>
        <v>3375</v>
      </c>
      <c r="K929" s="705">
        <f t="shared" si="6"/>
        <v>1843.75</v>
      </c>
      <c r="L929" s="705">
        <f t="shared" si="3"/>
        <v>5218.75</v>
      </c>
      <c r="M929" s="706">
        <f t="shared" si="5"/>
        <v>208.75</v>
      </c>
    </row>
    <row r="930">
      <c r="A930" s="702" t="s">
        <v>33500</v>
      </c>
      <c r="B930" s="702" t="s">
        <v>33502</v>
      </c>
      <c r="C930" s="707"/>
      <c r="D930" s="707"/>
      <c r="E930" s="708" t="s">
        <v>116</v>
      </c>
      <c r="F930" s="709">
        <v>1000.0</v>
      </c>
      <c r="G930" s="708" t="s">
        <v>519</v>
      </c>
      <c r="H930" s="709">
        <v>76.0</v>
      </c>
      <c r="I930" s="709">
        <v>1000.0</v>
      </c>
      <c r="J930" s="705">
        <f t="shared" si="1"/>
        <v>77000</v>
      </c>
      <c r="K930" s="705">
        <f t="shared" si="6"/>
        <v>20250</v>
      </c>
      <c r="L930" s="705">
        <f t="shared" si="3"/>
        <v>97250</v>
      </c>
      <c r="M930" s="706">
        <f t="shared" si="5"/>
        <v>97.25</v>
      </c>
    </row>
    <row r="931">
      <c r="A931" s="702" t="s">
        <v>33500</v>
      </c>
      <c r="B931" s="702" t="s">
        <v>33503</v>
      </c>
      <c r="C931" s="707"/>
      <c r="D931" s="707"/>
      <c r="E931" s="708" t="s">
        <v>33355</v>
      </c>
      <c r="F931" s="709">
        <v>5000.0</v>
      </c>
      <c r="G931" s="708" t="s">
        <v>44</v>
      </c>
      <c r="H931" s="709">
        <v>5.0</v>
      </c>
      <c r="I931" s="709">
        <v>5000.0</v>
      </c>
      <c r="J931" s="705">
        <f t="shared" si="1"/>
        <v>30000</v>
      </c>
      <c r="K931" s="705">
        <f t="shared" si="6"/>
        <v>8500</v>
      </c>
      <c r="L931" s="705">
        <f t="shared" si="3"/>
        <v>38500</v>
      </c>
      <c r="M931" s="706">
        <f t="shared" si="5"/>
        <v>7.7</v>
      </c>
    </row>
    <row r="932">
      <c r="A932" s="702" t="s">
        <v>33500</v>
      </c>
      <c r="B932" s="702" t="s">
        <v>33364</v>
      </c>
      <c r="C932" s="707"/>
      <c r="D932" s="707"/>
      <c r="E932" s="708" t="s">
        <v>32094</v>
      </c>
      <c r="F932" s="709">
        <v>5000.0</v>
      </c>
      <c r="G932" s="708" t="s">
        <v>131</v>
      </c>
      <c r="H932" s="709">
        <v>70.0</v>
      </c>
      <c r="I932" s="709">
        <v>5000.0</v>
      </c>
      <c r="J932" s="705">
        <f t="shared" si="1"/>
        <v>355000</v>
      </c>
      <c r="K932" s="705">
        <f t="shared" si="6"/>
        <v>89750</v>
      </c>
      <c r="L932" s="705">
        <f t="shared" si="3"/>
        <v>444750</v>
      </c>
      <c r="M932" s="706">
        <f t="shared" si="5"/>
        <v>88.95</v>
      </c>
      <c r="N932" s="526" t="s">
        <v>33504</v>
      </c>
    </row>
    <row r="933">
      <c r="A933" s="702" t="s">
        <v>33500</v>
      </c>
      <c r="B933" s="702" t="s">
        <v>33364</v>
      </c>
      <c r="C933" s="707"/>
      <c r="D933" s="707"/>
      <c r="E933" s="708" t="s">
        <v>4848</v>
      </c>
      <c r="F933" s="709">
        <v>5000.0</v>
      </c>
      <c r="G933" s="708" t="s">
        <v>131</v>
      </c>
      <c r="H933" s="709">
        <v>50.0</v>
      </c>
      <c r="I933" s="709">
        <v>5000.0</v>
      </c>
      <c r="J933" s="705">
        <f t="shared" si="1"/>
        <v>255000</v>
      </c>
      <c r="K933" s="705">
        <f t="shared" si="6"/>
        <v>64750</v>
      </c>
      <c r="L933" s="705">
        <f t="shared" si="3"/>
        <v>319750</v>
      </c>
      <c r="M933" s="706">
        <f t="shared" si="5"/>
        <v>63.95</v>
      </c>
      <c r="N933" s="526" t="s">
        <v>33505</v>
      </c>
    </row>
    <row r="934">
      <c r="A934" s="702" t="s">
        <v>33500</v>
      </c>
      <c r="B934" s="702" t="s">
        <v>33506</v>
      </c>
      <c r="C934" s="707"/>
      <c r="D934" s="707"/>
      <c r="E934" s="708" t="s">
        <v>11748</v>
      </c>
      <c r="F934" s="709">
        <v>500.0</v>
      </c>
      <c r="G934" s="708" t="s">
        <v>507</v>
      </c>
      <c r="H934" s="709">
        <v>20.0</v>
      </c>
      <c r="I934" s="709">
        <v>1000.0</v>
      </c>
      <c r="J934" s="705">
        <f t="shared" si="1"/>
        <v>11000</v>
      </c>
      <c r="K934" s="705">
        <f t="shared" si="6"/>
        <v>3750</v>
      </c>
      <c r="L934" s="705">
        <f t="shared" si="3"/>
        <v>14750</v>
      </c>
      <c r="M934" s="706">
        <f t="shared" si="5"/>
        <v>29.5</v>
      </c>
      <c r="N934" s="526" t="s">
        <v>33499</v>
      </c>
    </row>
    <row r="935">
      <c r="A935" s="702" t="s">
        <v>33500</v>
      </c>
      <c r="B935" s="702" t="s">
        <v>33507</v>
      </c>
      <c r="C935" s="707"/>
      <c r="D935" s="707"/>
      <c r="E935" s="708" t="s">
        <v>33508</v>
      </c>
      <c r="F935" s="709">
        <v>2000.0</v>
      </c>
      <c r="G935" s="708" t="s">
        <v>20765</v>
      </c>
      <c r="H935" s="709">
        <v>6.0</v>
      </c>
      <c r="I935" s="709">
        <v>2000.0</v>
      </c>
      <c r="J935" s="705">
        <f t="shared" si="1"/>
        <v>14000</v>
      </c>
      <c r="K935" s="705">
        <f t="shared" si="6"/>
        <v>4500</v>
      </c>
      <c r="L935" s="705">
        <f t="shared" si="3"/>
        <v>18500</v>
      </c>
      <c r="M935" s="706">
        <f t="shared" si="5"/>
        <v>9.25</v>
      </c>
    </row>
    <row r="936">
      <c r="A936" s="702" t="s">
        <v>33509</v>
      </c>
      <c r="B936" s="702" t="s">
        <v>33510</v>
      </c>
      <c r="C936" s="707"/>
      <c r="D936" s="707"/>
      <c r="E936" s="708" t="s">
        <v>17908</v>
      </c>
      <c r="F936" s="709">
        <v>1000.0</v>
      </c>
      <c r="G936" s="708" t="s">
        <v>507</v>
      </c>
      <c r="H936" s="709">
        <v>23.0</v>
      </c>
      <c r="I936" s="709">
        <v>1000.0</v>
      </c>
      <c r="J936" s="705">
        <f t="shared" si="1"/>
        <v>24000</v>
      </c>
      <c r="K936" s="705">
        <f t="shared" si="6"/>
        <v>7000</v>
      </c>
      <c r="L936" s="705">
        <f t="shared" si="3"/>
        <v>31000</v>
      </c>
      <c r="M936" s="706">
        <f t="shared" si="5"/>
        <v>31</v>
      </c>
    </row>
    <row r="937">
      <c r="A937" s="702" t="s">
        <v>33509</v>
      </c>
      <c r="B937" s="702" t="s">
        <v>17910</v>
      </c>
      <c r="C937" s="707"/>
      <c r="D937" s="707"/>
      <c r="E937" s="708" t="s">
        <v>33089</v>
      </c>
      <c r="F937" s="709">
        <v>500.0</v>
      </c>
      <c r="G937" s="708" t="s">
        <v>507</v>
      </c>
      <c r="H937" s="709">
        <v>76.0</v>
      </c>
      <c r="I937" s="709">
        <v>1000.0</v>
      </c>
      <c r="J937" s="705">
        <f t="shared" si="1"/>
        <v>39000</v>
      </c>
      <c r="K937" s="705">
        <f t="shared" si="6"/>
        <v>10750</v>
      </c>
      <c r="L937" s="705">
        <f t="shared" si="3"/>
        <v>49750</v>
      </c>
      <c r="M937" s="706">
        <f t="shared" si="5"/>
        <v>99.5</v>
      </c>
    </row>
    <row r="938">
      <c r="A938" s="702" t="s">
        <v>33509</v>
      </c>
      <c r="B938" s="723" t="s">
        <v>17917</v>
      </c>
      <c r="C938" s="707"/>
      <c r="D938" s="707"/>
      <c r="E938" s="708" t="s">
        <v>1391</v>
      </c>
      <c r="F938" s="709">
        <v>1000.0</v>
      </c>
      <c r="G938" s="708" t="s">
        <v>44</v>
      </c>
      <c r="H938" s="709">
        <v>15.0</v>
      </c>
      <c r="I938" s="709">
        <v>1000.0</v>
      </c>
      <c r="J938" s="705">
        <f t="shared" si="1"/>
        <v>16000</v>
      </c>
      <c r="K938" s="705">
        <f t="shared" si="6"/>
        <v>5000</v>
      </c>
      <c r="L938" s="705">
        <f t="shared" si="3"/>
        <v>21000</v>
      </c>
      <c r="M938" s="706">
        <f t="shared" si="5"/>
        <v>21</v>
      </c>
    </row>
    <row r="939">
      <c r="A939" s="702" t="s">
        <v>33509</v>
      </c>
      <c r="B939" s="702" t="s">
        <v>33364</v>
      </c>
      <c r="C939" s="707"/>
      <c r="D939" s="707"/>
      <c r="E939" s="708" t="s">
        <v>213</v>
      </c>
      <c r="F939" s="709">
        <v>3000.0</v>
      </c>
      <c r="G939" s="708" t="s">
        <v>2478</v>
      </c>
      <c r="H939" s="709">
        <v>20.0</v>
      </c>
      <c r="I939" s="709">
        <v>3000.0</v>
      </c>
      <c r="J939" s="705">
        <f t="shared" si="1"/>
        <v>63000</v>
      </c>
      <c r="K939" s="705">
        <f t="shared" si="6"/>
        <v>16750</v>
      </c>
      <c r="L939" s="705">
        <f t="shared" si="3"/>
        <v>79750</v>
      </c>
      <c r="M939" s="706">
        <f t="shared" si="5"/>
        <v>26.58333333</v>
      </c>
      <c r="N939" s="526" t="s">
        <v>8528</v>
      </c>
    </row>
    <row r="940">
      <c r="A940" s="702" t="s">
        <v>33511</v>
      </c>
      <c r="B940" s="702" t="s">
        <v>33512</v>
      </c>
      <c r="C940" s="707"/>
      <c r="D940" s="707"/>
      <c r="E940" s="708" t="s">
        <v>14706</v>
      </c>
      <c r="F940" s="709">
        <v>50000.0</v>
      </c>
      <c r="G940" s="708" t="s">
        <v>10533</v>
      </c>
      <c r="H940" s="709">
        <v>7.0</v>
      </c>
      <c r="I940" s="705"/>
      <c r="J940" s="705">
        <f t="shared" si="1"/>
        <v>350000</v>
      </c>
      <c r="K940" s="705">
        <f t="shared" si="6"/>
        <v>88500</v>
      </c>
      <c r="L940" s="705">
        <f t="shared" si="3"/>
        <v>438500</v>
      </c>
      <c r="M940" s="706">
        <f t="shared" si="5"/>
        <v>8.77</v>
      </c>
    </row>
    <row r="941">
      <c r="A941" s="702" t="s">
        <v>33511</v>
      </c>
      <c r="B941" s="702" t="s">
        <v>33513</v>
      </c>
      <c r="C941" s="707"/>
      <c r="D941" s="707"/>
      <c r="E941" s="708" t="s">
        <v>10216</v>
      </c>
      <c r="F941" s="709">
        <v>10000.0</v>
      </c>
      <c r="G941" s="708" t="s">
        <v>507</v>
      </c>
      <c r="H941" s="709">
        <v>80.0</v>
      </c>
      <c r="I941" s="705"/>
      <c r="J941" s="705">
        <f t="shared" si="1"/>
        <v>800000</v>
      </c>
      <c r="K941" s="705">
        <f t="shared" si="6"/>
        <v>201000</v>
      </c>
      <c r="L941" s="705">
        <f t="shared" si="3"/>
        <v>1001000</v>
      </c>
      <c r="M941" s="706">
        <f t="shared" si="5"/>
        <v>100.1</v>
      </c>
    </row>
    <row r="942">
      <c r="A942" s="702" t="s">
        <v>33511</v>
      </c>
      <c r="B942" s="702" t="s">
        <v>33514</v>
      </c>
      <c r="C942" s="707"/>
      <c r="D942" s="707"/>
      <c r="E942" s="708" t="s">
        <v>5244</v>
      </c>
      <c r="F942" s="709">
        <v>300.0</v>
      </c>
      <c r="G942" s="708" t="s">
        <v>44</v>
      </c>
      <c r="H942" s="709">
        <v>71.0</v>
      </c>
      <c r="I942" s="705"/>
      <c r="J942" s="705">
        <f t="shared" si="1"/>
        <v>21300</v>
      </c>
      <c r="K942" s="705">
        <f t="shared" si="6"/>
        <v>6325</v>
      </c>
      <c r="L942" s="705">
        <f t="shared" si="3"/>
        <v>27625</v>
      </c>
      <c r="M942" s="706">
        <f t="shared" si="5"/>
        <v>92.08333333</v>
      </c>
    </row>
    <row r="943">
      <c r="A943" s="702" t="s">
        <v>33511</v>
      </c>
      <c r="B943" s="702" t="s">
        <v>33515</v>
      </c>
      <c r="C943" s="707"/>
      <c r="D943" s="707"/>
      <c r="E943" s="720" t="s">
        <v>31499</v>
      </c>
      <c r="F943" s="709">
        <v>2000.0</v>
      </c>
      <c r="G943" s="708" t="s">
        <v>15263</v>
      </c>
      <c r="H943" s="709">
        <v>2.5</v>
      </c>
      <c r="I943" s="709">
        <v>1000.0</v>
      </c>
      <c r="J943" s="705">
        <f t="shared" si="1"/>
        <v>6000</v>
      </c>
      <c r="K943" s="705">
        <f t="shared" si="6"/>
        <v>2500</v>
      </c>
      <c r="L943" s="705">
        <f t="shared" si="3"/>
        <v>8500</v>
      </c>
      <c r="M943" s="706">
        <f t="shared" si="5"/>
        <v>4.25</v>
      </c>
    </row>
    <row r="944">
      <c r="A944" s="702" t="s">
        <v>33511</v>
      </c>
      <c r="B944" s="702" t="s">
        <v>33515</v>
      </c>
      <c r="C944" s="707"/>
      <c r="D944" s="707"/>
      <c r="E944" s="708" t="s">
        <v>31500</v>
      </c>
      <c r="F944" s="709">
        <v>2000.0</v>
      </c>
      <c r="G944" s="708" t="s">
        <v>15263</v>
      </c>
      <c r="H944" s="709">
        <v>4.0</v>
      </c>
      <c r="I944" s="709">
        <v>1000.0</v>
      </c>
      <c r="J944" s="705">
        <f t="shared" si="1"/>
        <v>9000</v>
      </c>
      <c r="K944" s="705">
        <f t="shared" si="6"/>
        <v>3250</v>
      </c>
      <c r="L944" s="705">
        <f t="shared" si="3"/>
        <v>12250</v>
      </c>
      <c r="M944" s="706">
        <f t="shared" si="5"/>
        <v>6.125</v>
      </c>
    </row>
    <row r="945">
      <c r="A945" s="702" t="s">
        <v>33511</v>
      </c>
      <c r="B945" s="702" t="s">
        <v>33516</v>
      </c>
      <c r="C945" s="707"/>
      <c r="D945" s="707"/>
      <c r="E945" s="708" t="s">
        <v>794</v>
      </c>
      <c r="F945" s="709">
        <v>10000.0</v>
      </c>
      <c r="G945" s="708" t="s">
        <v>1414</v>
      </c>
      <c r="H945" s="709">
        <v>5.0</v>
      </c>
      <c r="I945" s="705"/>
      <c r="J945" s="705">
        <f t="shared" si="1"/>
        <v>50000</v>
      </c>
      <c r="K945" s="705">
        <f t="shared" si="6"/>
        <v>13500</v>
      </c>
      <c r="L945" s="705">
        <f t="shared" si="3"/>
        <v>63500</v>
      </c>
      <c r="M945" s="706">
        <f t="shared" si="5"/>
        <v>6.35</v>
      </c>
    </row>
    <row r="946">
      <c r="A946" s="702" t="s">
        <v>33511</v>
      </c>
      <c r="B946" s="702" t="s">
        <v>33517</v>
      </c>
      <c r="C946" s="707"/>
      <c r="D946" s="707"/>
      <c r="E946" s="720" t="s">
        <v>31499</v>
      </c>
      <c r="F946" s="709">
        <v>10000.0</v>
      </c>
      <c r="G946" s="708" t="s">
        <v>2662</v>
      </c>
      <c r="H946" s="709">
        <v>2.5</v>
      </c>
      <c r="I946" s="709">
        <v>5000.0</v>
      </c>
      <c r="J946" s="705">
        <f t="shared" si="1"/>
        <v>30000</v>
      </c>
      <c r="K946" s="705">
        <f t="shared" si="6"/>
        <v>8500</v>
      </c>
      <c r="L946" s="705">
        <f t="shared" si="3"/>
        <v>38500</v>
      </c>
      <c r="M946" s="706">
        <f t="shared" si="5"/>
        <v>3.85</v>
      </c>
    </row>
    <row r="947">
      <c r="A947" s="702" t="s">
        <v>33511</v>
      </c>
      <c r="B947" s="702" t="s">
        <v>17941</v>
      </c>
      <c r="C947" s="707"/>
      <c r="D947" s="707"/>
      <c r="E947" s="720" t="s">
        <v>31500</v>
      </c>
      <c r="F947" s="709">
        <v>10000.0</v>
      </c>
      <c r="G947" s="708" t="s">
        <v>2662</v>
      </c>
      <c r="H947" s="709">
        <v>4.0</v>
      </c>
      <c r="I947" s="709">
        <v>5000.0</v>
      </c>
      <c r="J947" s="705">
        <f t="shared" si="1"/>
        <v>45000</v>
      </c>
      <c r="K947" s="705">
        <f t="shared" si="6"/>
        <v>12250</v>
      </c>
      <c r="L947" s="705">
        <f t="shared" si="3"/>
        <v>57250</v>
      </c>
      <c r="M947" s="706">
        <f t="shared" si="5"/>
        <v>5.725</v>
      </c>
    </row>
    <row r="948">
      <c r="A948" s="702" t="s">
        <v>33511</v>
      </c>
      <c r="B948" s="702" t="s">
        <v>33518</v>
      </c>
      <c r="C948" s="707"/>
      <c r="D948" s="707"/>
      <c r="E948" s="708" t="s">
        <v>31499</v>
      </c>
      <c r="F948" s="709">
        <v>10000.0</v>
      </c>
      <c r="G948" s="708" t="s">
        <v>507</v>
      </c>
      <c r="H948" s="709">
        <v>2.5</v>
      </c>
      <c r="I948" s="709">
        <v>5000.0</v>
      </c>
      <c r="J948" s="705">
        <f t="shared" si="1"/>
        <v>30000</v>
      </c>
      <c r="K948" s="705">
        <f t="shared" si="6"/>
        <v>8500</v>
      </c>
      <c r="L948" s="705">
        <f t="shared" si="3"/>
        <v>38500</v>
      </c>
      <c r="M948" s="706">
        <f t="shared" si="5"/>
        <v>3.85</v>
      </c>
    </row>
    <row r="949">
      <c r="A949" s="702" t="s">
        <v>33511</v>
      </c>
      <c r="B949" s="702" t="s">
        <v>33518</v>
      </c>
      <c r="C949" s="707"/>
      <c r="D949" s="707"/>
      <c r="E949" s="708" t="s">
        <v>31500</v>
      </c>
      <c r="F949" s="709">
        <v>10000.0</v>
      </c>
      <c r="G949" s="708" t="s">
        <v>507</v>
      </c>
      <c r="H949" s="709">
        <v>4.0</v>
      </c>
      <c r="I949" s="709">
        <v>5000.0</v>
      </c>
      <c r="J949" s="705">
        <f t="shared" si="1"/>
        <v>45000</v>
      </c>
      <c r="K949" s="705">
        <f t="shared" si="6"/>
        <v>12250</v>
      </c>
      <c r="L949" s="705">
        <f t="shared" si="3"/>
        <v>57250</v>
      </c>
      <c r="M949" s="706">
        <f t="shared" si="5"/>
        <v>5.725</v>
      </c>
    </row>
    <row r="950">
      <c r="A950" s="702" t="s">
        <v>33511</v>
      </c>
      <c r="B950" s="702" t="s">
        <v>33519</v>
      </c>
      <c r="C950" s="707"/>
      <c r="D950" s="707"/>
      <c r="E950" s="708" t="s">
        <v>18204</v>
      </c>
      <c r="F950" s="709">
        <v>500.0</v>
      </c>
      <c r="G950" s="708" t="s">
        <v>44</v>
      </c>
      <c r="H950" s="709">
        <v>125.0</v>
      </c>
      <c r="I950" s="709">
        <v>1000.0</v>
      </c>
      <c r="J950" s="705">
        <f t="shared" si="1"/>
        <v>63500</v>
      </c>
      <c r="K950" s="705">
        <f t="shared" si="6"/>
        <v>16875</v>
      </c>
      <c r="L950" s="705">
        <f t="shared" si="3"/>
        <v>80375</v>
      </c>
      <c r="M950" s="706">
        <f t="shared" si="5"/>
        <v>160.75</v>
      </c>
    </row>
    <row r="951">
      <c r="A951" s="702" t="s">
        <v>33511</v>
      </c>
      <c r="B951" s="702" t="s">
        <v>33520</v>
      </c>
      <c r="C951" s="707"/>
      <c r="D951" s="707"/>
      <c r="E951" s="708" t="s">
        <v>17958</v>
      </c>
      <c r="F951" s="709">
        <v>2000.0</v>
      </c>
      <c r="G951" s="708" t="s">
        <v>44</v>
      </c>
      <c r="H951" s="709">
        <v>105.0</v>
      </c>
      <c r="I951" s="709">
        <v>2500.0</v>
      </c>
      <c r="J951" s="705">
        <f t="shared" si="1"/>
        <v>212500</v>
      </c>
      <c r="K951" s="705">
        <f t="shared" si="6"/>
        <v>54125</v>
      </c>
      <c r="L951" s="705">
        <f t="shared" si="3"/>
        <v>266625</v>
      </c>
      <c r="M951" s="706">
        <f t="shared" si="5"/>
        <v>133.3125</v>
      </c>
    </row>
    <row r="952">
      <c r="A952" s="702" t="s">
        <v>33511</v>
      </c>
      <c r="B952" s="702" t="s">
        <v>33521</v>
      </c>
      <c r="C952" s="707"/>
      <c r="D952" s="707"/>
      <c r="E952" s="708" t="s">
        <v>222</v>
      </c>
      <c r="F952" s="709">
        <v>20000.0</v>
      </c>
      <c r="G952" s="708" t="s">
        <v>33522</v>
      </c>
      <c r="H952" s="709">
        <v>4.0</v>
      </c>
      <c r="I952" s="705"/>
      <c r="J952" s="705">
        <f t="shared" si="1"/>
        <v>80000</v>
      </c>
      <c r="K952" s="705">
        <f t="shared" si="6"/>
        <v>21000</v>
      </c>
      <c r="L952" s="705">
        <f t="shared" si="3"/>
        <v>101000</v>
      </c>
      <c r="M952" s="706">
        <f t="shared" si="5"/>
        <v>5.05</v>
      </c>
    </row>
    <row r="953">
      <c r="A953" s="702" t="s">
        <v>33511</v>
      </c>
      <c r="B953" s="702" t="s">
        <v>18005</v>
      </c>
      <c r="C953" s="707"/>
      <c r="D953" s="707"/>
      <c r="E953" s="720" t="s">
        <v>539</v>
      </c>
      <c r="F953" s="709">
        <v>200.0</v>
      </c>
      <c r="G953" s="708" t="s">
        <v>44</v>
      </c>
      <c r="H953" s="709">
        <v>25.0</v>
      </c>
      <c r="I953" s="709">
        <v>500.0</v>
      </c>
      <c r="J953" s="705">
        <f t="shared" si="1"/>
        <v>5500</v>
      </c>
      <c r="K953" s="705">
        <f t="shared" si="6"/>
        <v>2375</v>
      </c>
      <c r="L953" s="705">
        <f t="shared" si="3"/>
        <v>7875</v>
      </c>
      <c r="M953" s="706">
        <f t="shared" si="5"/>
        <v>39.375</v>
      </c>
    </row>
    <row r="954">
      <c r="A954" s="702" t="s">
        <v>33511</v>
      </c>
      <c r="B954" s="702" t="s">
        <v>33523</v>
      </c>
      <c r="C954" s="707"/>
      <c r="D954" s="707"/>
      <c r="E954" s="708" t="s">
        <v>11748</v>
      </c>
      <c r="F954" s="709">
        <v>15000.0</v>
      </c>
      <c r="G954" s="708" t="s">
        <v>33524</v>
      </c>
      <c r="H954" s="709">
        <v>20.0</v>
      </c>
      <c r="I954" s="705"/>
      <c r="J954" s="705">
        <f t="shared" si="1"/>
        <v>300000</v>
      </c>
      <c r="K954" s="705">
        <f t="shared" si="6"/>
        <v>76000</v>
      </c>
      <c r="L954" s="705">
        <f t="shared" si="3"/>
        <v>376000</v>
      </c>
      <c r="M954" s="706">
        <f t="shared" si="5"/>
        <v>25.06666667</v>
      </c>
      <c r="N954" s="526" t="s">
        <v>33525</v>
      </c>
    </row>
    <row r="955">
      <c r="A955" s="702" t="s">
        <v>33526</v>
      </c>
      <c r="B955" s="702" t="s">
        <v>33527</v>
      </c>
      <c r="C955" s="707"/>
      <c r="D955" s="707"/>
      <c r="E955" s="708" t="s">
        <v>33528</v>
      </c>
      <c r="F955" s="709">
        <v>700.0</v>
      </c>
      <c r="G955" s="708" t="s">
        <v>44</v>
      </c>
      <c r="H955" s="709">
        <v>20.0</v>
      </c>
      <c r="I955" s="709">
        <v>1000.0</v>
      </c>
      <c r="J955" s="705">
        <f t="shared" si="1"/>
        <v>15000</v>
      </c>
      <c r="K955" s="705">
        <f t="shared" si="6"/>
        <v>4750</v>
      </c>
      <c r="L955" s="705">
        <f t="shared" si="3"/>
        <v>19750</v>
      </c>
      <c r="M955" s="706">
        <f t="shared" si="5"/>
        <v>28.21428571</v>
      </c>
    </row>
    <row r="956">
      <c r="A956" s="702" t="s">
        <v>33526</v>
      </c>
      <c r="B956" s="702" t="s">
        <v>33529</v>
      </c>
      <c r="C956" s="707"/>
      <c r="D956" s="707"/>
      <c r="E956" s="708" t="s">
        <v>33530</v>
      </c>
      <c r="F956" s="709">
        <v>10000.0</v>
      </c>
      <c r="G956" s="708" t="s">
        <v>33371</v>
      </c>
      <c r="H956" s="709">
        <v>5.0</v>
      </c>
      <c r="I956" s="705"/>
      <c r="J956" s="705">
        <f t="shared" si="1"/>
        <v>50000</v>
      </c>
      <c r="K956" s="705">
        <f t="shared" si="6"/>
        <v>13500</v>
      </c>
      <c r="L956" s="705">
        <f t="shared" si="3"/>
        <v>63500</v>
      </c>
      <c r="M956" s="706">
        <f t="shared" si="5"/>
        <v>6.35</v>
      </c>
    </row>
    <row r="957">
      <c r="A957" s="702" t="s">
        <v>33526</v>
      </c>
      <c r="B957" s="702" t="s">
        <v>33531</v>
      </c>
      <c r="C957" s="707"/>
      <c r="D957" s="707"/>
      <c r="E957" s="708" t="s">
        <v>344</v>
      </c>
      <c r="F957" s="709">
        <v>500.0</v>
      </c>
      <c r="G957" s="708" t="s">
        <v>2682</v>
      </c>
      <c r="H957" s="709">
        <v>250.0</v>
      </c>
      <c r="I957" s="709">
        <v>1000.0</v>
      </c>
      <c r="J957" s="705">
        <f t="shared" si="1"/>
        <v>126000</v>
      </c>
      <c r="K957" s="705">
        <f t="shared" si="6"/>
        <v>32500</v>
      </c>
      <c r="L957" s="705">
        <f t="shared" si="3"/>
        <v>158500</v>
      </c>
      <c r="M957" s="706">
        <f t="shared" si="5"/>
        <v>317</v>
      </c>
    </row>
    <row r="958">
      <c r="A958" s="702" t="s">
        <v>33526</v>
      </c>
      <c r="B958" s="702" t="s">
        <v>33532</v>
      </c>
      <c r="C958" s="707"/>
      <c r="D958" s="707"/>
      <c r="E958" s="708" t="s">
        <v>116</v>
      </c>
      <c r="F958" s="709">
        <v>1000.0</v>
      </c>
      <c r="G958" s="708" t="s">
        <v>507</v>
      </c>
      <c r="H958" s="709">
        <v>76.0</v>
      </c>
      <c r="I958" s="709">
        <v>1000.0</v>
      </c>
      <c r="J958" s="705">
        <f t="shared" si="1"/>
        <v>77000</v>
      </c>
      <c r="K958" s="705">
        <f t="shared" si="6"/>
        <v>20250</v>
      </c>
      <c r="L958" s="705">
        <f t="shared" si="3"/>
        <v>97250</v>
      </c>
      <c r="M958" s="706">
        <f t="shared" si="5"/>
        <v>97.25</v>
      </c>
    </row>
    <row r="959">
      <c r="A959" s="702" t="s">
        <v>33526</v>
      </c>
      <c r="B959" s="702" t="s">
        <v>33533</v>
      </c>
      <c r="C959" s="707"/>
      <c r="D959" s="707"/>
      <c r="E959" s="708" t="s">
        <v>12775</v>
      </c>
      <c r="F959" s="709">
        <v>1000.0</v>
      </c>
      <c r="G959" s="708" t="s">
        <v>44</v>
      </c>
      <c r="H959" s="709">
        <v>110.0</v>
      </c>
      <c r="I959" s="709">
        <v>1000.0</v>
      </c>
      <c r="J959" s="705">
        <f t="shared" si="1"/>
        <v>111000</v>
      </c>
      <c r="K959" s="705">
        <f t="shared" si="6"/>
        <v>28750</v>
      </c>
      <c r="L959" s="705">
        <f t="shared" si="3"/>
        <v>139750</v>
      </c>
      <c r="M959" s="706">
        <f t="shared" si="5"/>
        <v>139.75</v>
      </c>
    </row>
    <row r="960">
      <c r="A960" s="702" t="s">
        <v>33526</v>
      </c>
      <c r="B960" s="702" t="s">
        <v>33534</v>
      </c>
      <c r="C960" s="707"/>
      <c r="D960" s="707"/>
      <c r="E960" s="708" t="s">
        <v>18037</v>
      </c>
      <c r="F960" s="709">
        <v>500.0</v>
      </c>
      <c r="G960" s="708" t="s">
        <v>1337</v>
      </c>
      <c r="H960" s="709">
        <v>18.0</v>
      </c>
      <c r="I960" s="709">
        <v>1000.0</v>
      </c>
      <c r="J960" s="705">
        <f t="shared" si="1"/>
        <v>10000</v>
      </c>
      <c r="K960" s="705">
        <f t="shared" si="6"/>
        <v>3500</v>
      </c>
      <c r="L960" s="705">
        <f t="shared" si="3"/>
        <v>13500</v>
      </c>
      <c r="M960" s="706">
        <f t="shared" si="5"/>
        <v>27</v>
      </c>
    </row>
    <row r="961">
      <c r="A961" s="702" t="s">
        <v>33535</v>
      </c>
      <c r="B961" s="702" t="s">
        <v>33536</v>
      </c>
      <c r="C961" s="707"/>
      <c r="D961" s="707"/>
      <c r="E961" s="708" t="s">
        <v>1836</v>
      </c>
      <c r="F961" s="709">
        <v>500.0</v>
      </c>
      <c r="G961" s="708" t="s">
        <v>44</v>
      </c>
      <c r="H961" s="709">
        <v>90.0</v>
      </c>
      <c r="I961" s="709">
        <v>1000.0</v>
      </c>
      <c r="J961" s="705">
        <f t="shared" si="1"/>
        <v>46000</v>
      </c>
      <c r="K961" s="705">
        <f t="shared" si="6"/>
        <v>12500</v>
      </c>
      <c r="L961" s="705">
        <f t="shared" si="3"/>
        <v>58500</v>
      </c>
      <c r="M961" s="706">
        <f t="shared" si="5"/>
        <v>117</v>
      </c>
    </row>
    <row r="962">
      <c r="A962" s="702" t="s">
        <v>33535</v>
      </c>
      <c r="B962" s="702" t="s">
        <v>33536</v>
      </c>
      <c r="C962" s="707"/>
      <c r="D962" s="707"/>
      <c r="E962" s="708" t="s">
        <v>33537</v>
      </c>
      <c r="F962" s="709">
        <v>1000.0</v>
      </c>
      <c r="G962" s="708" t="s">
        <v>44</v>
      </c>
      <c r="H962" s="709">
        <v>125.0</v>
      </c>
      <c r="I962" s="709">
        <v>1500.0</v>
      </c>
      <c r="J962" s="705">
        <f t="shared" si="1"/>
        <v>126500</v>
      </c>
      <c r="K962" s="705">
        <f t="shared" si="6"/>
        <v>32625</v>
      </c>
      <c r="L962" s="705">
        <f t="shared" si="3"/>
        <v>159125</v>
      </c>
      <c r="M962" s="706">
        <f t="shared" si="5"/>
        <v>159.125</v>
      </c>
    </row>
    <row r="963">
      <c r="A963" s="702" t="s">
        <v>33535</v>
      </c>
      <c r="B963" s="702" t="s">
        <v>33538</v>
      </c>
      <c r="C963" s="707"/>
      <c r="D963" s="707"/>
      <c r="E963" s="708" t="s">
        <v>116</v>
      </c>
      <c r="F963" s="709">
        <v>5000.0</v>
      </c>
      <c r="G963" s="708" t="s">
        <v>519</v>
      </c>
      <c r="H963" s="709">
        <v>76.0</v>
      </c>
      <c r="I963" s="709">
        <v>5000.0</v>
      </c>
      <c r="J963" s="705">
        <f t="shared" si="1"/>
        <v>385000</v>
      </c>
      <c r="K963" s="705">
        <f t="shared" si="6"/>
        <v>97250</v>
      </c>
      <c r="L963" s="705">
        <f t="shared" si="3"/>
        <v>482250</v>
      </c>
      <c r="M963" s="706">
        <f t="shared" si="5"/>
        <v>96.45</v>
      </c>
    </row>
    <row r="964">
      <c r="A964" s="702" t="s">
        <v>33535</v>
      </c>
      <c r="B964" s="702" t="s">
        <v>33539</v>
      </c>
      <c r="C964" s="707"/>
      <c r="D964" s="707"/>
      <c r="E964" s="708" t="s">
        <v>1902</v>
      </c>
      <c r="F964" s="709">
        <v>100.0</v>
      </c>
      <c r="G964" s="708" t="s">
        <v>44</v>
      </c>
      <c r="H964" s="709">
        <v>55.0</v>
      </c>
      <c r="I964" s="709">
        <v>300.0</v>
      </c>
      <c r="J964" s="705">
        <f t="shared" si="1"/>
        <v>5800</v>
      </c>
      <c r="K964" s="705">
        <f t="shared" si="6"/>
        <v>2450</v>
      </c>
      <c r="L964" s="705">
        <f t="shared" si="3"/>
        <v>8250</v>
      </c>
      <c r="M964" s="706">
        <f t="shared" si="5"/>
        <v>82.5</v>
      </c>
    </row>
    <row r="965">
      <c r="A965" s="702" t="s">
        <v>33535</v>
      </c>
      <c r="B965" s="702" t="s">
        <v>33539</v>
      </c>
      <c r="C965" s="707"/>
      <c r="D965" s="707"/>
      <c r="E965" s="708" t="s">
        <v>16850</v>
      </c>
      <c r="F965" s="709">
        <v>1000.0</v>
      </c>
      <c r="G965" s="708" t="s">
        <v>44</v>
      </c>
      <c r="H965" s="709">
        <v>120.0</v>
      </c>
      <c r="I965" s="709">
        <v>1000.0</v>
      </c>
      <c r="J965" s="705">
        <f t="shared" si="1"/>
        <v>121000</v>
      </c>
      <c r="K965" s="705">
        <f t="shared" si="6"/>
        <v>31250</v>
      </c>
      <c r="L965" s="705">
        <f t="shared" si="3"/>
        <v>152250</v>
      </c>
      <c r="M965" s="706">
        <f t="shared" si="5"/>
        <v>152.25</v>
      </c>
    </row>
    <row r="966">
      <c r="A966" s="702" t="s">
        <v>33535</v>
      </c>
      <c r="B966" s="702" t="s">
        <v>33540</v>
      </c>
      <c r="C966" s="707"/>
      <c r="D966" s="707"/>
      <c r="E966" s="708" t="s">
        <v>116</v>
      </c>
      <c r="F966" s="709">
        <v>500.0</v>
      </c>
      <c r="G966" s="708" t="s">
        <v>519</v>
      </c>
      <c r="H966" s="709">
        <v>76.0</v>
      </c>
      <c r="I966" s="709">
        <v>1000.0</v>
      </c>
      <c r="J966" s="705">
        <f t="shared" si="1"/>
        <v>39000</v>
      </c>
      <c r="K966" s="705">
        <f t="shared" si="6"/>
        <v>10750</v>
      </c>
      <c r="L966" s="705">
        <f t="shared" si="3"/>
        <v>49750</v>
      </c>
      <c r="M966" s="706">
        <f t="shared" si="5"/>
        <v>99.5</v>
      </c>
    </row>
    <row r="967">
      <c r="A967" s="702" t="s">
        <v>33535</v>
      </c>
      <c r="B967" s="702" t="s">
        <v>33541</v>
      </c>
      <c r="C967" s="707"/>
      <c r="D967" s="707"/>
      <c r="E967" s="708" t="s">
        <v>18086</v>
      </c>
      <c r="F967" s="709">
        <v>1000.0</v>
      </c>
      <c r="G967" s="708" t="s">
        <v>7048</v>
      </c>
      <c r="H967" s="709">
        <v>5.0</v>
      </c>
      <c r="I967" s="709">
        <v>1000.0</v>
      </c>
      <c r="J967" s="705">
        <f t="shared" si="1"/>
        <v>6000</v>
      </c>
      <c r="K967" s="705">
        <f t="shared" si="6"/>
        <v>2500</v>
      </c>
      <c r="L967" s="705">
        <f t="shared" si="3"/>
        <v>8500</v>
      </c>
      <c r="M967" s="706">
        <f t="shared" si="5"/>
        <v>8.5</v>
      </c>
      <c r="N967" s="526" t="s">
        <v>33542</v>
      </c>
    </row>
    <row r="968">
      <c r="A968" s="702" t="s">
        <v>33543</v>
      </c>
      <c r="B968" s="702" t="s">
        <v>33544</v>
      </c>
      <c r="C968" s="707"/>
      <c r="D968" s="707"/>
      <c r="E968" s="708" t="s">
        <v>14399</v>
      </c>
      <c r="F968" s="709">
        <v>300.0</v>
      </c>
      <c r="G968" s="708" t="s">
        <v>44</v>
      </c>
      <c r="H968" s="709">
        <v>180.0</v>
      </c>
      <c r="I968" s="709">
        <v>1000.0</v>
      </c>
      <c r="J968" s="705">
        <f t="shared" si="1"/>
        <v>55000</v>
      </c>
      <c r="K968" s="705">
        <f t="shared" si="6"/>
        <v>14750</v>
      </c>
      <c r="L968" s="705">
        <f t="shared" si="3"/>
        <v>69750</v>
      </c>
      <c r="M968" s="706">
        <f t="shared" si="5"/>
        <v>232.5</v>
      </c>
    </row>
    <row r="969">
      <c r="A969" s="702" t="s">
        <v>33543</v>
      </c>
      <c r="B969" s="702" t="s">
        <v>33545</v>
      </c>
      <c r="C969" s="707"/>
      <c r="D969" s="707"/>
      <c r="E969" s="708" t="s">
        <v>10426</v>
      </c>
      <c r="F969" s="709">
        <v>500.0</v>
      </c>
      <c r="G969" s="708" t="s">
        <v>33494</v>
      </c>
      <c r="H969" s="709">
        <v>90.0</v>
      </c>
      <c r="I969" s="709">
        <v>1000.0</v>
      </c>
      <c r="J969" s="705">
        <f t="shared" si="1"/>
        <v>46000</v>
      </c>
      <c r="K969" s="705">
        <f t="shared" si="6"/>
        <v>12500</v>
      </c>
      <c r="L969" s="705">
        <f t="shared" si="3"/>
        <v>58500</v>
      </c>
      <c r="M969" s="706">
        <f t="shared" si="5"/>
        <v>117</v>
      </c>
    </row>
    <row r="970">
      <c r="A970" s="702" t="s">
        <v>33543</v>
      </c>
      <c r="B970" s="702" t="s">
        <v>33546</v>
      </c>
      <c r="C970" s="707"/>
      <c r="D970" s="707"/>
      <c r="E970" s="720" t="s">
        <v>10508</v>
      </c>
      <c r="F970" s="709">
        <v>1000.0</v>
      </c>
      <c r="G970" s="708" t="s">
        <v>44</v>
      </c>
      <c r="H970" s="709">
        <v>220.0</v>
      </c>
      <c r="I970" s="709">
        <v>1000.0</v>
      </c>
      <c r="J970" s="705">
        <f t="shared" si="1"/>
        <v>221000</v>
      </c>
      <c r="K970" s="705">
        <f t="shared" si="6"/>
        <v>56250</v>
      </c>
      <c r="L970" s="705">
        <f t="shared" si="3"/>
        <v>277250</v>
      </c>
      <c r="M970" s="706">
        <f t="shared" si="5"/>
        <v>277.25</v>
      </c>
    </row>
    <row r="971">
      <c r="A971" s="702" t="s">
        <v>33543</v>
      </c>
      <c r="B971" s="702" t="s">
        <v>33547</v>
      </c>
      <c r="C971" s="707"/>
      <c r="D971" s="707"/>
      <c r="E971" s="708" t="s">
        <v>10508</v>
      </c>
      <c r="F971" s="709">
        <v>1000.0</v>
      </c>
      <c r="G971" s="708" t="s">
        <v>33494</v>
      </c>
      <c r="H971" s="709">
        <v>220.0</v>
      </c>
      <c r="I971" s="709">
        <v>1000.0</v>
      </c>
      <c r="J971" s="705">
        <f t="shared" si="1"/>
        <v>221000</v>
      </c>
      <c r="K971" s="705">
        <f t="shared" si="6"/>
        <v>56250</v>
      </c>
      <c r="L971" s="705">
        <f t="shared" si="3"/>
        <v>277250</v>
      </c>
      <c r="M971" s="706">
        <f t="shared" si="5"/>
        <v>277.25</v>
      </c>
    </row>
    <row r="972">
      <c r="A972" s="702" t="s">
        <v>33543</v>
      </c>
      <c r="B972" s="702" t="s">
        <v>33548</v>
      </c>
      <c r="C972" s="707"/>
      <c r="D972" s="707"/>
      <c r="E972" s="708" t="s">
        <v>625</v>
      </c>
      <c r="F972" s="709">
        <v>1000.0</v>
      </c>
      <c r="G972" s="708" t="s">
        <v>44</v>
      </c>
      <c r="H972" s="709">
        <v>25.0</v>
      </c>
      <c r="I972" s="709">
        <v>1000.0</v>
      </c>
      <c r="J972" s="705">
        <f t="shared" si="1"/>
        <v>26000</v>
      </c>
      <c r="K972" s="705">
        <f t="shared" si="6"/>
        <v>7500</v>
      </c>
      <c r="L972" s="705">
        <f t="shared" si="3"/>
        <v>33500</v>
      </c>
      <c r="M972" s="706">
        <f t="shared" si="5"/>
        <v>33.5</v>
      </c>
    </row>
    <row r="973">
      <c r="A973" s="702" t="s">
        <v>33543</v>
      </c>
      <c r="B973" s="702" t="s">
        <v>33549</v>
      </c>
      <c r="C973" s="707"/>
      <c r="D973" s="707"/>
      <c r="E973" s="708" t="s">
        <v>412</v>
      </c>
      <c r="F973" s="709">
        <v>100.0</v>
      </c>
      <c r="G973" s="708" t="s">
        <v>44</v>
      </c>
      <c r="H973" s="709">
        <v>200.0</v>
      </c>
      <c r="I973" s="709">
        <v>500.0</v>
      </c>
      <c r="J973" s="705">
        <f t="shared" si="1"/>
        <v>20500</v>
      </c>
      <c r="K973" s="705">
        <f t="shared" si="6"/>
        <v>6125</v>
      </c>
      <c r="L973" s="705">
        <f t="shared" si="3"/>
        <v>26625</v>
      </c>
      <c r="M973" s="706">
        <f t="shared" si="5"/>
        <v>266.25</v>
      </c>
    </row>
    <row r="974">
      <c r="A974" s="702" t="s">
        <v>33543</v>
      </c>
      <c r="B974" s="702" t="s">
        <v>33550</v>
      </c>
      <c r="C974" s="707"/>
      <c r="D974" s="707"/>
      <c r="E974" s="720" t="s">
        <v>5293</v>
      </c>
      <c r="F974" s="709">
        <v>500.0</v>
      </c>
      <c r="G974" s="708" t="s">
        <v>33494</v>
      </c>
      <c r="H974" s="709">
        <v>70.0</v>
      </c>
      <c r="I974" s="709">
        <v>1500.0</v>
      </c>
      <c r="J974" s="705">
        <f t="shared" si="1"/>
        <v>36500</v>
      </c>
      <c r="K974" s="705">
        <f t="shared" si="6"/>
        <v>10125</v>
      </c>
      <c r="L974" s="705">
        <f t="shared" si="3"/>
        <v>46625</v>
      </c>
      <c r="M974" s="706">
        <f t="shared" si="5"/>
        <v>93.25</v>
      </c>
    </row>
    <row r="975">
      <c r="A975" s="702" t="s">
        <v>33543</v>
      </c>
      <c r="B975" s="702" t="s">
        <v>33551</v>
      </c>
      <c r="C975" s="707"/>
      <c r="D975" s="707"/>
      <c r="E975" s="708" t="s">
        <v>1910</v>
      </c>
      <c r="F975" s="709">
        <v>5000.0</v>
      </c>
      <c r="G975" s="708" t="s">
        <v>99</v>
      </c>
      <c r="H975" s="709">
        <v>15.0</v>
      </c>
      <c r="I975" s="709">
        <v>1500.0</v>
      </c>
      <c r="J975" s="705">
        <f t="shared" si="1"/>
        <v>76500</v>
      </c>
      <c r="K975" s="705">
        <f t="shared" si="6"/>
        <v>20125</v>
      </c>
      <c r="L975" s="705">
        <f t="shared" si="3"/>
        <v>96625</v>
      </c>
      <c r="M975" s="706">
        <f t="shared" si="5"/>
        <v>19.325</v>
      </c>
    </row>
    <row r="976">
      <c r="A976" s="702" t="s">
        <v>33552</v>
      </c>
      <c r="B976" s="702" t="s">
        <v>33553</v>
      </c>
      <c r="C976" s="707"/>
      <c r="D976" s="707"/>
      <c r="E976" s="708" t="s">
        <v>10433</v>
      </c>
      <c r="F976" s="709">
        <v>1000.0</v>
      </c>
      <c r="G976" s="708" t="s">
        <v>2682</v>
      </c>
      <c r="H976" s="709">
        <v>85.0</v>
      </c>
      <c r="I976" s="709">
        <v>2000.0</v>
      </c>
      <c r="J976" s="705">
        <f t="shared" si="1"/>
        <v>87000</v>
      </c>
      <c r="K976" s="705">
        <f t="shared" si="6"/>
        <v>22750</v>
      </c>
      <c r="L976" s="705">
        <f t="shared" si="3"/>
        <v>109750</v>
      </c>
      <c r="M976" s="706">
        <f t="shared" si="5"/>
        <v>109.75</v>
      </c>
    </row>
    <row r="977">
      <c r="A977" s="702" t="s">
        <v>33552</v>
      </c>
      <c r="B977" s="702" t="s">
        <v>33554</v>
      </c>
      <c r="C977" s="707"/>
      <c r="D977" s="707"/>
      <c r="E977" s="708"/>
      <c r="F977" s="709">
        <v>500.0</v>
      </c>
      <c r="G977" s="708" t="s">
        <v>196</v>
      </c>
      <c r="H977" s="709">
        <v>76.0</v>
      </c>
      <c r="I977" s="709">
        <v>1000.0</v>
      </c>
      <c r="J977" s="705">
        <f t="shared" si="1"/>
        <v>39000</v>
      </c>
      <c r="K977" s="705">
        <f t="shared" si="6"/>
        <v>10750</v>
      </c>
      <c r="L977" s="705">
        <f t="shared" si="3"/>
        <v>49750</v>
      </c>
      <c r="M977" s="706">
        <f t="shared" si="5"/>
        <v>99.5</v>
      </c>
    </row>
    <row r="978">
      <c r="A978" s="702" t="s">
        <v>33552</v>
      </c>
      <c r="B978" s="702" t="s">
        <v>33555</v>
      </c>
      <c r="C978" s="707"/>
      <c r="D978" s="707"/>
      <c r="E978" s="708" t="s">
        <v>3341</v>
      </c>
      <c r="F978" s="709">
        <v>1000.0</v>
      </c>
      <c r="G978" s="708" t="s">
        <v>29294</v>
      </c>
      <c r="H978" s="709">
        <v>14.0</v>
      </c>
      <c r="I978" s="709">
        <v>1500.0</v>
      </c>
      <c r="J978" s="705">
        <f t="shared" si="1"/>
        <v>15500</v>
      </c>
      <c r="K978" s="705">
        <f t="shared" si="6"/>
        <v>4875</v>
      </c>
      <c r="L978" s="705">
        <f t="shared" si="3"/>
        <v>20375</v>
      </c>
      <c r="M978" s="706">
        <f t="shared" si="5"/>
        <v>20.375</v>
      </c>
    </row>
    <row r="979">
      <c r="A979" s="702" t="s">
        <v>33552</v>
      </c>
      <c r="B979" s="702" t="s">
        <v>33556</v>
      </c>
      <c r="C979" s="707"/>
      <c r="D979" s="707"/>
      <c r="E979" s="708" t="s">
        <v>9187</v>
      </c>
      <c r="F979" s="709">
        <v>500.0</v>
      </c>
      <c r="G979" s="708" t="s">
        <v>29294</v>
      </c>
      <c r="H979" s="709">
        <v>5.0</v>
      </c>
      <c r="I979" s="709">
        <v>1000.0</v>
      </c>
      <c r="J979" s="705">
        <f t="shared" si="1"/>
        <v>3500</v>
      </c>
      <c r="K979" s="705">
        <f t="shared" si="6"/>
        <v>1875</v>
      </c>
      <c r="L979" s="705">
        <f t="shared" si="3"/>
        <v>5375</v>
      </c>
      <c r="M979" s="706">
        <f t="shared" si="5"/>
        <v>10.75</v>
      </c>
    </row>
    <row r="980">
      <c r="A980" s="702" t="s">
        <v>33557</v>
      </c>
      <c r="B980" s="702" t="s">
        <v>33558</v>
      </c>
      <c r="C980" s="707"/>
      <c r="D980" s="707"/>
      <c r="E980" s="708" t="s">
        <v>10409</v>
      </c>
      <c r="F980" s="709">
        <v>2000.0</v>
      </c>
      <c r="G980" s="708" t="s">
        <v>742</v>
      </c>
      <c r="H980" s="709">
        <v>24.0</v>
      </c>
      <c r="I980" s="709">
        <v>2000.0</v>
      </c>
      <c r="J980" s="705">
        <f t="shared" si="1"/>
        <v>50000</v>
      </c>
      <c r="K980" s="705">
        <f t="shared" si="6"/>
        <v>13500</v>
      </c>
      <c r="L980" s="705">
        <f t="shared" si="3"/>
        <v>63500</v>
      </c>
      <c r="M980" s="706">
        <f t="shared" si="5"/>
        <v>31.75</v>
      </c>
    </row>
    <row r="981">
      <c r="A981" s="702" t="s">
        <v>33557</v>
      </c>
      <c r="B981" s="702" t="s">
        <v>33559</v>
      </c>
      <c r="C981" s="707"/>
      <c r="D981" s="707"/>
      <c r="E981" s="708" t="s">
        <v>7366</v>
      </c>
      <c r="F981" s="709">
        <v>100000.0</v>
      </c>
      <c r="G981" s="708" t="s">
        <v>519</v>
      </c>
      <c r="H981" s="709">
        <v>31.0</v>
      </c>
      <c r="I981" s="705"/>
      <c r="J981" s="705">
        <f t="shared" si="1"/>
        <v>3100000</v>
      </c>
      <c r="K981" s="705">
        <f t="shared" ref="K981:K1468" si="7">(1000+J981*5%)</f>
        <v>156000</v>
      </c>
      <c r="L981" s="705">
        <f t="shared" si="3"/>
        <v>3256000</v>
      </c>
      <c r="M981" s="706">
        <f t="shared" si="5"/>
        <v>32.56</v>
      </c>
    </row>
    <row r="982">
      <c r="A982" s="702" t="s">
        <v>33557</v>
      </c>
      <c r="B982" s="702" t="s">
        <v>33560</v>
      </c>
      <c r="C982" s="707"/>
      <c r="D982" s="707"/>
      <c r="E982" s="708" t="s">
        <v>87</v>
      </c>
      <c r="F982" s="709">
        <v>25000.0</v>
      </c>
      <c r="G982" s="708" t="s">
        <v>29294</v>
      </c>
      <c r="H982" s="709">
        <v>33.5</v>
      </c>
      <c r="I982" s="705"/>
      <c r="J982" s="705">
        <f t="shared" si="1"/>
        <v>837500</v>
      </c>
      <c r="K982" s="705">
        <f t="shared" si="7"/>
        <v>42875</v>
      </c>
      <c r="L982" s="705">
        <f t="shared" si="3"/>
        <v>880375</v>
      </c>
      <c r="M982" s="706">
        <f t="shared" si="5"/>
        <v>35.215</v>
      </c>
    </row>
    <row r="983">
      <c r="A983" s="702" t="s">
        <v>33557</v>
      </c>
      <c r="B983" s="702" t="s">
        <v>33561</v>
      </c>
      <c r="C983" s="707"/>
      <c r="D983" s="707"/>
      <c r="E983" s="708" t="s">
        <v>92</v>
      </c>
      <c r="F983" s="709">
        <v>200.0</v>
      </c>
      <c r="G983" s="708" t="s">
        <v>20765</v>
      </c>
      <c r="H983" s="709">
        <v>65.0</v>
      </c>
      <c r="I983" s="709">
        <v>1000.0</v>
      </c>
      <c r="J983" s="705">
        <f t="shared" si="1"/>
        <v>14000</v>
      </c>
      <c r="K983" s="705">
        <f t="shared" si="7"/>
        <v>1700</v>
      </c>
      <c r="L983" s="705">
        <f t="shared" si="3"/>
        <v>15700</v>
      </c>
      <c r="M983" s="706">
        <f t="shared" si="5"/>
        <v>78.5</v>
      </c>
    </row>
    <row r="984">
      <c r="A984" s="702" t="s">
        <v>33557</v>
      </c>
      <c r="B984" s="702" t="s">
        <v>33562</v>
      </c>
      <c r="C984" s="707"/>
      <c r="D984" s="707"/>
      <c r="E984" s="708" t="s">
        <v>33563</v>
      </c>
      <c r="F984" s="709">
        <v>200.0</v>
      </c>
      <c r="G984" s="708" t="s">
        <v>20765</v>
      </c>
      <c r="H984" s="709">
        <v>360.0</v>
      </c>
      <c r="I984" s="709">
        <v>1500.0</v>
      </c>
      <c r="J984" s="705">
        <f t="shared" si="1"/>
        <v>73500</v>
      </c>
      <c r="K984" s="705">
        <f t="shared" si="7"/>
        <v>4675</v>
      </c>
      <c r="L984" s="705">
        <f t="shared" si="3"/>
        <v>78175</v>
      </c>
      <c r="M984" s="706">
        <f t="shared" si="5"/>
        <v>390.875</v>
      </c>
    </row>
    <row r="985">
      <c r="A985" s="702" t="s">
        <v>33557</v>
      </c>
      <c r="B985" s="702" t="s">
        <v>33564</v>
      </c>
      <c r="C985" s="707"/>
      <c r="D985" s="707"/>
      <c r="E985" s="708" t="s">
        <v>8931</v>
      </c>
      <c r="F985" s="709">
        <v>2000.0</v>
      </c>
      <c r="G985" s="708" t="s">
        <v>2882</v>
      </c>
      <c r="H985" s="709">
        <v>192.0</v>
      </c>
      <c r="I985" s="709">
        <v>2000.0</v>
      </c>
      <c r="J985" s="705">
        <f t="shared" si="1"/>
        <v>386000</v>
      </c>
      <c r="K985" s="705">
        <f t="shared" si="7"/>
        <v>20300</v>
      </c>
      <c r="L985" s="705">
        <f t="shared" si="3"/>
        <v>406300</v>
      </c>
      <c r="M985" s="706">
        <f t="shared" si="5"/>
        <v>203.15</v>
      </c>
    </row>
    <row r="986">
      <c r="A986" s="702" t="s">
        <v>33557</v>
      </c>
      <c r="B986" s="702" t="s">
        <v>33565</v>
      </c>
      <c r="C986" s="707"/>
      <c r="D986" s="707"/>
      <c r="E986" s="708" t="s">
        <v>1000</v>
      </c>
      <c r="F986" s="709">
        <v>10000.0</v>
      </c>
      <c r="G986" s="708" t="s">
        <v>44</v>
      </c>
      <c r="H986" s="709">
        <v>41.0</v>
      </c>
      <c r="I986" s="705"/>
      <c r="J986" s="705">
        <f t="shared" si="1"/>
        <v>410000</v>
      </c>
      <c r="K986" s="705">
        <f t="shared" si="7"/>
        <v>21500</v>
      </c>
      <c r="L986" s="705">
        <f t="shared" si="3"/>
        <v>431500</v>
      </c>
      <c r="M986" s="706">
        <f t="shared" si="5"/>
        <v>43.15</v>
      </c>
    </row>
    <row r="987">
      <c r="A987" s="702" t="s">
        <v>33557</v>
      </c>
      <c r="B987" s="702" t="s">
        <v>33566</v>
      </c>
      <c r="C987" s="707"/>
      <c r="D987" s="707"/>
      <c r="E987" s="708" t="s">
        <v>43</v>
      </c>
      <c r="F987" s="709">
        <v>28000.0</v>
      </c>
      <c r="G987" s="708" t="s">
        <v>44</v>
      </c>
      <c r="H987" s="709">
        <v>6.1</v>
      </c>
      <c r="I987" s="705"/>
      <c r="J987" s="705">
        <f t="shared" si="1"/>
        <v>170800</v>
      </c>
      <c r="K987" s="705">
        <f t="shared" si="7"/>
        <v>9540</v>
      </c>
      <c r="L987" s="705">
        <f t="shared" si="3"/>
        <v>180340</v>
      </c>
      <c r="M987" s="706">
        <f t="shared" si="5"/>
        <v>6.440714286</v>
      </c>
    </row>
    <row r="988">
      <c r="A988" s="702" t="s">
        <v>33557</v>
      </c>
      <c r="B988" s="702" t="s">
        <v>33567</v>
      </c>
      <c r="C988" s="707"/>
      <c r="D988" s="707"/>
      <c r="E988" s="708" t="s">
        <v>6311</v>
      </c>
      <c r="F988" s="709">
        <v>3000.0</v>
      </c>
      <c r="G988" s="708" t="s">
        <v>44</v>
      </c>
      <c r="H988" s="709">
        <v>4.5</v>
      </c>
      <c r="I988" s="709">
        <v>3000.0</v>
      </c>
      <c r="J988" s="705">
        <f t="shared" si="1"/>
        <v>16500</v>
      </c>
      <c r="K988" s="705">
        <f t="shared" si="7"/>
        <v>1825</v>
      </c>
      <c r="L988" s="705">
        <f t="shared" si="3"/>
        <v>18325</v>
      </c>
      <c r="M988" s="706">
        <f t="shared" si="5"/>
        <v>6.108333333</v>
      </c>
    </row>
    <row r="989">
      <c r="A989" s="702" t="s">
        <v>33557</v>
      </c>
      <c r="B989" s="702" t="s">
        <v>33568</v>
      </c>
      <c r="C989" s="707"/>
      <c r="D989" s="707"/>
      <c r="E989" s="708" t="s">
        <v>19567</v>
      </c>
      <c r="F989" s="709">
        <v>2000.0</v>
      </c>
      <c r="G989" s="708" t="s">
        <v>1461</v>
      </c>
      <c r="H989" s="709">
        <v>11.0</v>
      </c>
      <c r="I989" s="709">
        <v>2000.0</v>
      </c>
      <c r="J989" s="705">
        <f t="shared" si="1"/>
        <v>24000</v>
      </c>
      <c r="K989" s="705">
        <f t="shared" si="7"/>
        <v>2200</v>
      </c>
      <c r="L989" s="705">
        <f t="shared" si="3"/>
        <v>26200</v>
      </c>
      <c r="M989" s="706">
        <f t="shared" si="5"/>
        <v>13.1</v>
      </c>
    </row>
    <row r="990">
      <c r="A990" s="702" t="s">
        <v>33557</v>
      </c>
      <c r="B990" s="702" t="s">
        <v>33569</v>
      </c>
      <c r="C990" s="707"/>
      <c r="D990" s="707"/>
      <c r="E990" s="708" t="s">
        <v>33570</v>
      </c>
      <c r="F990" s="709">
        <v>1000.0</v>
      </c>
      <c r="G990" s="708" t="s">
        <v>20765</v>
      </c>
      <c r="H990" s="709">
        <v>4.4</v>
      </c>
      <c r="I990" s="709">
        <v>1000.0</v>
      </c>
      <c r="J990" s="705">
        <f t="shared" si="1"/>
        <v>5400</v>
      </c>
      <c r="K990" s="705">
        <f t="shared" si="7"/>
        <v>1270</v>
      </c>
      <c r="L990" s="705">
        <f t="shared" si="3"/>
        <v>6670</v>
      </c>
      <c r="M990" s="706">
        <f t="shared" si="5"/>
        <v>6.67</v>
      </c>
    </row>
    <row r="991">
      <c r="A991" s="702" t="s">
        <v>33571</v>
      </c>
      <c r="B991" s="702" t="s">
        <v>33572</v>
      </c>
      <c r="C991" s="707"/>
      <c r="D991" s="707"/>
      <c r="E991" s="708" t="s">
        <v>33573</v>
      </c>
      <c r="F991" s="709">
        <v>200.0</v>
      </c>
      <c r="G991" s="708" t="s">
        <v>33574</v>
      </c>
      <c r="H991" s="709">
        <v>160.0</v>
      </c>
      <c r="I991" s="709">
        <v>500.0</v>
      </c>
      <c r="J991" s="705">
        <f t="shared" si="1"/>
        <v>32500</v>
      </c>
      <c r="K991" s="705">
        <f t="shared" si="7"/>
        <v>2625</v>
      </c>
      <c r="L991" s="705">
        <f t="shared" si="3"/>
        <v>35125</v>
      </c>
      <c r="M991" s="706">
        <f t="shared" si="5"/>
        <v>175.625</v>
      </c>
    </row>
    <row r="992">
      <c r="A992" s="702" t="s">
        <v>33571</v>
      </c>
      <c r="B992" s="702" t="s">
        <v>33575</v>
      </c>
      <c r="C992" s="707"/>
      <c r="D992" s="707"/>
      <c r="E992" s="708" t="s">
        <v>9682</v>
      </c>
      <c r="F992" s="709">
        <v>10000.0</v>
      </c>
      <c r="G992" s="708" t="s">
        <v>20765</v>
      </c>
      <c r="H992" s="709">
        <v>11.0</v>
      </c>
      <c r="I992" s="705"/>
      <c r="J992" s="705">
        <f t="shared" si="1"/>
        <v>110000</v>
      </c>
      <c r="K992" s="705">
        <f t="shared" si="7"/>
        <v>6500</v>
      </c>
      <c r="L992" s="705">
        <f t="shared" si="3"/>
        <v>116500</v>
      </c>
      <c r="M992" s="706">
        <f t="shared" si="5"/>
        <v>11.65</v>
      </c>
    </row>
    <row r="993">
      <c r="A993" s="702" t="s">
        <v>33571</v>
      </c>
      <c r="B993" s="96" t="s">
        <v>33576</v>
      </c>
      <c r="C993" s="707"/>
      <c r="D993" s="707"/>
      <c r="E993" s="708" t="s">
        <v>841</v>
      </c>
      <c r="F993" s="709">
        <v>1000.0</v>
      </c>
      <c r="G993" s="708" t="s">
        <v>20765</v>
      </c>
      <c r="H993" s="709">
        <v>4.2</v>
      </c>
      <c r="I993" s="709">
        <v>1000.0</v>
      </c>
      <c r="J993" s="705">
        <f t="shared" si="1"/>
        <v>5200</v>
      </c>
      <c r="K993" s="705">
        <f t="shared" si="7"/>
        <v>1260</v>
      </c>
      <c r="L993" s="705">
        <f t="shared" si="3"/>
        <v>6460</v>
      </c>
      <c r="M993" s="706">
        <f t="shared" si="5"/>
        <v>6.46</v>
      </c>
    </row>
    <row r="994">
      <c r="A994" s="702" t="s">
        <v>33571</v>
      </c>
      <c r="B994" s="702" t="s">
        <v>33577</v>
      </c>
      <c r="C994" s="707"/>
      <c r="D994" s="707"/>
      <c r="E994" s="708" t="s">
        <v>1509</v>
      </c>
      <c r="F994" s="709">
        <v>25000.0</v>
      </c>
      <c r="G994" s="708" t="s">
        <v>33578</v>
      </c>
      <c r="H994" s="709">
        <v>5.6</v>
      </c>
      <c r="I994" s="705"/>
      <c r="J994" s="705">
        <f t="shared" si="1"/>
        <v>140000</v>
      </c>
      <c r="K994" s="705">
        <f t="shared" si="7"/>
        <v>8000</v>
      </c>
      <c r="L994" s="705">
        <f t="shared" si="3"/>
        <v>148000</v>
      </c>
      <c r="M994" s="706">
        <f t="shared" si="5"/>
        <v>5.92</v>
      </c>
    </row>
    <row r="995">
      <c r="A995" s="702" t="s">
        <v>33571</v>
      </c>
      <c r="B995" s="702" t="s">
        <v>33577</v>
      </c>
      <c r="C995" s="707"/>
      <c r="D995" s="707"/>
      <c r="E995" s="708" t="s">
        <v>18086</v>
      </c>
      <c r="F995" s="709">
        <v>25000.0</v>
      </c>
      <c r="G995" s="708" t="s">
        <v>33578</v>
      </c>
      <c r="H995" s="709">
        <v>4.5</v>
      </c>
      <c r="I995" s="705"/>
      <c r="J995" s="705">
        <f t="shared" si="1"/>
        <v>112500</v>
      </c>
      <c r="K995" s="705">
        <f t="shared" si="7"/>
        <v>6625</v>
      </c>
      <c r="L995" s="705">
        <f t="shared" si="3"/>
        <v>119125</v>
      </c>
      <c r="M995" s="706">
        <f t="shared" si="5"/>
        <v>4.765</v>
      </c>
    </row>
    <row r="996">
      <c r="A996" s="702" t="s">
        <v>33571</v>
      </c>
      <c r="B996" s="702" t="s">
        <v>33579</v>
      </c>
      <c r="C996" s="707"/>
      <c r="D996" s="707"/>
      <c r="E996" s="708" t="s">
        <v>15398</v>
      </c>
      <c r="F996" s="709">
        <v>40000.0</v>
      </c>
      <c r="G996" s="708" t="s">
        <v>20765</v>
      </c>
      <c r="H996" s="709">
        <v>5.6</v>
      </c>
      <c r="I996" s="705"/>
      <c r="J996" s="705">
        <f t="shared" si="1"/>
        <v>224000</v>
      </c>
      <c r="K996" s="705">
        <f t="shared" si="7"/>
        <v>12200</v>
      </c>
      <c r="L996" s="705">
        <f t="shared" si="3"/>
        <v>236200</v>
      </c>
      <c r="M996" s="706">
        <f t="shared" si="5"/>
        <v>5.905</v>
      </c>
    </row>
    <row r="997">
      <c r="A997" s="702" t="s">
        <v>33571</v>
      </c>
      <c r="B997" s="702" t="s">
        <v>33580</v>
      </c>
      <c r="C997" s="707"/>
      <c r="D997" s="707"/>
      <c r="E997" s="708" t="s">
        <v>152</v>
      </c>
      <c r="F997" s="709">
        <v>5000.0</v>
      </c>
      <c r="G997" s="708" t="s">
        <v>44</v>
      </c>
      <c r="H997" s="709">
        <v>21.0</v>
      </c>
      <c r="I997" s="709">
        <v>5000.0</v>
      </c>
      <c r="J997" s="705">
        <f t="shared" si="1"/>
        <v>110000</v>
      </c>
      <c r="K997" s="705">
        <f t="shared" si="7"/>
        <v>6500</v>
      </c>
      <c r="L997" s="705">
        <f t="shared" si="3"/>
        <v>116500</v>
      </c>
      <c r="M997" s="706">
        <f t="shared" si="5"/>
        <v>23.3</v>
      </c>
    </row>
    <row r="998">
      <c r="A998" s="702" t="s">
        <v>33581</v>
      </c>
      <c r="B998" s="702" t="s">
        <v>33582</v>
      </c>
      <c r="C998" s="707"/>
      <c r="D998" s="707"/>
      <c r="E998" s="708" t="s">
        <v>33583</v>
      </c>
      <c r="F998" s="709">
        <v>1000.0</v>
      </c>
      <c r="G998" s="708" t="s">
        <v>44</v>
      </c>
      <c r="H998" s="709">
        <v>36.0</v>
      </c>
      <c r="I998" s="709">
        <v>2000.0</v>
      </c>
      <c r="J998" s="705">
        <f t="shared" si="1"/>
        <v>38000</v>
      </c>
      <c r="K998" s="705">
        <f t="shared" si="7"/>
        <v>2900</v>
      </c>
      <c r="L998" s="705">
        <f t="shared" si="3"/>
        <v>40900</v>
      </c>
      <c r="M998" s="706">
        <f t="shared" si="5"/>
        <v>40.9</v>
      </c>
    </row>
    <row r="999">
      <c r="A999" s="702" t="s">
        <v>33581</v>
      </c>
      <c r="B999" s="702" t="s">
        <v>33584</v>
      </c>
      <c r="C999" s="707"/>
      <c r="D999" s="707"/>
      <c r="E999" s="708" t="s">
        <v>6275</v>
      </c>
      <c r="F999" s="709">
        <v>1000000.0</v>
      </c>
      <c r="G999" s="708" t="s">
        <v>184</v>
      </c>
      <c r="H999" s="709">
        <v>5.6</v>
      </c>
      <c r="I999" s="705"/>
      <c r="J999" s="705">
        <f t="shared" si="1"/>
        <v>5600000</v>
      </c>
      <c r="K999" s="705">
        <f t="shared" si="7"/>
        <v>281000</v>
      </c>
      <c r="L999" s="705">
        <f t="shared" si="3"/>
        <v>5881000</v>
      </c>
      <c r="M999" s="706">
        <f t="shared" si="5"/>
        <v>5.881</v>
      </c>
    </row>
    <row r="1000">
      <c r="A1000" s="702" t="s">
        <v>33581</v>
      </c>
      <c r="B1000" s="702" t="s">
        <v>33585</v>
      </c>
      <c r="C1000" s="707"/>
      <c r="D1000" s="707"/>
      <c r="E1000" s="708" t="s">
        <v>33586</v>
      </c>
      <c r="F1000" s="709">
        <v>2000.0</v>
      </c>
      <c r="G1000" s="708" t="s">
        <v>33587</v>
      </c>
      <c r="H1000" s="709">
        <v>36.0</v>
      </c>
      <c r="I1000" s="709">
        <v>2000.0</v>
      </c>
      <c r="J1000" s="705">
        <f t="shared" si="1"/>
        <v>74000</v>
      </c>
      <c r="K1000" s="705">
        <f t="shared" si="7"/>
        <v>4700</v>
      </c>
      <c r="L1000" s="705">
        <f t="shared" si="3"/>
        <v>78700</v>
      </c>
      <c r="M1000" s="706">
        <f t="shared" si="5"/>
        <v>39.35</v>
      </c>
    </row>
    <row r="1001">
      <c r="A1001" s="702" t="s">
        <v>33581</v>
      </c>
      <c r="B1001" s="702" t="s">
        <v>33588</v>
      </c>
      <c r="C1001" s="707"/>
      <c r="D1001" s="707"/>
      <c r="E1001" s="708" t="s">
        <v>33589</v>
      </c>
      <c r="F1001" s="709">
        <v>1000.0</v>
      </c>
      <c r="G1001" s="708" t="s">
        <v>20765</v>
      </c>
      <c r="H1001" s="709">
        <v>22.0</v>
      </c>
      <c r="I1001" s="709">
        <v>1000.0</v>
      </c>
      <c r="J1001" s="705">
        <f t="shared" si="1"/>
        <v>23000</v>
      </c>
      <c r="K1001" s="705">
        <f t="shared" si="7"/>
        <v>2150</v>
      </c>
      <c r="L1001" s="705">
        <f t="shared" si="3"/>
        <v>25150</v>
      </c>
      <c r="M1001" s="706">
        <f t="shared" si="5"/>
        <v>25.15</v>
      </c>
    </row>
    <row r="1002">
      <c r="A1002" s="702" t="s">
        <v>33581</v>
      </c>
      <c r="B1002" s="702" t="s">
        <v>33590</v>
      </c>
      <c r="C1002" s="707"/>
      <c r="D1002" s="707"/>
      <c r="E1002" s="708" t="s">
        <v>18379</v>
      </c>
      <c r="F1002" s="709">
        <v>3000.0</v>
      </c>
      <c r="G1002" s="708" t="s">
        <v>44</v>
      </c>
      <c r="H1002" s="709">
        <v>25.0</v>
      </c>
      <c r="I1002" s="709">
        <v>3000.0</v>
      </c>
      <c r="J1002" s="705">
        <f t="shared" si="1"/>
        <v>78000</v>
      </c>
      <c r="K1002" s="705">
        <f t="shared" si="7"/>
        <v>4900</v>
      </c>
      <c r="L1002" s="705">
        <f t="shared" si="3"/>
        <v>82900</v>
      </c>
      <c r="M1002" s="706">
        <f t="shared" si="5"/>
        <v>27.63333333</v>
      </c>
    </row>
    <row r="1003">
      <c r="A1003" s="702" t="s">
        <v>33581</v>
      </c>
      <c r="B1003" s="702" t="s">
        <v>33591</v>
      </c>
      <c r="C1003" s="707"/>
      <c r="D1003" s="707"/>
      <c r="E1003" s="708" t="s">
        <v>5203</v>
      </c>
      <c r="F1003" s="709">
        <v>1000000.0</v>
      </c>
      <c r="G1003" s="708" t="s">
        <v>44</v>
      </c>
      <c r="H1003" s="709">
        <v>3.96</v>
      </c>
      <c r="I1003" s="705"/>
      <c r="J1003" s="705">
        <f t="shared" si="1"/>
        <v>3960000</v>
      </c>
      <c r="K1003" s="705">
        <f t="shared" si="7"/>
        <v>199000</v>
      </c>
      <c r="L1003" s="705">
        <f t="shared" si="3"/>
        <v>4159000</v>
      </c>
      <c r="M1003" s="706">
        <f t="shared" si="5"/>
        <v>4.159</v>
      </c>
    </row>
    <row r="1004">
      <c r="A1004" s="702" t="s">
        <v>33581</v>
      </c>
      <c r="B1004" s="702" t="s">
        <v>33592</v>
      </c>
      <c r="C1004" s="707"/>
      <c r="D1004" s="707"/>
      <c r="E1004" s="720" t="s">
        <v>189</v>
      </c>
      <c r="F1004" s="709">
        <v>10000.0</v>
      </c>
      <c r="G1004" s="708" t="s">
        <v>44</v>
      </c>
      <c r="H1004" s="709">
        <v>6.0</v>
      </c>
      <c r="I1004" s="705"/>
      <c r="J1004" s="705">
        <f t="shared" si="1"/>
        <v>60000</v>
      </c>
      <c r="K1004" s="705">
        <f t="shared" si="7"/>
        <v>4000</v>
      </c>
      <c r="L1004" s="705">
        <f t="shared" si="3"/>
        <v>64000</v>
      </c>
      <c r="M1004" s="706">
        <f t="shared" si="5"/>
        <v>6.4</v>
      </c>
    </row>
    <row r="1005">
      <c r="A1005" s="702" t="s">
        <v>33581</v>
      </c>
      <c r="B1005" s="702" t="s">
        <v>33593</v>
      </c>
      <c r="C1005" s="707"/>
      <c r="D1005" s="707"/>
      <c r="E1005" s="708" t="s">
        <v>33594</v>
      </c>
      <c r="F1005" s="709">
        <v>200.0</v>
      </c>
      <c r="G1005" s="708" t="s">
        <v>519</v>
      </c>
      <c r="H1005" s="709">
        <v>45.0</v>
      </c>
      <c r="I1005" s="709">
        <v>500.0</v>
      </c>
      <c r="J1005" s="705">
        <f t="shared" si="1"/>
        <v>9500</v>
      </c>
      <c r="K1005" s="705">
        <f t="shared" si="7"/>
        <v>1475</v>
      </c>
      <c r="L1005" s="705">
        <f t="shared" si="3"/>
        <v>10975</v>
      </c>
      <c r="M1005" s="706">
        <f t="shared" si="5"/>
        <v>54.875</v>
      </c>
    </row>
    <row r="1006">
      <c r="A1006" s="702" t="s">
        <v>33581</v>
      </c>
      <c r="B1006" s="702" t="s">
        <v>33595</v>
      </c>
      <c r="C1006" s="707"/>
      <c r="D1006" s="707"/>
      <c r="E1006" s="708" t="s">
        <v>7700</v>
      </c>
      <c r="F1006" s="709">
        <v>1000.0</v>
      </c>
      <c r="G1006" s="708" t="s">
        <v>507</v>
      </c>
      <c r="H1006" s="709">
        <v>0.9</v>
      </c>
      <c r="I1006" s="709">
        <v>500.0</v>
      </c>
      <c r="J1006" s="705">
        <f t="shared" si="1"/>
        <v>1400</v>
      </c>
      <c r="K1006" s="705">
        <f t="shared" si="7"/>
        <v>1070</v>
      </c>
      <c r="L1006" s="705">
        <f t="shared" si="3"/>
        <v>2470</v>
      </c>
      <c r="M1006" s="706">
        <f t="shared" si="5"/>
        <v>2.47</v>
      </c>
    </row>
    <row r="1007">
      <c r="A1007" s="702" t="s">
        <v>33581</v>
      </c>
      <c r="B1007" s="702" t="s">
        <v>33596</v>
      </c>
      <c r="C1007" s="707"/>
      <c r="D1007" s="707"/>
      <c r="E1007" s="708" t="s">
        <v>7700</v>
      </c>
      <c r="F1007" s="709">
        <v>50000.0</v>
      </c>
      <c r="G1007" s="708" t="s">
        <v>44</v>
      </c>
      <c r="H1007" s="709">
        <v>0.9</v>
      </c>
      <c r="I1007" s="705"/>
      <c r="J1007" s="705">
        <f t="shared" si="1"/>
        <v>45000</v>
      </c>
      <c r="K1007" s="705">
        <f t="shared" si="7"/>
        <v>3250</v>
      </c>
      <c r="L1007" s="705">
        <f t="shared" si="3"/>
        <v>48250</v>
      </c>
      <c r="M1007" s="706">
        <f t="shared" si="5"/>
        <v>0.965</v>
      </c>
    </row>
    <row r="1008">
      <c r="A1008" s="702" t="s">
        <v>33581</v>
      </c>
      <c r="B1008" s="702" t="s">
        <v>33597</v>
      </c>
      <c r="C1008" s="707"/>
      <c r="D1008" s="707"/>
      <c r="E1008" s="708" t="s">
        <v>22</v>
      </c>
      <c r="F1008" s="709">
        <v>7000.0</v>
      </c>
      <c r="G1008" s="708" t="s">
        <v>44</v>
      </c>
      <c r="H1008" s="709">
        <v>22.0</v>
      </c>
      <c r="I1008" s="709">
        <v>1000.0</v>
      </c>
      <c r="J1008" s="705">
        <f t="shared" si="1"/>
        <v>155000</v>
      </c>
      <c r="K1008" s="705">
        <f t="shared" si="7"/>
        <v>8750</v>
      </c>
      <c r="L1008" s="705">
        <f t="shared" si="3"/>
        <v>163750</v>
      </c>
      <c r="M1008" s="706">
        <f t="shared" si="5"/>
        <v>23.39285714</v>
      </c>
    </row>
    <row r="1009">
      <c r="A1009" s="702" t="s">
        <v>33581</v>
      </c>
      <c r="B1009" s="702" t="s">
        <v>33598</v>
      </c>
      <c r="C1009" s="707"/>
      <c r="D1009" s="707"/>
      <c r="E1009" s="708" t="s">
        <v>33599</v>
      </c>
      <c r="F1009" s="709">
        <v>300.0</v>
      </c>
      <c r="G1009" s="708" t="s">
        <v>507</v>
      </c>
      <c r="H1009" s="709">
        <v>180.0</v>
      </c>
      <c r="I1009" s="709">
        <v>500.0</v>
      </c>
      <c r="J1009" s="705">
        <f t="shared" si="1"/>
        <v>54500</v>
      </c>
      <c r="K1009" s="705">
        <f t="shared" si="7"/>
        <v>3725</v>
      </c>
      <c r="L1009" s="705">
        <f t="shared" si="3"/>
        <v>58225</v>
      </c>
      <c r="M1009" s="706">
        <f t="shared" si="5"/>
        <v>194.0833333</v>
      </c>
    </row>
    <row r="1010">
      <c r="A1010" s="702" t="s">
        <v>33600</v>
      </c>
      <c r="B1010" s="702" t="s">
        <v>33601</v>
      </c>
      <c r="C1010" s="707"/>
      <c r="D1010" s="707"/>
      <c r="E1010" s="708" t="s">
        <v>222</v>
      </c>
      <c r="F1010" s="709">
        <v>400.0</v>
      </c>
      <c r="G1010" s="708" t="s">
        <v>44</v>
      </c>
      <c r="H1010" s="709">
        <v>3.2</v>
      </c>
      <c r="I1010" s="709">
        <v>1000.0</v>
      </c>
      <c r="J1010" s="705">
        <f t="shared" si="1"/>
        <v>2280</v>
      </c>
      <c r="K1010" s="705">
        <f t="shared" si="7"/>
        <v>1114</v>
      </c>
      <c r="L1010" s="705">
        <f t="shared" si="3"/>
        <v>3394</v>
      </c>
      <c r="M1010" s="706">
        <f t="shared" si="5"/>
        <v>8.485</v>
      </c>
    </row>
    <row r="1011">
      <c r="A1011" s="702" t="s">
        <v>33600</v>
      </c>
      <c r="B1011" s="702" t="s">
        <v>33602</v>
      </c>
      <c r="C1011" s="707"/>
      <c r="D1011" s="707"/>
      <c r="E1011" s="708" t="s">
        <v>3918</v>
      </c>
      <c r="F1011" s="709">
        <v>200.0</v>
      </c>
      <c r="G1011" s="708" t="s">
        <v>44</v>
      </c>
      <c r="H1011" s="709">
        <v>38.0</v>
      </c>
      <c r="I1011" s="709">
        <v>500.0</v>
      </c>
      <c r="J1011" s="705">
        <f t="shared" si="1"/>
        <v>8100</v>
      </c>
      <c r="K1011" s="705">
        <f t="shared" si="7"/>
        <v>1405</v>
      </c>
      <c r="L1011" s="705">
        <f t="shared" si="3"/>
        <v>9505</v>
      </c>
      <c r="M1011" s="706">
        <f t="shared" si="5"/>
        <v>47.525</v>
      </c>
    </row>
    <row r="1012">
      <c r="A1012" s="702" t="s">
        <v>33600</v>
      </c>
      <c r="B1012" s="702" t="s">
        <v>33602</v>
      </c>
      <c r="C1012" s="707"/>
      <c r="D1012" s="707"/>
      <c r="E1012" s="708" t="s">
        <v>33603</v>
      </c>
      <c r="F1012" s="709">
        <v>200.0</v>
      </c>
      <c r="G1012" s="708" t="s">
        <v>44</v>
      </c>
      <c r="H1012" s="709">
        <v>135.0</v>
      </c>
      <c r="I1012" s="709">
        <v>500.0</v>
      </c>
      <c r="J1012" s="705">
        <f t="shared" si="1"/>
        <v>27500</v>
      </c>
      <c r="K1012" s="705">
        <f t="shared" si="7"/>
        <v>2375</v>
      </c>
      <c r="L1012" s="705">
        <f t="shared" si="3"/>
        <v>29875</v>
      </c>
      <c r="M1012" s="706">
        <f t="shared" si="5"/>
        <v>149.375</v>
      </c>
    </row>
    <row r="1013">
      <c r="A1013" s="702" t="s">
        <v>33600</v>
      </c>
      <c r="B1013" s="702" t="s">
        <v>33604</v>
      </c>
      <c r="C1013" s="707"/>
      <c r="D1013" s="707"/>
      <c r="E1013" s="708" t="s">
        <v>6323</v>
      </c>
      <c r="F1013" s="709">
        <v>4000.0</v>
      </c>
      <c r="G1013" s="708" t="s">
        <v>507</v>
      </c>
      <c r="H1013" s="709">
        <v>38.0</v>
      </c>
      <c r="I1013" s="709">
        <v>4000.0</v>
      </c>
      <c r="J1013" s="705">
        <f t="shared" si="1"/>
        <v>156000</v>
      </c>
      <c r="K1013" s="705">
        <f t="shared" si="7"/>
        <v>8800</v>
      </c>
      <c r="L1013" s="705">
        <f t="shared" si="3"/>
        <v>164800</v>
      </c>
      <c r="M1013" s="706">
        <f t="shared" si="5"/>
        <v>41.2</v>
      </c>
    </row>
    <row r="1014">
      <c r="A1014" s="702" t="s">
        <v>33600</v>
      </c>
      <c r="B1014" s="702" t="s">
        <v>33605</v>
      </c>
      <c r="C1014" s="707"/>
      <c r="D1014" s="707"/>
      <c r="E1014" s="708" t="s">
        <v>794</v>
      </c>
      <c r="F1014" s="709">
        <v>1000.0</v>
      </c>
      <c r="G1014" s="708" t="s">
        <v>44</v>
      </c>
      <c r="H1014" s="709">
        <v>4.4</v>
      </c>
      <c r="I1014" s="709">
        <v>1000.0</v>
      </c>
      <c r="J1014" s="705">
        <f t="shared" si="1"/>
        <v>5400</v>
      </c>
      <c r="K1014" s="705">
        <f t="shared" si="7"/>
        <v>1270</v>
      </c>
      <c r="L1014" s="705">
        <f t="shared" si="3"/>
        <v>6670</v>
      </c>
      <c r="M1014" s="706">
        <f t="shared" si="5"/>
        <v>6.67</v>
      </c>
    </row>
    <row r="1015">
      <c r="A1015" s="702" t="s">
        <v>33600</v>
      </c>
      <c r="B1015" s="702" t="s">
        <v>33606</v>
      </c>
      <c r="C1015" s="707"/>
      <c r="D1015" s="707"/>
      <c r="E1015" s="708" t="s">
        <v>130</v>
      </c>
      <c r="F1015" s="709">
        <v>5000.0</v>
      </c>
      <c r="G1015" s="708" t="s">
        <v>44</v>
      </c>
      <c r="H1015" s="709">
        <v>25.0</v>
      </c>
      <c r="I1015" s="709">
        <v>5000.0</v>
      </c>
      <c r="J1015" s="705">
        <f t="shared" si="1"/>
        <v>130000</v>
      </c>
      <c r="K1015" s="705">
        <f t="shared" si="7"/>
        <v>7500</v>
      </c>
      <c r="L1015" s="705">
        <f t="shared" si="3"/>
        <v>137500</v>
      </c>
      <c r="M1015" s="706">
        <f t="shared" si="5"/>
        <v>27.5</v>
      </c>
    </row>
    <row r="1016">
      <c r="A1016" s="702" t="s">
        <v>33600</v>
      </c>
      <c r="B1016" s="702" t="s">
        <v>33607</v>
      </c>
      <c r="C1016" s="707"/>
      <c r="D1016" s="707"/>
      <c r="E1016" s="708" t="s">
        <v>1373</v>
      </c>
      <c r="F1016" s="709">
        <v>100000.0</v>
      </c>
      <c r="G1016" s="708" t="s">
        <v>20765</v>
      </c>
      <c r="H1016" s="709">
        <v>13.2</v>
      </c>
      <c r="I1016" s="705"/>
      <c r="J1016" s="705">
        <f t="shared" si="1"/>
        <v>1320000</v>
      </c>
      <c r="K1016" s="705">
        <f t="shared" si="7"/>
        <v>67000</v>
      </c>
      <c r="L1016" s="705">
        <f t="shared" si="3"/>
        <v>1387000</v>
      </c>
      <c r="M1016" s="706">
        <f t="shared" si="5"/>
        <v>13.87</v>
      </c>
    </row>
    <row r="1017">
      <c r="A1017" s="702" t="s">
        <v>33608</v>
      </c>
      <c r="B1017" s="702" t="s">
        <v>33609</v>
      </c>
      <c r="C1017" s="707"/>
      <c r="D1017" s="707"/>
      <c r="E1017" s="708" t="s">
        <v>8247</v>
      </c>
      <c r="F1017" s="709">
        <v>200.0</v>
      </c>
      <c r="G1017" s="708" t="s">
        <v>44</v>
      </c>
      <c r="H1017" s="709">
        <v>150.0</v>
      </c>
      <c r="I1017" s="709">
        <v>500.0</v>
      </c>
      <c r="J1017" s="705">
        <f t="shared" si="1"/>
        <v>30500</v>
      </c>
      <c r="K1017" s="705">
        <f t="shared" si="7"/>
        <v>2525</v>
      </c>
      <c r="L1017" s="705">
        <f t="shared" si="3"/>
        <v>33025</v>
      </c>
      <c r="M1017" s="706">
        <f t="shared" si="5"/>
        <v>165.125</v>
      </c>
    </row>
    <row r="1018">
      <c r="A1018" s="702" t="s">
        <v>33608</v>
      </c>
      <c r="B1018" s="702" t="s">
        <v>33610</v>
      </c>
      <c r="C1018" s="707"/>
      <c r="D1018" s="707"/>
      <c r="E1018" s="708" t="s">
        <v>5226</v>
      </c>
      <c r="F1018" s="709">
        <v>500.0</v>
      </c>
      <c r="G1018" s="708" t="s">
        <v>44</v>
      </c>
      <c r="H1018" s="709">
        <v>140.0</v>
      </c>
      <c r="I1018" s="709">
        <v>1000.0</v>
      </c>
      <c r="J1018" s="705">
        <f t="shared" si="1"/>
        <v>71000</v>
      </c>
      <c r="K1018" s="705">
        <f t="shared" si="7"/>
        <v>4550</v>
      </c>
      <c r="L1018" s="705">
        <f t="shared" si="3"/>
        <v>75550</v>
      </c>
      <c r="M1018" s="706">
        <f t="shared" si="5"/>
        <v>151.1</v>
      </c>
    </row>
    <row r="1019">
      <c r="A1019" s="702" t="s">
        <v>33608</v>
      </c>
      <c r="B1019" s="702" t="s">
        <v>33611</v>
      </c>
      <c r="C1019" s="707"/>
      <c r="D1019" s="707"/>
      <c r="E1019" s="708" t="s">
        <v>11430</v>
      </c>
      <c r="F1019" s="709">
        <v>500.0</v>
      </c>
      <c r="G1019" s="708" t="s">
        <v>44</v>
      </c>
      <c r="H1019" s="709">
        <v>25.0</v>
      </c>
      <c r="I1019" s="709">
        <v>1000.0</v>
      </c>
      <c r="J1019" s="705">
        <f t="shared" si="1"/>
        <v>13500</v>
      </c>
      <c r="K1019" s="705">
        <f t="shared" si="7"/>
        <v>1675</v>
      </c>
      <c r="L1019" s="705">
        <f t="shared" si="3"/>
        <v>15175</v>
      </c>
      <c r="M1019" s="706">
        <f t="shared" si="5"/>
        <v>30.35</v>
      </c>
    </row>
    <row r="1020">
      <c r="A1020" s="702" t="s">
        <v>33608</v>
      </c>
      <c r="B1020" s="702" t="s">
        <v>33612</v>
      </c>
      <c r="C1020" s="707"/>
      <c r="D1020" s="707"/>
      <c r="E1020" s="708" t="s">
        <v>3571</v>
      </c>
      <c r="F1020" s="709">
        <v>500000.0</v>
      </c>
      <c r="G1020" s="708" t="s">
        <v>44</v>
      </c>
      <c r="H1020" s="709">
        <v>24.0</v>
      </c>
      <c r="I1020" s="705"/>
      <c r="J1020" s="705">
        <f t="shared" si="1"/>
        <v>12000000</v>
      </c>
      <c r="K1020" s="705">
        <f t="shared" si="7"/>
        <v>601000</v>
      </c>
      <c r="L1020" s="705">
        <f t="shared" si="3"/>
        <v>12601000</v>
      </c>
      <c r="M1020" s="706">
        <f t="shared" si="5"/>
        <v>25.202</v>
      </c>
    </row>
    <row r="1021">
      <c r="A1021" s="702" t="s">
        <v>33613</v>
      </c>
      <c r="B1021" s="702" t="s">
        <v>33614</v>
      </c>
      <c r="C1021" s="707"/>
      <c r="D1021" s="707"/>
      <c r="E1021" s="708" t="s">
        <v>207</v>
      </c>
      <c r="F1021" s="709">
        <v>1000.0</v>
      </c>
      <c r="G1021" s="708" t="s">
        <v>20765</v>
      </c>
      <c r="H1021" s="709">
        <v>8.0</v>
      </c>
      <c r="I1021" s="709">
        <v>1000.0</v>
      </c>
      <c r="J1021" s="705">
        <f t="shared" si="1"/>
        <v>9000</v>
      </c>
      <c r="K1021" s="705">
        <f t="shared" si="7"/>
        <v>1450</v>
      </c>
      <c r="L1021" s="705">
        <f t="shared" si="3"/>
        <v>10450</v>
      </c>
      <c r="M1021" s="706">
        <f t="shared" si="5"/>
        <v>10.45</v>
      </c>
    </row>
    <row r="1022">
      <c r="A1022" s="702" t="s">
        <v>33613</v>
      </c>
      <c r="B1022" s="702" t="s">
        <v>33615</v>
      </c>
      <c r="C1022" s="707"/>
      <c r="D1022" s="707"/>
      <c r="E1022" s="708" t="s">
        <v>87</v>
      </c>
      <c r="F1022" s="709">
        <v>1000.0</v>
      </c>
      <c r="G1022" s="708" t="s">
        <v>44</v>
      </c>
      <c r="H1022" s="709">
        <v>33.5</v>
      </c>
      <c r="I1022" s="709">
        <v>1000.0</v>
      </c>
      <c r="J1022" s="705">
        <f t="shared" si="1"/>
        <v>34500</v>
      </c>
      <c r="K1022" s="705">
        <f t="shared" si="7"/>
        <v>2725</v>
      </c>
      <c r="L1022" s="705">
        <f t="shared" si="3"/>
        <v>37225</v>
      </c>
      <c r="M1022" s="706">
        <f t="shared" si="5"/>
        <v>37.225</v>
      </c>
    </row>
    <row r="1023">
      <c r="A1023" s="702" t="s">
        <v>33613</v>
      </c>
      <c r="B1023" s="702" t="s">
        <v>33616</v>
      </c>
      <c r="C1023" s="707"/>
      <c r="D1023" s="707"/>
      <c r="E1023" s="708" t="s">
        <v>8247</v>
      </c>
      <c r="F1023" s="709">
        <v>200.0</v>
      </c>
      <c r="G1023" s="708" t="s">
        <v>44</v>
      </c>
      <c r="H1023" s="709">
        <v>150.0</v>
      </c>
      <c r="I1023" s="709">
        <v>500.0</v>
      </c>
      <c r="J1023" s="705">
        <f t="shared" si="1"/>
        <v>30500</v>
      </c>
      <c r="K1023" s="705">
        <f t="shared" si="7"/>
        <v>2525</v>
      </c>
      <c r="L1023" s="705">
        <f t="shared" si="3"/>
        <v>33025</v>
      </c>
      <c r="M1023" s="706">
        <f t="shared" si="5"/>
        <v>165.125</v>
      </c>
      <c r="N1023" s="526" t="s">
        <v>33617</v>
      </c>
    </row>
    <row r="1024">
      <c r="A1024" s="702" t="s">
        <v>33613</v>
      </c>
      <c r="B1024" s="702" t="s">
        <v>33618</v>
      </c>
      <c r="C1024" s="707"/>
      <c r="D1024" s="707"/>
      <c r="E1024" s="708" t="s">
        <v>5756</v>
      </c>
      <c r="F1024" s="709">
        <v>25000.0</v>
      </c>
      <c r="G1024" s="708" t="s">
        <v>44</v>
      </c>
      <c r="H1024" s="709">
        <v>10.0</v>
      </c>
      <c r="I1024" s="705"/>
      <c r="J1024" s="705">
        <f t="shared" si="1"/>
        <v>250000</v>
      </c>
      <c r="K1024" s="705">
        <f t="shared" si="7"/>
        <v>13500</v>
      </c>
      <c r="L1024" s="705">
        <f t="shared" si="3"/>
        <v>263500</v>
      </c>
      <c r="M1024" s="706">
        <f t="shared" si="5"/>
        <v>10.54</v>
      </c>
      <c r="N1024" s="526" t="s">
        <v>33617</v>
      </c>
    </row>
    <row r="1025">
      <c r="A1025" s="702" t="s">
        <v>33613</v>
      </c>
      <c r="B1025" s="702" t="s">
        <v>33619</v>
      </c>
      <c r="C1025" s="707"/>
      <c r="D1025" s="707"/>
      <c r="E1025" s="708" t="s">
        <v>116</v>
      </c>
      <c r="F1025" s="709">
        <v>50000.0</v>
      </c>
      <c r="G1025" s="708" t="s">
        <v>507</v>
      </c>
      <c r="H1025" s="709">
        <v>69.0</v>
      </c>
      <c r="I1025" s="705"/>
      <c r="J1025" s="705">
        <f t="shared" si="1"/>
        <v>3450000</v>
      </c>
      <c r="K1025" s="705">
        <f t="shared" si="7"/>
        <v>173500</v>
      </c>
      <c r="L1025" s="705">
        <f t="shared" si="3"/>
        <v>3623500</v>
      </c>
      <c r="M1025" s="706">
        <f t="shared" si="5"/>
        <v>72.47</v>
      </c>
    </row>
    <row r="1026">
      <c r="A1026" s="702" t="s">
        <v>33613</v>
      </c>
      <c r="B1026" s="702" t="s">
        <v>33620</v>
      </c>
      <c r="C1026" s="707"/>
      <c r="D1026" s="707"/>
      <c r="E1026" s="708" t="s">
        <v>33621</v>
      </c>
      <c r="F1026" s="709">
        <v>500.0</v>
      </c>
      <c r="G1026" s="708" t="s">
        <v>20765</v>
      </c>
      <c r="H1026" s="709">
        <v>10.0</v>
      </c>
      <c r="I1026" s="709">
        <v>500.0</v>
      </c>
      <c r="J1026" s="705">
        <f t="shared" si="1"/>
        <v>5500</v>
      </c>
      <c r="K1026" s="705">
        <f t="shared" si="7"/>
        <v>1275</v>
      </c>
      <c r="L1026" s="705">
        <f t="shared" si="3"/>
        <v>6775</v>
      </c>
      <c r="M1026" s="706">
        <f t="shared" si="5"/>
        <v>13.55</v>
      </c>
    </row>
    <row r="1027">
      <c r="A1027" s="702" t="s">
        <v>33613</v>
      </c>
      <c r="B1027" s="702" t="s">
        <v>33622</v>
      </c>
      <c r="C1027" s="707"/>
      <c r="D1027" s="707"/>
      <c r="E1027" s="708" t="s">
        <v>9050</v>
      </c>
      <c r="F1027" s="709">
        <v>500.0</v>
      </c>
      <c r="G1027" s="708" t="s">
        <v>495</v>
      </c>
      <c r="H1027" s="709">
        <v>700.0</v>
      </c>
      <c r="I1027" s="709">
        <v>500.0</v>
      </c>
      <c r="J1027" s="705">
        <f t="shared" si="1"/>
        <v>350500</v>
      </c>
      <c r="K1027" s="705">
        <f t="shared" si="7"/>
        <v>18525</v>
      </c>
      <c r="L1027" s="705">
        <f t="shared" si="3"/>
        <v>369025</v>
      </c>
      <c r="M1027" s="706">
        <f t="shared" si="5"/>
        <v>738.05</v>
      </c>
    </row>
    <row r="1028">
      <c r="A1028" s="702" t="s">
        <v>33613</v>
      </c>
      <c r="B1028" s="96" t="s">
        <v>33623</v>
      </c>
      <c r="C1028" s="707"/>
      <c r="D1028" s="707"/>
      <c r="E1028" s="708" t="s">
        <v>33624</v>
      </c>
      <c r="F1028" s="709">
        <v>500.0</v>
      </c>
      <c r="G1028" s="708" t="s">
        <v>20765</v>
      </c>
      <c r="H1028" s="709">
        <v>32.0</v>
      </c>
      <c r="I1028" s="709">
        <v>1000.0</v>
      </c>
      <c r="J1028" s="705">
        <f t="shared" si="1"/>
        <v>17000</v>
      </c>
      <c r="K1028" s="705">
        <f t="shared" si="7"/>
        <v>1850</v>
      </c>
      <c r="L1028" s="705">
        <f t="shared" si="3"/>
        <v>18850</v>
      </c>
      <c r="M1028" s="706">
        <f t="shared" si="5"/>
        <v>37.7</v>
      </c>
    </row>
    <row r="1029">
      <c r="A1029" s="702" t="s">
        <v>33613</v>
      </c>
      <c r="B1029" s="702" t="s">
        <v>33625</v>
      </c>
      <c r="C1029" s="707"/>
      <c r="D1029" s="707"/>
      <c r="E1029" s="708" t="s">
        <v>10123</v>
      </c>
      <c r="F1029" s="709">
        <v>10000.0</v>
      </c>
      <c r="G1029" s="708" t="s">
        <v>2662</v>
      </c>
      <c r="H1029" s="709">
        <v>95.0</v>
      </c>
      <c r="I1029" s="705"/>
      <c r="J1029" s="705">
        <f t="shared" si="1"/>
        <v>950000</v>
      </c>
      <c r="K1029" s="705">
        <f t="shared" si="7"/>
        <v>48500</v>
      </c>
      <c r="L1029" s="705">
        <f t="shared" si="3"/>
        <v>998500</v>
      </c>
      <c r="M1029" s="706">
        <f t="shared" si="5"/>
        <v>99.85</v>
      </c>
    </row>
    <row r="1030">
      <c r="A1030" s="702" t="s">
        <v>33613</v>
      </c>
      <c r="B1030" s="702" t="s">
        <v>33626</v>
      </c>
      <c r="C1030" s="707"/>
      <c r="D1030" s="707"/>
      <c r="E1030" s="708" t="s">
        <v>17535</v>
      </c>
      <c r="F1030" s="709">
        <v>10000.0</v>
      </c>
      <c r="G1030" s="708" t="s">
        <v>507</v>
      </c>
      <c r="H1030" s="709">
        <v>68.0</v>
      </c>
      <c r="I1030" s="705"/>
      <c r="J1030" s="705">
        <f t="shared" si="1"/>
        <v>680000</v>
      </c>
      <c r="K1030" s="705">
        <f t="shared" si="7"/>
        <v>35000</v>
      </c>
      <c r="L1030" s="705">
        <f t="shared" si="3"/>
        <v>715000</v>
      </c>
      <c r="M1030" s="706">
        <f t="shared" si="5"/>
        <v>71.5</v>
      </c>
    </row>
    <row r="1031">
      <c r="A1031" s="702" t="s">
        <v>33613</v>
      </c>
      <c r="B1031" s="702" t="s">
        <v>33627</v>
      </c>
      <c r="C1031" s="707"/>
      <c r="D1031" s="707"/>
      <c r="E1031" s="708" t="s">
        <v>18653</v>
      </c>
      <c r="F1031" s="709">
        <v>20000.0</v>
      </c>
      <c r="G1031" s="708" t="s">
        <v>507</v>
      </c>
      <c r="H1031" s="709">
        <v>10.0</v>
      </c>
      <c r="I1031" s="705"/>
      <c r="J1031" s="705">
        <f t="shared" si="1"/>
        <v>200000</v>
      </c>
      <c r="K1031" s="705">
        <f t="shared" si="7"/>
        <v>11000</v>
      </c>
      <c r="L1031" s="705">
        <f t="shared" si="3"/>
        <v>211000</v>
      </c>
      <c r="M1031" s="706">
        <f t="shared" si="5"/>
        <v>10.55</v>
      </c>
    </row>
    <row r="1032">
      <c r="A1032" s="702" t="s">
        <v>33613</v>
      </c>
      <c r="B1032" s="702" t="s">
        <v>33628</v>
      </c>
      <c r="C1032" s="707"/>
      <c r="D1032" s="707"/>
      <c r="E1032" s="708" t="s">
        <v>7700</v>
      </c>
      <c r="F1032" s="709">
        <v>1000.0</v>
      </c>
      <c r="G1032" s="708" t="s">
        <v>33629</v>
      </c>
      <c r="H1032" s="709">
        <v>0.9</v>
      </c>
      <c r="I1032" s="709">
        <v>500.0</v>
      </c>
      <c r="J1032" s="705">
        <f t="shared" si="1"/>
        <v>1400</v>
      </c>
      <c r="K1032" s="705">
        <f t="shared" si="7"/>
        <v>1070</v>
      </c>
      <c r="L1032" s="705">
        <f t="shared" si="3"/>
        <v>2470</v>
      </c>
      <c r="M1032" s="706">
        <f t="shared" si="5"/>
        <v>2.47</v>
      </c>
    </row>
    <row r="1033">
      <c r="A1033" s="702" t="s">
        <v>33630</v>
      </c>
      <c r="B1033" s="702" t="s">
        <v>33631</v>
      </c>
      <c r="C1033" s="707"/>
      <c r="D1033" s="707"/>
      <c r="E1033" s="708" t="s">
        <v>18512</v>
      </c>
      <c r="F1033" s="709">
        <v>35000.0</v>
      </c>
      <c r="G1033" s="708" t="s">
        <v>20765</v>
      </c>
      <c r="H1033" s="709">
        <v>16.0</v>
      </c>
      <c r="I1033" s="705"/>
      <c r="J1033" s="705">
        <f t="shared" si="1"/>
        <v>560000</v>
      </c>
      <c r="K1033" s="705">
        <f t="shared" si="7"/>
        <v>29000</v>
      </c>
      <c r="L1033" s="705">
        <f t="shared" si="3"/>
        <v>589000</v>
      </c>
      <c r="M1033" s="706">
        <f t="shared" si="5"/>
        <v>16.82857143</v>
      </c>
    </row>
    <row r="1034">
      <c r="A1034" s="702" t="s">
        <v>33630</v>
      </c>
      <c r="B1034" s="702" t="s">
        <v>33632</v>
      </c>
      <c r="C1034" s="707"/>
      <c r="D1034" s="707"/>
      <c r="E1034" s="708" t="s">
        <v>3165</v>
      </c>
      <c r="F1034" s="709">
        <v>500.0</v>
      </c>
      <c r="G1034" s="708" t="s">
        <v>44</v>
      </c>
      <c r="H1034" s="709">
        <v>79.0</v>
      </c>
      <c r="I1034" s="709">
        <v>500.0</v>
      </c>
      <c r="J1034" s="705">
        <f t="shared" si="1"/>
        <v>40000</v>
      </c>
      <c r="K1034" s="705">
        <f t="shared" si="7"/>
        <v>3000</v>
      </c>
      <c r="L1034" s="705">
        <f t="shared" si="3"/>
        <v>43000</v>
      </c>
      <c r="M1034" s="706">
        <f t="shared" si="5"/>
        <v>86</v>
      </c>
    </row>
    <row r="1035">
      <c r="A1035" s="702" t="s">
        <v>33630</v>
      </c>
      <c r="B1035" s="702" t="s">
        <v>33633</v>
      </c>
      <c r="C1035" s="707"/>
      <c r="D1035" s="707"/>
      <c r="E1035" s="708" t="s">
        <v>167</v>
      </c>
      <c r="F1035" s="709">
        <v>2500.0</v>
      </c>
      <c r="G1035" s="708" t="s">
        <v>735</v>
      </c>
      <c r="H1035" s="709">
        <v>6.0</v>
      </c>
      <c r="I1035" s="705"/>
      <c r="J1035" s="705">
        <f t="shared" si="1"/>
        <v>15000</v>
      </c>
      <c r="K1035" s="705">
        <f t="shared" si="7"/>
        <v>1750</v>
      </c>
      <c r="L1035" s="705">
        <f t="shared" si="3"/>
        <v>16750</v>
      </c>
      <c r="M1035" s="706">
        <f t="shared" si="5"/>
        <v>6.7</v>
      </c>
    </row>
    <row r="1036">
      <c r="A1036" s="702" t="s">
        <v>33630</v>
      </c>
      <c r="B1036" s="702" t="s">
        <v>33634</v>
      </c>
      <c r="C1036" s="707"/>
      <c r="D1036" s="707"/>
      <c r="E1036" s="708" t="s">
        <v>10409</v>
      </c>
      <c r="F1036" s="709">
        <v>10000.0</v>
      </c>
      <c r="G1036" s="708" t="s">
        <v>507</v>
      </c>
      <c r="H1036" s="709">
        <v>22.0</v>
      </c>
      <c r="I1036" s="705"/>
      <c r="J1036" s="705">
        <f t="shared" si="1"/>
        <v>220000</v>
      </c>
      <c r="K1036" s="705">
        <f t="shared" si="7"/>
        <v>12000</v>
      </c>
      <c r="L1036" s="705">
        <f t="shared" si="3"/>
        <v>232000</v>
      </c>
      <c r="M1036" s="706">
        <f t="shared" si="5"/>
        <v>23.2</v>
      </c>
    </row>
    <row r="1037">
      <c r="A1037" s="702" t="s">
        <v>33630</v>
      </c>
      <c r="B1037" s="702" t="s">
        <v>33635</v>
      </c>
      <c r="C1037" s="707"/>
      <c r="D1037" s="707"/>
      <c r="E1037" s="708" t="s">
        <v>207</v>
      </c>
      <c r="F1037" s="709">
        <v>1000.0</v>
      </c>
      <c r="G1037" s="708" t="s">
        <v>20765</v>
      </c>
      <c r="H1037" s="709">
        <v>8.0</v>
      </c>
      <c r="I1037" s="709">
        <v>1500.0</v>
      </c>
      <c r="J1037" s="705">
        <f t="shared" si="1"/>
        <v>9500</v>
      </c>
      <c r="K1037" s="705">
        <f t="shared" si="7"/>
        <v>1475</v>
      </c>
      <c r="L1037" s="705">
        <f t="shared" si="3"/>
        <v>10975</v>
      </c>
      <c r="M1037" s="706">
        <f t="shared" si="5"/>
        <v>10.975</v>
      </c>
    </row>
    <row r="1038">
      <c r="A1038" s="702" t="s">
        <v>33630</v>
      </c>
      <c r="B1038" s="702" t="s">
        <v>33636</v>
      </c>
      <c r="C1038" s="707"/>
      <c r="D1038" s="707"/>
      <c r="E1038" s="708" t="s">
        <v>97</v>
      </c>
      <c r="F1038" s="709">
        <v>5000.0</v>
      </c>
      <c r="G1038" s="708" t="s">
        <v>44</v>
      </c>
      <c r="H1038" s="709">
        <v>12.0</v>
      </c>
      <c r="I1038" s="709">
        <v>5000.0</v>
      </c>
      <c r="J1038" s="705">
        <f t="shared" si="1"/>
        <v>65000</v>
      </c>
      <c r="K1038" s="705">
        <f t="shared" si="7"/>
        <v>4250</v>
      </c>
      <c r="L1038" s="705">
        <f t="shared" si="3"/>
        <v>69250</v>
      </c>
      <c r="M1038" s="706">
        <f t="shared" si="5"/>
        <v>13.85</v>
      </c>
    </row>
    <row r="1039">
      <c r="A1039" s="702" t="s">
        <v>33630</v>
      </c>
      <c r="B1039" s="702" t="s">
        <v>33637</v>
      </c>
      <c r="C1039" s="707"/>
      <c r="D1039" s="707"/>
      <c r="E1039" s="708" t="s">
        <v>189</v>
      </c>
      <c r="F1039" s="709">
        <v>5000.0</v>
      </c>
      <c r="G1039" s="708" t="s">
        <v>184</v>
      </c>
      <c r="H1039" s="709">
        <v>6.0</v>
      </c>
      <c r="I1039" s="705"/>
      <c r="J1039" s="705">
        <f t="shared" si="1"/>
        <v>30000</v>
      </c>
      <c r="K1039" s="705">
        <f t="shared" si="7"/>
        <v>2500</v>
      </c>
      <c r="L1039" s="705">
        <f t="shared" si="3"/>
        <v>32500</v>
      </c>
      <c r="M1039" s="706">
        <f t="shared" si="5"/>
        <v>6.5</v>
      </c>
    </row>
    <row r="1040">
      <c r="A1040" s="702" t="s">
        <v>33630</v>
      </c>
      <c r="B1040" s="702" t="s">
        <v>33638</v>
      </c>
      <c r="C1040" s="707"/>
      <c r="D1040" s="707"/>
      <c r="E1040" s="708" t="s">
        <v>130</v>
      </c>
      <c r="F1040" s="709">
        <v>1000.0</v>
      </c>
      <c r="G1040" s="708" t="s">
        <v>507</v>
      </c>
      <c r="H1040" s="709">
        <v>25.0</v>
      </c>
      <c r="I1040" s="709">
        <v>1000.0</v>
      </c>
      <c r="J1040" s="705">
        <f t="shared" si="1"/>
        <v>26000</v>
      </c>
      <c r="K1040" s="705">
        <f t="shared" si="7"/>
        <v>2300</v>
      </c>
      <c r="L1040" s="705">
        <f t="shared" si="3"/>
        <v>28300</v>
      </c>
      <c r="M1040" s="706">
        <f t="shared" si="5"/>
        <v>28.3</v>
      </c>
    </row>
    <row r="1041">
      <c r="A1041" s="702" t="s">
        <v>33630</v>
      </c>
      <c r="B1041" s="702" t="s">
        <v>33639</v>
      </c>
      <c r="C1041" s="707"/>
      <c r="D1041" s="707"/>
      <c r="E1041" s="708" t="s">
        <v>4171</v>
      </c>
      <c r="F1041" s="709">
        <v>1000.0</v>
      </c>
      <c r="G1041" s="708" t="s">
        <v>107</v>
      </c>
      <c r="H1041" s="709">
        <v>50.0</v>
      </c>
      <c r="I1041" s="709">
        <v>1000.0</v>
      </c>
      <c r="J1041" s="705">
        <f t="shared" si="1"/>
        <v>51000</v>
      </c>
      <c r="K1041" s="705">
        <f t="shared" si="7"/>
        <v>3550</v>
      </c>
      <c r="L1041" s="705">
        <f t="shared" si="3"/>
        <v>54550</v>
      </c>
      <c r="M1041" s="706">
        <f t="shared" si="5"/>
        <v>54.55</v>
      </c>
      <c r="N1041" s="526" t="s">
        <v>33329</v>
      </c>
    </row>
    <row r="1042">
      <c r="A1042" s="702" t="s">
        <v>33630</v>
      </c>
      <c r="B1042" s="702" t="s">
        <v>33640</v>
      </c>
      <c r="C1042" s="707"/>
      <c r="D1042" s="707"/>
      <c r="E1042" s="708" t="s">
        <v>3962</v>
      </c>
      <c r="F1042" s="709">
        <v>25000.0</v>
      </c>
      <c r="G1042" s="708" t="s">
        <v>44</v>
      </c>
      <c r="H1042" s="709">
        <v>6.0</v>
      </c>
      <c r="I1042" s="705"/>
      <c r="J1042" s="705">
        <f t="shared" si="1"/>
        <v>150000</v>
      </c>
      <c r="K1042" s="705">
        <f t="shared" si="7"/>
        <v>8500</v>
      </c>
      <c r="L1042" s="705">
        <f t="shared" si="3"/>
        <v>158500</v>
      </c>
      <c r="M1042" s="706">
        <f t="shared" si="5"/>
        <v>6.34</v>
      </c>
    </row>
    <row r="1043">
      <c r="A1043" s="702" t="s">
        <v>33630</v>
      </c>
      <c r="B1043" s="702" t="s">
        <v>33641</v>
      </c>
      <c r="C1043" s="707"/>
      <c r="D1043" s="707"/>
      <c r="E1043" s="708" t="s">
        <v>32788</v>
      </c>
      <c r="F1043" s="709">
        <v>10000.0</v>
      </c>
      <c r="G1043" s="708" t="s">
        <v>44</v>
      </c>
      <c r="H1043" s="709">
        <v>6.0</v>
      </c>
      <c r="I1043" s="705"/>
      <c r="J1043" s="705">
        <f t="shared" si="1"/>
        <v>60000</v>
      </c>
      <c r="K1043" s="705">
        <f t="shared" si="7"/>
        <v>4000</v>
      </c>
      <c r="L1043" s="705">
        <f t="shared" si="3"/>
        <v>64000</v>
      </c>
      <c r="M1043" s="706">
        <f t="shared" si="5"/>
        <v>6.4</v>
      </c>
    </row>
    <row r="1044">
      <c r="A1044" s="702" t="s">
        <v>33630</v>
      </c>
      <c r="B1044" s="702" t="s">
        <v>33642</v>
      </c>
      <c r="C1044" s="707"/>
      <c r="D1044" s="707"/>
      <c r="E1044" s="708" t="s">
        <v>33643</v>
      </c>
      <c r="F1044" s="709">
        <v>20000.0</v>
      </c>
      <c r="G1044" s="708" t="s">
        <v>44</v>
      </c>
      <c r="H1044" s="709">
        <v>47.0</v>
      </c>
      <c r="I1044" s="705"/>
      <c r="J1044" s="705">
        <f t="shared" si="1"/>
        <v>940000</v>
      </c>
      <c r="K1044" s="705">
        <f t="shared" si="7"/>
        <v>48000</v>
      </c>
      <c r="L1044" s="705">
        <f t="shared" si="3"/>
        <v>988000</v>
      </c>
      <c r="M1044" s="706">
        <f t="shared" si="5"/>
        <v>49.4</v>
      </c>
    </row>
    <row r="1045">
      <c r="A1045" s="702" t="s">
        <v>33630</v>
      </c>
      <c r="B1045" s="702" t="s">
        <v>33642</v>
      </c>
      <c r="C1045" s="707"/>
      <c r="D1045" s="707"/>
      <c r="E1045" s="708" t="s">
        <v>33644</v>
      </c>
      <c r="F1045" s="709">
        <v>20000.0</v>
      </c>
      <c r="G1045" s="708" t="s">
        <v>44</v>
      </c>
      <c r="H1045" s="709">
        <v>46.0</v>
      </c>
      <c r="I1045" s="705"/>
      <c r="J1045" s="705">
        <f t="shared" si="1"/>
        <v>920000</v>
      </c>
      <c r="K1045" s="705">
        <f t="shared" si="7"/>
        <v>47000</v>
      </c>
      <c r="L1045" s="705">
        <f t="shared" si="3"/>
        <v>967000</v>
      </c>
      <c r="M1045" s="706">
        <f t="shared" si="5"/>
        <v>48.35</v>
      </c>
    </row>
    <row r="1046">
      <c r="A1046" s="702" t="s">
        <v>33630</v>
      </c>
      <c r="B1046" s="702" t="s">
        <v>33645</v>
      </c>
      <c r="C1046" s="707"/>
      <c r="D1046" s="707"/>
      <c r="E1046" s="708" t="s">
        <v>33646</v>
      </c>
      <c r="F1046" s="709">
        <v>7500.0</v>
      </c>
      <c r="G1046" s="708" t="s">
        <v>10533</v>
      </c>
      <c r="H1046" s="709">
        <v>1.3</v>
      </c>
      <c r="I1046" s="709">
        <v>7500.0</v>
      </c>
      <c r="J1046" s="705">
        <f t="shared" si="1"/>
        <v>17250</v>
      </c>
      <c r="K1046" s="705">
        <f t="shared" si="7"/>
        <v>1862.5</v>
      </c>
      <c r="L1046" s="705">
        <f t="shared" si="3"/>
        <v>19112.5</v>
      </c>
      <c r="M1046" s="706">
        <f t="shared" si="5"/>
        <v>2.548333333</v>
      </c>
    </row>
    <row r="1047">
      <c r="A1047" s="702" t="s">
        <v>33630</v>
      </c>
      <c r="B1047" s="702" t="s">
        <v>33645</v>
      </c>
      <c r="C1047" s="707"/>
      <c r="D1047" s="707"/>
      <c r="E1047" s="708" t="s">
        <v>33647</v>
      </c>
      <c r="F1047" s="709">
        <v>7500.0</v>
      </c>
      <c r="G1047" s="708" t="s">
        <v>10533</v>
      </c>
      <c r="H1047" s="709">
        <v>1.2</v>
      </c>
      <c r="I1047" s="709">
        <v>7500.0</v>
      </c>
      <c r="J1047" s="705">
        <f t="shared" si="1"/>
        <v>16500</v>
      </c>
      <c r="K1047" s="705">
        <f t="shared" si="7"/>
        <v>1825</v>
      </c>
      <c r="L1047" s="705">
        <f t="shared" si="3"/>
        <v>18325</v>
      </c>
      <c r="M1047" s="706">
        <f t="shared" si="5"/>
        <v>2.443333333</v>
      </c>
    </row>
    <row r="1048">
      <c r="A1048" s="702" t="s">
        <v>33630</v>
      </c>
      <c r="B1048" s="702" t="s">
        <v>33648</v>
      </c>
      <c r="C1048" s="707"/>
      <c r="D1048" s="707"/>
      <c r="E1048" s="708" t="s">
        <v>10508</v>
      </c>
      <c r="F1048" s="709">
        <v>10000.0</v>
      </c>
      <c r="G1048" s="708" t="s">
        <v>20765</v>
      </c>
      <c r="H1048" s="709">
        <v>110.0</v>
      </c>
      <c r="I1048" s="705"/>
      <c r="J1048" s="705">
        <f t="shared" si="1"/>
        <v>1100000</v>
      </c>
      <c r="K1048" s="705">
        <f t="shared" si="7"/>
        <v>56000</v>
      </c>
      <c r="L1048" s="705">
        <f t="shared" si="3"/>
        <v>1156000</v>
      </c>
      <c r="M1048" s="706">
        <f t="shared" si="5"/>
        <v>115.6</v>
      </c>
      <c r="N1048" s="526" t="s">
        <v>33617</v>
      </c>
    </row>
    <row r="1049">
      <c r="A1049" s="702" t="s">
        <v>33630</v>
      </c>
      <c r="B1049" s="702" t="s">
        <v>33649</v>
      </c>
      <c r="C1049" s="707"/>
      <c r="D1049" s="707"/>
      <c r="E1049" s="708" t="s">
        <v>9187</v>
      </c>
      <c r="F1049" s="709">
        <v>1000.0</v>
      </c>
      <c r="G1049" s="708" t="s">
        <v>20765</v>
      </c>
      <c r="H1049" s="709">
        <v>4.4</v>
      </c>
      <c r="I1049" s="709">
        <v>1000.0</v>
      </c>
      <c r="J1049" s="705">
        <f t="shared" si="1"/>
        <v>5400</v>
      </c>
      <c r="K1049" s="705">
        <f t="shared" si="7"/>
        <v>1270</v>
      </c>
      <c r="L1049" s="705">
        <f t="shared" si="3"/>
        <v>6670</v>
      </c>
      <c r="M1049" s="706">
        <f t="shared" si="5"/>
        <v>6.67</v>
      </c>
    </row>
    <row r="1050">
      <c r="A1050" s="702" t="s">
        <v>33650</v>
      </c>
      <c r="B1050" s="702" t="s">
        <v>33651</v>
      </c>
      <c r="C1050" s="707"/>
      <c r="D1050" s="707"/>
      <c r="E1050" s="720" t="s">
        <v>11778</v>
      </c>
      <c r="F1050" s="709">
        <v>5000.0</v>
      </c>
      <c r="G1050" s="708" t="s">
        <v>1082</v>
      </c>
      <c r="H1050" s="709">
        <v>200.0</v>
      </c>
      <c r="I1050" s="709">
        <v>5000.0</v>
      </c>
      <c r="J1050" s="705">
        <f t="shared" si="1"/>
        <v>1005000</v>
      </c>
      <c r="K1050" s="705">
        <f t="shared" si="7"/>
        <v>51250</v>
      </c>
      <c r="L1050" s="705">
        <f t="shared" si="3"/>
        <v>1056250</v>
      </c>
      <c r="M1050" s="706">
        <f t="shared" si="5"/>
        <v>211.25</v>
      </c>
    </row>
    <row r="1051">
      <c r="A1051" s="702" t="s">
        <v>33650</v>
      </c>
      <c r="B1051" s="702" t="s">
        <v>33652</v>
      </c>
      <c r="C1051" s="707"/>
      <c r="D1051" s="707"/>
      <c r="E1051" s="708" t="s">
        <v>7897</v>
      </c>
      <c r="F1051" s="709">
        <v>1000.0</v>
      </c>
      <c r="G1051" s="708" t="s">
        <v>398</v>
      </c>
      <c r="H1051" s="709">
        <v>19.0</v>
      </c>
      <c r="I1051" s="709">
        <v>1000.0</v>
      </c>
      <c r="J1051" s="705">
        <f t="shared" si="1"/>
        <v>20000</v>
      </c>
      <c r="K1051" s="705">
        <f t="shared" si="7"/>
        <v>2000</v>
      </c>
      <c r="L1051" s="705">
        <f t="shared" si="3"/>
        <v>22000</v>
      </c>
      <c r="M1051" s="706">
        <f t="shared" si="5"/>
        <v>22</v>
      </c>
    </row>
    <row r="1052">
      <c r="A1052" s="702" t="s">
        <v>33650</v>
      </c>
      <c r="B1052" s="702" t="s">
        <v>33653</v>
      </c>
      <c r="C1052" s="707"/>
      <c r="D1052" s="707"/>
      <c r="E1052" s="708" t="s">
        <v>167</v>
      </c>
      <c r="F1052" s="709">
        <v>250.0</v>
      </c>
      <c r="G1052" s="708" t="s">
        <v>507</v>
      </c>
      <c r="H1052" s="709">
        <v>10.0</v>
      </c>
      <c r="I1052" s="709">
        <v>500.0</v>
      </c>
      <c r="J1052" s="705">
        <f t="shared" si="1"/>
        <v>3000</v>
      </c>
      <c r="K1052" s="705">
        <f t="shared" si="7"/>
        <v>1150</v>
      </c>
      <c r="L1052" s="705">
        <f t="shared" si="3"/>
        <v>4150</v>
      </c>
      <c r="M1052" s="706">
        <f t="shared" si="5"/>
        <v>16.6</v>
      </c>
    </row>
    <row r="1053">
      <c r="A1053" s="702" t="s">
        <v>33650</v>
      </c>
      <c r="B1053" s="702" t="s">
        <v>33654</v>
      </c>
      <c r="C1053" s="707"/>
      <c r="D1053" s="707"/>
      <c r="E1053" s="708" t="s">
        <v>12378</v>
      </c>
      <c r="F1053" s="709">
        <v>250.0</v>
      </c>
      <c r="G1053" s="708" t="s">
        <v>20765</v>
      </c>
      <c r="H1053" s="709">
        <v>13.2</v>
      </c>
      <c r="I1053" s="709">
        <v>500.0</v>
      </c>
      <c r="J1053" s="705">
        <f t="shared" si="1"/>
        <v>3800</v>
      </c>
      <c r="K1053" s="705">
        <f t="shared" si="7"/>
        <v>1190</v>
      </c>
      <c r="L1053" s="705">
        <f t="shared" si="3"/>
        <v>4990</v>
      </c>
      <c r="M1053" s="706">
        <f t="shared" si="5"/>
        <v>19.96</v>
      </c>
    </row>
    <row r="1054">
      <c r="A1054" s="702" t="s">
        <v>33650</v>
      </c>
      <c r="B1054" s="702" t="s">
        <v>33655</v>
      </c>
      <c r="C1054" s="707"/>
      <c r="D1054" s="707"/>
      <c r="E1054" s="708" t="s">
        <v>33656</v>
      </c>
      <c r="F1054" s="709">
        <v>100000.0</v>
      </c>
      <c r="G1054" s="708" t="s">
        <v>1082</v>
      </c>
      <c r="H1054" s="709">
        <v>5.6</v>
      </c>
      <c r="I1054" s="705"/>
      <c r="J1054" s="705">
        <f t="shared" si="1"/>
        <v>560000</v>
      </c>
      <c r="K1054" s="705">
        <f t="shared" si="7"/>
        <v>29000</v>
      </c>
      <c r="L1054" s="705">
        <f t="shared" si="3"/>
        <v>589000</v>
      </c>
      <c r="M1054" s="706">
        <f t="shared" si="5"/>
        <v>5.89</v>
      </c>
    </row>
    <row r="1055">
      <c r="A1055" s="702" t="s">
        <v>33650</v>
      </c>
      <c r="B1055" s="702" t="s">
        <v>33657</v>
      </c>
      <c r="C1055" s="707"/>
      <c r="D1055" s="707"/>
      <c r="E1055" s="708" t="s">
        <v>213</v>
      </c>
      <c r="F1055" s="709">
        <v>1000.0</v>
      </c>
      <c r="G1055" s="708" t="s">
        <v>507</v>
      </c>
      <c r="H1055" s="709">
        <v>25.0</v>
      </c>
      <c r="I1055" s="709">
        <v>1000.0</v>
      </c>
      <c r="J1055" s="705">
        <f t="shared" si="1"/>
        <v>26000</v>
      </c>
      <c r="K1055" s="705">
        <f t="shared" si="7"/>
        <v>2300</v>
      </c>
      <c r="L1055" s="705">
        <f t="shared" si="3"/>
        <v>28300</v>
      </c>
      <c r="M1055" s="706">
        <f t="shared" si="5"/>
        <v>28.3</v>
      </c>
    </row>
    <row r="1056">
      <c r="A1056" s="702" t="s">
        <v>33650</v>
      </c>
      <c r="B1056" s="702" t="s">
        <v>33658</v>
      </c>
      <c r="C1056" s="707"/>
      <c r="D1056" s="707"/>
      <c r="E1056" s="708" t="s">
        <v>1675</v>
      </c>
      <c r="F1056" s="709">
        <v>250.0</v>
      </c>
      <c r="G1056" s="708" t="s">
        <v>507</v>
      </c>
      <c r="H1056" s="709">
        <v>300.0</v>
      </c>
      <c r="I1056" s="709">
        <v>500.0</v>
      </c>
      <c r="J1056" s="705">
        <f t="shared" si="1"/>
        <v>75500</v>
      </c>
      <c r="K1056" s="705">
        <f t="shared" si="7"/>
        <v>4775</v>
      </c>
      <c r="L1056" s="705">
        <f t="shared" si="3"/>
        <v>80275</v>
      </c>
      <c r="M1056" s="706">
        <f t="shared" si="5"/>
        <v>321.1</v>
      </c>
    </row>
    <row r="1057">
      <c r="A1057" s="702" t="s">
        <v>33650</v>
      </c>
      <c r="B1057" s="702" t="s">
        <v>33659</v>
      </c>
      <c r="C1057" s="707"/>
      <c r="D1057" s="707"/>
      <c r="E1057" s="708" t="s">
        <v>7188</v>
      </c>
      <c r="F1057" s="709">
        <v>128000.0</v>
      </c>
      <c r="G1057" s="708" t="s">
        <v>20765</v>
      </c>
      <c r="H1057" s="709">
        <v>4.5</v>
      </c>
      <c r="I1057" s="705"/>
      <c r="J1057" s="705">
        <f t="shared" si="1"/>
        <v>576000</v>
      </c>
      <c r="K1057" s="705">
        <f t="shared" si="7"/>
        <v>29800</v>
      </c>
      <c r="L1057" s="705">
        <f t="shared" si="3"/>
        <v>605800</v>
      </c>
      <c r="M1057" s="706">
        <f t="shared" si="5"/>
        <v>4.7328125</v>
      </c>
    </row>
    <row r="1058">
      <c r="A1058" s="702" t="s">
        <v>33650</v>
      </c>
      <c r="B1058" s="702" t="s">
        <v>33660</v>
      </c>
      <c r="C1058" s="707"/>
      <c r="D1058" s="707"/>
      <c r="E1058" s="708" t="s">
        <v>3555</v>
      </c>
      <c r="F1058" s="709">
        <v>10000.0</v>
      </c>
      <c r="G1058" s="708" t="s">
        <v>20765</v>
      </c>
      <c r="H1058" s="709">
        <v>10.0</v>
      </c>
      <c r="I1058" s="705"/>
      <c r="J1058" s="705">
        <f t="shared" si="1"/>
        <v>100000</v>
      </c>
      <c r="K1058" s="705">
        <f t="shared" si="7"/>
        <v>6000</v>
      </c>
      <c r="L1058" s="705">
        <f t="shared" si="3"/>
        <v>106000</v>
      </c>
      <c r="M1058" s="706">
        <f t="shared" si="5"/>
        <v>10.6</v>
      </c>
    </row>
    <row r="1059">
      <c r="A1059" s="702" t="s">
        <v>33650</v>
      </c>
      <c r="B1059" s="702" t="s">
        <v>33661</v>
      </c>
      <c r="C1059" s="707"/>
      <c r="D1059" s="707"/>
      <c r="E1059" s="708" t="s">
        <v>523</v>
      </c>
      <c r="F1059" s="709">
        <v>1500.0</v>
      </c>
      <c r="G1059" s="708" t="s">
        <v>20765</v>
      </c>
      <c r="H1059" s="709">
        <v>3.2</v>
      </c>
      <c r="I1059" s="709">
        <v>1500.0</v>
      </c>
      <c r="J1059" s="705">
        <f t="shared" si="1"/>
        <v>6300</v>
      </c>
      <c r="K1059" s="705">
        <f t="shared" si="7"/>
        <v>1315</v>
      </c>
      <c r="L1059" s="705">
        <f t="shared" si="3"/>
        <v>7615</v>
      </c>
      <c r="M1059" s="706">
        <f t="shared" si="5"/>
        <v>5.076666667</v>
      </c>
    </row>
    <row r="1060">
      <c r="A1060" s="702" t="s">
        <v>33650</v>
      </c>
      <c r="B1060" s="702" t="s">
        <v>33662</v>
      </c>
      <c r="C1060" s="707"/>
      <c r="D1060" s="707"/>
      <c r="E1060" s="708" t="s">
        <v>13809</v>
      </c>
      <c r="F1060" s="709">
        <v>2000.0</v>
      </c>
      <c r="G1060" s="708" t="s">
        <v>20765</v>
      </c>
      <c r="H1060" s="709">
        <v>475.0</v>
      </c>
      <c r="I1060" s="709">
        <v>2000.0</v>
      </c>
      <c r="J1060" s="705">
        <f t="shared" si="1"/>
        <v>952000</v>
      </c>
      <c r="K1060" s="705">
        <f t="shared" si="7"/>
        <v>48600</v>
      </c>
      <c r="L1060" s="705">
        <f t="shared" si="3"/>
        <v>1000600</v>
      </c>
      <c r="M1060" s="706">
        <f t="shared" si="5"/>
        <v>500.3</v>
      </c>
    </row>
    <row r="1061">
      <c r="A1061" s="702" t="s">
        <v>33650</v>
      </c>
      <c r="B1061" s="702" t="s">
        <v>33663</v>
      </c>
      <c r="C1061" s="707"/>
      <c r="D1061" s="707"/>
      <c r="E1061" s="708" t="s">
        <v>130</v>
      </c>
      <c r="F1061" s="709">
        <v>5000.0</v>
      </c>
      <c r="G1061" s="708" t="s">
        <v>507</v>
      </c>
      <c r="H1061" s="709">
        <v>25.0</v>
      </c>
      <c r="I1061" s="709">
        <v>5000.0</v>
      </c>
      <c r="J1061" s="705">
        <f t="shared" si="1"/>
        <v>130000</v>
      </c>
      <c r="K1061" s="705">
        <f t="shared" si="7"/>
        <v>7500</v>
      </c>
      <c r="L1061" s="705">
        <f t="shared" si="3"/>
        <v>137500</v>
      </c>
      <c r="M1061" s="706">
        <f t="shared" si="5"/>
        <v>27.5</v>
      </c>
    </row>
    <row r="1062">
      <c r="A1062" s="702" t="s">
        <v>33650</v>
      </c>
      <c r="B1062" s="702" t="s">
        <v>33664</v>
      </c>
      <c r="C1062" s="707"/>
      <c r="D1062" s="707"/>
      <c r="E1062" s="708" t="s">
        <v>18625</v>
      </c>
      <c r="F1062" s="709">
        <v>50000.0</v>
      </c>
      <c r="G1062" s="708" t="s">
        <v>20765</v>
      </c>
      <c r="H1062" s="709">
        <v>16.5</v>
      </c>
      <c r="I1062" s="705"/>
      <c r="J1062" s="705">
        <f t="shared" si="1"/>
        <v>825000</v>
      </c>
      <c r="K1062" s="705">
        <f t="shared" si="7"/>
        <v>42250</v>
      </c>
      <c r="L1062" s="705">
        <f t="shared" si="3"/>
        <v>867250</v>
      </c>
      <c r="M1062" s="706">
        <f t="shared" si="5"/>
        <v>17.345</v>
      </c>
    </row>
    <row r="1063">
      <c r="A1063" s="702" t="s">
        <v>33650</v>
      </c>
      <c r="B1063" s="702" t="s">
        <v>33665</v>
      </c>
      <c r="C1063" s="707"/>
      <c r="D1063" s="707"/>
      <c r="E1063" s="708" t="s">
        <v>10409</v>
      </c>
      <c r="F1063" s="709">
        <v>5000.0</v>
      </c>
      <c r="G1063" s="708" t="s">
        <v>507</v>
      </c>
      <c r="H1063" s="709">
        <v>22.0</v>
      </c>
      <c r="I1063" s="709">
        <v>5000.0</v>
      </c>
      <c r="J1063" s="705">
        <f t="shared" si="1"/>
        <v>115000</v>
      </c>
      <c r="K1063" s="705">
        <f t="shared" si="7"/>
        <v>6750</v>
      </c>
      <c r="L1063" s="705">
        <f t="shared" si="3"/>
        <v>121750</v>
      </c>
      <c r="M1063" s="706">
        <f t="shared" si="5"/>
        <v>24.35</v>
      </c>
    </row>
    <row r="1064">
      <c r="A1064" s="702" t="s">
        <v>33650</v>
      </c>
      <c r="B1064" s="702" t="s">
        <v>33666</v>
      </c>
      <c r="C1064" s="707"/>
      <c r="D1064" s="707"/>
      <c r="E1064" s="708" t="s">
        <v>794</v>
      </c>
      <c r="F1064" s="709">
        <v>10000.0</v>
      </c>
      <c r="G1064" s="708" t="s">
        <v>20765</v>
      </c>
      <c r="H1064" s="709">
        <v>4.4</v>
      </c>
      <c r="I1064" s="705"/>
      <c r="J1064" s="705">
        <f t="shared" si="1"/>
        <v>44000</v>
      </c>
      <c r="K1064" s="705">
        <f t="shared" si="7"/>
        <v>3200</v>
      </c>
      <c r="L1064" s="705">
        <f t="shared" si="3"/>
        <v>47200</v>
      </c>
      <c r="M1064" s="706">
        <f t="shared" si="5"/>
        <v>4.72</v>
      </c>
    </row>
    <row r="1065">
      <c r="A1065" s="702" t="s">
        <v>33650</v>
      </c>
      <c r="B1065" s="702" t="s">
        <v>33667</v>
      </c>
      <c r="C1065" s="707"/>
      <c r="D1065" s="707"/>
      <c r="E1065" s="708" t="s">
        <v>33668</v>
      </c>
      <c r="F1065" s="709">
        <v>1000.0</v>
      </c>
      <c r="G1065" s="708" t="s">
        <v>507</v>
      </c>
      <c r="H1065" s="709">
        <v>40.0</v>
      </c>
      <c r="I1065" s="709">
        <v>1000.0</v>
      </c>
      <c r="J1065" s="705">
        <f t="shared" si="1"/>
        <v>41000</v>
      </c>
      <c r="K1065" s="705">
        <f t="shared" si="7"/>
        <v>3050</v>
      </c>
      <c r="L1065" s="705">
        <f t="shared" si="3"/>
        <v>44050</v>
      </c>
      <c r="M1065" s="706">
        <f t="shared" si="5"/>
        <v>44.05</v>
      </c>
    </row>
    <row r="1066">
      <c r="A1066" s="702" t="s">
        <v>33650</v>
      </c>
      <c r="B1066" s="702" t="s">
        <v>33669</v>
      </c>
      <c r="C1066" s="707"/>
      <c r="D1066" s="707"/>
      <c r="E1066" s="708" t="s">
        <v>33670</v>
      </c>
      <c r="F1066" s="709">
        <v>1000.0</v>
      </c>
      <c r="G1066" s="708" t="s">
        <v>507</v>
      </c>
      <c r="H1066" s="709">
        <v>60.0</v>
      </c>
      <c r="I1066" s="709">
        <v>1000.0</v>
      </c>
      <c r="J1066" s="705">
        <f t="shared" si="1"/>
        <v>61000</v>
      </c>
      <c r="K1066" s="705">
        <f t="shared" si="7"/>
        <v>4050</v>
      </c>
      <c r="L1066" s="705">
        <f t="shared" si="3"/>
        <v>65050</v>
      </c>
      <c r="M1066" s="706">
        <f t="shared" si="5"/>
        <v>65.05</v>
      </c>
    </row>
    <row r="1067">
      <c r="A1067" s="702" t="s">
        <v>33650</v>
      </c>
      <c r="B1067" s="702" t="s">
        <v>33671</v>
      </c>
      <c r="C1067" s="707"/>
      <c r="D1067" s="707"/>
      <c r="E1067" s="708" t="s">
        <v>5203</v>
      </c>
      <c r="F1067" s="709">
        <v>1000.0</v>
      </c>
      <c r="G1067" s="708" t="s">
        <v>20765</v>
      </c>
      <c r="H1067" s="709">
        <v>3.96</v>
      </c>
      <c r="I1067" s="709">
        <v>1000.0</v>
      </c>
      <c r="J1067" s="705">
        <f t="shared" si="1"/>
        <v>4960</v>
      </c>
      <c r="K1067" s="705">
        <f t="shared" si="7"/>
        <v>1248</v>
      </c>
      <c r="L1067" s="705">
        <f t="shared" si="3"/>
        <v>6208</v>
      </c>
      <c r="M1067" s="706">
        <f t="shared" si="5"/>
        <v>6.208</v>
      </c>
    </row>
    <row r="1068">
      <c r="A1068" s="702" t="s">
        <v>33650</v>
      </c>
      <c r="B1068" s="702" t="s">
        <v>33672</v>
      </c>
      <c r="C1068" s="707"/>
      <c r="D1068" s="707"/>
      <c r="E1068" s="708" t="s">
        <v>189</v>
      </c>
      <c r="F1068" s="709">
        <v>20000.0</v>
      </c>
      <c r="G1068" s="708" t="s">
        <v>20765</v>
      </c>
      <c r="H1068" s="709">
        <v>6.0</v>
      </c>
      <c r="I1068" s="705"/>
      <c r="J1068" s="705">
        <f t="shared" si="1"/>
        <v>120000</v>
      </c>
      <c r="K1068" s="705">
        <f t="shared" si="7"/>
        <v>7000</v>
      </c>
      <c r="L1068" s="705">
        <f t="shared" si="3"/>
        <v>127000</v>
      </c>
      <c r="M1068" s="706">
        <f t="shared" si="5"/>
        <v>6.35</v>
      </c>
    </row>
    <row r="1069">
      <c r="A1069" s="702" t="s">
        <v>33673</v>
      </c>
      <c r="B1069" s="702" t="s">
        <v>33674</v>
      </c>
      <c r="C1069" s="707"/>
      <c r="D1069" s="707"/>
      <c r="E1069" s="708" t="s">
        <v>4567</v>
      </c>
      <c r="F1069" s="709">
        <v>150.0</v>
      </c>
      <c r="G1069" s="708" t="s">
        <v>33675</v>
      </c>
      <c r="H1069" s="709">
        <v>69.0</v>
      </c>
      <c r="I1069" s="705"/>
      <c r="J1069" s="705">
        <f t="shared" si="1"/>
        <v>10350</v>
      </c>
      <c r="K1069" s="705">
        <f t="shared" si="7"/>
        <v>1517.5</v>
      </c>
      <c r="L1069" s="705">
        <f t="shared" si="3"/>
        <v>11867.5</v>
      </c>
      <c r="M1069" s="706">
        <f t="shared" si="5"/>
        <v>79.11666667</v>
      </c>
    </row>
    <row r="1070">
      <c r="A1070" s="702" t="s">
        <v>33673</v>
      </c>
      <c r="B1070" s="702" t="s">
        <v>33676</v>
      </c>
      <c r="C1070" s="707"/>
      <c r="D1070" s="707"/>
      <c r="E1070" s="708" t="s">
        <v>213</v>
      </c>
      <c r="F1070" s="709">
        <v>50000.0</v>
      </c>
      <c r="G1070" s="708" t="s">
        <v>20765</v>
      </c>
      <c r="H1070" s="709">
        <v>25.0</v>
      </c>
      <c r="I1070" s="705"/>
      <c r="J1070" s="705">
        <f t="shared" si="1"/>
        <v>1250000</v>
      </c>
      <c r="K1070" s="705">
        <f t="shared" si="7"/>
        <v>63500</v>
      </c>
      <c r="L1070" s="705">
        <f t="shared" si="3"/>
        <v>1313500</v>
      </c>
      <c r="M1070" s="706">
        <f t="shared" si="5"/>
        <v>26.27</v>
      </c>
    </row>
    <row r="1071">
      <c r="A1071" s="702" t="s">
        <v>33673</v>
      </c>
      <c r="B1071" s="702" t="s">
        <v>33677</v>
      </c>
      <c r="C1071" s="707"/>
      <c r="D1071" s="707"/>
      <c r="E1071" s="708" t="s">
        <v>6323</v>
      </c>
      <c r="F1071" s="709">
        <v>10000.0</v>
      </c>
      <c r="G1071" s="708" t="s">
        <v>1082</v>
      </c>
      <c r="H1071" s="709">
        <v>50.0</v>
      </c>
      <c r="I1071" s="705"/>
      <c r="J1071" s="705">
        <f t="shared" si="1"/>
        <v>500000</v>
      </c>
      <c r="K1071" s="705">
        <f t="shared" si="7"/>
        <v>26000</v>
      </c>
      <c r="L1071" s="705">
        <f t="shared" si="3"/>
        <v>526000</v>
      </c>
      <c r="M1071" s="706">
        <f t="shared" si="5"/>
        <v>52.6</v>
      </c>
    </row>
    <row r="1072">
      <c r="A1072" s="702" t="s">
        <v>33673</v>
      </c>
      <c r="B1072" s="702" t="s">
        <v>33678</v>
      </c>
      <c r="C1072" s="707"/>
      <c r="D1072" s="707"/>
      <c r="E1072" s="708" t="s">
        <v>5203</v>
      </c>
      <c r="F1072" s="709">
        <v>1000000.0</v>
      </c>
      <c r="G1072" s="708" t="s">
        <v>1082</v>
      </c>
      <c r="H1072" s="709">
        <v>3.96</v>
      </c>
      <c r="I1072" s="705"/>
      <c r="J1072" s="705">
        <f t="shared" si="1"/>
        <v>3960000</v>
      </c>
      <c r="K1072" s="705">
        <f t="shared" si="7"/>
        <v>199000</v>
      </c>
      <c r="L1072" s="705">
        <f t="shared" si="3"/>
        <v>4159000</v>
      </c>
      <c r="M1072" s="706">
        <f t="shared" si="5"/>
        <v>4.159</v>
      </c>
    </row>
    <row r="1073">
      <c r="A1073" s="702" t="s">
        <v>33673</v>
      </c>
      <c r="B1073" s="702" t="s">
        <v>33679</v>
      </c>
      <c r="C1073" s="707"/>
      <c r="D1073" s="707"/>
      <c r="E1073" s="708" t="s">
        <v>130</v>
      </c>
      <c r="F1073" s="709">
        <v>3000.0</v>
      </c>
      <c r="G1073" s="708" t="s">
        <v>1082</v>
      </c>
      <c r="H1073" s="709">
        <v>25.0</v>
      </c>
      <c r="I1073" s="709">
        <v>3000.0</v>
      </c>
      <c r="J1073" s="705">
        <f t="shared" si="1"/>
        <v>78000</v>
      </c>
      <c r="K1073" s="705">
        <f t="shared" si="7"/>
        <v>4900</v>
      </c>
      <c r="L1073" s="705">
        <f t="shared" si="3"/>
        <v>82900</v>
      </c>
      <c r="M1073" s="706">
        <f t="shared" si="5"/>
        <v>27.63333333</v>
      </c>
    </row>
    <row r="1074">
      <c r="A1074" s="702" t="s">
        <v>33673</v>
      </c>
      <c r="B1074" s="702" t="s">
        <v>33680</v>
      </c>
      <c r="C1074" s="707"/>
      <c r="D1074" s="707"/>
      <c r="E1074" s="708" t="s">
        <v>33681</v>
      </c>
      <c r="F1074" s="709">
        <v>250.0</v>
      </c>
      <c r="G1074" s="708" t="s">
        <v>1082</v>
      </c>
      <c r="H1074" s="709">
        <v>41.0</v>
      </c>
      <c r="I1074" s="709">
        <v>300.0</v>
      </c>
      <c r="J1074" s="705">
        <f t="shared" si="1"/>
        <v>10550</v>
      </c>
      <c r="K1074" s="705">
        <f t="shared" si="7"/>
        <v>1527.5</v>
      </c>
      <c r="L1074" s="705">
        <f t="shared" si="3"/>
        <v>12077.5</v>
      </c>
      <c r="M1074" s="706">
        <f t="shared" si="5"/>
        <v>48.31</v>
      </c>
    </row>
    <row r="1075">
      <c r="A1075" s="702" t="s">
        <v>33673</v>
      </c>
      <c r="B1075" s="702" t="s">
        <v>33682</v>
      </c>
      <c r="C1075" s="707"/>
      <c r="D1075" s="707"/>
      <c r="E1075" s="708" t="s">
        <v>33683</v>
      </c>
      <c r="F1075" s="709">
        <v>5000.0</v>
      </c>
      <c r="G1075" s="708" t="s">
        <v>398</v>
      </c>
      <c r="H1075" s="709">
        <v>950.0</v>
      </c>
      <c r="I1075" s="709">
        <v>500.0</v>
      </c>
      <c r="J1075" s="705">
        <f t="shared" si="1"/>
        <v>4750500</v>
      </c>
      <c r="K1075" s="705">
        <f t="shared" si="7"/>
        <v>238525</v>
      </c>
      <c r="L1075" s="705">
        <f t="shared" si="3"/>
        <v>4989025</v>
      </c>
      <c r="M1075" s="706">
        <f t="shared" si="5"/>
        <v>997.805</v>
      </c>
    </row>
    <row r="1076">
      <c r="A1076" s="702" t="s">
        <v>33673</v>
      </c>
      <c r="B1076" s="702" t="s">
        <v>33684</v>
      </c>
      <c r="C1076" s="707"/>
      <c r="D1076" s="707"/>
      <c r="E1076" s="708" t="s">
        <v>97</v>
      </c>
      <c r="F1076" s="709">
        <v>1000.0</v>
      </c>
      <c r="G1076" s="708" t="s">
        <v>1082</v>
      </c>
      <c r="H1076" s="709">
        <v>12.0</v>
      </c>
      <c r="I1076" s="709">
        <v>1000.0</v>
      </c>
      <c r="J1076" s="705">
        <f t="shared" si="1"/>
        <v>13000</v>
      </c>
      <c r="K1076" s="705">
        <f t="shared" si="7"/>
        <v>1650</v>
      </c>
      <c r="L1076" s="705">
        <f t="shared" si="3"/>
        <v>14650</v>
      </c>
      <c r="M1076" s="706">
        <f t="shared" si="5"/>
        <v>14.65</v>
      </c>
    </row>
    <row r="1077">
      <c r="A1077" s="702" t="s">
        <v>33673</v>
      </c>
      <c r="B1077" s="702" t="s">
        <v>33685</v>
      </c>
      <c r="C1077" s="707"/>
      <c r="D1077" s="707"/>
      <c r="E1077" s="708" t="s">
        <v>33686</v>
      </c>
      <c r="F1077" s="709">
        <v>2000.0</v>
      </c>
      <c r="G1077" s="708" t="s">
        <v>1082</v>
      </c>
      <c r="H1077" s="709">
        <v>6.0</v>
      </c>
      <c r="I1077" s="709">
        <v>6000.0</v>
      </c>
      <c r="J1077" s="705">
        <f t="shared" si="1"/>
        <v>18000</v>
      </c>
      <c r="K1077" s="705">
        <f t="shared" si="7"/>
        <v>1900</v>
      </c>
      <c r="L1077" s="705">
        <f t="shared" si="3"/>
        <v>19900</v>
      </c>
      <c r="M1077" s="706">
        <f t="shared" si="5"/>
        <v>9.95</v>
      </c>
    </row>
    <row r="1078">
      <c r="A1078" s="702" t="s">
        <v>33673</v>
      </c>
      <c r="B1078" s="702" t="s">
        <v>33687</v>
      </c>
      <c r="C1078" s="707"/>
      <c r="D1078" s="707"/>
      <c r="E1078" s="708" t="s">
        <v>539</v>
      </c>
      <c r="F1078" s="709">
        <v>25000.0</v>
      </c>
      <c r="G1078" s="708" t="s">
        <v>1082</v>
      </c>
      <c r="H1078" s="709">
        <v>12.0</v>
      </c>
      <c r="I1078" s="705"/>
      <c r="J1078" s="705">
        <f t="shared" si="1"/>
        <v>300000</v>
      </c>
      <c r="K1078" s="705">
        <f t="shared" si="7"/>
        <v>16000</v>
      </c>
      <c r="L1078" s="705">
        <f t="shared" si="3"/>
        <v>316000</v>
      </c>
      <c r="M1078" s="706">
        <f t="shared" si="5"/>
        <v>12.64</v>
      </c>
    </row>
    <row r="1079">
      <c r="A1079" s="702" t="s">
        <v>33688</v>
      </c>
      <c r="B1079" s="702" t="s">
        <v>33689</v>
      </c>
      <c r="C1079" s="707"/>
      <c r="D1079" s="707"/>
      <c r="E1079" s="708" t="s">
        <v>7897</v>
      </c>
      <c r="F1079" s="709">
        <v>2000.0</v>
      </c>
      <c r="G1079" s="708" t="s">
        <v>9266</v>
      </c>
      <c r="H1079" s="709">
        <v>19.0</v>
      </c>
      <c r="I1079" s="709">
        <v>2000.0</v>
      </c>
      <c r="J1079" s="705">
        <f t="shared" si="1"/>
        <v>40000</v>
      </c>
      <c r="K1079" s="705">
        <f t="shared" si="7"/>
        <v>3000</v>
      </c>
      <c r="L1079" s="705">
        <f t="shared" si="3"/>
        <v>43000</v>
      </c>
      <c r="M1079" s="706">
        <f t="shared" si="5"/>
        <v>21.5</v>
      </c>
    </row>
    <row r="1080">
      <c r="A1080" s="702" t="s">
        <v>33688</v>
      </c>
      <c r="B1080" s="702" t="s">
        <v>33690</v>
      </c>
      <c r="C1080" s="707"/>
      <c r="D1080" s="707"/>
      <c r="E1080" s="708" t="s">
        <v>18707</v>
      </c>
      <c r="F1080" s="709">
        <v>2000.0</v>
      </c>
      <c r="G1080" s="708" t="s">
        <v>1082</v>
      </c>
      <c r="H1080" s="709">
        <v>9.0</v>
      </c>
      <c r="I1080" s="709">
        <v>2000.0</v>
      </c>
      <c r="J1080" s="705">
        <f t="shared" si="1"/>
        <v>20000</v>
      </c>
      <c r="K1080" s="705">
        <f t="shared" si="7"/>
        <v>2000</v>
      </c>
      <c r="L1080" s="705">
        <f t="shared" si="3"/>
        <v>22000</v>
      </c>
      <c r="M1080" s="706">
        <f t="shared" si="5"/>
        <v>11</v>
      </c>
    </row>
    <row r="1081">
      <c r="A1081" s="702" t="s">
        <v>33688</v>
      </c>
      <c r="B1081" s="702" t="s">
        <v>33691</v>
      </c>
      <c r="C1081" s="707"/>
      <c r="D1081" s="707"/>
      <c r="E1081" s="708" t="s">
        <v>14285</v>
      </c>
      <c r="F1081" s="709">
        <v>200.0</v>
      </c>
      <c r="G1081" s="708" t="s">
        <v>1082</v>
      </c>
      <c r="H1081" s="709">
        <v>43.0</v>
      </c>
      <c r="I1081" s="709">
        <v>500.0</v>
      </c>
      <c r="J1081" s="705">
        <f t="shared" si="1"/>
        <v>9100</v>
      </c>
      <c r="K1081" s="705">
        <f t="shared" si="7"/>
        <v>1455</v>
      </c>
      <c r="L1081" s="705">
        <f t="shared" si="3"/>
        <v>10555</v>
      </c>
      <c r="M1081" s="706">
        <f t="shared" si="5"/>
        <v>52.775</v>
      </c>
    </row>
    <row r="1082">
      <c r="A1082" s="702" t="s">
        <v>33688</v>
      </c>
      <c r="B1082" s="702" t="s">
        <v>33692</v>
      </c>
      <c r="C1082" s="707"/>
      <c r="D1082" s="707"/>
      <c r="E1082" s="708" t="s">
        <v>152</v>
      </c>
      <c r="F1082" s="709">
        <v>500.0</v>
      </c>
      <c r="G1082" s="708" t="s">
        <v>495</v>
      </c>
      <c r="H1082" s="709">
        <v>22.0</v>
      </c>
      <c r="I1082" s="709">
        <v>500.0</v>
      </c>
      <c r="J1082" s="705">
        <f t="shared" si="1"/>
        <v>11500</v>
      </c>
      <c r="K1082" s="705">
        <f t="shared" si="7"/>
        <v>1575</v>
      </c>
      <c r="L1082" s="705">
        <f t="shared" si="3"/>
        <v>13075</v>
      </c>
      <c r="M1082" s="706">
        <f t="shared" si="5"/>
        <v>26.15</v>
      </c>
    </row>
    <row r="1083">
      <c r="A1083" s="702" t="s">
        <v>33688</v>
      </c>
      <c r="B1083" s="702" t="s">
        <v>33693</v>
      </c>
      <c r="C1083" s="707"/>
      <c r="D1083" s="707"/>
      <c r="E1083" s="708" t="s">
        <v>33694</v>
      </c>
      <c r="F1083" s="709">
        <v>10000.0</v>
      </c>
      <c r="G1083" s="708" t="s">
        <v>507</v>
      </c>
      <c r="H1083" s="709">
        <v>4.0</v>
      </c>
      <c r="I1083" s="709">
        <v>5000.0</v>
      </c>
      <c r="J1083" s="705">
        <f t="shared" si="1"/>
        <v>45000</v>
      </c>
      <c r="K1083" s="705">
        <f t="shared" si="7"/>
        <v>3250</v>
      </c>
      <c r="L1083" s="705">
        <f t="shared" si="3"/>
        <v>48250</v>
      </c>
      <c r="M1083" s="706">
        <f t="shared" si="5"/>
        <v>4.825</v>
      </c>
    </row>
    <row r="1084">
      <c r="A1084" s="702" t="s">
        <v>33688</v>
      </c>
      <c r="B1084" s="702" t="s">
        <v>33693</v>
      </c>
      <c r="C1084" s="707"/>
      <c r="D1084" s="707"/>
      <c r="E1084" s="708" t="s">
        <v>33695</v>
      </c>
      <c r="F1084" s="709">
        <v>10000.0</v>
      </c>
      <c r="G1084" s="708" t="s">
        <v>507</v>
      </c>
      <c r="H1084" s="709">
        <v>2.5</v>
      </c>
      <c r="I1084" s="709">
        <v>5000.0</v>
      </c>
      <c r="J1084" s="705">
        <f t="shared" si="1"/>
        <v>30000</v>
      </c>
      <c r="K1084" s="705">
        <f t="shared" si="7"/>
        <v>2500</v>
      </c>
      <c r="L1084" s="705">
        <f t="shared" si="3"/>
        <v>32500</v>
      </c>
      <c r="M1084" s="706">
        <f t="shared" si="5"/>
        <v>3.25</v>
      </c>
    </row>
    <row r="1085">
      <c r="A1085" s="702" t="s">
        <v>33688</v>
      </c>
      <c r="B1085" s="702" t="s">
        <v>33696</v>
      </c>
      <c r="C1085" s="707"/>
      <c r="D1085" s="707"/>
      <c r="E1085" s="708" t="s">
        <v>189</v>
      </c>
      <c r="F1085" s="709">
        <v>80000.0</v>
      </c>
      <c r="G1085" s="708" t="s">
        <v>20765</v>
      </c>
      <c r="H1085" s="709">
        <v>6.0</v>
      </c>
      <c r="I1085" s="705"/>
      <c r="J1085" s="705">
        <f t="shared" si="1"/>
        <v>480000</v>
      </c>
      <c r="K1085" s="705">
        <f t="shared" si="7"/>
        <v>25000</v>
      </c>
      <c r="L1085" s="705">
        <f t="shared" si="3"/>
        <v>505000</v>
      </c>
      <c r="M1085" s="706">
        <f t="shared" si="5"/>
        <v>6.3125</v>
      </c>
    </row>
    <row r="1086">
      <c r="A1086" s="702" t="s">
        <v>33688</v>
      </c>
      <c r="B1086" s="702" t="s">
        <v>33697</v>
      </c>
      <c r="C1086" s="707"/>
      <c r="D1086" s="707"/>
      <c r="E1086" s="708" t="s">
        <v>22</v>
      </c>
      <c r="F1086" s="709">
        <v>5000.0</v>
      </c>
      <c r="G1086" s="708" t="s">
        <v>20765</v>
      </c>
      <c r="H1086" s="709">
        <v>20.0</v>
      </c>
      <c r="I1086" s="709">
        <v>5000.0</v>
      </c>
      <c r="J1086" s="705">
        <f t="shared" si="1"/>
        <v>105000</v>
      </c>
      <c r="K1086" s="705">
        <f t="shared" si="7"/>
        <v>6250</v>
      </c>
      <c r="L1086" s="705">
        <f t="shared" si="3"/>
        <v>111250</v>
      </c>
      <c r="M1086" s="706">
        <f t="shared" si="5"/>
        <v>22.25</v>
      </c>
    </row>
    <row r="1087">
      <c r="A1087" s="702" t="s">
        <v>33688</v>
      </c>
      <c r="B1087" s="702" t="s">
        <v>33698</v>
      </c>
      <c r="C1087" s="707"/>
      <c r="D1087" s="707"/>
      <c r="E1087" s="708" t="s">
        <v>33699</v>
      </c>
      <c r="F1087" s="709">
        <v>5000.0</v>
      </c>
      <c r="G1087" s="708" t="s">
        <v>1082</v>
      </c>
      <c r="H1087" s="709">
        <v>5.0</v>
      </c>
      <c r="I1087" s="709">
        <v>5000.0</v>
      </c>
      <c r="J1087" s="705">
        <f t="shared" si="1"/>
        <v>30000</v>
      </c>
      <c r="K1087" s="705">
        <f t="shared" si="7"/>
        <v>2500</v>
      </c>
      <c r="L1087" s="705">
        <f t="shared" si="3"/>
        <v>32500</v>
      </c>
      <c r="M1087" s="706">
        <f t="shared" si="5"/>
        <v>6.5</v>
      </c>
    </row>
    <row r="1088">
      <c r="A1088" s="702" t="s">
        <v>33688</v>
      </c>
      <c r="B1088" s="702" t="s">
        <v>33700</v>
      </c>
      <c r="C1088" s="707"/>
      <c r="D1088" s="707"/>
      <c r="E1088" s="708" t="s">
        <v>207</v>
      </c>
      <c r="F1088" s="709">
        <v>1000.0</v>
      </c>
      <c r="G1088" s="708" t="s">
        <v>20765</v>
      </c>
      <c r="H1088" s="709">
        <v>8.0</v>
      </c>
      <c r="I1088" s="709">
        <v>1000.0</v>
      </c>
      <c r="J1088" s="705">
        <f t="shared" si="1"/>
        <v>9000</v>
      </c>
      <c r="K1088" s="705">
        <f t="shared" si="7"/>
        <v>1450</v>
      </c>
      <c r="L1088" s="705">
        <f t="shared" si="3"/>
        <v>10450</v>
      </c>
      <c r="M1088" s="706">
        <f t="shared" si="5"/>
        <v>10.45</v>
      </c>
    </row>
    <row r="1089">
      <c r="A1089" s="702" t="s">
        <v>33688</v>
      </c>
      <c r="B1089" s="702" t="s">
        <v>33701</v>
      </c>
      <c r="C1089" s="707"/>
      <c r="D1089" s="707"/>
      <c r="E1089" s="708" t="s">
        <v>286</v>
      </c>
      <c r="F1089" s="709">
        <v>300.0</v>
      </c>
      <c r="G1089" s="708" t="s">
        <v>1082</v>
      </c>
      <c r="H1089" s="709">
        <v>20.0</v>
      </c>
      <c r="I1089" s="709">
        <v>500.0</v>
      </c>
      <c r="J1089" s="705">
        <f t="shared" si="1"/>
        <v>6500</v>
      </c>
      <c r="K1089" s="705">
        <f t="shared" si="7"/>
        <v>1325</v>
      </c>
      <c r="L1089" s="705">
        <f t="shared" si="3"/>
        <v>7825</v>
      </c>
      <c r="M1089" s="706">
        <f t="shared" si="5"/>
        <v>26.08333333</v>
      </c>
    </row>
    <row r="1090">
      <c r="A1090" s="702" t="s">
        <v>33688</v>
      </c>
      <c r="B1090" s="702" t="s">
        <v>33701</v>
      </c>
      <c r="C1090" s="707"/>
      <c r="D1090" s="707"/>
      <c r="E1090" s="708" t="s">
        <v>97</v>
      </c>
      <c r="F1090" s="709">
        <v>1200.0</v>
      </c>
      <c r="G1090" s="708" t="s">
        <v>1082</v>
      </c>
      <c r="H1090" s="709">
        <v>12.0</v>
      </c>
      <c r="I1090" s="709">
        <v>1500.0</v>
      </c>
      <c r="J1090" s="705">
        <f t="shared" si="1"/>
        <v>15900</v>
      </c>
      <c r="K1090" s="705">
        <f t="shared" si="7"/>
        <v>1795</v>
      </c>
      <c r="L1090" s="705">
        <f t="shared" si="3"/>
        <v>17695</v>
      </c>
      <c r="M1090" s="706">
        <f t="shared" si="5"/>
        <v>14.74583333</v>
      </c>
    </row>
    <row r="1091">
      <c r="A1091" s="702" t="s">
        <v>33688</v>
      </c>
      <c r="B1091" s="702" t="s">
        <v>33702</v>
      </c>
      <c r="C1091" s="707"/>
      <c r="D1091" s="707"/>
      <c r="E1091" s="708" t="s">
        <v>222</v>
      </c>
      <c r="F1091" s="709">
        <v>400000.0</v>
      </c>
      <c r="G1091" s="708" t="s">
        <v>1082</v>
      </c>
      <c r="H1091" s="709">
        <v>3.2</v>
      </c>
      <c r="I1091" s="705"/>
      <c r="J1091" s="705">
        <f t="shared" si="1"/>
        <v>1280000</v>
      </c>
      <c r="K1091" s="705">
        <f t="shared" si="7"/>
        <v>65000</v>
      </c>
      <c r="L1091" s="705">
        <f t="shared" si="3"/>
        <v>1345000</v>
      </c>
      <c r="M1091" s="706">
        <f t="shared" si="5"/>
        <v>3.3625</v>
      </c>
    </row>
    <row r="1092">
      <c r="A1092" s="702" t="s">
        <v>33703</v>
      </c>
      <c r="B1092" s="702" t="s">
        <v>33704</v>
      </c>
      <c r="C1092" s="707"/>
      <c r="D1092" s="707"/>
      <c r="E1092" s="708" t="s">
        <v>33705</v>
      </c>
      <c r="F1092" s="709">
        <v>1500.0</v>
      </c>
      <c r="G1092" s="708" t="s">
        <v>2682</v>
      </c>
      <c r="H1092" s="709">
        <v>2.5</v>
      </c>
      <c r="I1092" s="709">
        <v>750.0</v>
      </c>
      <c r="J1092" s="705">
        <f t="shared" si="1"/>
        <v>4500</v>
      </c>
      <c r="K1092" s="705">
        <f t="shared" si="7"/>
        <v>1225</v>
      </c>
      <c r="L1092" s="705">
        <f t="shared" si="3"/>
        <v>5725</v>
      </c>
      <c r="M1092" s="706">
        <f t="shared" si="5"/>
        <v>3.816666667</v>
      </c>
    </row>
    <row r="1093">
      <c r="A1093" s="702" t="s">
        <v>33703</v>
      </c>
      <c r="B1093" s="702" t="s">
        <v>33704</v>
      </c>
      <c r="C1093" s="707"/>
      <c r="D1093" s="707"/>
      <c r="E1093" s="708" t="s">
        <v>33706</v>
      </c>
      <c r="F1093" s="709">
        <v>1500.0</v>
      </c>
      <c r="G1093" s="708" t="s">
        <v>2682</v>
      </c>
      <c r="H1093" s="709">
        <v>4.0</v>
      </c>
      <c r="I1093" s="709">
        <v>750.0</v>
      </c>
      <c r="J1093" s="705">
        <f t="shared" si="1"/>
        <v>6750</v>
      </c>
      <c r="K1093" s="705">
        <f t="shared" si="7"/>
        <v>1337.5</v>
      </c>
      <c r="L1093" s="705">
        <f t="shared" si="3"/>
        <v>8087.5</v>
      </c>
      <c r="M1093" s="706">
        <f t="shared" si="5"/>
        <v>5.391666667</v>
      </c>
    </row>
    <row r="1094">
      <c r="A1094" s="702" t="s">
        <v>33703</v>
      </c>
      <c r="B1094" s="702" t="s">
        <v>33707</v>
      </c>
      <c r="C1094" s="707"/>
      <c r="D1094" s="707"/>
      <c r="E1094" s="708" t="s">
        <v>167</v>
      </c>
      <c r="F1094" s="709">
        <v>400.0</v>
      </c>
      <c r="G1094" s="708" t="s">
        <v>507</v>
      </c>
      <c r="H1094" s="709">
        <v>10.0</v>
      </c>
      <c r="I1094" s="709">
        <v>500.0</v>
      </c>
      <c r="J1094" s="705">
        <f t="shared" si="1"/>
        <v>4500</v>
      </c>
      <c r="K1094" s="705">
        <f t="shared" si="7"/>
        <v>1225</v>
      </c>
      <c r="L1094" s="705">
        <f t="shared" si="3"/>
        <v>5725</v>
      </c>
      <c r="M1094" s="706">
        <f t="shared" si="5"/>
        <v>14.3125</v>
      </c>
    </row>
    <row r="1095">
      <c r="A1095" s="702" t="s">
        <v>33703</v>
      </c>
      <c r="B1095" s="702" t="s">
        <v>33708</v>
      </c>
      <c r="C1095" s="707"/>
      <c r="D1095" s="707"/>
      <c r="E1095" s="708" t="s">
        <v>33709</v>
      </c>
      <c r="F1095" s="709">
        <v>20000.0</v>
      </c>
      <c r="G1095" s="708" t="s">
        <v>507</v>
      </c>
      <c r="H1095" s="709">
        <v>25.0</v>
      </c>
      <c r="I1095" s="705"/>
      <c r="J1095" s="705">
        <f t="shared" si="1"/>
        <v>500000</v>
      </c>
      <c r="K1095" s="705">
        <f t="shared" si="7"/>
        <v>26000</v>
      </c>
      <c r="L1095" s="705">
        <f t="shared" si="3"/>
        <v>526000</v>
      </c>
      <c r="M1095" s="706">
        <f t="shared" si="5"/>
        <v>26.3</v>
      </c>
    </row>
    <row r="1096">
      <c r="A1096" s="702" t="s">
        <v>33703</v>
      </c>
      <c r="B1096" s="702" t="s">
        <v>33710</v>
      </c>
      <c r="C1096" s="707"/>
      <c r="D1096" s="707"/>
      <c r="E1096" s="708" t="s">
        <v>2813</v>
      </c>
      <c r="F1096" s="709">
        <v>25000.0</v>
      </c>
      <c r="G1096" s="708" t="s">
        <v>1082</v>
      </c>
      <c r="H1096" s="709">
        <v>12.0</v>
      </c>
      <c r="I1096" s="705"/>
      <c r="J1096" s="705">
        <f t="shared" si="1"/>
        <v>300000</v>
      </c>
      <c r="K1096" s="705">
        <f t="shared" si="7"/>
        <v>16000</v>
      </c>
      <c r="L1096" s="705">
        <f t="shared" si="3"/>
        <v>316000</v>
      </c>
      <c r="M1096" s="706">
        <f t="shared" si="5"/>
        <v>12.64</v>
      </c>
    </row>
    <row r="1097">
      <c r="A1097" s="702" t="s">
        <v>33703</v>
      </c>
      <c r="B1097" s="702" t="s">
        <v>33711</v>
      </c>
      <c r="C1097" s="707"/>
      <c r="D1097" s="707"/>
      <c r="E1097" s="708" t="s">
        <v>18774</v>
      </c>
      <c r="F1097" s="709">
        <v>1000.0</v>
      </c>
      <c r="G1097" s="708" t="s">
        <v>20765</v>
      </c>
      <c r="H1097" s="709">
        <v>34.5</v>
      </c>
      <c r="I1097" s="709">
        <v>1000.0</v>
      </c>
      <c r="J1097" s="705">
        <f t="shared" si="1"/>
        <v>35500</v>
      </c>
      <c r="K1097" s="705">
        <f t="shared" si="7"/>
        <v>2775</v>
      </c>
      <c r="L1097" s="705">
        <f t="shared" si="3"/>
        <v>38275</v>
      </c>
      <c r="M1097" s="706">
        <f t="shared" si="5"/>
        <v>38.275</v>
      </c>
    </row>
    <row r="1098">
      <c r="A1098" s="702" t="s">
        <v>33703</v>
      </c>
      <c r="B1098" s="702" t="s">
        <v>33712</v>
      </c>
      <c r="C1098" s="707"/>
      <c r="D1098" s="707"/>
      <c r="E1098" s="708" t="s">
        <v>130</v>
      </c>
      <c r="F1098" s="709">
        <v>500000.0</v>
      </c>
      <c r="G1098" s="708" t="s">
        <v>20765</v>
      </c>
      <c r="H1098" s="709">
        <v>25.0</v>
      </c>
      <c r="I1098" s="705"/>
      <c r="J1098" s="705">
        <f t="shared" si="1"/>
        <v>12500000</v>
      </c>
      <c r="K1098" s="705">
        <f t="shared" si="7"/>
        <v>626000</v>
      </c>
      <c r="L1098" s="705">
        <f t="shared" si="3"/>
        <v>13126000</v>
      </c>
      <c r="M1098" s="706">
        <f t="shared" si="5"/>
        <v>26.252</v>
      </c>
    </row>
    <row r="1099">
      <c r="A1099" s="702" t="s">
        <v>33703</v>
      </c>
      <c r="B1099" s="702" t="s">
        <v>33713</v>
      </c>
      <c r="C1099" s="707"/>
      <c r="D1099" s="707"/>
      <c r="E1099" s="708" t="s">
        <v>12468</v>
      </c>
      <c r="F1099" s="709">
        <v>1000.0</v>
      </c>
      <c r="G1099" s="708" t="s">
        <v>2662</v>
      </c>
      <c r="H1099" s="709">
        <v>6.0</v>
      </c>
      <c r="I1099" s="709">
        <v>1000.0</v>
      </c>
      <c r="J1099" s="705">
        <f t="shared" si="1"/>
        <v>7000</v>
      </c>
      <c r="K1099" s="705">
        <f t="shared" si="7"/>
        <v>1350</v>
      </c>
      <c r="L1099" s="705">
        <f t="shared" si="3"/>
        <v>8350</v>
      </c>
      <c r="M1099" s="706">
        <f t="shared" si="5"/>
        <v>8.35</v>
      </c>
    </row>
    <row r="1100">
      <c r="A1100" s="702" t="s">
        <v>33703</v>
      </c>
      <c r="B1100" s="702" t="s">
        <v>33714</v>
      </c>
      <c r="C1100" s="707"/>
      <c r="D1100" s="707"/>
      <c r="E1100" s="708" t="s">
        <v>33715</v>
      </c>
      <c r="F1100" s="709">
        <v>30000.0</v>
      </c>
      <c r="G1100" s="708" t="s">
        <v>507</v>
      </c>
      <c r="H1100" s="709">
        <v>1.3</v>
      </c>
      <c r="I1100" s="705"/>
      <c r="J1100" s="705">
        <f t="shared" si="1"/>
        <v>39000</v>
      </c>
      <c r="K1100" s="705">
        <f t="shared" si="7"/>
        <v>2950</v>
      </c>
      <c r="L1100" s="705">
        <f t="shared" si="3"/>
        <v>41950</v>
      </c>
      <c r="M1100" s="706">
        <f t="shared" si="5"/>
        <v>1.398333333</v>
      </c>
    </row>
    <row r="1101">
      <c r="A1101" s="702" t="s">
        <v>33703</v>
      </c>
      <c r="B1101" s="702" t="s">
        <v>33714</v>
      </c>
      <c r="C1101" s="707"/>
      <c r="D1101" s="707"/>
      <c r="E1101" s="708" t="s">
        <v>33716</v>
      </c>
      <c r="F1101" s="709">
        <v>30000.0</v>
      </c>
      <c r="G1101" s="708" t="s">
        <v>507</v>
      </c>
      <c r="H1101" s="709">
        <v>1.2</v>
      </c>
      <c r="I1101" s="705"/>
      <c r="J1101" s="705">
        <f t="shared" si="1"/>
        <v>36000</v>
      </c>
      <c r="K1101" s="705">
        <f t="shared" si="7"/>
        <v>2800</v>
      </c>
      <c r="L1101" s="705">
        <f t="shared" si="3"/>
        <v>38800</v>
      </c>
      <c r="M1101" s="706">
        <f t="shared" si="5"/>
        <v>1.293333333</v>
      </c>
    </row>
    <row r="1102">
      <c r="A1102" s="702" t="s">
        <v>33703</v>
      </c>
      <c r="B1102" s="702" t="s">
        <v>33717</v>
      </c>
      <c r="C1102" s="707"/>
      <c r="D1102" s="707"/>
      <c r="E1102" s="708" t="s">
        <v>10409</v>
      </c>
      <c r="F1102" s="709">
        <v>4000.0</v>
      </c>
      <c r="G1102" s="708" t="s">
        <v>507</v>
      </c>
      <c r="H1102" s="709">
        <v>22.0</v>
      </c>
      <c r="I1102" s="709">
        <v>4000.0</v>
      </c>
      <c r="J1102" s="705">
        <f t="shared" si="1"/>
        <v>92000</v>
      </c>
      <c r="K1102" s="705">
        <f t="shared" si="7"/>
        <v>5600</v>
      </c>
      <c r="L1102" s="705">
        <f t="shared" si="3"/>
        <v>97600</v>
      </c>
      <c r="M1102" s="706">
        <f t="shared" si="5"/>
        <v>24.4</v>
      </c>
    </row>
    <row r="1103">
      <c r="A1103" s="702" t="s">
        <v>33718</v>
      </c>
      <c r="B1103" s="702" t="s">
        <v>33719</v>
      </c>
      <c r="C1103" s="707"/>
      <c r="D1103" s="707"/>
      <c r="E1103" s="708" t="s">
        <v>152</v>
      </c>
      <c r="F1103" s="709">
        <v>1000.0</v>
      </c>
      <c r="G1103" s="708" t="s">
        <v>1461</v>
      </c>
      <c r="H1103" s="709">
        <v>22.0</v>
      </c>
      <c r="I1103" s="709">
        <v>1000.0</v>
      </c>
      <c r="J1103" s="705">
        <f t="shared" si="1"/>
        <v>23000</v>
      </c>
      <c r="K1103" s="705">
        <f t="shared" si="7"/>
        <v>2150</v>
      </c>
      <c r="L1103" s="705">
        <f t="shared" si="3"/>
        <v>25150</v>
      </c>
      <c r="M1103" s="706">
        <f t="shared" si="5"/>
        <v>25.15</v>
      </c>
    </row>
    <row r="1104">
      <c r="A1104" s="702" t="s">
        <v>33718</v>
      </c>
      <c r="B1104" s="702" t="s">
        <v>33720</v>
      </c>
      <c r="C1104" s="707"/>
      <c r="D1104" s="707"/>
      <c r="E1104" s="708" t="s">
        <v>33721</v>
      </c>
      <c r="F1104" s="709">
        <v>200.0</v>
      </c>
      <c r="G1104" s="708" t="s">
        <v>507</v>
      </c>
      <c r="H1104" s="709">
        <v>250.0</v>
      </c>
      <c r="I1104" s="709">
        <v>300.0</v>
      </c>
      <c r="J1104" s="705">
        <f t="shared" si="1"/>
        <v>50300</v>
      </c>
      <c r="K1104" s="705">
        <f t="shared" si="7"/>
        <v>3515</v>
      </c>
      <c r="L1104" s="705">
        <f t="shared" si="3"/>
        <v>53815</v>
      </c>
      <c r="M1104" s="706">
        <f t="shared" si="5"/>
        <v>269.075</v>
      </c>
    </row>
    <row r="1105">
      <c r="A1105" s="702" t="s">
        <v>33718</v>
      </c>
      <c r="B1105" s="702" t="s">
        <v>33722</v>
      </c>
      <c r="C1105" s="707"/>
      <c r="D1105" s="707"/>
      <c r="E1105" s="708" t="s">
        <v>32700</v>
      </c>
      <c r="F1105" s="709">
        <v>300.0</v>
      </c>
      <c r="G1105" s="708" t="s">
        <v>33494</v>
      </c>
      <c r="H1105" s="709">
        <v>400.0</v>
      </c>
      <c r="I1105" s="709">
        <v>500.0</v>
      </c>
      <c r="J1105" s="705">
        <f t="shared" si="1"/>
        <v>120500</v>
      </c>
      <c r="K1105" s="705">
        <f t="shared" si="7"/>
        <v>7025</v>
      </c>
      <c r="L1105" s="705">
        <f t="shared" si="3"/>
        <v>127525</v>
      </c>
      <c r="M1105" s="706">
        <f t="shared" si="5"/>
        <v>425.0833333</v>
      </c>
    </row>
    <row r="1106">
      <c r="A1106" s="702" t="s">
        <v>33718</v>
      </c>
      <c r="B1106" s="702" t="s">
        <v>33723</v>
      </c>
      <c r="C1106" s="707"/>
      <c r="D1106" s="707"/>
      <c r="E1106" s="708" t="s">
        <v>7103</v>
      </c>
      <c r="F1106" s="709">
        <v>500.0</v>
      </c>
      <c r="G1106" s="708" t="s">
        <v>33724</v>
      </c>
      <c r="H1106" s="709">
        <v>610.0</v>
      </c>
      <c r="I1106" s="709">
        <v>500.0</v>
      </c>
      <c r="J1106" s="705">
        <f t="shared" si="1"/>
        <v>305500</v>
      </c>
      <c r="K1106" s="705">
        <f t="shared" si="7"/>
        <v>16275</v>
      </c>
      <c r="L1106" s="705">
        <f t="shared" si="3"/>
        <v>321775</v>
      </c>
      <c r="M1106" s="706">
        <f t="shared" si="5"/>
        <v>643.55</v>
      </c>
    </row>
    <row r="1107">
      <c r="A1107" s="702" t="s">
        <v>33718</v>
      </c>
      <c r="B1107" s="702" t="s">
        <v>33725</v>
      </c>
      <c r="C1107" s="707"/>
      <c r="D1107" s="707"/>
      <c r="E1107" s="708" t="s">
        <v>43</v>
      </c>
      <c r="F1107" s="709">
        <v>100000.0</v>
      </c>
      <c r="G1107" s="708" t="s">
        <v>1082</v>
      </c>
      <c r="H1107" s="709">
        <v>7.5</v>
      </c>
      <c r="I1107" s="705"/>
      <c r="J1107" s="705">
        <f t="shared" si="1"/>
        <v>750000</v>
      </c>
      <c r="K1107" s="705">
        <f t="shared" si="7"/>
        <v>38500</v>
      </c>
      <c r="L1107" s="705">
        <f t="shared" si="3"/>
        <v>788500</v>
      </c>
      <c r="M1107" s="706">
        <f t="shared" si="5"/>
        <v>7.885</v>
      </c>
    </row>
    <row r="1108">
      <c r="A1108" s="702" t="s">
        <v>33718</v>
      </c>
      <c r="B1108" s="702" t="s">
        <v>33726</v>
      </c>
      <c r="C1108" s="707"/>
      <c r="D1108" s="707"/>
      <c r="E1108" s="708" t="s">
        <v>4171</v>
      </c>
      <c r="F1108" s="709">
        <v>1000.0</v>
      </c>
      <c r="G1108" s="708" t="s">
        <v>33727</v>
      </c>
      <c r="H1108" s="709">
        <v>86.0</v>
      </c>
      <c r="I1108" s="709">
        <v>1000.0</v>
      </c>
      <c r="J1108" s="705">
        <f t="shared" si="1"/>
        <v>87000</v>
      </c>
      <c r="K1108" s="705">
        <f t="shared" si="7"/>
        <v>5350</v>
      </c>
      <c r="L1108" s="705">
        <f t="shared" si="3"/>
        <v>92350</v>
      </c>
      <c r="M1108" s="706">
        <f t="shared" si="5"/>
        <v>92.35</v>
      </c>
    </row>
    <row r="1109">
      <c r="A1109" s="702" t="s">
        <v>33718</v>
      </c>
      <c r="B1109" s="702" t="s">
        <v>33728</v>
      </c>
      <c r="C1109" s="707"/>
      <c r="D1109" s="707"/>
      <c r="E1109" s="708" t="s">
        <v>6421</v>
      </c>
      <c r="F1109" s="709">
        <v>1200.0</v>
      </c>
      <c r="G1109" s="708" t="s">
        <v>1082</v>
      </c>
      <c r="H1109" s="709">
        <v>12.0</v>
      </c>
      <c r="I1109" s="709">
        <v>1500.0</v>
      </c>
      <c r="J1109" s="705">
        <f t="shared" si="1"/>
        <v>15900</v>
      </c>
      <c r="K1109" s="705">
        <f t="shared" si="7"/>
        <v>1795</v>
      </c>
      <c r="L1109" s="705">
        <f t="shared" si="3"/>
        <v>17695</v>
      </c>
      <c r="M1109" s="706">
        <f t="shared" si="5"/>
        <v>14.74583333</v>
      </c>
    </row>
    <row r="1110">
      <c r="A1110" s="702" t="s">
        <v>33718</v>
      </c>
      <c r="B1110" s="96" t="s">
        <v>33729</v>
      </c>
      <c r="C1110" s="707"/>
      <c r="D1110" s="707"/>
      <c r="E1110" s="708" t="s">
        <v>11071</v>
      </c>
      <c r="F1110" s="709">
        <v>1250.0</v>
      </c>
      <c r="G1110" s="708" t="s">
        <v>1082</v>
      </c>
      <c r="H1110" s="709">
        <v>62.0</v>
      </c>
      <c r="I1110" s="709">
        <v>1500.0</v>
      </c>
      <c r="J1110" s="705">
        <f t="shared" si="1"/>
        <v>79000</v>
      </c>
      <c r="K1110" s="705">
        <f t="shared" si="7"/>
        <v>4950</v>
      </c>
      <c r="L1110" s="705">
        <f t="shared" si="3"/>
        <v>83950</v>
      </c>
      <c r="M1110" s="706">
        <f t="shared" si="5"/>
        <v>67.16</v>
      </c>
    </row>
    <row r="1111">
      <c r="A1111" s="702" t="s">
        <v>33718</v>
      </c>
      <c r="B1111" s="702" t="s">
        <v>33730</v>
      </c>
      <c r="C1111" s="707"/>
      <c r="D1111" s="707"/>
      <c r="E1111" s="708" t="s">
        <v>3341</v>
      </c>
      <c r="F1111" s="709">
        <v>4000.0</v>
      </c>
      <c r="G1111" s="708" t="s">
        <v>1082</v>
      </c>
      <c r="H1111" s="709">
        <v>16.5</v>
      </c>
      <c r="I1111" s="709">
        <v>4000.0</v>
      </c>
      <c r="J1111" s="705">
        <f t="shared" si="1"/>
        <v>70000</v>
      </c>
      <c r="K1111" s="705">
        <f t="shared" si="7"/>
        <v>4500</v>
      </c>
      <c r="L1111" s="705">
        <f t="shared" si="3"/>
        <v>74500</v>
      </c>
      <c r="M1111" s="706">
        <f t="shared" si="5"/>
        <v>18.625</v>
      </c>
    </row>
    <row r="1112">
      <c r="A1112" s="702" t="s">
        <v>33731</v>
      </c>
      <c r="B1112" s="702" t="s">
        <v>33732</v>
      </c>
      <c r="C1112" s="707"/>
      <c r="D1112" s="707"/>
      <c r="E1112" s="708" t="s">
        <v>5226</v>
      </c>
      <c r="F1112" s="709">
        <v>200.0</v>
      </c>
      <c r="G1112" s="708" t="s">
        <v>467</v>
      </c>
      <c r="H1112" s="709">
        <v>140.0</v>
      </c>
      <c r="I1112" s="709">
        <v>500.0</v>
      </c>
      <c r="J1112" s="705">
        <f t="shared" si="1"/>
        <v>28500</v>
      </c>
      <c r="K1112" s="705">
        <f t="shared" si="7"/>
        <v>2425</v>
      </c>
      <c r="L1112" s="705">
        <f t="shared" si="3"/>
        <v>30925</v>
      </c>
      <c r="M1112" s="706">
        <f t="shared" si="5"/>
        <v>154.625</v>
      </c>
    </row>
    <row r="1113">
      <c r="A1113" s="702" t="s">
        <v>33731</v>
      </c>
      <c r="B1113" s="702" t="s">
        <v>33733</v>
      </c>
      <c r="C1113" s="707"/>
      <c r="D1113" s="707"/>
      <c r="E1113" s="708" t="s">
        <v>4085</v>
      </c>
      <c r="F1113" s="709">
        <v>50000.0</v>
      </c>
      <c r="G1113" s="708" t="s">
        <v>20765</v>
      </c>
      <c r="H1113" s="709">
        <v>18.0</v>
      </c>
      <c r="I1113" s="705"/>
      <c r="J1113" s="705">
        <f t="shared" si="1"/>
        <v>900000</v>
      </c>
      <c r="K1113" s="705">
        <f t="shared" si="7"/>
        <v>46000</v>
      </c>
      <c r="L1113" s="705">
        <f t="shared" si="3"/>
        <v>946000</v>
      </c>
      <c r="M1113" s="706">
        <f t="shared" si="5"/>
        <v>18.92</v>
      </c>
    </row>
    <row r="1114">
      <c r="A1114" s="702" t="s">
        <v>33731</v>
      </c>
      <c r="B1114" s="702" t="s">
        <v>33734</v>
      </c>
      <c r="C1114" s="707"/>
      <c r="D1114" s="707"/>
      <c r="E1114" s="708" t="s">
        <v>412</v>
      </c>
      <c r="F1114" s="709">
        <v>500.0</v>
      </c>
      <c r="G1114" s="708" t="s">
        <v>20765</v>
      </c>
      <c r="H1114" s="709">
        <v>160.0</v>
      </c>
      <c r="I1114" s="709">
        <v>500.0</v>
      </c>
      <c r="J1114" s="705">
        <f t="shared" si="1"/>
        <v>80500</v>
      </c>
      <c r="K1114" s="705">
        <f t="shared" si="7"/>
        <v>5025</v>
      </c>
      <c r="L1114" s="705">
        <f t="shared" si="3"/>
        <v>85525</v>
      </c>
      <c r="M1114" s="706">
        <f t="shared" si="5"/>
        <v>171.05</v>
      </c>
    </row>
    <row r="1115">
      <c r="A1115" s="702" t="s">
        <v>33731</v>
      </c>
      <c r="B1115" s="702" t="s">
        <v>33735</v>
      </c>
      <c r="C1115" s="707"/>
      <c r="D1115" s="707"/>
      <c r="E1115" s="708" t="s">
        <v>33736</v>
      </c>
      <c r="F1115" s="709">
        <v>1000.0</v>
      </c>
      <c r="G1115" s="708" t="s">
        <v>20765</v>
      </c>
      <c r="H1115" s="709">
        <v>32.0</v>
      </c>
      <c r="I1115" s="709">
        <v>1000.0</v>
      </c>
      <c r="J1115" s="705">
        <f t="shared" si="1"/>
        <v>33000</v>
      </c>
      <c r="K1115" s="705">
        <f t="shared" si="7"/>
        <v>2650</v>
      </c>
      <c r="L1115" s="705">
        <f t="shared" si="3"/>
        <v>35650</v>
      </c>
      <c r="M1115" s="706">
        <f t="shared" si="5"/>
        <v>35.65</v>
      </c>
    </row>
    <row r="1116">
      <c r="A1116" s="702" t="s">
        <v>33731</v>
      </c>
      <c r="B1116" s="702" t="s">
        <v>33737</v>
      </c>
      <c r="C1116" s="707"/>
      <c r="D1116" s="707"/>
      <c r="E1116" s="708" t="s">
        <v>18084</v>
      </c>
      <c r="F1116" s="709">
        <v>300000.0</v>
      </c>
      <c r="G1116" s="708" t="s">
        <v>507</v>
      </c>
      <c r="H1116" s="709">
        <v>62.0</v>
      </c>
      <c r="I1116" s="705"/>
      <c r="J1116" s="705">
        <f t="shared" si="1"/>
        <v>18600000</v>
      </c>
      <c r="K1116" s="705">
        <f t="shared" si="7"/>
        <v>931000</v>
      </c>
      <c r="L1116" s="705">
        <f t="shared" si="3"/>
        <v>19531000</v>
      </c>
      <c r="M1116" s="706">
        <f t="shared" si="5"/>
        <v>65.10333333</v>
      </c>
    </row>
    <row r="1117">
      <c r="A1117" s="702" t="s">
        <v>33731</v>
      </c>
      <c r="B1117" s="702" t="s">
        <v>33738</v>
      </c>
      <c r="C1117" s="707"/>
      <c r="D1117" s="707"/>
      <c r="E1117" s="708" t="s">
        <v>189</v>
      </c>
      <c r="F1117" s="709">
        <v>5000.0</v>
      </c>
      <c r="G1117" s="708" t="s">
        <v>20765</v>
      </c>
      <c r="H1117" s="709">
        <v>6.0</v>
      </c>
      <c r="I1117" s="709">
        <v>5000.0</v>
      </c>
      <c r="J1117" s="705">
        <f t="shared" si="1"/>
        <v>35000</v>
      </c>
      <c r="K1117" s="705">
        <f t="shared" si="7"/>
        <v>2750</v>
      </c>
      <c r="L1117" s="705">
        <f t="shared" si="3"/>
        <v>37750</v>
      </c>
      <c r="M1117" s="706">
        <f t="shared" si="5"/>
        <v>7.55</v>
      </c>
    </row>
    <row r="1118">
      <c r="A1118" s="702" t="s">
        <v>33731</v>
      </c>
      <c r="B1118" s="702" t="s">
        <v>33739</v>
      </c>
      <c r="C1118" s="707"/>
      <c r="D1118" s="707"/>
      <c r="E1118" s="708" t="s">
        <v>1509</v>
      </c>
      <c r="F1118" s="709">
        <v>1000.0</v>
      </c>
      <c r="G1118" s="708" t="s">
        <v>1082</v>
      </c>
      <c r="H1118" s="709">
        <v>5.6</v>
      </c>
      <c r="I1118" s="709">
        <v>1000.0</v>
      </c>
      <c r="J1118" s="705">
        <f t="shared" si="1"/>
        <v>6600</v>
      </c>
      <c r="K1118" s="705">
        <f t="shared" si="7"/>
        <v>1330</v>
      </c>
      <c r="L1118" s="705">
        <f t="shared" si="3"/>
        <v>7930</v>
      </c>
      <c r="M1118" s="706">
        <f t="shared" si="5"/>
        <v>7.93</v>
      </c>
    </row>
    <row r="1119">
      <c r="A1119" s="702" t="s">
        <v>33731</v>
      </c>
      <c r="B1119" s="702" t="s">
        <v>33740</v>
      </c>
      <c r="C1119" s="707"/>
      <c r="D1119" s="707"/>
      <c r="E1119" s="708" t="s">
        <v>6421</v>
      </c>
      <c r="F1119" s="709">
        <v>1500.0</v>
      </c>
      <c r="G1119" s="708" t="s">
        <v>1082</v>
      </c>
      <c r="H1119" s="709">
        <v>12.0</v>
      </c>
      <c r="I1119" s="709">
        <v>1500.0</v>
      </c>
      <c r="J1119" s="705">
        <f t="shared" si="1"/>
        <v>19500</v>
      </c>
      <c r="K1119" s="705">
        <f t="shared" si="7"/>
        <v>1975</v>
      </c>
      <c r="L1119" s="705">
        <f t="shared" si="3"/>
        <v>21475</v>
      </c>
      <c r="M1119" s="706">
        <f t="shared" si="5"/>
        <v>14.31666667</v>
      </c>
    </row>
    <row r="1120">
      <c r="A1120" s="702" t="s">
        <v>33731</v>
      </c>
      <c r="B1120" s="702" t="s">
        <v>33741</v>
      </c>
      <c r="C1120" s="707"/>
      <c r="D1120" s="707"/>
      <c r="E1120" s="708" t="s">
        <v>6275</v>
      </c>
      <c r="F1120" s="709">
        <v>1500000.0</v>
      </c>
      <c r="G1120" s="708" t="s">
        <v>18902</v>
      </c>
      <c r="H1120" s="709">
        <v>5.6</v>
      </c>
      <c r="I1120" s="705"/>
      <c r="J1120" s="705">
        <f t="shared" si="1"/>
        <v>8400000</v>
      </c>
      <c r="K1120" s="705">
        <f t="shared" si="7"/>
        <v>421000</v>
      </c>
      <c r="L1120" s="705">
        <f t="shared" si="3"/>
        <v>8821000</v>
      </c>
      <c r="M1120" s="706">
        <f t="shared" si="5"/>
        <v>5.880666667</v>
      </c>
    </row>
    <row r="1121">
      <c r="A1121" s="702" t="s">
        <v>33731</v>
      </c>
      <c r="B1121" s="702" t="s">
        <v>33742</v>
      </c>
      <c r="C1121" s="707"/>
      <c r="D1121" s="707"/>
      <c r="E1121" s="708" t="s">
        <v>33743</v>
      </c>
      <c r="F1121" s="709">
        <v>100000.0</v>
      </c>
      <c r="G1121" s="708" t="s">
        <v>20765</v>
      </c>
      <c r="H1121" s="709">
        <v>4.5</v>
      </c>
      <c r="I1121" s="705"/>
      <c r="J1121" s="705">
        <f t="shared" si="1"/>
        <v>450000</v>
      </c>
      <c r="K1121" s="705">
        <f t="shared" si="7"/>
        <v>23500</v>
      </c>
      <c r="L1121" s="705">
        <f t="shared" si="3"/>
        <v>473500</v>
      </c>
      <c r="M1121" s="706">
        <f t="shared" si="5"/>
        <v>4.735</v>
      </c>
    </row>
    <row r="1122">
      <c r="A1122" s="702" t="s">
        <v>33731</v>
      </c>
      <c r="B1122" s="702" t="s">
        <v>33744</v>
      </c>
      <c r="C1122" s="707"/>
      <c r="D1122" s="707"/>
      <c r="E1122" s="708" t="s">
        <v>7897</v>
      </c>
      <c r="F1122" s="709">
        <v>10000.0</v>
      </c>
      <c r="G1122" s="708" t="s">
        <v>398</v>
      </c>
      <c r="H1122" s="709">
        <v>19.0</v>
      </c>
      <c r="I1122" s="705"/>
      <c r="J1122" s="705">
        <f t="shared" si="1"/>
        <v>190000</v>
      </c>
      <c r="K1122" s="705">
        <f t="shared" si="7"/>
        <v>10500</v>
      </c>
      <c r="L1122" s="705">
        <f t="shared" si="3"/>
        <v>200500</v>
      </c>
      <c r="M1122" s="706">
        <f t="shared" si="5"/>
        <v>20.05</v>
      </c>
    </row>
    <row r="1123">
      <c r="A1123" s="702" t="s">
        <v>33731</v>
      </c>
      <c r="B1123" s="702" t="s">
        <v>33745</v>
      </c>
      <c r="C1123" s="707"/>
      <c r="D1123" s="707"/>
      <c r="E1123" s="708" t="s">
        <v>33746</v>
      </c>
      <c r="F1123" s="709">
        <v>2000.0</v>
      </c>
      <c r="G1123" s="708" t="s">
        <v>1082</v>
      </c>
      <c r="H1123" s="709">
        <v>66.0</v>
      </c>
      <c r="I1123" s="709">
        <v>2000.0</v>
      </c>
      <c r="J1123" s="705">
        <f t="shared" si="1"/>
        <v>134000</v>
      </c>
      <c r="K1123" s="705">
        <f t="shared" si="7"/>
        <v>7700</v>
      </c>
      <c r="L1123" s="705">
        <f t="shared" si="3"/>
        <v>141700</v>
      </c>
      <c r="M1123" s="706">
        <f t="shared" si="5"/>
        <v>70.85</v>
      </c>
    </row>
    <row r="1124">
      <c r="A1124" s="702" t="s">
        <v>33731</v>
      </c>
      <c r="B1124" s="702" t="s">
        <v>33747</v>
      </c>
      <c r="C1124" s="707"/>
      <c r="D1124" s="707"/>
      <c r="E1124" s="708" t="s">
        <v>33748</v>
      </c>
      <c r="F1124" s="709">
        <v>4000.0</v>
      </c>
      <c r="G1124" s="708" t="s">
        <v>507</v>
      </c>
      <c r="H1124" s="709">
        <v>8.0</v>
      </c>
      <c r="I1124" s="709">
        <v>500.0</v>
      </c>
      <c r="J1124" s="705">
        <f t="shared" si="1"/>
        <v>32500</v>
      </c>
      <c r="K1124" s="705">
        <f t="shared" si="7"/>
        <v>2625</v>
      </c>
      <c r="L1124" s="705">
        <f t="shared" si="3"/>
        <v>35125</v>
      </c>
      <c r="M1124" s="706">
        <f t="shared" si="5"/>
        <v>8.78125</v>
      </c>
    </row>
    <row r="1125">
      <c r="A1125" s="702" t="s">
        <v>33731</v>
      </c>
      <c r="B1125" s="96" t="s">
        <v>33747</v>
      </c>
      <c r="C1125" s="707"/>
      <c r="D1125" s="707"/>
      <c r="E1125" s="708" t="s">
        <v>33749</v>
      </c>
      <c r="F1125" s="709">
        <v>200.0</v>
      </c>
      <c r="G1125" s="708" t="s">
        <v>507</v>
      </c>
      <c r="H1125" s="709">
        <v>12.0</v>
      </c>
      <c r="I1125" s="709">
        <v>500.0</v>
      </c>
      <c r="J1125" s="705">
        <f t="shared" si="1"/>
        <v>2900</v>
      </c>
      <c r="K1125" s="705">
        <f t="shared" si="7"/>
        <v>1145</v>
      </c>
      <c r="L1125" s="705">
        <f t="shared" si="3"/>
        <v>4045</v>
      </c>
      <c r="M1125" s="706">
        <f t="shared" si="5"/>
        <v>20.225</v>
      </c>
    </row>
    <row r="1126">
      <c r="A1126" s="702" t="s">
        <v>33731</v>
      </c>
      <c r="B1126" s="702" t="s">
        <v>33750</v>
      </c>
      <c r="C1126" s="707"/>
      <c r="D1126" s="707"/>
      <c r="E1126" s="708" t="s">
        <v>33751</v>
      </c>
      <c r="F1126" s="709">
        <v>500.0</v>
      </c>
      <c r="G1126" s="708" t="s">
        <v>507</v>
      </c>
      <c r="H1126" s="709">
        <v>8.5</v>
      </c>
      <c r="I1126" s="709">
        <v>500.0</v>
      </c>
      <c r="J1126" s="705">
        <f t="shared" si="1"/>
        <v>4750</v>
      </c>
      <c r="K1126" s="705">
        <f t="shared" si="7"/>
        <v>1237.5</v>
      </c>
      <c r="L1126" s="705">
        <f t="shared" si="3"/>
        <v>5987.5</v>
      </c>
      <c r="M1126" s="706">
        <f t="shared" si="5"/>
        <v>11.975</v>
      </c>
    </row>
    <row r="1127">
      <c r="A1127" s="702" t="s">
        <v>33731</v>
      </c>
      <c r="B1127" s="702" t="s">
        <v>33752</v>
      </c>
      <c r="C1127" s="707"/>
      <c r="D1127" s="707"/>
      <c r="E1127" s="708" t="s">
        <v>33753</v>
      </c>
      <c r="F1127" s="709">
        <v>10000.0</v>
      </c>
      <c r="G1127" s="708" t="s">
        <v>507</v>
      </c>
      <c r="H1127" s="709">
        <v>4.2</v>
      </c>
      <c r="I1127" s="705"/>
      <c r="J1127" s="705">
        <f t="shared" si="1"/>
        <v>42000</v>
      </c>
      <c r="K1127" s="705">
        <f t="shared" si="7"/>
        <v>3100</v>
      </c>
      <c r="L1127" s="705">
        <f t="shared" si="3"/>
        <v>45100</v>
      </c>
      <c r="M1127" s="706">
        <f t="shared" si="5"/>
        <v>4.51</v>
      </c>
    </row>
    <row r="1128">
      <c r="A1128" s="702" t="s">
        <v>33731</v>
      </c>
      <c r="B1128" s="702" t="s">
        <v>33752</v>
      </c>
      <c r="C1128" s="707"/>
      <c r="D1128" s="707"/>
      <c r="E1128" s="708" t="s">
        <v>33754</v>
      </c>
      <c r="F1128" s="709">
        <v>10000.0</v>
      </c>
      <c r="G1128" s="708" t="s">
        <v>507</v>
      </c>
      <c r="H1128" s="709">
        <v>3.4</v>
      </c>
      <c r="I1128" s="705"/>
      <c r="J1128" s="705">
        <f t="shared" si="1"/>
        <v>34000</v>
      </c>
      <c r="K1128" s="705">
        <f t="shared" si="7"/>
        <v>2700</v>
      </c>
      <c r="L1128" s="705">
        <f t="shared" si="3"/>
        <v>36700</v>
      </c>
      <c r="M1128" s="706">
        <f t="shared" si="5"/>
        <v>3.67</v>
      </c>
    </row>
    <row r="1129">
      <c r="A1129" s="702" t="s">
        <v>33731</v>
      </c>
      <c r="B1129" s="702" t="s">
        <v>33755</v>
      </c>
      <c r="C1129" s="707"/>
      <c r="D1129" s="707"/>
      <c r="E1129" s="720" t="s">
        <v>20008</v>
      </c>
      <c r="F1129" s="709">
        <v>1000.0</v>
      </c>
      <c r="G1129" s="708" t="s">
        <v>507</v>
      </c>
      <c r="H1129" s="709">
        <v>19.0</v>
      </c>
      <c r="I1129" s="709">
        <v>1000.0</v>
      </c>
      <c r="J1129" s="705">
        <f t="shared" si="1"/>
        <v>20000</v>
      </c>
      <c r="K1129" s="705">
        <f t="shared" si="7"/>
        <v>2000</v>
      </c>
      <c r="L1129" s="705">
        <f t="shared" si="3"/>
        <v>22000</v>
      </c>
      <c r="M1129" s="706">
        <f t="shared" si="5"/>
        <v>22</v>
      </c>
    </row>
    <row r="1130">
      <c r="A1130" s="702" t="s">
        <v>33756</v>
      </c>
      <c r="B1130" s="702" t="s">
        <v>33757</v>
      </c>
      <c r="C1130" s="707"/>
      <c r="D1130" s="707"/>
      <c r="E1130" s="708" t="s">
        <v>794</v>
      </c>
      <c r="F1130" s="709">
        <v>200.0</v>
      </c>
      <c r="G1130" s="708" t="s">
        <v>20765</v>
      </c>
      <c r="H1130" s="709">
        <v>4.4</v>
      </c>
      <c r="I1130" s="709">
        <v>400.0</v>
      </c>
      <c r="J1130" s="705">
        <f t="shared" si="1"/>
        <v>1280</v>
      </c>
      <c r="K1130" s="705">
        <f t="shared" si="7"/>
        <v>1064</v>
      </c>
      <c r="L1130" s="705">
        <f t="shared" si="3"/>
        <v>2344</v>
      </c>
      <c r="M1130" s="706">
        <f t="shared" si="5"/>
        <v>11.72</v>
      </c>
    </row>
    <row r="1131">
      <c r="A1131" s="702" t="s">
        <v>33756</v>
      </c>
      <c r="B1131" s="702" t="s">
        <v>33758</v>
      </c>
      <c r="C1131" s="707"/>
      <c r="D1131" s="707"/>
      <c r="E1131" s="708" t="s">
        <v>33141</v>
      </c>
      <c r="F1131" s="709">
        <v>500.0</v>
      </c>
      <c r="G1131" s="708" t="s">
        <v>467</v>
      </c>
      <c r="H1131" s="709">
        <v>1.3</v>
      </c>
      <c r="I1131" s="709">
        <v>1000.0</v>
      </c>
      <c r="J1131" s="705">
        <f t="shared" si="1"/>
        <v>1650</v>
      </c>
      <c r="K1131" s="705">
        <f t="shared" si="7"/>
        <v>1082.5</v>
      </c>
      <c r="L1131" s="705">
        <f t="shared" si="3"/>
        <v>2732.5</v>
      </c>
      <c r="M1131" s="706">
        <f t="shared" si="5"/>
        <v>5.465</v>
      </c>
    </row>
    <row r="1132">
      <c r="A1132" s="702" t="s">
        <v>33756</v>
      </c>
      <c r="B1132" s="702" t="s">
        <v>33759</v>
      </c>
      <c r="C1132" s="707"/>
      <c r="D1132" s="707"/>
      <c r="E1132" s="708" t="s">
        <v>10409</v>
      </c>
      <c r="F1132" s="709">
        <v>10000.0</v>
      </c>
      <c r="G1132" s="708" t="s">
        <v>398</v>
      </c>
      <c r="H1132" s="709">
        <v>22.0</v>
      </c>
      <c r="I1132" s="705"/>
      <c r="J1132" s="705">
        <f t="shared" si="1"/>
        <v>220000</v>
      </c>
      <c r="K1132" s="705">
        <f t="shared" si="7"/>
        <v>12000</v>
      </c>
      <c r="L1132" s="705">
        <f t="shared" si="3"/>
        <v>232000</v>
      </c>
      <c r="M1132" s="706">
        <f t="shared" si="5"/>
        <v>23.2</v>
      </c>
    </row>
    <row r="1133">
      <c r="A1133" s="702" t="s">
        <v>33756</v>
      </c>
      <c r="B1133" s="702" t="s">
        <v>33760</v>
      </c>
      <c r="C1133" s="707"/>
      <c r="D1133" s="707"/>
      <c r="E1133" s="708" t="s">
        <v>116</v>
      </c>
      <c r="F1133" s="709">
        <v>5000.0</v>
      </c>
      <c r="G1133" s="708" t="s">
        <v>2662</v>
      </c>
      <c r="H1133" s="709">
        <v>69.0</v>
      </c>
      <c r="I1133" s="709">
        <v>5000.0</v>
      </c>
      <c r="J1133" s="705">
        <f t="shared" si="1"/>
        <v>350000</v>
      </c>
      <c r="K1133" s="705">
        <f t="shared" si="7"/>
        <v>18500</v>
      </c>
      <c r="L1133" s="705">
        <f t="shared" si="3"/>
        <v>368500</v>
      </c>
      <c r="M1133" s="706">
        <f t="shared" si="5"/>
        <v>73.7</v>
      </c>
    </row>
    <row r="1134">
      <c r="A1134" s="702" t="s">
        <v>33756</v>
      </c>
      <c r="B1134" s="702" t="s">
        <v>33761</v>
      </c>
      <c r="C1134" s="707"/>
      <c r="D1134" s="707"/>
      <c r="E1134" s="708" t="s">
        <v>9050</v>
      </c>
      <c r="F1134" s="709">
        <v>1000.0</v>
      </c>
      <c r="G1134" s="708" t="s">
        <v>467</v>
      </c>
      <c r="H1134" s="709">
        <v>700.0</v>
      </c>
      <c r="I1134" s="709">
        <v>1000.0</v>
      </c>
      <c r="J1134" s="705">
        <f t="shared" si="1"/>
        <v>701000</v>
      </c>
      <c r="K1134" s="705">
        <f t="shared" si="7"/>
        <v>36050</v>
      </c>
      <c r="L1134" s="705">
        <f t="shared" si="3"/>
        <v>737050</v>
      </c>
      <c r="M1134" s="706">
        <f t="shared" si="5"/>
        <v>737.05</v>
      </c>
    </row>
    <row r="1135">
      <c r="A1135" s="702" t="s">
        <v>33756</v>
      </c>
      <c r="B1135" s="702" t="s">
        <v>33762</v>
      </c>
      <c r="C1135" s="707"/>
      <c r="D1135" s="707"/>
      <c r="E1135" s="708" t="s">
        <v>17630</v>
      </c>
      <c r="F1135" s="709">
        <v>500.0</v>
      </c>
      <c r="G1135" s="708" t="s">
        <v>519</v>
      </c>
      <c r="H1135" s="709">
        <v>950.0</v>
      </c>
      <c r="I1135" s="709">
        <v>1000.0</v>
      </c>
      <c r="J1135" s="705">
        <f t="shared" si="1"/>
        <v>476000</v>
      </c>
      <c r="K1135" s="705">
        <f t="shared" si="7"/>
        <v>24800</v>
      </c>
      <c r="L1135" s="705">
        <f t="shared" si="3"/>
        <v>500800</v>
      </c>
      <c r="M1135" s="706">
        <f t="shared" si="5"/>
        <v>1001.6</v>
      </c>
    </row>
    <row r="1136">
      <c r="A1136" s="702" t="s">
        <v>33756</v>
      </c>
      <c r="B1136" s="702" t="s">
        <v>33763</v>
      </c>
      <c r="C1136" s="707"/>
      <c r="D1136" s="707"/>
      <c r="E1136" s="708" t="s">
        <v>33764</v>
      </c>
      <c r="F1136" s="709">
        <v>140000.0</v>
      </c>
      <c r="G1136" s="708" t="s">
        <v>1082</v>
      </c>
      <c r="H1136" s="709">
        <v>70.0</v>
      </c>
      <c r="I1136" s="705"/>
      <c r="J1136" s="705">
        <f t="shared" si="1"/>
        <v>9800000</v>
      </c>
      <c r="K1136" s="705">
        <f t="shared" si="7"/>
        <v>491000</v>
      </c>
      <c r="L1136" s="705">
        <f t="shared" si="3"/>
        <v>10291000</v>
      </c>
      <c r="M1136" s="706">
        <f t="shared" si="5"/>
        <v>73.50714286</v>
      </c>
    </row>
    <row r="1137">
      <c r="A1137" s="702" t="s">
        <v>33756</v>
      </c>
      <c r="B1137" s="702" t="s">
        <v>33765</v>
      </c>
      <c r="C1137" s="707"/>
      <c r="D1137" s="707"/>
      <c r="E1137" s="708" t="s">
        <v>213</v>
      </c>
      <c r="F1137" s="709">
        <v>10000.0</v>
      </c>
      <c r="G1137" s="708" t="s">
        <v>1461</v>
      </c>
      <c r="H1137" s="709">
        <v>25.0</v>
      </c>
      <c r="I1137" s="705"/>
      <c r="J1137" s="705">
        <f t="shared" si="1"/>
        <v>250000</v>
      </c>
      <c r="K1137" s="705">
        <f t="shared" si="7"/>
        <v>13500</v>
      </c>
      <c r="L1137" s="705">
        <f t="shared" si="3"/>
        <v>263500</v>
      </c>
      <c r="M1137" s="706">
        <f t="shared" si="5"/>
        <v>26.35</v>
      </c>
    </row>
    <row r="1138">
      <c r="A1138" s="702" t="s">
        <v>33756</v>
      </c>
      <c r="B1138" s="702" t="s">
        <v>33766</v>
      </c>
      <c r="C1138" s="707"/>
      <c r="D1138" s="707"/>
      <c r="E1138" s="708" t="s">
        <v>10426</v>
      </c>
      <c r="F1138" s="709">
        <v>1000.0</v>
      </c>
      <c r="G1138" s="708" t="s">
        <v>107</v>
      </c>
      <c r="H1138" s="709">
        <v>120.0</v>
      </c>
      <c r="I1138" s="709">
        <v>1000.0</v>
      </c>
      <c r="J1138" s="705">
        <f t="shared" si="1"/>
        <v>121000</v>
      </c>
      <c r="K1138" s="705">
        <f t="shared" si="7"/>
        <v>7050</v>
      </c>
      <c r="L1138" s="705">
        <f t="shared" si="3"/>
        <v>128050</v>
      </c>
      <c r="M1138" s="706">
        <f t="shared" si="5"/>
        <v>128.05</v>
      </c>
    </row>
    <row r="1139">
      <c r="A1139" s="702" t="s">
        <v>33756</v>
      </c>
      <c r="B1139" s="702" t="s">
        <v>33767</v>
      </c>
      <c r="C1139" s="707"/>
      <c r="D1139" s="707"/>
      <c r="E1139" s="708" t="s">
        <v>1080</v>
      </c>
      <c r="F1139" s="709">
        <v>20000.0</v>
      </c>
      <c r="G1139" s="708" t="s">
        <v>519</v>
      </c>
      <c r="H1139" s="709">
        <v>44.0</v>
      </c>
      <c r="I1139" s="705"/>
      <c r="J1139" s="705">
        <f t="shared" si="1"/>
        <v>880000</v>
      </c>
      <c r="K1139" s="705">
        <f t="shared" si="7"/>
        <v>45000</v>
      </c>
      <c r="L1139" s="705">
        <f t="shared" si="3"/>
        <v>925000</v>
      </c>
      <c r="M1139" s="706">
        <f t="shared" si="5"/>
        <v>46.25</v>
      </c>
    </row>
    <row r="1140">
      <c r="A1140" s="702" t="s">
        <v>33756</v>
      </c>
      <c r="B1140" s="702" t="s">
        <v>33768</v>
      </c>
      <c r="C1140" s="707"/>
      <c r="D1140" s="707"/>
      <c r="E1140" s="708" t="s">
        <v>18949</v>
      </c>
      <c r="F1140" s="709">
        <v>3000.0</v>
      </c>
      <c r="G1140" s="708" t="s">
        <v>1082</v>
      </c>
      <c r="H1140" s="709">
        <v>12.0</v>
      </c>
      <c r="I1140" s="709">
        <v>3000.0</v>
      </c>
      <c r="J1140" s="705">
        <f t="shared" si="1"/>
        <v>39000</v>
      </c>
      <c r="K1140" s="705">
        <f t="shared" si="7"/>
        <v>2950</v>
      </c>
      <c r="L1140" s="705">
        <f t="shared" si="3"/>
        <v>41950</v>
      </c>
      <c r="M1140" s="706">
        <f t="shared" si="5"/>
        <v>13.98333333</v>
      </c>
    </row>
    <row r="1141">
      <c r="A1141" s="702" t="s">
        <v>33756</v>
      </c>
      <c r="B1141" s="702" t="s">
        <v>33769</v>
      </c>
      <c r="C1141" s="707"/>
      <c r="D1141" s="707"/>
      <c r="E1141" s="708" t="s">
        <v>178</v>
      </c>
      <c r="F1141" s="709">
        <v>20000.0</v>
      </c>
      <c r="G1141" s="708" t="s">
        <v>1082</v>
      </c>
      <c r="H1141" s="709">
        <v>4.5</v>
      </c>
      <c r="I1141" s="705"/>
      <c r="J1141" s="705">
        <f t="shared" si="1"/>
        <v>90000</v>
      </c>
      <c r="K1141" s="705">
        <f t="shared" si="7"/>
        <v>5500</v>
      </c>
      <c r="L1141" s="705">
        <f t="shared" si="3"/>
        <v>95500</v>
      </c>
      <c r="M1141" s="706">
        <f t="shared" si="5"/>
        <v>4.775</v>
      </c>
    </row>
    <row r="1142">
      <c r="A1142" s="702" t="s">
        <v>33770</v>
      </c>
      <c r="B1142" s="702" t="s">
        <v>33771</v>
      </c>
      <c r="C1142" s="707"/>
      <c r="D1142" s="707"/>
      <c r="E1142" s="708" t="s">
        <v>6766</v>
      </c>
      <c r="F1142" s="709">
        <v>500.0</v>
      </c>
      <c r="G1142" s="708" t="s">
        <v>467</v>
      </c>
      <c r="H1142" s="709">
        <v>45.0</v>
      </c>
      <c r="I1142" s="709">
        <v>1000.0</v>
      </c>
      <c r="J1142" s="705">
        <f t="shared" si="1"/>
        <v>23500</v>
      </c>
      <c r="K1142" s="705">
        <f t="shared" si="7"/>
        <v>2175</v>
      </c>
      <c r="L1142" s="705">
        <f t="shared" si="3"/>
        <v>25675</v>
      </c>
      <c r="M1142" s="706">
        <f t="shared" si="5"/>
        <v>51.35</v>
      </c>
    </row>
    <row r="1143">
      <c r="A1143" s="702" t="s">
        <v>33770</v>
      </c>
      <c r="B1143" s="702" t="s">
        <v>33772</v>
      </c>
      <c r="C1143" s="707"/>
      <c r="D1143" s="707"/>
      <c r="E1143" s="708" t="s">
        <v>4884</v>
      </c>
      <c r="F1143" s="709">
        <v>10000.0</v>
      </c>
      <c r="G1143" s="708" t="s">
        <v>1082</v>
      </c>
      <c r="H1143" s="709">
        <v>37.0</v>
      </c>
      <c r="I1143" s="705"/>
      <c r="J1143" s="705">
        <f t="shared" si="1"/>
        <v>370000</v>
      </c>
      <c r="K1143" s="705">
        <f t="shared" si="7"/>
        <v>19500</v>
      </c>
      <c r="L1143" s="705">
        <f t="shared" si="3"/>
        <v>389500</v>
      </c>
      <c r="M1143" s="706">
        <f t="shared" si="5"/>
        <v>38.95</v>
      </c>
    </row>
    <row r="1144">
      <c r="A1144" s="702" t="s">
        <v>33770</v>
      </c>
      <c r="B1144" s="702" t="s">
        <v>33773</v>
      </c>
      <c r="C1144" s="707"/>
      <c r="D1144" s="707"/>
      <c r="E1144" s="708" t="s">
        <v>97</v>
      </c>
      <c r="F1144" s="709">
        <v>200.0</v>
      </c>
      <c r="G1144" s="708" t="s">
        <v>1082</v>
      </c>
      <c r="H1144" s="709">
        <v>12.0</v>
      </c>
      <c r="I1144" s="709">
        <v>500.0</v>
      </c>
      <c r="J1144" s="705">
        <f t="shared" si="1"/>
        <v>2900</v>
      </c>
      <c r="K1144" s="705">
        <f t="shared" si="7"/>
        <v>1145</v>
      </c>
      <c r="L1144" s="705">
        <f t="shared" si="3"/>
        <v>4045</v>
      </c>
      <c r="M1144" s="706">
        <f t="shared" si="5"/>
        <v>20.225</v>
      </c>
    </row>
    <row r="1145">
      <c r="A1145" s="702" t="s">
        <v>33770</v>
      </c>
      <c r="B1145" s="702" t="s">
        <v>33730</v>
      </c>
      <c r="C1145" s="707"/>
      <c r="D1145" s="707"/>
      <c r="E1145" s="708" t="s">
        <v>6421</v>
      </c>
      <c r="F1145" s="709">
        <v>1000.0</v>
      </c>
      <c r="G1145" s="708" t="s">
        <v>1082</v>
      </c>
      <c r="H1145" s="709">
        <v>12.0</v>
      </c>
      <c r="I1145" s="709">
        <v>1000.0</v>
      </c>
      <c r="J1145" s="705">
        <f t="shared" si="1"/>
        <v>13000</v>
      </c>
      <c r="K1145" s="705">
        <f t="shared" si="7"/>
        <v>1650</v>
      </c>
      <c r="L1145" s="705">
        <f t="shared" si="3"/>
        <v>14650</v>
      </c>
      <c r="M1145" s="706">
        <f t="shared" si="5"/>
        <v>14.65</v>
      </c>
    </row>
    <row r="1146">
      <c r="A1146" s="702" t="s">
        <v>33770</v>
      </c>
      <c r="B1146" s="702" t="s">
        <v>33774</v>
      </c>
      <c r="C1146" s="707"/>
      <c r="D1146" s="707"/>
      <c r="E1146" s="708" t="s">
        <v>33775</v>
      </c>
      <c r="F1146" s="709">
        <v>1000.0</v>
      </c>
      <c r="G1146" s="708" t="s">
        <v>2662</v>
      </c>
      <c r="H1146" s="709">
        <v>13.5</v>
      </c>
      <c r="I1146" s="709">
        <v>1000.0</v>
      </c>
      <c r="J1146" s="705">
        <f t="shared" si="1"/>
        <v>14500</v>
      </c>
      <c r="K1146" s="705">
        <f t="shared" si="7"/>
        <v>1725</v>
      </c>
      <c r="L1146" s="705">
        <f t="shared" si="3"/>
        <v>16225</v>
      </c>
      <c r="M1146" s="706">
        <f t="shared" si="5"/>
        <v>16.225</v>
      </c>
    </row>
    <row r="1147">
      <c r="A1147" s="702" t="s">
        <v>33770</v>
      </c>
      <c r="B1147" s="702" t="s">
        <v>33774</v>
      </c>
      <c r="C1147" s="707"/>
      <c r="D1147" s="707"/>
      <c r="E1147" s="708" t="s">
        <v>33776</v>
      </c>
      <c r="F1147" s="709">
        <v>1000.0</v>
      </c>
      <c r="G1147" s="708" t="s">
        <v>2662</v>
      </c>
      <c r="H1147" s="709">
        <v>12.5</v>
      </c>
      <c r="I1147" s="709">
        <v>1000.0</v>
      </c>
      <c r="J1147" s="705">
        <f t="shared" si="1"/>
        <v>13500</v>
      </c>
      <c r="K1147" s="705">
        <f t="shared" si="7"/>
        <v>1675</v>
      </c>
      <c r="L1147" s="705">
        <f t="shared" si="3"/>
        <v>15175</v>
      </c>
      <c r="M1147" s="706">
        <f t="shared" si="5"/>
        <v>15.175</v>
      </c>
    </row>
    <row r="1148">
      <c r="A1148" s="702" t="s">
        <v>33770</v>
      </c>
      <c r="B1148" s="702" t="s">
        <v>33777</v>
      </c>
      <c r="C1148" s="707"/>
      <c r="D1148" s="707"/>
      <c r="E1148" s="708" t="s">
        <v>12255</v>
      </c>
      <c r="F1148" s="709">
        <v>3000.0</v>
      </c>
      <c r="G1148" s="708" t="s">
        <v>184</v>
      </c>
      <c r="H1148" s="709">
        <v>10.0</v>
      </c>
      <c r="I1148" s="705"/>
      <c r="J1148" s="705">
        <f t="shared" si="1"/>
        <v>30000</v>
      </c>
      <c r="K1148" s="705">
        <f t="shared" si="7"/>
        <v>2500</v>
      </c>
      <c r="L1148" s="705">
        <f t="shared" si="3"/>
        <v>32500</v>
      </c>
      <c r="M1148" s="706">
        <f t="shared" si="5"/>
        <v>10.83333333</v>
      </c>
    </row>
    <row r="1149">
      <c r="A1149" s="702" t="s">
        <v>33770</v>
      </c>
      <c r="B1149" s="702" t="s">
        <v>33778</v>
      </c>
      <c r="C1149" s="707"/>
      <c r="D1149" s="707"/>
      <c r="E1149" s="708" t="s">
        <v>33415</v>
      </c>
      <c r="F1149" s="709">
        <v>25000.0</v>
      </c>
      <c r="G1149" s="708" t="s">
        <v>20765</v>
      </c>
      <c r="H1149" s="709">
        <v>45.0</v>
      </c>
      <c r="I1149" s="705"/>
      <c r="J1149" s="705">
        <f t="shared" si="1"/>
        <v>1125000</v>
      </c>
      <c r="K1149" s="705">
        <f t="shared" si="7"/>
        <v>57250</v>
      </c>
      <c r="L1149" s="705">
        <f t="shared" si="3"/>
        <v>1182250</v>
      </c>
      <c r="M1149" s="706">
        <f t="shared" si="5"/>
        <v>47.29</v>
      </c>
      <c r="N1149" s="526" t="s">
        <v>33779</v>
      </c>
    </row>
    <row r="1150">
      <c r="A1150" s="702" t="s">
        <v>33770</v>
      </c>
      <c r="B1150" s="702" t="s">
        <v>33780</v>
      </c>
      <c r="C1150" s="707"/>
      <c r="D1150" s="707"/>
      <c r="E1150" s="708" t="s">
        <v>33781</v>
      </c>
      <c r="F1150" s="709">
        <v>10000.0</v>
      </c>
      <c r="G1150" s="708" t="s">
        <v>507</v>
      </c>
      <c r="H1150" s="709">
        <v>38.0</v>
      </c>
      <c r="I1150" s="705"/>
      <c r="J1150" s="705">
        <f t="shared" si="1"/>
        <v>380000</v>
      </c>
      <c r="K1150" s="705">
        <f t="shared" si="7"/>
        <v>20000</v>
      </c>
      <c r="L1150" s="705">
        <f t="shared" si="3"/>
        <v>400000</v>
      </c>
      <c r="M1150" s="706">
        <f t="shared" si="5"/>
        <v>40</v>
      </c>
    </row>
    <row r="1151">
      <c r="A1151" s="702" t="s">
        <v>33782</v>
      </c>
      <c r="B1151" s="702" t="s">
        <v>33783</v>
      </c>
      <c r="C1151" s="707"/>
      <c r="D1151" s="707"/>
      <c r="E1151" s="708" t="s">
        <v>7672</v>
      </c>
      <c r="F1151" s="709">
        <v>25.0</v>
      </c>
      <c r="G1151" s="708" t="s">
        <v>507</v>
      </c>
      <c r="H1151" s="709">
        <v>58.0</v>
      </c>
      <c r="I1151" s="709">
        <v>300.0</v>
      </c>
      <c r="J1151" s="705">
        <f t="shared" si="1"/>
        <v>1750</v>
      </c>
      <c r="K1151" s="705">
        <f t="shared" si="7"/>
        <v>1087.5</v>
      </c>
      <c r="L1151" s="705">
        <f t="shared" si="3"/>
        <v>2837.5</v>
      </c>
      <c r="M1151" s="706">
        <f t="shared" si="5"/>
        <v>113.5</v>
      </c>
    </row>
    <row r="1152">
      <c r="A1152" s="702" t="s">
        <v>33784</v>
      </c>
      <c r="B1152" s="702" t="s">
        <v>33785</v>
      </c>
      <c r="C1152" s="707"/>
      <c r="D1152" s="707"/>
      <c r="E1152" s="708" t="s">
        <v>33786</v>
      </c>
      <c r="F1152" s="709">
        <v>200.0</v>
      </c>
      <c r="G1152" s="708" t="s">
        <v>20765</v>
      </c>
      <c r="H1152" s="709">
        <v>4.4</v>
      </c>
      <c r="I1152" s="709">
        <v>500.0</v>
      </c>
      <c r="J1152" s="705">
        <f t="shared" si="1"/>
        <v>1380</v>
      </c>
      <c r="K1152" s="705">
        <f t="shared" si="7"/>
        <v>1069</v>
      </c>
      <c r="L1152" s="705">
        <f t="shared" si="3"/>
        <v>2449</v>
      </c>
      <c r="M1152" s="706">
        <f t="shared" si="5"/>
        <v>12.245</v>
      </c>
    </row>
    <row r="1153">
      <c r="A1153" s="702" t="s">
        <v>33782</v>
      </c>
      <c r="B1153" s="702" t="s">
        <v>33787</v>
      </c>
      <c r="C1153" s="707"/>
      <c r="D1153" s="707"/>
      <c r="E1153" s="708" t="s">
        <v>33788</v>
      </c>
      <c r="F1153" s="709">
        <v>30000.0</v>
      </c>
      <c r="G1153" s="708" t="s">
        <v>33727</v>
      </c>
      <c r="H1153" s="709">
        <v>1.45</v>
      </c>
      <c r="I1153" s="705">
        <v>200.0</v>
      </c>
      <c r="J1153" s="705">
        <f t="shared" si="1"/>
        <v>43700</v>
      </c>
      <c r="K1153" s="705">
        <f t="shared" si="7"/>
        <v>3185</v>
      </c>
      <c r="L1153" s="705">
        <f t="shared" si="3"/>
        <v>46885</v>
      </c>
      <c r="M1153" s="706">
        <f t="shared" si="5"/>
        <v>1.562833333</v>
      </c>
    </row>
    <row r="1154">
      <c r="A1154" s="702" t="s">
        <v>33782</v>
      </c>
      <c r="B1154" s="702" t="s">
        <v>33787</v>
      </c>
      <c r="C1154" s="707"/>
      <c r="D1154" s="707"/>
      <c r="E1154" s="708" t="s">
        <v>33789</v>
      </c>
      <c r="F1154" s="709">
        <v>30000.0</v>
      </c>
      <c r="G1154" s="708" t="s">
        <v>33727</v>
      </c>
      <c r="H1154" s="709">
        <v>1.2</v>
      </c>
      <c r="I1154" s="705">
        <v>200.0</v>
      </c>
      <c r="J1154" s="705">
        <f t="shared" si="1"/>
        <v>36200</v>
      </c>
      <c r="K1154" s="705">
        <f t="shared" si="7"/>
        <v>2810</v>
      </c>
      <c r="L1154" s="705">
        <f t="shared" si="3"/>
        <v>39010</v>
      </c>
      <c r="M1154" s="706">
        <f t="shared" si="5"/>
        <v>1.300333333</v>
      </c>
    </row>
    <row r="1155">
      <c r="A1155" s="702" t="s">
        <v>33782</v>
      </c>
      <c r="B1155" s="702" t="s">
        <v>33790</v>
      </c>
      <c r="C1155" s="707"/>
      <c r="D1155" s="707"/>
      <c r="E1155" s="708" t="s">
        <v>9492</v>
      </c>
      <c r="F1155" s="709">
        <v>3000.0</v>
      </c>
      <c r="G1155" s="708" t="s">
        <v>1414</v>
      </c>
      <c r="H1155" s="709">
        <v>5.0</v>
      </c>
      <c r="I1155" s="709">
        <v>3000.0</v>
      </c>
      <c r="J1155" s="705">
        <f t="shared" si="1"/>
        <v>18000</v>
      </c>
      <c r="K1155" s="705">
        <f t="shared" si="7"/>
        <v>1900</v>
      </c>
      <c r="L1155" s="705">
        <f t="shared" si="3"/>
        <v>19900</v>
      </c>
      <c r="M1155" s="706">
        <f t="shared" si="5"/>
        <v>6.633333333</v>
      </c>
    </row>
    <row r="1156">
      <c r="A1156" s="702" t="s">
        <v>33782</v>
      </c>
      <c r="B1156" s="702" t="s">
        <v>33791</v>
      </c>
      <c r="C1156" s="707"/>
      <c r="D1156" s="707"/>
      <c r="E1156" s="708" t="s">
        <v>19026</v>
      </c>
      <c r="F1156" s="709">
        <v>3000.0</v>
      </c>
      <c r="G1156" s="708" t="s">
        <v>20765</v>
      </c>
      <c r="H1156" s="709">
        <v>4.5</v>
      </c>
      <c r="I1156" s="709">
        <v>3000.0</v>
      </c>
      <c r="J1156" s="705">
        <f t="shared" si="1"/>
        <v>16500</v>
      </c>
      <c r="K1156" s="705">
        <f t="shared" si="7"/>
        <v>1825</v>
      </c>
      <c r="L1156" s="705">
        <f t="shared" si="3"/>
        <v>18325</v>
      </c>
      <c r="M1156" s="706">
        <f t="shared" si="5"/>
        <v>6.108333333</v>
      </c>
    </row>
    <row r="1157">
      <c r="A1157" s="702" t="s">
        <v>33782</v>
      </c>
      <c r="B1157" s="702" t="s">
        <v>33792</v>
      </c>
      <c r="C1157" s="707"/>
      <c r="D1157" s="707"/>
      <c r="E1157" s="708" t="s">
        <v>739</v>
      </c>
      <c r="F1157" s="709">
        <v>5000.0</v>
      </c>
      <c r="G1157" s="708" t="s">
        <v>507</v>
      </c>
      <c r="H1157" s="709">
        <v>17.0</v>
      </c>
      <c r="I1157" s="709">
        <v>5000.0</v>
      </c>
      <c r="J1157" s="705">
        <f t="shared" si="1"/>
        <v>90000</v>
      </c>
      <c r="K1157" s="705">
        <f t="shared" si="7"/>
        <v>5500</v>
      </c>
      <c r="L1157" s="705">
        <f t="shared" si="3"/>
        <v>95500</v>
      </c>
      <c r="M1157" s="706">
        <f t="shared" si="5"/>
        <v>19.1</v>
      </c>
    </row>
    <row r="1158">
      <c r="A1158" s="702" t="s">
        <v>33782</v>
      </c>
      <c r="B1158" s="702" t="s">
        <v>33793</v>
      </c>
      <c r="C1158" s="707"/>
      <c r="D1158" s="707"/>
      <c r="E1158" s="708" t="s">
        <v>3391</v>
      </c>
      <c r="F1158" s="709">
        <v>2000.0</v>
      </c>
      <c r="G1158" s="708" t="s">
        <v>1082</v>
      </c>
      <c r="H1158" s="709">
        <v>32.0</v>
      </c>
      <c r="I1158" s="709">
        <v>2000.0</v>
      </c>
      <c r="J1158" s="705">
        <f t="shared" si="1"/>
        <v>66000</v>
      </c>
      <c r="K1158" s="705">
        <f t="shared" si="7"/>
        <v>4300</v>
      </c>
      <c r="L1158" s="705">
        <f t="shared" si="3"/>
        <v>70300</v>
      </c>
      <c r="M1158" s="706">
        <f t="shared" si="5"/>
        <v>35.15</v>
      </c>
    </row>
    <row r="1159">
      <c r="A1159" s="702" t="s">
        <v>33782</v>
      </c>
      <c r="B1159" s="702" t="s">
        <v>33794</v>
      </c>
      <c r="C1159" s="707"/>
      <c r="D1159" s="707"/>
      <c r="E1159" s="708" t="s">
        <v>12095</v>
      </c>
      <c r="F1159" s="709">
        <v>500.0</v>
      </c>
      <c r="G1159" s="708" t="s">
        <v>44</v>
      </c>
      <c r="H1159" s="709">
        <v>27.0</v>
      </c>
      <c r="I1159" s="709">
        <v>700.0</v>
      </c>
      <c r="J1159" s="705">
        <f t="shared" si="1"/>
        <v>14200</v>
      </c>
      <c r="K1159" s="705">
        <f t="shared" si="7"/>
        <v>1710</v>
      </c>
      <c r="L1159" s="705">
        <f t="shared" si="3"/>
        <v>15910</v>
      </c>
      <c r="M1159" s="706">
        <f t="shared" si="5"/>
        <v>31.82</v>
      </c>
    </row>
    <row r="1160">
      <c r="A1160" s="702" t="s">
        <v>33782</v>
      </c>
      <c r="B1160" s="702" t="s">
        <v>33795</v>
      </c>
      <c r="C1160" s="707"/>
      <c r="D1160" s="707"/>
      <c r="E1160" s="708" t="s">
        <v>9434</v>
      </c>
      <c r="F1160" s="709">
        <v>135000.0</v>
      </c>
      <c r="G1160" s="708" t="s">
        <v>1082</v>
      </c>
      <c r="H1160" s="709">
        <v>7.5</v>
      </c>
      <c r="I1160" s="705"/>
      <c r="J1160" s="705">
        <f t="shared" si="1"/>
        <v>1012500</v>
      </c>
      <c r="K1160" s="705">
        <f t="shared" si="7"/>
        <v>51625</v>
      </c>
      <c r="L1160" s="705">
        <f t="shared" si="3"/>
        <v>1064125</v>
      </c>
      <c r="M1160" s="706">
        <f t="shared" si="5"/>
        <v>7.882407407</v>
      </c>
    </row>
    <row r="1161">
      <c r="A1161" s="702" t="s">
        <v>33782</v>
      </c>
      <c r="B1161" s="702" t="s">
        <v>33796</v>
      </c>
      <c r="C1161" s="707"/>
      <c r="D1161" s="707"/>
      <c r="E1161" s="708" t="s">
        <v>625</v>
      </c>
      <c r="F1161" s="709">
        <v>20000.0</v>
      </c>
      <c r="G1161" s="708" t="s">
        <v>1082</v>
      </c>
      <c r="H1161" s="709">
        <v>24.0</v>
      </c>
      <c r="I1161" s="705"/>
      <c r="J1161" s="705">
        <f t="shared" si="1"/>
        <v>480000</v>
      </c>
      <c r="K1161" s="705">
        <f t="shared" si="7"/>
        <v>25000</v>
      </c>
      <c r="L1161" s="705">
        <f t="shared" si="3"/>
        <v>505000</v>
      </c>
      <c r="M1161" s="706">
        <f t="shared" si="5"/>
        <v>25.25</v>
      </c>
    </row>
    <row r="1162">
      <c r="A1162" s="702" t="s">
        <v>33782</v>
      </c>
      <c r="B1162" s="702" t="s">
        <v>33797</v>
      </c>
      <c r="C1162" s="707"/>
      <c r="D1162" s="707"/>
      <c r="E1162" s="708" t="s">
        <v>1373</v>
      </c>
      <c r="F1162" s="709">
        <v>100000.0</v>
      </c>
      <c r="G1162" s="708" t="s">
        <v>1082</v>
      </c>
      <c r="H1162" s="709">
        <v>13.2</v>
      </c>
      <c r="I1162" s="705"/>
      <c r="J1162" s="705">
        <f t="shared" si="1"/>
        <v>1320000</v>
      </c>
      <c r="K1162" s="705">
        <f t="shared" si="7"/>
        <v>67000</v>
      </c>
      <c r="L1162" s="705">
        <f t="shared" si="3"/>
        <v>1387000</v>
      </c>
      <c r="M1162" s="706">
        <f t="shared" si="5"/>
        <v>13.87</v>
      </c>
    </row>
    <row r="1163">
      <c r="A1163" s="702" t="s">
        <v>33782</v>
      </c>
      <c r="B1163" s="702" t="s">
        <v>33798</v>
      </c>
      <c r="C1163" s="707"/>
      <c r="D1163" s="707"/>
      <c r="E1163" s="720" t="s">
        <v>33695</v>
      </c>
      <c r="F1163" s="709">
        <v>1000.0</v>
      </c>
      <c r="G1163" s="708" t="s">
        <v>9359</v>
      </c>
      <c r="H1163" s="709">
        <v>2.5</v>
      </c>
      <c r="I1163" s="709">
        <v>500.0</v>
      </c>
      <c r="J1163" s="705">
        <f t="shared" si="1"/>
        <v>3000</v>
      </c>
      <c r="K1163" s="705">
        <f t="shared" si="7"/>
        <v>1150</v>
      </c>
      <c r="L1163" s="705">
        <f t="shared" si="3"/>
        <v>4150</v>
      </c>
      <c r="M1163" s="706">
        <f t="shared" si="5"/>
        <v>4.15</v>
      </c>
    </row>
    <row r="1164">
      <c r="A1164" s="702" t="s">
        <v>33782</v>
      </c>
      <c r="B1164" s="702" t="s">
        <v>33798</v>
      </c>
      <c r="C1164" s="707"/>
      <c r="D1164" s="707"/>
      <c r="E1164" s="720" t="s">
        <v>33694</v>
      </c>
      <c r="F1164" s="709">
        <v>1000.0</v>
      </c>
      <c r="G1164" s="708" t="s">
        <v>9359</v>
      </c>
      <c r="H1164" s="709">
        <v>4.0</v>
      </c>
      <c r="I1164" s="709">
        <v>500.0</v>
      </c>
      <c r="J1164" s="705">
        <f t="shared" si="1"/>
        <v>4500</v>
      </c>
      <c r="K1164" s="705">
        <f t="shared" si="7"/>
        <v>1225</v>
      </c>
      <c r="L1164" s="705">
        <f t="shared" si="3"/>
        <v>5725</v>
      </c>
      <c r="M1164" s="706">
        <f t="shared" si="5"/>
        <v>5.725</v>
      </c>
    </row>
    <row r="1165">
      <c r="A1165" s="702" t="s">
        <v>33782</v>
      </c>
      <c r="B1165" s="702" t="s">
        <v>33799</v>
      </c>
      <c r="C1165" s="707"/>
      <c r="D1165" s="707"/>
      <c r="E1165" s="708" t="s">
        <v>33695</v>
      </c>
      <c r="F1165" s="709">
        <v>10000.0</v>
      </c>
      <c r="G1165" s="720" t="s">
        <v>2662</v>
      </c>
      <c r="H1165" s="709">
        <v>2.5</v>
      </c>
      <c r="I1165" s="709">
        <v>5000.0</v>
      </c>
      <c r="J1165" s="705">
        <f t="shared" si="1"/>
        <v>30000</v>
      </c>
      <c r="K1165" s="705">
        <f t="shared" si="7"/>
        <v>2500</v>
      </c>
      <c r="L1165" s="705">
        <f t="shared" si="3"/>
        <v>32500</v>
      </c>
      <c r="M1165" s="706">
        <f t="shared" si="5"/>
        <v>3.25</v>
      </c>
    </row>
    <row r="1166">
      <c r="A1166" s="702" t="s">
        <v>33782</v>
      </c>
      <c r="B1166" s="702" t="s">
        <v>33799</v>
      </c>
      <c r="C1166" s="707"/>
      <c r="D1166" s="707"/>
      <c r="E1166" s="708" t="s">
        <v>33694</v>
      </c>
      <c r="F1166" s="709">
        <v>10000.0</v>
      </c>
      <c r="G1166" s="708" t="s">
        <v>2662</v>
      </c>
      <c r="H1166" s="709">
        <v>4.0</v>
      </c>
      <c r="I1166" s="709">
        <v>5000.0</v>
      </c>
      <c r="J1166" s="705">
        <f t="shared" si="1"/>
        <v>45000</v>
      </c>
      <c r="K1166" s="705">
        <f t="shared" si="7"/>
        <v>3250</v>
      </c>
      <c r="L1166" s="705">
        <f t="shared" si="3"/>
        <v>48250</v>
      </c>
      <c r="M1166" s="706">
        <f t="shared" si="5"/>
        <v>4.825</v>
      </c>
    </row>
    <row r="1167">
      <c r="A1167" s="702" t="s">
        <v>33800</v>
      </c>
      <c r="B1167" s="702" t="s">
        <v>33801</v>
      </c>
      <c r="C1167" s="707"/>
      <c r="D1167" s="707"/>
      <c r="E1167" s="708" t="s">
        <v>33802</v>
      </c>
      <c r="F1167" s="709">
        <v>5000.0</v>
      </c>
      <c r="G1167" s="708" t="s">
        <v>44</v>
      </c>
      <c r="H1167" s="709">
        <v>19.5</v>
      </c>
      <c r="I1167" s="709">
        <v>5000.0</v>
      </c>
      <c r="J1167" s="705">
        <f t="shared" si="1"/>
        <v>102500</v>
      </c>
      <c r="K1167" s="705">
        <f t="shared" si="7"/>
        <v>6125</v>
      </c>
      <c r="L1167" s="705">
        <f t="shared" si="3"/>
        <v>108625</v>
      </c>
      <c r="M1167" s="706">
        <f t="shared" si="5"/>
        <v>21.725</v>
      </c>
    </row>
    <row r="1168">
      <c r="A1168" s="702" t="s">
        <v>33800</v>
      </c>
      <c r="B1168" s="702" t="s">
        <v>33803</v>
      </c>
      <c r="C1168" s="707"/>
      <c r="D1168" s="707"/>
      <c r="E1168" s="708" t="s">
        <v>3686</v>
      </c>
      <c r="F1168" s="709">
        <v>1000.0</v>
      </c>
      <c r="G1168" s="708" t="s">
        <v>507</v>
      </c>
      <c r="H1168" s="709">
        <v>500.0</v>
      </c>
      <c r="I1168" s="709">
        <v>1000.0</v>
      </c>
      <c r="J1168" s="705">
        <f t="shared" si="1"/>
        <v>501000</v>
      </c>
      <c r="K1168" s="705">
        <f t="shared" si="7"/>
        <v>26050</v>
      </c>
      <c r="L1168" s="705">
        <f t="shared" si="3"/>
        <v>527050</v>
      </c>
      <c r="M1168" s="706">
        <f t="shared" si="5"/>
        <v>527.05</v>
      </c>
    </row>
    <row r="1169">
      <c r="A1169" s="702" t="s">
        <v>33800</v>
      </c>
      <c r="B1169" s="702" t="s">
        <v>33804</v>
      </c>
      <c r="C1169" s="707"/>
      <c r="D1169" s="707"/>
      <c r="E1169" s="708" t="s">
        <v>33805</v>
      </c>
      <c r="F1169" s="709">
        <v>50.0</v>
      </c>
      <c r="G1169" s="708" t="s">
        <v>20765</v>
      </c>
      <c r="H1169" s="709">
        <v>57.0</v>
      </c>
      <c r="I1169" s="709">
        <v>300.0</v>
      </c>
      <c r="J1169" s="705">
        <f t="shared" si="1"/>
        <v>3150</v>
      </c>
      <c r="K1169" s="705">
        <f t="shared" si="7"/>
        <v>1157.5</v>
      </c>
      <c r="L1169" s="705">
        <f t="shared" si="3"/>
        <v>4307.5</v>
      </c>
      <c r="M1169" s="706">
        <f t="shared" si="5"/>
        <v>86.15</v>
      </c>
    </row>
    <row r="1170">
      <c r="A1170" s="702" t="s">
        <v>33800</v>
      </c>
      <c r="B1170" s="702" t="s">
        <v>33806</v>
      </c>
      <c r="C1170" s="707"/>
      <c r="D1170" s="707"/>
      <c r="E1170" s="708" t="s">
        <v>33807</v>
      </c>
      <c r="F1170" s="721">
        <v>200.0</v>
      </c>
      <c r="G1170" s="720" t="s">
        <v>20765</v>
      </c>
      <c r="H1170" s="709">
        <v>165.0</v>
      </c>
      <c r="I1170" s="709">
        <v>700.0</v>
      </c>
      <c r="J1170" s="705">
        <f t="shared" si="1"/>
        <v>33700</v>
      </c>
      <c r="K1170" s="705">
        <f t="shared" si="7"/>
        <v>2685</v>
      </c>
      <c r="L1170" s="705">
        <f t="shared" si="3"/>
        <v>36385</v>
      </c>
      <c r="M1170" s="706">
        <f t="shared" si="5"/>
        <v>181.925</v>
      </c>
    </row>
    <row r="1171">
      <c r="A1171" s="702" t="s">
        <v>33800</v>
      </c>
      <c r="B1171" s="702" t="s">
        <v>33806</v>
      </c>
      <c r="C1171" s="707"/>
      <c r="D1171" s="707"/>
      <c r="E1171" s="708" t="s">
        <v>33808</v>
      </c>
      <c r="F1171" s="709">
        <v>200.0</v>
      </c>
      <c r="G1171" s="708" t="s">
        <v>20765</v>
      </c>
      <c r="H1171" s="709">
        <v>103.0</v>
      </c>
      <c r="I1171" s="709">
        <v>700.0</v>
      </c>
      <c r="J1171" s="705">
        <f t="shared" si="1"/>
        <v>21300</v>
      </c>
      <c r="K1171" s="705">
        <f t="shared" si="7"/>
        <v>2065</v>
      </c>
      <c r="L1171" s="705">
        <f t="shared" si="3"/>
        <v>23365</v>
      </c>
      <c r="M1171" s="706">
        <f t="shared" si="5"/>
        <v>116.825</v>
      </c>
    </row>
    <row r="1172">
      <c r="A1172" s="702" t="s">
        <v>33800</v>
      </c>
      <c r="B1172" s="702" t="s">
        <v>33809</v>
      </c>
      <c r="C1172" s="707"/>
      <c r="D1172" s="707"/>
      <c r="E1172" s="708" t="s">
        <v>9187</v>
      </c>
      <c r="F1172" s="709">
        <v>1000.0</v>
      </c>
      <c r="G1172" s="708" t="s">
        <v>20765</v>
      </c>
      <c r="H1172" s="709">
        <v>4.4</v>
      </c>
      <c r="I1172" s="709">
        <v>1000.0</v>
      </c>
      <c r="J1172" s="705">
        <f t="shared" si="1"/>
        <v>5400</v>
      </c>
      <c r="K1172" s="705">
        <f t="shared" si="7"/>
        <v>1270</v>
      </c>
      <c r="L1172" s="705">
        <f t="shared" si="3"/>
        <v>6670</v>
      </c>
      <c r="M1172" s="706">
        <f t="shared" si="5"/>
        <v>6.67</v>
      </c>
    </row>
    <row r="1173">
      <c r="A1173" s="702" t="s">
        <v>33800</v>
      </c>
      <c r="B1173" s="702" t="s">
        <v>33804</v>
      </c>
      <c r="C1173" s="707"/>
      <c r="D1173" s="707"/>
      <c r="E1173" s="708" t="s">
        <v>3165</v>
      </c>
      <c r="F1173" s="709">
        <v>50.0</v>
      </c>
      <c r="G1173" s="708" t="s">
        <v>20765</v>
      </c>
      <c r="H1173" s="709">
        <v>79.0</v>
      </c>
      <c r="I1173" s="709">
        <v>300.0</v>
      </c>
      <c r="J1173" s="705">
        <f t="shared" si="1"/>
        <v>4250</v>
      </c>
      <c r="K1173" s="705">
        <f t="shared" si="7"/>
        <v>1212.5</v>
      </c>
      <c r="L1173" s="705">
        <f t="shared" si="3"/>
        <v>5462.5</v>
      </c>
      <c r="M1173" s="706">
        <f t="shared" si="5"/>
        <v>109.25</v>
      </c>
    </row>
    <row r="1174">
      <c r="A1174" s="702" t="s">
        <v>33800</v>
      </c>
      <c r="B1174" s="702" t="s">
        <v>33804</v>
      </c>
      <c r="C1174" s="707"/>
      <c r="D1174" s="707"/>
      <c r="E1174" s="708" t="s">
        <v>5988</v>
      </c>
      <c r="F1174" s="709">
        <v>300.0</v>
      </c>
      <c r="G1174" s="708" t="s">
        <v>20765</v>
      </c>
      <c r="H1174" s="709">
        <v>116.0</v>
      </c>
      <c r="I1174" s="709">
        <v>500.0</v>
      </c>
      <c r="J1174" s="705">
        <f t="shared" si="1"/>
        <v>35300</v>
      </c>
      <c r="K1174" s="705">
        <f t="shared" si="7"/>
        <v>2765</v>
      </c>
      <c r="L1174" s="705">
        <f t="shared" si="3"/>
        <v>38065</v>
      </c>
      <c r="M1174" s="706">
        <f t="shared" si="5"/>
        <v>126.8833333</v>
      </c>
    </row>
    <row r="1175">
      <c r="A1175" s="702" t="s">
        <v>33800</v>
      </c>
      <c r="B1175" s="702" t="s">
        <v>33804</v>
      </c>
      <c r="C1175" s="707"/>
      <c r="D1175" s="707"/>
      <c r="E1175" s="708" t="s">
        <v>523</v>
      </c>
      <c r="F1175" s="709">
        <v>300.0</v>
      </c>
      <c r="G1175" s="708" t="s">
        <v>20765</v>
      </c>
      <c r="H1175" s="709">
        <v>3.2</v>
      </c>
      <c r="I1175" s="709">
        <v>500.0</v>
      </c>
      <c r="J1175" s="705">
        <f t="shared" si="1"/>
        <v>1460</v>
      </c>
      <c r="K1175" s="705">
        <f t="shared" si="7"/>
        <v>1073</v>
      </c>
      <c r="L1175" s="705">
        <f t="shared" si="3"/>
        <v>2533</v>
      </c>
      <c r="M1175" s="706">
        <f t="shared" si="5"/>
        <v>8.443333333</v>
      </c>
    </row>
    <row r="1176">
      <c r="A1176" s="702" t="s">
        <v>33800</v>
      </c>
      <c r="B1176" s="702" t="s">
        <v>33810</v>
      </c>
      <c r="C1176" s="707"/>
      <c r="D1176" s="707"/>
      <c r="E1176" s="708" t="s">
        <v>718</v>
      </c>
      <c r="F1176" s="709">
        <v>100000.0</v>
      </c>
      <c r="G1176" s="708" t="s">
        <v>507</v>
      </c>
      <c r="H1176" s="709">
        <v>6.5</v>
      </c>
      <c r="I1176" s="705"/>
      <c r="J1176" s="705">
        <f t="shared" si="1"/>
        <v>650000</v>
      </c>
      <c r="K1176" s="705">
        <f t="shared" si="7"/>
        <v>33500</v>
      </c>
      <c r="L1176" s="705">
        <f t="shared" si="3"/>
        <v>683500</v>
      </c>
      <c r="M1176" s="706">
        <f t="shared" si="5"/>
        <v>6.835</v>
      </c>
    </row>
    <row r="1177">
      <c r="A1177" s="702" t="s">
        <v>33800</v>
      </c>
      <c r="B1177" s="702" t="s">
        <v>33811</v>
      </c>
      <c r="C1177" s="707"/>
      <c r="D1177" s="707"/>
      <c r="E1177" s="708" t="s">
        <v>1363</v>
      </c>
      <c r="F1177" s="709">
        <v>1000.0</v>
      </c>
      <c r="G1177" s="708" t="s">
        <v>507</v>
      </c>
      <c r="H1177" s="709">
        <v>32.0</v>
      </c>
      <c r="I1177" s="709">
        <v>1000.0</v>
      </c>
      <c r="J1177" s="705">
        <f t="shared" si="1"/>
        <v>33000</v>
      </c>
      <c r="K1177" s="705">
        <f t="shared" si="7"/>
        <v>2650</v>
      </c>
      <c r="L1177" s="705">
        <f t="shared" si="3"/>
        <v>35650</v>
      </c>
      <c r="M1177" s="706">
        <f t="shared" si="5"/>
        <v>35.65</v>
      </c>
    </row>
    <row r="1178">
      <c r="A1178" s="702" t="s">
        <v>33800</v>
      </c>
      <c r="B1178" s="702" t="s">
        <v>33812</v>
      </c>
      <c r="C1178" s="707"/>
      <c r="D1178" s="707"/>
      <c r="E1178" s="708" t="s">
        <v>10409</v>
      </c>
      <c r="F1178" s="709">
        <v>5000000.0</v>
      </c>
      <c r="G1178" s="708" t="s">
        <v>507</v>
      </c>
      <c r="H1178" s="709">
        <v>22.0</v>
      </c>
      <c r="I1178" s="705"/>
      <c r="J1178" s="705">
        <f t="shared" si="1"/>
        <v>110000000</v>
      </c>
      <c r="K1178" s="705">
        <f t="shared" si="7"/>
        <v>5501000</v>
      </c>
      <c r="L1178" s="705">
        <f t="shared" si="3"/>
        <v>115501000</v>
      </c>
      <c r="M1178" s="706">
        <f t="shared" si="5"/>
        <v>23.1002</v>
      </c>
    </row>
    <row r="1179">
      <c r="A1179" s="702" t="s">
        <v>33800</v>
      </c>
      <c r="B1179" s="702" t="s">
        <v>33813</v>
      </c>
      <c r="C1179" s="707"/>
      <c r="D1179" s="707"/>
      <c r="E1179" s="708" t="s">
        <v>33814</v>
      </c>
      <c r="F1179" s="709">
        <v>250000.0</v>
      </c>
      <c r="G1179" s="708" t="s">
        <v>20765</v>
      </c>
      <c r="H1179" s="709">
        <v>19.5</v>
      </c>
      <c r="I1179" s="705"/>
      <c r="J1179" s="705">
        <f t="shared" si="1"/>
        <v>4875000</v>
      </c>
      <c r="K1179" s="705">
        <f t="shared" si="7"/>
        <v>244750</v>
      </c>
      <c r="L1179" s="705">
        <f t="shared" si="3"/>
        <v>5119750</v>
      </c>
      <c r="M1179" s="706">
        <f t="shared" si="5"/>
        <v>20.479</v>
      </c>
    </row>
    <row r="1180">
      <c r="A1180" s="702" t="s">
        <v>33800</v>
      </c>
      <c r="B1180" s="702" t="s">
        <v>33815</v>
      </c>
      <c r="C1180" s="707"/>
      <c r="D1180" s="707"/>
      <c r="E1180" s="708" t="s">
        <v>4171</v>
      </c>
      <c r="F1180" s="709">
        <v>1000.0</v>
      </c>
      <c r="G1180" s="708" t="s">
        <v>507</v>
      </c>
      <c r="H1180" s="709">
        <v>29.0</v>
      </c>
      <c r="I1180" s="709">
        <v>1500.0</v>
      </c>
      <c r="J1180" s="705">
        <f t="shared" si="1"/>
        <v>30500</v>
      </c>
      <c r="K1180" s="705">
        <f t="shared" si="7"/>
        <v>2525</v>
      </c>
      <c r="L1180" s="705">
        <f t="shared" si="3"/>
        <v>33025</v>
      </c>
      <c r="M1180" s="706">
        <f t="shared" si="5"/>
        <v>33.025</v>
      </c>
    </row>
    <row r="1181">
      <c r="A1181" s="702" t="s">
        <v>33816</v>
      </c>
      <c r="B1181" s="702" t="s">
        <v>33817</v>
      </c>
      <c r="C1181" s="707"/>
      <c r="D1181" s="707"/>
      <c r="E1181" s="708" t="s">
        <v>33818</v>
      </c>
      <c r="F1181" s="709">
        <v>15000.0</v>
      </c>
      <c r="G1181" s="708" t="s">
        <v>519</v>
      </c>
      <c r="H1181" s="709">
        <v>1.3</v>
      </c>
      <c r="I1181" s="705"/>
      <c r="J1181" s="705">
        <f t="shared" si="1"/>
        <v>19500</v>
      </c>
      <c r="K1181" s="705">
        <f t="shared" si="7"/>
        <v>1975</v>
      </c>
      <c r="L1181" s="705">
        <f t="shared" si="3"/>
        <v>21475</v>
      </c>
      <c r="M1181" s="706">
        <f t="shared" si="5"/>
        <v>1.431666667</v>
      </c>
    </row>
    <row r="1182">
      <c r="A1182" s="702" t="s">
        <v>33816</v>
      </c>
      <c r="B1182" s="702" t="s">
        <v>33817</v>
      </c>
      <c r="C1182" s="707"/>
      <c r="D1182" s="707"/>
      <c r="E1182" s="708" t="s">
        <v>33819</v>
      </c>
      <c r="F1182" s="709">
        <v>15000.0</v>
      </c>
      <c r="G1182" s="708" t="s">
        <v>519</v>
      </c>
      <c r="H1182" s="709">
        <v>1.2</v>
      </c>
      <c r="I1182" s="705"/>
      <c r="J1182" s="705">
        <f t="shared" si="1"/>
        <v>18000</v>
      </c>
      <c r="K1182" s="705">
        <f t="shared" si="7"/>
        <v>1900</v>
      </c>
      <c r="L1182" s="705">
        <f t="shared" si="3"/>
        <v>19900</v>
      </c>
      <c r="M1182" s="706">
        <f t="shared" si="5"/>
        <v>1.326666667</v>
      </c>
    </row>
    <row r="1183">
      <c r="A1183" s="702" t="s">
        <v>33816</v>
      </c>
      <c r="B1183" s="702" t="s">
        <v>33820</v>
      </c>
      <c r="C1183" s="707"/>
      <c r="D1183" s="707"/>
      <c r="E1183" s="708" t="s">
        <v>33821</v>
      </c>
      <c r="F1183" s="709">
        <v>100000.0</v>
      </c>
      <c r="G1183" s="708" t="s">
        <v>507</v>
      </c>
      <c r="H1183" s="709">
        <v>68.0</v>
      </c>
      <c r="I1183" s="705"/>
      <c r="J1183" s="705">
        <f t="shared" si="1"/>
        <v>6800000</v>
      </c>
      <c r="K1183" s="705">
        <f t="shared" si="7"/>
        <v>341000</v>
      </c>
      <c r="L1183" s="705">
        <f t="shared" si="3"/>
        <v>7141000</v>
      </c>
      <c r="M1183" s="706">
        <f t="shared" si="5"/>
        <v>71.41</v>
      </c>
    </row>
    <row r="1184">
      <c r="A1184" s="702" t="s">
        <v>33816</v>
      </c>
      <c r="B1184" s="702" t="s">
        <v>33822</v>
      </c>
      <c r="C1184" s="707"/>
      <c r="D1184" s="707"/>
      <c r="E1184" s="708" t="s">
        <v>10377</v>
      </c>
      <c r="F1184" s="709">
        <v>3000.0</v>
      </c>
      <c r="G1184" s="708" t="s">
        <v>507</v>
      </c>
      <c r="H1184" s="709">
        <v>0.09</v>
      </c>
      <c r="I1184" s="709">
        <v>1500.0</v>
      </c>
      <c r="J1184" s="705">
        <f t="shared" si="1"/>
        <v>1770</v>
      </c>
      <c r="K1184" s="705">
        <f t="shared" si="7"/>
        <v>1088.5</v>
      </c>
      <c r="L1184" s="705">
        <f t="shared" si="3"/>
        <v>2858.5</v>
      </c>
      <c r="M1184" s="706">
        <f t="shared" si="5"/>
        <v>0.9528333333</v>
      </c>
    </row>
    <row r="1185">
      <c r="A1185" s="702" t="s">
        <v>33816</v>
      </c>
      <c r="B1185" s="702" t="s">
        <v>33823</v>
      </c>
      <c r="C1185" s="707"/>
      <c r="D1185" s="707"/>
      <c r="E1185" s="708" t="s">
        <v>10377</v>
      </c>
      <c r="F1185" s="709">
        <v>1000.0</v>
      </c>
      <c r="G1185" s="708" t="s">
        <v>507</v>
      </c>
      <c r="H1185" s="709">
        <v>0.09</v>
      </c>
      <c r="I1185" s="709">
        <v>500.0</v>
      </c>
      <c r="J1185" s="705">
        <f t="shared" si="1"/>
        <v>590</v>
      </c>
      <c r="K1185" s="705">
        <f t="shared" si="7"/>
        <v>1029.5</v>
      </c>
      <c r="L1185" s="705">
        <f t="shared" si="3"/>
        <v>1619.5</v>
      </c>
      <c r="M1185" s="706">
        <f t="shared" si="5"/>
        <v>1.6195</v>
      </c>
    </row>
    <row r="1186">
      <c r="A1186" s="702" t="s">
        <v>33816</v>
      </c>
      <c r="B1186" s="702" t="s">
        <v>33824</v>
      </c>
      <c r="C1186" s="707"/>
      <c r="D1186" s="707"/>
      <c r="E1186" s="708" t="s">
        <v>22</v>
      </c>
      <c r="F1186" s="709">
        <v>500.0</v>
      </c>
      <c r="G1186" s="708" t="s">
        <v>20765</v>
      </c>
      <c r="H1186" s="709">
        <v>25.0</v>
      </c>
      <c r="I1186" s="709">
        <v>500.0</v>
      </c>
      <c r="J1186" s="705">
        <f t="shared" si="1"/>
        <v>13000</v>
      </c>
      <c r="K1186" s="705">
        <f t="shared" si="7"/>
        <v>1650</v>
      </c>
      <c r="L1186" s="705">
        <f t="shared" si="3"/>
        <v>14650</v>
      </c>
      <c r="M1186" s="706">
        <f t="shared" si="5"/>
        <v>29.3</v>
      </c>
    </row>
    <row r="1187">
      <c r="A1187" s="702" t="s">
        <v>33816</v>
      </c>
      <c r="B1187" s="702" t="s">
        <v>33825</v>
      </c>
      <c r="C1187" s="707"/>
      <c r="D1187" s="707"/>
      <c r="E1187" s="708" t="s">
        <v>130</v>
      </c>
      <c r="F1187" s="709">
        <v>25000.0</v>
      </c>
      <c r="G1187" s="708" t="s">
        <v>507</v>
      </c>
      <c r="H1187" s="709">
        <v>25.0</v>
      </c>
      <c r="I1187" s="705"/>
      <c r="J1187" s="705">
        <f t="shared" si="1"/>
        <v>625000</v>
      </c>
      <c r="K1187" s="705">
        <f t="shared" si="7"/>
        <v>32250</v>
      </c>
      <c r="L1187" s="705">
        <f t="shared" si="3"/>
        <v>657250</v>
      </c>
      <c r="M1187" s="706">
        <f t="shared" si="5"/>
        <v>26.29</v>
      </c>
    </row>
    <row r="1188">
      <c r="A1188" s="702" t="s">
        <v>33816</v>
      </c>
      <c r="B1188" s="702" t="s">
        <v>33826</v>
      </c>
      <c r="C1188" s="707"/>
      <c r="D1188" s="707"/>
      <c r="E1188" s="708" t="s">
        <v>10277</v>
      </c>
      <c r="F1188" s="709">
        <v>10000.0</v>
      </c>
      <c r="G1188" s="708" t="s">
        <v>507</v>
      </c>
      <c r="H1188" s="709">
        <v>6.5</v>
      </c>
      <c r="I1188" s="705"/>
      <c r="J1188" s="705">
        <f t="shared" si="1"/>
        <v>65000</v>
      </c>
      <c r="K1188" s="705">
        <f t="shared" si="7"/>
        <v>4250</v>
      </c>
      <c r="L1188" s="705">
        <f t="shared" si="3"/>
        <v>69250</v>
      </c>
      <c r="M1188" s="706">
        <f t="shared" si="5"/>
        <v>6.925</v>
      </c>
    </row>
    <row r="1189">
      <c r="A1189" s="702" t="s">
        <v>33816</v>
      </c>
      <c r="B1189" s="702" t="s">
        <v>33827</v>
      </c>
      <c r="C1189" s="707"/>
      <c r="D1189" s="707"/>
      <c r="E1189" s="708" t="s">
        <v>10409</v>
      </c>
      <c r="F1189" s="709">
        <v>300000.0</v>
      </c>
      <c r="G1189" s="708" t="s">
        <v>507</v>
      </c>
      <c r="H1189" s="709">
        <v>23.0</v>
      </c>
      <c r="I1189" s="705"/>
      <c r="J1189" s="705">
        <f t="shared" si="1"/>
        <v>6900000</v>
      </c>
      <c r="K1189" s="705">
        <f t="shared" si="7"/>
        <v>346000</v>
      </c>
      <c r="L1189" s="705">
        <f t="shared" si="3"/>
        <v>7246000</v>
      </c>
      <c r="M1189" s="706">
        <f t="shared" si="5"/>
        <v>24.15333333</v>
      </c>
    </row>
    <row r="1190">
      <c r="A1190" s="702" t="s">
        <v>33816</v>
      </c>
      <c r="B1190" s="702" t="s">
        <v>33828</v>
      </c>
      <c r="C1190" s="707"/>
      <c r="D1190" s="707"/>
      <c r="E1190" s="708" t="s">
        <v>9050</v>
      </c>
      <c r="F1190" s="709">
        <v>1000.0</v>
      </c>
      <c r="G1190" s="708" t="s">
        <v>99</v>
      </c>
      <c r="H1190" s="709">
        <v>700.0</v>
      </c>
      <c r="I1190" s="709">
        <v>1000.0</v>
      </c>
      <c r="J1190" s="705">
        <f t="shared" si="1"/>
        <v>701000</v>
      </c>
      <c r="K1190" s="705">
        <f t="shared" si="7"/>
        <v>36050</v>
      </c>
      <c r="L1190" s="705">
        <f t="shared" si="3"/>
        <v>737050</v>
      </c>
      <c r="M1190" s="706">
        <f t="shared" si="5"/>
        <v>737.05</v>
      </c>
    </row>
    <row r="1191">
      <c r="A1191" s="702" t="s">
        <v>33816</v>
      </c>
      <c r="B1191" s="702" t="s">
        <v>33829</v>
      </c>
      <c r="C1191" s="707"/>
      <c r="D1191" s="707"/>
      <c r="E1191" s="708" t="s">
        <v>106</v>
      </c>
      <c r="F1191" s="709">
        <v>5000.0</v>
      </c>
      <c r="G1191" s="708" t="s">
        <v>20765</v>
      </c>
      <c r="H1191" s="709">
        <v>4.5</v>
      </c>
      <c r="I1191" s="709">
        <v>5000.0</v>
      </c>
      <c r="J1191" s="705">
        <f t="shared" si="1"/>
        <v>27500</v>
      </c>
      <c r="K1191" s="705">
        <f t="shared" si="7"/>
        <v>2375</v>
      </c>
      <c r="L1191" s="705">
        <f t="shared" si="3"/>
        <v>29875</v>
      </c>
      <c r="M1191" s="706">
        <f t="shared" si="5"/>
        <v>5.975</v>
      </c>
    </row>
    <row r="1192">
      <c r="A1192" s="702" t="s">
        <v>33816</v>
      </c>
      <c r="B1192" s="702" t="s">
        <v>33830</v>
      </c>
      <c r="C1192" s="707"/>
      <c r="D1192" s="707"/>
      <c r="E1192" s="708" t="s">
        <v>213</v>
      </c>
      <c r="F1192" s="709">
        <v>1000000.0</v>
      </c>
      <c r="G1192" s="708" t="s">
        <v>184</v>
      </c>
      <c r="H1192" s="709">
        <v>25.0</v>
      </c>
      <c r="I1192" s="705"/>
      <c r="J1192" s="705">
        <f t="shared" si="1"/>
        <v>25000000</v>
      </c>
      <c r="K1192" s="705">
        <f t="shared" si="7"/>
        <v>1251000</v>
      </c>
      <c r="L1192" s="705">
        <f t="shared" si="3"/>
        <v>26251000</v>
      </c>
      <c r="M1192" s="706">
        <f t="shared" si="5"/>
        <v>26.251</v>
      </c>
    </row>
    <row r="1193">
      <c r="A1193" s="702" t="s">
        <v>33816</v>
      </c>
      <c r="B1193" s="702" t="s">
        <v>33831</v>
      </c>
      <c r="C1193" s="707"/>
      <c r="D1193" s="707"/>
      <c r="E1193" s="708" t="s">
        <v>10426</v>
      </c>
      <c r="F1193" s="709">
        <v>30000.0</v>
      </c>
      <c r="G1193" s="708" t="s">
        <v>519</v>
      </c>
      <c r="H1193" s="709">
        <v>120.0</v>
      </c>
      <c r="I1193" s="705"/>
      <c r="J1193" s="705">
        <f t="shared" si="1"/>
        <v>3600000</v>
      </c>
      <c r="K1193" s="705">
        <f t="shared" si="7"/>
        <v>181000</v>
      </c>
      <c r="L1193" s="705">
        <f t="shared" si="3"/>
        <v>3781000</v>
      </c>
      <c r="M1193" s="706">
        <f t="shared" si="5"/>
        <v>126.0333333</v>
      </c>
    </row>
    <row r="1194">
      <c r="A1194" s="702" t="s">
        <v>33816</v>
      </c>
      <c r="B1194" s="702"/>
      <c r="C1194" s="707"/>
      <c r="D1194" s="707"/>
      <c r="E1194" s="708" t="s">
        <v>22213</v>
      </c>
      <c r="F1194" s="709">
        <v>200.0</v>
      </c>
      <c r="G1194" s="708" t="s">
        <v>20765</v>
      </c>
      <c r="H1194" s="709">
        <v>130.0</v>
      </c>
      <c r="I1194" s="709">
        <v>500.0</v>
      </c>
      <c r="J1194" s="705">
        <f t="shared" si="1"/>
        <v>26500</v>
      </c>
      <c r="K1194" s="705">
        <f t="shared" si="7"/>
        <v>2325</v>
      </c>
      <c r="L1194" s="705">
        <f t="shared" si="3"/>
        <v>28825</v>
      </c>
      <c r="M1194" s="706">
        <f t="shared" si="5"/>
        <v>144.125</v>
      </c>
    </row>
    <row r="1195">
      <c r="A1195" s="702" t="s">
        <v>33816</v>
      </c>
      <c r="B1195" s="702"/>
      <c r="C1195" s="707"/>
      <c r="D1195" s="707"/>
      <c r="E1195" s="708" t="s">
        <v>147</v>
      </c>
      <c r="F1195" s="709">
        <v>1000.0</v>
      </c>
      <c r="G1195" s="708" t="s">
        <v>20765</v>
      </c>
      <c r="H1195" s="709">
        <v>9.2</v>
      </c>
      <c r="I1195" s="709">
        <v>1000.0</v>
      </c>
      <c r="J1195" s="705">
        <f t="shared" si="1"/>
        <v>10200</v>
      </c>
      <c r="K1195" s="705">
        <f t="shared" si="7"/>
        <v>1510</v>
      </c>
      <c r="L1195" s="705">
        <f t="shared" si="3"/>
        <v>11710</v>
      </c>
      <c r="M1195" s="706">
        <f t="shared" si="5"/>
        <v>11.71</v>
      </c>
    </row>
    <row r="1196">
      <c r="A1196" s="702" t="s">
        <v>33816</v>
      </c>
      <c r="B1196" s="702"/>
      <c r="C1196" s="707"/>
      <c r="D1196" s="707"/>
      <c r="E1196" s="708" t="s">
        <v>235</v>
      </c>
      <c r="F1196" s="709">
        <v>1000.0</v>
      </c>
      <c r="G1196" s="708" t="s">
        <v>20765</v>
      </c>
      <c r="H1196" s="709">
        <v>22.0</v>
      </c>
      <c r="I1196" s="709">
        <v>1000.0</v>
      </c>
      <c r="J1196" s="705">
        <f t="shared" si="1"/>
        <v>23000</v>
      </c>
      <c r="K1196" s="705">
        <f t="shared" si="7"/>
        <v>2150</v>
      </c>
      <c r="L1196" s="705">
        <f t="shared" si="3"/>
        <v>25150</v>
      </c>
      <c r="M1196" s="706">
        <f t="shared" si="5"/>
        <v>25.15</v>
      </c>
    </row>
    <row r="1197">
      <c r="A1197" s="702" t="s">
        <v>33816</v>
      </c>
      <c r="B1197" s="702"/>
      <c r="C1197" s="707"/>
      <c r="D1197" s="707"/>
      <c r="E1197" s="708" t="s">
        <v>33832</v>
      </c>
      <c r="F1197" s="709">
        <v>1000.0</v>
      </c>
      <c r="G1197" s="708" t="s">
        <v>20765</v>
      </c>
      <c r="H1197" s="709">
        <v>13.5</v>
      </c>
      <c r="I1197" s="709">
        <v>1000.0</v>
      </c>
      <c r="J1197" s="705">
        <f t="shared" si="1"/>
        <v>14500</v>
      </c>
      <c r="K1197" s="705">
        <f t="shared" si="7"/>
        <v>1725</v>
      </c>
      <c r="L1197" s="705">
        <f t="shared" si="3"/>
        <v>16225</v>
      </c>
      <c r="M1197" s="706">
        <f t="shared" si="5"/>
        <v>16.225</v>
      </c>
    </row>
    <row r="1198">
      <c r="A1198" s="702" t="s">
        <v>33833</v>
      </c>
      <c r="B1198" s="702" t="s">
        <v>33834</v>
      </c>
      <c r="C1198" s="707"/>
      <c r="D1198" s="707"/>
      <c r="E1198" s="708" t="s">
        <v>10426</v>
      </c>
      <c r="F1198" s="709">
        <v>5000.0</v>
      </c>
      <c r="G1198" s="708" t="s">
        <v>507</v>
      </c>
      <c r="H1198" s="709">
        <v>120.0</v>
      </c>
      <c r="I1198" s="709">
        <v>5000.0</v>
      </c>
      <c r="J1198" s="705">
        <f t="shared" si="1"/>
        <v>605000</v>
      </c>
      <c r="K1198" s="705">
        <f t="shared" si="7"/>
        <v>31250</v>
      </c>
      <c r="L1198" s="705">
        <f t="shared" si="3"/>
        <v>636250</v>
      </c>
      <c r="M1198" s="706">
        <f t="shared" si="5"/>
        <v>127.25</v>
      </c>
    </row>
    <row r="1199">
      <c r="A1199" s="702" t="s">
        <v>33833</v>
      </c>
      <c r="B1199" s="702" t="s">
        <v>33835</v>
      </c>
      <c r="C1199" s="707"/>
      <c r="D1199" s="707"/>
      <c r="E1199" s="708" t="s">
        <v>83</v>
      </c>
      <c r="F1199" s="709">
        <v>1000.0</v>
      </c>
      <c r="G1199" s="708" t="s">
        <v>507</v>
      </c>
      <c r="H1199" s="709">
        <v>28.5</v>
      </c>
      <c r="I1199" s="709">
        <v>1000.0</v>
      </c>
      <c r="J1199" s="705">
        <f t="shared" si="1"/>
        <v>29500</v>
      </c>
      <c r="K1199" s="705">
        <f t="shared" si="7"/>
        <v>2475</v>
      </c>
      <c r="L1199" s="705">
        <f t="shared" si="3"/>
        <v>31975</v>
      </c>
      <c r="M1199" s="706">
        <f t="shared" si="5"/>
        <v>31.975</v>
      </c>
    </row>
    <row r="1200">
      <c r="A1200" s="702" t="s">
        <v>33833</v>
      </c>
      <c r="B1200" s="702" t="s">
        <v>33836</v>
      </c>
      <c r="C1200" s="707"/>
      <c r="D1200" s="707"/>
      <c r="E1200" s="708" t="s">
        <v>8310</v>
      </c>
      <c r="F1200" s="709">
        <v>20000.0</v>
      </c>
      <c r="G1200" s="708" t="s">
        <v>33837</v>
      </c>
      <c r="H1200" s="709">
        <v>180.0</v>
      </c>
      <c r="I1200" s="705"/>
      <c r="J1200" s="705">
        <f t="shared" si="1"/>
        <v>3600000</v>
      </c>
      <c r="K1200" s="705">
        <f t="shared" si="7"/>
        <v>181000</v>
      </c>
      <c r="L1200" s="705">
        <f t="shared" si="3"/>
        <v>3781000</v>
      </c>
      <c r="M1200" s="706">
        <f t="shared" si="5"/>
        <v>189.05</v>
      </c>
    </row>
    <row r="1201">
      <c r="A1201" s="702" t="s">
        <v>33833</v>
      </c>
      <c r="B1201" s="702" t="s">
        <v>33838</v>
      </c>
      <c r="C1201" s="707"/>
      <c r="D1201" s="707"/>
      <c r="E1201" s="708" t="s">
        <v>11581</v>
      </c>
      <c r="F1201" s="709">
        <v>100000.0</v>
      </c>
      <c r="G1201" s="708" t="s">
        <v>507</v>
      </c>
      <c r="H1201" s="709">
        <v>6.95</v>
      </c>
      <c r="I1201" s="705"/>
      <c r="J1201" s="705">
        <f t="shared" si="1"/>
        <v>695000</v>
      </c>
      <c r="K1201" s="705">
        <f t="shared" si="7"/>
        <v>35750</v>
      </c>
      <c r="L1201" s="705">
        <f t="shared" si="3"/>
        <v>730750</v>
      </c>
      <c r="M1201" s="706">
        <f t="shared" si="5"/>
        <v>7.3075</v>
      </c>
    </row>
    <row r="1202">
      <c r="A1202" s="702" t="s">
        <v>33833</v>
      </c>
      <c r="B1202" s="702" t="s">
        <v>33839</v>
      </c>
      <c r="C1202" s="707"/>
      <c r="D1202" s="707"/>
      <c r="E1202" s="720" t="s">
        <v>7197</v>
      </c>
      <c r="F1202" s="709">
        <v>120000.0</v>
      </c>
      <c r="G1202" s="708" t="s">
        <v>1082</v>
      </c>
      <c r="H1202" s="709">
        <v>21.0</v>
      </c>
      <c r="I1202" s="705"/>
      <c r="J1202" s="705">
        <f t="shared" si="1"/>
        <v>2520000</v>
      </c>
      <c r="K1202" s="705">
        <f t="shared" si="7"/>
        <v>127000</v>
      </c>
      <c r="L1202" s="705">
        <f t="shared" si="3"/>
        <v>2647000</v>
      </c>
      <c r="M1202" s="706">
        <f t="shared" si="5"/>
        <v>22.05833333</v>
      </c>
    </row>
    <row r="1203">
      <c r="A1203" s="702" t="s">
        <v>33833</v>
      </c>
      <c r="B1203" s="702" t="s">
        <v>33840</v>
      </c>
      <c r="C1203" s="707"/>
      <c r="D1203" s="707"/>
      <c r="E1203" s="708" t="s">
        <v>625</v>
      </c>
      <c r="F1203" s="709">
        <v>35000.0</v>
      </c>
      <c r="G1203" s="708" t="s">
        <v>20765</v>
      </c>
      <c r="H1203" s="709">
        <v>24.0</v>
      </c>
      <c r="I1203" s="705"/>
      <c r="J1203" s="705">
        <f t="shared" si="1"/>
        <v>840000</v>
      </c>
      <c r="K1203" s="705">
        <f t="shared" si="7"/>
        <v>43000</v>
      </c>
      <c r="L1203" s="705">
        <f t="shared" si="3"/>
        <v>883000</v>
      </c>
      <c r="M1203" s="706">
        <f t="shared" si="5"/>
        <v>25.22857143</v>
      </c>
    </row>
    <row r="1204">
      <c r="A1204" s="702" t="s">
        <v>33833</v>
      </c>
      <c r="B1204" s="702" t="s">
        <v>33841</v>
      </c>
      <c r="C1204" s="707"/>
      <c r="D1204" s="707"/>
      <c r="E1204" s="720" t="s">
        <v>7197</v>
      </c>
      <c r="F1204" s="709">
        <v>25000.0</v>
      </c>
      <c r="G1204" s="708" t="s">
        <v>20765</v>
      </c>
      <c r="H1204" s="709">
        <v>21.0</v>
      </c>
      <c r="I1204" s="705"/>
      <c r="J1204" s="705">
        <f t="shared" si="1"/>
        <v>525000</v>
      </c>
      <c r="K1204" s="705">
        <f t="shared" si="7"/>
        <v>27250</v>
      </c>
      <c r="L1204" s="705">
        <f t="shared" si="3"/>
        <v>552250</v>
      </c>
      <c r="M1204" s="706">
        <f t="shared" si="5"/>
        <v>22.09</v>
      </c>
    </row>
    <row r="1205">
      <c r="A1205" s="702" t="s">
        <v>33833</v>
      </c>
      <c r="B1205" s="702" t="s">
        <v>33842</v>
      </c>
      <c r="C1205" s="707"/>
      <c r="D1205" s="707"/>
      <c r="E1205" s="708" t="s">
        <v>9434</v>
      </c>
      <c r="F1205" s="709">
        <v>10000.0</v>
      </c>
      <c r="G1205" s="708" t="s">
        <v>472</v>
      </c>
      <c r="H1205" s="709">
        <v>7.5</v>
      </c>
      <c r="I1205" s="705"/>
      <c r="J1205" s="705">
        <f t="shared" si="1"/>
        <v>75000</v>
      </c>
      <c r="K1205" s="705">
        <f t="shared" si="7"/>
        <v>4750</v>
      </c>
      <c r="L1205" s="705">
        <f t="shared" si="3"/>
        <v>79750</v>
      </c>
      <c r="M1205" s="706">
        <f t="shared" si="5"/>
        <v>7.975</v>
      </c>
    </row>
    <row r="1206">
      <c r="A1206" s="702" t="s">
        <v>33833</v>
      </c>
      <c r="B1206" s="702" t="s">
        <v>33843</v>
      </c>
      <c r="C1206" s="707"/>
      <c r="D1206" s="707"/>
      <c r="E1206" s="708" t="s">
        <v>207</v>
      </c>
      <c r="F1206" s="709">
        <v>10000.0</v>
      </c>
      <c r="G1206" s="708" t="s">
        <v>20765</v>
      </c>
      <c r="H1206" s="709">
        <v>8.5</v>
      </c>
      <c r="I1206" s="705"/>
      <c r="J1206" s="705">
        <f t="shared" si="1"/>
        <v>85000</v>
      </c>
      <c r="K1206" s="705">
        <f t="shared" si="7"/>
        <v>5250</v>
      </c>
      <c r="L1206" s="705">
        <f t="shared" si="3"/>
        <v>90250</v>
      </c>
      <c r="M1206" s="706">
        <f t="shared" si="5"/>
        <v>9.025</v>
      </c>
    </row>
    <row r="1207">
      <c r="A1207" s="702" t="s">
        <v>33833</v>
      </c>
      <c r="B1207" s="702" t="s">
        <v>33844</v>
      </c>
      <c r="C1207" s="707"/>
      <c r="D1207" s="707"/>
      <c r="E1207" s="708" t="s">
        <v>33845</v>
      </c>
      <c r="F1207" s="709">
        <v>10000.0</v>
      </c>
      <c r="G1207" s="708" t="s">
        <v>507</v>
      </c>
      <c r="H1207" s="709">
        <v>1.3</v>
      </c>
      <c r="I1207" s="705"/>
      <c r="J1207" s="705">
        <f t="shared" si="1"/>
        <v>13000</v>
      </c>
      <c r="K1207" s="705">
        <f t="shared" si="7"/>
        <v>1650</v>
      </c>
      <c r="L1207" s="705">
        <f t="shared" si="3"/>
        <v>14650</v>
      </c>
      <c r="M1207" s="706">
        <f t="shared" si="5"/>
        <v>1.465</v>
      </c>
    </row>
    <row r="1208">
      <c r="A1208" s="702" t="s">
        <v>33833</v>
      </c>
      <c r="B1208" s="702" t="s">
        <v>33844</v>
      </c>
      <c r="C1208" s="707"/>
      <c r="D1208" s="707"/>
      <c r="E1208" s="708" t="s">
        <v>33846</v>
      </c>
      <c r="F1208" s="709">
        <v>10000.0</v>
      </c>
      <c r="G1208" s="708" t="s">
        <v>507</v>
      </c>
      <c r="H1208" s="709">
        <v>1.2</v>
      </c>
      <c r="I1208" s="705"/>
      <c r="J1208" s="705">
        <f t="shared" si="1"/>
        <v>12000</v>
      </c>
      <c r="K1208" s="705">
        <f t="shared" si="7"/>
        <v>1600</v>
      </c>
      <c r="L1208" s="705">
        <f t="shared" si="3"/>
        <v>13600</v>
      </c>
      <c r="M1208" s="706">
        <f t="shared" si="5"/>
        <v>1.36</v>
      </c>
    </row>
    <row r="1209">
      <c r="A1209" s="702" t="s">
        <v>33833</v>
      </c>
      <c r="B1209" s="702" t="s">
        <v>33847</v>
      </c>
      <c r="C1209" s="707"/>
      <c r="D1209" s="707"/>
      <c r="E1209" s="708" t="s">
        <v>33848</v>
      </c>
      <c r="F1209" s="709">
        <v>5000.0</v>
      </c>
      <c r="G1209" s="708" t="s">
        <v>20765</v>
      </c>
      <c r="H1209" s="709">
        <v>16.5</v>
      </c>
      <c r="I1209" s="709">
        <v>5000.0</v>
      </c>
      <c r="J1209" s="705">
        <f t="shared" si="1"/>
        <v>87500</v>
      </c>
      <c r="K1209" s="705">
        <f t="shared" si="7"/>
        <v>5375</v>
      </c>
      <c r="L1209" s="705">
        <f t="shared" si="3"/>
        <v>92875</v>
      </c>
      <c r="M1209" s="706">
        <f t="shared" si="5"/>
        <v>18.575</v>
      </c>
    </row>
    <row r="1210">
      <c r="A1210" s="702" t="s">
        <v>33833</v>
      </c>
      <c r="B1210" s="702" t="s">
        <v>33847</v>
      </c>
      <c r="C1210" s="707"/>
      <c r="D1210" s="707"/>
      <c r="E1210" s="708" t="s">
        <v>1749</v>
      </c>
      <c r="F1210" s="709">
        <v>5000.0</v>
      </c>
      <c r="G1210" s="708" t="s">
        <v>20765</v>
      </c>
      <c r="H1210" s="709">
        <v>52.0</v>
      </c>
      <c r="I1210" s="709">
        <v>5000.0</v>
      </c>
      <c r="J1210" s="705">
        <f t="shared" si="1"/>
        <v>265000</v>
      </c>
      <c r="K1210" s="705">
        <f t="shared" si="7"/>
        <v>14250</v>
      </c>
      <c r="L1210" s="705">
        <f t="shared" si="3"/>
        <v>279250</v>
      </c>
      <c r="M1210" s="706">
        <f t="shared" si="5"/>
        <v>55.85</v>
      </c>
    </row>
    <row r="1211">
      <c r="A1211" s="702" t="s">
        <v>33833</v>
      </c>
      <c r="B1211" s="702" t="s">
        <v>33849</v>
      </c>
      <c r="C1211" s="707"/>
      <c r="D1211" s="707"/>
      <c r="E1211" s="708" t="s">
        <v>18806</v>
      </c>
      <c r="F1211" s="709">
        <v>1000.0</v>
      </c>
      <c r="G1211" s="708" t="s">
        <v>2682</v>
      </c>
      <c r="H1211" s="709">
        <v>36.0</v>
      </c>
      <c r="I1211" s="709">
        <v>1500.0</v>
      </c>
      <c r="J1211" s="705">
        <f t="shared" si="1"/>
        <v>37500</v>
      </c>
      <c r="K1211" s="705">
        <f t="shared" si="7"/>
        <v>2875</v>
      </c>
      <c r="L1211" s="705">
        <f t="shared" si="3"/>
        <v>40375</v>
      </c>
      <c r="M1211" s="706">
        <f t="shared" si="5"/>
        <v>40.375</v>
      </c>
    </row>
    <row r="1212">
      <c r="A1212" s="702" t="s">
        <v>33833</v>
      </c>
      <c r="B1212" s="702" t="s">
        <v>33850</v>
      </c>
      <c r="C1212" s="707"/>
      <c r="D1212" s="707"/>
      <c r="E1212" s="708" t="s">
        <v>47</v>
      </c>
      <c r="F1212" s="709">
        <v>10000.0</v>
      </c>
      <c r="G1212" s="708" t="s">
        <v>1082</v>
      </c>
      <c r="H1212" s="709">
        <v>3.0</v>
      </c>
      <c r="I1212" s="705"/>
      <c r="J1212" s="705">
        <f t="shared" si="1"/>
        <v>30000</v>
      </c>
      <c r="K1212" s="705">
        <f t="shared" si="7"/>
        <v>2500</v>
      </c>
      <c r="L1212" s="705">
        <f t="shared" si="3"/>
        <v>32500</v>
      </c>
      <c r="M1212" s="706">
        <f t="shared" si="5"/>
        <v>3.25</v>
      </c>
    </row>
    <row r="1213">
      <c r="A1213" s="702" t="s">
        <v>33833</v>
      </c>
      <c r="B1213" s="702" t="s">
        <v>33851</v>
      </c>
      <c r="C1213" s="707"/>
      <c r="D1213" s="707"/>
      <c r="E1213" s="720" t="s">
        <v>7197</v>
      </c>
      <c r="F1213" s="709">
        <v>25000.0</v>
      </c>
      <c r="G1213" s="708" t="s">
        <v>1082</v>
      </c>
      <c r="H1213" s="709">
        <v>21.0</v>
      </c>
      <c r="I1213" s="705"/>
      <c r="J1213" s="705">
        <f t="shared" si="1"/>
        <v>525000</v>
      </c>
      <c r="K1213" s="705">
        <f t="shared" si="7"/>
        <v>27250</v>
      </c>
      <c r="L1213" s="705">
        <f t="shared" si="3"/>
        <v>552250</v>
      </c>
      <c r="M1213" s="706">
        <f t="shared" si="5"/>
        <v>22.09</v>
      </c>
    </row>
    <row r="1214">
      <c r="A1214" s="702" t="s">
        <v>33833</v>
      </c>
      <c r="B1214" s="702" t="s">
        <v>33852</v>
      </c>
      <c r="C1214" s="707"/>
      <c r="D1214" s="707"/>
      <c r="E1214" s="708" t="s">
        <v>7197</v>
      </c>
      <c r="F1214" s="709">
        <v>17000.0</v>
      </c>
      <c r="G1214" s="708" t="s">
        <v>33853</v>
      </c>
      <c r="H1214" s="709">
        <v>21.0</v>
      </c>
      <c r="I1214" s="705"/>
      <c r="J1214" s="705">
        <f t="shared" si="1"/>
        <v>357000</v>
      </c>
      <c r="K1214" s="705">
        <f t="shared" si="7"/>
        <v>18850</v>
      </c>
      <c r="L1214" s="705">
        <f t="shared" si="3"/>
        <v>375850</v>
      </c>
      <c r="M1214" s="706">
        <f t="shared" si="5"/>
        <v>22.10882353</v>
      </c>
    </row>
    <row r="1215">
      <c r="A1215" s="702" t="s">
        <v>33854</v>
      </c>
      <c r="B1215" s="702" t="s">
        <v>33855</v>
      </c>
      <c r="C1215" s="707"/>
      <c r="D1215" s="707"/>
      <c r="E1215" s="708" t="s">
        <v>12021</v>
      </c>
      <c r="F1215" s="709">
        <v>500.0</v>
      </c>
      <c r="G1215" s="708" t="s">
        <v>1082</v>
      </c>
      <c r="H1215" s="709">
        <v>145.0</v>
      </c>
      <c r="I1215" s="709">
        <v>1000.0</v>
      </c>
      <c r="J1215" s="705">
        <f t="shared" si="1"/>
        <v>73500</v>
      </c>
      <c r="K1215" s="705">
        <f t="shared" si="7"/>
        <v>4675</v>
      </c>
      <c r="L1215" s="705">
        <f t="shared" si="3"/>
        <v>78175</v>
      </c>
      <c r="M1215" s="706">
        <f t="shared" si="5"/>
        <v>156.35</v>
      </c>
    </row>
    <row r="1216">
      <c r="A1216" s="702" t="s">
        <v>33854</v>
      </c>
      <c r="B1216" s="702" t="s">
        <v>33856</v>
      </c>
      <c r="C1216" s="707"/>
      <c r="D1216" s="707"/>
      <c r="E1216" s="708" t="s">
        <v>33857</v>
      </c>
      <c r="F1216" s="709">
        <v>50000.0</v>
      </c>
      <c r="G1216" s="708" t="s">
        <v>467</v>
      </c>
      <c r="H1216" s="709">
        <v>4.0</v>
      </c>
      <c r="I1216" s="705"/>
      <c r="J1216" s="705">
        <f t="shared" si="1"/>
        <v>200000</v>
      </c>
      <c r="K1216" s="705">
        <f t="shared" si="7"/>
        <v>11000</v>
      </c>
      <c r="L1216" s="705">
        <f t="shared" si="3"/>
        <v>211000</v>
      </c>
      <c r="M1216" s="706">
        <f t="shared" si="5"/>
        <v>4.22</v>
      </c>
    </row>
    <row r="1217">
      <c r="A1217" s="702" t="s">
        <v>33854</v>
      </c>
      <c r="B1217" s="702" t="s">
        <v>33858</v>
      </c>
      <c r="C1217" s="707"/>
      <c r="D1217" s="707"/>
      <c r="E1217" s="708" t="s">
        <v>6323</v>
      </c>
      <c r="F1217" s="709">
        <v>6000.0</v>
      </c>
      <c r="G1217" s="708" t="s">
        <v>1082</v>
      </c>
      <c r="H1217" s="709">
        <v>50.0</v>
      </c>
      <c r="I1217" s="709">
        <v>6000.0</v>
      </c>
      <c r="J1217" s="705">
        <f t="shared" si="1"/>
        <v>306000</v>
      </c>
      <c r="K1217" s="705">
        <f t="shared" si="7"/>
        <v>16300</v>
      </c>
      <c r="L1217" s="705">
        <f t="shared" si="3"/>
        <v>322300</v>
      </c>
      <c r="M1217" s="706">
        <f t="shared" si="5"/>
        <v>53.71666667</v>
      </c>
    </row>
    <row r="1218">
      <c r="A1218" s="702" t="s">
        <v>33854</v>
      </c>
      <c r="B1218" s="702" t="s">
        <v>33859</v>
      </c>
      <c r="C1218" s="707"/>
      <c r="D1218" s="707"/>
      <c r="E1218" s="708" t="s">
        <v>33860</v>
      </c>
      <c r="F1218" s="709">
        <v>500.0</v>
      </c>
      <c r="G1218" s="708" t="s">
        <v>467</v>
      </c>
      <c r="H1218" s="709">
        <v>4.0</v>
      </c>
      <c r="I1218" s="709">
        <v>1000.0</v>
      </c>
      <c r="J1218" s="705">
        <f t="shared" si="1"/>
        <v>3000</v>
      </c>
      <c r="K1218" s="705">
        <f t="shared" si="7"/>
        <v>1150</v>
      </c>
      <c r="L1218" s="705">
        <f t="shared" si="3"/>
        <v>4150</v>
      </c>
      <c r="M1218" s="706">
        <f t="shared" si="5"/>
        <v>8.3</v>
      </c>
    </row>
    <row r="1219">
      <c r="A1219" s="702" t="s">
        <v>33854</v>
      </c>
      <c r="B1219" s="702" t="s">
        <v>33861</v>
      </c>
      <c r="C1219" s="707"/>
      <c r="D1219" s="707"/>
      <c r="E1219" s="708" t="s">
        <v>10409</v>
      </c>
      <c r="F1219" s="709">
        <v>15000.0</v>
      </c>
      <c r="G1219" s="708" t="s">
        <v>507</v>
      </c>
      <c r="H1219" s="709">
        <v>22.0</v>
      </c>
      <c r="I1219" s="705"/>
      <c r="J1219" s="705">
        <f t="shared" si="1"/>
        <v>330000</v>
      </c>
      <c r="K1219" s="705">
        <f t="shared" si="7"/>
        <v>17500</v>
      </c>
      <c r="L1219" s="705">
        <f t="shared" si="3"/>
        <v>347500</v>
      </c>
      <c r="M1219" s="706">
        <f t="shared" si="5"/>
        <v>23.16666667</v>
      </c>
    </row>
    <row r="1220">
      <c r="A1220" s="702" t="s">
        <v>33854</v>
      </c>
      <c r="B1220" s="702" t="s">
        <v>33862</v>
      </c>
      <c r="C1220" s="707"/>
      <c r="D1220" s="707"/>
      <c r="E1220" s="708" t="s">
        <v>10123</v>
      </c>
      <c r="F1220" s="709">
        <v>2000.0</v>
      </c>
      <c r="G1220" s="708" t="s">
        <v>467</v>
      </c>
      <c r="H1220" s="709">
        <v>95.0</v>
      </c>
      <c r="I1220" s="709">
        <v>2000.0</v>
      </c>
      <c r="J1220" s="705">
        <f t="shared" si="1"/>
        <v>192000</v>
      </c>
      <c r="K1220" s="705">
        <f t="shared" si="7"/>
        <v>10600</v>
      </c>
      <c r="L1220" s="705">
        <f t="shared" si="3"/>
        <v>202600</v>
      </c>
      <c r="M1220" s="706">
        <f t="shared" si="5"/>
        <v>101.3</v>
      </c>
    </row>
    <row r="1221">
      <c r="A1221" s="702" t="s">
        <v>33854</v>
      </c>
      <c r="B1221" s="702" t="s">
        <v>33863</v>
      </c>
      <c r="C1221" s="707"/>
      <c r="D1221" s="707"/>
      <c r="E1221" s="708" t="s">
        <v>1230</v>
      </c>
      <c r="F1221" s="709">
        <v>50000.0</v>
      </c>
      <c r="G1221" s="708" t="s">
        <v>507</v>
      </c>
      <c r="H1221" s="709">
        <v>9.0</v>
      </c>
      <c r="I1221" s="705"/>
      <c r="J1221" s="705">
        <f t="shared" si="1"/>
        <v>450000</v>
      </c>
      <c r="K1221" s="705">
        <f t="shared" si="7"/>
        <v>23500</v>
      </c>
      <c r="L1221" s="705">
        <f t="shared" si="3"/>
        <v>473500</v>
      </c>
      <c r="M1221" s="706">
        <f t="shared" si="5"/>
        <v>9.47</v>
      </c>
    </row>
    <row r="1222">
      <c r="A1222" s="702" t="s">
        <v>33854</v>
      </c>
      <c r="B1222" s="702" t="s">
        <v>33864</v>
      </c>
      <c r="C1222" s="707"/>
      <c r="D1222" s="707"/>
      <c r="E1222" s="708" t="s">
        <v>19244</v>
      </c>
      <c r="F1222" s="709">
        <v>60000.0</v>
      </c>
      <c r="G1222" s="708" t="s">
        <v>398</v>
      </c>
      <c r="H1222" s="709">
        <v>15.0</v>
      </c>
      <c r="I1222" s="705"/>
      <c r="J1222" s="705">
        <f t="shared" si="1"/>
        <v>900000</v>
      </c>
      <c r="K1222" s="705">
        <f t="shared" si="7"/>
        <v>46000</v>
      </c>
      <c r="L1222" s="705">
        <f t="shared" si="3"/>
        <v>946000</v>
      </c>
      <c r="M1222" s="706">
        <f t="shared" si="5"/>
        <v>15.76666667</v>
      </c>
    </row>
    <row r="1223">
      <c r="A1223" s="702" t="s">
        <v>33865</v>
      </c>
      <c r="B1223" s="702" t="s">
        <v>33866</v>
      </c>
      <c r="C1223" s="707"/>
      <c r="D1223" s="707"/>
      <c r="E1223" s="708" t="s">
        <v>6421</v>
      </c>
      <c r="F1223" s="709">
        <v>15000.0</v>
      </c>
      <c r="G1223" s="708" t="s">
        <v>33853</v>
      </c>
      <c r="H1223" s="709">
        <v>12.0</v>
      </c>
      <c r="I1223" s="705"/>
      <c r="J1223" s="705">
        <f t="shared" si="1"/>
        <v>180000</v>
      </c>
      <c r="K1223" s="705">
        <f t="shared" si="7"/>
        <v>10000</v>
      </c>
      <c r="L1223" s="705">
        <f t="shared" si="3"/>
        <v>190000</v>
      </c>
      <c r="M1223" s="706">
        <f t="shared" si="5"/>
        <v>12.66666667</v>
      </c>
    </row>
    <row r="1224">
      <c r="A1224" s="702" t="s">
        <v>33865</v>
      </c>
      <c r="B1224" s="702" t="s">
        <v>33867</v>
      </c>
      <c r="C1224" s="707"/>
      <c r="D1224" s="707"/>
      <c r="E1224" s="708" t="s">
        <v>9237</v>
      </c>
      <c r="F1224" s="709">
        <v>1000.0</v>
      </c>
      <c r="G1224" s="708" t="s">
        <v>742</v>
      </c>
      <c r="H1224" s="709">
        <v>69.0</v>
      </c>
      <c r="I1224" s="709">
        <v>1000.0</v>
      </c>
      <c r="J1224" s="705">
        <f t="shared" si="1"/>
        <v>70000</v>
      </c>
      <c r="K1224" s="705">
        <f t="shared" si="7"/>
        <v>4500</v>
      </c>
      <c r="L1224" s="705">
        <f t="shared" si="3"/>
        <v>74500</v>
      </c>
      <c r="M1224" s="706">
        <f t="shared" si="5"/>
        <v>74.5</v>
      </c>
    </row>
    <row r="1225">
      <c r="A1225" s="702" t="s">
        <v>33865</v>
      </c>
      <c r="B1225" s="702" t="s">
        <v>33868</v>
      </c>
      <c r="C1225" s="707"/>
      <c r="D1225" s="707"/>
      <c r="E1225" s="708" t="s">
        <v>9237</v>
      </c>
      <c r="F1225" s="709">
        <v>500.0</v>
      </c>
      <c r="G1225" s="708" t="s">
        <v>2682</v>
      </c>
      <c r="H1225" s="709">
        <v>69.0</v>
      </c>
      <c r="I1225" s="709">
        <v>500.0</v>
      </c>
      <c r="J1225" s="705">
        <f t="shared" si="1"/>
        <v>35000</v>
      </c>
      <c r="K1225" s="705">
        <f t="shared" si="7"/>
        <v>2750</v>
      </c>
      <c r="L1225" s="705">
        <f t="shared" si="3"/>
        <v>37750</v>
      </c>
      <c r="M1225" s="706">
        <f t="shared" si="5"/>
        <v>75.5</v>
      </c>
    </row>
    <row r="1226">
      <c r="A1226" s="702" t="s">
        <v>33865</v>
      </c>
      <c r="B1226" s="702" t="s">
        <v>33869</v>
      </c>
      <c r="C1226" s="707"/>
      <c r="D1226" s="707"/>
      <c r="E1226" s="708" t="s">
        <v>9634</v>
      </c>
      <c r="F1226" s="709">
        <v>120000.0</v>
      </c>
      <c r="G1226" s="708" t="s">
        <v>507</v>
      </c>
      <c r="H1226" s="709">
        <v>19.5</v>
      </c>
      <c r="I1226" s="705"/>
      <c r="J1226" s="705">
        <f t="shared" si="1"/>
        <v>2340000</v>
      </c>
      <c r="K1226" s="705">
        <f t="shared" si="7"/>
        <v>118000</v>
      </c>
      <c r="L1226" s="705">
        <f t="shared" si="3"/>
        <v>2458000</v>
      </c>
      <c r="M1226" s="706">
        <f t="shared" si="5"/>
        <v>20.48333333</v>
      </c>
    </row>
    <row r="1227">
      <c r="A1227" s="702" t="s">
        <v>33865</v>
      </c>
      <c r="B1227" s="702" t="s">
        <v>33870</v>
      </c>
      <c r="C1227" s="707"/>
      <c r="D1227" s="707"/>
      <c r="E1227" s="708" t="s">
        <v>87</v>
      </c>
      <c r="F1227" s="709">
        <v>10000.0</v>
      </c>
      <c r="G1227" s="708" t="s">
        <v>33853</v>
      </c>
      <c r="H1227" s="709">
        <v>33.5</v>
      </c>
      <c r="I1227" s="705"/>
      <c r="J1227" s="705">
        <f t="shared" si="1"/>
        <v>335000</v>
      </c>
      <c r="K1227" s="705">
        <f t="shared" si="7"/>
        <v>17750</v>
      </c>
      <c r="L1227" s="705">
        <f t="shared" si="3"/>
        <v>352750</v>
      </c>
      <c r="M1227" s="706">
        <f t="shared" si="5"/>
        <v>35.275</v>
      </c>
    </row>
    <row r="1228">
      <c r="A1228" s="702" t="s">
        <v>33865</v>
      </c>
      <c r="B1228" s="702" t="s">
        <v>33871</v>
      </c>
      <c r="C1228" s="707"/>
      <c r="D1228" s="707"/>
      <c r="E1228" s="708" t="s">
        <v>10409</v>
      </c>
      <c r="F1228" s="709">
        <v>500000.0</v>
      </c>
      <c r="G1228" s="708" t="s">
        <v>507</v>
      </c>
      <c r="H1228" s="709">
        <v>22.0</v>
      </c>
      <c r="I1228" s="705"/>
      <c r="J1228" s="705">
        <f t="shared" si="1"/>
        <v>11000000</v>
      </c>
      <c r="K1228" s="705">
        <f t="shared" si="7"/>
        <v>551000</v>
      </c>
      <c r="L1228" s="705">
        <f t="shared" si="3"/>
        <v>11551000</v>
      </c>
      <c r="M1228" s="706">
        <f t="shared" si="5"/>
        <v>23.102</v>
      </c>
    </row>
    <row r="1229">
      <c r="A1229" s="702" t="s">
        <v>33865</v>
      </c>
      <c r="B1229" s="702" t="s">
        <v>33872</v>
      </c>
      <c r="C1229" s="707"/>
      <c r="D1229" s="707"/>
      <c r="E1229" s="708" t="s">
        <v>33873</v>
      </c>
      <c r="F1229" s="709">
        <v>200.0</v>
      </c>
      <c r="G1229" s="708" t="s">
        <v>1082</v>
      </c>
      <c r="H1229" s="709">
        <v>4.5</v>
      </c>
      <c r="I1229" s="709">
        <v>500.0</v>
      </c>
      <c r="J1229" s="705">
        <f t="shared" si="1"/>
        <v>1400</v>
      </c>
      <c r="K1229" s="705">
        <f t="shared" si="7"/>
        <v>1070</v>
      </c>
      <c r="L1229" s="705">
        <f t="shared" si="3"/>
        <v>2470</v>
      </c>
      <c r="M1229" s="706">
        <f t="shared" si="5"/>
        <v>12.35</v>
      </c>
    </row>
    <row r="1230">
      <c r="A1230" s="702" t="s">
        <v>33865</v>
      </c>
      <c r="B1230" s="702" t="s">
        <v>33874</v>
      </c>
      <c r="C1230" s="707"/>
      <c r="D1230" s="707"/>
      <c r="E1230" s="708" t="s">
        <v>152</v>
      </c>
      <c r="F1230" s="709">
        <v>200.0</v>
      </c>
      <c r="G1230" s="708" t="s">
        <v>507</v>
      </c>
      <c r="H1230" s="709">
        <v>21.0</v>
      </c>
      <c r="I1230" s="709">
        <v>500.0</v>
      </c>
      <c r="J1230" s="705">
        <f t="shared" si="1"/>
        <v>4700</v>
      </c>
      <c r="K1230" s="705">
        <f t="shared" si="7"/>
        <v>1235</v>
      </c>
      <c r="L1230" s="705">
        <f t="shared" si="3"/>
        <v>5935</v>
      </c>
      <c r="M1230" s="706">
        <f t="shared" si="5"/>
        <v>29.675</v>
      </c>
    </row>
    <row r="1231">
      <c r="A1231" s="702" t="s">
        <v>33865</v>
      </c>
      <c r="B1231" s="702" t="s">
        <v>33875</v>
      </c>
      <c r="C1231" s="707"/>
      <c r="D1231" s="707"/>
      <c r="E1231" s="708" t="s">
        <v>33876</v>
      </c>
      <c r="F1231" s="709">
        <v>1000.0</v>
      </c>
      <c r="G1231" s="708" t="s">
        <v>1082</v>
      </c>
      <c r="H1231" s="709">
        <v>65.0</v>
      </c>
      <c r="I1231" s="709">
        <v>1000.0</v>
      </c>
      <c r="J1231" s="705">
        <f t="shared" si="1"/>
        <v>66000</v>
      </c>
      <c r="K1231" s="705">
        <f t="shared" si="7"/>
        <v>4300</v>
      </c>
      <c r="L1231" s="705">
        <f t="shared" si="3"/>
        <v>70300</v>
      </c>
      <c r="M1231" s="706">
        <f t="shared" si="5"/>
        <v>70.3</v>
      </c>
    </row>
    <row r="1232">
      <c r="A1232" s="702" t="s">
        <v>33865</v>
      </c>
      <c r="B1232" s="702" t="s">
        <v>33877</v>
      </c>
      <c r="C1232" s="707"/>
      <c r="D1232" s="707"/>
      <c r="E1232" s="708" t="s">
        <v>178</v>
      </c>
      <c r="F1232" s="709">
        <v>30000.0</v>
      </c>
      <c r="G1232" s="708" t="s">
        <v>33853</v>
      </c>
      <c r="H1232" s="709">
        <v>4.5</v>
      </c>
      <c r="I1232" s="705"/>
      <c r="J1232" s="705">
        <f t="shared" si="1"/>
        <v>135000</v>
      </c>
      <c r="K1232" s="705">
        <f t="shared" si="7"/>
        <v>7750</v>
      </c>
      <c r="L1232" s="705">
        <f t="shared" si="3"/>
        <v>142750</v>
      </c>
      <c r="M1232" s="706">
        <f t="shared" si="5"/>
        <v>4.758333333</v>
      </c>
    </row>
    <row r="1233">
      <c r="A1233" s="702" t="s">
        <v>33865</v>
      </c>
      <c r="B1233" s="702" t="s">
        <v>33878</v>
      </c>
      <c r="C1233" s="707"/>
      <c r="D1233" s="707"/>
      <c r="E1233" s="708" t="s">
        <v>43</v>
      </c>
      <c r="F1233" s="709">
        <v>20000.0</v>
      </c>
      <c r="G1233" s="708" t="s">
        <v>33853</v>
      </c>
      <c r="H1233" s="709">
        <v>7.5</v>
      </c>
      <c r="I1233" s="705"/>
      <c r="J1233" s="705">
        <f t="shared" si="1"/>
        <v>150000</v>
      </c>
      <c r="K1233" s="705">
        <f t="shared" si="7"/>
        <v>8500</v>
      </c>
      <c r="L1233" s="705">
        <f t="shared" si="3"/>
        <v>158500</v>
      </c>
      <c r="M1233" s="706">
        <f t="shared" si="5"/>
        <v>7.925</v>
      </c>
    </row>
    <row r="1234">
      <c r="A1234" s="702" t="s">
        <v>33865</v>
      </c>
      <c r="B1234" s="702" t="s">
        <v>33879</v>
      </c>
      <c r="C1234" s="707"/>
      <c r="D1234" s="707"/>
      <c r="E1234" s="708" t="s">
        <v>33880</v>
      </c>
      <c r="F1234" s="721">
        <v>5000.0</v>
      </c>
      <c r="G1234" s="720" t="s">
        <v>33853</v>
      </c>
      <c r="H1234" s="709">
        <v>6.72</v>
      </c>
      <c r="I1234" s="709">
        <v>5000.0</v>
      </c>
      <c r="J1234" s="705">
        <f t="shared" si="1"/>
        <v>38600</v>
      </c>
      <c r="K1234" s="705">
        <f t="shared" si="7"/>
        <v>2930</v>
      </c>
      <c r="L1234" s="705">
        <f t="shared" si="3"/>
        <v>41530</v>
      </c>
      <c r="M1234" s="706">
        <f t="shared" si="5"/>
        <v>8.306</v>
      </c>
    </row>
    <row r="1235">
      <c r="A1235" s="702" t="s">
        <v>33865</v>
      </c>
      <c r="B1235" s="702" t="s">
        <v>33879</v>
      </c>
      <c r="C1235" s="707"/>
      <c r="D1235" s="707"/>
      <c r="E1235" s="708" t="s">
        <v>33881</v>
      </c>
      <c r="F1235" s="709">
        <v>5000.0</v>
      </c>
      <c r="G1235" s="708" t="s">
        <v>33853</v>
      </c>
      <c r="H1235" s="709">
        <v>5.5</v>
      </c>
      <c r="I1235" s="709">
        <v>5000.0</v>
      </c>
      <c r="J1235" s="705">
        <f t="shared" si="1"/>
        <v>32500</v>
      </c>
      <c r="K1235" s="705">
        <f t="shared" si="7"/>
        <v>2625</v>
      </c>
      <c r="L1235" s="705">
        <f t="shared" si="3"/>
        <v>35125</v>
      </c>
      <c r="M1235" s="706">
        <f t="shared" si="5"/>
        <v>7.025</v>
      </c>
    </row>
    <row r="1236">
      <c r="A1236" s="702" t="s">
        <v>33882</v>
      </c>
      <c r="B1236" s="702" t="s">
        <v>33883</v>
      </c>
      <c r="C1236" s="707"/>
      <c r="D1236" s="707"/>
      <c r="E1236" s="708" t="s">
        <v>10826</v>
      </c>
      <c r="F1236" s="709">
        <v>1000.0</v>
      </c>
      <c r="G1236" s="708" t="s">
        <v>930</v>
      </c>
      <c r="H1236" s="709">
        <v>780.0</v>
      </c>
      <c r="I1236" s="709">
        <v>1000.0</v>
      </c>
      <c r="J1236" s="705">
        <f t="shared" si="1"/>
        <v>781000</v>
      </c>
      <c r="K1236" s="705">
        <f t="shared" si="7"/>
        <v>40050</v>
      </c>
      <c r="L1236" s="705">
        <f t="shared" si="3"/>
        <v>821050</v>
      </c>
      <c r="M1236" s="706">
        <f t="shared" si="5"/>
        <v>821.05</v>
      </c>
    </row>
    <row r="1237">
      <c r="A1237" s="702" t="s">
        <v>33882</v>
      </c>
      <c r="B1237" s="702" t="s">
        <v>33884</v>
      </c>
      <c r="C1237" s="707"/>
      <c r="D1237" s="707"/>
      <c r="E1237" s="708" t="s">
        <v>1230</v>
      </c>
      <c r="F1237" s="709">
        <v>25000.0</v>
      </c>
      <c r="G1237" s="708" t="s">
        <v>507</v>
      </c>
      <c r="H1237" s="709">
        <v>9.0</v>
      </c>
      <c r="I1237" s="705"/>
      <c r="J1237" s="705">
        <f t="shared" si="1"/>
        <v>225000</v>
      </c>
      <c r="K1237" s="705">
        <f t="shared" si="7"/>
        <v>12250</v>
      </c>
      <c r="L1237" s="705">
        <f t="shared" si="3"/>
        <v>237250</v>
      </c>
      <c r="M1237" s="706">
        <f t="shared" si="5"/>
        <v>9.49</v>
      </c>
    </row>
    <row r="1238">
      <c r="A1238" s="702" t="s">
        <v>33882</v>
      </c>
      <c r="B1238" s="702" t="s">
        <v>33885</v>
      </c>
      <c r="C1238" s="707"/>
      <c r="D1238" s="707"/>
      <c r="E1238" s="708" t="s">
        <v>412</v>
      </c>
      <c r="F1238" s="709">
        <v>300.0</v>
      </c>
      <c r="G1238" s="708" t="s">
        <v>1082</v>
      </c>
      <c r="H1238" s="709">
        <v>160.0</v>
      </c>
      <c r="I1238" s="709">
        <v>1000.0</v>
      </c>
      <c r="J1238" s="705">
        <f t="shared" si="1"/>
        <v>49000</v>
      </c>
      <c r="K1238" s="705">
        <f t="shared" si="7"/>
        <v>3450</v>
      </c>
      <c r="L1238" s="705">
        <f t="shared" si="3"/>
        <v>52450</v>
      </c>
      <c r="M1238" s="706">
        <f t="shared" si="5"/>
        <v>174.8333333</v>
      </c>
    </row>
    <row r="1239">
      <c r="A1239" s="702" t="s">
        <v>33882</v>
      </c>
      <c r="B1239" s="702" t="s">
        <v>33886</v>
      </c>
      <c r="C1239" s="707"/>
      <c r="D1239" s="707"/>
      <c r="E1239" s="708" t="s">
        <v>9462</v>
      </c>
      <c r="F1239" s="709">
        <v>5000.0</v>
      </c>
      <c r="G1239" s="708" t="s">
        <v>33853</v>
      </c>
      <c r="H1239" s="709">
        <v>60.0</v>
      </c>
      <c r="I1239" s="705">
        <v>200.0</v>
      </c>
      <c r="J1239" s="705">
        <f t="shared" si="1"/>
        <v>300200</v>
      </c>
      <c r="K1239" s="705">
        <f t="shared" si="7"/>
        <v>16010</v>
      </c>
      <c r="L1239" s="705">
        <f t="shared" si="3"/>
        <v>316210</v>
      </c>
      <c r="M1239" s="706">
        <f t="shared" si="5"/>
        <v>63.242</v>
      </c>
    </row>
    <row r="1240">
      <c r="A1240" s="702" t="s">
        <v>33882</v>
      </c>
      <c r="B1240" s="702" t="s">
        <v>33887</v>
      </c>
      <c r="C1240" s="707"/>
      <c r="D1240" s="707"/>
      <c r="E1240" s="708" t="s">
        <v>33888</v>
      </c>
      <c r="F1240" s="709">
        <v>500.0</v>
      </c>
      <c r="G1240" s="708" t="s">
        <v>742</v>
      </c>
      <c r="H1240" s="709">
        <v>170.0</v>
      </c>
      <c r="I1240" s="709">
        <v>500.0</v>
      </c>
      <c r="J1240" s="705">
        <f t="shared" si="1"/>
        <v>85500</v>
      </c>
      <c r="K1240" s="705">
        <f t="shared" si="7"/>
        <v>5275</v>
      </c>
      <c r="L1240" s="705">
        <f t="shared" si="3"/>
        <v>90775</v>
      </c>
      <c r="M1240" s="706">
        <f t="shared" si="5"/>
        <v>181.55</v>
      </c>
    </row>
    <row r="1241">
      <c r="A1241" s="702" t="s">
        <v>33882</v>
      </c>
      <c r="B1241" s="702" t="s">
        <v>33887</v>
      </c>
      <c r="C1241" s="707"/>
      <c r="D1241" s="707"/>
      <c r="E1241" s="708" t="s">
        <v>1182</v>
      </c>
      <c r="F1241" s="709">
        <v>2000.0</v>
      </c>
      <c r="G1241" s="708" t="s">
        <v>742</v>
      </c>
      <c r="H1241" s="709">
        <v>14.0</v>
      </c>
      <c r="I1241" s="709">
        <v>2000.0</v>
      </c>
      <c r="J1241" s="705">
        <f t="shared" si="1"/>
        <v>30000</v>
      </c>
      <c r="K1241" s="705">
        <f t="shared" si="7"/>
        <v>2500</v>
      </c>
      <c r="L1241" s="705">
        <f t="shared" si="3"/>
        <v>32500</v>
      </c>
      <c r="M1241" s="706">
        <f t="shared" si="5"/>
        <v>16.25</v>
      </c>
    </row>
    <row r="1242">
      <c r="A1242" s="702" t="s">
        <v>33882</v>
      </c>
      <c r="B1242" s="702" t="s">
        <v>33887</v>
      </c>
      <c r="C1242" s="707"/>
      <c r="D1242" s="707"/>
      <c r="E1242" s="708" t="s">
        <v>33889</v>
      </c>
      <c r="F1242" s="709">
        <v>500.0</v>
      </c>
      <c r="G1242" s="708" t="s">
        <v>742</v>
      </c>
      <c r="H1242" s="709">
        <v>138.0</v>
      </c>
      <c r="I1242" s="709">
        <v>500.0</v>
      </c>
      <c r="J1242" s="705">
        <f t="shared" si="1"/>
        <v>69500</v>
      </c>
      <c r="K1242" s="705">
        <f t="shared" si="7"/>
        <v>4475</v>
      </c>
      <c r="L1242" s="705">
        <f t="shared" si="3"/>
        <v>73975</v>
      </c>
      <c r="M1242" s="706">
        <f t="shared" si="5"/>
        <v>147.95</v>
      </c>
    </row>
    <row r="1243">
      <c r="A1243" s="702" t="s">
        <v>33882</v>
      </c>
      <c r="B1243" s="702" t="s">
        <v>33890</v>
      </c>
      <c r="C1243" s="707"/>
      <c r="D1243" s="707"/>
      <c r="E1243" s="708" t="s">
        <v>9682</v>
      </c>
      <c r="F1243" s="709">
        <v>10000.0</v>
      </c>
      <c r="G1243" s="708" t="s">
        <v>1082</v>
      </c>
      <c r="H1243" s="709">
        <v>10.0</v>
      </c>
      <c r="I1243" s="705"/>
      <c r="J1243" s="705">
        <f t="shared" si="1"/>
        <v>100000</v>
      </c>
      <c r="K1243" s="705">
        <f t="shared" si="7"/>
        <v>6000</v>
      </c>
      <c r="L1243" s="705">
        <f t="shared" si="3"/>
        <v>106000</v>
      </c>
      <c r="M1243" s="706">
        <f t="shared" si="5"/>
        <v>10.6</v>
      </c>
    </row>
    <row r="1244">
      <c r="A1244" s="702" t="s">
        <v>33882</v>
      </c>
      <c r="B1244" s="702" t="s">
        <v>33891</v>
      </c>
      <c r="C1244" s="707"/>
      <c r="D1244" s="707"/>
      <c r="E1244" s="708" t="s">
        <v>6311</v>
      </c>
      <c r="F1244" s="709">
        <v>50000.0</v>
      </c>
      <c r="G1244" s="708" t="s">
        <v>1082</v>
      </c>
      <c r="H1244" s="709">
        <v>4.5</v>
      </c>
      <c r="I1244" s="705"/>
      <c r="J1244" s="705">
        <f t="shared" si="1"/>
        <v>225000</v>
      </c>
      <c r="K1244" s="705">
        <f t="shared" si="7"/>
        <v>12250</v>
      </c>
      <c r="L1244" s="705">
        <f t="shared" si="3"/>
        <v>237250</v>
      </c>
      <c r="M1244" s="706">
        <f t="shared" si="5"/>
        <v>4.745</v>
      </c>
    </row>
    <row r="1245">
      <c r="A1245" s="702" t="s">
        <v>33882</v>
      </c>
      <c r="B1245" s="702" t="s">
        <v>33892</v>
      </c>
      <c r="C1245" s="707"/>
      <c r="D1245" s="707"/>
      <c r="E1245" s="708" t="s">
        <v>130</v>
      </c>
      <c r="F1245" s="709">
        <v>25000.0</v>
      </c>
      <c r="G1245" s="708" t="s">
        <v>99</v>
      </c>
      <c r="H1245" s="709">
        <v>25.0</v>
      </c>
      <c r="I1245" s="705"/>
      <c r="J1245" s="705">
        <f t="shared" si="1"/>
        <v>625000</v>
      </c>
      <c r="K1245" s="705">
        <f t="shared" si="7"/>
        <v>32250</v>
      </c>
      <c r="L1245" s="705">
        <f t="shared" si="3"/>
        <v>657250</v>
      </c>
      <c r="M1245" s="706">
        <f t="shared" si="5"/>
        <v>26.29</v>
      </c>
    </row>
    <row r="1246">
      <c r="A1246" s="702" t="s">
        <v>33882</v>
      </c>
      <c r="B1246" s="702" t="s">
        <v>33893</v>
      </c>
      <c r="C1246" s="707"/>
      <c r="D1246" s="707"/>
      <c r="E1246" s="708" t="s">
        <v>207</v>
      </c>
      <c r="F1246" s="709">
        <v>300.0</v>
      </c>
      <c r="G1246" s="708" t="s">
        <v>33853</v>
      </c>
      <c r="H1246" s="709">
        <v>8.5</v>
      </c>
      <c r="I1246" s="709">
        <v>500.0</v>
      </c>
      <c r="J1246" s="705">
        <f t="shared" si="1"/>
        <v>3050</v>
      </c>
      <c r="K1246" s="705">
        <f t="shared" si="7"/>
        <v>1152.5</v>
      </c>
      <c r="L1246" s="705">
        <f t="shared" si="3"/>
        <v>4202.5</v>
      </c>
      <c r="M1246" s="706">
        <f t="shared" si="5"/>
        <v>14.00833333</v>
      </c>
    </row>
    <row r="1247">
      <c r="A1247" s="702" t="s">
        <v>33882</v>
      </c>
      <c r="B1247" s="702" t="s">
        <v>33894</v>
      </c>
      <c r="C1247" s="707"/>
      <c r="D1247" s="707"/>
      <c r="E1247" s="708" t="s">
        <v>2266</v>
      </c>
      <c r="F1247" s="709">
        <v>50000.0</v>
      </c>
      <c r="G1247" s="708" t="s">
        <v>44</v>
      </c>
      <c r="H1247" s="709">
        <v>8.0</v>
      </c>
      <c r="I1247" s="705"/>
      <c r="J1247" s="705">
        <f t="shared" si="1"/>
        <v>400000</v>
      </c>
      <c r="K1247" s="705">
        <f t="shared" si="7"/>
        <v>21000</v>
      </c>
      <c r="L1247" s="705">
        <f t="shared" si="3"/>
        <v>421000</v>
      </c>
      <c r="M1247" s="706">
        <f t="shared" si="5"/>
        <v>8.42</v>
      </c>
    </row>
    <row r="1248">
      <c r="A1248" s="702" t="s">
        <v>33882</v>
      </c>
      <c r="B1248" s="702" t="s">
        <v>33895</v>
      </c>
      <c r="C1248" s="707"/>
      <c r="D1248" s="707"/>
      <c r="E1248" s="708" t="s">
        <v>6311</v>
      </c>
      <c r="F1248" s="709">
        <v>200000.0</v>
      </c>
      <c r="G1248" s="708" t="s">
        <v>507</v>
      </c>
      <c r="H1248" s="709">
        <v>6.5</v>
      </c>
      <c r="I1248" s="705"/>
      <c r="J1248" s="705">
        <f t="shared" si="1"/>
        <v>1300000</v>
      </c>
      <c r="K1248" s="705">
        <f t="shared" si="7"/>
        <v>66000</v>
      </c>
      <c r="L1248" s="705">
        <f t="shared" si="3"/>
        <v>1366000</v>
      </c>
      <c r="M1248" s="706">
        <f t="shared" si="5"/>
        <v>6.83</v>
      </c>
    </row>
    <row r="1249">
      <c r="A1249" s="702" t="s">
        <v>33882</v>
      </c>
      <c r="B1249" s="702" t="s">
        <v>33896</v>
      </c>
      <c r="C1249" s="707"/>
      <c r="D1249" s="707"/>
      <c r="E1249" s="708" t="s">
        <v>33897</v>
      </c>
      <c r="F1249" s="709">
        <v>500000.0</v>
      </c>
      <c r="G1249" s="708" t="s">
        <v>507</v>
      </c>
      <c r="H1249" s="709">
        <v>7.0</v>
      </c>
      <c r="I1249" s="705"/>
      <c r="J1249" s="705">
        <f t="shared" si="1"/>
        <v>3500000</v>
      </c>
      <c r="K1249" s="705">
        <f t="shared" si="7"/>
        <v>176000</v>
      </c>
      <c r="L1249" s="705">
        <f t="shared" si="3"/>
        <v>3676000</v>
      </c>
      <c r="M1249" s="706">
        <f t="shared" si="5"/>
        <v>7.352</v>
      </c>
    </row>
    <row r="1250">
      <c r="A1250" s="702" t="s">
        <v>33882</v>
      </c>
      <c r="B1250" s="702" t="s">
        <v>33896</v>
      </c>
      <c r="C1250" s="707"/>
      <c r="D1250" s="707"/>
      <c r="E1250" s="708" t="s">
        <v>33898</v>
      </c>
      <c r="F1250" s="709">
        <v>500000.0</v>
      </c>
      <c r="G1250" s="708" t="s">
        <v>507</v>
      </c>
      <c r="H1250" s="709">
        <v>8.5</v>
      </c>
      <c r="I1250" s="705"/>
      <c r="J1250" s="705">
        <f t="shared" si="1"/>
        <v>4250000</v>
      </c>
      <c r="K1250" s="705">
        <f t="shared" si="7"/>
        <v>213500</v>
      </c>
      <c r="L1250" s="705">
        <f t="shared" si="3"/>
        <v>4463500</v>
      </c>
      <c r="M1250" s="706">
        <f t="shared" si="5"/>
        <v>8.927</v>
      </c>
    </row>
    <row r="1251">
      <c r="A1251" s="702" t="s">
        <v>33882</v>
      </c>
      <c r="B1251" s="702" t="s">
        <v>33899</v>
      </c>
      <c r="C1251" s="707"/>
      <c r="D1251" s="707"/>
      <c r="E1251" s="708" t="s">
        <v>33900</v>
      </c>
      <c r="F1251" s="709">
        <v>150.0</v>
      </c>
      <c r="G1251" s="708" t="s">
        <v>507</v>
      </c>
      <c r="H1251" s="709">
        <v>14.0</v>
      </c>
      <c r="I1251" s="709">
        <v>500.0</v>
      </c>
      <c r="J1251" s="705">
        <f t="shared" si="1"/>
        <v>2600</v>
      </c>
      <c r="K1251" s="705">
        <f t="shared" si="7"/>
        <v>1130</v>
      </c>
      <c r="L1251" s="705">
        <f t="shared" si="3"/>
        <v>3730</v>
      </c>
      <c r="M1251" s="706">
        <f t="shared" si="5"/>
        <v>24.86666667</v>
      </c>
    </row>
    <row r="1252">
      <c r="A1252" s="702" t="s">
        <v>33901</v>
      </c>
      <c r="B1252" s="702" t="s">
        <v>33902</v>
      </c>
      <c r="C1252" s="707"/>
      <c r="D1252" s="707"/>
      <c r="E1252" s="708" t="s">
        <v>33903</v>
      </c>
      <c r="F1252" s="709">
        <v>500.0</v>
      </c>
      <c r="G1252" s="708" t="s">
        <v>44</v>
      </c>
      <c r="H1252" s="709">
        <v>67.0</v>
      </c>
      <c r="I1252" s="709">
        <v>1000.0</v>
      </c>
      <c r="J1252" s="705">
        <f t="shared" si="1"/>
        <v>34500</v>
      </c>
      <c r="K1252" s="705">
        <f t="shared" si="7"/>
        <v>2725</v>
      </c>
      <c r="L1252" s="705">
        <f t="shared" si="3"/>
        <v>37225</v>
      </c>
      <c r="M1252" s="706">
        <f t="shared" si="5"/>
        <v>74.45</v>
      </c>
    </row>
    <row r="1253">
      <c r="A1253" s="702" t="s">
        <v>33901</v>
      </c>
      <c r="B1253" s="702" t="s">
        <v>33904</v>
      </c>
      <c r="C1253" s="707"/>
      <c r="D1253" s="707"/>
      <c r="E1253" s="708" t="s">
        <v>344</v>
      </c>
      <c r="F1253" s="709">
        <v>1000.0</v>
      </c>
      <c r="G1253" s="708" t="s">
        <v>99</v>
      </c>
      <c r="H1253" s="709">
        <v>240.0</v>
      </c>
      <c r="I1253" s="709">
        <v>1000.0</v>
      </c>
      <c r="J1253" s="705">
        <f t="shared" si="1"/>
        <v>241000</v>
      </c>
      <c r="K1253" s="705">
        <f t="shared" si="7"/>
        <v>13050</v>
      </c>
      <c r="L1253" s="705">
        <f t="shared" si="3"/>
        <v>254050</v>
      </c>
      <c r="M1253" s="706">
        <f t="shared" si="5"/>
        <v>254.05</v>
      </c>
    </row>
    <row r="1254">
      <c r="A1254" s="702" t="s">
        <v>33901</v>
      </c>
      <c r="B1254" s="702" t="s">
        <v>33905</v>
      </c>
      <c r="C1254" s="707"/>
      <c r="D1254" s="707"/>
      <c r="E1254" s="708" t="s">
        <v>18086</v>
      </c>
      <c r="F1254" s="709">
        <v>400000.0</v>
      </c>
      <c r="G1254" s="708" t="s">
        <v>33853</v>
      </c>
      <c r="H1254" s="709">
        <v>4.5</v>
      </c>
      <c r="I1254" s="705"/>
      <c r="J1254" s="705">
        <f t="shared" si="1"/>
        <v>1800000</v>
      </c>
      <c r="K1254" s="705">
        <f t="shared" si="7"/>
        <v>91000</v>
      </c>
      <c r="L1254" s="705">
        <f t="shared" si="3"/>
        <v>1891000</v>
      </c>
      <c r="M1254" s="706">
        <f t="shared" si="5"/>
        <v>4.7275</v>
      </c>
    </row>
    <row r="1255">
      <c r="A1255" s="702" t="s">
        <v>33901</v>
      </c>
      <c r="B1255" s="702" t="s">
        <v>33906</v>
      </c>
      <c r="C1255" s="707"/>
      <c r="D1255" s="707"/>
      <c r="E1255" s="708" t="s">
        <v>11748</v>
      </c>
      <c r="F1255" s="709">
        <v>2500.0</v>
      </c>
      <c r="G1255" s="708" t="s">
        <v>507</v>
      </c>
      <c r="H1255" s="709">
        <v>25.0</v>
      </c>
      <c r="I1255" s="709">
        <v>2500.0</v>
      </c>
      <c r="J1255" s="705">
        <f t="shared" si="1"/>
        <v>65000</v>
      </c>
      <c r="K1255" s="705">
        <f t="shared" si="7"/>
        <v>4250</v>
      </c>
      <c r="L1255" s="705">
        <f t="shared" si="3"/>
        <v>69250</v>
      </c>
      <c r="M1255" s="706">
        <f t="shared" si="5"/>
        <v>27.7</v>
      </c>
    </row>
    <row r="1256">
      <c r="A1256" s="702" t="s">
        <v>33901</v>
      </c>
      <c r="B1256" s="702" t="s">
        <v>33907</v>
      </c>
      <c r="C1256" s="707"/>
      <c r="D1256" s="707"/>
      <c r="E1256" s="708" t="s">
        <v>33908</v>
      </c>
      <c r="F1256" s="709">
        <v>100.0</v>
      </c>
      <c r="G1256" s="708" t="s">
        <v>2478</v>
      </c>
      <c r="H1256" s="709">
        <v>8.5</v>
      </c>
      <c r="I1256" s="709">
        <v>500.0</v>
      </c>
      <c r="J1256" s="705">
        <f t="shared" si="1"/>
        <v>1350</v>
      </c>
      <c r="K1256" s="705">
        <f t="shared" si="7"/>
        <v>1067.5</v>
      </c>
      <c r="L1256" s="705">
        <f t="shared" si="3"/>
        <v>2417.5</v>
      </c>
      <c r="M1256" s="706">
        <f t="shared" si="5"/>
        <v>24.175</v>
      </c>
    </row>
    <row r="1257">
      <c r="A1257" s="702" t="s">
        <v>33901</v>
      </c>
      <c r="B1257" s="702" t="s">
        <v>33909</v>
      </c>
      <c r="C1257" s="707"/>
      <c r="D1257" s="707"/>
      <c r="E1257" s="708" t="s">
        <v>444</v>
      </c>
      <c r="F1257" s="709">
        <v>1000.0</v>
      </c>
      <c r="G1257" s="708" t="s">
        <v>44</v>
      </c>
      <c r="H1257" s="709">
        <v>13.2</v>
      </c>
      <c r="I1257" s="709">
        <v>1000.0</v>
      </c>
      <c r="J1257" s="705">
        <f t="shared" si="1"/>
        <v>14200</v>
      </c>
      <c r="K1257" s="705">
        <f t="shared" si="7"/>
        <v>1710</v>
      </c>
      <c r="L1257" s="705">
        <f t="shared" si="3"/>
        <v>15910</v>
      </c>
      <c r="M1257" s="706">
        <f t="shared" si="5"/>
        <v>15.91</v>
      </c>
    </row>
    <row r="1258">
      <c r="A1258" s="702" t="s">
        <v>33901</v>
      </c>
      <c r="B1258" s="702" t="s">
        <v>33910</v>
      </c>
      <c r="C1258" s="707"/>
      <c r="D1258" s="707"/>
      <c r="E1258" s="720" t="s">
        <v>6421</v>
      </c>
      <c r="F1258" s="709">
        <v>2000.0</v>
      </c>
      <c r="G1258" s="708" t="s">
        <v>495</v>
      </c>
      <c r="H1258" s="709">
        <v>9.5</v>
      </c>
      <c r="I1258" s="709">
        <v>2000.0</v>
      </c>
      <c r="J1258" s="705">
        <f t="shared" si="1"/>
        <v>21000</v>
      </c>
      <c r="K1258" s="705">
        <f t="shared" si="7"/>
        <v>2050</v>
      </c>
      <c r="L1258" s="705">
        <f t="shared" si="3"/>
        <v>23050</v>
      </c>
      <c r="M1258" s="706">
        <f t="shared" si="5"/>
        <v>11.525</v>
      </c>
    </row>
    <row r="1259">
      <c r="A1259" s="702" t="s">
        <v>33901</v>
      </c>
      <c r="B1259" s="702" t="s">
        <v>33911</v>
      </c>
      <c r="C1259" s="707"/>
      <c r="D1259" s="707"/>
      <c r="E1259" s="708" t="s">
        <v>10501</v>
      </c>
      <c r="F1259" s="709">
        <v>10000.0</v>
      </c>
      <c r="G1259" s="708" t="s">
        <v>519</v>
      </c>
      <c r="H1259" s="709">
        <v>21.0</v>
      </c>
      <c r="I1259" s="705"/>
      <c r="J1259" s="705">
        <f t="shared" si="1"/>
        <v>210000</v>
      </c>
      <c r="K1259" s="705">
        <f t="shared" si="7"/>
        <v>11500</v>
      </c>
      <c r="L1259" s="705">
        <f t="shared" si="3"/>
        <v>221500</v>
      </c>
      <c r="M1259" s="706">
        <f t="shared" si="5"/>
        <v>22.15</v>
      </c>
    </row>
    <row r="1260">
      <c r="A1260" s="702" t="s">
        <v>33901</v>
      </c>
      <c r="B1260" s="702" t="s">
        <v>33912</v>
      </c>
      <c r="C1260" s="707"/>
      <c r="D1260" s="707"/>
      <c r="E1260" s="708" t="s">
        <v>9109</v>
      </c>
      <c r="F1260" s="709">
        <v>1000.0</v>
      </c>
      <c r="G1260" s="708" t="s">
        <v>1082</v>
      </c>
      <c r="H1260" s="709">
        <v>9.0</v>
      </c>
      <c r="I1260" s="709">
        <v>1000.0</v>
      </c>
      <c r="J1260" s="705">
        <f t="shared" si="1"/>
        <v>10000</v>
      </c>
      <c r="K1260" s="705">
        <f t="shared" si="7"/>
        <v>1500</v>
      </c>
      <c r="L1260" s="705">
        <f t="shared" si="3"/>
        <v>11500</v>
      </c>
      <c r="M1260" s="706">
        <f t="shared" si="5"/>
        <v>11.5</v>
      </c>
    </row>
    <row r="1261">
      <c r="A1261" s="702" t="s">
        <v>33901</v>
      </c>
      <c r="B1261" s="702" t="s">
        <v>33912</v>
      </c>
      <c r="C1261" s="707"/>
      <c r="D1261" s="707"/>
      <c r="E1261" s="708" t="s">
        <v>12095</v>
      </c>
      <c r="F1261" s="709">
        <v>1000.0</v>
      </c>
      <c r="G1261" s="708" t="s">
        <v>1082</v>
      </c>
      <c r="H1261" s="709">
        <v>27.0</v>
      </c>
      <c r="I1261" s="709">
        <v>1000.0</v>
      </c>
      <c r="J1261" s="705">
        <f t="shared" si="1"/>
        <v>28000</v>
      </c>
      <c r="K1261" s="705">
        <f t="shared" si="7"/>
        <v>2400</v>
      </c>
      <c r="L1261" s="705">
        <f t="shared" si="3"/>
        <v>30400</v>
      </c>
      <c r="M1261" s="706">
        <f t="shared" si="5"/>
        <v>30.4</v>
      </c>
    </row>
    <row r="1262">
      <c r="A1262" s="702" t="s">
        <v>33901</v>
      </c>
      <c r="B1262" s="702" t="s">
        <v>33912</v>
      </c>
      <c r="C1262" s="707"/>
      <c r="D1262" s="707"/>
      <c r="E1262" s="708" t="s">
        <v>6421</v>
      </c>
      <c r="F1262" s="709">
        <v>1000.0</v>
      </c>
      <c r="G1262" s="708" t="s">
        <v>1082</v>
      </c>
      <c r="H1262" s="709">
        <v>9.5</v>
      </c>
      <c r="I1262" s="709">
        <v>1000.0</v>
      </c>
      <c r="J1262" s="705">
        <f t="shared" si="1"/>
        <v>10500</v>
      </c>
      <c r="K1262" s="705">
        <f t="shared" si="7"/>
        <v>1525</v>
      </c>
      <c r="L1262" s="705">
        <f t="shared" si="3"/>
        <v>12025</v>
      </c>
      <c r="M1262" s="706">
        <f t="shared" si="5"/>
        <v>12.025</v>
      </c>
    </row>
    <row r="1263">
      <c r="A1263" s="702" t="s">
        <v>33901</v>
      </c>
      <c r="B1263" s="702" t="s">
        <v>33913</v>
      </c>
      <c r="C1263" s="707"/>
      <c r="D1263" s="707"/>
      <c r="E1263" s="708" t="s">
        <v>167</v>
      </c>
      <c r="F1263" s="709">
        <v>10000.0</v>
      </c>
      <c r="G1263" s="708" t="s">
        <v>507</v>
      </c>
      <c r="H1263" s="709">
        <v>6.0</v>
      </c>
      <c r="I1263" s="705"/>
      <c r="J1263" s="705">
        <f t="shared" si="1"/>
        <v>60000</v>
      </c>
      <c r="K1263" s="705">
        <f t="shared" si="7"/>
        <v>4000</v>
      </c>
      <c r="L1263" s="705">
        <f t="shared" si="3"/>
        <v>64000</v>
      </c>
      <c r="M1263" s="706">
        <f t="shared" si="5"/>
        <v>6.4</v>
      </c>
    </row>
    <row r="1264">
      <c r="A1264" s="702" t="s">
        <v>33914</v>
      </c>
      <c r="B1264" s="702" t="s">
        <v>33915</v>
      </c>
      <c r="C1264" s="707"/>
      <c r="D1264" s="707"/>
      <c r="E1264" s="708" t="s">
        <v>10409</v>
      </c>
      <c r="F1264" s="709">
        <v>450.0</v>
      </c>
      <c r="G1264" s="708" t="s">
        <v>33494</v>
      </c>
      <c r="H1264" s="709">
        <v>22.0</v>
      </c>
      <c r="I1264" s="709">
        <v>500.0</v>
      </c>
      <c r="J1264" s="705">
        <f t="shared" si="1"/>
        <v>10400</v>
      </c>
      <c r="K1264" s="705">
        <f t="shared" si="7"/>
        <v>1520</v>
      </c>
      <c r="L1264" s="705">
        <f t="shared" si="3"/>
        <v>11920</v>
      </c>
      <c r="M1264" s="706">
        <f t="shared" si="5"/>
        <v>26.48888889</v>
      </c>
    </row>
    <row r="1265">
      <c r="A1265" s="702" t="s">
        <v>33916</v>
      </c>
      <c r="B1265" s="702" t="s">
        <v>33917</v>
      </c>
      <c r="C1265" s="707"/>
      <c r="D1265" s="707"/>
      <c r="E1265" s="708" t="s">
        <v>33918</v>
      </c>
      <c r="F1265" s="709">
        <v>22000.0</v>
      </c>
      <c r="G1265" s="708" t="s">
        <v>6933</v>
      </c>
      <c r="H1265" s="709">
        <v>4.0</v>
      </c>
      <c r="I1265" s="705"/>
      <c r="J1265" s="705">
        <f t="shared" si="1"/>
        <v>88000</v>
      </c>
      <c r="K1265" s="705">
        <f t="shared" si="7"/>
        <v>5400</v>
      </c>
      <c r="L1265" s="705">
        <f t="shared" si="3"/>
        <v>93400</v>
      </c>
      <c r="M1265" s="706">
        <f t="shared" si="5"/>
        <v>4.245454545</v>
      </c>
    </row>
    <row r="1266">
      <c r="A1266" s="702" t="s">
        <v>33916</v>
      </c>
      <c r="B1266" s="702" t="s">
        <v>33919</v>
      </c>
      <c r="C1266" s="707"/>
      <c r="D1266" s="707"/>
      <c r="E1266" s="708" t="s">
        <v>12868</v>
      </c>
      <c r="F1266" s="709">
        <v>10000.0</v>
      </c>
      <c r="G1266" s="708" t="s">
        <v>507</v>
      </c>
      <c r="H1266" s="709">
        <v>6.2</v>
      </c>
      <c r="I1266" s="709">
        <v>5000.0</v>
      </c>
      <c r="J1266" s="705">
        <f t="shared" si="1"/>
        <v>67000</v>
      </c>
      <c r="K1266" s="705">
        <f t="shared" si="7"/>
        <v>4350</v>
      </c>
      <c r="L1266" s="705">
        <f t="shared" si="3"/>
        <v>71350</v>
      </c>
      <c r="M1266" s="706">
        <f t="shared" si="5"/>
        <v>7.135</v>
      </c>
    </row>
    <row r="1267">
      <c r="A1267" s="702" t="s">
        <v>33916</v>
      </c>
      <c r="B1267" s="702" t="s">
        <v>33920</v>
      </c>
      <c r="C1267" s="707"/>
      <c r="D1267" s="707"/>
      <c r="E1267" s="708" t="s">
        <v>33308</v>
      </c>
      <c r="F1267" s="709">
        <v>25000.0</v>
      </c>
      <c r="G1267" s="708" t="s">
        <v>507</v>
      </c>
      <c r="H1267" s="709">
        <v>4.0</v>
      </c>
      <c r="I1267" s="705"/>
      <c r="J1267" s="705">
        <f t="shared" si="1"/>
        <v>100000</v>
      </c>
      <c r="K1267" s="705">
        <f t="shared" si="7"/>
        <v>6000</v>
      </c>
      <c r="L1267" s="705">
        <f t="shared" si="3"/>
        <v>106000</v>
      </c>
      <c r="M1267" s="706">
        <f t="shared" si="5"/>
        <v>4.24</v>
      </c>
    </row>
    <row r="1268">
      <c r="A1268" s="702" t="s">
        <v>33916</v>
      </c>
      <c r="B1268" s="702" t="s">
        <v>33921</v>
      </c>
      <c r="C1268" s="707"/>
      <c r="D1268" s="707"/>
      <c r="E1268" s="708" t="s">
        <v>10404</v>
      </c>
      <c r="F1268" s="709">
        <v>500.0</v>
      </c>
      <c r="G1268" s="708" t="s">
        <v>33837</v>
      </c>
      <c r="H1268" s="709">
        <v>22.0</v>
      </c>
      <c r="I1268" s="709">
        <v>1000.0</v>
      </c>
      <c r="J1268" s="705">
        <f t="shared" si="1"/>
        <v>12000</v>
      </c>
      <c r="K1268" s="705">
        <f t="shared" si="7"/>
        <v>1600</v>
      </c>
      <c r="L1268" s="705">
        <f t="shared" si="3"/>
        <v>13600</v>
      </c>
      <c r="M1268" s="706">
        <f t="shared" si="5"/>
        <v>27.2</v>
      </c>
    </row>
    <row r="1269">
      <c r="A1269" s="702" t="s">
        <v>33916</v>
      </c>
      <c r="B1269" s="702" t="s">
        <v>33922</v>
      </c>
      <c r="C1269" s="707"/>
      <c r="D1269" s="707"/>
      <c r="E1269" s="708" t="s">
        <v>33089</v>
      </c>
      <c r="F1269" s="709">
        <v>100.0</v>
      </c>
      <c r="G1269" s="708" t="s">
        <v>507</v>
      </c>
      <c r="H1269" s="709">
        <v>69.0</v>
      </c>
      <c r="I1269" s="709">
        <v>500.0</v>
      </c>
      <c r="J1269" s="705">
        <f t="shared" si="1"/>
        <v>7400</v>
      </c>
      <c r="K1269" s="705">
        <f t="shared" si="7"/>
        <v>1370</v>
      </c>
      <c r="L1269" s="705">
        <f t="shared" si="3"/>
        <v>8770</v>
      </c>
      <c r="M1269" s="706">
        <f t="shared" si="5"/>
        <v>87.7</v>
      </c>
    </row>
    <row r="1270">
      <c r="A1270" s="702" t="s">
        <v>33916</v>
      </c>
      <c r="B1270" s="702" t="s">
        <v>33923</v>
      </c>
      <c r="C1270" s="707"/>
      <c r="D1270" s="707"/>
      <c r="E1270" s="708" t="s">
        <v>240</v>
      </c>
      <c r="F1270" s="709">
        <v>16000.0</v>
      </c>
      <c r="G1270" s="708" t="s">
        <v>33853</v>
      </c>
      <c r="H1270" s="709">
        <v>23.0</v>
      </c>
      <c r="I1270" s="705"/>
      <c r="J1270" s="705">
        <f t="shared" si="1"/>
        <v>368000</v>
      </c>
      <c r="K1270" s="705">
        <f t="shared" si="7"/>
        <v>19400</v>
      </c>
      <c r="L1270" s="705">
        <f t="shared" si="3"/>
        <v>387400</v>
      </c>
      <c r="M1270" s="706">
        <f t="shared" si="5"/>
        <v>24.2125</v>
      </c>
    </row>
    <row r="1271">
      <c r="A1271" s="702" t="s">
        <v>33916</v>
      </c>
      <c r="B1271" s="702" t="s">
        <v>33924</v>
      </c>
      <c r="C1271" s="707"/>
      <c r="D1271" s="707"/>
      <c r="E1271" s="708" t="s">
        <v>32720</v>
      </c>
      <c r="F1271" s="709">
        <v>200.0</v>
      </c>
      <c r="G1271" s="708" t="s">
        <v>33853</v>
      </c>
      <c r="H1271" s="709">
        <v>3.2</v>
      </c>
      <c r="I1271" s="709">
        <v>500.0</v>
      </c>
      <c r="J1271" s="705">
        <f t="shared" si="1"/>
        <v>1140</v>
      </c>
      <c r="K1271" s="705">
        <f t="shared" si="7"/>
        <v>1057</v>
      </c>
      <c r="L1271" s="705">
        <f t="shared" si="3"/>
        <v>2197</v>
      </c>
      <c r="M1271" s="706">
        <f t="shared" si="5"/>
        <v>10.985</v>
      </c>
    </row>
    <row r="1272">
      <c r="A1272" s="702" t="s">
        <v>33916</v>
      </c>
      <c r="B1272" s="702" t="s">
        <v>33925</v>
      </c>
      <c r="C1272" s="707"/>
      <c r="D1272" s="707"/>
      <c r="E1272" s="708" t="s">
        <v>20008</v>
      </c>
      <c r="F1272" s="709">
        <v>200.0</v>
      </c>
      <c r="G1272" s="708" t="s">
        <v>495</v>
      </c>
      <c r="H1272" s="709">
        <v>19.0</v>
      </c>
      <c r="I1272" s="709">
        <v>500.0</v>
      </c>
      <c r="J1272" s="705">
        <f t="shared" si="1"/>
        <v>4300</v>
      </c>
      <c r="K1272" s="705">
        <f t="shared" si="7"/>
        <v>1215</v>
      </c>
      <c r="L1272" s="705">
        <f t="shared" si="3"/>
        <v>5515</v>
      </c>
      <c r="M1272" s="706">
        <f t="shared" si="5"/>
        <v>27.575</v>
      </c>
    </row>
    <row r="1273">
      <c r="A1273" s="702" t="s">
        <v>33926</v>
      </c>
      <c r="B1273" s="702" t="s">
        <v>33927</v>
      </c>
      <c r="C1273" s="707"/>
      <c r="D1273" s="707"/>
      <c r="E1273" s="708" t="s">
        <v>5502</v>
      </c>
      <c r="F1273" s="709">
        <v>1000.0</v>
      </c>
      <c r="G1273" s="708" t="s">
        <v>2882</v>
      </c>
      <c r="H1273" s="709">
        <v>6.2</v>
      </c>
      <c r="I1273" s="709">
        <v>500.0</v>
      </c>
      <c r="J1273" s="705">
        <f t="shared" si="1"/>
        <v>6700</v>
      </c>
      <c r="K1273" s="705">
        <f t="shared" si="7"/>
        <v>1335</v>
      </c>
      <c r="L1273" s="705">
        <f t="shared" si="3"/>
        <v>8035</v>
      </c>
      <c r="M1273" s="706">
        <f t="shared" si="5"/>
        <v>8.035</v>
      </c>
    </row>
    <row r="1274">
      <c r="A1274" s="702" t="s">
        <v>33926</v>
      </c>
      <c r="B1274" s="702" t="s">
        <v>33928</v>
      </c>
      <c r="C1274" s="707"/>
      <c r="D1274" s="707"/>
      <c r="E1274" s="708" t="s">
        <v>5014</v>
      </c>
      <c r="F1274" s="709">
        <v>100.0</v>
      </c>
      <c r="G1274" s="708" t="s">
        <v>507</v>
      </c>
      <c r="H1274" s="709">
        <v>27.0</v>
      </c>
      <c r="I1274" s="709">
        <v>500.0</v>
      </c>
      <c r="J1274" s="705">
        <f t="shared" si="1"/>
        <v>3200</v>
      </c>
      <c r="K1274" s="705">
        <f t="shared" si="7"/>
        <v>1160</v>
      </c>
      <c r="L1274" s="705">
        <f t="shared" si="3"/>
        <v>4360</v>
      </c>
      <c r="M1274" s="706">
        <f t="shared" si="5"/>
        <v>43.6</v>
      </c>
    </row>
    <row r="1275">
      <c r="A1275" s="702" t="s">
        <v>33926</v>
      </c>
      <c r="B1275" s="702" t="s">
        <v>33929</v>
      </c>
      <c r="C1275" s="707"/>
      <c r="D1275" s="707"/>
      <c r="E1275" s="708" t="s">
        <v>116</v>
      </c>
      <c r="F1275" s="709">
        <v>500.0</v>
      </c>
      <c r="G1275" s="708" t="s">
        <v>33837</v>
      </c>
      <c r="H1275" s="709">
        <v>69.0</v>
      </c>
      <c r="I1275" s="709">
        <v>500.0</v>
      </c>
      <c r="J1275" s="705">
        <f t="shared" si="1"/>
        <v>35000</v>
      </c>
      <c r="K1275" s="705">
        <f t="shared" si="7"/>
        <v>2750</v>
      </c>
      <c r="L1275" s="705">
        <f t="shared" si="3"/>
        <v>37750</v>
      </c>
      <c r="M1275" s="706">
        <f t="shared" si="5"/>
        <v>75.5</v>
      </c>
    </row>
    <row r="1276">
      <c r="A1276" s="702" t="s">
        <v>33926</v>
      </c>
      <c r="B1276" s="702" t="s">
        <v>33930</v>
      </c>
      <c r="C1276" s="707"/>
      <c r="D1276" s="707"/>
      <c r="E1276" s="708" t="s">
        <v>43</v>
      </c>
      <c r="F1276" s="709">
        <v>100.0</v>
      </c>
      <c r="G1276" s="708" t="s">
        <v>507</v>
      </c>
      <c r="H1276" s="709">
        <v>2.15</v>
      </c>
      <c r="I1276" s="709">
        <v>500.0</v>
      </c>
      <c r="J1276" s="705">
        <f t="shared" si="1"/>
        <v>715</v>
      </c>
      <c r="K1276" s="705">
        <f t="shared" si="7"/>
        <v>1035.75</v>
      </c>
      <c r="L1276" s="705">
        <f t="shared" si="3"/>
        <v>1750.75</v>
      </c>
      <c r="M1276" s="706">
        <f t="shared" si="5"/>
        <v>17.5075</v>
      </c>
    </row>
    <row r="1277">
      <c r="A1277" s="702" t="s">
        <v>33926</v>
      </c>
      <c r="B1277" s="702" t="s">
        <v>33931</v>
      </c>
      <c r="C1277" s="707"/>
      <c r="D1277" s="707"/>
      <c r="E1277" s="708" t="s">
        <v>19474</v>
      </c>
      <c r="F1277" s="709">
        <v>5000.0</v>
      </c>
      <c r="G1277" s="708" t="s">
        <v>1082</v>
      </c>
      <c r="H1277" s="709">
        <v>14.0</v>
      </c>
      <c r="I1277" s="709">
        <v>5000.0</v>
      </c>
      <c r="J1277" s="705">
        <f t="shared" si="1"/>
        <v>75000</v>
      </c>
      <c r="K1277" s="705">
        <f t="shared" si="7"/>
        <v>4750</v>
      </c>
      <c r="L1277" s="705">
        <f t="shared" si="3"/>
        <v>79750</v>
      </c>
      <c r="M1277" s="706">
        <f t="shared" si="5"/>
        <v>15.95</v>
      </c>
    </row>
    <row r="1278">
      <c r="A1278" s="702" t="s">
        <v>33926</v>
      </c>
      <c r="B1278" s="702" t="s">
        <v>33932</v>
      </c>
      <c r="C1278" s="707"/>
      <c r="D1278" s="707"/>
      <c r="E1278" s="708" t="s">
        <v>15207</v>
      </c>
      <c r="F1278" s="709">
        <v>3000.0</v>
      </c>
      <c r="G1278" s="708" t="s">
        <v>507</v>
      </c>
      <c r="H1278" s="709">
        <v>67.0</v>
      </c>
      <c r="I1278" s="709">
        <v>3000.0</v>
      </c>
      <c r="J1278" s="705">
        <f t="shared" si="1"/>
        <v>204000</v>
      </c>
      <c r="K1278" s="705">
        <f t="shared" si="7"/>
        <v>11200</v>
      </c>
      <c r="L1278" s="705">
        <f t="shared" si="3"/>
        <v>215200</v>
      </c>
      <c r="M1278" s="706">
        <f t="shared" si="5"/>
        <v>71.73333333</v>
      </c>
    </row>
    <row r="1279">
      <c r="A1279" s="702" t="s">
        <v>33926</v>
      </c>
      <c r="B1279" s="702" t="s">
        <v>33933</v>
      </c>
      <c r="C1279" s="707"/>
      <c r="D1279" s="707"/>
      <c r="E1279" s="708" t="s">
        <v>18086</v>
      </c>
      <c r="F1279" s="709">
        <v>2000.0</v>
      </c>
      <c r="G1279" s="708" t="s">
        <v>1082</v>
      </c>
      <c r="H1279" s="709">
        <v>4.0</v>
      </c>
      <c r="I1279" s="709">
        <v>2000.0</v>
      </c>
      <c r="J1279" s="705">
        <f t="shared" si="1"/>
        <v>10000</v>
      </c>
      <c r="K1279" s="705">
        <f t="shared" si="7"/>
        <v>1500</v>
      </c>
      <c r="L1279" s="705">
        <f t="shared" si="3"/>
        <v>11500</v>
      </c>
      <c r="M1279" s="706">
        <f t="shared" si="5"/>
        <v>5.75</v>
      </c>
    </row>
    <row r="1280">
      <c r="A1280" s="702" t="s">
        <v>33926</v>
      </c>
      <c r="B1280" s="702" t="s">
        <v>33934</v>
      </c>
      <c r="C1280" s="707"/>
      <c r="D1280" s="707"/>
      <c r="E1280" s="708" t="s">
        <v>31</v>
      </c>
      <c r="F1280" s="709">
        <v>2000.0</v>
      </c>
      <c r="G1280" s="708" t="s">
        <v>44</v>
      </c>
      <c r="H1280" s="709">
        <v>25.0</v>
      </c>
      <c r="I1280" s="709">
        <v>2000.0</v>
      </c>
      <c r="J1280" s="705">
        <f t="shared" si="1"/>
        <v>52000</v>
      </c>
      <c r="K1280" s="705">
        <f t="shared" si="7"/>
        <v>3600</v>
      </c>
      <c r="L1280" s="705">
        <f t="shared" si="3"/>
        <v>55600</v>
      </c>
      <c r="M1280" s="706">
        <f t="shared" si="5"/>
        <v>27.8</v>
      </c>
    </row>
    <row r="1281">
      <c r="A1281" s="702" t="s">
        <v>33926</v>
      </c>
      <c r="B1281" s="702" t="s">
        <v>33935</v>
      </c>
      <c r="C1281" s="707"/>
      <c r="D1281" s="707"/>
      <c r="E1281" s="708" t="s">
        <v>152</v>
      </c>
      <c r="F1281" s="709">
        <v>2000.0</v>
      </c>
      <c r="G1281" s="708" t="s">
        <v>2882</v>
      </c>
      <c r="H1281" s="709">
        <v>23.0</v>
      </c>
      <c r="I1281" s="709">
        <v>2000.0</v>
      </c>
      <c r="J1281" s="705">
        <f t="shared" si="1"/>
        <v>48000</v>
      </c>
      <c r="K1281" s="705">
        <f t="shared" si="7"/>
        <v>3400</v>
      </c>
      <c r="L1281" s="705">
        <f t="shared" si="3"/>
        <v>51400</v>
      </c>
      <c r="M1281" s="706">
        <f t="shared" si="5"/>
        <v>25.7</v>
      </c>
    </row>
    <row r="1282">
      <c r="A1282" s="702" t="s">
        <v>33926</v>
      </c>
      <c r="B1282" s="702" t="s">
        <v>33936</v>
      </c>
      <c r="C1282" s="707"/>
      <c r="D1282" s="707"/>
      <c r="E1282" s="708" t="s">
        <v>33937</v>
      </c>
      <c r="F1282" s="709">
        <v>200000.0</v>
      </c>
      <c r="G1282" s="708" t="s">
        <v>33837</v>
      </c>
      <c r="H1282" s="709">
        <v>25.0</v>
      </c>
      <c r="I1282" s="705"/>
      <c r="J1282" s="705">
        <f t="shared" si="1"/>
        <v>5000000</v>
      </c>
      <c r="K1282" s="705">
        <f t="shared" si="7"/>
        <v>251000</v>
      </c>
      <c r="L1282" s="705">
        <f t="shared" si="3"/>
        <v>5251000</v>
      </c>
      <c r="M1282" s="706">
        <f t="shared" si="5"/>
        <v>26.255</v>
      </c>
    </row>
    <row r="1283">
      <c r="A1283" s="702" t="s">
        <v>33926</v>
      </c>
      <c r="B1283" s="702" t="s">
        <v>33938</v>
      </c>
      <c r="C1283" s="707"/>
      <c r="D1283" s="707"/>
      <c r="E1283" s="708" t="s">
        <v>116</v>
      </c>
      <c r="F1283" s="709">
        <v>500.0</v>
      </c>
      <c r="G1283" s="708" t="s">
        <v>507</v>
      </c>
      <c r="H1283" s="709">
        <v>69.0</v>
      </c>
      <c r="I1283" s="709">
        <v>500.0</v>
      </c>
      <c r="J1283" s="705">
        <f t="shared" si="1"/>
        <v>35000</v>
      </c>
      <c r="K1283" s="705">
        <f t="shared" si="7"/>
        <v>2750</v>
      </c>
      <c r="L1283" s="705">
        <f t="shared" si="3"/>
        <v>37750</v>
      </c>
      <c r="M1283" s="706">
        <f t="shared" si="5"/>
        <v>75.5</v>
      </c>
    </row>
    <row r="1284">
      <c r="A1284" s="702" t="s">
        <v>33926</v>
      </c>
      <c r="B1284" s="702" t="s">
        <v>33939</v>
      </c>
      <c r="C1284" s="707"/>
      <c r="D1284" s="707"/>
      <c r="E1284" s="708" t="s">
        <v>11430</v>
      </c>
      <c r="F1284" s="709">
        <v>10000.0</v>
      </c>
      <c r="G1284" s="708" t="s">
        <v>495</v>
      </c>
      <c r="H1284" s="709">
        <v>25.0</v>
      </c>
      <c r="I1284" s="705"/>
      <c r="J1284" s="705">
        <f t="shared" si="1"/>
        <v>250000</v>
      </c>
      <c r="K1284" s="705">
        <f t="shared" si="7"/>
        <v>13500</v>
      </c>
      <c r="L1284" s="705">
        <f t="shared" si="3"/>
        <v>263500</v>
      </c>
      <c r="M1284" s="706">
        <f t="shared" si="5"/>
        <v>26.35</v>
      </c>
    </row>
    <row r="1285">
      <c r="A1285" s="702" t="s">
        <v>33926</v>
      </c>
      <c r="B1285" s="702" t="s">
        <v>33940</v>
      </c>
      <c r="C1285" s="707"/>
      <c r="D1285" s="707"/>
      <c r="E1285" s="708" t="s">
        <v>33941</v>
      </c>
      <c r="F1285" s="712">
        <v>20000.0</v>
      </c>
      <c r="G1285" s="708" t="s">
        <v>33853</v>
      </c>
      <c r="H1285" s="709">
        <v>16.0</v>
      </c>
      <c r="I1285" s="709">
        <v>1000.0</v>
      </c>
      <c r="J1285" s="705">
        <f t="shared" si="1"/>
        <v>321000</v>
      </c>
      <c r="K1285" s="705">
        <f t="shared" si="7"/>
        <v>17050</v>
      </c>
      <c r="L1285" s="705">
        <f t="shared" si="3"/>
        <v>338050</v>
      </c>
      <c r="M1285" s="706">
        <f t="shared" si="5"/>
        <v>16.9025</v>
      </c>
    </row>
    <row r="1286">
      <c r="A1286" s="702" t="s">
        <v>33926</v>
      </c>
      <c r="B1286" s="702" t="s">
        <v>33940</v>
      </c>
      <c r="C1286" s="707"/>
      <c r="D1286" s="707"/>
      <c r="E1286" s="708" t="s">
        <v>152</v>
      </c>
      <c r="F1286" s="709">
        <v>500.0</v>
      </c>
      <c r="G1286" s="708" t="s">
        <v>33853</v>
      </c>
      <c r="H1286" s="709">
        <v>16.0</v>
      </c>
      <c r="I1286" s="709">
        <v>1000.0</v>
      </c>
      <c r="J1286" s="705">
        <f t="shared" si="1"/>
        <v>9000</v>
      </c>
      <c r="K1286" s="705">
        <f t="shared" si="7"/>
        <v>1450</v>
      </c>
      <c r="L1286" s="705">
        <f t="shared" si="3"/>
        <v>10450</v>
      </c>
      <c r="M1286" s="706">
        <f t="shared" si="5"/>
        <v>20.9</v>
      </c>
    </row>
    <row r="1287">
      <c r="A1287" s="702" t="s">
        <v>33926</v>
      </c>
      <c r="B1287" s="702" t="s">
        <v>33942</v>
      </c>
      <c r="C1287" s="707"/>
      <c r="D1287" s="707"/>
      <c r="E1287" s="708" t="s">
        <v>10123</v>
      </c>
      <c r="F1287" s="709">
        <v>500.0</v>
      </c>
      <c r="G1287" s="708" t="s">
        <v>33943</v>
      </c>
      <c r="H1287" s="709">
        <v>95.0</v>
      </c>
      <c r="I1287" s="709">
        <v>500.0</v>
      </c>
      <c r="J1287" s="705">
        <f t="shared" si="1"/>
        <v>48000</v>
      </c>
      <c r="K1287" s="705">
        <f t="shared" si="7"/>
        <v>3400</v>
      </c>
      <c r="L1287" s="705">
        <f t="shared" si="3"/>
        <v>51400</v>
      </c>
      <c r="M1287" s="706">
        <f t="shared" si="5"/>
        <v>102.8</v>
      </c>
    </row>
    <row r="1288">
      <c r="A1288" s="702" t="s">
        <v>33926</v>
      </c>
      <c r="B1288" s="702" t="s">
        <v>33944</v>
      </c>
      <c r="C1288" s="707"/>
      <c r="D1288" s="707"/>
      <c r="E1288" s="708" t="s">
        <v>33945</v>
      </c>
      <c r="F1288" s="709">
        <v>60.0</v>
      </c>
      <c r="G1288" s="708" t="s">
        <v>2682</v>
      </c>
      <c r="H1288" s="709">
        <v>700.0</v>
      </c>
      <c r="I1288" s="709">
        <v>500.0</v>
      </c>
      <c r="J1288" s="705">
        <f t="shared" si="1"/>
        <v>42500</v>
      </c>
      <c r="K1288" s="705">
        <f t="shared" si="7"/>
        <v>3125</v>
      </c>
      <c r="L1288" s="705">
        <f t="shared" si="3"/>
        <v>45625</v>
      </c>
      <c r="M1288" s="706">
        <f t="shared" si="5"/>
        <v>760.4166667</v>
      </c>
    </row>
    <row r="1289">
      <c r="A1289" s="702" t="s">
        <v>33926</v>
      </c>
      <c r="B1289" s="702" t="s">
        <v>33946</v>
      </c>
      <c r="C1289" s="707"/>
      <c r="D1289" s="707"/>
      <c r="E1289" s="708" t="s">
        <v>3073</v>
      </c>
      <c r="F1289" s="709">
        <v>50.0</v>
      </c>
      <c r="G1289" s="708" t="s">
        <v>507</v>
      </c>
      <c r="H1289" s="709">
        <v>180.0</v>
      </c>
      <c r="I1289" s="709">
        <v>300.0</v>
      </c>
      <c r="J1289" s="705">
        <f t="shared" si="1"/>
        <v>9300</v>
      </c>
      <c r="K1289" s="705">
        <f t="shared" si="7"/>
        <v>1465</v>
      </c>
      <c r="L1289" s="705">
        <f t="shared" si="3"/>
        <v>10765</v>
      </c>
      <c r="M1289" s="706">
        <f t="shared" si="5"/>
        <v>215.3</v>
      </c>
    </row>
    <row r="1290">
      <c r="A1290" s="702" t="s">
        <v>33926</v>
      </c>
      <c r="B1290" s="702" t="s">
        <v>33947</v>
      </c>
      <c r="C1290" s="707"/>
      <c r="D1290" s="707"/>
      <c r="E1290" s="708" t="s">
        <v>6311</v>
      </c>
      <c r="F1290" s="709">
        <v>200000.0</v>
      </c>
      <c r="G1290" s="708" t="s">
        <v>33853</v>
      </c>
      <c r="H1290" s="709">
        <v>4.5</v>
      </c>
      <c r="I1290" s="705"/>
      <c r="J1290" s="705">
        <f t="shared" si="1"/>
        <v>900000</v>
      </c>
      <c r="K1290" s="705">
        <f t="shared" si="7"/>
        <v>46000</v>
      </c>
      <c r="L1290" s="705">
        <f t="shared" si="3"/>
        <v>946000</v>
      </c>
      <c r="M1290" s="706">
        <f t="shared" si="5"/>
        <v>4.73</v>
      </c>
    </row>
    <row r="1291">
      <c r="A1291" s="702" t="s">
        <v>33926</v>
      </c>
      <c r="B1291" s="702" t="s">
        <v>33948</v>
      </c>
      <c r="C1291" s="707"/>
      <c r="D1291" s="707"/>
      <c r="E1291" s="708" t="s">
        <v>6323</v>
      </c>
      <c r="F1291" s="709">
        <v>20000.0</v>
      </c>
      <c r="G1291" s="708" t="s">
        <v>33853</v>
      </c>
      <c r="H1291" s="709">
        <v>50.0</v>
      </c>
      <c r="I1291" s="705"/>
      <c r="J1291" s="705">
        <f t="shared" si="1"/>
        <v>1000000</v>
      </c>
      <c r="K1291" s="705">
        <f t="shared" si="7"/>
        <v>51000</v>
      </c>
      <c r="L1291" s="705">
        <f t="shared" si="3"/>
        <v>1051000</v>
      </c>
      <c r="M1291" s="706">
        <f t="shared" si="5"/>
        <v>52.55</v>
      </c>
    </row>
    <row r="1292">
      <c r="A1292" s="702" t="s">
        <v>33926</v>
      </c>
      <c r="B1292" s="702" t="s">
        <v>33949</v>
      </c>
      <c r="C1292" s="707"/>
      <c r="D1292" s="707"/>
      <c r="E1292" s="708" t="s">
        <v>32720</v>
      </c>
      <c r="F1292" s="709">
        <v>10000.0</v>
      </c>
      <c r="G1292" s="708" t="s">
        <v>33853</v>
      </c>
      <c r="H1292" s="709">
        <v>3.2</v>
      </c>
      <c r="I1292" s="705"/>
      <c r="J1292" s="705">
        <f t="shared" si="1"/>
        <v>32000</v>
      </c>
      <c r="K1292" s="705">
        <f t="shared" si="7"/>
        <v>2600</v>
      </c>
      <c r="L1292" s="705">
        <f t="shared" si="3"/>
        <v>34600</v>
      </c>
      <c r="M1292" s="706">
        <f t="shared" si="5"/>
        <v>3.46</v>
      </c>
    </row>
    <row r="1293">
      <c r="A1293" s="702" t="s">
        <v>33950</v>
      </c>
      <c r="B1293" s="702" t="s">
        <v>33951</v>
      </c>
      <c r="C1293" s="707"/>
      <c r="D1293" s="707"/>
      <c r="E1293" s="708" t="s">
        <v>116</v>
      </c>
      <c r="F1293" s="709">
        <v>300.0</v>
      </c>
      <c r="G1293" s="708" t="s">
        <v>2682</v>
      </c>
      <c r="H1293" s="709">
        <v>69.0</v>
      </c>
      <c r="I1293" s="709">
        <v>300.0</v>
      </c>
      <c r="J1293" s="705">
        <f t="shared" si="1"/>
        <v>21000</v>
      </c>
      <c r="K1293" s="705">
        <f t="shared" si="7"/>
        <v>2050</v>
      </c>
      <c r="L1293" s="705">
        <f t="shared" si="3"/>
        <v>23050</v>
      </c>
      <c r="M1293" s="706">
        <f t="shared" si="5"/>
        <v>76.83333333</v>
      </c>
    </row>
    <row r="1294">
      <c r="A1294" s="702" t="s">
        <v>33950</v>
      </c>
      <c r="B1294" s="702"/>
      <c r="C1294" s="707"/>
      <c r="D1294" s="707"/>
      <c r="E1294" s="708" t="s">
        <v>6323</v>
      </c>
      <c r="F1294" s="709">
        <v>10000.0</v>
      </c>
      <c r="G1294" s="708" t="s">
        <v>1082</v>
      </c>
      <c r="H1294" s="709">
        <v>50.0</v>
      </c>
      <c r="I1294" s="705"/>
      <c r="J1294" s="705">
        <f t="shared" si="1"/>
        <v>500000</v>
      </c>
      <c r="K1294" s="705">
        <f t="shared" si="7"/>
        <v>26000</v>
      </c>
      <c r="L1294" s="705">
        <f t="shared" si="3"/>
        <v>526000</v>
      </c>
      <c r="M1294" s="706">
        <f t="shared" si="5"/>
        <v>52.6</v>
      </c>
    </row>
    <row r="1295">
      <c r="A1295" s="702" t="s">
        <v>33950</v>
      </c>
      <c r="B1295" s="702" t="s">
        <v>33952</v>
      </c>
      <c r="C1295" s="707"/>
      <c r="D1295" s="707"/>
      <c r="E1295" s="708" t="s">
        <v>33953</v>
      </c>
      <c r="F1295" s="709">
        <v>8000.0</v>
      </c>
      <c r="G1295" s="708" t="s">
        <v>2682</v>
      </c>
      <c r="H1295" s="709">
        <v>45.0</v>
      </c>
      <c r="I1295" s="705"/>
      <c r="J1295" s="705">
        <f t="shared" si="1"/>
        <v>360000</v>
      </c>
      <c r="K1295" s="705">
        <f t="shared" si="7"/>
        <v>19000</v>
      </c>
      <c r="L1295" s="705">
        <f t="shared" si="3"/>
        <v>379000</v>
      </c>
      <c r="M1295" s="706">
        <f t="shared" si="5"/>
        <v>47.375</v>
      </c>
    </row>
    <row r="1296">
      <c r="A1296" s="702" t="s">
        <v>33950</v>
      </c>
      <c r="B1296" s="702" t="s">
        <v>33954</v>
      </c>
      <c r="C1296" s="707"/>
      <c r="D1296" s="707"/>
      <c r="E1296" s="708" t="s">
        <v>6323</v>
      </c>
      <c r="F1296" s="709">
        <v>25000.0</v>
      </c>
      <c r="G1296" s="708" t="s">
        <v>33853</v>
      </c>
      <c r="H1296" s="709">
        <v>50.0</v>
      </c>
      <c r="I1296" s="705"/>
      <c r="J1296" s="705">
        <f t="shared" si="1"/>
        <v>1250000</v>
      </c>
      <c r="K1296" s="705">
        <f t="shared" si="7"/>
        <v>63500</v>
      </c>
      <c r="L1296" s="705">
        <f t="shared" si="3"/>
        <v>1313500</v>
      </c>
      <c r="M1296" s="706">
        <f t="shared" si="5"/>
        <v>52.54</v>
      </c>
    </row>
    <row r="1297">
      <c r="A1297" s="702" t="s">
        <v>33950</v>
      </c>
      <c r="B1297" s="702" t="s">
        <v>33955</v>
      </c>
      <c r="C1297" s="707"/>
      <c r="D1297" s="707"/>
      <c r="E1297" s="720" t="s">
        <v>130</v>
      </c>
      <c r="F1297" s="709">
        <v>10000.0</v>
      </c>
      <c r="G1297" s="708" t="s">
        <v>519</v>
      </c>
      <c r="H1297" s="709">
        <v>25.0</v>
      </c>
      <c r="I1297" s="705"/>
      <c r="J1297" s="705">
        <f t="shared" si="1"/>
        <v>250000</v>
      </c>
      <c r="K1297" s="705">
        <f t="shared" si="7"/>
        <v>13500</v>
      </c>
      <c r="L1297" s="705">
        <f t="shared" si="3"/>
        <v>263500</v>
      </c>
      <c r="M1297" s="706">
        <f t="shared" si="5"/>
        <v>26.35</v>
      </c>
    </row>
    <row r="1298">
      <c r="A1298" s="702" t="s">
        <v>33950</v>
      </c>
      <c r="B1298" s="702" t="s">
        <v>33956</v>
      </c>
      <c r="C1298" s="707"/>
      <c r="D1298" s="707"/>
      <c r="E1298" s="708" t="s">
        <v>9699</v>
      </c>
      <c r="F1298" s="709">
        <v>50.0</v>
      </c>
      <c r="G1298" s="708" t="s">
        <v>33853</v>
      </c>
      <c r="H1298" s="709">
        <v>12.0</v>
      </c>
      <c r="I1298" s="709">
        <v>300.0</v>
      </c>
      <c r="J1298" s="705">
        <f t="shared" si="1"/>
        <v>900</v>
      </c>
      <c r="K1298" s="705">
        <f t="shared" si="7"/>
        <v>1045</v>
      </c>
      <c r="L1298" s="705">
        <f t="shared" si="3"/>
        <v>1945</v>
      </c>
      <c r="M1298" s="706">
        <f t="shared" si="5"/>
        <v>38.9</v>
      </c>
    </row>
    <row r="1299">
      <c r="A1299" s="702" t="s">
        <v>33950</v>
      </c>
      <c r="B1299" s="702" t="s">
        <v>33957</v>
      </c>
      <c r="C1299" s="707"/>
      <c r="D1299" s="707"/>
      <c r="E1299" s="708" t="s">
        <v>4123</v>
      </c>
      <c r="F1299" s="709">
        <v>200.0</v>
      </c>
      <c r="G1299" s="708" t="s">
        <v>33958</v>
      </c>
      <c r="H1299" s="709">
        <v>8.0</v>
      </c>
      <c r="I1299" s="709">
        <v>500.0</v>
      </c>
      <c r="J1299" s="705">
        <f t="shared" si="1"/>
        <v>2100</v>
      </c>
      <c r="K1299" s="705">
        <f t="shared" si="7"/>
        <v>1105</v>
      </c>
      <c r="L1299" s="705">
        <f t="shared" si="3"/>
        <v>3205</v>
      </c>
      <c r="M1299" s="706">
        <f t="shared" si="5"/>
        <v>16.025</v>
      </c>
    </row>
    <row r="1300">
      <c r="A1300" s="702" t="s">
        <v>33950</v>
      </c>
      <c r="B1300" s="702" t="s">
        <v>33959</v>
      </c>
      <c r="C1300" s="707"/>
      <c r="D1300" s="707"/>
      <c r="E1300" s="708" t="s">
        <v>17908</v>
      </c>
      <c r="F1300" s="709">
        <v>500.0</v>
      </c>
      <c r="G1300" s="708" t="s">
        <v>507</v>
      </c>
      <c r="H1300" s="709">
        <v>23.0</v>
      </c>
      <c r="I1300" s="709">
        <v>500.0</v>
      </c>
      <c r="J1300" s="705">
        <f t="shared" si="1"/>
        <v>12000</v>
      </c>
      <c r="K1300" s="705">
        <f t="shared" si="7"/>
        <v>1600</v>
      </c>
      <c r="L1300" s="705">
        <f t="shared" si="3"/>
        <v>13600</v>
      </c>
      <c r="M1300" s="706">
        <f t="shared" si="5"/>
        <v>27.2</v>
      </c>
    </row>
    <row r="1301">
      <c r="A1301" s="702" t="s">
        <v>33950</v>
      </c>
      <c r="B1301" s="702" t="s">
        <v>33960</v>
      </c>
      <c r="C1301" s="707"/>
      <c r="D1301" s="707"/>
      <c r="E1301" s="708" t="s">
        <v>106</v>
      </c>
      <c r="F1301" s="709">
        <v>2000.0</v>
      </c>
      <c r="G1301" s="708" t="s">
        <v>33853</v>
      </c>
      <c r="H1301" s="709">
        <v>4.4</v>
      </c>
      <c r="I1301" s="709">
        <v>2000.0</v>
      </c>
      <c r="J1301" s="705">
        <f t="shared" si="1"/>
        <v>10800</v>
      </c>
      <c r="K1301" s="705">
        <f t="shared" si="7"/>
        <v>1540</v>
      </c>
      <c r="L1301" s="705">
        <f t="shared" si="3"/>
        <v>12340</v>
      </c>
      <c r="M1301" s="706">
        <f t="shared" si="5"/>
        <v>6.17</v>
      </c>
    </row>
    <row r="1302">
      <c r="A1302" s="702" t="s">
        <v>33950</v>
      </c>
      <c r="B1302" s="702" t="s">
        <v>33961</v>
      </c>
      <c r="C1302" s="707"/>
      <c r="D1302" s="707"/>
      <c r="E1302" s="708" t="s">
        <v>4240</v>
      </c>
      <c r="F1302" s="709">
        <v>500000.0</v>
      </c>
      <c r="G1302" s="720" t="s">
        <v>507</v>
      </c>
      <c r="H1302" s="709">
        <v>1.3</v>
      </c>
      <c r="I1302" s="705"/>
      <c r="J1302" s="705">
        <f t="shared" si="1"/>
        <v>650000</v>
      </c>
      <c r="K1302" s="705">
        <f t="shared" si="7"/>
        <v>33500</v>
      </c>
      <c r="L1302" s="705">
        <f t="shared" si="3"/>
        <v>683500</v>
      </c>
      <c r="M1302" s="706">
        <f t="shared" si="5"/>
        <v>1.367</v>
      </c>
    </row>
    <row r="1303">
      <c r="A1303" s="702" t="s">
        <v>33950</v>
      </c>
      <c r="B1303" s="702" t="s">
        <v>33962</v>
      </c>
      <c r="C1303" s="707"/>
      <c r="D1303" s="707"/>
      <c r="E1303" s="708" t="s">
        <v>6323</v>
      </c>
      <c r="F1303" s="709">
        <v>5000.0</v>
      </c>
      <c r="G1303" s="708" t="s">
        <v>1082</v>
      </c>
      <c r="H1303" s="709">
        <v>50.0</v>
      </c>
      <c r="I1303" s="709">
        <v>5000.0</v>
      </c>
      <c r="J1303" s="705">
        <f t="shared" si="1"/>
        <v>255000</v>
      </c>
      <c r="K1303" s="705">
        <f t="shared" si="7"/>
        <v>13750</v>
      </c>
      <c r="L1303" s="705">
        <f t="shared" si="3"/>
        <v>268750</v>
      </c>
      <c r="M1303" s="706">
        <f t="shared" si="5"/>
        <v>53.75</v>
      </c>
    </row>
    <row r="1304">
      <c r="A1304" s="702" t="s">
        <v>33950</v>
      </c>
      <c r="B1304" s="702" t="s">
        <v>33963</v>
      </c>
      <c r="C1304" s="707"/>
      <c r="D1304" s="707"/>
      <c r="E1304" s="708" t="s">
        <v>152</v>
      </c>
      <c r="F1304" s="709">
        <v>5000.0</v>
      </c>
      <c r="G1304" s="708" t="s">
        <v>507</v>
      </c>
      <c r="H1304" s="709">
        <v>21.0</v>
      </c>
      <c r="I1304" s="709">
        <v>5000.0</v>
      </c>
      <c r="J1304" s="705">
        <f t="shared" si="1"/>
        <v>110000</v>
      </c>
      <c r="K1304" s="705">
        <f t="shared" si="7"/>
        <v>6500</v>
      </c>
      <c r="L1304" s="705">
        <f t="shared" si="3"/>
        <v>116500</v>
      </c>
      <c r="M1304" s="706">
        <f t="shared" si="5"/>
        <v>23.3</v>
      </c>
    </row>
    <row r="1305">
      <c r="A1305" s="702" t="s">
        <v>33950</v>
      </c>
      <c r="B1305" s="702" t="s">
        <v>33964</v>
      </c>
      <c r="C1305" s="707"/>
      <c r="D1305" s="707"/>
      <c r="E1305" s="708" t="s">
        <v>11873</v>
      </c>
      <c r="F1305" s="709">
        <v>1000.0</v>
      </c>
      <c r="G1305" s="720" t="s">
        <v>507</v>
      </c>
      <c r="H1305" s="709">
        <v>360.0</v>
      </c>
      <c r="I1305" s="709">
        <v>1000.0</v>
      </c>
      <c r="J1305" s="705">
        <f t="shared" si="1"/>
        <v>361000</v>
      </c>
      <c r="K1305" s="705">
        <f t="shared" si="7"/>
        <v>19050</v>
      </c>
      <c r="L1305" s="705">
        <f t="shared" si="3"/>
        <v>380050</v>
      </c>
      <c r="M1305" s="706">
        <f t="shared" si="5"/>
        <v>380.05</v>
      </c>
    </row>
    <row r="1306">
      <c r="A1306" s="702" t="s">
        <v>33950</v>
      </c>
      <c r="B1306" s="702" t="s">
        <v>33965</v>
      </c>
      <c r="C1306" s="707"/>
      <c r="D1306" s="707"/>
      <c r="E1306" s="708" t="s">
        <v>156</v>
      </c>
      <c r="F1306" s="709">
        <v>2000.0</v>
      </c>
      <c r="G1306" s="708" t="s">
        <v>1082</v>
      </c>
      <c r="H1306" s="709">
        <v>10.0</v>
      </c>
      <c r="I1306" s="709">
        <v>2000.0</v>
      </c>
      <c r="J1306" s="705">
        <f t="shared" si="1"/>
        <v>22000</v>
      </c>
      <c r="K1306" s="705">
        <f t="shared" si="7"/>
        <v>2100</v>
      </c>
      <c r="L1306" s="705">
        <f t="shared" si="3"/>
        <v>24100</v>
      </c>
      <c r="M1306" s="706">
        <f t="shared" si="5"/>
        <v>12.05</v>
      </c>
    </row>
    <row r="1307">
      <c r="A1307" s="702" t="s">
        <v>33966</v>
      </c>
      <c r="B1307" s="702" t="s">
        <v>33967</v>
      </c>
      <c r="C1307" s="707"/>
      <c r="D1307" s="707"/>
      <c r="E1307" s="708" t="s">
        <v>33968</v>
      </c>
      <c r="F1307" s="709">
        <v>20.0</v>
      </c>
      <c r="G1307" s="708" t="s">
        <v>44</v>
      </c>
      <c r="H1307" s="709">
        <v>52.0</v>
      </c>
      <c r="I1307" s="709">
        <v>200.0</v>
      </c>
      <c r="J1307" s="705">
        <f t="shared" si="1"/>
        <v>1240</v>
      </c>
      <c r="K1307" s="705">
        <f t="shared" si="7"/>
        <v>1062</v>
      </c>
      <c r="L1307" s="705">
        <f t="shared" si="3"/>
        <v>2302</v>
      </c>
      <c r="M1307" s="706">
        <f t="shared" si="5"/>
        <v>115.1</v>
      </c>
    </row>
    <row r="1308">
      <c r="A1308" s="702" t="s">
        <v>33966</v>
      </c>
      <c r="B1308" s="702" t="s">
        <v>33969</v>
      </c>
      <c r="C1308" s="707"/>
      <c r="D1308" s="707"/>
      <c r="E1308" s="708" t="s">
        <v>33970</v>
      </c>
      <c r="F1308" s="709">
        <v>5000.0</v>
      </c>
      <c r="G1308" s="708" t="s">
        <v>131</v>
      </c>
      <c r="H1308" s="709">
        <v>36.25</v>
      </c>
      <c r="I1308" s="709">
        <v>5000.0</v>
      </c>
      <c r="J1308" s="705">
        <f t="shared" si="1"/>
        <v>186250</v>
      </c>
      <c r="K1308" s="705">
        <f t="shared" si="7"/>
        <v>10312.5</v>
      </c>
      <c r="L1308" s="705">
        <f t="shared" si="3"/>
        <v>196562.5</v>
      </c>
      <c r="M1308" s="706">
        <f t="shared" si="5"/>
        <v>39.3125</v>
      </c>
    </row>
    <row r="1309">
      <c r="A1309" s="702" t="s">
        <v>33966</v>
      </c>
      <c r="B1309" s="702" t="s">
        <v>33971</v>
      </c>
      <c r="C1309" s="707"/>
      <c r="D1309" s="707"/>
      <c r="E1309" s="708" t="s">
        <v>19606</v>
      </c>
      <c r="F1309" s="709">
        <v>2750000.0</v>
      </c>
      <c r="G1309" s="708" t="s">
        <v>44</v>
      </c>
      <c r="H1309" s="709">
        <v>7.5</v>
      </c>
      <c r="I1309" s="705"/>
      <c r="J1309" s="705">
        <f t="shared" si="1"/>
        <v>20625000</v>
      </c>
      <c r="K1309" s="705">
        <f t="shared" si="7"/>
        <v>1032250</v>
      </c>
      <c r="L1309" s="705">
        <f t="shared" si="3"/>
        <v>21657250</v>
      </c>
      <c r="M1309" s="706">
        <f t="shared" si="5"/>
        <v>7.875363636</v>
      </c>
    </row>
    <row r="1310">
      <c r="A1310" s="702" t="s">
        <v>33966</v>
      </c>
      <c r="B1310" s="702" t="s">
        <v>33972</v>
      </c>
      <c r="C1310" s="707"/>
      <c r="D1310" s="707"/>
      <c r="E1310" s="708" t="s">
        <v>1749</v>
      </c>
      <c r="F1310" s="709">
        <v>50.0</v>
      </c>
      <c r="G1310" s="708" t="s">
        <v>1082</v>
      </c>
      <c r="H1310" s="709">
        <v>52.0</v>
      </c>
      <c r="I1310" s="709">
        <v>300.0</v>
      </c>
      <c r="J1310" s="705">
        <f t="shared" si="1"/>
        <v>2900</v>
      </c>
      <c r="K1310" s="705">
        <f t="shared" si="7"/>
        <v>1145</v>
      </c>
      <c r="L1310" s="705">
        <f t="shared" si="3"/>
        <v>4045</v>
      </c>
      <c r="M1310" s="706">
        <f t="shared" si="5"/>
        <v>80.9</v>
      </c>
    </row>
    <row r="1311">
      <c r="A1311" s="702" t="s">
        <v>33973</v>
      </c>
      <c r="B1311" s="702" t="s">
        <v>33974</v>
      </c>
      <c r="C1311" s="707"/>
      <c r="D1311" s="707"/>
      <c r="E1311" s="708" t="s">
        <v>33975</v>
      </c>
      <c r="F1311" s="709">
        <v>10.0</v>
      </c>
      <c r="G1311" s="708" t="s">
        <v>2682</v>
      </c>
      <c r="H1311" s="709">
        <v>22.0</v>
      </c>
      <c r="I1311" s="709">
        <v>300.0</v>
      </c>
      <c r="J1311" s="705">
        <f t="shared" si="1"/>
        <v>520</v>
      </c>
      <c r="K1311" s="705">
        <f t="shared" si="7"/>
        <v>1026</v>
      </c>
      <c r="L1311" s="705">
        <f t="shared" si="3"/>
        <v>1546</v>
      </c>
      <c r="M1311" s="706">
        <f t="shared" si="5"/>
        <v>154.6</v>
      </c>
    </row>
    <row r="1312">
      <c r="A1312" s="702" t="s">
        <v>33966</v>
      </c>
      <c r="B1312" s="702" t="s">
        <v>33976</v>
      </c>
      <c r="C1312" s="707"/>
      <c r="D1312" s="707"/>
      <c r="E1312" s="708" t="s">
        <v>33977</v>
      </c>
      <c r="F1312" s="709">
        <v>10000.0</v>
      </c>
      <c r="G1312" s="708" t="s">
        <v>1082</v>
      </c>
      <c r="H1312" s="709">
        <v>3.96</v>
      </c>
      <c r="I1312" s="705"/>
      <c r="J1312" s="705">
        <f t="shared" si="1"/>
        <v>39600</v>
      </c>
      <c r="K1312" s="705">
        <f t="shared" si="7"/>
        <v>2980</v>
      </c>
      <c r="L1312" s="705">
        <f t="shared" si="3"/>
        <v>42580</v>
      </c>
      <c r="M1312" s="706">
        <f t="shared" si="5"/>
        <v>4.258</v>
      </c>
    </row>
    <row r="1313">
      <c r="A1313" s="702" t="s">
        <v>33966</v>
      </c>
      <c r="B1313" s="702" t="s">
        <v>33978</v>
      </c>
      <c r="C1313" s="707"/>
      <c r="D1313" s="707"/>
      <c r="E1313" s="708" t="s">
        <v>4884</v>
      </c>
      <c r="F1313" s="709">
        <v>1000.0</v>
      </c>
      <c r="G1313" s="708" t="s">
        <v>1082</v>
      </c>
      <c r="H1313" s="709">
        <v>37.0</v>
      </c>
      <c r="I1313" s="709">
        <v>1000.0</v>
      </c>
      <c r="J1313" s="705">
        <f t="shared" si="1"/>
        <v>38000</v>
      </c>
      <c r="K1313" s="705">
        <f t="shared" si="7"/>
        <v>2900</v>
      </c>
      <c r="L1313" s="705">
        <f t="shared" si="3"/>
        <v>40900</v>
      </c>
      <c r="M1313" s="706">
        <f t="shared" si="5"/>
        <v>40.9</v>
      </c>
    </row>
    <row r="1314">
      <c r="A1314" s="702" t="s">
        <v>33966</v>
      </c>
      <c r="B1314" s="702" t="s">
        <v>33978</v>
      </c>
      <c r="C1314" s="707"/>
      <c r="D1314" s="707"/>
      <c r="E1314" s="708" t="s">
        <v>6360</v>
      </c>
      <c r="F1314" s="709">
        <v>1000.0</v>
      </c>
      <c r="G1314" s="708" t="s">
        <v>1082</v>
      </c>
      <c r="H1314" s="709">
        <v>200.0</v>
      </c>
      <c r="I1314" s="709">
        <v>1000.0</v>
      </c>
      <c r="J1314" s="705">
        <f t="shared" si="1"/>
        <v>201000</v>
      </c>
      <c r="K1314" s="705">
        <f t="shared" si="7"/>
        <v>11050</v>
      </c>
      <c r="L1314" s="705">
        <f t="shared" si="3"/>
        <v>212050</v>
      </c>
      <c r="M1314" s="706">
        <f t="shared" si="5"/>
        <v>212.05</v>
      </c>
    </row>
    <row r="1315">
      <c r="A1315" s="702" t="s">
        <v>33966</v>
      </c>
      <c r="B1315" s="702" t="s">
        <v>33979</v>
      </c>
      <c r="C1315" s="707"/>
      <c r="D1315" s="707"/>
      <c r="E1315" s="708" t="s">
        <v>19601</v>
      </c>
      <c r="F1315" s="709">
        <v>7000.0</v>
      </c>
      <c r="G1315" s="708" t="s">
        <v>1082</v>
      </c>
      <c r="H1315" s="709">
        <v>135.0</v>
      </c>
      <c r="I1315" s="709">
        <v>10500.0</v>
      </c>
      <c r="J1315" s="705">
        <f t="shared" si="1"/>
        <v>955500</v>
      </c>
      <c r="K1315" s="705">
        <f t="shared" si="7"/>
        <v>48775</v>
      </c>
      <c r="L1315" s="705">
        <f t="shared" si="3"/>
        <v>1004275</v>
      </c>
      <c r="M1315" s="706">
        <f t="shared" si="5"/>
        <v>143.4678571</v>
      </c>
    </row>
    <row r="1316">
      <c r="A1316" s="702" t="s">
        <v>33966</v>
      </c>
      <c r="B1316" s="702" t="s">
        <v>33980</v>
      </c>
      <c r="C1316" s="707"/>
      <c r="D1316" s="707"/>
      <c r="E1316" s="708" t="s">
        <v>17908</v>
      </c>
      <c r="F1316" s="709">
        <v>10000.0</v>
      </c>
      <c r="G1316" s="708" t="s">
        <v>507</v>
      </c>
      <c r="H1316" s="709">
        <v>23.0</v>
      </c>
      <c r="I1316" s="705"/>
      <c r="J1316" s="705">
        <f t="shared" si="1"/>
        <v>230000</v>
      </c>
      <c r="K1316" s="705">
        <f t="shared" si="7"/>
        <v>12500</v>
      </c>
      <c r="L1316" s="705">
        <f t="shared" si="3"/>
        <v>242500</v>
      </c>
      <c r="M1316" s="706">
        <f t="shared" si="5"/>
        <v>24.25</v>
      </c>
    </row>
    <row r="1317">
      <c r="A1317" s="702" t="s">
        <v>33966</v>
      </c>
      <c r="B1317" s="702" t="s">
        <v>33981</v>
      </c>
      <c r="C1317" s="707"/>
      <c r="D1317" s="707"/>
      <c r="E1317" s="708" t="s">
        <v>2429</v>
      </c>
      <c r="F1317" s="712">
        <v>10000.0</v>
      </c>
      <c r="G1317" s="708" t="s">
        <v>1082</v>
      </c>
      <c r="H1317" s="709">
        <v>41.0</v>
      </c>
      <c r="I1317" s="709">
        <v>7500.0</v>
      </c>
      <c r="J1317" s="705">
        <f t="shared" si="1"/>
        <v>417500</v>
      </c>
      <c r="K1317" s="705">
        <f t="shared" si="7"/>
        <v>21875</v>
      </c>
      <c r="L1317" s="705">
        <f t="shared" si="3"/>
        <v>439375</v>
      </c>
      <c r="M1317" s="706">
        <f t="shared" si="5"/>
        <v>43.9375</v>
      </c>
    </row>
    <row r="1318">
      <c r="A1318" s="702" t="s">
        <v>33982</v>
      </c>
      <c r="B1318" s="702"/>
      <c r="C1318" s="707"/>
      <c r="D1318" s="707"/>
      <c r="E1318" s="720" t="s">
        <v>33983</v>
      </c>
      <c r="F1318" s="709">
        <v>100.0</v>
      </c>
      <c r="G1318" s="708" t="s">
        <v>44</v>
      </c>
      <c r="H1318" s="709">
        <v>88.5</v>
      </c>
      <c r="I1318" s="709">
        <v>500.0</v>
      </c>
      <c r="J1318" s="705">
        <f t="shared" si="1"/>
        <v>9350</v>
      </c>
      <c r="K1318" s="705">
        <f t="shared" si="7"/>
        <v>1467.5</v>
      </c>
      <c r="L1318" s="705">
        <f t="shared" si="3"/>
        <v>10817.5</v>
      </c>
      <c r="M1318" s="706">
        <f t="shared" si="5"/>
        <v>108.175</v>
      </c>
    </row>
    <row r="1319">
      <c r="A1319" s="702" t="s">
        <v>33982</v>
      </c>
      <c r="B1319" s="702" t="s">
        <v>33984</v>
      </c>
      <c r="C1319" s="707"/>
      <c r="D1319" s="707"/>
      <c r="E1319" s="708" t="s">
        <v>33985</v>
      </c>
      <c r="F1319" s="709">
        <v>10000.0</v>
      </c>
      <c r="G1319" s="708" t="s">
        <v>507</v>
      </c>
      <c r="H1319" s="709">
        <v>25.0</v>
      </c>
      <c r="I1319" s="705"/>
      <c r="J1319" s="705">
        <f t="shared" si="1"/>
        <v>250000</v>
      </c>
      <c r="K1319" s="705">
        <f t="shared" si="7"/>
        <v>13500</v>
      </c>
      <c r="L1319" s="705">
        <f t="shared" si="3"/>
        <v>263500</v>
      </c>
      <c r="M1319" s="706">
        <f t="shared" si="5"/>
        <v>26.35</v>
      </c>
    </row>
    <row r="1320">
      <c r="A1320" s="702" t="s">
        <v>33982</v>
      </c>
      <c r="B1320" s="702" t="s">
        <v>33809</v>
      </c>
      <c r="C1320" s="707"/>
      <c r="D1320" s="707"/>
      <c r="E1320" s="708" t="s">
        <v>18774</v>
      </c>
      <c r="F1320" s="709">
        <v>1000.0</v>
      </c>
      <c r="G1320" s="708" t="s">
        <v>44</v>
      </c>
      <c r="H1320" s="709">
        <v>34.5</v>
      </c>
      <c r="I1320" s="709">
        <v>1000.0</v>
      </c>
      <c r="J1320" s="705">
        <f t="shared" si="1"/>
        <v>35500</v>
      </c>
      <c r="K1320" s="705">
        <f t="shared" si="7"/>
        <v>2775</v>
      </c>
      <c r="L1320" s="705">
        <f t="shared" si="3"/>
        <v>38275</v>
      </c>
      <c r="M1320" s="706">
        <f t="shared" si="5"/>
        <v>38.275</v>
      </c>
    </row>
    <row r="1321">
      <c r="A1321" s="702" t="s">
        <v>33982</v>
      </c>
      <c r="B1321" s="702" t="s">
        <v>33902</v>
      </c>
      <c r="C1321" s="707"/>
      <c r="D1321" s="707"/>
      <c r="E1321" s="708" t="s">
        <v>33986</v>
      </c>
      <c r="F1321" s="709">
        <v>50000.0</v>
      </c>
      <c r="G1321" s="708" t="s">
        <v>507</v>
      </c>
      <c r="H1321" s="709">
        <v>21.0</v>
      </c>
      <c r="I1321" s="705"/>
      <c r="J1321" s="705">
        <f t="shared" si="1"/>
        <v>1050000</v>
      </c>
      <c r="K1321" s="705">
        <f t="shared" si="7"/>
        <v>53500</v>
      </c>
      <c r="L1321" s="705">
        <f t="shared" si="3"/>
        <v>1103500</v>
      </c>
      <c r="M1321" s="706">
        <f t="shared" si="5"/>
        <v>22.07</v>
      </c>
    </row>
    <row r="1322">
      <c r="A1322" s="702" t="s">
        <v>33982</v>
      </c>
      <c r="B1322" s="702" t="s">
        <v>33987</v>
      </c>
      <c r="C1322" s="707"/>
      <c r="D1322" s="707"/>
      <c r="E1322" s="708" t="s">
        <v>1000</v>
      </c>
      <c r="F1322" s="709">
        <v>2000.0</v>
      </c>
      <c r="G1322" s="708" t="s">
        <v>507</v>
      </c>
      <c r="H1322" s="709">
        <v>35.0</v>
      </c>
      <c r="I1322" s="709">
        <v>2000.0</v>
      </c>
      <c r="J1322" s="705">
        <f t="shared" si="1"/>
        <v>72000</v>
      </c>
      <c r="K1322" s="705">
        <f t="shared" si="7"/>
        <v>4600</v>
      </c>
      <c r="L1322" s="705">
        <f t="shared" si="3"/>
        <v>76600</v>
      </c>
      <c r="M1322" s="706">
        <f t="shared" si="5"/>
        <v>38.3</v>
      </c>
    </row>
    <row r="1323">
      <c r="A1323" s="702" t="s">
        <v>33982</v>
      </c>
      <c r="B1323" s="702" t="s">
        <v>33988</v>
      </c>
      <c r="C1323" s="707"/>
      <c r="D1323" s="707"/>
      <c r="E1323" s="708" t="s">
        <v>33908</v>
      </c>
      <c r="F1323" s="709">
        <v>100.0</v>
      </c>
      <c r="G1323" s="708" t="s">
        <v>507</v>
      </c>
      <c r="H1323" s="709">
        <v>4.0</v>
      </c>
      <c r="I1323" s="709">
        <v>300.0</v>
      </c>
      <c r="J1323" s="705">
        <f t="shared" si="1"/>
        <v>700</v>
      </c>
      <c r="K1323" s="705">
        <f t="shared" si="7"/>
        <v>1035</v>
      </c>
      <c r="L1323" s="705">
        <f t="shared" si="3"/>
        <v>1735</v>
      </c>
      <c r="M1323" s="706">
        <f t="shared" si="5"/>
        <v>17.35</v>
      </c>
    </row>
    <row r="1324">
      <c r="A1324" s="702" t="s">
        <v>33982</v>
      </c>
      <c r="B1324" s="702" t="s">
        <v>33989</v>
      </c>
      <c r="C1324" s="707"/>
      <c r="D1324" s="707"/>
      <c r="E1324" s="708" t="s">
        <v>19558</v>
      </c>
      <c r="F1324" s="709">
        <v>25.0</v>
      </c>
      <c r="G1324" s="708" t="s">
        <v>33853</v>
      </c>
      <c r="H1324" s="709">
        <v>46.0</v>
      </c>
      <c r="I1324" s="709">
        <v>300.0</v>
      </c>
      <c r="J1324" s="705">
        <f t="shared" si="1"/>
        <v>1450</v>
      </c>
      <c r="K1324" s="705">
        <f t="shared" si="7"/>
        <v>1072.5</v>
      </c>
      <c r="L1324" s="705">
        <f t="shared" si="3"/>
        <v>2522.5</v>
      </c>
      <c r="M1324" s="706">
        <f t="shared" si="5"/>
        <v>100.9</v>
      </c>
    </row>
    <row r="1325">
      <c r="A1325" s="702" t="s">
        <v>33982</v>
      </c>
      <c r="B1325" s="702" t="s">
        <v>33989</v>
      </c>
      <c r="C1325" s="707"/>
      <c r="D1325" s="707"/>
      <c r="E1325" s="708" t="s">
        <v>32795</v>
      </c>
      <c r="F1325" s="709">
        <v>25.0</v>
      </c>
      <c r="G1325" s="708" t="s">
        <v>33853</v>
      </c>
      <c r="H1325" s="709">
        <v>52.0</v>
      </c>
      <c r="I1325" s="709">
        <v>300.0</v>
      </c>
      <c r="J1325" s="705">
        <f t="shared" si="1"/>
        <v>1600</v>
      </c>
      <c r="K1325" s="705">
        <f t="shared" si="7"/>
        <v>1080</v>
      </c>
      <c r="L1325" s="705">
        <f t="shared" si="3"/>
        <v>2680</v>
      </c>
      <c r="M1325" s="706">
        <f t="shared" si="5"/>
        <v>107.2</v>
      </c>
    </row>
    <row r="1326">
      <c r="A1326" s="702" t="s">
        <v>33982</v>
      </c>
      <c r="B1326" s="702" t="s">
        <v>33990</v>
      </c>
      <c r="C1326" s="707"/>
      <c r="D1326" s="707"/>
      <c r="E1326" s="708" t="s">
        <v>20008</v>
      </c>
      <c r="F1326" s="709">
        <v>5.0</v>
      </c>
      <c r="G1326" s="708" t="s">
        <v>33494</v>
      </c>
      <c r="H1326" s="709">
        <v>19.0</v>
      </c>
      <c r="I1326" s="709">
        <v>250.0</v>
      </c>
      <c r="J1326" s="705">
        <f t="shared" si="1"/>
        <v>345</v>
      </c>
      <c r="K1326" s="705">
        <f t="shared" si="7"/>
        <v>1017.25</v>
      </c>
      <c r="L1326" s="705">
        <f t="shared" si="3"/>
        <v>1362.25</v>
      </c>
      <c r="M1326" s="706">
        <f t="shared" si="5"/>
        <v>272.45</v>
      </c>
    </row>
    <row r="1327">
      <c r="A1327" s="702" t="s">
        <v>33982</v>
      </c>
      <c r="B1327" s="702" t="s">
        <v>33991</v>
      </c>
      <c r="C1327" s="707"/>
      <c r="D1327" s="707"/>
      <c r="E1327" s="708" t="s">
        <v>19649</v>
      </c>
      <c r="F1327" s="709">
        <v>600.0</v>
      </c>
      <c r="G1327" s="708" t="s">
        <v>44</v>
      </c>
      <c r="H1327" s="709">
        <v>10.0</v>
      </c>
      <c r="I1327" s="709">
        <v>1000.0</v>
      </c>
      <c r="J1327" s="705">
        <f t="shared" si="1"/>
        <v>7000</v>
      </c>
      <c r="K1327" s="705">
        <f t="shared" si="7"/>
        <v>1350</v>
      </c>
      <c r="L1327" s="705">
        <f t="shared" si="3"/>
        <v>8350</v>
      </c>
      <c r="M1327" s="706">
        <f t="shared" si="5"/>
        <v>13.91666667</v>
      </c>
    </row>
    <row r="1328">
      <c r="A1328" s="702" t="s">
        <v>33982</v>
      </c>
      <c r="B1328" s="702" t="s">
        <v>33992</v>
      </c>
      <c r="C1328" s="707"/>
      <c r="D1328" s="707"/>
      <c r="E1328" s="708" t="s">
        <v>7103</v>
      </c>
      <c r="F1328" s="709">
        <v>50.0</v>
      </c>
      <c r="G1328" s="708" t="s">
        <v>1082</v>
      </c>
      <c r="H1328" s="709">
        <v>635.0</v>
      </c>
      <c r="I1328" s="709">
        <v>300.0</v>
      </c>
      <c r="J1328" s="705">
        <f t="shared" si="1"/>
        <v>32050</v>
      </c>
      <c r="K1328" s="705">
        <f t="shared" si="7"/>
        <v>2602.5</v>
      </c>
      <c r="L1328" s="705">
        <f t="shared" si="3"/>
        <v>34652.5</v>
      </c>
      <c r="M1328" s="706">
        <f t="shared" si="5"/>
        <v>693.05</v>
      </c>
    </row>
    <row r="1329">
      <c r="A1329" s="702" t="s">
        <v>33982</v>
      </c>
      <c r="B1329" s="702" t="s">
        <v>33993</v>
      </c>
      <c r="C1329" s="707"/>
      <c r="D1329" s="707"/>
      <c r="E1329" s="708" t="s">
        <v>178</v>
      </c>
      <c r="F1329" s="709">
        <v>750.0</v>
      </c>
      <c r="G1329" s="708" t="s">
        <v>25962</v>
      </c>
      <c r="H1329" s="709">
        <v>4.5</v>
      </c>
      <c r="I1329" s="709">
        <v>1000.0</v>
      </c>
      <c r="J1329" s="705">
        <f t="shared" si="1"/>
        <v>4375</v>
      </c>
      <c r="K1329" s="705">
        <f t="shared" si="7"/>
        <v>1218.75</v>
      </c>
      <c r="L1329" s="705">
        <f t="shared" si="3"/>
        <v>5593.75</v>
      </c>
      <c r="M1329" s="706">
        <f t="shared" si="5"/>
        <v>7.458333333</v>
      </c>
    </row>
    <row r="1330">
      <c r="A1330" s="702" t="s">
        <v>33982</v>
      </c>
      <c r="B1330" s="702" t="s">
        <v>33994</v>
      </c>
      <c r="C1330" s="707"/>
      <c r="D1330" s="707"/>
      <c r="E1330" s="708" t="s">
        <v>7897</v>
      </c>
      <c r="F1330" s="709">
        <v>200000.0</v>
      </c>
      <c r="G1330" s="708" t="s">
        <v>33837</v>
      </c>
      <c r="H1330" s="709">
        <v>21.0</v>
      </c>
      <c r="I1330" s="705"/>
      <c r="J1330" s="705">
        <f t="shared" si="1"/>
        <v>4200000</v>
      </c>
      <c r="K1330" s="705">
        <f t="shared" si="7"/>
        <v>211000</v>
      </c>
      <c r="L1330" s="705">
        <f t="shared" si="3"/>
        <v>4411000</v>
      </c>
      <c r="M1330" s="706">
        <f t="shared" si="5"/>
        <v>22.055</v>
      </c>
    </row>
    <row r="1331">
      <c r="A1331" s="702" t="s">
        <v>33982</v>
      </c>
      <c r="B1331" s="702" t="s">
        <v>33995</v>
      </c>
      <c r="C1331" s="707"/>
      <c r="D1331" s="707"/>
      <c r="E1331" s="708" t="s">
        <v>33996</v>
      </c>
      <c r="F1331" s="709">
        <v>15.0</v>
      </c>
      <c r="G1331" s="708" t="s">
        <v>3078</v>
      </c>
      <c r="H1331" s="709">
        <v>13.0</v>
      </c>
      <c r="I1331" s="709">
        <v>300.0</v>
      </c>
      <c r="J1331" s="705">
        <f t="shared" si="1"/>
        <v>495</v>
      </c>
      <c r="K1331" s="705">
        <f t="shared" si="7"/>
        <v>1024.75</v>
      </c>
      <c r="L1331" s="705">
        <f t="shared" si="3"/>
        <v>1519.75</v>
      </c>
      <c r="M1331" s="706">
        <f t="shared" si="5"/>
        <v>101.3166667</v>
      </c>
    </row>
    <row r="1332">
      <c r="A1332" s="702" t="s">
        <v>33982</v>
      </c>
      <c r="B1332" s="702" t="s">
        <v>33997</v>
      </c>
      <c r="C1332" s="707"/>
      <c r="D1332" s="707"/>
      <c r="E1332" s="708" t="s">
        <v>5293</v>
      </c>
      <c r="F1332" s="709">
        <v>2000.0</v>
      </c>
      <c r="G1332" s="708" t="s">
        <v>507</v>
      </c>
      <c r="H1332" s="709">
        <v>47.0</v>
      </c>
      <c r="I1332" s="709">
        <v>2000.0</v>
      </c>
      <c r="J1332" s="705">
        <f t="shared" si="1"/>
        <v>96000</v>
      </c>
      <c r="K1332" s="705">
        <f t="shared" si="7"/>
        <v>5800</v>
      </c>
      <c r="L1332" s="705">
        <f t="shared" si="3"/>
        <v>101800</v>
      </c>
      <c r="M1332" s="706">
        <f t="shared" si="5"/>
        <v>50.9</v>
      </c>
    </row>
    <row r="1333">
      <c r="A1333" s="702" t="s">
        <v>33982</v>
      </c>
      <c r="B1333" s="702" t="s">
        <v>33998</v>
      </c>
      <c r="C1333" s="707"/>
      <c r="D1333" s="707"/>
      <c r="E1333" s="708" t="s">
        <v>32720</v>
      </c>
      <c r="F1333" s="709">
        <v>1000.0</v>
      </c>
      <c r="G1333" s="708" t="s">
        <v>33999</v>
      </c>
      <c r="H1333" s="709">
        <v>3.2</v>
      </c>
      <c r="I1333" s="709">
        <v>1000.0</v>
      </c>
      <c r="J1333" s="705">
        <f t="shared" si="1"/>
        <v>4200</v>
      </c>
      <c r="K1333" s="705">
        <f t="shared" si="7"/>
        <v>1210</v>
      </c>
      <c r="L1333" s="705">
        <f t="shared" si="3"/>
        <v>5410</v>
      </c>
      <c r="M1333" s="706">
        <f t="shared" si="5"/>
        <v>5.41</v>
      </c>
    </row>
    <row r="1334">
      <c r="A1334" s="702" t="s">
        <v>33982</v>
      </c>
      <c r="B1334" s="702" t="s">
        <v>34000</v>
      </c>
      <c r="C1334" s="707"/>
      <c r="D1334" s="707"/>
      <c r="E1334" s="708" t="s">
        <v>10293</v>
      </c>
      <c r="F1334" s="709">
        <v>1.0</v>
      </c>
      <c r="G1334" s="708" t="s">
        <v>507</v>
      </c>
      <c r="H1334" s="709">
        <v>550.0</v>
      </c>
      <c r="I1334" s="705">
        <v>200.0</v>
      </c>
      <c r="J1334" s="705">
        <f t="shared" si="1"/>
        <v>750</v>
      </c>
      <c r="K1334" s="705">
        <f t="shared" si="7"/>
        <v>1037.5</v>
      </c>
      <c r="L1334" s="705">
        <f t="shared" si="3"/>
        <v>1787.5</v>
      </c>
      <c r="M1334" s="706">
        <f t="shared" si="5"/>
        <v>1787.5</v>
      </c>
    </row>
    <row r="1335">
      <c r="A1335" s="702" t="s">
        <v>33982</v>
      </c>
      <c r="B1335" s="702" t="s">
        <v>34001</v>
      </c>
      <c r="C1335" s="707"/>
      <c r="D1335" s="707"/>
      <c r="E1335" s="708" t="s">
        <v>3918</v>
      </c>
      <c r="F1335" s="709">
        <v>500.0</v>
      </c>
      <c r="G1335" s="708" t="s">
        <v>507</v>
      </c>
      <c r="H1335" s="709">
        <v>27.0</v>
      </c>
      <c r="I1335" s="705"/>
      <c r="J1335" s="705">
        <f t="shared" si="1"/>
        <v>13500</v>
      </c>
      <c r="K1335" s="705">
        <f t="shared" si="7"/>
        <v>1675</v>
      </c>
      <c r="L1335" s="705">
        <f t="shared" si="3"/>
        <v>15175</v>
      </c>
      <c r="M1335" s="706">
        <f t="shared" si="5"/>
        <v>30.35</v>
      </c>
    </row>
    <row r="1336">
      <c r="A1336" s="702" t="s">
        <v>33982</v>
      </c>
      <c r="B1336" s="702" t="s">
        <v>34002</v>
      </c>
      <c r="C1336" s="707"/>
      <c r="D1336" s="707"/>
      <c r="E1336" s="708" t="s">
        <v>34003</v>
      </c>
      <c r="F1336" s="709">
        <v>5000.0</v>
      </c>
      <c r="G1336" s="708" t="s">
        <v>44</v>
      </c>
      <c r="H1336" s="709">
        <v>15.0</v>
      </c>
      <c r="I1336" s="709">
        <v>5000.0</v>
      </c>
      <c r="J1336" s="705">
        <f t="shared" si="1"/>
        <v>80000</v>
      </c>
      <c r="K1336" s="705">
        <f t="shared" si="7"/>
        <v>5000</v>
      </c>
      <c r="L1336" s="705">
        <f t="shared" si="3"/>
        <v>85000</v>
      </c>
      <c r="M1336" s="706">
        <f t="shared" si="5"/>
        <v>17</v>
      </c>
    </row>
    <row r="1337">
      <c r="A1337" s="702" t="s">
        <v>33982</v>
      </c>
      <c r="B1337" s="702" t="s">
        <v>34004</v>
      </c>
      <c r="C1337" s="707"/>
      <c r="D1337" s="707"/>
      <c r="E1337" s="708" t="s">
        <v>33996</v>
      </c>
      <c r="F1337" s="709">
        <v>25.0</v>
      </c>
      <c r="G1337" s="708" t="s">
        <v>507</v>
      </c>
      <c r="H1337" s="709">
        <v>13.0</v>
      </c>
      <c r="I1337" s="709">
        <v>300.0</v>
      </c>
      <c r="J1337" s="705">
        <f t="shared" si="1"/>
        <v>625</v>
      </c>
      <c r="K1337" s="705">
        <f t="shared" si="7"/>
        <v>1031.25</v>
      </c>
      <c r="L1337" s="705">
        <f t="shared" si="3"/>
        <v>1656.25</v>
      </c>
      <c r="M1337" s="706">
        <f t="shared" si="5"/>
        <v>66.25</v>
      </c>
    </row>
    <row r="1338">
      <c r="A1338" s="702" t="s">
        <v>33982</v>
      </c>
      <c r="B1338" s="702" t="s">
        <v>34005</v>
      </c>
      <c r="C1338" s="707"/>
      <c r="D1338" s="707"/>
      <c r="E1338" s="708" t="s">
        <v>116</v>
      </c>
      <c r="F1338" s="709">
        <v>5000.0</v>
      </c>
      <c r="G1338" s="708" t="s">
        <v>9359</v>
      </c>
      <c r="H1338" s="709">
        <v>69.0</v>
      </c>
      <c r="I1338" s="709">
        <v>5000.0</v>
      </c>
      <c r="J1338" s="705">
        <f t="shared" si="1"/>
        <v>350000</v>
      </c>
      <c r="K1338" s="705">
        <f t="shared" si="7"/>
        <v>18500</v>
      </c>
      <c r="L1338" s="705">
        <f t="shared" si="3"/>
        <v>368500</v>
      </c>
      <c r="M1338" s="706">
        <f t="shared" si="5"/>
        <v>73.7</v>
      </c>
    </row>
    <row r="1339">
      <c r="A1339" s="702" t="s">
        <v>33982</v>
      </c>
      <c r="B1339" s="702" t="s">
        <v>34006</v>
      </c>
      <c r="C1339" s="707"/>
      <c r="D1339" s="707"/>
      <c r="E1339" s="708" t="s">
        <v>34007</v>
      </c>
      <c r="F1339" s="709">
        <v>1000.0</v>
      </c>
      <c r="G1339" s="708" t="s">
        <v>507</v>
      </c>
      <c r="H1339" s="709">
        <v>85.0</v>
      </c>
      <c r="I1339" s="709">
        <v>4000.0</v>
      </c>
      <c r="J1339" s="705">
        <f t="shared" si="1"/>
        <v>89000</v>
      </c>
      <c r="K1339" s="705">
        <f t="shared" si="7"/>
        <v>5450</v>
      </c>
      <c r="L1339" s="705">
        <f t="shared" si="3"/>
        <v>94450</v>
      </c>
      <c r="M1339" s="706">
        <f t="shared" si="5"/>
        <v>94.45</v>
      </c>
    </row>
    <row r="1340">
      <c r="A1340" s="702" t="s">
        <v>34008</v>
      </c>
      <c r="B1340" s="702" t="s">
        <v>33902</v>
      </c>
      <c r="C1340" s="707"/>
      <c r="D1340" s="707"/>
      <c r="E1340" s="708" t="s">
        <v>167</v>
      </c>
      <c r="F1340" s="709">
        <v>1000.0</v>
      </c>
      <c r="G1340" s="708" t="s">
        <v>2662</v>
      </c>
      <c r="H1340" s="709">
        <v>13.0</v>
      </c>
      <c r="I1340" s="709">
        <v>1000.0</v>
      </c>
      <c r="J1340" s="705">
        <f t="shared" si="1"/>
        <v>14000</v>
      </c>
      <c r="K1340" s="705">
        <f t="shared" si="7"/>
        <v>1700</v>
      </c>
      <c r="L1340" s="705">
        <f t="shared" si="3"/>
        <v>15700</v>
      </c>
      <c r="M1340" s="706">
        <f t="shared" si="5"/>
        <v>15.7</v>
      </c>
    </row>
    <row r="1341">
      <c r="A1341" s="702" t="s">
        <v>34008</v>
      </c>
      <c r="B1341" s="702" t="s">
        <v>33809</v>
      </c>
      <c r="C1341" s="707"/>
      <c r="D1341" s="707"/>
      <c r="E1341" s="708" t="s">
        <v>34009</v>
      </c>
      <c r="F1341" s="709">
        <v>1000.0</v>
      </c>
      <c r="G1341" s="708" t="s">
        <v>9359</v>
      </c>
      <c r="H1341" s="709">
        <v>1.2</v>
      </c>
      <c r="I1341" s="709">
        <v>1000.0</v>
      </c>
      <c r="J1341" s="705">
        <f t="shared" si="1"/>
        <v>2200</v>
      </c>
      <c r="K1341" s="705">
        <f t="shared" si="7"/>
        <v>1110</v>
      </c>
      <c r="L1341" s="705">
        <f t="shared" si="3"/>
        <v>3310</v>
      </c>
      <c r="M1341" s="706">
        <f t="shared" si="5"/>
        <v>3.31</v>
      </c>
    </row>
    <row r="1342">
      <c r="A1342" s="702" t="s">
        <v>34008</v>
      </c>
      <c r="B1342" s="702" t="s">
        <v>33809</v>
      </c>
      <c r="C1342" s="707"/>
      <c r="D1342" s="707"/>
      <c r="E1342" s="708" t="s">
        <v>34010</v>
      </c>
      <c r="F1342" s="709">
        <v>1000.0</v>
      </c>
      <c r="G1342" s="708" t="s">
        <v>9359</v>
      </c>
      <c r="H1342" s="709">
        <v>1.55</v>
      </c>
      <c r="I1342" s="709">
        <v>1000.0</v>
      </c>
      <c r="J1342" s="705">
        <f t="shared" si="1"/>
        <v>2550</v>
      </c>
      <c r="K1342" s="705">
        <f t="shared" si="7"/>
        <v>1127.5</v>
      </c>
      <c r="L1342" s="705">
        <f t="shared" si="3"/>
        <v>3677.5</v>
      </c>
      <c r="M1342" s="706">
        <f t="shared" si="5"/>
        <v>3.6775</v>
      </c>
    </row>
    <row r="1343">
      <c r="A1343" s="702" t="s">
        <v>34008</v>
      </c>
      <c r="B1343" s="702" t="s">
        <v>33902</v>
      </c>
      <c r="C1343" s="707"/>
      <c r="D1343" s="707"/>
      <c r="E1343" s="708" t="s">
        <v>14841</v>
      </c>
      <c r="F1343" s="709">
        <v>10000.0</v>
      </c>
      <c r="G1343" s="708" t="s">
        <v>49</v>
      </c>
      <c r="H1343" s="709">
        <v>52.0</v>
      </c>
      <c r="I1343" s="705"/>
      <c r="J1343" s="705">
        <f t="shared" si="1"/>
        <v>520000</v>
      </c>
      <c r="K1343" s="705">
        <f t="shared" si="7"/>
        <v>27000</v>
      </c>
      <c r="L1343" s="705">
        <f t="shared" si="3"/>
        <v>547000</v>
      </c>
      <c r="M1343" s="706">
        <f t="shared" si="5"/>
        <v>54.7</v>
      </c>
    </row>
    <row r="1344">
      <c r="A1344" s="702" t="s">
        <v>34008</v>
      </c>
      <c r="B1344" s="702" t="s">
        <v>33902</v>
      </c>
      <c r="C1344" s="707"/>
      <c r="D1344" s="707"/>
      <c r="E1344" s="708" t="s">
        <v>7197</v>
      </c>
      <c r="F1344" s="709">
        <v>16000.0</v>
      </c>
      <c r="G1344" s="708" t="s">
        <v>19672</v>
      </c>
      <c r="H1344" s="709">
        <v>19.5</v>
      </c>
      <c r="I1344" s="705"/>
      <c r="J1344" s="705">
        <f t="shared" si="1"/>
        <v>312000</v>
      </c>
      <c r="K1344" s="705">
        <f t="shared" si="7"/>
        <v>16600</v>
      </c>
      <c r="L1344" s="705">
        <f t="shared" si="3"/>
        <v>328600</v>
      </c>
      <c r="M1344" s="706">
        <f t="shared" si="5"/>
        <v>20.5375</v>
      </c>
    </row>
    <row r="1345">
      <c r="A1345" s="702"/>
      <c r="B1345" s="702" t="s">
        <v>34011</v>
      </c>
      <c r="C1345" s="707"/>
      <c r="D1345" s="707"/>
      <c r="E1345" s="708" t="s">
        <v>21041</v>
      </c>
      <c r="F1345" s="709">
        <v>50.0</v>
      </c>
      <c r="G1345" s="708" t="s">
        <v>44</v>
      </c>
      <c r="H1345" s="709">
        <v>30.0</v>
      </c>
      <c r="I1345" s="709">
        <v>300.0</v>
      </c>
      <c r="J1345" s="705">
        <f t="shared" si="1"/>
        <v>1800</v>
      </c>
      <c r="K1345" s="705">
        <f t="shared" si="7"/>
        <v>1090</v>
      </c>
      <c r="L1345" s="705">
        <f t="shared" si="3"/>
        <v>2890</v>
      </c>
      <c r="M1345" s="706">
        <f t="shared" si="5"/>
        <v>57.8</v>
      </c>
    </row>
    <row r="1346">
      <c r="A1346" s="702" t="s">
        <v>34008</v>
      </c>
      <c r="B1346" s="702" t="s">
        <v>34012</v>
      </c>
      <c r="C1346" s="707"/>
      <c r="D1346" s="707"/>
      <c r="E1346" s="708" t="s">
        <v>2576</v>
      </c>
      <c r="F1346" s="709">
        <v>25.0</v>
      </c>
      <c r="G1346" s="708" t="s">
        <v>44</v>
      </c>
      <c r="H1346" s="709">
        <v>3.5</v>
      </c>
      <c r="I1346" s="709">
        <v>250.0</v>
      </c>
      <c r="J1346" s="705">
        <f t="shared" si="1"/>
        <v>337.5</v>
      </c>
      <c r="K1346" s="705">
        <f t="shared" si="7"/>
        <v>1016.875</v>
      </c>
      <c r="L1346" s="705">
        <f t="shared" si="3"/>
        <v>1354.375</v>
      </c>
      <c r="M1346" s="706">
        <f t="shared" si="5"/>
        <v>54.175</v>
      </c>
    </row>
    <row r="1347">
      <c r="A1347" s="702" t="s">
        <v>34008</v>
      </c>
      <c r="B1347" s="702" t="s">
        <v>34013</v>
      </c>
      <c r="C1347" s="707"/>
      <c r="D1347" s="707"/>
      <c r="E1347" s="708" t="s">
        <v>387</v>
      </c>
      <c r="F1347" s="709">
        <v>500.0</v>
      </c>
      <c r="G1347" s="708" t="s">
        <v>1082</v>
      </c>
      <c r="H1347" s="709">
        <v>25.0</v>
      </c>
      <c r="I1347" s="709">
        <v>500.0</v>
      </c>
      <c r="J1347" s="705">
        <f t="shared" si="1"/>
        <v>13000</v>
      </c>
      <c r="K1347" s="705">
        <f t="shared" si="7"/>
        <v>1650</v>
      </c>
      <c r="L1347" s="705">
        <f t="shared" si="3"/>
        <v>14650</v>
      </c>
      <c r="M1347" s="706">
        <f t="shared" si="5"/>
        <v>29.3</v>
      </c>
    </row>
    <row r="1348">
      <c r="A1348" s="702" t="s">
        <v>34008</v>
      </c>
      <c r="B1348" s="702" t="s">
        <v>34014</v>
      </c>
      <c r="C1348" s="707"/>
      <c r="D1348" s="707"/>
      <c r="E1348" s="708" t="s">
        <v>593</v>
      </c>
      <c r="F1348" s="709">
        <v>25.0</v>
      </c>
      <c r="G1348" s="708" t="s">
        <v>44</v>
      </c>
      <c r="H1348" s="709">
        <v>41.0</v>
      </c>
      <c r="I1348" s="709">
        <v>500.0</v>
      </c>
      <c r="J1348" s="705">
        <f t="shared" si="1"/>
        <v>1525</v>
      </c>
      <c r="K1348" s="705">
        <f t="shared" si="7"/>
        <v>1076.25</v>
      </c>
      <c r="L1348" s="705">
        <f t="shared" si="3"/>
        <v>2601.25</v>
      </c>
      <c r="M1348" s="706">
        <f t="shared" si="5"/>
        <v>104.05</v>
      </c>
    </row>
    <row r="1349">
      <c r="A1349" s="702" t="s">
        <v>34008</v>
      </c>
      <c r="B1349" s="702" t="s">
        <v>34015</v>
      </c>
      <c r="C1349" s="707"/>
      <c r="D1349" s="707"/>
      <c r="E1349" s="708" t="s">
        <v>213</v>
      </c>
      <c r="F1349" s="709">
        <v>1000.0</v>
      </c>
      <c r="G1349" s="708" t="s">
        <v>1082</v>
      </c>
      <c r="H1349" s="709">
        <v>25.0</v>
      </c>
      <c r="I1349" s="709">
        <v>1500.0</v>
      </c>
      <c r="J1349" s="705">
        <f t="shared" si="1"/>
        <v>26500</v>
      </c>
      <c r="K1349" s="705">
        <f t="shared" si="7"/>
        <v>2325</v>
      </c>
      <c r="L1349" s="705">
        <f t="shared" si="3"/>
        <v>28825</v>
      </c>
      <c r="M1349" s="706">
        <f t="shared" si="5"/>
        <v>28.825</v>
      </c>
    </row>
    <row r="1350">
      <c r="A1350" s="702" t="s">
        <v>34008</v>
      </c>
      <c r="B1350" s="702" t="s">
        <v>34016</v>
      </c>
      <c r="C1350" s="707"/>
      <c r="D1350" s="707"/>
      <c r="E1350" s="708" t="s">
        <v>34017</v>
      </c>
      <c r="F1350" s="709">
        <v>30000.0</v>
      </c>
      <c r="G1350" s="708" t="s">
        <v>1082</v>
      </c>
      <c r="H1350" s="709">
        <v>5.6</v>
      </c>
      <c r="I1350" s="705"/>
      <c r="J1350" s="705">
        <f t="shared" si="1"/>
        <v>168000</v>
      </c>
      <c r="K1350" s="705">
        <f t="shared" si="7"/>
        <v>9400</v>
      </c>
      <c r="L1350" s="705">
        <f t="shared" si="3"/>
        <v>177400</v>
      </c>
      <c r="M1350" s="706">
        <f t="shared" si="5"/>
        <v>5.913333333</v>
      </c>
    </row>
    <row r="1351">
      <c r="A1351" s="702" t="s">
        <v>34008</v>
      </c>
      <c r="B1351" s="702" t="s">
        <v>34018</v>
      </c>
      <c r="C1351" s="707"/>
      <c r="D1351" s="707"/>
      <c r="E1351" s="708" t="s">
        <v>34019</v>
      </c>
      <c r="F1351" s="709">
        <v>10000.0</v>
      </c>
      <c r="G1351" s="708" t="s">
        <v>1082</v>
      </c>
      <c r="H1351" s="709">
        <v>120.0</v>
      </c>
      <c r="I1351" s="705"/>
      <c r="J1351" s="705">
        <f t="shared" si="1"/>
        <v>1200000</v>
      </c>
      <c r="K1351" s="705">
        <f t="shared" si="7"/>
        <v>61000</v>
      </c>
      <c r="L1351" s="705">
        <f t="shared" si="3"/>
        <v>1261000</v>
      </c>
      <c r="M1351" s="706">
        <f t="shared" si="5"/>
        <v>126.1</v>
      </c>
    </row>
    <row r="1352">
      <c r="A1352" s="702" t="s">
        <v>34008</v>
      </c>
      <c r="B1352" s="702" t="s">
        <v>34018</v>
      </c>
      <c r="C1352" s="707"/>
      <c r="D1352" s="707"/>
      <c r="E1352" s="708" t="s">
        <v>34020</v>
      </c>
      <c r="F1352" s="709">
        <v>10000.0</v>
      </c>
      <c r="G1352" s="708" t="s">
        <v>44</v>
      </c>
      <c r="H1352" s="709">
        <v>30.0</v>
      </c>
      <c r="I1352" s="705"/>
      <c r="J1352" s="705">
        <f t="shared" si="1"/>
        <v>300000</v>
      </c>
      <c r="K1352" s="705">
        <f t="shared" si="7"/>
        <v>16000</v>
      </c>
      <c r="L1352" s="705">
        <f t="shared" si="3"/>
        <v>316000</v>
      </c>
      <c r="M1352" s="706">
        <f t="shared" si="5"/>
        <v>31.6</v>
      </c>
    </row>
    <row r="1353">
      <c r="A1353" s="702" t="s">
        <v>34008</v>
      </c>
      <c r="B1353" s="702" t="s">
        <v>34021</v>
      </c>
      <c r="C1353" s="707"/>
      <c r="D1353" s="707"/>
      <c r="E1353" s="708" t="s">
        <v>33996</v>
      </c>
      <c r="F1353" s="709">
        <v>25.0</v>
      </c>
      <c r="G1353" s="708" t="s">
        <v>2662</v>
      </c>
      <c r="H1353" s="709">
        <v>13.0</v>
      </c>
      <c r="I1353" s="709">
        <v>500.0</v>
      </c>
      <c r="J1353" s="705">
        <f t="shared" si="1"/>
        <v>825</v>
      </c>
      <c r="K1353" s="705">
        <f t="shared" si="7"/>
        <v>1041.25</v>
      </c>
      <c r="L1353" s="705">
        <f t="shared" si="3"/>
        <v>1866.25</v>
      </c>
      <c r="M1353" s="706">
        <f t="shared" si="5"/>
        <v>74.65</v>
      </c>
    </row>
    <row r="1354">
      <c r="A1354" s="702" t="s">
        <v>34008</v>
      </c>
      <c r="B1354" s="702" t="s">
        <v>34022</v>
      </c>
      <c r="C1354" s="707"/>
      <c r="D1354" s="707"/>
      <c r="E1354" s="708" t="s">
        <v>33985</v>
      </c>
      <c r="F1354" s="709">
        <v>30000.0</v>
      </c>
      <c r="G1354" s="708" t="s">
        <v>519</v>
      </c>
      <c r="H1354" s="709">
        <v>25.0</v>
      </c>
      <c r="I1354" s="705"/>
      <c r="J1354" s="705">
        <f t="shared" si="1"/>
        <v>750000</v>
      </c>
      <c r="K1354" s="705">
        <f t="shared" si="7"/>
        <v>38500</v>
      </c>
      <c r="L1354" s="705">
        <f t="shared" si="3"/>
        <v>788500</v>
      </c>
      <c r="M1354" s="706">
        <f t="shared" si="5"/>
        <v>26.28333333</v>
      </c>
    </row>
    <row r="1355">
      <c r="A1355" s="702" t="s">
        <v>34023</v>
      </c>
      <c r="B1355" s="702" t="s">
        <v>34024</v>
      </c>
      <c r="C1355" s="707"/>
      <c r="D1355" s="707"/>
      <c r="E1355" s="708" t="s">
        <v>33996</v>
      </c>
      <c r="F1355" s="709">
        <v>1000.0</v>
      </c>
      <c r="G1355" s="708" t="s">
        <v>507</v>
      </c>
      <c r="H1355" s="709">
        <v>13.0</v>
      </c>
      <c r="I1355" s="709">
        <v>1000.0</v>
      </c>
      <c r="J1355" s="705">
        <f t="shared" si="1"/>
        <v>14000</v>
      </c>
      <c r="K1355" s="705">
        <f t="shared" si="7"/>
        <v>1700</v>
      </c>
      <c r="L1355" s="705">
        <f t="shared" si="3"/>
        <v>15700</v>
      </c>
      <c r="M1355" s="706">
        <f t="shared" si="5"/>
        <v>15.7</v>
      </c>
    </row>
    <row r="1356">
      <c r="A1356" s="702" t="s">
        <v>34023</v>
      </c>
      <c r="B1356" s="702" t="s">
        <v>33809</v>
      </c>
      <c r="C1356" s="707"/>
      <c r="D1356" s="707"/>
      <c r="E1356" s="708" t="s">
        <v>34025</v>
      </c>
      <c r="F1356" s="709">
        <v>1000.0</v>
      </c>
      <c r="G1356" s="708" t="s">
        <v>1082</v>
      </c>
      <c r="H1356" s="709">
        <v>4.5</v>
      </c>
      <c r="I1356" s="709">
        <v>1000.0</v>
      </c>
      <c r="J1356" s="705">
        <f t="shared" si="1"/>
        <v>5500</v>
      </c>
      <c r="K1356" s="705">
        <f t="shared" si="7"/>
        <v>1275</v>
      </c>
      <c r="L1356" s="705">
        <f t="shared" si="3"/>
        <v>6775</v>
      </c>
      <c r="M1356" s="706">
        <f t="shared" si="5"/>
        <v>6.775</v>
      </c>
    </row>
    <row r="1357">
      <c r="A1357" s="702" t="s">
        <v>34023</v>
      </c>
      <c r="B1357" s="702" t="s">
        <v>33902</v>
      </c>
      <c r="C1357" s="707"/>
      <c r="D1357" s="707"/>
      <c r="E1357" s="708" t="s">
        <v>8931</v>
      </c>
      <c r="F1357" s="709">
        <v>1000.0</v>
      </c>
      <c r="G1357" s="708" t="s">
        <v>9266</v>
      </c>
      <c r="H1357" s="709">
        <v>88.5</v>
      </c>
      <c r="I1357" s="709">
        <v>1000.0</v>
      </c>
      <c r="J1357" s="705">
        <f t="shared" si="1"/>
        <v>89500</v>
      </c>
      <c r="K1357" s="705">
        <f t="shared" si="7"/>
        <v>5475</v>
      </c>
      <c r="L1357" s="705">
        <f t="shared" si="3"/>
        <v>94975</v>
      </c>
      <c r="M1357" s="706">
        <f t="shared" si="5"/>
        <v>94.975</v>
      </c>
    </row>
    <row r="1358">
      <c r="A1358" s="702" t="s">
        <v>34023</v>
      </c>
      <c r="B1358" s="702" t="s">
        <v>33902</v>
      </c>
      <c r="C1358" s="707"/>
      <c r="D1358" s="707"/>
      <c r="E1358" s="708" t="s">
        <v>34026</v>
      </c>
      <c r="F1358" s="709">
        <v>1000.0</v>
      </c>
      <c r="G1358" s="708" t="s">
        <v>20765</v>
      </c>
      <c r="H1358" s="709">
        <v>3.13</v>
      </c>
      <c r="I1358" s="709">
        <v>1000.0</v>
      </c>
      <c r="J1358" s="705">
        <f t="shared" si="1"/>
        <v>4130</v>
      </c>
      <c r="K1358" s="705">
        <f t="shared" si="7"/>
        <v>1206.5</v>
      </c>
      <c r="L1358" s="705">
        <f t="shared" si="3"/>
        <v>5336.5</v>
      </c>
      <c r="M1358" s="706">
        <f t="shared" si="5"/>
        <v>5.3365</v>
      </c>
    </row>
    <row r="1359">
      <c r="A1359" s="702" t="s">
        <v>34023</v>
      </c>
      <c r="B1359" s="702" t="s">
        <v>34027</v>
      </c>
      <c r="C1359" s="707"/>
      <c r="D1359" s="707"/>
      <c r="E1359" s="708" t="s">
        <v>6323</v>
      </c>
      <c r="F1359" s="709">
        <v>10000.0</v>
      </c>
      <c r="G1359" s="708" t="s">
        <v>1082</v>
      </c>
      <c r="H1359" s="709">
        <v>50.0</v>
      </c>
      <c r="I1359" s="705"/>
      <c r="J1359" s="705">
        <f t="shared" si="1"/>
        <v>500000</v>
      </c>
      <c r="K1359" s="705">
        <f t="shared" si="7"/>
        <v>26000</v>
      </c>
      <c r="L1359" s="705">
        <f t="shared" si="3"/>
        <v>526000</v>
      </c>
      <c r="M1359" s="706">
        <f t="shared" si="5"/>
        <v>52.6</v>
      </c>
    </row>
    <row r="1360">
      <c r="A1360" s="702" t="s">
        <v>34023</v>
      </c>
      <c r="B1360" s="702" t="s">
        <v>34028</v>
      </c>
      <c r="C1360" s="707"/>
      <c r="D1360" s="707"/>
      <c r="E1360" s="708" t="s">
        <v>19757</v>
      </c>
      <c r="F1360" s="709">
        <v>100.0</v>
      </c>
      <c r="G1360" s="708" t="s">
        <v>20765</v>
      </c>
      <c r="H1360" s="709">
        <v>140.0</v>
      </c>
      <c r="I1360" s="709">
        <v>300.0</v>
      </c>
      <c r="J1360" s="705">
        <f t="shared" si="1"/>
        <v>14300</v>
      </c>
      <c r="K1360" s="705">
        <f t="shared" si="7"/>
        <v>1715</v>
      </c>
      <c r="L1360" s="705">
        <f t="shared" si="3"/>
        <v>16015</v>
      </c>
      <c r="M1360" s="706">
        <f t="shared" si="5"/>
        <v>160.15</v>
      </c>
    </row>
    <row r="1361">
      <c r="A1361" s="702" t="s">
        <v>34023</v>
      </c>
      <c r="B1361" s="702" t="s">
        <v>34029</v>
      </c>
      <c r="C1361" s="707"/>
      <c r="D1361" s="707"/>
      <c r="E1361" s="708" t="s">
        <v>3165</v>
      </c>
      <c r="F1361" s="709">
        <v>50.0</v>
      </c>
      <c r="G1361" s="708" t="s">
        <v>20765</v>
      </c>
      <c r="H1361" s="709">
        <v>79.0</v>
      </c>
      <c r="I1361" s="709">
        <v>300.0</v>
      </c>
      <c r="J1361" s="705">
        <f t="shared" si="1"/>
        <v>4250</v>
      </c>
      <c r="K1361" s="705">
        <f t="shared" si="7"/>
        <v>1212.5</v>
      </c>
      <c r="L1361" s="705">
        <f t="shared" si="3"/>
        <v>5462.5</v>
      </c>
      <c r="M1361" s="706">
        <f t="shared" si="5"/>
        <v>109.25</v>
      </c>
    </row>
    <row r="1362">
      <c r="A1362" s="702" t="s">
        <v>34023</v>
      </c>
      <c r="B1362" s="702" t="s">
        <v>34030</v>
      </c>
      <c r="C1362" s="707"/>
      <c r="D1362" s="707"/>
      <c r="E1362" s="708" t="s">
        <v>116</v>
      </c>
      <c r="F1362" s="709">
        <v>50.0</v>
      </c>
      <c r="G1362" s="708" t="s">
        <v>742</v>
      </c>
      <c r="H1362" s="709">
        <v>69.0</v>
      </c>
      <c r="I1362" s="709">
        <v>300.0</v>
      </c>
      <c r="J1362" s="705">
        <f t="shared" si="1"/>
        <v>3750</v>
      </c>
      <c r="K1362" s="705">
        <f t="shared" si="7"/>
        <v>1187.5</v>
      </c>
      <c r="L1362" s="705">
        <f t="shared" si="3"/>
        <v>4937.5</v>
      </c>
      <c r="M1362" s="706">
        <f t="shared" si="5"/>
        <v>98.75</v>
      </c>
    </row>
    <row r="1363">
      <c r="A1363" s="702" t="s">
        <v>34023</v>
      </c>
      <c r="B1363" s="702" t="s">
        <v>34031</v>
      </c>
      <c r="C1363" s="707"/>
      <c r="D1363" s="707"/>
      <c r="E1363" s="708" t="s">
        <v>34032</v>
      </c>
      <c r="F1363" s="709">
        <v>50.0</v>
      </c>
      <c r="G1363" s="708" t="s">
        <v>20765</v>
      </c>
      <c r="H1363" s="709">
        <v>79.0</v>
      </c>
      <c r="I1363" s="709">
        <v>300.0</v>
      </c>
      <c r="J1363" s="705">
        <f t="shared" si="1"/>
        <v>4250</v>
      </c>
      <c r="K1363" s="705">
        <f t="shared" si="7"/>
        <v>1212.5</v>
      </c>
      <c r="L1363" s="705">
        <f t="shared" si="3"/>
        <v>5462.5</v>
      </c>
      <c r="M1363" s="706">
        <f t="shared" si="5"/>
        <v>109.25</v>
      </c>
    </row>
    <row r="1364">
      <c r="A1364" s="702" t="s">
        <v>34023</v>
      </c>
      <c r="B1364" s="702" t="s">
        <v>34033</v>
      </c>
      <c r="C1364" s="707"/>
      <c r="D1364" s="707"/>
      <c r="E1364" s="708" t="s">
        <v>34034</v>
      </c>
      <c r="F1364" s="709">
        <v>10000.0</v>
      </c>
      <c r="G1364" s="708" t="s">
        <v>1082</v>
      </c>
      <c r="H1364" s="709">
        <v>7.5</v>
      </c>
      <c r="I1364" s="705"/>
      <c r="J1364" s="705">
        <f t="shared" si="1"/>
        <v>75000</v>
      </c>
      <c r="K1364" s="705">
        <f t="shared" si="7"/>
        <v>4750</v>
      </c>
      <c r="L1364" s="705">
        <f t="shared" si="3"/>
        <v>79750</v>
      </c>
      <c r="M1364" s="706">
        <f t="shared" si="5"/>
        <v>7.975</v>
      </c>
    </row>
    <row r="1365">
      <c r="A1365" s="702" t="s">
        <v>34023</v>
      </c>
      <c r="B1365" s="702" t="s">
        <v>34035</v>
      </c>
      <c r="C1365" s="707"/>
      <c r="D1365" s="707"/>
      <c r="E1365" s="708" t="s">
        <v>718</v>
      </c>
      <c r="F1365" s="709">
        <v>100.0</v>
      </c>
      <c r="G1365" s="708" t="s">
        <v>1082</v>
      </c>
      <c r="H1365" s="709">
        <v>4.8</v>
      </c>
      <c r="I1365" s="709">
        <v>500.0</v>
      </c>
      <c r="J1365" s="705">
        <f t="shared" si="1"/>
        <v>980</v>
      </c>
      <c r="K1365" s="705">
        <f t="shared" si="7"/>
        <v>1049</v>
      </c>
      <c r="L1365" s="705">
        <f t="shared" si="3"/>
        <v>2029</v>
      </c>
      <c r="M1365" s="706">
        <f t="shared" si="5"/>
        <v>20.29</v>
      </c>
    </row>
    <row r="1366">
      <c r="A1366" s="702" t="s">
        <v>34023</v>
      </c>
      <c r="B1366" s="702" t="s">
        <v>34036</v>
      </c>
      <c r="C1366" s="707"/>
      <c r="D1366" s="707"/>
      <c r="E1366" s="708" t="s">
        <v>33996</v>
      </c>
      <c r="F1366" s="709">
        <v>5.0</v>
      </c>
      <c r="G1366" s="708" t="s">
        <v>742</v>
      </c>
      <c r="H1366" s="709">
        <v>6.5</v>
      </c>
      <c r="I1366" s="709">
        <v>300.0</v>
      </c>
      <c r="J1366" s="705">
        <f t="shared" si="1"/>
        <v>332.5</v>
      </c>
      <c r="K1366" s="705">
        <f t="shared" si="7"/>
        <v>1016.625</v>
      </c>
      <c r="L1366" s="705">
        <f t="shared" si="3"/>
        <v>1349.125</v>
      </c>
      <c r="M1366" s="706">
        <f t="shared" si="5"/>
        <v>269.825</v>
      </c>
    </row>
    <row r="1367">
      <c r="A1367" s="702" t="s">
        <v>34023</v>
      </c>
      <c r="B1367" s="702" t="s">
        <v>34037</v>
      </c>
      <c r="C1367" s="707"/>
      <c r="D1367" s="707"/>
      <c r="E1367" s="708" t="s">
        <v>7868</v>
      </c>
      <c r="F1367" s="709">
        <v>200.0</v>
      </c>
      <c r="G1367" s="708" t="s">
        <v>467</v>
      </c>
      <c r="H1367" s="709">
        <v>110.0</v>
      </c>
      <c r="I1367" s="709">
        <v>500.0</v>
      </c>
      <c r="J1367" s="705">
        <f t="shared" si="1"/>
        <v>22500</v>
      </c>
      <c r="K1367" s="705">
        <f t="shared" si="7"/>
        <v>2125</v>
      </c>
      <c r="L1367" s="705">
        <f t="shared" si="3"/>
        <v>24625</v>
      </c>
      <c r="M1367" s="706">
        <f t="shared" si="5"/>
        <v>123.125</v>
      </c>
    </row>
    <row r="1368">
      <c r="A1368" s="702" t="s">
        <v>34038</v>
      </c>
      <c r="B1368" s="702" t="s">
        <v>34039</v>
      </c>
      <c r="C1368" s="707"/>
      <c r="D1368" s="707"/>
      <c r="E1368" s="708" t="s">
        <v>43</v>
      </c>
      <c r="F1368" s="709">
        <v>100000.0</v>
      </c>
      <c r="G1368" s="708" t="s">
        <v>44</v>
      </c>
      <c r="H1368" s="709">
        <v>7.5</v>
      </c>
      <c r="I1368" s="705"/>
      <c r="J1368" s="705">
        <f t="shared" si="1"/>
        <v>750000</v>
      </c>
      <c r="K1368" s="705">
        <f t="shared" si="7"/>
        <v>38500</v>
      </c>
      <c r="L1368" s="705">
        <f t="shared" si="3"/>
        <v>788500</v>
      </c>
      <c r="M1368" s="706">
        <f t="shared" si="5"/>
        <v>7.885</v>
      </c>
    </row>
    <row r="1369">
      <c r="A1369" s="702" t="s">
        <v>34038</v>
      </c>
      <c r="B1369" s="724" t="s">
        <v>34040</v>
      </c>
      <c r="C1369" s="707"/>
      <c r="D1369" s="707"/>
      <c r="E1369" s="707" t="s">
        <v>34041</v>
      </c>
      <c r="F1369" s="709">
        <v>300.0</v>
      </c>
      <c r="G1369" s="708" t="s">
        <v>9359</v>
      </c>
      <c r="H1369" s="709">
        <v>64.0</v>
      </c>
      <c r="I1369" s="709">
        <v>500.0</v>
      </c>
      <c r="J1369" s="705">
        <f t="shared" si="1"/>
        <v>19700</v>
      </c>
      <c r="K1369" s="705">
        <f t="shared" si="7"/>
        <v>1985</v>
      </c>
      <c r="L1369" s="705">
        <f t="shared" si="3"/>
        <v>21685</v>
      </c>
      <c r="M1369" s="706">
        <f t="shared" si="5"/>
        <v>72.28333333</v>
      </c>
    </row>
    <row r="1370">
      <c r="A1370" s="702" t="s">
        <v>34038</v>
      </c>
      <c r="B1370" s="702" t="s">
        <v>34042</v>
      </c>
      <c r="C1370" s="707"/>
      <c r="D1370" s="707"/>
      <c r="E1370" s="708" t="s">
        <v>130</v>
      </c>
      <c r="F1370" s="709">
        <v>1000000.0</v>
      </c>
      <c r="G1370" s="708" t="s">
        <v>9359</v>
      </c>
      <c r="H1370" s="709">
        <v>25.0</v>
      </c>
      <c r="I1370" s="705"/>
      <c r="J1370" s="705">
        <f t="shared" si="1"/>
        <v>25000000</v>
      </c>
      <c r="K1370" s="705">
        <f t="shared" si="7"/>
        <v>1251000</v>
      </c>
      <c r="L1370" s="705">
        <f t="shared" si="3"/>
        <v>26251000</v>
      </c>
      <c r="M1370" s="706">
        <f t="shared" si="5"/>
        <v>26.251</v>
      </c>
    </row>
    <row r="1371">
      <c r="A1371" s="702" t="s">
        <v>34038</v>
      </c>
      <c r="B1371" s="702" t="s">
        <v>34043</v>
      </c>
      <c r="C1371" s="707"/>
      <c r="D1371" s="707"/>
      <c r="E1371" s="708" t="s">
        <v>53</v>
      </c>
      <c r="F1371" s="709">
        <v>100000.0</v>
      </c>
      <c r="G1371" s="708" t="s">
        <v>99</v>
      </c>
      <c r="H1371" s="709">
        <v>10.0</v>
      </c>
      <c r="I1371" s="705"/>
      <c r="J1371" s="705">
        <f t="shared" si="1"/>
        <v>1000000</v>
      </c>
      <c r="K1371" s="705">
        <f t="shared" si="7"/>
        <v>51000</v>
      </c>
      <c r="L1371" s="705">
        <f t="shared" si="3"/>
        <v>1051000</v>
      </c>
      <c r="M1371" s="706">
        <f t="shared" si="5"/>
        <v>10.51</v>
      </c>
    </row>
    <row r="1372">
      <c r="A1372" s="702" t="s">
        <v>34038</v>
      </c>
      <c r="B1372" s="702" t="s">
        <v>34043</v>
      </c>
      <c r="C1372" s="707"/>
      <c r="D1372" s="707"/>
      <c r="E1372" s="708" t="s">
        <v>5102</v>
      </c>
      <c r="F1372" s="709">
        <v>100000.0</v>
      </c>
      <c r="G1372" s="708" t="s">
        <v>99</v>
      </c>
      <c r="H1372" s="709">
        <v>16.0</v>
      </c>
      <c r="I1372" s="705"/>
      <c r="J1372" s="705">
        <f t="shared" si="1"/>
        <v>1600000</v>
      </c>
      <c r="K1372" s="705">
        <f t="shared" si="7"/>
        <v>81000</v>
      </c>
      <c r="L1372" s="705">
        <f t="shared" si="3"/>
        <v>1681000</v>
      </c>
      <c r="M1372" s="706">
        <f t="shared" si="5"/>
        <v>16.81</v>
      </c>
    </row>
    <row r="1373">
      <c r="A1373" s="702" t="s">
        <v>34038</v>
      </c>
      <c r="B1373" s="702" t="s">
        <v>34044</v>
      </c>
      <c r="C1373" s="707"/>
      <c r="D1373" s="707"/>
      <c r="E1373" s="708" t="s">
        <v>262</v>
      </c>
      <c r="F1373" s="709">
        <v>1000.0</v>
      </c>
      <c r="G1373" s="708" t="s">
        <v>20765</v>
      </c>
      <c r="H1373" s="709">
        <v>18.0</v>
      </c>
      <c r="I1373" s="705"/>
      <c r="J1373" s="705">
        <f t="shared" si="1"/>
        <v>18000</v>
      </c>
      <c r="K1373" s="705">
        <f t="shared" si="7"/>
        <v>1900</v>
      </c>
      <c r="L1373" s="705">
        <f t="shared" si="3"/>
        <v>19900</v>
      </c>
      <c r="M1373" s="706">
        <f t="shared" si="5"/>
        <v>19.9</v>
      </c>
    </row>
    <row r="1374">
      <c r="A1374" s="702" t="s">
        <v>34038</v>
      </c>
      <c r="B1374" s="702" t="s">
        <v>34045</v>
      </c>
      <c r="C1374" s="707"/>
      <c r="D1374" s="707"/>
      <c r="E1374" s="708" t="s">
        <v>1520</v>
      </c>
      <c r="F1374" s="709">
        <v>10000.0</v>
      </c>
      <c r="G1374" s="708" t="s">
        <v>20765</v>
      </c>
      <c r="H1374" s="709">
        <v>14.0</v>
      </c>
      <c r="I1374" s="709">
        <v>0.0</v>
      </c>
      <c r="J1374" s="705">
        <f t="shared" si="1"/>
        <v>140000</v>
      </c>
      <c r="K1374" s="705">
        <f t="shared" si="7"/>
        <v>8000</v>
      </c>
      <c r="L1374" s="705">
        <f t="shared" si="3"/>
        <v>148000</v>
      </c>
      <c r="M1374" s="706">
        <f t="shared" si="5"/>
        <v>14.8</v>
      </c>
    </row>
    <row r="1375">
      <c r="A1375" s="702" t="s">
        <v>34038</v>
      </c>
      <c r="B1375" s="702" t="s">
        <v>34046</v>
      </c>
      <c r="C1375" s="707"/>
      <c r="D1375" s="707"/>
      <c r="E1375" s="708" t="s">
        <v>213</v>
      </c>
      <c r="F1375" s="709">
        <v>50000.0</v>
      </c>
      <c r="G1375" s="708" t="s">
        <v>20765</v>
      </c>
      <c r="H1375" s="709">
        <v>25.0</v>
      </c>
      <c r="I1375" s="709">
        <v>0.0</v>
      </c>
      <c r="J1375" s="705">
        <f t="shared" si="1"/>
        <v>1250000</v>
      </c>
      <c r="K1375" s="705">
        <f t="shared" si="7"/>
        <v>63500</v>
      </c>
      <c r="L1375" s="705">
        <f t="shared" si="3"/>
        <v>1313500</v>
      </c>
      <c r="M1375" s="706">
        <f t="shared" si="5"/>
        <v>26.27</v>
      </c>
    </row>
    <row r="1376">
      <c r="A1376" s="702" t="s">
        <v>34038</v>
      </c>
      <c r="B1376" s="724" t="s">
        <v>34047</v>
      </c>
      <c r="C1376" s="707"/>
      <c r="D1376" s="707"/>
      <c r="E1376" s="708" t="s">
        <v>34048</v>
      </c>
      <c r="F1376" s="705">
        <v>50000.0</v>
      </c>
      <c r="G1376" s="707" t="s">
        <v>20765</v>
      </c>
      <c r="H1376" s="709">
        <v>73.0</v>
      </c>
      <c r="I1376" s="709">
        <v>0.0</v>
      </c>
      <c r="J1376" s="705">
        <f t="shared" si="1"/>
        <v>3650000</v>
      </c>
      <c r="K1376" s="705">
        <f t="shared" si="7"/>
        <v>183500</v>
      </c>
      <c r="L1376" s="705">
        <f t="shared" si="3"/>
        <v>3833500</v>
      </c>
      <c r="M1376" s="706">
        <f t="shared" si="5"/>
        <v>76.67</v>
      </c>
    </row>
    <row r="1377">
      <c r="A1377" s="702" t="s">
        <v>34038</v>
      </c>
      <c r="B1377" s="702" t="s">
        <v>34047</v>
      </c>
      <c r="C1377" s="707"/>
      <c r="D1377" s="707"/>
      <c r="E1377" s="708" t="s">
        <v>34049</v>
      </c>
      <c r="F1377" s="721">
        <v>50000.0</v>
      </c>
      <c r="G1377" s="707" t="s">
        <v>20765</v>
      </c>
      <c r="H1377" s="709">
        <v>77.0</v>
      </c>
      <c r="I1377" s="709">
        <v>0.0</v>
      </c>
      <c r="J1377" s="705">
        <f t="shared" si="1"/>
        <v>3850000</v>
      </c>
      <c r="K1377" s="705">
        <f t="shared" si="7"/>
        <v>193500</v>
      </c>
      <c r="L1377" s="705">
        <f t="shared" si="3"/>
        <v>4043500</v>
      </c>
      <c r="M1377" s="706">
        <f t="shared" si="5"/>
        <v>80.87</v>
      </c>
    </row>
    <row r="1378">
      <c r="A1378" s="702" t="s">
        <v>34038</v>
      </c>
      <c r="B1378" s="702" t="s">
        <v>34047</v>
      </c>
      <c r="C1378" s="707"/>
      <c r="D1378" s="707"/>
      <c r="E1378" s="708" t="s">
        <v>34050</v>
      </c>
      <c r="F1378" s="709">
        <v>50000.0</v>
      </c>
      <c r="G1378" s="707" t="s">
        <v>20765</v>
      </c>
      <c r="H1378" s="709">
        <v>90.0</v>
      </c>
      <c r="I1378" s="709">
        <v>0.0</v>
      </c>
      <c r="J1378" s="705">
        <f t="shared" si="1"/>
        <v>4500000</v>
      </c>
      <c r="K1378" s="705">
        <f t="shared" si="7"/>
        <v>226000</v>
      </c>
      <c r="L1378" s="705">
        <f t="shared" si="3"/>
        <v>4726000</v>
      </c>
      <c r="M1378" s="706">
        <f t="shared" si="5"/>
        <v>94.52</v>
      </c>
    </row>
    <row r="1379">
      <c r="A1379" s="702" t="s">
        <v>34038</v>
      </c>
      <c r="B1379" s="702" t="s">
        <v>34051</v>
      </c>
      <c r="C1379" s="707"/>
      <c r="D1379" s="707"/>
      <c r="E1379" s="708" t="s">
        <v>19892</v>
      </c>
      <c r="F1379" s="709">
        <v>10000.0</v>
      </c>
      <c r="G1379" s="708" t="s">
        <v>638</v>
      </c>
      <c r="H1379" s="709">
        <v>65.0</v>
      </c>
      <c r="I1379" s="709">
        <v>0.0</v>
      </c>
      <c r="J1379" s="705">
        <f t="shared" si="1"/>
        <v>650000</v>
      </c>
      <c r="K1379" s="705">
        <f t="shared" si="7"/>
        <v>33500</v>
      </c>
      <c r="L1379" s="705">
        <f t="shared" si="3"/>
        <v>683500</v>
      </c>
      <c r="M1379" s="706">
        <f t="shared" si="5"/>
        <v>68.35</v>
      </c>
    </row>
    <row r="1380">
      <c r="A1380" s="702" t="s">
        <v>34038</v>
      </c>
      <c r="B1380" s="702" t="s">
        <v>34052</v>
      </c>
      <c r="C1380" s="707"/>
      <c r="D1380" s="707"/>
      <c r="E1380" s="720" t="s">
        <v>6027</v>
      </c>
      <c r="F1380" s="709">
        <v>500.0</v>
      </c>
      <c r="G1380" s="708" t="s">
        <v>507</v>
      </c>
      <c r="H1380" s="709">
        <v>180.0</v>
      </c>
      <c r="I1380" s="709">
        <v>1000.0</v>
      </c>
      <c r="J1380" s="705">
        <f t="shared" si="1"/>
        <v>91000</v>
      </c>
      <c r="K1380" s="705">
        <f t="shared" si="7"/>
        <v>5550</v>
      </c>
      <c r="L1380" s="705">
        <f t="shared" si="3"/>
        <v>96550</v>
      </c>
      <c r="M1380" s="706">
        <f t="shared" si="5"/>
        <v>193.1</v>
      </c>
    </row>
    <row r="1381">
      <c r="A1381" s="702" t="s">
        <v>34038</v>
      </c>
      <c r="B1381" s="702" t="s">
        <v>34053</v>
      </c>
      <c r="C1381" s="707"/>
      <c r="D1381" s="707"/>
      <c r="E1381" s="720" t="s">
        <v>34054</v>
      </c>
      <c r="F1381" s="709">
        <v>1000.0</v>
      </c>
      <c r="G1381" s="708" t="s">
        <v>1337</v>
      </c>
      <c r="H1381" s="709">
        <v>18.0</v>
      </c>
      <c r="I1381" s="709">
        <v>1000.0</v>
      </c>
      <c r="J1381" s="705">
        <f t="shared" si="1"/>
        <v>19000</v>
      </c>
      <c r="K1381" s="705">
        <f t="shared" si="7"/>
        <v>1950</v>
      </c>
      <c r="L1381" s="705">
        <f t="shared" si="3"/>
        <v>20950</v>
      </c>
      <c r="M1381" s="706">
        <f t="shared" si="5"/>
        <v>20.95</v>
      </c>
    </row>
    <row r="1382">
      <c r="A1382" s="702" t="s">
        <v>34038</v>
      </c>
      <c r="B1382" s="702" t="s">
        <v>34055</v>
      </c>
      <c r="C1382" s="707"/>
      <c r="D1382" s="707"/>
      <c r="E1382" s="708" t="s">
        <v>34056</v>
      </c>
      <c r="F1382" s="709">
        <v>25.0</v>
      </c>
      <c r="G1382" s="708" t="s">
        <v>519</v>
      </c>
      <c r="H1382" s="709">
        <v>900.0</v>
      </c>
      <c r="I1382" s="709">
        <v>400.0</v>
      </c>
      <c r="J1382" s="705">
        <f t="shared" si="1"/>
        <v>22900</v>
      </c>
      <c r="K1382" s="705">
        <f t="shared" si="7"/>
        <v>2145</v>
      </c>
      <c r="L1382" s="705">
        <f t="shared" si="3"/>
        <v>25045</v>
      </c>
      <c r="M1382" s="706">
        <f t="shared" si="5"/>
        <v>1001.8</v>
      </c>
    </row>
    <row r="1383">
      <c r="A1383" s="702" t="s">
        <v>34057</v>
      </c>
      <c r="B1383" s="702" t="s">
        <v>33902</v>
      </c>
      <c r="C1383" s="707"/>
      <c r="D1383" s="707"/>
      <c r="E1383" s="708" t="s">
        <v>10433</v>
      </c>
      <c r="F1383" s="709">
        <v>2.0</v>
      </c>
      <c r="G1383" s="708" t="s">
        <v>495</v>
      </c>
      <c r="H1383" s="709">
        <v>85.0</v>
      </c>
      <c r="I1383" s="709">
        <v>250.0</v>
      </c>
      <c r="J1383" s="705">
        <f t="shared" si="1"/>
        <v>420</v>
      </c>
      <c r="K1383" s="705">
        <f t="shared" si="7"/>
        <v>1021</v>
      </c>
      <c r="L1383" s="705">
        <f t="shared" si="3"/>
        <v>1441</v>
      </c>
      <c r="M1383" s="706">
        <f t="shared" si="5"/>
        <v>720.5</v>
      </c>
    </row>
    <row r="1384">
      <c r="A1384" s="702" t="s">
        <v>34057</v>
      </c>
      <c r="B1384" s="702" t="s">
        <v>34027</v>
      </c>
      <c r="C1384" s="707"/>
      <c r="D1384" s="707"/>
      <c r="E1384" s="708" t="s">
        <v>6323</v>
      </c>
      <c r="F1384" s="709">
        <v>25.0</v>
      </c>
      <c r="G1384" s="708" t="s">
        <v>1082</v>
      </c>
      <c r="H1384" s="709">
        <v>50.0</v>
      </c>
      <c r="I1384" s="709">
        <v>250.0</v>
      </c>
      <c r="J1384" s="705">
        <f t="shared" si="1"/>
        <v>1500</v>
      </c>
      <c r="K1384" s="705">
        <f t="shared" si="7"/>
        <v>1075</v>
      </c>
      <c r="L1384" s="705">
        <f t="shared" si="3"/>
        <v>2575</v>
      </c>
      <c r="M1384" s="706">
        <f t="shared" si="5"/>
        <v>103</v>
      </c>
    </row>
    <row r="1385">
      <c r="A1385" s="702" t="s">
        <v>34057</v>
      </c>
      <c r="B1385" s="702" t="s">
        <v>34058</v>
      </c>
      <c r="C1385" s="707"/>
      <c r="D1385" s="707"/>
      <c r="E1385" s="708" t="s">
        <v>152</v>
      </c>
      <c r="F1385" s="709">
        <v>200.0</v>
      </c>
      <c r="G1385" s="708" t="s">
        <v>9266</v>
      </c>
      <c r="H1385" s="709">
        <v>21.0</v>
      </c>
      <c r="I1385" s="709">
        <v>500.0</v>
      </c>
      <c r="J1385" s="705">
        <f t="shared" si="1"/>
        <v>4700</v>
      </c>
      <c r="K1385" s="705">
        <f t="shared" si="7"/>
        <v>1235</v>
      </c>
      <c r="L1385" s="705">
        <f t="shared" si="3"/>
        <v>5935</v>
      </c>
      <c r="M1385" s="706">
        <f t="shared" si="5"/>
        <v>29.675</v>
      </c>
    </row>
    <row r="1386">
      <c r="A1386" s="702" t="s">
        <v>34057</v>
      </c>
      <c r="B1386" s="702" t="s">
        <v>34059</v>
      </c>
      <c r="C1386" s="707"/>
      <c r="D1386" s="707"/>
      <c r="E1386" s="708" t="s">
        <v>3864</v>
      </c>
      <c r="F1386" s="709">
        <v>10.0</v>
      </c>
      <c r="G1386" s="708" t="s">
        <v>1082</v>
      </c>
      <c r="H1386" s="709">
        <v>20.5</v>
      </c>
      <c r="I1386" s="709">
        <v>300.0</v>
      </c>
      <c r="J1386" s="705">
        <f t="shared" si="1"/>
        <v>505</v>
      </c>
      <c r="K1386" s="705">
        <f t="shared" si="7"/>
        <v>1025.25</v>
      </c>
      <c r="L1386" s="705">
        <f t="shared" si="3"/>
        <v>1530.25</v>
      </c>
      <c r="M1386" s="706">
        <f t="shared" si="5"/>
        <v>153.025</v>
      </c>
    </row>
    <row r="1387">
      <c r="A1387" s="702" t="s">
        <v>34057</v>
      </c>
      <c r="B1387" s="702" t="s">
        <v>34060</v>
      </c>
      <c r="C1387" s="707"/>
      <c r="D1387" s="707"/>
      <c r="E1387" s="708" t="s">
        <v>10409</v>
      </c>
      <c r="F1387" s="709">
        <v>10.0</v>
      </c>
      <c r="G1387" s="708" t="s">
        <v>507</v>
      </c>
      <c r="H1387" s="709">
        <v>21.0</v>
      </c>
      <c r="I1387" s="709">
        <v>300.0</v>
      </c>
      <c r="J1387" s="705">
        <f t="shared" si="1"/>
        <v>510</v>
      </c>
      <c r="K1387" s="705">
        <f t="shared" si="7"/>
        <v>1025.5</v>
      </c>
      <c r="L1387" s="705">
        <f t="shared" si="3"/>
        <v>1535.5</v>
      </c>
      <c r="M1387" s="706">
        <f t="shared" si="5"/>
        <v>153.55</v>
      </c>
    </row>
    <row r="1388">
      <c r="A1388" s="702" t="s">
        <v>34057</v>
      </c>
      <c r="B1388" s="702" t="s">
        <v>34061</v>
      </c>
      <c r="C1388" s="707"/>
      <c r="D1388" s="707"/>
      <c r="E1388" s="708" t="s">
        <v>10409</v>
      </c>
      <c r="F1388" s="709">
        <v>100.0</v>
      </c>
      <c r="G1388" s="708" t="s">
        <v>507</v>
      </c>
      <c r="H1388" s="709">
        <v>21.0</v>
      </c>
      <c r="I1388" s="709">
        <v>500.0</v>
      </c>
      <c r="J1388" s="705">
        <f t="shared" si="1"/>
        <v>2600</v>
      </c>
      <c r="K1388" s="705">
        <f t="shared" si="7"/>
        <v>1130</v>
      </c>
      <c r="L1388" s="705">
        <f t="shared" si="3"/>
        <v>3730</v>
      </c>
      <c r="M1388" s="706">
        <f t="shared" si="5"/>
        <v>37.3</v>
      </c>
    </row>
    <row r="1389">
      <c r="A1389" s="702" t="s">
        <v>34057</v>
      </c>
      <c r="B1389" s="702" t="s">
        <v>34062</v>
      </c>
      <c r="C1389" s="707"/>
      <c r="D1389" s="707"/>
      <c r="E1389" s="708" t="s">
        <v>116</v>
      </c>
      <c r="F1389" s="709">
        <v>1.0</v>
      </c>
      <c r="G1389" s="708" t="s">
        <v>507</v>
      </c>
      <c r="H1389" s="709">
        <v>69.0</v>
      </c>
      <c r="I1389" s="709">
        <v>200.0</v>
      </c>
      <c r="J1389" s="705">
        <f t="shared" si="1"/>
        <v>269</v>
      </c>
      <c r="K1389" s="705">
        <f t="shared" si="7"/>
        <v>1013.45</v>
      </c>
      <c r="L1389" s="705">
        <f t="shared" si="3"/>
        <v>1282.45</v>
      </c>
      <c r="M1389" s="706">
        <f t="shared" si="5"/>
        <v>1282.45</v>
      </c>
    </row>
    <row r="1390">
      <c r="A1390" s="702" t="s">
        <v>34057</v>
      </c>
      <c r="B1390" s="702" t="s">
        <v>34063</v>
      </c>
      <c r="C1390" s="707"/>
      <c r="D1390" s="707"/>
      <c r="E1390" s="708" t="s">
        <v>1749</v>
      </c>
      <c r="F1390" s="709">
        <v>10.0</v>
      </c>
      <c r="G1390" s="708" t="s">
        <v>1082</v>
      </c>
      <c r="H1390" s="709">
        <v>52.0</v>
      </c>
      <c r="I1390" s="709">
        <v>300.0</v>
      </c>
      <c r="J1390" s="705">
        <f t="shared" si="1"/>
        <v>820</v>
      </c>
      <c r="K1390" s="705">
        <f t="shared" si="7"/>
        <v>1041</v>
      </c>
      <c r="L1390" s="705">
        <f t="shared" si="3"/>
        <v>1861</v>
      </c>
      <c r="M1390" s="706">
        <f t="shared" si="5"/>
        <v>186.1</v>
      </c>
    </row>
    <row r="1391">
      <c r="A1391" s="702" t="s">
        <v>34057</v>
      </c>
      <c r="B1391" s="702" t="s">
        <v>34064</v>
      </c>
      <c r="C1391" s="707"/>
      <c r="D1391" s="707"/>
      <c r="E1391" s="708" t="s">
        <v>9634</v>
      </c>
      <c r="F1391" s="709">
        <v>1.0</v>
      </c>
      <c r="G1391" s="720" t="s">
        <v>507</v>
      </c>
      <c r="H1391" s="709">
        <v>19.6</v>
      </c>
      <c r="I1391" s="709">
        <v>250.0</v>
      </c>
      <c r="J1391" s="705">
        <f t="shared" si="1"/>
        <v>269.6</v>
      </c>
      <c r="K1391" s="705">
        <f t="shared" si="7"/>
        <v>1013.48</v>
      </c>
      <c r="L1391" s="705">
        <f t="shared" si="3"/>
        <v>1283.08</v>
      </c>
      <c r="M1391" s="706">
        <f t="shared" si="5"/>
        <v>1283.08</v>
      </c>
    </row>
    <row r="1392">
      <c r="A1392" s="702" t="s">
        <v>34057</v>
      </c>
      <c r="B1392" s="702" t="s">
        <v>34065</v>
      </c>
      <c r="C1392" s="707"/>
      <c r="D1392" s="707"/>
      <c r="E1392" s="708" t="s">
        <v>33996</v>
      </c>
      <c r="F1392" s="709">
        <v>10.0</v>
      </c>
      <c r="G1392" s="708" t="s">
        <v>2662</v>
      </c>
      <c r="H1392" s="709">
        <v>12.0</v>
      </c>
      <c r="I1392" s="709">
        <v>400.0</v>
      </c>
      <c r="J1392" s="705">
        <f t="shared" si="1"/>
        <v>520</v>
      </c>
      <c r="K1392" s="705">
        <f t="shared" si="7"/>
        <v>1026</v>
      </c>
      <c r="L1392" s="705">
        <f t="shared" si="3"/>
        <v>1546</v>
      </c>
      <c r="M1392" s="706">
        <f t="shared" si="5"/>
        <v>154.6</v>
      </c>
    </row>
    <row r="1393">
      <c r="A1393" s="702" t="s">
        <v>34057</v>
      </c>
      <c r="B1393" s="702" t="s">
        <v>34066</v>
      </c>
      <c r="C1393" s="707"/>
      <c r="D1393" s="707"/>
      <c r="E1393" s="708" t="s">
        <v>32720</v>
      </c>
      <c r="F1393" s="709">
        <v>1000.0</v>
      </c>
      <c r="G1393" s="708" t="s">
        <v>184</v>
      </c>
      <c r="H1393" s="709">
        <v>3.2</v>
      </c>
      <c r="I1393" s="709">
        <v>1000.0</v>
      </c>
      <c r="J1393" s="705">
        <f t="shared" si="1"/>
        <v>4200</v>
      </c>
      <c r="K1393" s="705">
        <f t="shared" si="7"/>
        <v>1210</v>
      </c>
      <c r="L1393" s="705">
        <f t="shared" si="3"/>
        <v>5410</v>
      </c>
      <c r="M1393" s="706">
        <f t="shared" si="5"/>
        <v>5.41</v>
      </c>
    </row>
    <row r="1394">
      <c r="A1394" s="702" t="s">
        <v>34057</v>
      </c>
      <c r="B1394" s="702" t="s">
        <v>34067</v>
      </c>
      <c r="C1394" s="707"/>
      <c r="D1394" s="707"/>
      <c r="E1394" s="708" t="s">
        <v>33996</v>
      </c>
      <c r="F1394" s="709">
        <v>10.0</v>
      </c>
      <c r="G1394" s="708" t="s">
        <v>99</v>
      </c>
      <c r="H1394" s="709">
        <v>12.0</v>
      </c>
      <c r="I1394" s="709">
        <v>400.0</v>
      </c>
      <c r="J1394" s="705">
        <f t="shared" si="1"/>
        <v>520</v>
      </c>
      <c r="K1394" s="705">
        <f t="shared" si="7"/>
        <v>1026</v>
      </c>
      <c r="L1394" s="705">
        <f t="shared" si="3"/>
        <v>1546</v>
      </c>
      <c r="M1394" s="706">
        <f t="shared" si="5"/>
        <v>154.6</v>
      </c>
    </row>
    <row r="1395">
      <c r="A1395" s="702" t="s">
        <v>34057</v>
      </c>
      <c r="B1395" s="702" t="s">
        <v>34068</v>
      </c>
      <c r="C1395" s="707"/>
      <c r="D1395" s="707"/>
      <c r="E1395" s="708" t="s">
        <v>5293</v>
      </c>
      <c r="F1395" s="709">
        <v>1000.0</v>
      </c>
      <c r="G1395" s="708" t="s">
        <v>184</v>
      </c>
      <c r="H1395" s="709">
        <v>67.0</v>
      </c>
      <c r="I1395" s="709">
        <v>1500.0</v>
      </c>
      <c r="J1395" s="705">
        <f t="shared" si="1"/>
        <v>68500</v>
      </c>
      <c r="K1395" s="705">
        <f t="shared" si="7"/>
        <v>4425</v>
      </c>
      <c r="L1395" s="705">
        <f t="shared" si="3"/>
        <v>72925</v>
      </c>
      <c r="M1395" s="706">
        <f t="shared" si="5"/>
        <v>72.925</v>
      </c>
    </row>
    <row r="1396">
      <c r="A1396" s="702" t="s">
        <v>34057</v>
      </c>
      <c r="B1396" s="702" t="s">
        <v>34069</v>
      </c>
      <c r="C1396" s="707"/>
      <c r="D1396" s="707"/>
      <c r="E1396" s="708" t="s">
        <v>9862</v>
      </c>
      <c r="F1396" s="709">
        <v>8000.0</v>
      </c>
      <c r="G1396" s="708" t="s">
        <v>278</v>
      </c>
      <c r="H1396" s="709">
        <v>60.0</v>
      </c>
      <c r="I1396" s="709">
        <v>8000.0</v>
      </c>
      <c r="J1396" s="705">
        <f t="shared" si="1"/>
        <v>488000</v>
      </c>
      <c r="K1396" s="705">
        <f t="shared" si="7"/>
        <v>25400</v>
      </c>
      <c r="L1396" s="705">
        <f t="shared" si="3"/>
        <v>513400</v>
      </c>
      <c r="M1396" s="706">
        <f t="shared" si="5"/>
        <v>64.175</v>
      </c>
    </row>
    <row r="1397">
      <c r="A1397" s="702" t="s">
        <v>34057</v>
      </c>
      <c r="B1397" s="702" t="s">
        <v>34070</v>
      </c>
      <c r="C1397" s="707"/>
      <c r="D1397" s="707"/>
      <c r="E1397" s="708" t="s">
        <v>14841</v>
      </c>
      <c r="F1397" s="709">
        <v>1050.0</v>
      </c>
      <c r="G1397" s="708" t="s">
        <v>1082</v>
      </c>
      <c r="H1397" s="709">
        <v>52.0</v>
      </c>
      <c r="I1397" s="709">
        <v>1500.0</v>
      </c>
      <c r="J1397" s="705">
        <f t="shared" si="1"/>
        <v>56100</v>
      </c>
      <c r="K1397" s="705">
        <f t="shared" si="7"/>
        <v>3805</v>
      </c>
      <c r="L1397" s="705">
        <f t="shared" si="3"/>
        <v>59905</v>
      </c>
      <c r="M1397" s="706">
        <f t="shared" si="5"/>
        <v>57.05238095</v>
      </c>
    </row>
    <row r="1398">
      <c r="A1398" s="702" t="s">
        <v>34057</v>
      </c>
      <c r="B1398" s="702" t="s">
        <v>34071</v>
      </c>
      <c r="C1398" s="707"/>
      <c r="D1398" s="707"/>
      <c r="E1398" s="708" t="s">
        <v>189</v>
      </c>
      <c r="F1398" s="709">
        <v>25000.0</v>
      </c>
      <c r="G1398" s="708" t="s">
        <v>1082</v>
      </c>
      <c r="H1398" s="709">
        <v>6.0</v>
      </c>
      <c r="I1398" s="705"/>
      <c r="J1398" s="705">
        <f t="shared" si="1"/>
        <v>150000</v>
      </c>
      <c r="K1398" s="705">
        <f t="shared" si="7"/>
        <v>8500</v>
      </c>
      <c r="L1398" s="705">
        <f t="shared" si="3"/>
        <v>158500</v>
      </c>
      <c r="M1398" s="706">
        <f t="shared" si="5"/>
        <v>6.34</v>
      </c>
    </row>
    <row r="1399">
      <c r="A1399" s="702" t="s">
        <v>34057</v>
      </c>
      <c r="B1399" s="702" t="s">
        <v>34072</v>
      </c>
      <c r="C1399" s="707"/>
      <c r="D1399" s="707"/>
      <c r="E1399" s="708" t="s">
        <v>2266</v>
      </c>
      <c r="F1399" s="709">
        <v>10000.0</v>
      </c>
      <c r="G1399" s="708" t="s">
        <v>1082</v>
      </c>
      <c r="H1399" s="709">
        <v>8.0</v>
      </c>
      <c r="I1399" s="705"/>
      <c r="J1399" s="705">
        <f t="shared" si="1"/>
        <v>80000</v>
      </c>
      <c r="K1399" s="705">
        <f t="shared" si="7"/>
        <v>5000</v>
      </c>
      <c r="L1399" s="705">
        <f t="shared" si="3"/>
        <v>85000</v>
      </c>
      <c r="M1399" s="706">
        <f t="shared" si="5"/>
        <v>8.5</v>
      </c>
    </row>
    <row r="1400">
      <c r="A1400" s="702" t="s">
        <v>34073</v>
      </c>
      <c r="B1400" s="702" t="s">
        <v>34074</v>
      </c>
      <c r="C1400" s="707"/>
      <c r="D1400" s="707"/>
      <c r="E1400" s="708" t="s">
        <v>4114</v>
      </c>
      <c r="F1400" s="709">
        <v>1.0</v>
      </c>
      <c r="G1400" s="708" t="s">
        <v>44</v>
      </c>
      <c r="H1400" s="709">
        <v>32.0</v>
      </c>
      <c r="I1400" s="709">
        <v>250.0</v>
      </c>
      <c r="J1400" s="705">
        <f t="shared" si="1"/>
        <v>282</v>
      </c>
      <c r="K1400" s="705">
        <f t="shared" si="7"/>
        <v>1014.1</v>
      </c>
      <c r="L1400" s="705">
        <f t="shared" si="3"/>
        <v>1296.1</v>
      </c>
      <c r="M1400" s="706">
        <f t="shared" si="5"/>
        <v>1296.1</v>
      </c>
    </row>
    <row r="1401">
      <c r="A1401" s="702" t="s">
        <v>34073</v>
      </c>
      <c r="B1401" s="702" t="s">
        <v>34075</v>
      </c>
      <c r="C1401" s="707"/>
      <c r="D1401" s="707"/>
      <c r="E1401" s="708" t="s">
        <v>5774</v>
      </c>
      <c r="F1401" s="709">
        <v>5.0</v>
      </c>
      <c r="G1401" s="708" t="s">
        <v>44</v>
      </c>
      <c r="H1401" s="709">
        <v>18.0</v>
      </c>
      <c r="I1401" s="709">
        <v>200.0</v>
      </c>
      <c r="J1401" s="705">
        <f t="shared" si="1"/>
        <v>290</v>
      </c>
      <c r="K1401" s="705">
        <f t="shared" si="7"/>
        <v>1014.5</v>
      </c>
      <c r="L1401" s="705">
        <f t="shared" si="3"/>
        <v>1304.5</v>
      </c>
      <c r="M1401" s="706">
        <f t="shared" si="5"/>
        <v>260.9</v>
      </c>
    </row>
    <row r="1402">
      <c r="A1402" s="702" t="s">
        <v>34073</v>
      </c>
      <c r="B1402" s="702" t="s">
        <v>34076</v>
      </c>
      <c r="C1402" s="707"/>
      <c r="D1402" s="707"/>
      <c r="E1402" s="708" t="s">
        <v>16923</v>
      </c>
      <c r="F1402" s="709">
        <v>1.0</v>
      </c>
      <c r="G1402" s="708" t="s">
        <v>519</v>
      </c>
      <c r="H1402" s="709">
        <v>85.0</v>
      </c>
      <c r="I1402" s="709">
        <v>200.0</v>
      </c>
      <c r="J1402" s="705">
        <f t="shared" si="1"/>
        <v>285</v>
      </c>
      <c r="K1402" s="705">
        <f t="shared" si="7"/>
        <v>1014.25</v>
      </c>
      <c r="L1402" s="705">
        <f t="shared" si="3"/>
        <v>1299.25</v>
      </c>
      <c r="M1402" s="706">
        <f t="shared" si="5"/>
        <v>1299.25</v>
      </c>
    </row>
    <row r="1403">
      <c r="A1403" s="702" t="s">
        <v>34073</v>
      </c>
      <c r="B1403" s="702" t="s">
        <v>33902</v>
      </c>
      <c r="C1403" s="707"/>
      <c r="D1403" s="707"/>
      <c r="E1403" s="708" t="s">
        <v>34077</v>
      </c>
      <c r="F1403" s="709">
        <v>1000.0</v>
      </c>
      <c r="G1403" s="708" t="s">
        <v>20765</v>
      </c>
      <c r="H1403" s="709">
        <v>7.5</v>
      </c>
      <c r="I1403" s="709">
        <v>1000.0</v>
      </c>
      <c r="J1403" s="705">
        <f t="shared" si="1"/>
        <v>8500</v>
      </c>
      <c r="K1403" s="705">
        <f t="shared" si="7"/>
        <v>1425</v>
      </c>
      <c r="L1403" s="705">
        <f t="shared" si="3"/>
        <v>9925</v>
      </c>
      <c r="M1403" s="706">
        <f t="shared" si="5"/>
        <v>9.925</v>
      </c>
    </row>
    <row r="1404">
      <c r="A1404" s="702" t="s">
        <v>34073</v>
      </c>
      <c r="B1404" s="702" t="s">
        <v>33902</v>
      </c>
      <c r="C1404" s="707"/>
      <c r="D1404" s="707"/>
      <c r="E1404" s="708" t="s">
        <v>167</v>
      </c>
      <c r="F1404" s="709">
        <v>6264.0</v>
      </c>
      <c r="G1404" s="708" t="s">
        <v>19795</v>
      </c>
      <c r="H1404" s="709">
        <v>12.0</v>
      </c>
      <c r="I1404" s="709">
        <v>6000.0</v>
      </c>
      <c r="J1404" s="705">
        <f t="shared" si="1"/>
        <v>81168</v>
      </c>
      <c r="K1404" s="705">
        <f t="shared" si="7"/>
        <v>5058.4</v>
      </c>
      <c r="L1404" s="705">
        <f t="shared" si="3"/>
        <v>86226.4</v>
      </c>
      <c r="M1404" s="706">
        <f t="shared" si="5"/>
        <v>13.76538953</v>
      </c>
    </row>
    <row r="1405">
      <c r="A1405" s="702" t="s">
        <v>34073</v>
      </c>
      <c r="B1405" s="702" t="s">
        <v>33902</v>
      </c>
      <c r="C1405" s="707"/>
      <c r="D1405" s="707"/>
      <c r="E1405" s="708" t="s">
        <v>130</v>
      </c>
      <c r="F1405" s="709">
        <v>300.0</v>
      </c>
      <c r="G1405" s="708" t="s">
        <v>20765</v>
      </c>
      <c r="H1405" s="709">
        <v>25.0</v>
      </c>
      <c r="I1405" s="709">
        <v>500.0</v>
      </c>
      <c r="J1405" s="705">
        <f t="shared" si="1"/>
        <v>8000</v>
      </c>
      <c r="K1405" s="705">
        <f t="shared" si="7"/>
        <v>1400</v>
      </c>
      <c r="L1405" s="705">
        <f t="shared" si="3"/>
        <v>9400</v>
      </c>
      <c r="M1405" s="706">
        <f t="shared" si="5"/>
        <v>31.33333333</v>
      </c>
    </row>
    <row r="1406">
      <c r="A1406" s="702" t="s">
        <v>34073</v>
      </c>
      <c r="B1406" s="702" t="s">
        <v>33902</v>
      </c>
      <c r="C1406" s="707"/>
      <c r="D1406" s="707"/>
      <c r="E1406" s="708" t="s">
        <v>34078</v>
      </c>
      <c r="F1406" s="709">
        <v>1000.0</v>
      </c>
      <c r="G1406" s="708" t="s">
        <v>20765</v>
      </c>
      <c r="H1406" s="709">
        <v>4.4</v>
      </c>
      <c r="I1406" s="709">
        <v>1000.0</v>
      </c>
      <c r="J1406" s="705">
        <f t="shared" si="1"/>
        <v>5400</v>
      </c>
      <c r="K1406" s="705">
        <f t="shared" si="7"/>
        <v>1270</v>
      </c>
      <c r="L1406" s="705">
        <f t="shared" si="3"/>
        <v>6670</v>
      </c>
      <c r="M1406" s="706">
        <f t="shared" si="5"/>
        <v>6.67</v>
      </c>
    </row>
    <row r="1407">
      <c r="A1407" s="702" t="s">
        <v>34073</v>
      </c>
      <c r="B1407" s="702" t="s">
        <v>33902</v>
      </c>
      <c r="C1407" s="707"/>
      <c r="D1407" s="707"/>
      <c r="E1407" s="708" t="s">
        <v>34079</v>
      </c>
      <c r="F1407" s="709">
        <v>1000.0</v>
      </c>
      <c r="G1407" s="708" t="s">
        <v>507</v>
      </c>
      <c r="H1407" s="709">
        <v>22.0</v>
      </c>
      <c r="I1407" s="709">
        <v>1000.0</v>
      </c>
      <c r="J1407" s="705">
        <f t="shared" si="1"/>
        <v>23000</v>
      </c>
      <c r="K1407" s="705">
        <f t="shared" si="7"/>
        <v>2150</v>
      </c>
      <c r="L1407" s="705">
        <f t="shared" si="3"/>
        <v>25150</v>
      </c>
      <c r="M1407" s="706">
        <f t="shared" si="5"/>
        <v>25.15</v>
      </c>
    </row>
    <row r="1408">
      <c r="A1408" s="702" t="s">
        <v>34073</v>
      </c>
      <c r="B1408" s="702" t="s">
        <v>33902</v>
      </c>
      <c r="C1408" s="707"/>
      <c r="D1408" s="707"/>
      <c r="E1408" s="708" t="s">
        <v>34080</v>
      </c>
      <c r="F1408" s="709">
        <v>1000.0</v>
      </c>
      <c r="G1408" s="708" t="s">
        <v>34081</v>
      </c>
      <c r="H1408" s="709">
        <v>125.0</v>
      </c>
      <c r="I1408" s="709">
        <v>1000.0</v>
      </c>
      <c r="J1408" s="705">
        <f t="shared" si="1"/>
        <v>126000</v>
      </c>
      <c r="K1408" s="705">
        <f t="shared" si="7"/>
        <v>7300</v>
      </c>
      <c r="L1408" s="705">
        <f t="shared" si="3"/>
        <v>133300</v>
      </c>
      <c r="M1408" s="706">
        <f t="shared" si="5"/>
        <v>133.3</v>
      </c>
    </row>
    <row r="1409">
      <c r="A1409" s="702" t="s">
        <v>34073</v>
      </c>
      <c r="B1409" s="702" t="s">
        <v>33902</v>
      </c>
      <c r="C1409" s="707"/>
      <c r="D1409" s="707"/>
      <c r="E1409" s="708" t="s">
        <v>3615</v>
      </c>
      <c r="F1409" s="709">
        <v>1000.0</v>
      </c>
      <c r="G1409" s="708" t="s">
        <v>34081</v>
      </c>
      <c r="H1409" s="709">
        <v>34.0</v>
      </c>
      <c r="I1409" s="709">
        <v>1000.0</v>
      </c>
      <c r="J1409" s="705">
        <f t="shared" si="1"/>
        <v>35000</v>
      </c>
      <c r="K1409" s="705">
        <f t="shared" si="7"/>
        <v>2750</v>
      </c>
      <c r="L1409" s="705">
        <f t="shared" si="3"/>
        <v>37750</v>
      </c>
      <c r="M1409" s="706">
        <f t="shared" si="5"/>
        <v>37.75</v>
      </c>
    </row>
    <row r="1410">
      <c r="A1410" s="702" t="s">
        <v>34073</v>
      </c>
      <c r="B1410" s="702" t="s">
        <v>34082</v>
      </c>
      <c r="C1410" s="707"/>
      <c r="D1410" s="707"/>
      <c r="E1410" s="708" t="s">
        <v>152</v>
      </c>
      <c r="F1410" s="709">
        <v>200.0</v>
      </c>
      <c r="G1410" s="708" t="s">
        <v>467</v>
      </c>
      <c r="H1410" s="709">
        <v>21.0</v>
      </c>
      <c r="I1410" s="709">
        <v>500.0</v>
      </c>
      <c r="J1410" s="705">
        <f t="shared" si="1"/>
        <v>4700</v>
      </c>
      <c r="K1410" s="705">
        <f t="shared" si="7"/>
        <v>1235</v>
      </c>
      <c r="L1410" s="705">
        <f t="shared" si="3"/>
        <v>5935</v>
      </c>
      <c r="M1410" s="706">
        <f t="shared" si="5"/>
        <v>29.675</v>
      </c>
    </row>
    <row r="1411">
      <c r="A1411" s="702" t="s">
        <v>34073</v>
      </c>
      <c r="B1411" s="702" t="s">
        <v>33902</v>
      </c>
      <c r="C1411" s="707"/>
      <c r="D1411" s="707"/>
      <c r="E1411" s="708" t="s">
        <v>83</v>
      </c>
      <c r="F1411" s="709">
        <v>1000.0</v>
      </c>
      <c r="G1411" s="708" t="s">
        <v>3216</v>
      </c>
      <c r="H1411" s="709">
        <v>33.0</v>
      </c>
      <c r="I1411" s="709">
        <v>1000.0</v>
      </c>
      <c r="J1411" s="705">
        <f t="shared" si="1"/>
        <v>34000</v>
      </c>
      <c r="K1411" s="705">
        <f t="shared" si="7"/>
        <v>2700</v>
      </c>
      <c r="L1411" s="705">
        <f t="shared" si="3"/>
        <v>36700</v>
      </c>
      <c r="M1411" s="706">
        <f t="shared" si="5"/>
        <v>36.7</v>
      </c>
    </row>
    <row r="1412">
      <c r="A1412" s="702" t="s">
        <v>34073</v>
      </c>
      <c r="B1412" s="702" t="s">
        <v>33902</v>
      </c>
      <c r="C1412" s="707"/>
      <c r="D1412" s="707"/>
      <c r="E1412" s="708" t="s">
        <v>1749</v>
      </c>
      <c r="F1412" s="709">
        <v>25.0</v>
      </c>
      <c r="G1412" s="708" t="s">
        <v>638</v>
      </c>
      <c r="H1412" s="709">
        <v>52.0</v>
      </c>
      <c r="I1412" s="709">
        <v>300.0</v>
      </c>
      <c r="J1412" s="705">
        <f t="shared" si="1"/>
        <v>1600</v>
      </c>
      <c r="K1412" s="705">
        <f t="shared" si="7"/>
        <v>1080</v>
      </c>
      <c r="L1412" s="705">
        <f t="shared" si="3"/>
        <v>2680</v>
      </c>
      <c r="M1412" s="706">
        <f t="shared" si="5"/>
        <v>107.2</v>
      </c>
    </row>
    <row r="1413">
      <c r="A1413" s="702" t="s">
        <v>34073</v>
      </c>
      <c r="B1413" s="702" t="s">
        <v>33902</v>
      </c>
      <c r="C1413" s="707"/>
      <c r="D1413" s="707"/>
      <c r="E1413" s="708" t="s">
        <v>116</v>
      </c>
      <c r="F1413" s="709">
        <v>10000.0</v>
      </c>
      <c r="G1413" s="708" t="s">
        <v>507</v>
      </c>
      <c r="H1413" s="709">
        <v>66.0</v>
      </c>
      <c r="I1413" s="705"/>
      <c r="J1413" s="705">
        <f t="shared" si="1"/>
        <v>660000</v>
      </c>
      <c r="K1413" s="705">
        <f t="shared" si="7"/>
        <v>34000</v>
      </c>
      <c r="L1413" s="705">
        <f t="shared" si="3"/>
        <v>694000</v>
      </c>
      <c r="M1413" s="706">
        <f t="shared" si="5"/>
        <v>69.4</v>
      </c>
    </row>
    <row r="1414">
      <c r="A1414" s="702" t="s">
        <v>34073</v>
      </c>
      <c r="B1414" s="702" t="s">
        <v>33902</v>
      </c>
      <c r="C1414" s="707"/>
      <c r="D1414" s="707"/>
      <c r="E1414" s="708" t="s">
        <v>34079</v>
      </c>
      <c r="F1414" s="709">
        <v>1000.0</v>
      </c>
      <c r="G1414" s="708" t="s">
        <v>20765</v>
      </c>
      <c r="H1414" s="709">
        <v>22.0</v>
      </c>
      <c r="I1414" s="709">
        <v>1000.0</v>
      </c>
      <c r="J1414" s="705">
        <f t="shared" si="1"/>
        <v>23000</v>
      </c>
      <c r="K1414" s="705">
        <f t="shared" si="7"/>
        <v>2150</v>
      </c>
      <c r="L1414" s="705">
        <f t="shared" si="3"/>
        <v>25150</v>
      </c>
      <c r="M1414" s="706">
        <f t="shared" si="5"/>
        <v>25.15</v>
      </c>
    </row>
    <row r="1415">
      <c r="A1415" s="702" t="s">
        <v>34073</v>
      </c>
      <c r="B1415" s="702" t="s">
        <v>33902</v>
      </c>
      <c r="C1415" s="707"/>
      <c r="D1415" s="707"/>
      <c r="E1415" s="708" t="s">
        <v>34083</v>
      </c>
      <c r="F1415" s="709">
        <v>1000.0</v>
      </c>
      <c r="G1415" s="708" t="s">
        <v>519</v>
      </c>
      <c r="H1415" s="709">
        <v>25.0</v>
      </c>
      <c r="I1415" s="709">
        <v>1500.0</v>
      </c>
      <c r="J1415" s="705">
        <f t="shared" si="1"/>
        <v>26500</v>
      </c>
      <c r="K1415" s="705">
        <f t="shared" si="7"/>
        <v>2325</v>
      </c>
      <c r="L1415" s="705">
        <f t="shared" si="3"/>
        <v>28825</v>
      </c>
      <c r="M1415" s="706">
        <f t="shared" si="5"/>
        <v>28.825</v>
      </c>
    </row>
    <row r="1416">
      <c r="A1416" s="702" t="s">
        <v>34073</v>
      </c>
      <c r="B1416" s="702" t="s">
        <v>33902</v>
      </c>
      <c r="C1416" s="707"/>
      <c r="D1416" s="707"/>
      <c r="E1416" s="708" t="s">
        <v>7057</v>
      </c>
      <c r="F1416" s="709">
        <v>2.0</v>
      </c>
      <c r="G1416" s="708" t="s">
        <v>34084</v>
      </c>
      <c r="H1416" s="709">
        <v>135.0</v>
      </c>
      <c r="I1416" s="709">
        <v>100.0</v>
      </c>
      <c r="J1416" s="705">
        <f t="shared" si="1"/>
        <v>370</v>
      </c>
      <c r="K1416" s="705">
        <f t="shared" si="7"/>
        <v>1018.5</v>
      </c>
      <c r="L1416" s="705">
        <f t="shared" si="3"/>
        <v>1388.5</v>
      </c>
      <c r="M1416" s="706">
        <f t="shared" si="5"/>
        <v>694.25</v>
      </c>
    </row>
    <row r="1417">
      <c r="A1417" s="702" t="s">
        <v>34073</v>
      </c>
      <c r="B1417" s="702" t="s">
        <v>34085</v>
      </c>
      <c r="C1417" s="707"/>
      <c r="D1417" s="707"/>
      <c r="E1417" s="708" t="s">
        <v>189</v>
      </c>
      <c r="F1417" s="709">
        <v>1000.0</v>
      </c>
      <c r="G1417" s="708" t="s">
        <v>20765</v>
      </c>
      <c r="H1417" s="709">
        <v>6.0</v>
      </c>
      <c r="I1417" s="709">
        <v>1000.0</v>
      </c>
      <c r="J1417" s="705">
        <f t="shared" si="1"/>
        <v>7000</v>
      </c>
      <c r="K1417" s="705">
        <f t="shared" si="7"/>
        <v>1350</v>
      </c>
      <c r="L1417" s="705">
        <f t="shared" si="3"/>
        <v>8350</v>
      </c>
      <c r="M1417" s="706">
        <f t="shared" si="5"/>
        <v>8.35</v>
      </c>
    </row>
    <row r="1418">
      <c r="A1418" s="702" t="s">
        <v>34073</v>
      </c>
      <c r="B1418" s="702" t="s">
        <v>33902</v>
      </c>
      <c r="C1418" s="707"/>
      <c r="D1418" s="707"/>
      <c r="E1418" s="708" t="s">
        <v>167</v>
      </c>
      <c r="F1418" s="709">
        <v>50.0</v>
      </c>
      <c r="G1418" s="708" t="s">
        <v>507</v>
      </c>
      <c r="H1418" s="709">
        <v>12.0</v>
      </c>
      <c r="I1418" s="709">
        <v>500.0</v>
      </c>
      <c r="J1418" s="705">
        <f t="shared" si="1"/>
        <v>1100</v>
      </c>
      <c r="K1418" s="705">
        <f t="shared" si="7"/>
        <v>1055</v>
      </c>
      <c r="L1418" s="705">
        <f t="shared" si="3"/>
        <v>2155</v>
      </c>
      <c r="M1418" s="706">
        <f t="shared" si="5"/>
        <v>43.1</v>
      </c>
    </row>
    <row r="1419">
      <c r="A1419" s="702" t="s">
        <v>34073</v>
      </c>
      <c r="B1419" s="702" t="s">
        <v>34085</v>
      </c>
      <c r="C1419" s="707"/>
      <c r="D1419" s="707"/>
      <c r="E1419" s="708" t="s">
        <v>33406</v>
      </c>
      <c r="F1419" s="709">
        <v>10.0</v>
      </c>
      <c r="G1419" s="708" t="s">
        <v>2882</v>
      </c>
      <c r="H1419" s="709">
        <v>28.5</v>
      </c>
      <c r="I1419" s="709">
        <v>400.0</v>
      </c>
      <c r="J1419" s="705">
        <f t="shared" si="1"/>
        <v>685</v>
      </c>
      <c r="K1419" s="705">
        <f t="shared" si="7"/>
        <v>1034.25</v>
      </c>
      <c r="L1419" s="705">
        <f t="shared" si="3"/>
        <v>1719.25</v>
      </c>
      <c r="M1419" s="706">
        <f t="shared" si="5"/>
        <v>171.925</v>
      </c>
    </row>
    <row r="1420">
      <c r="A1420" s="702" t="s">
        <v>34073</v>
      </c>
      <c r="B1420" s="702" t="s">
        <v>34086</v>
      </c>
      <c r="C1420" s="707"/>
      <c r="D1420" s="707"/>
      <c r="E1420" s="708" t="s">
        <v>34087</v>
      </c>
      <c r="F1420" s="709">
        <v>50000.0</v>
      </c>
      <c r="G1420" s="708" t="s">
        <v>519</v>
      </c>
      <c r="H1420" s="709">
        <v>25.0</v>
      </c>
      <c r="I1420" s="705"/>
      <c r="J1420" s="705">
        <f t="shared" si="1"/>
        <v>1250000</v>
      </c>
      <c r="K1420" s="705">
        <f t="shared" si="7"/>
        <v>63500</v>
      </c>
      <c r="L1420" s="705">
        <f t="shared" si="3"/>
        <v>1313500</v>
      </c>
      <c r="M1420" s="706">
        <f t="shared" si="5"/>
        <v>26.27</v>
      </c>
    </row>
    <row r="1421">
      <c r="A1421" s="702" t="s">
        <v>34073</v>
      </c>
      <c r="B1421" s="702" t="s">
        <v>34088</v>
      </c>
      <c r="C1421" s="707"/>
      <c r="D1421" s="707"/>
      <c r="E1421" s="708" t="s">
        <v>10433</v>
      </c>
      <c r="F1421" s="709">
        <v>50.0</v>
      </c>
      <c r="G1421" s="708" t="s">
        <v>2682</v>
      </c>
      <c r="H1421" s="709">
        <v>85.0</v>
      </c>
      <c r="I1421" s="709">
        <v>1000.0</v>
      </c>
      <c r="J1421" s="705">
        <f t="shared" si="1"/>
        <v>5250</v>
      </c>
      <c r="K1421" s="705">
        <f t="shared" si="7"/>
        <v>1262.5</v>
      </c>
      <c r="L1421" s="705">
        <f t="shared" si="3"/>
        <v>6512.5</v>
      </c>
      <c r="M1421" s="706">
        <f t="shared" si="5"/>
        <v>130.25</v>
      </c>
    </row>
    <row r="1422">
      <c r="A1422" s="702" t="s">
        <v>34073</v>
      </c>
      <c r="B1422" s="702" t="s">
        <v>34089</v>
      </c>
      <c r="C1422" s="707"/>
      <c r="D1422" s="707"/>
      <c r="E1422" s="708" t="s">
        <v>12182</v>
      </c>
      <c r="F1422" s="709">
        <v>250000.0</v>
      </c>
      <c r="G1422" s="708" t="s">
        <v>34090</v>
      </c>
      <c r="H1422" s="709">
        <v>45.0</v>
      </c>
      <c r="I1422" s="705"/>
      <c r="J1422" s="705">
        <f t="shared" si="1"/>
        <v>11250000</v>
      </c>
      <c r="K1422" s="705">
        <f t="shared" si="7"/>
        <v>563500</v>
      </c>
      <c r="L1422" s="705">
        <f t="shared" si="3"/>
        <v>11813500</v>
      </c>
      <c r="M1422" s="706">
        <f t="shared" si="5"/>
        <v>47.254</v>
      </c>
    </row>
    <row r="1423">
      <c r="A1423" s="702" t="s">
        <v>34073</v>
      </c>
      <c r="B1423" s="702" t="s">
        <v>34091</v>
      </c>
      <c r="C1423" s="707"/>
      <c r="D1423" s="707"/>
      <c r="E1423" s="708" t="s">
        <v>32795</v>
      </c>
      <c r="F1423" s="709">
        <v>5.0</v>
      </c>
      <c r="G1423" s="708" t="s">
        <v>20765</v>
      </c>
      <c r="H1423" s="709">
        <v>52.0</v>
      </c>
      <c r="I1423" s="709">
        <v>250.0</v>
      </c>
      <c r="J1423" s="705">
        <f t="shared" si="1"/>
        <v>510</v>
      </c>
      <c r="K1423" s="705">
        <f t="shared" si="7"/>
        <v>1025.5</v>
      </c>
      <c r="L1423" s="705">
        <f t="shared" si="3"/>
        <v>1535.5</v>
      </c>
      <c r="M1423" s="706">
        <f t="shared" si="5"/>
        <v>307.1</v>
      </c>
    </row>
    <row r="1424">
      <c r="A1424" s="702" t="s">
        <v>34073</v>
      </c>
      <c r="B1424" s="702" t="s">
        <v>34092</v>
      </c>
      <c r="C1424" s="707"/>
      <c r="D1424" s="707"/>
      <c r="E1424" s="708" t="s">
        <v>34093</v>
      </c>
      <c r="F1424" s="721">
        <v>200000.0</v>
      </c>
      <c r="G1424" s="720" t="s">
        <v>18010</v>
      </c>
      <c r="H1424" s="709">
        <v>10.0</v>
      </c>
      <c r="I1424" s="705"/>
      <c r="J1424" s="705">
        <f t="shared" si="1"/>
        <v>2000000</v>
      </c>
      <c r="K1424" s="705">
        <f t="shared" si="7"/>
        <v>101000</v>
      </c>
      <c r="L1424" s="705">
        <f t="shared" si="3"/>
        <v>2101000</v>
      </c>
      <c r="M1424" s="706">
        <f t="shared" si="5"/>
        <v>10.505</v>
      </c>
    </row>
    <row r="1425">
      <c r="A1425" s="702" t="s">
        <v>34073</v>
      </c>
      <c r="B1425" s="702" t="s">
        <v>34092</v>
      </c>
      <c r="C1425" s="707"/>
      <c r="D1425" s="707"/>
      <c r="E1425" s="708" t="s">
        <v>34094</v>
      </c>
      <c r="F1425" s="709">
        <v>200000.0</v>
      </c>
      <c r="G1425" s="708" t="s">
        <v>18010</v>
      </c>
      <c r="H1425" s="709">
        <v>4.1</v>
      </c>
      <c r="I1425" s="705"/>
      <c r="J1425" s="705">
        <f t="shared" si="1"/>
        <v>820000</v>
      </c>
      <c r="K1425" s="705">
        <f t="shared" si="7"/>
        <v>42000</v>
      </c>
      <c r="L1425" s="705">
        <f t="shared" si="3"/>
        <v>862000</v>
      </c>
      <c r="M1425" s="706">
        <f t="shared" si="5"/>
        <v>4.31</v>
      </c>
    </row>
    <row r="1426">
      <c r="A1426" s="702" t="s">
        <v>34073</v>
      </c>
      <c r="B1426" s="702" t="s">
        <v>34053</v>
      </c>
      <c r="C1426" s="707"/>
      <c r="D1426" s="707"/>
      <c r="E1426" s="708" t="s">
        <v>21041</v>
      </c>
      <c r="F1426" s="709">
        <v>1000.0</v>
      </c>
      <c r="G1426" s="708" t="s">
        <v>1337</v>
      </c>
      <c r="H1426" s="709">
        <v>30.0</v>
      </c>
      <c r="I1426" s="709">
        <v>1000.0</v>
      </c>
      <c r="J1426" s="705">
        <f t="shared" si="1"/>
        <v>31000</v>
      </c>
      <c r="K1426" s="705">
        <f t="shared" si="7"/>
        <v>2550</v>
      </c>
      <c r="L1426" s="705">
        <f t="shared" si="3"/>
        <v>33550</v>
      </c>
      <c r="M1426" s="706">
        <f t="shared" si="5"/>
        <v>33.55</v>
      </c>
    </row>
    <row r="1427">
      <c r="A1427" s="702" t="s">
        <v>34073</v>
      </c>
      <c r="B1427" s="702" t="s">
        <v>34053</v>
      </c>
      <c r="C1427" s="707"/>
      <c r="D1427" s="707"/>
      <c r="E1427" s="708" t="s">
        <v>34095</v>
      </c>
      <c r="F1427" s="709">
        <v>1000.0</v>
      </c>
      <c r="G1427" s="708" t="s">
        <v>1337</v>
      </c>
      <c r="H1427" s="709">
        <v>7.5</v>
      </c>
      <c r="I1427" s="709">
        <v>1000.0</v>
      </c>
      <c r="J1427" s="705">
        <f t="shared" si="1"/>
        <v>8500</v>
      </c>
      <c r="K1427" s="705">
        <f t="shared" si="7"/>
        <v>1425</v>
      </c>
      <c r="L1427" s="705">
        <f t="shared" si="3"/>
        <v>9925</v>
      </c>
      <c r="M1427" s="706">
        <f t="shared" si="5"/>
        <v>9.925</v>
      </c>
    </row>
    <row r="1428">
      <c r="A1428" s="702" t="s">
        <v>34073</v>
      </c>
      <c r="B1428" s="702" t="s">
        <v>34053</v>
      </c>
      <c r="C1428" s="707"/>
      <c r="D1428" s="707"/>
      <c r="E1428" s="708" t="s">
        <v>63</v>
      </c>
      <c r="F1428" s="709">
        <v>1000.0</v>
      </c>
      <c r="G1428" s="708" t="s">
        <v>1337</v>
      </c>
      <c r="H1428" s="709">
        <v>14.0</v>
      </c>
      <c r="I1428" s="709">
        <v>1000.0</v>
      </c>
      <c r="J1428" s="705">
        <f t="shared" si="1"/>
        <v>15000</v>
      </c>
      <c r="K1428" s="705">
        <f t="shared" si="7"/>
        <v>1750</v>
      </c>
      <c r="L1428" s="705">
        <f t="shared" si="3"/>
        <v>16750</v>
      </c>
      <c r="M1428" s="706">
        <f t="shared" si="5"/>
        <v>16.75</v>
      </c>
    </row>
    <row r="1429">
      <c r="A1429" s="702" t="s">
        <v>34073</v>
      </c>
      <c r="B1429" s="702" t="s">
        <v>34096</v>
      </c>
      <c r="C1429" s="707"/>
      <c r="D1429" s="707"/>
      <c r="E1429" s="708" t="s">
        <v>130</v>
      </c>
      <c r="F1429" s="709">
        <v>25000.0</v>
      </c>
      <c r="G1429" s="708" t="s">
        <v>9359</v>
      </c>
      <c r="H1429" s="709">
        <v>25.0</v>
      </c>
      <c r="I1429" s="705"/>
      <c r="J1429" s="705">
        <f t="shared" si="1"/>
        <v>625000</v>
      </c>
      <c r="K1429" s="705">
        <f t="shared" si="7"/>
        <v>32250</v>
      </c>
      <c r="L1429" s="705">
        <f t="shared" si="3"/>
        <v>657250</v>
      </c>
      <c r="M1429" s="706">
        <f t="shared" si="5"/>
        <v>26.29</v>
      </c>
    </row>
    <row r="1430">
      <c r="A1430" s="702" t="s">
        <v>34097</v>
      </c>
      <c r="B1430" s="702" t="s">
        <v>33902</v>
      </c>
      <c r="C1430" s="707"/>
      <c r="D1430" s="707"/>
      <c r="E1430" s="708" t="s">
        <v>33996</v>
      </c>
      <c r="F1430" s="709">
        <v>1000.0</v>
      </c>
      <c r="G1430" s="708" t="s">
        <v>507</v>
      </c>
      <c r="H1430" s="709">
        <v>12.0</v>
      </c>
      <c r="I1430" s="709">
        <v>1000.0</v>
      </c>
      <c r="J1430" s="705">
        <f t="shared" si="1"/>
        <v>13000</v>
      </c>
      <c r="K1430" s="705">
        <f t="shared" si="7"/>
        <v>1650</v>
      </c>
      <c r="L1430" s="705">
        <f t="shared" si="3"/>
        <v>14650</v>
      </c>
      <c r="M1430" s="706">
        <f t="shared" si="5"/>
        <v>14.65</v>
      </c>
    </row>
    <row r="1431">
      <c r="A1431" s="702" t="s">
        <v>34097</v>
      </c>
      <c r="B1431" s="702" t="s">
        <v>33902</v>
      </c>
      <c r="C1431" s="707"/>
      <c r="D1431" s="707"/>
      <c r="E1431" s="708" t="s">
        <v>14677</v>
      </c>
      <c r="F1431" s="709">
        <v>100.0</v>
      </c>
      <c r="G1431" s="708" t="s">
        <v>20765</v>
      </c>
      <c r="H1431" s="709">
        <v>46.0</v>
      </c>
      <c r="I1431" s="709">
        <v>500.0</v>
      </c>
      <c r="J1431" s="705">
        <f t="shared" si="1"/>
        <v>5100</v>
      </c>
      <c r="K1431" s="705">
        <f t="shared" si="7"/>
        <v>1255</v>
      </c>
      <c r="L1431" s="705">
        <f t="shared" si="3"/>
        <v>6355</v>
      </c>
      <c r="M1431" s="706">
        <f t="shared" si="5"/>
        <v>63.55</v>
      </c>
    </row>
    <row r="1432">
      <c r="A1432" s="702" t="s">
        <v>34097</v>
      </c>
      <c r="B1432" s="702" t="s">
        <v>33902</v>
      </c>
      <c r="C1432" s="707"/>
      <c r="D1432" s="707"/>
      <c r="E1432" s="708" t="s">
        <v>33152</v>
      </c>
      <c r="F1432" s="709">
        <v>2000.0</v>
      </c>
      <c r="G1432" s="708" t="s">
        <v>20765</v>
      </c>
      <c r="H1432" s="709">
        <v>25.0</v>
      </c>
      <c r="I1432" s="709">
        <v>2000.0</v>
      </c>
      <c r="J1432" s="705">
        <f t="shared" si="1"/>
        <v>52000</v>
      </c>
      <c r="K1432" s="705">
        <f t="shared" si="7"/>
        <v>3600</v>
      </c>
      <c r="L1432" s="705">
        <f t="shared" si="3"/>
        <v>55600</v>
      </c>
      <c r="M1432" s="706">
        <f t="shared" si="5"/>
        <v>27.8</v>
      </c>
    </row>
    <row r="1433">
      <c r="A1433" s="702" t="s">
        <v>34097</v>
      </c>
      <c r="B1433" s="702" t="s">
        <v>33902</v>
      </c>
      <c r="C1433" s="707"/>
      <c r="D1433" s="707"/>
      <c r="E1433" s="708" t="s">
        <v>19875</v>
      </c>
      <c r="F1433" s="709">
        <v>15000.0</v>
      </c>
      <c r="G1433" s="708" t="s">
        <v>34098</v>
      </c>
      <c r="H1433" s="709">
        <v>25.0</v>
      </c>
      <c r="I1433" s="709">
        <v>0.0</v>
      </c>
      <c r="J1433" s="705">
        <f t="shared" si="1"/>
        <v>375000</v>
      </c>
      <c r="K1433" s="705">
        <f t="shared" si="7"/>
        <v>19750</v>
      </c>
      <c r="L1433" s="705">
        <f t="shared" si="3"/>
        <v>394750</v>
      </c>
      <c r="M1433" s="706">
        <f t="shared" si="5"/>
        <v>26.31666667</v>
      </c>
    </row>
    <row r="1434">
      <c r="A1434" s="702" t="s">
        <v>34097</v>
      </c>
      <c r="B1434" s="702" t="s">
        <v>33902</v>
      </c>
      <c r="C1434" s="707"/>
      <c r="D1434" s="707"/>
      <c r="E1434" s="708" t="s">
        <v>34099</v>
      </c>
      <c r="F1434" s="709">
        <v>1.0</v>
      </c>
      <c r="G1434" s="708" t="s">
        <v>20765</v>
      </c>
      <c r="H1434" s="709">
        <v>640.0</v>
      </c>
      <c r="I1434" s="705">
        <v>200.0</v>
      </c>
      <c r="J1434" s="705">
        <f t="shared" si="1"/>
        <v>840</v>
      </c>
      <c r="K1434" s="705">
        <f t="shared" si="7"/>
        <v>1042</v>
      </c>
      <c r="L1434" s="705">
        <f t="shared" si="3"/>
        <v>1882</v>
      </c>
      <c r="M1434" s="706">
        <f t="shared" si="5"/>
        <v>1882</v>
      </c>
    </row>
    <row r="1435">
      <c r="A1435" s="702" t="s">
        <v>34097</v>
      </c>
      <c r="B1435" s="702" t="s">
        <v>33902</v>
      </c>
      <c r="C1435" s="707"/>
      <c r="D1435" s="707"/>
      <c r="E1435" s="708" t="s">
        <v>10409</v>
      </c>
      <c r="F1435" s="709">
        <v>1000.0</v>
      </c>
      <c r="G1435" s="708" t="s">
        <v>507</v>
      </c>
      <c r="H1435" s="709">
        <v>22.0</v>
      </c>
      <c r="I1435" s="709">
        <v>1000.0</v>
      </c>
      <c r="J1435" s="705">
        <f t="shared" si="1"/>
        <v>23000</v>
      </c>
      <c r="K1435" s="705">
        <f t="shared" si="7"/>
        <v>2150</v>
      </c>
      <c r="L1435" s="705">
        <f t="shared" si="3"/>
        <v>25150</v>
      </c>
      <c r="M1435" s="706">
        <f t="shared" si="5"/>
        <v>25.15</v>
      </c>
    </row>
    <row r="1436">
      <c r="A1436" s="702" t="s">
        <v>34097</v>
      </c>
      <c r="B1436" s="702" t="s">
        <v>34100</v>
      </c>
      <c r="C1436" s="707"/>
      <c r="D1436" s="707"/>
      <c r="E1436" s="708" t="s">
        <v>152</v>
      </c>
      <c r="F1436" s="709">
        <v>10.0</v>
      </c>
      <c r="G1436" s="708" t="s">
        <v>1082</v>
      </c>
      <c r="H1436" s="709">
        <v>22.0</v>
      </c>
      <c r="I1436" s="705">
        <v>200.0</v>
      </c>
      <c r="J1436" s="705">
        <f t="shared" si="1"/>
        <v>420</v>
      </c>
      <c r="K1436" s="705">
        <f t="shared" si="7"/>
        <v>1021</v>
      </c>
      <c r="L1436" s="705">
        <f t="shared" si="3"/>
        <v>1441</v>
      </c>
      <c r="M1436" s="706">
        <f t="shared" si="5"/>
        <v>144.1</v>
      </c>
    </row>
    <row r="1437">
      <c r="A1437" s="702" t="s">
        <v>34097</v>
      </c>
      <c r="B1437" s="702" t="s">
        <v>34101</v>
      </c>
      <c r="C1437" s="707"/>
      <c r="D1437" s="707"/>
      <c r="E1437" s="708" t="s">
        <v>152</v>
      </c>
      <c r="F1437" s="709">
        <v>5.0</v>
      </c>
      <c r="G1437" s="708" t="s">
        <v>44</v>
      </c>
      <c r="H1437" s="709">
        <v>22.0</v>
      </c>
      <c r="I1437" s="705">
        <v>200.0</v>
      </c>
      <c r="J1437" s="705">
        <f t="shared" si="1"/>
        <v>310</v>
      </c>
      <c r="K1437" s="705">
        <f t="shared" si="7"/>
        <v>1015.5</v>
      </c>
      <c r="L1437" s="705">
        <f t="shared" si="3"/>
        <v>1325.5</v>
      </c>
      <c r="M1437" s="706">
        <f t="shared" si="5"/>
        <v>265.1</v>
      </c>
    </row>
    <row r="1438">
      <c r="A1438" s="702" t="s">
        <v>34097</v>
      </c>
      <c r="B1438" s="702" t="s">
        <v>34102</v>
      </c>
      <c r="C1438" s="707"/>
      <c r="D1438" s="707"/>
      <c r="E1438" s="708" t="s">
        <v>3971</v>
      </c>
      <c r="F1438" s="709">
        <v>1000.0</v>
      </c>
      <c r="G1438" s="708" t="s">
        <v>25962</v>
      </c>
      <c r="H1438" s="709">
        <v>625.0</v>
      </c>
      <c r="I1438" s="709">
        <v>1000.0</v>
      </c>
      <c r="J1438" s="705">
        <f t="shared" si="1"/>
        <v>626000</v>
      </c>
      <c r="K1438" s="705">
        <f t="shared" si="7"/>
        <v>32300</v>
      </c>
      <c r="L1438" s="705">
        <f t="shared" si="3"/>
        <v>658300</v>
      </c>
      <c r="M1438" s="706">
        <f t="shared" si="5"/>
        <v>658.3</v>
      </c>
    </row>
    <row r="1439">
      <c r="A1439" s="702" t="s">
        <v>34097</v>
      </c>
      <c r="B1439" s="702" t="s">
        <v>33902</v>
      </c>
      <c r="C1439" s="707"/>
      <c r="D1439" s="707"/>
      <c r="E1439" s="708" t="s">
        <v>794</v>
      </c>
      <c r="F1439" s="709">
        <v>5000.0</v>
      </c>
      <c r="G1439" s="708" t="s">
        <v>20765</v>
      </c>
      <c r="H1439" s="709">
        <v>4.4</v>
      </c>
      <c r="I1439" s="709">
        <v>5000.0</v>
      </c>
      <c r="J1439" s="705">
        <f t="shared" si="1"/>
        <v>27000</v>
      </c>
      <c r="K1439" s="705">
        <f t="shared" si="7"/>
        <v>2350</v>
      </c>
      <c r="L1439" s="705">
        <f t="shared" si="3"/>
        <v>29350</v>
      </c>
      <c r="M1439" s="706">
        <f t="shared" si="5"/>
        <v>5.87</v>
      </c>
    </row>
    <row r="1440">
      <c r="A1440" s="702" t="s">
        <v>34097</v>
      </c>
      <c r="B1440" s="702" t="s">
        <v>33902</v>
      </c>
      <c r="C1440" s="707"/>
      <c r="D1440" s="707"/>
      <c r="E1440" s="708" t="s">
        <v>11692</v>
      </c>
      <c r="F1440" s="709">
        <v>1000.0</v>
      </c>
      <c r="G1440" s="708" t="s">
        <v>20765</v>
      </c>
      <c r="H1440" s="709">
        <v>209.0</v>
      </c>
      <c r="I1440" s="709">
        <v>1000.0</v>
      </c>
      <c r="J1440" s="705">
        <f t="shared" si="1"/>
        <v>210000</v>
      </c>
      <c r="K1440" s="705">
        <f t="shared" si="7"/>
        <v>11500</v>
      </c>
      <c r="L1440" s="705">
        <f t="shared" si="3"/>
        <v>221500</v>
      </c>
      <c r="M1440" s="706">
        <f t="shared" si="5"/>
        <v>221.5</v>
      </c>
    </row>
    <row r="1441">
      <c r="A1441" s="702" t="s">
        <v>34097</v>
      </c>
      <c r="B1441" s="702" t="s">
        <v>33902</v>
      </c>
      <c r="C1441" s="707"/>
      <c r="D1441" s="707"/>
      <c r="E1441" s="708" t="s">
        <v>10409</v>
      </c>
      <c r="F1441" s="709">
        <v>20000.0</v>
      </c>
      <c r="G1441" s="708" t="s">
        <v>507</v>
      </c>
      <c r="H1441" s="709">
        <v>22.0</v>
      </c>
      <c r="I1441" s="705"/>
      <c r="J1441" s="705">
        <f t="shared" si="1"/>
        <v>440000</v>
      </c>
      <c r="K1441" s="705">
        <f t="shared" si="7"/>
        <v>23000</v>
      </c>
      <c r="L1441" s="705">
        <f t="shared" si="3"/>
        <v>463000</v>
      </c>
      <c r="M1441" s="706">
        <f t="shared" si="5"/>
        <v>23.15</v>
      </c>
    </row>
    <row r="1442">
      <c r="A1442" s="702" t="s">
        <v>34097</v>
      </c>
      <c r="B1442" s="702" t="s">
        <v>34103</v>
      </c>
      <c r="C1442" s="707"/>
      <c r="D1442" s="707"/>
      <c r="E1442" s="708" t="s">
        <v>32795</v>
      </c>
      <c r="F1442" s="709">
        <v>10.0</v>
      </c>
      <c r="G1442" s="708" t="s">
        <v>1691</v>
      </c>
      <c r="H1442" s="709">
        <v>52.0</v>
      </c>
      <c r="I1442" s="709">
        <v>200.0</v>
      </c>
      <c r="J1442" s="705">
        <f t="shared" si="1"/>
        <v>720</v>
      </c>
      <c r="K1442" s="705">
        <f t="shared" si="7"/>
        <v>1036</v>
      </c>
      <c r="L1442" s="705">
        <f t="shared" si="3"/>
        <v>1756</v>
      </c>
      <c r="M1442" s="706">
        <f t="shared" si="5"/>
        <v>175.6</v>
      </c>
    </row>
    <row r="1443">
      <c r="A1443" s="702" t="s">
        <v>34097</v>
      </c>
      <c r="B1443" s="702" t="s">
        <v>34104</v>
      </c>
      <c r="C1443" s="707"/>
      <c r="D1443" s="707"/>
      <c r="E1443" s="708" t="s">
        <v>9109</v>
      </c>
      <c r="F1443" s="709">
        <v>70000.0</v>
      </c>
      <c r="G1443" s="708" t="s">
        <v>34105</v>
      </c>
      <c r="H1443" s="709">
        <v>10.0</v>
      </c>
      <c r="I1443" s="705"/>
      <c r="J1443" s="705">
        <f t="shared" si="1"/>
        <v>700000</v>
      </c>
      <c r="K1443" s="705">
        <f t="shared" si="7"/>
        <v>36000</v>
      </c>
      <c r="L1443" s="705">
        <f t="shared" si="3"/>
        <v>736000</v>
      </c>
      <c r="M1443" s="706">
        <f t="shared" si="5"/>
        <v>10.51428571</v>
      </c>
    </row>
    <row r="1444">
      <c r="A1444" s="702" t="s">
        <v>34097</v>
      </c>
      <c r="B1444" s="702" t="s">
        <v>34106</v>
      </c>
      <c r="C1444" s="707"/>
      <c r="D1444" s="707"/>
      <c r="E1444" s="708" t="s">
        <v>718</v>
      </c>
      <c r="F1444" s="709">
        <v>200000.0</v>
      </c>
      <c r="G1444" s="708" t="s">
        <v>9072</v>
      </c>
      <c r="H1444" s="709">
        <v>4.8</v>
      </c>
      <c r="I1444" s="705"/>
      <c r="J1444" s="705">
        <f t="shared" si="1"/>
        <v>960000</v>
      </c>
      <c r="K1444" s="705">
        <f t="shared" si="7"/>
        <v>49000</v>
      </c>
      <c r="L1444" s="705">
        <f t="shared" si="3"/>
        <v>1009000</v>
      </c>
      <c r="M1444" s="706">
        <f t="shared" si="5"/>
        <v>5.045</v>
      </c>
    </row>
    <row r="1445">
      <c r="A1445" s="702" t="s">
        <v>34097</v>
      </c>
      <c r="B1445" s="702" t="s">
        <v>34107</v>
      </c>
      <c r="C1445" s="707"/>
      <c r="D1445" s="707"/>
      <c r="E1445" s="708" t="s">
        <v>116</v>
      </c>
      <c r="F1445" s="709">
        <v>200.0</v>
      </c>
      <c r="G1445" s="708" t="s">
        <v>507</v>
      </c>
      <c r="H1445" s="709">
        <v>69.0</v>
      </c>
      <c r="I1445" s="709">
        <v>500.0</v>
      </c>
      <c r="J1445" s="705">
        <f t="shared" si="1"/>
        <v>14300</v>
      </c>
      <c r="K1445" s="705">
        <f t="shared" si="7"/>
        <v>1715</v>
      </c>
      <c r="L1445" s="705">
        <f t="shared" si="3"/>
        <v>16015</v>
      </c>
      <c r="M1445" s="706">
        <f t="shared" si="5"/>
        <v>80.075</v>
      </c>
    </row>
    <row r="1446">
      <c r="A1446" s="702" t="s">
        <v>34097</v>
      </c>
      <c r="B1446" s="702" t="s">
        <v>34108</v>
      </c>
      <c r="C1446" s="707"/>
      <c r="D1446" s="707"/>
      <c r="E1446" s="708" t="s">
        <v>34109</v>
      </c>
      <c r="F1446" s="709">
        <v>90.0</v>
      </c>
      <c r="G1446" s="708" t="s">
        <v>10901</v>
      </c>
      <c r="H1446" s="709">
        <v>640.0</v>
      </c>
      <c r="I1446" s="709">
        <v>500.0</v>
      </c>
      <c r="J1446" s="705">
        <f t="shared" si="1"/>
        <v>58100</v>
      </c>
      <c r="K1446" s="705">
        <f t="shared" si="7"/>
        <v>3905</v>
      </c>
      <c r="L1446" s="705">
        <f t="shared" si="3"/>
        <v>62005</v>
      </c>
      <c r="M1446" s="706">
        <f t="shared" si="5"/>
        <v>688.9444444</v>
      </c>
    </row>
    <row r="1447">
      <c r="A1447" s="702" t="s">
        <v>34097</v>
      </c>
      <c r="B1447" s="702" t="s">
        <v>34110</v>
      </c>
      <c r="C1447" s="707"/>
      <c r="D1447" s="707"/>
      <c r="E1447" s="708" t="s">
        <v>3634</v>
      </c>
      <c r="F1447" s="709">
        <v>1000.0</v>
      </c>
      <c r="G1447" s="708" t="s">
        <v>20765</v>
      </c>
      <c r="H1447" s="709">
        <v>29.0</v>
      </c>
      <c r="I1447" s="709">
        <v>200.0</v>
      </c>
      <c r="J1447" s="705">
        <f t="shared" si="1"/>
        <v>29200</v>
      </c>
      <c r="K1447" s="705">
        <f t="shared" si="7"/>
        <v>2460</v>
      </c>
      <c r="L1447" s="705">
        <f t="shared" si="3"/>
        <v>31660</v>
      </c>
      <c r="M1447" s="706">
        <f t="shared" si="5"/>
        <v>31.66</v>
      </c>
    </row>
    <row r="1448">
      <c r="A1448" s="702" t="s">
        <v>34097</v>
      </c>
      <c r="B1448" s="702" t="s">
        <v>34111</v>
      </c>
      <c r="C1448" s="707"/>
      <c r="D1448" s="707"/>
      <c r="E1448" s="708" t="s">
        <v>3165</v>
      </c>
      <c r="F1448" s="709">
        <v>100.0</v>
      </c>
      <c r="G1448" s="708" t="s">
        <v>184</v>
      </c>
      <c r="H1448" s="709">
        <v>79.0</v>
      </c>
      <c r="I1448" s="709">
        <v>500.0</v>
      </c>
      <c r="J1448" s="705">
        <f t="shared" si="1"/>
        <v>8400</v>
      </c>
      <c r="K1448" s="705">
        <f t="shared" si="7"/>
        <v>1420</v>
      </c>
      <c r="L1448" s="705">
        <f t="shared" si="3"/>
        <v>9820</v>
      </c>
      <c r="M1448" s="706">
        <f t="shared" si="5"/>
        <v>98.2</v>
      </c>
    </row>
    <row r="1449">
      <c r="A1449" s="702" t="s">
        <v>34097</v>
      </c>
      <c r="B1449" s="702" t="s">
        <v>34112</v>
      </c>
      <c r="C1449" s="707"/>
      <c r="D1449" s="707"/>
      <c r="E1449" s="708" t="s">
        <v>7197</v>
      </c>
      <c r="F1449" s="709">
        <v>200.0</v>
      </c>
      <c r="G1449" s="708" t="s">
        <v>7615</v>
      </c>
      <c r="H1449" s="709">
        <v>19.5</v>
      </c>
      <c r="I1449" s="709">
        <v>500.0</v>
      </c>
      <c r="J1449" s="705">
        <f t="shared" si="1"/>
        <v>4400</v>
      </c>
      <c r="K1449" s="705">
        <f t="shared" si="7"/>
        <v>1220</v>
      </c>
      <c r="L1449" s="705">
        <f t="shared" si="3"/>
        <v>5620</v>
      </c>
      <c r="M1449" s="706">
        <f t="shared" si="5"/>
        <v>28.1</v>
      </c>
    </row>
    <row r="1450">
      <c r="A1450" s="702" t="s">
        <v>34097</v>
      </c>
      <c r="B1450" s="702" t="s">
        <v>34113</v>
      </c>
      <c r="C1450" s="707"/>
      <c r="D1450" s="707"/>
      <c r="E1450" s="708" t="s">
        <v>33406</v>
      </c>
      <c r="F1450" s="709">
        <v>500.0</v>
      </c>
      <c r="G1450" s="708" t="s">
        <v>519</v>
      </c>
      <c r="H1450" s="709">
        <v>28.5</v>
      </c>
      <c r="I1450" s="709">
        <v>500.0</v>
      </c>
      <c r="J1450" s="705">
        <f t="shared" si="1"/>
        <v>14750</v>
      </c>
      <c r="K1450" s="705">
        <f t="shared" si="7"/>
        <v>1737.5</v>
      </c>
      <c r="L1450" s="705">
        <f t="shared" si="3"/>
        <v>16487.5</v>
      </c>
      <c r="M1450" s="706">
        <f t="shared" si="5"/>
        <v>32.975</v>
      </c>
    </row>
    <row r="1451">
      <c r="A1451" s="702" t="s">
        <v>34097</v>
      </c>
      <c r="B1451" s="702" t="s">
        <v>34114</v>
      </c>
      <c r="C1451" s="707"/>
      <c r="D1451" s="707"/>
      <c r="E1451" s="708" t="s">
        <v>1675</v>
      </c>
      <c r="F1451" s="709">
        <v>5.0</v>
      </c>
      <c r="G1451" s="708" t="s">
        <v>507</v>
      </c>
      <c r="H1451" s="709">
        <v>300.0</v>
      </c>
      <c r="I1451" s="709">
        <v>250.0</v>
      </c>
      <c r="J1451" s="705">
        <f t="shared" si="1"/>
        <v>1750</v>
      </c>
      <c r="K1451" s="705">
        <f t="shared" si="7"/>
        <v>1087.5</v>
      </c>
      <c r="L1451" s="705">
        <f t="shared" si="3"/>
        <v>2837.5</v>
      </c>
      <c r="M1451" s="706">
        <f t="shared" si="5"/>
        <v>567.5</v>
      </c>
    </row>
    <row r="1452">
      <c r="A1452" s="702" t="s">
        <v>34097</v>
      </c>
      <c r="B1452" s="702" t="s">
        <v>34115</v>
      </c>
      <c r="C1452" s="707"/>
      <c r="D1452" s="707"/>
      <c r="E1452" s="708" t="s">
        <v>130</v>
      </c>
      <c r="F1452" s="709">
        <v>20.0</v>
      </c>
      <c r="G1452" s="708" t="s">
        <v>519</v>
      </c>
      <c r="H1452" s="709">
        <v>25.0</v>
      </c>
      <c r="I1452" s="709">
        <v>200.0</v>
      </c>
      <c r="J1452" s="705">
        <f t="shared" si="1"/>
        <v>700</v>
      </c>
      <c r="K1452" s="705">
        <f t="shared" si="7"/>
        <v>1035</v>
      </c>
      <c r="L1452" s="705">
        <f t="shared" si="3"/>
        <v>1735</v>
      </c>
      <c r="M1452" s="706">
        <f t="shared" si="5"/>
        <v>86.75</v>
      </c>
    </row>
    <row r="1453">
      <c r="A1453" s="702" t="s">
        <v>34097</v>
      </c>
      <c r="B1453" s="702" t="s">
        <v>34116</v>
      </c>
      <c r="C1453" s="707"/>
      <c r="D1453" s="707"/>
      <c r="E1453" s="708" t="s">
        <v>9283</v>
      </c>
      <c r="F1453" s="709">
        <v>1.0</v>
      </c>
      <c r="G1453" s="708" t="s">
        <v>20765</v>
      </c>
      <c r="H1453" s="709">
        <v>10.0</v>
      </c>
      <c r="I1453" s="709">
        <v>100.0</v>
      </c>
      <c r="J1453" s="705">
        <f t="shared" si="1"/>
        <v>110</v>
      </c>
      <c r="K1453" s="705">
        <f t="shared" si="7"/>
        <v>1005.5</v>
      </c>
      <c r="L1453" s="705">
        <f t="shared" si="3"/>
        <v>1115.5</v>
      </c>
      <c r="M1453" s="706">
        <f t="shared" si="5"/>
        <v>1115.5</v>
      </c>
    </row>
    <row r="1454">
      <c r="A1454" s="702" t="s">
        <v>34097</v>
      </c>
      <c r="B1454" s="702" t="s">
        <v>34117</v>
      </c>
      <c r="C1454" s="707"/>
      <c r="D1454" s="707"/>
      <c r="E1454" s="708" t="s">
        <v>10433</v>
      </c>
      <c r="F1454" s="709">
        <v>50.0</v>
      </c>
      <c r="G1454" s="708" t="s">
        <v>34118</v>
      </c>
      <c r="H1454" s="709">
        <v>85.0</v>
      </c>
      <c r="I1454" s="709">
        <v>300.0</v>
      </c>
      <c r="J1454" s="705">
        <f t="shared" si="1"/>
        <v>4550</v>
      </c>
      <c r="K1454" s="705">
        <f t="shared" si="7"/>
        <v>1227.5</v>
      </c>
      <c r="L1454" s="705">
        <f t="shared" si="3"/>
        <v>5777.5</v>
      </c>
      <c r="M1454" s="706">
        <f t="shared" si="5"/>
        <v>115.55</v>
      </c>
    </row>
    <row r="1455">
      <c r="A1455" s="702" t="s">
        <v>34119</v>
      </c>
      <c r="B1455" s="702" t="s">
        <v>34113</v>
      </c>
      <c r="C1455" s="707"/>
      <c r="D1455" s="707"/>
      <c r="E1455" s="708" t="s">
        <v>3864</v>
      </c>
      <c r="F1455" s="709">
        <v>10.0</v>
      </c>
      <c r="G1455" s="708" t="s">
        <v>44</v>
      </c>
      <c r="H1455" s="709">
        <v>20.5</v>
      </c>
      <c r="I1455" s="709">
        <v>200.0</v>
      </c>
      <c r="J1455" s="705">
        <f t="shared" si="1"/>
        <v>405</v>
      </c>
      <c r="K1455" s="705">
        <f t="shared" si="7"/>
        <v>1020.25</v>
      </c>
      <c r="L1455" s="705">
        <f t="shared" si="3"/>
        <v>1425.25</v>
      </c>
      <c r="M1455" s="706">
        <f t="shared" si="5"/>
        <v>142.525</v>
      </c>
    </row>
    <row r="1456">
      <c r="A1456" s="702" t="s">
        <v>34097</v>
      </c>
      <c r="B1456" s="702" t="s">
        <v>34120</v>
      </c>
      <c r="C1456" s="707"/>
      <c r="D1456" s="707"/>
      <c r="E1456" s="708" t="s">
        <v>19092</v>
      </c>
      <c r="F1456" s="709">
        <v>2.0</v>
      </c>
      <c r="G1456" s="708" t="s">
        <v>14534</v>
      </c>
      <c r="H1456" s="709">
        <v>10.0</v>
      </c>
      <c r="I1456" s="709">
        <v>300.0</v>
      </c>
      <c r="J1456" s="705">
        <f t="shared" si="1"/>
        <v>320</v>
      </c>
      <c r="K1456" s="705">
        <f t="shared" si="7"/>
        <v>1016</v>
      </c>
      <c r="L1456" s="705">
        <f t="shared" si="3"/>
        <v>1336</v>
      </c>
      <c r="M1456" s="706">
        <f t="shared" si="5"/>
        <v>668</v>
      </c>
    </row>
    <row r="1457">
      <c r="A1457" s="702" t="s">
        <v>34097</v>
      </c>
      <c r="B1457" s="702" t="s">
        <v>34121</v>
      </c>
      <c r="C1457" s="707"/>
      <c r="D1457" s="707"/>
      <c r="E1457" s="708" t="s">
        <v>34122</v>
      </c>
      <c r="F1457" s="709">
        <v>300.0</v>
      </c>
      <c r="G1457" s="708" t="s">
        <v>268</v>
      </c>
      <c r="H1457" s="709">
        <v>300.0</v>
      </c>
      <c r="I1457" s="709">
        <v>1500.0</v>
      </c>
      <c r="J1457" s="705">
        <f t="shared" si="1"/>
        <v>91500</v>
      </c>
      <c r="K1457" s="705">
        <f t="shared" si="7"/>
        <v>5575</v>
      </c>
      <c r="L1457" s="705">
        <f t="shared" si="3"/>
        <v>97075</v>
      </c>
      <c r="M1457" s="706">
        <f t="shared" si="5"/>
        <v>323.5833333</v>
      </c>
    </row>
    <row r="1458">
      <c r="A1458" s="702" t="s">
        <v>34097</v>
      </c>
      <c r="B1458" s="702" t="s">
        <v>34123</v>
      </c>
      <c r="C1458" s="707"/>
      <c r="D1458" s="707"/>
      <c r="E1458" s="708" t="s">
        <v>116</v>
      </c>
      <c r="F1458" s="709">
        <v>10000.0</v>
      </c>
      <c r="G1458" s="708" t="s">
        <v>1461</v>
      </c>
      <c r="H1458" s="709">
        <v>69.0</v>
      </c>
      <c r="I1458" s="705"/>
      <c r="J1458" s="705">
        <f t="shared" si="1"/>
        <v>690000</v>
      </c>
      <c r="K1458" s="705">
        <f t="shared" si="7"/>
        <v>35500</v>
      </c>
      <c r="L1458" s="705">
        <f t="shared" si="3"/>
        <v>725500</v>
      </c>
      <c r="M1458" s="706">
        <f t="shared" si="5"/>
        <v>72.55</v>
      </c>
    </row>
    <row r="1459">
      <c r="A1459" s="702" t="s">
        <v>34097</v>
      </c>
      <c r="B1459" s="702" t="s">
        <v>34124</v>
      </c>
      <c r="C1459" s="707"/>
      <c r="D1459" s="707"/>
      <c r="E1459" s="708" t="s">
        <v>152</v>
      </c>
      <c r="F1459" s="709">
        <v>100.0</v>
      </c>
      <c r="G1459" s="708" t="s">
        <v>507</v>
      </c>
      <c r="H1459" s="709">
        <v>13.28</v>
      </c>
      <c r="I1459" s="709">
        <v>500.0</v>
      </c>
      <c r="J1459" s="705">
        <f t="shared" si="1"/>
        <v>1828</v>
      </c>
      <c r="K1459" s="705">
        <f t="shared" si="7"/>
        <v>1091.4</v>
      </c>
      <c r="L1459" s="705">
        <f t="shared" si="3"/>
        <v>2919.4</v>
      </c>
      <c r="M1459" s="706">
        <f t="shared" si="5"/>
        <v>29.194</v>
      </c>
    </row>
    <row r="1460">
      <c r="A1460" s="702" t="s">
        <v>34097</v>
      </c>
      <c r="B1460" s="702" t="s">
        <v>34125</v>
      </c>
      <c r="C1460" s="707"/>
      <c r="D1460" s="707"/>
      <c r="E1460" s="708" t="s">
        <v>207</v>
      </c>
      <c r="F1460" s="709">
        <v>1000.0</v>
      </c>
      <c r="G1460" s="720" t="s">
        <v>985</v>
      </c>
      <c r="H1460" s="709">
        <v>12.0</v>
      </c>
      <c r="I1460" s="709">
        <v>1500.0</v>
      </c>
      <c r="J1460" s="705">
        <f t="shared" si="1"/>
        <v>13500</v>
      </c>
      <c r="K1460" s="705">
        <f t="shared" si="7"/>
        <v>1675</v>
      </c>
      <c r="L1460" s="705">
        <f t="shared" si="3"/>
        <v>15175</v>
      </c>
      <c r="M1460" s="706">
        <f t="shared" si="5"/>
        <v>15.175</v>
      </c>
    </row>
    <row r="1461">
      <c r="A1461" s="702" t="s">
        <v>34097</v>
      </c>
      <c r="B1461" s="702" t="s">
        <v>34126</v>
      </c>
      <c r="C1461" s="707"/>
      <c r="D1461" s="707"/>
      <c r="E1461" s="708" t="s">
        <v>5774</v>
      </c>
      <c r="F1461" s="709">
        <v>100000.0</v>
      </c>
      <c r="G1461" s="708" t="s">
        <v>34127</v>
      </c>
      <c r="H1461" s="709">
        <v>18.0</v>
      </c>
      <c r="I1461" s="705"/>
      <c r="J1461" s="705">
        <f t="shared" si="1"/>
        <v>1800000</v>
      </c>
      <c r="K1461" s="705">
        <f t="shared" si="7"/>
        <v>91000</v>
      </c>
      <c r="L1461" s="705">
        <f t="shared" si="3"/>
        <v>1891000</v>
      </c>
      <c r="M1461" s="706">
        <f t="shared" si="5"/>
        <v>18.91</v>
      </c>
    </row>
    <row r="1462">
      <c r="A1462" s="702" t="s">
        <v>34097</v>
      </c>
      <c r="B1462" s="702" t="s">
        <v>34128</v>
      </c>
      <c r="C1462" s="707"/>
      <c r="D1462" s="707"/>
      <c r="E1462" s="708" t="s">
        <v>167</v>
      </c>
      <c r="F1462" s="709">
        <v>10.0</v>
      </c>
      <c r="G1462" s="708" t="s">
        <v>99</v>
      </c>
      <c r="H1462" s="709">
        <v>6.5</v>
      </c>
      <c r="I1462" s="709">
        <v>300.0</v>
      </c>
      <c r="J1462" s="705">
        <f t="shared" si="1"/>
        <v>365</v>
      </c>
      <c r="K1462" s="705">
        <f t="shared" si="7"/>
        <v>1018.25</v>
      </c>
      <c r="L1462" s="705">
        <f t="shared" si="3"/>
        <v>1383.25</v>
      </c>
      <c r="M1462" s="706">
        <f t="shared" si="5"/>
        <v>138.325</v>
      </c>
    </row>
    <row r="1463">
      <c r="A1463" s="702" t="s">
        <v>34097</v>
      </c>
      <c r="B1463" s="702" t="s">
        <v>34129</v>
      </c>
      <c r="C1463" s="707"/>
      <c r="D1463" s="707"/>
      <c r="E1463" s="708" t="s">
        <v>240</v>
      </c>
      <c r="F1463" s="709">
        <v>150000.0</v>
      </c>
      <c r="G1463" s="708" t="s">
        <v>638</v>
      </c>
      <c r="H1463" s="709">
        <v>23.0</v>
      </c>
      <c r="I1463" s="705"/>
      <c r="J1463" s="705">
        <f t="shared" si="1"/>
        <v>3450000</v>
      </c>
      <c r="K1463" s="705">
        <f t="shared" si="7"/>
        <v>173500</v>
      </c>
      <c r="L1463" s="705">
        <f t="shared" si="3"/>
        <v>3623500</v>
      </c>
      <c r="M1463" s="706">
        <f t="shared" si="5"/>
        <v>24.15666667</v>
      </c>
    </row>
    <row r="1464">
      <c r="A1464" s="702" t="s">
        <v>34097</v>
      </c>
      <c r="B1464" s="702" t="s">
        <v>34130</v>
      </c>
      <c r="C1464" s="707"/>
      <c r="D1464" s="707"/>
      <c r="E1464" s="708" t="s">
        <v>207</v>
      </c>
      <c r="F1464" s="709">
        <v>40.0</v>
      </c>
      <c r="G1464" s="708" t="s">
        <v>44</v>
      </c>
      <c r="H1464" s="709">
        <v>12.0</v>
      </c>
      <c r="I1464" s="709">
        <v>300.0</v>
      </c>
      <c r="J1464" s="705">
        <f t="shared" si="1"/>
        <v>780</v>
      </c>
      <c r="K1464" s="705">
        <f t="shared" si="7"/>
        <v>1039</v>
      </c>
      <c r="L1464" s="705">
        <f t="shared" si="3"/>
        <v>1819</v>
      </c>
      <c r="M1464" s="706">
        <f t="shared" si="5"/>
        <v>45.475</v>
      </c>
    </row>
    <row r="1465">
      <c r="A1465" s="702" t="s">
        <v>34097</v>
      </c>
      <c r="B1465" s="702" t="s">
        <v>34131</v>
      </c>
      <c r="C1465" s="707"/>
      <c r="D1465" s="707"/>
      <c r="E1465" s="708" t="s">
        <v>34132</v>
      </c>
      <c r="F1465" s="709">
        <v>1000.0</v>
      </c>
      <c r="G1465" s="708" t="s">
        <v>519</v>
      </c>
      <c r="H1465" s="709">
        <v>95.0</v>
      </c>
      <c r="I1465" s="709">
        <v>1000.0</v>
      </c>
      <c r="J1465" s="705">
        <f t="shared" si="1"/>
        <v>96000</v>
      </c>
      <c r="K1465" s="705">
        <f t="shared" si="7"/>
        <v>5800</v>
      </c>
      <c r="L1465" s="705">
        <f t="shared" si="3"/>
        <v>101800</v>
      </c>
      <c r="M1465" s="706">
        <f t="shared" si="5"/>
        <v>101.8</v>
      </c>
    </row>
    <row r="1466">
      <c r="A1466" s="702" t="s">
        <v>34097</v>
      </c>
      <c r="B1466" s="702" t="s">
        <v>34133</v>
      </c>
      <c r="C1466" s="707"/>
      <c r="D1466" s="707"/>
      <c r="E1466" s="708" t="s">
        <v>3918</v>
      </c>
      <c r="F1466" s="709">
        <v>1000.0</v>
      </c>
      <c r="G1466" s="708" t="s">
        <v>507</v>
      </c>
      <c r="H1466" s="709">
        <v>27.0</v>
      </c>
      <c r="I1466" s="709">
        <v>1500.0</v>
      </c>
      <c r="J1466" s="705">
        <f t="shared" si="1"/>
        <v>28500</v>
      </c>
      <c r="K1466" s="705">
        <f t="shared" si="7"/>
        <v>2425</v>
      </c>
      <c r="L1466" s="705">
        <f t="shared" si="3"/>
        <v>30925</v>
      </c>
      <c r="M1466" s="706">
        <f t="shared" si="5"/>
        <v>30.925</v>
      </c>
    </row>
    <row r="1467">
      <c r="A1467" s="702" t="s">
        <v>34097</v>
      </c>
      <c r="B1467" s="702" t="s">
        <v>34134</v>
      </c>
      <c r="C1467" s="707"/>
      <c r="D1467" s="707"/>
      <c r="E1467" s="720" t="s">
        <v>18977</v>
      </c>
      <c r="F1467" s="709">
        <v>1000.0</v>
      </c>
      <c r="G1467" s="708" t="s">
        <v>9094</v>
      </c>
      <c r="H1467" s="709">
        <v>650.0</v>
      </c>
      <c r="I1467" s="709">
        <v>1000.0</v>
      </c>
      <c r="J1467" s="705">
        <f t="shared" si="1"/>
        <v>651000</v>
      </c>
      <c r="K1467" s="705">
        <f t="shared" si="7"/>
        <v>33550</v>
      </c>
      <c r="L1467" s="705">
        <f t="shared" si="3"/>
        <v>684550</v>
      </c>
      <c r="M1467" s="706">
        <f t="shared" si="5"/>
        <v>684.55</v>
      </c>
    </row>
    <row r="1468">
      <c r="A1468" s="702" t="s">
        <v>34135</v>
      </c>
      <c r="B1468" s="702" t="s">
        <v>33174</v>
      </c>
      <c r="C1468" s="720" t="s">
        <v>33364</v>
      </c>
      <c r="D1468" s="720" t="s">
        <v>10110</v>
      </c>
      <c r="E1468" s="721" t="s">
        <v>2554</v>
      </c>
      <c r="F1468" s="708">
        <v>7000.0</v>
      </c>
      <c r="G1468" s="720" t="s">
        <v>34136</v>
      </c>
      <c r="H1468" s="709">
        <v>300.0</v>
      </c>
      <c r="I1468" s="709">
        <v>7000.0</v>
      </c>
      <c r="J1468" s="705">
        <f t="shared" si="1"/>
        <v>2107000</v>
      </c>
      <c r="K1468" s="705">
        <f t="shared" si="7"/>
        <v>106350</v>
      </c>
      <c r="L1468" s="705">
        <f t="shared" si="3"/>
        <v>2213350</v>
      </c>
      <c r="M1468" s="706">
        <f t="shared" si="5"/>
        <v>316.1928571</v>
      </c>
    </row>
    <row r="1469">
      <c r="A1469" s="702" t="s">
        <v>34135</v>
      </c>
      <c r="B1469" s="725" t="s">
        <v>34137</v>
      </c>
      <c r="C1469" s="720" t="s">
        <v>34138</v>
      </c>
      <c r="D1469" s="720" t="s">
        <v>34139</v>
      </c>
      <c r="E1469" s="720" t="s">
        <v>34140</v>
      </c>
      <c r="F1469" s="709" t="s">
        <v>34141</v>
      </c>
      <c r="G1469" s="720" t="s">
        <v>44</v>
      </c>
      <c r="H1469" s="705"/>
      <c r="I1469" s="705"/>
      <c r="J1469" s="705"/>
      <c r="K1469" s="705"/>
      <c r="L1469" s="705"/>
      <c r="M1469" s="713">
        <v>225.0</v>
      </c>
    </row>
    <row r="1470">
      <c r="A1470" s="702" t="s">
        <v>34135</v>
      </c>
      <c r="B1470" s="702" t="s">
        <v>33902</v>
      </c>
      <c r="C1470" s="707"/>
      <c r="D1470" s="707"/>
      <c r="E1470" s="708" t="s">
        <v>11377</v>
      </c>
      <c r="F1470" s="709">
        <v>1000.0</v>
      </c>
      <c r="G1470" s="708" t="s">
        <v>1082</v>
      </c>
      <c r="H1470" s="709">
        <v>46.0</v>
      </c>
      <c r="I1470" s="709">
        <v>1000.0</v>
      </c>
      <c r="J1470" s="705">
        <f t="shared" ref="J1470:J1515" si="8">(F1470*H1470)+I1470</f>
        <v>47000</v>
      </c>
      <c r="K1470" s="705">
        <f t="shared" ref="K1470:K1515" si="9">(1000+J1470*5%)</f>
        <v>3350</v>
      </c>
      <c r="L1470" s="705">
        <f t="shared" ref="L1470:L1515" si="10">(J1470+K1470)</f>
        <v>50350</v>
      </c>
      <c r="M1470" s="706">
        <f t="shared" ref="M1470:M1515" si="11">(L1470/F1470)</f>
        <v>50.35</v>
      </c>
    </row>
    <row r="1471">
      <c r="A1471" s="702" t="s">
        <v>34135</v>
      </c>
      <c r="B1471" s="702" t="s">
        <v>33902</v>
      </c>
      <c r="C1471" s="707"/>
      <c r="D1471" s="707"/>
      <c r="E1471" s="708" t="s">
        <v>213</v>
      </c>
      <c r="F1471" s="709">
        <v>500.0</v>
      </c>
      <c r="G1471" s="708" t="s">
        <v>20765</v>
      </c>
      <c r="H1471" s="709">
        <v>25.0</v>
      </c>
      <c r="I1471" s="709">
        <v>500.0</v>
      </c>
      <c r="J1471" s="705">
        <f t="shared" si="8"/>
        <v>13000</v>
      </c>
      <c r="K1471" s="705">
        <f t="shared" si="9"/>
        <v>1650</v>
      </c>
      <c r="L1471" s="705">
        <f t="shared" si="10"/>
        <v>14650</v>
      </c>
      <c r="M1471" s="706">
        <f t="shared" si="11"/>
        <v>29.3</v>
      </c>
    </row>
    <row r="1472">
      <c r="A1472" s="702" t="s">
        <v>34135</v>
      </c>
      <c r="B1472" s="702" t="s">
        <v>33902</v>
      </c>
      <c r="C1472" s="707"/>
      <c r="D1472" s="707"/>
      <c r="E1472" s="708" t="s">
        <v>4114</v>
      </c>
      <c r="F1472" s="709">
        <v>1000.0</v>
      </c>
      <c r="G1472" s="708" t="s">
        <v>20765</v>
      </c>
      <c r="H1472" s="709">
        <v>32.0</v>
      </c>
      <c r="I1472" s="709">
        <v>1000.0</v>
      </c>
      <c r="J1472" s="705">
        <f t="shared" si="8"/>
        <v>33000</v>
      </c>
      <c r="K1472" s="705">
        <f t="shared" si="9"/>
        <v>2650</v>
      </c>
      <c r="L1472" s="705">
        <f t="shared" si="10"/>
        <v>35650</v>
      </c>
      <c r="M1472" s="706">
        <f t="shared" si="11"/>
        <v>35.65</v>
      </c>
    </row>
    <row r="1473">
      <c r="A1473" s="702" t="s">
        <v>34135</v>
      </c>
      <c r="B1473" s="702" t="s">
        <v>33902</v>
      </c>
      <c r="C1473" s="707"/>
      <c r="D1473" s="707"/>
      <c r="E1473" s="708" t="s">
        <v>33406</v>
      </c>
      <c r="F1473" s="709">
        <v>200.0</v>
      </c>
      <c r="G1473" s="708" t="s">
        <v>398</v>
      </c>
      <c r="H1473" s="709">
        <v>28.5</v>
      </c>
      <c r="I1473" s="709">
        <v>500.0</v>
      </c>
      <c r="J1473" s="705">
        <f t="shared" si="8"/>
        <v>6200</v>
      </c>
      <c r="K1473" s="705">
        <f t="shared" si="9"/>
        <v>1310</v>
      </c>
      <c r="L1473" s="705">
        <f t="shared" si="10"/>
        <v>7510</v>
      </c>
      <c r="M1473" s="706">
        <f t="shared" si="11"/>
        <v>37.55</v>
      </c>
    </row>
    <row r="1474">
      <c r="A1474" s="702" t="s">
        <v>34135</v>
      </c>
      <c r="B1474" s="702" t="s">
        <v>34107</v>
      </c>
      <c r="C1474" s="707"/>
      <c r="D1474" s="707"/>
      <c r="E1474" s="708" t="s">
        <v>34142</v>
      </c>
      <c r="F1474" s="709">
        <v>500.0</v>
      </c>
      <c r="G1474" s="708" t="s">
        <v>467</v>
      </c>
      <c r="H1474" s="709">
        <v>625.0</v>
      </c>
      <c r="I1474" s="709">
        <v>500.0</v>
      </c>
      <c r="J1474" s="705">
        <f t="shared" si="8"/>
        <v>313000</v>
      </c>
      <c r="K1474" s="705">
        <f t="shared" si="9"/>
        <v>16650</v>
      </c>
      <c r="L1474" s="705">
        <f t="shared" si="10"/>
        <v>329650</v>
      </c>
      <c r="M1474" s="706">
        <f t="shared" si="11"/>
        <v>659.3</v>
      </c>
    </row>
    <row r="1475">
      <c r="A1475" s="702" t="s">
        <v>34135</v>
      </c>
      <c r="B1475" s="702" t="s">
        <v>34133</v>
      </c>
      <c r="C1475" s="707"/>
      <c r="D1475" s="707"/>
      <c r="E1475" s="708" t="s">
        <v>22</v>
      </c>
      <c r="F1475" s="709">
        <v>300.0</v>
      </c>
      <c r="G1475" s="708" t="s">
        <v>507</v>
      </c>
      <c r="H1475" s="709">
        <v>30.0</v>
      </c>
      <c r="I1475" s="709">
        <v>500.0</v>
      </c>
      <c r="J1475" s="705">
        <f t="shared" si="8"/>
        <v>9500</v>
      </c>
      <c r="K1475" s="705">
        <f t="shared" si="9"/>
        <v>1475</v>
      </c>
      <c r="L1475" s="705">
        <f t="shared" si="10"/>
        <v>10975</v>
      </c>
      <c r="M1475" s="706">
        <f t="shared" si="11"/>
        <v>36.58333333</v>
      </c>
    </row>
    <row r="1476">
      <c r="A1476" s="702" t="s">
        <v>34135</v>
      </c>
      <c r="B1476" s="702" t="s">
        <v>34143</v>
      </c>
      <c r="C1476" s="707"/>
      <c r="D1476" s="707"/>
      <c r="E1476" s="708" t="s">
        <v>34144</v>
      </c>
      <c r="F1476" s="709">
        <v>50.0</v>
      </c>
      <c r="G1476" s="708" t="s">
        <v>9359</v>
      </c>
      <c r="H1476" s="709">
        <v>45.0</v>
      </c>
      <c r="I1476" s="709">
        <v>300.0</v>
      </c>
      <c r="J1476" s="705">
        <f t="shared" si="8"/>
        <v>2550</v>
      </c>
      <c r="K1476" s="705">
        <f t="shared" si="9"/>
        <v>1127.5</v>
      </c>
      <c r="L1476" s="705">
        <f t="shared" si="10"/>
        <v>3677.5</v>
      </c>
      <c r="M1476" s="706">
        <f t="shared" si="11"/>
        <v>73.55</v>
      </c>
    </row>
    <row r="1477">
      <c r="A1477" s="702" t="s">
        <v>34135</v>
      </c>
      <c r="B1477" s="702" t="s">
        <v>34145</v>
      </c>
      <c r="C1477" s="707"/>
      <c r="D1477" s="707"/>
      <c r="E1477" s="708" t="s">
        <v>9682</v>
      </c>
      <c r="F1477" s="709">
        <v>11000.0</v>
      </c>
      <c r="G1477" s="708" t="s">
        <v>1408</v>
      </c>
      <c r="H1477" s="709">
        <v>11.0</v>
      </c>
      <c r="I1477" s="705"/>
      <c r="J1477" s="705">
        <f t="shared" si="8"/>
        <v>121000</v>
      </c>
      <c r="K1477" s="705">
        <f t="shared" si="9"/>
        <v>7050</v>
      </c>
      <c r="L1477" s="705">
        <f t="shared" si="10"/>
        <v>128050</v>
      </c>
      <c r="M1477" s="706">
        <f t="shared" si="11"/>
        <v>11.64090909</v>
      </c>
    </row>
    <row r="1478">
      <c r="A1478" s="702" t="s">
        <v>34135</v>
      </c>
      <c r="B1478" s="702" t="s">
        <v>34146</v>
      </c>
      <c r="C1478" s="707"/>
      <c r="D1478" s="707"/>
      <c r="E1478" s="708" t="s">
        <v>12378</v>
      </c>
      <c r="F1478" s="709">
        <v>1000.0</v>
      </c>
      <c r="G1478" s="708" t="s">
        <v>25498</v>
      </c>
      <c r="H1478" s="709">
        <v>13.2</v>
      </c>
      <c r="I1478" s="709">
        <v>1000.0</v>
      </c>
      <c r="J1478" s="705">
        <f t="shared" si="8"/>
        <v>14200</v>
      </c>
      <c r="K1478" s="705">
        <f t="shared" si="9"/>
        <v>1710</v>
      </c>
      <c r="L1478" s="705">
        <f t="shared" si="10"/>
        <v>15910</v>
      </c>
      <c r="M1478" s="706">
        <f t="shared" si="11"/>
        <v>15.91</v>
      </c>
    </row>
    <row r="1479">
      <c r="A1479" s="702" t="s">
        <v>34147</v>
      </c>
      <c r="B1479" s="702" t="s">
        <v>33902</v>
      </c>
      <c r="C1479" s="707"/>
      <c r="D1479" s="707"/>
      <c r="E1479" s="708" t="s">
        <v>19930</v>
      </c>
      <c r="F1479" s="709">
        <v>1000.0</v>
      </c>
      <c r="G1479" s="708" t="s">
        <v>507</v>
      </c>
      <c r="H1479" s="709">
        <v>25.0</v>
      </c>
      <c r="I1479" s="709">
        <v>1000.0</v>
      </c>
      <c r="J1479" s="705">
        <f t="shared" si="8"/>
        <v>26000</v>
      </c>
      <c r="K1479" s="705">
        <f t="shared" si="9"/>
        <v>2300</v>
      </c>
      <c r="L1479" s="705">
        <f t="shared" si="10"/>
        <v>28300</v>
      </c>
      <c r="M1479" s="706">
        <f t="shared" si="11"/>
        <v>28.3</v>
      </c>
    </row>
    <row r="1480">
      <c r="A1480" s="702" t="s">
        <v>34147</v>
      </c>
      <c r="B1480" s="702" t="s">
        <v>34148</v>
      </c>
      <c r="C1480" s="707"/>
      <c r="D1480" s="707"/>
      <c r="E1480" s="708" t="s">
        <v>116</v>
      </c>
      <c r="F1480" s="709">
        <v>200.0</v>
      </c>
      <c r="G1480" s="708" t="s">
        <v>1082</v>
      </c>
      <c r="H1480" s="709">
        <v>60.0</v>
      </c>
      <c r="I1480" s="709">
        <v>500.0</v>
      </c>
      <c r="J1480" s="705">
        <f t="shared" si="8"/>
        <v>12500</v>
      </c>
      <c r="K1480" s="705">
        <f t="shared" si="9"/>
        <v>1625</v>
      </c>
      <c r="L1480" s="705">
        <f t="shared" si="10"/>
        <v>14125</v>
      </c>
      <c r="M1480" s="706">
        <f t="shared" si="11"/>
        <v>70.625</v>
      </c>
    </row>
    <row r="1481">
      <c r="A1481" s="702" t="s">
        <v>34147</v>
      </c>
      <c r="B1481" s="702" t="s">
        <v>34149</v>
      </c>
      <c r="C1481" s="707"/>
      <c r="D1481" s="707"/>
      <c r="E1481" s="708" t="s">
        <v>1363</v>
      </c>
      <c r="F1481" s="709">
        <v>200.0</v>
      </c>
      <c r="G1481" s="708" t="s">
        <v>507</v>
      </c>
      <c r="H1481" s="709">
        <v>32.0</v>
      </c>
      <c r="I1481" s="709">
        <v>500.0</v>
      </c>
      <c r="J1481" s="705">
        <f t="shared" si="8"/>
        <v>6900</v>
      </c>
      <c r="K1481" s="705">
        <f t="shared" si="9"/>
        <v>1345</v>
      </c>
      <c r="L1481" s="705">
        <f t="shared" si="10"/>
        <v>8245</v>
      </c>
      <c r="M1481" s="706">
        <f t="shared" si="11"/>
        <v>41.225</v>
      </c>
    </row>
    <row r="1482">
      <c r="A1482" s="702" t="s">
        <v>34147</v>
      </c>
      <c r="B1482" s="702" t="s">
        <v>34150</v>
      </c>
      <c r="C1482" s="707"/>
      <c r="D1482" s="707"/>
      <c r="E1482" s="708" t="s">
        <v>83</v>
      </c>
      <c r="F1482" s="709">
        <v>500.0</v>
      </c>
      <c r="G1482" s="708" t="s">
        <v>507</v>
      </c>
      <c r="H1482" s="709">
        <v>28.5</v>
      </c>
      <c r="I1482" s="709">
        <v>700.0</v>
      </c>
      <c r="J1482" s="705">
        <f t="shared" si="8"/>
        <v>14950</v>
      </c>
      <c r="K1482" s="705">
        <f t="shared" si="9"/>
        <v>1747.5</v>
      </c>
      <c r="L1482" s="705">
        <f t="shared" si="10"/>
        <v>16697.5</v>
      </c>
      <c r="M1482" s="706">
        <f t="shared" si="11"/>
        <v>33.395</v>
      </c>
    </row>
    <row r="1483">
      <c r="A1483" s="702" t="s">
        <v>34147</v>
      </c>
      <c r="B1483" s="702" t="s">
        <v>34151</v>
      </c>
      <c r="C1483" s="707"/>
      <c r="D1483" s="707"/>
      <c r="E1483" s="708" t="s">
        <v>7897</v>
      </c>
      <c r="F1483" s="709">
        <v>50000.0</v>
      </c>
      <c r="G1483" s="708" t="s">
        <v>467</v>
      </c>
      <c r="H1483" s="709">
        <v>13.28</v>
      </c>
      <c r="I1483" s="709"/>
      <c r="J1483" s="705">
        <f t="shared" si="8"/>
        <v>664000</v>
      </c>
      <c r="K1483" s="705">
        <f t="shared" si="9"/>
        <v>34200</v>
      </c>
      <c r="L1483" s="705">
        <f t="shared" si="10"/>
        <v>698200</v>
      </c>
      <c r="M1483" s="706">
        <f t="shared" si="11"/>
        <v>13.964</v>
      </c>
    </row>
    <row r="1484">
      <c r="A1484" s="702" t="s">
        <v>34147</v>
      </c>
      <c r="B1484" s="702" t="s">
        <v>33902</v>
      </c>
      <c r="C1484" s="707"/>
      <c r="D1484" s="707"/>
      <c r="E1484" s="708" t="s">
        <v>5502</v>
      </c>
      <c r="F1484" s="709">
        <v>100.0</v>
      </c>
      <c r="G1484" s="708" t="s">
        <v>2882</v>
      </c>
      <c r="H1484" s="709">
        <v>6.2</v>
      </c>
      <c r="I1484" s="709">
        <v>100.0</v>
      </c>
      <c r="J1484" s="705">
        <f t="shared" si="8"/>
        <v>720</v>
      </c>
      <c r="K1484" s="705">
        <f t="shared" si="9"/>
        <v>1036</v>
      </c>
      <c r="L1484" s="705">
        <f t="shared" si="10"/>
        <v>1756</v>
      </c>
      <c r="M1484" s="706">
        <f t="shared" si="11"/>
        <v>17.56</v>
      </c>
    </row>
    <row r="1485">
      <c r="A1485" s="702" t="s">
        <v>34152</v>
      </c>
      <c r="B1485" s="702" t="s">
        <v>34153</v>
      </c>
      <c r="C1485" s="707"/>
      <c r="D1485" s="707"/>
      <c r="E1485" s="708" t="s">
        <v>152</v>
      </c>
      <c r="F1485" s="709">
        <v>30000.0</v>
      </c>
      <c r="G1485" s="708" t="s">
        <v>507</v>
      </c>
      <c r="H1485" s="709">
        <v>13.28</v>
      </c>
      <c r="I1485" s="705"/>
      <c r="J1485" s="705">
        <f t="shared" si="8"/>
        <v>398400</v>
      </c>
      <c r="K1485" s="705">
        <f t="shared" si="9"/>
        <v>20920</v>
      </c>
      <c r="L1485" s="705">
        <f t="shared" si="10"/>
        <v>419320</v>
      </c>
      <c r="M1485" s="706">
        <f t="shared" si="11"/>
        <v>13.97733333</v>
      </c>
    </row>
    <row r="1486">
      <c r="A1486" s="702" t="s">
        <v>34152</v>
      </c>
      <c r="B1486" s="702" t="s">
        <v>34154</v>
      </c>
      <c r="C1486" s="707"/>
      <c r="D1486" s="707"/>
      <c r="E1486" s="708" t="s">
        <v>34155</v>
      </c>
      <c r="F1486" s="709">
        <v>100000.0</v>
      </c>
      <c r="G1486" s="708" t="s">
        <v>1082</v>
      </c>
      <c r="H1486" s="709">
        <v>19.5</v>
      </c>
      <c r="I1486" s="705"/>
      <c r="J1486" s="705">
        <f t="shared" si="8"/>
        <v>1950000</v>
      </c>
      <c r="K1486" s="705">
        <f t="shared" si="9"/>
        <v>98500</v>
      </c>
      <c r="L1486" s="705">
        <f t="shared" si="10"/>
        <v>2048500</v>
      </c>
      <c r="M1486" s="706">
        <f t="shared" si="11"/>
        <v>20.485</v>
      </c>
    </row>
    <row r="1487">
      <c r="A1487" s="702" t="s">
        <v>34152</v>
      </c>
      <c r="B1487" s="702" t="s">
        <v>34156</v>
      </c>
      <c r="C1487" s="707"/>
      <c r="D1487" s="707"/>
      <c r="E1487" s="708" t="s">
        <v>87</v>
      </c>
      <c r="F1487" s="709">
        <v>1000.0</v>
      </c>
      <c r="G1487" s="708" t="s">
        <v>1082</v>
      </c>
      <c r="H1487" s="709">
        <v>33.5</v>
      </c>
      <c r="I1487" s="709">
        <v>1000.0</v>
      </c>
      <c r="J1487" s="705">
        <f t="shared" si="8"/>
        <v>34500</v>
      </c>
      <c r="K1487" s="705">
        <f t="shared" si="9"/>
        <v>2725</v>
      </c>
      <c r="L1487" s="705">
        <f t="shared" si="10"/>
        <v>37225</v>
      </c>
      <c r="M1487" s="706">
        <f t="shared" si="11"/>
        <v>37.225</v>
      </c>
    </row>
    <row r="1488">
      <c r="A1488" s="702" t="s">
        <v>34152</v>
      </c>
      <c r="B1488" s="702" t="s">
        <v>34157</v>
      </c>
      <c r="C1488" s="707"/>
      <c r="D1488" s="707"/>
      <c r="E1488" s="708" t="s">
        <v>34158</v>
      </c>
      <c r="F1488" s="709">
        <v>25.0</v>
      </c>
      <c r="G1488" s="708" t="s">
        <v>1082</v>
      </c>
      <c r="H1488" s="709">
        <v>48.0</v>
      </c>
      <c r="I1488" s="709">
        <v>300.0</v>
      </c>
      <c r="J1488" s="705">
        <f t="shared" si="8"/>
        <v>1500</v>
      </c>
      <c r="K1488" s="705">
        <f t="shared" si="9"/>
        <v>1075</v>
      </c>
      <c r="L1488" s="705">
        <f t="shared" si="10"/>
        <v>2575</v>
      </c>
      <c r="M1488" s="706">
        <f t="shared" si="11"/>
        <v>103</v>
      </c>
    </row>
    <row r="1489">
      <c r="A1489" s="702" t="s">
        <v>34152</v>
      </c>
      <c r="B1489" s="702" t="s">
        <v>34159</v>
      </c>
      <c r="C1489" s="707"/>
      <c r="D1489" s="707"/>
      <c r="E1489" s="708" t="s">
        <v>1373</v>
      </c>
      <c r="F1489" s="709">
        <v>50000.0</v>
      </c>
      <c r="G1489" s="708" t="s">
        <v>99</v>
      </c>
      <c r="H1489" s="709">
        <v>13.2</v>
      </c>
      <c r="I1489" s="705"/>
      <c r="J1489" s="705">
        <f t="shared" si="8"/>
        <v>660000</v>
      </c>
      <c r="K1489" s="705">
        <f t="shared" si="9"/>
        <v>34000</v>
      </c>
      <c r="L1489" s="705">
        <f t="shared" si="10"/>
        <v>694000</v>
      </c>
      <c r="M1489" s="706">
        <f t="shared" si="11"/>
        <v>13.88</v>
      </c>
    </row>
    <row r="1490">
      <c r="A1490" s="702" t="s">
        <v>34152</v>
      </c>
      <c r="B1490" s="702" t="s">
        <v>34160</v>
      </c>
      <c r="C1490" s="707"/>
      <c r="D1490" s="707"/>
      <c r="E1490" s="708" t="s">
        <v>32795</v>
      </c>
      <c r="F1490" s="709">
        <v>50.0</v>
      </c>
      <c r="G1490" s="708" t="s">
        <v>1082</v>
      </c>
      <c r="H1490" s="709">
        <v>52.0</v>
      </c>
      <c r="I1490" s="709">
        <v>400.0</v>
      </c>
      <c r="J1490" s="705">
        <f t="shared" si="8"/>
        <v>3000</v>
      </c>
      <c r="K1490" s="705">
        <f t="shared" si="9"/>
        <v>1150</v>
      </c>
      <c r="L1490" s="705">
        <f t="shared" si="10"/>
        <v>4150</v>
      </c>
      <c r="M1490" s="706">
        <f t="shared" si="11"/>
        <v>83</v>
      </c>
    </row>
    <row r="1491">
      <c r="A1491" s="702" t="s">
        <v>34152</v>
      </c>
      <c r="B1491" s="702" t="s">
        <v>34161</v>
      </c>
      <c r="C1491" s="707"/>
      <c r="D1491" s="707"/>
      <c r="E1491" s="708" t="s">
        <v>262</v>
      </c>
      <c r="F1491" s="709">
        <v>10000.0</v>
      </c>
      <c r="G1491" s="708" t="s">
        <v>1082</v>
      </c>
      <c r="H1491" s="709">
        <v>33.8</v>
      </c>
      <c r="I1491" s="705"/>
      <c r="J1491" s="705">
        <f t="shared" si="8"/>
        <v>338000</v>
      </c>
      <c r="K1491" s="705">
        <f t="shared" si="9"/>
        <v>17900</v>
      </c>
      <c r="L1491" s="705">
        <f t="shared" si="10"/>
        <v>355900</v>
      </c>
      <c r="M1491" s="706">
        <f t="shared" si="11"/>
        <v>35.59</v>
      </c>
    </row>
    <row r="1492">
      <c r="A1492" s="702" t="s">
        <v>34152</v>
      </c>
      <c r="B1492" s="702" t="s">
        <v>34162</v>
      </c>
      <c r="C1492" s="707"/>
      <c r="D1492" s="707"/>
      <c r="E1492" s="708" t="s">
        <v>32795</v>
      </c>
      <c r="F1492" s="709">
        <v>10000.0</v>
      </c>
      <c r="G1492" s="708" t="s">
        <v>1082</v>
      </c>
      <c r="H1492" s="709">
        <v>52.0</v>
      </c>
      <c r="I1492" s="705"/>
      <c r="J1492" s="705">
        <f t="shared" si="8"/>
        <v>520000</v>
      </c>
      <c r="K1492" s="705">
        <f t="shared" si="9"/>
        <v>27000</v>
      </c>
      <c r="L1492" s="705">
        <f t="shared" si="10"/>
        <v>547000</v>
      </c>
      <c r="M1492" s="706">
        <f t="shared" si="11"/>
        <v>54.7</v>
      </c>
    </row>
    <row r="1493">
      <c r="A1493" s="702" t="s">
        <v>34152</v>
      </c>
      <c r="B1493" s="702" t="s">
        <v>34163</v>
      </c>
      <c r="C1493" s="707"/>
      <c r="D1493" s="707"/>
      <c r="E1493" s="708" t="s">
        <v>1675</v>
      </c>
      <c r="F1493" s="709">
        <v>25.0</v>
      </c>
      <c r="G1493" s="708" t="s">
        <v>1082</v>
      </c>
      <c r="H1493" s="709">
        <v>425.0</v>
      </c>
      <c r="I1493" s="709">
        <v>300.0</v>
      </c>
      <c r="J1493" s="705">
        <f t="shared" si="8"/>
        <v>10925</v>
      </c>
      <c r="K1493" s="705">
        <f t="shared" si="9"/>
        <v>1546.25</v>
      </c>
      <c r="L1493" s="705">
        <f t="shared" si="10"/>
        <v>12471.25</v>
      </c>
      <c r="M1493" s="706">
        <f t="shared" si="11"/>
        <v>498.85</v>
      </c>
    </row>
    <row r="1494">
      <c r="A1494" s="702" t="s">
        <v>34152</v>
      </c>
      <c r="B1494" s="702" t="s">
        <v>34164</v>
      </c>
      <c r="C1494" s="707"/>
      <c r="D1494" s="707"/>
      <c r="E1494" s="708" t="s">
        <v>3165</v>
      </c>
      <c r="F1494" s="709">
        <v>250.0</v>
      </c>
      <c r="G1494" s="708" t="s">
        <v>34165</v>
      </c>
      <c r="H1494" s="709">
        <v>79.0</v>
      </c>
      <c r="I1494" s="709">
        <v>500.0</v>
      </c>
      <c r="J1494" s="705">
        <f t="shared" si="8"/>
        <v>20250</v>
      </c>
      <c r="K1494" s="705">
        <f t="shared" si="9"/>
        <v>2012.5</v>
      </c>
      <c r="L1494" s="705">
        <f t="shared" si="10"/>
        <v>22262.5</v>
      </c>
      <c r="M1494" s="706">
        <f t="shared" si="11"/>
        <v>89.05</v>
      </c>
    </row>
    <row r="1495">
      <c r="A1495" s="702" t="s">
        <v>34152</v>
      </c>
      <c r="B1495" s="702" t="s">
        <v>34166</v>
      </c>
      <c r="C1495" s="707"/>
      <c r="D1495" s="707"/>
      <c r="E1495" s="708" t="s">
        <v>6421</v>
      </c>
      <c r="F1495" s="709">
        <v>400.0</v>
      </c>
      <c r="G1495" s="708" t="s">
        <v>1082</v>
      </c>
      <c r="H1495" s="709">
        <v>9.5</v>
      </c>
      <c r="I1495" s="709">
        <v>500.0</v>
      </c>
      <c r="J1495" s="705">
        <f t="shared" si="8"/>
        <v>4300</v>
      </c>
      <c r="K1495" s="705">
        <f t="shared" si="9"/>
        <v>1215</v>
      </c>
      <c r="L1495" s="705">
        <f t="shared" si="10"/>
        <v>5515</v>
      </c>
      <c r="M1495" s="706">
        <f t="shared" si="11"/>
        <v>13.7875</v>
      </c>
    </row>
    <row r="1496">
      <c r="A1496" s="702" t="s">
        <v>34152</v>
      </c>
      <c r="B1496" s="702" t="s">
        <v>34167</v>
      </c>
      <c r="C1496" s="707"/>
      <c r="D1496" s="707"/>
      <c r="E1496" s="708" t="s">
        <v>207</v>
      </c>
      <c r="F1496" s="709">
        <v>1000.0</v>
      </c>
      <c r="G1496" s="708" t="s">
        <v>1082</v>
      </c>
      <c r="H1496" s="709">
        <v>13.0</v>
      </c>
      <c r="I1496" s="709">
        <v>1500.0</v>
      </c>
      <c r="J1496" s="705">
        <f t="shared" si="8"/>
        <v>14500</v>
      </c>
      <c r="K1496" s="705">
        <f t="shared" si="9"/>
        <v>1725</v>
      </c>
      <c r="L1496" s="705">
        <f t="shared" si="10"/>
        <v>16225</v>
      </c>
      <c r="M1496" s="706">
        <f t="shared" si="11"/>
        <v>16.225</v>
      </c>
    </row>
    <row r="1497">
      <c r="A1497" s="702" t="s">
        <v>34152</v>
      </c>
      <c r="B1497" s="96" t="s">
        <v>34168</v>
      </c>
      <c r="C1497" s="707"/>
      <c r="D1497" s="707"/>
      <c r="E1497" s="708" t="s">
        <v>167</v>
      </c>
      <c r="F1497" s="709">
        <v>50.0</v>
      </c>
      <c r="G1497" s="708" t="s">
        <v>742</v>
      </c>
      <c r="H1497" s="709">
        <v>13.0</v>
      </c>
      <c r="I1497" s="709">
        <v>400.0</v>
      </c>
      <c r="J1497" s="705">
        <f t="shared" si="8"/>
        <v>1050</v>
      </c>
      <c r="K1497" s="705">
        <f t="shared" si="9"/>
        <v>1052.5</v>
      </c>
      <c r="L1497" s="705">
        <f t="shared" si="10"/>
        <v>2102.5</v>
      </c>
      <c r="M1497" s="706">
        <f t="shared" si="11"/>
        <v>42.05</v>
      </c>
    </row>
    <row r="1498">
      <c r="A1498" s="702" t="s">
        <v>34152</v>
      </c>
      <c r="B1498" s="702" t="s">
        <v>34169</v>
      </c>
      <c r="C1498" s="707"/>
      <c r="D1498" s="707"/>
      <c r="E1498" s="708" t="s">
        <v>32720</v>
      </c>
      <c r="F1498" s="709">
        <v>1000.0</v>
      </c>
      <c r="G1498" s="708" t="s">
        <v>349</v>
      </c>
      <c r="H1498" s="709">
        <v>3.2</v>
      </c>
      <c r="I1498" s="705"/>
      <c r="J1498" s="705">
        <f t="shared" si="8"/>
        <v>3200</v>
      </c>
      <c r="K1498" s="705">
        <f t="shared" si="9"/>
        <v>1160</v>
      </c>
      <c r="L1498" s="705">
        <f t="shared" si="10"/>
        <v>4360</v>
      </c>
      <c r="M1498" s="706">
        <f t="shared" si="11"/>
        <v>4.36</v>
      </c>
    </row>
    <row r="1499">
      <c r="A1499" s="702" t="s">
        <v>34152</v>
      </c>
      <c r="B1499" s="702" t="s">
        <v>33902</v>
      </c>
      <c r="C1499" s="707"/>
      <c r="D1499" s="707"/>
      <c r="E1499" s="708" t="s">
        <v>872</v>
      </c>
      <c r="F1499" s="709">
        <v>500.0</v>
      </c>
      <c r="G1499" s="526" t="s">
        <v>2662</v>
      </c>
      <c r="H1499" s="709">
        <v>115.0</v>
      </c>
      <c r="I1499" s="709">
        <v>1000.0</v>
      </c>
      <c r="J1499" s="705">
        <f t="shared" si="8"/>
        <v>58500</v>
      </c>
      <c r="K1499" s="705">
        <f t="shared" si="9"/>
        <v>3925</v>
      </c>
      <c r="L1499" s="705">
        <f t="shared" si="10"/>
        <v>62425</v>
      </c>
      <c r="M1499" s="706">
        <f t="shared" si="11"/>
        <v>124.85</v>
      </c>
    </row>
    <row r="1500">
      <c r="A1500" s="702" t="s">
        <v>34152</v>
      </c>
      <c r="B1500" s="702" t="s">
        <v>33902</v>
      </c>
      <c r="C1500" s="707"/>
      <c r="D1500" s="707"/>
      <c r="E1500" s="708" t="s">
        <v>34170</v>
      </c>
      <c r="F1500" s="709">
        <v>100.0</v>
      </c>
      <c r="G1500" s="708" t="s">
        <v>1461</v>
      </c>
      <c r="H1500" s="709">
        <v>25.0</v>
      </c>
      <c r="I1500" s="709">
        <v>500.0</v>
      </c>
      <c r="J1500" s="705">
        <f t="shared" si="8"/>
        <v>3000</v>
      </c>
      <c r="K1500" s="705">
        <f t="shared" si="9"/>
        <v>1150</v>
      </c>
      <c r="L1500" s="705">
        <f t="shared" si="10"/>
        <v>4150</v>
      </c>
      <c r="M1500" s="706">
        <f t="shared" si="11"/>
        <v>41.5</v>
      </c>
    </row>
    <row r="1501">
      <c r="A1501" s="702" t="s">
        <v>34152</v>
      </c>
      <c r="B1501" s="702" t="s">
        <v>34171</v>
      </c>
      <c r="C1501" s="707"/>
      <c r="D1501" s="707"/>
      <c r="E1501" s="708" t="s">
        <v>3165</v>
      </c>
      <c r="F1501" s="709">
        <v>250.0</v>
      </c>
      <c r="G1501" s="708" t="s">
        <v>449</v>
      </c>
      <c r="H1501" s="709">
        <v>79.0</v>
      </c>
      <c r="I1501" s="709">
        <v>500.0</v>
      </c>
      <c r="J1501" s="705">
        <f t="shared" si="8"/>
        <v>20250</v>
      </c>
      <c r="K1501" s="705">
        <f t="shared" si="9"/>
        <v>2012.5</v>
      </c>
      <c r="L1501" s="705">
        <f t="shared" si="10"/>
        <v>22262.5</v>
      </c>
      <c r="M1501" s="706">
        <f t="shared" si="11"/>
        <v>89.05</v>
      </c>
    </row>
    <row r="1502">
      <c r="A1502" s="702" t="s">
        <v>34152</v>
      </c>
      <c r="B1502" s="702" t="s">
        <v>34172</v>
      </c>
      <c r="C1502" s="707"/>
      <c r="D1502" s="707"/>
      <c r="E1502" s="708" t="s">
        <v>167</v>
      </c>
      <c r="F1502" s="709">
        <v>60.0</v>
      </c>
      <c r="G1502" s="708" t="s">
        <v>2682</v>
      </c>
      <c r="H1502" s="709">
        <v>13.0</v>
      </c>
      <c r="I1502" s="709">
        <v>300.0</v>
      </c>
      <c r="J1502" s="705">
        <f t="shared" si="8"/>
        <v>1080</v>
      </c>
      <c r="K1502" s="705">
        <f t="shared" si="9"/>
        <v>1054</v>
      </c>
      <c r="L1502" s="705">
        <f t="shared" si="10"/>
        <v>2134</v>
      </c>
      <c r="M1502" s="706">
        <f t="shared" si="11"/>
        <v>35.56666667</v>
      </c>
    </row>
    <row r="1503">
      <c r="A1503" s="702" t="s">
        <v>34152</v>
      </c>
      <c r="B1503" s="702" t="s">
        <v>34173</v>
      </c>
      <c r="C1503" s="707"/>
      <c r="D1503" s="707"/>
      <c r="E1503" s="708" t="s">
        <v>19156</v>
      </c>
      <c r="F1503" s="709">
        <v>10000.0</v>
      </c>
      <c r="G1503" s="708" t="s">
        <v>507</v>
      </c>
      <c r="H1503" s="709">
        <v>25.0</v>
      </c>
      <c r="I1503" s="705"/>
      <c r="J1503" s="705">
        <f t="shared" si="8"/>
        <v>250000</v>
      </c>
      <c r="K1503" s="705">
        <f t="shared" si="9"/>
        <v>13500</v>
      </c>
      <c r="L1503" s="705">
        <f t="shared" si="10"/>
        <v>263500</v>
      </c>
      <c r="M1503" s="706">
        <f t="shared" si="11"/>
        <v>26.35</v>
      </c>
    </row>
    <row r="1504">
      <c r="A1504" s="702" t="s">
        <v>34152</v>
      </c>
      <c r="B1504" s="702" t="s">
        <v>33902</v>
      </c>
      <c r="C1504" s="707"/>
      <c r="D1504" s="707"/>
      <c r="E1504" s="708" t="s">
        <v>1285</v>
      </c>
      <c r="F1504" s="709">
        <v>10000.0</v>
      </c>
      <c r="G1504" s="708" t="s">
        <v>507</v>
      </c>
      <c r="H1504" s="709">
        <v>10.5</v>
      </c>
      <c r="I1504" s="705"/>
      <c r="J1504" s="705">
        <f t="shared" si="8"/>
        <v>105000</v>
      </c>
      <c r="K1504" s="705">
        <f t="shared" si="9"/>
        <v>6250</v>
      </c>
      <c r="L1504" s="705">
        <f t="shared" si="10"/>
        <v>111250</v>
      </c>
      <c r="M1504" s="706">
        <f t="shared" si="11"/>
        <v>11.125</v>
      </c>
    </row>
    <row r="1505">
      <c r="A1505" s="702" t="s">
        <v>34152</v>
      </c>
      <c r="B1505" s="702" t="s">
        <v>33902</v>
      </c>
      <c r="C1505" s="707"/>
      <c r="D1505" s="707"/>
      <c r="E1505" s="708" t="s">
        <v>152</v>
      </c>
      <c r="F1505" s="709">
        <v>2000.0</v>
      </c>
      <c r="G1505" s="708" t="s">
        <v>507</v>
      </c>
      <c r="H1505" s="709">
        <v>19.0</v>
      </c>
      <c r="I1505" s="709">
        <v>2000.0</v>
      </c>
      <c r="J1505" s="705">
        <f t="shared" si="8"/>
        <v>40000</v>
      </c>
      <c r="K1505" s="705">
        <f t="shared" si="9"/>
        <v>3000</v>
      </c>
      <c r="L1505" s="705">
        <f t="shared" si="10"/>
        <v>43000</v>
      </c>
      <c r="M1505" s="706">
        <f t="shared" si="11"/>
        <v>21.5</v>
      </c>
    </row>
    <row r="1506">
      <c r="A1506" s="702" t="s">
        <v>34152</v>
      </c>
      <c r="B1506" s="702" t="s">
        <v>33902</v>
      </c>
      <c r="C1506" s="707"/>
      <c r="D1506" s="707"/>
      <c r="E1506" s="708" t="s">
        <v>34078</v>
      </c>
      <c r="F1506" s="709">
        <v>50000.0</v>
      </c>
      <c r="G1506" s="708" t="s">
        <v>44</v>
      </c>
      <c r="H1506" s="709">
        <v>4.0</v>
      </c>
      <c r="I1506" s="705"/>
      <c r="J1506" s="705">
        <f t="shared" si="8"/>
        <v>200000</v>
      </c>
      <c r="K1506" s="705">
        <f t="shared" si="9"/>
        <v>11000</v>
      </c>
      <c r="L1506" s="705">
        <f t="shared" si="10"/>
        <v>211000</v>
      </c>
      <c r="M1506" s="706">
        <f t="shared" si="11"/>
        <v>4.22</v>
      </c>
    </row>
    <row r="1507">
      <c r="A1507" s="702" t="s">
        <v>34152</v>
      </c>
      <c r="B1507" s="702" t="s">
        <v>33902</v>
      </c>
      <c r="C1507" s="707"/>
      <c r="D1507" s="707"/>
      <c r="E1507" s="708" t="s">
        <v>9283</v>
      </c>
      <c r="F1507" s="709">
        <v>100.0</v>
      </c>
      <c r="G1507" s="708" t="s">
        <v>44</v>
      </c>
      <c r="H1507" s="709">
        <v>10.0</v>
      </c>
      <c r="I1507" s="709">
        <v>500.0</v>
      </c>
      <c r="J1507" s="705">
        <f t="shared" si="8"/>
        <v>1500</v>
      </c>
      <c r="K1507" s="705">
        <f t="shared" si="9"/>
        <v>1075</v>
      </c>
      <c r="L1507" s="705">
        <f t="shared" si="10"/>
        <v>2575</v>
      </c>
      <c r="M1507" s="706">
        <f t="shared" si="11"/>
        <v>25.75</v>
      </c>
    </row>
    <row r="1508">
      <c r="A1508" s="702" t="s">
        <v>34152</v>
      </c>
      <c r="B1508" s="702" t="s">
        <v>34085</v>
      </c>
      <c r="C1508" s="707"/>
      <c r="D1508" s="707"/>
      <c r="E1508" s="708" t="s">
        <v>1675</v>
      </c>
      <c r="F1508" s="709">
        <v>1000.0</v>
      </c>
      <c r="G1508" s="708" t="s">
        <v>44</v>
      </c>
      <c r="H1508" s="709">
        <v>425.0</v>
      </c>
      <c r="I1508" s="709">
        <v>1000.0</v>
      </c>
      <c r="J1508" s="705">
        <f t="shared" si="8"/>
        <v>426000</v>
      </c>
      <c r="K1508" s="705">
        <f t="shared" si="9"/>
        <v>22300</v>
      </c>
      <c r="L1508" s="705">
        <f t="shared" si="10"/>
        <v>448300</v>
      </c>
      <c r="M1508" s="706">
        <f t="shared" si="11"/>
        <v>448.3</v>
      </c>
    </row>
    <row r="1509">
      <c r="A1509" s="702" t="s">
        <v>34152</v>
      </c>
      <c r="B1509" s="702" t="s">
        <v>34174</v>
      </c>
      <c r="C1509" s="707"/>
      <c r="D1509" s="707"/>
      <c r="E1509" s="708" t="s">
        <v>19156</v>
      </c>
      <c r="F1509" s="709">
        <v>1000.0</v>
      </c>
      <c r="G1509" s="708" t="s">
        <v>10503</v>
      </c>
      <c r="H1509" s="709">
        <v>25.0</v>
      </c>
      <c r="I1509" s="709">
        <v>1500.0</v>
      </c>
      <c r="J1509" s="705">
        <f t="shared" si="8"/>
        <v>26500</v>
      </c>
      <c r="K1509" s="705">
        <f t="shared" si="9"/>
        <v>2325</v>
      </c>
      <c r="L1509" s="705">
        <f t="shared" si="10"/>
        <v>28825</v>
      </c>
      <c r="M1509" s="706">
        <f t="shared" si="11"/>
        <v>28.825</v>
      </c>
    </row>
    <row r="1510">
      <c r="A1510" s="702" t="s">
        <v>34175</v>
      </c>
      <c r="B1510" s="702" t="s">
        <v>33902</v>
      </c>
      <c r="C1510" s="707"/>
      <c r="D1510" s="707"/>
      <c r="E1510" s="708" t="s">
        <v>16415</v>
      </c>
      <c r="F1510" s="709">
        <v>100.0</v>
      </c>
      <c r="G1510" s="708" t="s">
        <v>44</v>
      </c>
      <c r="H1510" s="709">
        <v>35.0</v>
      </c>
      <c r="I1510" s="709">
        <v>500.0</v>
      </c>
      <c r="J1510" s="705">
        <f t="shared" si="8"/>
        <v>4000</v>
      </c>
      <c r="K1510" s="705">
        <f t="shared" si="9"/>
        <v>1200</v>
      </c>
      <c r="L1510" s="705">
        <f t="shared" si="10"/>
        <v>5200</v>
      </c>
      <c r="M1510" s="706">
        <f t="shared" si="11"/>
        <v>52</v>
      </c>
    </row>
    <row r="1511">
      <c r="A1511" s="702" t="s">
        <v>34175</v>
      </c>
      <c r="B1511" s="702" t="s">
        <v>34176</v>
      </c>
      <c r="C1511" s="707"/>
      <c r="D1511" s="707"/>
      <c r="E1511" s="708" t="s">
        <v>34177</v>
      </c>
      <c r="F1511" s="709">
        <v>100.0</v>
      </c>
      <c r="G1511" s="708" t="s">
        <v>44</v>
      </c>
      <c r="H1511" s="709">
        <v>42.0</v>
      </c>
      <c r="I1511" s="709">
        <v>300.0</v>
      </c>
      <c r="J1511" s="705">
        <f t="shared" si="8"/>
        <v>4500</v>
      </c>
      <c r="K1511" s="705">
        <f t="shared" si="9"/>
        <v>1225</v>
      </c>
      <c r="L1511" s="705">
        <f t="shared" si="10"/>
        <v>5725</v>
      </c>
      <c r="M1511" s="706">
        <f t="shared" si="11"/>
        <v>57.25</v>
      </c>
    </row>
    <row r="1512">
      <c r="A1512" s="702" t="s">
        <v>34175</v>
      </c>
      <c r="B1512" s="702" t="s">
        <v>34176</v>
      </c>
      <c r="C1512" s="707"/>
      <c r="D1512" s="707"/>
      <c r="E1512" s="708" t="s">
        <v>147</v>
      </c>
      <c r="F1512" s="709">
        <v>100.0</v>
      </c>
      <c r="G1512" s="708" t="s">
        <v>44</v>
      </c>
      <c r="H1512" s="709">
        <v>9.0</v>
      </c>
      <c r="I1512" s="709">
        <v>300.0</v>
      </c>
      <c r="J1512" s="705">
        <f t="shared" si="8"/>
        <v>1200</v>
      </c>
      <c r="K1512" s="705">
        <f t="shared" si="9"/>
        <v>1060</v>
      </c>
      <c r="L1512" s="705">
        <f t="shared" si="10"/>
        <v>2260</v>
      </c>
      <c r="M1512" s="706">
        <f t="shared" si="11"/>
        <v>22.6</v>
      </c>
    </row>
    <row r="1513">
      <c r="A1513" s="702" t="s">
        <v>34175</v>
      </c>
      <c r="B1513" s="702" t="s">
        <v>34176</v>
      </c>
      <c r="C1513" s="707"/>
      <c r="D1513" s="707"/>
      <c r="E1513" s="708" t="s">
        <v>1890</v>
      </c>
      <c r="F1513" s="709">
        <v>100.0</v>
      </c>
      <c r="G1513" s="708" t="s">
        <v>44</v>
      </c>
      <c r="H1513" s="709">
        <v>24.0</v>
      </c>
      <c r="I1513" s="709">
        <v>300.0</v>
      </c>
      <c r="J1513" s="705">
        <f t="shared" si="8"/>
        <v>2700</v>
      </c>
      <c r="K1513" s="705">
        <f t="shared" si="9"/>
        <v>1135</v>
      </c>
      <c r="L1513" s="705">
        <f t="shared" si="10"/>
        <v>3835</v>
      </c>
      <c r="M1513" s="706">
        <f t="shared" si="11"/>
        <v>38.35</v>
      </c>
    </row>
    <row r="1514">
      <c r="A1514" s="702" t="s">
        <v>34175</v>
      </c>
      <c r="B1514" s="702" t="s">
        <v>34178</v>
      </c>
      <c r="C1514" s="707"/>
      <c r="D1514" s="707"/>
      <c r="E1514" s="708" t="s">
        <v>20130</v>
      </c>
      <c r="F1514" s="709">
        <v>10000.0</v>
      </c>
      <c r="G1514" s="708" t="s">
        <v>44</v>
      </c>
      <c r="H1514" s="709">
        <v>18.0</v>
      </c>
      <c r="I1514" s="705"/>
      <c r="J1514" s="705">
        <f t="shared" si="8"/>
        <v>180000</v>
      </c>
      <c r="K1514" s="705">
        <f t="shared" si="9"/>
        <v>10000</v>
      </c>
      <c r="L1514" s="705">
        <f t="shared" si="10"/>
        <v>190000</v>
      </c>
      <c r="M1514" s="706">
        <f t="shared" si="11"/>
        <v>19</v>
      </c>
    </row>
    <row r="1515">
      <c r="A1515" s="702" t="s">
        <v>34175</v>
      </c>
      <c r="B1515" s="702" t="s">
        <v>34179</v>
      </c>
      <c r="C1515" s="707"/>
      <c r="D1515" s="707"/>
      <c r="E1515" s="708" t="s">
        <v>3341</v>
      </c>
      <c r="F1515" s="709">
        <v>1000.0</v>
      </c>
      <c r="G1515" s="708" t="s">
        <v>44</v>
      </c>
      <c r="H1515" s="709">
        <v>17.0</v>
      </c>
      <c r="I1515" s="709">
        <v>1000.0</v>
      </c>
      <c r="J1515" s="705">
        <f t="shared" si="8"/>
        <v>18000</v>
      </c>
      <c r="K1515" s="705">
        <f t="shared" si="9"/>
        <v>1900</v>
      </c>
      <c r="L1515" s="705">
        <f t="shared" si="10"/>
        <v>19900</v>
      </c>
      <c r="M1515" s="706">
        <f t="shared" si="11"/>
        <v>19.9</v>
      </c>
    </row>
    <row r="1516">
      <c r="A1516" s="726"/>
      <c r="B1516" s="702"/>
      <c r="C1516" s="707"/>
      <c r="D1516" s="707"/>
      <c r="E1516" s="708"/>
      <c r="F1516" s="709"/>
      <c r="G1516" s="708"/>
      <c r="H1516" s="705"/>
      <c r="I1516" s="705"/>
      <c r="J1516" s="705"/>
      <c r="K1516" s="705"/>
      <c r="L1516" s="705"/>
      <c r="M1516" s="706"/>
    </row>
    <row r="1517">
      <c r="A1517" s="702" t="s">
        <v>34175</v>
      </c>
      <c r="B1517" s="702" t="s">
        <v>34180</v>
      </c>
      <c r="C1517" s="707"/>
      <c r="D1517" s="707"/>
      <c r="E1517" s="708" t="s">
        <v>33908</v>
      </c>
      <c r="F1517" s="709">
        <v>10000.0</v>
      </c>
      <c r="G1517" s="708" t="s">
        <v>184</v>
      </c>
      <c r="H1517" s="709">
        <v>12.0</v>
      </c>
      <c r="I1517" s="705"/>
      <c r="J1517" s="705">
        <f t="shared" ref="J1517:J1571" si="12">(F1517*H1517)+I1517</f>
        <v>120000</v>
      </c>
      <c r="K1517" s="705">
        <f t="shared" ref="K1517:K1571" si="13">(1000+J1517*5%)</f>
        <v>7000</v>
      </c>
      <c r="L1517" s="705">
        <f t="shared" ref="L1517:L1571" si="14">(J1517+K1517)</f>
        <v>127000</v>
      </c>
      <c r="M1517" s="706">
        <f t="shared" ref="M1517:M1571" si="15">(L1517/F1517)</f>
        <v>12.7</v>
      </c>
    </row>
    <row r="1518">
      <c r="A1518" s="702" t="s">
        <v>34175</v>
      </c>
      <c r="B1518" s="702" t="s">
        <v>33902</v>
      </c>
      <c r="C1518" s="707"/>
      <c r="D1518" s="707"/>
      <c r="E1518" s="708" t="s">
        <v>34181</v>
      </c>
      <c r="F1518" s="709">
        <v>500.0</v>
      </c>
      <c r="G1518" s="708" t="s">
        <v>519</v>
      </c>
      <c r="H1518" s="709">
        <v>6.2</v>
      </c>
      <c r="I1518" s="709">
        <v>250.0</v>
      </c>
      <c r="J1518" s="705">
        <f t="shared" si="12"/>
        <v>3350</v>
      </c>
      <c r="K1518" s="705">
        <f t="shared" si="13"/>
        <v>1167.5</v>
      </c>
      <c r="L1518" s="705">
        <f t="shared" si="14"/>
        <v>4517.5</v>
      </c>
      <c r="M1518" s="706">
        <f t="shared" si="15"/>
        <v>9.035</v>
      </c>
    </row>
    <row r="1519">
      <c r="A1519" s="702" t="s">
        <v>34175</v>
      </c>
      <c r="B1519" s="702" t="s">
        <v>33902</v>
      </c>
      <c r="C1519" s="707"/>
      <c r="D1519" s="707"/>
      <c r="E1519" s="708" t="s">
        <v>7197</v>
      </c>
      <c r="F1519" s="709">
        <v>1000.0</v>
      </c>
      <c r="G1519" s="708" t="s">
        <v>34182</v>
      </c>
      <c r="H1519" s="709">
        <v>17.0</v>
      </c>
      <c r="I1519" s="709">
        <v>1000.0</v>
      </c>
      <c r="J1519" s="705">
        <f t="shared" si="12"/>
        <v>18000</v>
      </c>
      <c r="K1519" s="705">
        <f t="shared" si="13"/>
        <v>1900</v>
      </c>
      <c r="L1519" s="705">
        <f t="shared" si="14"/>
        <v>19900</v>
      </c>
      <c r="M1519" s="706">
        <f t="shared" si="15"/>
        <v>19.9</v>
      </c>
    </row>
    <row r="1520">
      <c r="A1520" s="702" t="s">
        <v>34175</v>
      </c>
      <c r="B1520" s="702" t="s">
        <v>33902</v>
      </c>
      <c r="C1520" s="707"/>
      <c r="D1520" s="707"/>
      <c r="E1520" s="708" t="s">
        <v>34170</v>
      </c>
      <c r="F1520" s="709">
        <v>10000.0</v>
      </c>
      <c r="G1520" s="720" t="s">
        <v>507</v>
      </c>
      <c r="H1520" s="709">
        <v>25.0</v>
      </c>
      <c r="I1520" s="705"/>
      <c r="J1520" s="705">
        <f t="shared" si="12"/>
        <v>250000</v>
      </c>
      <c r="K1520" s="705">
        <f t="shared" si="13"/>
        <v>13500</v>
      </c>
      <c r="L1520" s="705">
        <f t="shared" si="14"/>
        <v>263500</v>
      </c>
      <c r="M1520" s="706">
        <f t="shared" si="15"/>
        <v>26.35</v>
      </c>
    </row>
    <row r="1521">
      <c r="A1521" s="702" t="s">
        <v>34175</v>
      </c>
      <c r="B1521" s="702" t="s">
        <v>33902</v>
      </c>
      <c r="C1521" s="707"/>
      <c r="D1521" s="707"/>
      <c r="E1521" s="708" t="s">
        <v>33996</v>
      </c>
      <c r="F1521" s="709">
        <v>50.0</v>
      </c>
      <c r="G1521" s="708" t="s">
        <v>507</v>
      </c>
      <c r="H1521" s="709">
        <v>13.0</v>
      </c>
      <c r="I1521" s="709">
        <v>300.0</v>
      </c>
      <c r="J1521" s="705">
        <f t="shared" si="12"/>
        <v>950</v>
      </c>
      <c r="K1521" s="705">
        <f t="shared" si="13"/>
        <v>1047.5</v>
      </c>
      <c r="L1521" s="705">
        <f t="shared" si="14"/>
        <v>1997.5</v>
      </c>
      <c r="M1521" s="706">
        <f t="shared" si="15"/>
        <v>39.95</v>
      </c>
    </row>
    <row r="1522">
      <c r="A1522" s="702" t="s">
        <v>34175</v>
      </c>
      <c r="B1522" s="702" t="s">
        <v>34183</v>
      </c>
      <c r="C1522" s="707"/>
      <c r="D1522" s="707"/>
      <c r="E1522" s="708" t="s">
        <v>130</v>
      </c>
      <c r="F1522" s="709">
        <v>300000.0</v>
      </c>
      <c r="G1522" s="708" t="s">
        <v>44</v>
      </c>
      <c r="H1522" s="709">
        <v>25.0</v>
      </c>
      <c r="I1522" s="705"/>
      <c r="J1522" s="705">
        <f t="shared" si="12"/>
        <v>7500000</v>
      </c>
      <c r="K1522" s="705">
        <f t="shared" si="13"/>
        <v>376000</v>
      </c>
      <c r="L1522" s="705">
        <f t="shared" si="14"/>
        <v>7876000</v>
      </c>
      <c r="M1522" s="706">
        <f t="shared" si="15"/>
        <v>26.25333333</v>
      </c>
    </row>
    <row r="1523">
      <c r="A1523" s="702" t="s">
        <v>34175</v>
      </c>
      <c r="B1523" s="702" t="s">
        <v>34184</v>
      </c>
      <c r="C1523" s="707"/>
      <c r="D1523" s="707"/>
      <c r="E1523" s="708" t="s">
        <v>11808</v>
      </c>
      <c r="F1523" s="709">
        <v>20.0</v>
      </c>
      <c r="G1523" s="708" t="s">
        <v>44</v>
      </c>
      <c r="H1523" s="709">
        <v>4.0</v>
      </c>
      <c r="I1523" s="709">
        <v>300.0</v>
      </c>
      <c r="J1523" s="705">
        <f t="shared" si="12"/>
        <v>380</v>
      </c>
      <c r="K1523" s="705">
        <f t="shared" si="13"/>
        <v>1019</v>
      </c>
      <c r="L1523" s="705">
        <f t="shared" si="14"/>
        <v>1399</v>
      </c>
      <c r="M1523" s="706">
        <f t="shared" si="15"/>
        <v>69.95</v>
      </c>
    </row>
    <row r="1524">
      <c r="A1524" s="702" t="s">
        <v>34175</v>
      </c>
      <c r="B1524" s="702" t="s">
        <v>34185</v>
      </c>
      <c r="C1524" s="707"/>
      <c r="D1524" s="707"/>
      <c r="E1524" s="708" t="s">
        <v>32795</v>
      </c>
      <c r="F1524" s="709">
        <v>500.0</v>
      </c>
      <c r="G1524" s="708" t="s">
        <v>985</v>
      </c>
      <c r="H1524" s="709">
        <v>52.0</v>
      </c>
      <c r="I1524" s="709">
        <v>500.0</v>
      </c>
      <c r="J1524" s="705">
        <f t="shared" si="12"/>
        <v>26500</v>
      </c>
      <c r="K1524" s="705">
        <f t="shared" si="13"/>
        <v>2325</v>
      </c>
      <c r="L1524" s="705">
        <f t="shared" si="14"/>
        <v>28825</v>
      </c>
      <c r="M1524" s="706">
        <f t="shared" si="15"/>
        <v>57.65</v>
      </c>
    </row>
    <row r="1525">
      <c r="A1525" s="702" t="s">
        <v>34175</v>
      </c>
      <c r="B1525" s="702" t="s">
        <v>34186</v>
      </c>
      <c r="C1525" s="707"/>
      <c r="D1525" s="707"/>
      <c r="E1525" s="708" t="s">
        <v>718</v>
      </c>
      <c r="F1525" s="709">
        <v>100000.0</v>
      </c>
      <c r="G1525" s="708" t="s">
        <v>44</v>
      </c>
      <c r="H1525" s="709">
        <v>4.8</v>
      </c>
      <c r="I1525" s="705"/>
      <c r="J1525" s="705">
        <f t="shared" si="12"/>
        <v>480000</v>
      </c>
      <c r="K1525" s="705">
        <f t="shared" si="13"/>
        <v>25000</v>
      </c>
      <c r="L1525" s="705">
        <f t="shared" si="14"/>
        <v>505000</v>
      </c>
      <c r="M1525" s="706">
        <f t="shared" si="15"/>
        <v>5.05</v>
      </c>
    </row>
    <row r="1526">
      <c r="A1526" s="702" t="s">
        <v>34175</v>
      </c>
      <c r="B1526" s="702" t="s">
        <v>34187</v>
      </c>
      <c r="C1526" s="707"/>
      <c r="D1526" s="707"/>
      <c r="E1526" s="708" t="s">
        <v>33996</v>
      </c>
      <c r="F1526" s="709">
        <v>10.0</v>
      </c>
      <c r="G1526" s="720" t="s">
        <v>507</v>
      </c>
      <c r="H1526" s="709">
        <v>13.0</v>
      </c>
      <c r="I1526" s="709">
        <v>200.0</v>
      </c>
      <c r="J1526" s="705">
        <f t="shared" si="12"/>
        <v>330</v>
      </c>
      <c r="K1526" s="705">
        <f t="shared" si="13"/>
        <v>1016.5</v>
      </c>
      <c r="L1526" s="705">
        <f t="shared" si="14"/>
        <v>1346.5</v>
      </c>
      <c r="M1526" s="706">
        <f t="shared" si="15"/>
        <v>134.65</v>
      </c>
    </row>
    <row r="1527">
      <c r="A1527" s="702" t="s">
        <v>34175</v>
      </c>
      <c r="B1527" s="702" t="s">
        <v>34188</v>
      </c>
      <c r="C1527" s="707"/>
      <c r="D1527" s="707"/>
      <c r="E1527" s="708" t="s">
        <v>147</v>
      </c>
      <c r="F1527" s="709">
        <v>20000.0</v>
      </c>
      <c r="G1527" s="708" t="s">
        <v>17213</v>
      </c>
      <c r="H1527" s="709">
        <v>9.0</v>
      </c>
      <c r="I1527" s="705"/>
      <c r="J1527" s="705">
        <f t="shared" si="12"/>
        <v>180000</v>
      </c>
      <c r="K1527" s="705">
        <f t="shared" si="13"/>
        <v>10000</v>
      </c>
      <c r="L1527" s="705">
        <f t="shared" si="14"/>
        <v>190000</v>
      </c>
      <c r="M1527" s="706">
        <f t="shared" si="15"/>
        <v>9.5</v>
      </c>
    </row>
    <row r="1528">
      <c r="A1528" s="702" t="s">
        <v>34175</v>
      </c>
      <c r="B1528" s="702" t="s">
        <v>34189</v>
      </c>
      <c r="C1528" s="707"/>
      <c r="D1528" s="707"/>
      <c r="E1528" s="708" t="s">
        <v>15040</v>
      </c>
      <c r="F1528" s="709">
        <v>650.0</v>
      </c>
      <c r="G1528" s="708" t="s">
        <v>20765</v>
      </c>
      <c r="H1528" s="709">
        <v>30.0</v>
      </c>
      <c r="I1528" s="709">
        <v>1000.0</v>
      </c>
      <c r="J1528" s="705">
        <f t="shared" si="12"/>
        <v>20500</v>
      </c>
      <c r="K1528" s="705">
        <f t="shared" si="13"/>
        <v>2025</v>
      </c>
      <c r="L1528" s="705">
        <f t="shared" si="14"/>
        <v>22525</v>
      </c>
      <c r="M1528" s="706">
        <f t="shared" si="15"/>
        <v>34.65384615</v>
      </c>
    </row>
    <row r="1529">
      <c r="A1529" s="702" t="s">
        <v>34175</v>
      </c>
      <c r="B1529" s="702" t="s">
        <v>34190</v>
      </c>
      <c r="C1529" s="707"/>
      <c r="D1529" s="707"/>
      <c r="E1529" s="720" t="s">
        <v>517</v>
      </c>
      <c r="F1529" s="709">
        <v>25000.0</v>
      </c>
      <c r="G1529" s="708" t="s">
        <v>519</v>
      </c>
      <c r="H1529" s="709">
        <v>42.0</v>
      </c>
      <c r="I1529" s="705"/>
      <c r="J1529" s="705">
        <f t="shared" si="12"/>
        <v>1050000</v>
      </c>
      <c r="K1529" s="705">
        <f t="shared" si="13"/>
        <v>53500</v>
      </c>
      <c r="L1529" s="705">
        <f t="shared" si="14"/>
        <v>1103500</v>
      </c>
      <c r="M1529" s="706">
        <f t="shared" si="15"/>
        <v>44.14</v>
      </c>
    </row>
    <row r="1530">
      <c r="A1530" s="702" t="s">
        <v>34175</v>
      </c>
      <c r="B1530" s="702" t="s">
        <v>34191</v>
      </c>
      <c r="C1530" s="707"/>
      <c r="D1530" s="707"/>
      <c r="E1530" s="708" t="s">
        <v>34192</v>
      </c>
      <c r="F1530" s="709">
        <v>1000.0</v>
      </c>
      <c r="G1530" s="708" t="s">
        <v>44</v>
      </c>
      <c r="H1530" s="709">
        <v>50.0</v>
      </c>
      <c r="I1530" s="709">
        <v>1000.0</v>
      </c>
      <c r="J1530" s="705">
        <f t="shared" si="12"/>
        <v>51000</v>
      </c>
      <c r="K1530" s="705">
        <f t="shared" si="13"/>
        <v>3550</v>
      </c>
      <c r="L1530" s="705">
        <f t="shared" si="14"/>
        <v>54550</v>
      </c>
      <c r="M1530" s="706">
        <f t="shared" si="15"/>
        <v>54.55</v>
      </c>
    </row>
    <row r="1531">
      <c r="A1531" s="702" t="s">
        <v>34175</v>
      </c>
      <c r="B1531" s="702" t="s">
        <v>33902</v>
      </c>
      <c r="C1531" s="707"/>
      <c r="D1531" s="707"/>
      <c r="E1531" s="708" t="s">
        <v>1749</v>
      </c>
      <c r="F1531" s="709">
        <v>100.0</v>
      </c>
      <c r="G1531" s="708" t="s">
        <v>268</v>
      </c>
      <c r="H1531" s="709">
        <v>52.0</v>
      </c>
      <c r="I1531" s="709">
        <v>500.0</v>
      </c>
      <c r="J1531" s="705">
        <f t="shared" si="12"/>
        <v>5700</v>
      </c>
      <c r="K1531" s="705">
        <f t="shared" si="13"/>
        <v>1285</v>
      </c>
      <c r="L1531" s="705">
        <f t="shared" si="14"/>
        <v>6985</v>
      </c>
      <c r="M1531" s="706">
        <f t="shared" si="15"/>
        <v>69.85</v>
      </c>
    </row>
    <row r="1532">
      <c r="A1532" s="702" t="s">
        <v>34175</v>
      </c>
      <c r="B1532" s="702" t="s">
        <v>33902</v>
      </c>
      <c r="C1532" s="707"/>
      <c r="D1532" s="707"/>
      <c r="E1532" s="720" t="s">
        <v>34193</v>
      </c>
      <c r="F1532" s="709">
        <v>1000.0</v>
      </c>
      <c r="G1532" s="708" t="s">
        <v>467</v>
      </c>
      <c r="H1532" s="709">
        <v>190.0</v>
      </c>
      <c r="I1532" s="709">
        <v>1000.0</v>
      </c>
      <c r="J1532" s="705">
        <f t="shared" si="12"/>
        <v>191000</v>
      </c>
      <c r="K1532" s="705">
        <f t="shared" si="13"/>
        <v>10550</v>
      </c>
      <c r="L1532" s="705">
        <f t="shared" si="14"/>
        <v>201550</v>
      </c>
      <c r="M1532" s="706">
        <f t="shared" si="15"/>
        <v>201.55</v>
      </c>
    </row>
    <row r="1533">
      <c r="A1533" s="702" t="s">
        <v>34175</v>
      </c>
      <c r="B1533" s="702" t="s">
        <v>33902</v>
      </c>
      <c r="C1533" s="707"/>
      <c r="D1533" s="707"/>
      <c r="E1533" s="708" t="s">
        <v>3049</v>
      </c>
      <c r="F1533" s="709">
        <v>1000.0</v>
      </c>
      <c r="G1533" s="708" t="s">
        <v>44</v>
      </c>
      <c r="H1533" s="709">
        <v>190.0</v>
      </c>
      <c r="I1533" s="709">
        <v>1000.0</v>
      </c>
      <c r="J1533" s="705">
        <f t="shared" si="12"/>
        <v>191000</v>
      </c>
      <c r="K1533" s="705">
        <f t="shared" si="13"/>
        <v>10550</v>
      </c>
      <c r="L1533" s="705">
        <f t="shared" si="14"/>
        <v>201550</v>
      </c>
      <c r="M1533" s="706">
        <f t="shared" si="15"/>
        <v>201.55</v>
      </c>
    </row>
    <row r="1534">
      <c r="A1534" s="702" t="s">
        <v>34175</v>
      </c>
      <c r="B1534" s="702" t="s">
        <v>33902</v>
      </c>
      <c r="C1534" s="707"/>
      <c r="D1534" s="707"/>
      <c r="E1534" s="708" t="s">
        <v>13174</v>
      </c>
      <c r="F1534" s="709">
        <v>1000.0</v>
      </c>
      <c r="G1534" s="708" t="s">
        <v>44</v>
      </c>
      <c r="H1534" s="709">
        <v>28.5</v>
      </c>
      <c r="I1534" s="709">
        <v>1000.0</v>
      </c>
      <c r="J1534" s="705">
        <f t="shared" si="12"/>
        <v>29500</v>
      </c>
      <c r="K1534" s="705">
        <f t="shared" si="13"/>
        <v>2475</v>
      </c>
      <c r="L1534" s="705">
        <f t="shared" si="14"/>
        <v>31975</v>
      </c>
      <c r="M1534" s="706">
        <f t="shared" si="15"/>
        <v>31.975</v>
      </c>
    </row>
    <row r="1535">
      <c r="A1535" s="702" t="s">
        <v>34175</v>
      </c>
      <c r="B1535" s="702" t="s">
        <v>33902</v>
      </c>
      <c r="C1535" s="707"/>
      <c r="D1535" s="707"/>
      <c r="E1535" s="708" t="s">
        <v>9283</v>
      </c>
      <c r="F1535" s="709">
        <v>200.0</v>
      </c>
      <c r="G1535" s="708" t="s">
        <v>507</v>
      </c>
      <c r="H1535" s="709">
        <v>10.0</v>
      </c>
      <c r="I1535" s="709">
        <v>500.0</v>
      </c>
      <c r="J1535" s="705">
        <f t="shared" si="12"/>
        <v>2500</v>
      </c>
      <c r="K1535" s="705">
        <f t="shared" si="13"/>
        <v>1125</v>
      </c>
      <c r="L1535" s="705">
        <f t="shared" si="14"/>
        <v>3625</v>
      </c>
      <c r="M1535" s="706">
        <f t="shared" si="15"/>
        <v>18.125</v>
      </c>
    </row>
    <row r="1536">
      <c r="A1536" s="702" t="s">
        <v>34175</v>
      </c>
      <c r="B1536" s="702" t="s">
        <v>34085</v>
      </c>
      <c r="C1536" s="707"/>
      <c r="D1536" s="707"/>
      <c r="E1536" s="708" t="s">
        <v>16864</v>
      </c>
      <c r="F1536" s="709">
        <v>100.0</v>
      </c>
      <c r="G1536" s="708" t="s">
        <v>349</v>
      </c>
      <c r="H1536" s="709">
        <v>130.0</v>
      </c>
      <c r="I1536" s="709">
        <v>500.0</v>
      </c>
      <c r="J1536" s="705">
        <f t="shared" si="12"/>
        <v>13500</v>
      </c>
      <c r="K1536" s="705">
        <f t="shared" si="13"/>
        <v>1675</v>
      </c>
      <c r="L1536" s="705">
        <f t="shared" si="14"/>
        <v>15175</v>
      </c>
      <c r="M1536" s="706">
        <f t="shared" si="15"/>
        <v>151.75</v>
      </c>
    </row>
    <row r="1537">
      <c r="A1537" s="702" t="s">
        <v>34175</v>
      </c>
      <c r="B1537" s="702" t="s">
        <v>33902</v>
      </c>
      <c r="C1537" s="707"/>
      <c r="D1537" s="707"/>
      <c r="E1537" s="708" t="s">
        <v>34170</v>
      </c>
      <c r="F1537" s="709">
        <v>25000.0</v>
      </c>
      <c r="G1537" s="708" t="s">
        <v>3836</v>
      </c>
      <c r="H1537" s="709">
        <v>25.0</v>
      </c>
      <c r="I1537" s="705"/>
      <c r="J1537" s="705">
        <f t="shared" si="12"/>
        <v>625000</v>
      </c>
      <c r="K1537" s="705">
        <f t="shared" si="13"/>
        <v>32250</v>
      </c>
      <c r="L1537" s="705">
        <f t="shared" si="14"/>
        <v>657250</v>
      </c>
      <c r="M1537" s="706">
        <f t="shared" si="15"/>
        <v>26.29</v>
      </c>
    </row>
    <row r="1538">
      <c r="A1538" s="702" t="s">
        <v>34175</v>
      </c>
      <c r="B1538" s="702" t="s">
        <v>33902</v>
      </c>
      <c r="C1538" s="707"/>
      <c r="D1538" s="707"/>
      <c r="E1538" s="708" t="s">
        <v>412</v>
      </c>
      <c r="F1538" s="709">
        <v>25.0</v>
      </c>
      <c r="G1538" s="708" t="s">
        <v>9359</v>
      </c>
      <c r="H1538" s="709">
        <v>160.0</v>
      </c>
      <c r="I1538" s="709">
        <v>300.0</v>
      </c>
      <c r="J1538" s="705">
        <f t="shared" si="12"/>
        <v>4300</v>
      </c>
      <c r="K1538" s="705">
        <f t="shared" si="13"/>
        <v>1215</v>
      </c>
      <c r="L1538" s="705">
        <f t="shared" si="14"/>
        <v>5515</v>
      </c>
      <c r="M1538" s="706">
        <f t="shared" si="15"/>
        <v>220.6</v>
      </c>
    </row>
    <row r="1539">
      <c r="A1539" s="702" t="s">
        <v>34175</v>
      </c>
      <c r="B1539" s="702" t="s">
        <v>34194</v>
      </c>
      <c r="C1539" s="707"/>
      <c r="D1539" s="707"/>
      <c r="E1539" s="708" t="s">
        <v>20134</v>
      </c>
      <c r="F1539" s="709">
        <v>800.0</v>
      </c>
      <c r="G1539" s="720" t="s">
        <v>99</v>
      </c>
      <c r="H1539" s="709">
        <v>20.0</v>
      </c>
      <c r="I1539" s="709">
        <v>1500.0</v>
      </c>
      <c r="J1539" s="705">
        <f t="shared" si="12"/>
        <v>17500</v>
      </c>
      <c r="K1539" s="705">
        <f t="shared" si="13"/>
        <v>1875</v>
      </c>
      <c r="L1539" s="705">
        <f t="shared" si="14"/>
        <v>19375</v>
      </c>
      <c r="M1539" s="706">
        <f t="shared" si="15"/>
        <v>24.21875</v>
      </c>
    </row>
    <row r="1540">
      <c r="A1540" s="702" t="s">
        <v>34175</v>
      </c>
      <c r="B1540" s="702" t="s">
        <v>34195</v>
      </c>
      <c r="C1540" s="707"/>
      <c r="D1540" s="707"/>
      <c r="E1540" s="708" t="s">
        <v>5502</v>
      </c>
      <c r="F1540" s="709">
        <v>30000.0</v>
      </c>
      <c r="G1540" s="708" t="s">
        <v>507</v>
      </c>
      <c r="H1540" s="709">
        <v>6.2</v>
      </c>
      <c r="I1540" s="709">
        <v>15000.0</v>
      </c>
      <c r="J1540" s="705">
        <f t="shared" si="12"/>
        <v>201000</v>
      </c>
      <c r="K1540" s="705">
        <f t="shared" si="13"/>
        <v>11050</v>
      </c>
      <c r="L1540" s="705">
        <f t="shared" si="14"/>
        <v>212050</v>
      </c>
      <c r="M1540" s="706">
        <f t="shared" si="15"/>
        <v>7.068333333</v>
      </c>
    </row>
    <row r="1541">
      <c r="A1541" s="702" t="s">
        <v>34175</v>
      </c>
      <c r="B1541" s="702" t="s">
        <v>34196</v>
      </c>
      <c r="C1541" s="707"/>
      <c r="D1541" s="707"/>
      <c r="E1541" s="708" t="s">
        <v>17833</v>
      </c>
      <c r="F1541" s="709">
        <v>500.0</v>
      </c>
      <c r="G1541" s="708" t="s">
        <v>27029</v>
      </c>
      <c r="H1541" s="709">
        <v>43.0</v>
      </c>
      <c r="I1541" s="709">
        <v>1000.0</v>
      </c>
      <c r="J1541" s="705">
        <f t="shared" si="12"/>
        <v>22500</v>
      </c>
      <c r="K1541" s="705">
        <f t="shared" si="13"/>
        <v>2125</v>
      </c>
      <c r="L1541" s="705">
        <f t="shared" si="14"/>
        <v>24625</v>
      </c>
      <c r="M1541" s="706">
        <f t="shared" si="15"/>
        <v>49.25</v>
      </c>
      <c r="N1541" s="526" t="s">
        <v>33779</v>
      </c>
    </row>
    <row r="1542">
      <c r="A1542" s="702" t="s">
        <v>34175</v>
      </c>
      <c r="B1542" s="702" t="s">
        <v>34197</v>
      </c>
      <c r="C1542" s="707"/>
      <c r="D1542" s="707"/>
      <c r="E1542" s="720" t="s">
        <v>116</v>
      </c>
      <c r="F1542" s="709">
        <v>70.0</v>
      </c>
      <c r="G1542" s="708" t="s">
        <v>507</v>
      </c>
      <c r="H1542" s="709">
        <v>56.0</v>
      </c>
      <c r="I1542" s="709">
        <v>500.0</v>
      </c>
      <c r="J1542" s="705">
        <f t="shared" si="12"/>
        <v>4420</v>
      </c>
      <c r="K1542" s="705">
        <f t="shared" si="13"/>
        <v>1221</v>
      </c>
      <c r="L1542" s="705">
        <f t="shared" si="14"/>
        <v>5641</v>
      </c>
      <c r="M1542" s="706">
        <f t="shared" si="15"/>
        <v>80.58571429</v>
      </c>
    </row>
    <row r="1543">
      <c r="A1543" s="702" t="s">
        <v>34175</v>
      </c>
      <c r="B1543" s="702" t="s">
        <v>34198</v>
      </c>
      <c r="C1543" s="707"/>
      <c r="D1543" s="707"/>
      <c r="E1543" s="708" t="s">
        <v>2476</v>
      </c>
      <c r="F1543" s="709">
        <v>60.0</v>
      </c>
      <c r="G1543" s="708" t="s">
        <v>44</v>
      </c>
      <c r="H1543" s="709">
        <v>42.0</v>
      </c>
      <c r="I1543" s="709">
        <v>1000.0</v>
      </c>
      <c r="J1543" s="705">
        <f t="shared" si="12"/>
        <v>3520</v>
      </c>
      <c r="K1543" s="705">
        <f t="shared" si="13"/>
        <v>1176</v>
      </c>
      <c r="L1543" s="705">
        <f t="shared" si="14"/>
        <v>4696</v>
      </c>
      <c r="M1543" s="706">
        <f t="shared" si="15"/>
        <v>78.26666667</v>
      </c>
    </row>
    <row r="1544">
      <c r="A1544" s="702" t="s">
        <v>34175</v>
      </c>
      <c r="B1544" s="702" t="s">
        <v>34199</v>
      </c>
      <c r="C1544" s="707"/>
      <c r="D1544" s="707"/>
      <c r="E1544" s="708" t="s">
        <v>34200</v>
      </c>
      <c r="F1544" s="721">
        <v>1000.0</v>
      </c>
      <c r="G1544" s="720" t="s">
        <v>742</v>
      </c>
      <c r="H1544" s="709">
        <v>1.45</v>
      </c>
      <c r="I1544" s="709">
        <v>1500.0</v>
      </c>
      <c r="J1544" s="705">
        <f t="shared" si="12"/>
        <v>2950</v>
      </c>
      <c r="K1544" s="705">
        <f t="shared" si="13"/>
        <v>1147.5</v>
      </c>
      <c r="L1544" s="705">
        <f t="shared" si="14"/>
        <v>4097.5</v>
      </c>
      <c r="M1544" s="706">
        <f t="shared" si="15"/>
        <v>4.0975</v>
      </c>
    </row>
    <row r="1545">
      <c r="A1545" s="702" t="s">
        <v>34175</v>
      </c>
      <c r="B1545" s="702" t="s">
        <v>34199</v>
      </c>
      <c r="C1545" s="707"/>
      <c r="D1545" s="707"/>
      <c r="E1545" s="708" t="s">
        <v>34201</v>
      </c>
      <c r="F1545" s="709">
        <v>1000.0</v>
      </c>
      <c r="G1545" s="708" t="s">
        <v>742</v>
      </c>
      <c r="H1545" s="709">
        <v>1.2</v>
      </c>
      <c r="I1545" s="709">
        <v>1500.0</v>
      </c>
      <c r="J1545" s="705">
        <f t="shared" si="12"/>
        <v>2700</v>
      </c>
      <c r="K1545" s="705">
        <f t="shared" si="13"/>
        <v>1135</v>
      </c>
      <c r="L1545" s="705">
        <f t="shared" si="14"/>
        <v>3835</v>
      </c>
      <c r="M1545" s="706">
        <f t="shared" si="15"/>
        <v>3.835</v>
      </c>
    </row>
    <row r="1546">
      <c r="A1546" s="702" t="s">
        <v>34175</v>
      </c>
      <c r="B1546" s="702" t="s">
        <v>34202</v>
      </c>
      <c r="C1546" s="707"/>
      <c r="D1546" s="707"/>
      <c r="E1546" s="720" t="s">
        <v>1175</v>
      </c>
      <c r="F1546" s="709">
        <v>50.0</v>
      </c>
      <c r="G1546" s="708" t="s">
        <v>44</v>
      </c>
      <c r="H1546" s="709">
        <v>37.0</v>
      </c>
      <c r="I1546" s="709">
        <v>400.0</v>
      </c>
      <c r="J1546" s="705">
        <f t="shared" si="12"/>
        <v>2250</v>
      </c>
      <c r="K1546" s="705">
        <f t="shared" si="13"/>
        <v>1112.5</v>
      </c>
      <c r="L1546" s="705">
        <f t="shared" si="14"/>
        <v>3362.5</v>
      </c>
      <c r="M1546" s="706">
        <f t="shared" si="15"/>
        <v>67.25</v>
      </c>
    </row>
    <row r="1547">
      <c r="A1547" s="702" t="s">
        <v>34175</v>
      </c>
      <c r="B1547" s="702" t="s">
        <v>34203</v>
      </c>
      <c r="C1547" s="707"/>
      <c r="D1547" s="707"/>
      <c r="E1547" s="720" t="s">
        <v>33908</v>
      </c>
      <c r="F1547" s="709">
        <v>2000.0</v>
      </c>
      <c r="G1547" s="720" t="s">
        <v>218</v>
      </c>
      <c r="H1547" s="709">
        <v>12.0</v>
      </c>
      <c r="I1547" s="709">
        <v>2500.0</v>
      </c>
      <c r="J1547" s="705">
        <f t="shared" si="12"/>
        <v>26500</v>
      </c>
      <c r="K1547" s="705">
        <f t="shared" si="13"/>
        <v>2325</v>
      </c>
      <c r="L1547" s="705">
        <f t="shared" si="14"/>
        <v>28825</v>
      </c>
      <c r="M1547" s="706">
        <f t="shared" si="15"/>
        <v>14.4125</v>
      </c>
    </row>
    <row r="1548">
      <c r="A1548" s="702" t="s">
        <v>34175</v>
      </c>
      <c r="B1548" s="702" t="s">
        <v>34204</v>
      </c>
      <c r="C1548" s="707"/>
      <c r="D1548" s="707"/>
      <c r="E1548" s="708" t="s">
        <v>33908</v>
      </c>
      <c r="F1548" s="709">
        <v>1000.0</v>
      </c>
      <c r="G1548" s="720" t="s">
        <v>507</v>
      </c>
      <c r="H1548" s="709">
        <v>25.0</v>
      </c>
      <c r="I1548" s="709">
        <v>1000.0</v>
      </c>
      <c r="J1548" s="705">
        <f t="shared" si="12"/>
        <v>26000</v>
      </c>
      <c r="K1548" s="705">
        <f t="shared" si="13"/>
        <v>2300</v>
      </c>
      <c r="L1548" s="705">
        <f t="shared" si="14"/>
        <v>28300</v>
      </c>
      <c r="M1548" s="706">
        <f t="shared" si="15"/>
        <v>28.3</v>
      </c>
    </row>
    <row r="1549">
      <c r="A1549" s="702" t="s">
        <v>34175</v>
      </c>
      <c r="B1549" s="702" t="s">
        <v>34205</v>
      </c>
      <c r="C1549" s="707"/>
      <c r="D1549" s="707"/>
      <c r="E1549" s="720" t="s">
        <v>4487</v>
      </c>
      <c r="F1549" s="709">
        <v>60000.0</v>
      </c>
      <c r="G1549" s="708" t="s">
        <v>44</v>
      </c>
      <c r="H1549" s="709">
        <v>24.0</v>
      </c>
      <c r="I1549" s="705"/>
      <c r="J1549" s="705">
        <f t="shared" si="12"/>
        <v>1440000</v>
      </c>
      <c r="K1549" s="705">
        <f t="shared" si="13"/>
        <v>73000</v>
      </c>
      <c r="L1549" s="705">
        <f t="shared" si="14"/>
        <v>1513000</v>
      </c>
      <c r="M1549" s="706">
        <f t="shared" si="15"/>
        <v>25.21666667</v>
      </c>
    </row>
    <row r="1550">
      <c r="A1550" s="702" t="s">
        <v>34206</v>
      </c>
      <c r="B1550" s="702" t="s">
        <v>20673</v>
      </c>
      <c r="C1550" s="707"/>
      <c r="D1550" s="707"/>
      <c r="E1550" s="708" t="s">
        <v>15040</v>
      </c>
      <c r="F1550" s="709">
        <v>100.0</v>
      </c>
      <c r="G1550" s="708" t="s">
        <v>196</v>
      </c>
      <c r="H1550" s="709">
        <v>10.0</v>
      </c>
      <c r="I1550" s="709">
        <v>500.0</v>
      </c>
      <c r="J1550" s="705">
        <f t="shared" si="12"/>
        <v>1500</v>
      </c>
      <c r="K1550" s="705">
        <f t="shared" si="13"/>
        <v>1075</v>
      </c>
      <c r="L1550" s="705">
        <f t="shared" si="14"/>
        <v>2575</v>
      </c>
      <c r="M1550" s="706">
        <f t="shared" si="15"/>
        <v>25.75</v>
      </c>
    </row>
    <row r="1551">
      <c r="A1551" s="702" t="s">
        <v>34206</v>
      </c>
      <c r="B1551" s="702" t="s">
        <v>34207</v>
      </c>
      <c r="C1551" s="707"/>
      <c r="D1551" s="707"/>
      <c r="E1551" s="708" t="s">
        <v>213</v>
      </c>
      <c r="F1551" s="709">
        <v>750.0</v>
      </c>
      <c r="G1551" s="708" t="s">
        <v>44</v>
      </c>
      <c r="H1551" s="709">
        <v>25.0</v>
      </c>
      <c r="I1551" s="709">
        <v>1000.0</v>
      </c>
      <c r="J1551" s="705">
        <f t="shared" si="12"/>
        <v>19750</v>
      </c>
      <c r="K1551" s="705">
        <f t="shared" si="13"/>
        <v>1987.5</v>
      </c>
      <c r="L1551" s="705">
        <f t="shared" si="14"/>
        <v>21737.5</v>
      </c>
      <c r="M1551" s="706">
        <f t="shared" si="15"/>
        <v>28.98333333</v>
      </c>
    </row>
    <row r="1552">
      <c r="A1552" s="702" t="s">
        <v>34206</v>
      </c>
      <c r="B1552" s="702" t="s">
        <v>34208</v>
      </c>
      <c r="C1552" s="707"/>
      <c r="D1552" s="707"/>
      <c r="E1552" s="708" t="s">
        <v>34209</v>
      </c>
      <c r="F1552" s="709">
        <v>100.0</v>
      </c>
      <c r="G1552" s="708" t="s">
        <v>33254</v>
      </c>
      <c r="H1552" s="709">
        <v>35.0</v>
      </c>
      <c r="I1552" s="709">
        <v>500.0</v>
      </c>
      <c r="J1552" s="705">
        <f t="shared" si="12"/>
        <v>4000</v>
      </c>
      <c r="K1552" s="705">
        <f t="shared" si="13"/>
        <v>1200</v>
      </c>
      <c r="L1552" s="705">
        <f t="shared" si="14"/>
        <v>5200</v>
      </c>
      <c r="M1552" s="706">
        <f t="shared" si="15"/>
        <v>52</v>
      </c>
    </row>
    <row r="1553">
      <c r="A1553" s="702" t="s">
        <v>34206</v>
      </c>
      <c r="B1553" s="702" t="s">
        <v>34210</v>
      </c>
      <c r="C1553" s="707"/>
      <c r="D1553" s="708" t="s">
        <v>34211</v>
      </c>
      <c r="E1553" s="708" t="s">
        <v>33415</v>
      </c>
      <c r="F1553" s="709">
        <v>50000.0</v>
      </c>
      <c r="G1553" s="708" t="s">
        <v>44</v>
      </c>
      <c r="H1553" s="709">
        <v>17.0</v>
      </c>
      <c r="I1553" s="705"/>
      <c r="J1553" s="705">
        <f t="shared" si="12"/>
        <v>850000</v>
      </c>
      <c r="K1553" s="705">
        <f t="shared" si="13"/>
        <v>43500</v>
      </c>
      <c r="L1553" s="705">
        <f t="shared" si="14"/>
        <v>893500</v>
      </c>
      <c r="M1553" s="706">
        <f t="shared" si="15"/>
        <v>17.87</v>
      </c>
    </row>
    <row r="1554">
      <c r="A1554" s="702" t="s">
        <v>34206</v>
      </c>
      <c r="B1554" s="703" t="s">
        <v>34212</v>
      </c>
      <c r="C1554" s="707"/>
      <c r="D1554" s="707" t="s">
        <v>8979</v>
      </c>
      <c r="E1554" s="708" t="s">
        <v>34213</v>
      </c>
      <c r="F1554" s="709">
        <v>20000.0</v>
      </c>
      <c r="G1554" s="708" t="s">
        <v>822</v>
      </c>
      <c r="H1554" s="709">
        <v>16.5</v>
      </c>
      <c r="I1554" s="705"/>
      <c r="J1554" s="705">
        <f t="shared" si="12"/>
        <v>330000</v>
      </c>
      <c r="K1554" s="705">
        <f t="shared" si="13"/>
        <v>17500</v>
      </c>
      <c r="L1554" s="705">
        <f t="shared" si="14"/>
        <v>347500</v>
      </c>
      <c r="M1554" s="706">
        <f t="shared" si="15"/>
        <v>17.375</v>
      </c>
    </row>
    <row r="1555">
      <c r="A1555" s="702" t="s">
        <v>34206</v>
      </c>
      <c r="B1555" s="702" t="s">
        <v>34214</v>
      </c>
      <c r="C1555" s="707"/>
      <c r="D1555" s="708" t="s">
        <v>20167</v>
      </c>
      <c r="E1555" s="708" t="s">
        <v>34215</v>
      </c>
      <c r="F1555" s="709">
        <v>50000.0</v>
      </c>
      <c r="G1555" s="708" t="s">
        <v>507</v>
      </c>
      <c r="H1555" s="709">
        <v>6.1</v>
      </c>
      <c r="I1555" s="709">
        <v>25000.0</v>
      </c>
      <c r="J1555" s="705">
        <f t="shared" si="12"/>
        <v>330000</v>
      </c>
      <c r="K1555" s="705">
        <f t="shared" si="13"/>
        <v>17500</v>
      </c>
      <c r="L1555" s="705">
        <f t="shared" si="14"/>
        <v>347500</v>
      </c>
      <c r="M1555" s="706">
        <f t="shared" si="15"/>
        <v>6.95</v>
      </c>
    </row>
    <row r="1556">
      <c r="A1556" s="702" t="s">
        <v>34206</v>
      </c>
      <c r="B1556" s="702" t="s">
        <v>34216</v>
      </c>
      <c r="C1556" s="707"/>
      <c r="D1556" s="708" t="s">
        <v>9794</v>
      </c>
      <c r="E1556" s="708" t="s">
        <v>11939</v>
      </c>
      <c r="F1556" s="709">
        <v>500.0</v>
      </c>
      <c r="G1556" s="708" t="s">
        <v>20765</v>
      </c>
      <c r="H1556" s="709">
        <v>90.0</v>
      </c>
      <c r="I1556" s="709">
        <v>400.0</v>
      </c>
      <c r="J1556" s="705">
        <f t="shared" si="12"/>
        <v>45400</v>
      </c>
      <c r="K1556" s="705">
        <f t="shared" si="13"/>
        <v>3270</v>
      </c>
      <c r="L1556" s="705">
        <f t="shared" si="14"/>
        <v>48670</v>
      </c>
      <c r="M1556" s="706">
        <f t="shared" si="15"/>
        <v>97.34</v>
      </c>
    </row>
    <row r="1557">
      <c r="A1557" s="702" t="s">
        <v>34206</v>
      </c>
      <c r="B1557" s="702" t="s">
        <v>34217</v>
      </c>
      <c r="C1557" s="707"/>
      <c r="D1557" s="708" t="s">
        <v>34218</v>
      </c>
      <c r="E1557" s="708" t="s">
        <v>20206</v>
      </c>
      <c r="F1557" s="709">
        <v>1000.0</v>
      </c>
      <c r="G1557" s="708" t="s">
        <v>735</v>
      </c>
      <c r="H1557" s="709">
        <v>110.0</v>
      </c>
      <c r="I1557" s="709">
        <v>1000.0</v>
      </c>
      <c r="J1557" s="705">
        <f t="shared" si="12"/>
        <v>111000</v>
      </c>
      <c r="K1557" s="705">
        <f t="shared" si="13"/>
        <v>6550</v>
      </c>
      <c r="L1557" s="705">
        <f t="shared" si="14"/>
        <v>117550</v>
      </c>
      <c r="M1557" s="706">
        <f t="shared" si="15"/>
        <v>117.55</v>
      </c>
    </row>
    <row r="1558">
      <c r="A1558" s="702" t="s">
        <v>34206</v>
      </c>
      <c r="B1558" s="702" t="s">
        <v>34219</v>
      </c>
      <c r="C1558" s="707"/>
      <c r="D1558" s="720" t="s">
        <v>20217</v>
      </c>
      <c r="E1558" s="708" t="s">
        <v>33996</v>
      </c>
      <c r="F1558" s="709">
        <v>50.0</v>
      </c>
      <c r="G1558" s="708" t="s">
        <v>34220</v>
      </c>
      <c r="H1558" s="709">
        <v>6.0</v>
      </c>
      <c r="I1558" s="709">
        <v>1000.0</v>
      </c>
      <c r="J1558" s="705">
        <f t="shared" si="12"/>
        <v>1300</v>
      </c>
      <c r="K1558" s="705">
        <f t="shared" si="13"/>
        <v>1065</v>
      </c>
      <c r="L1558" s="705">
        <f t="shared" si="14"/>
        <v>2365</v>
      </c>
      <c r="M1558" s="706">
        <f t="shared" si="15"/>
        <v>47.3</v>
      </c>
    </row>
    <row r="1559">
      <c r="A1559" s="702" t="s">
        <v>34206</v>
      </c>
      <c r="B1559" s="702" t="s">
        <v>34221</v>
      </c>
      <c r="C1559" s="707"/>
      <c r="D1559" s="708" t="s">
        <v>20220</v>
      </c>
      <c r="E1559" s="708" t="s">
        <v>152</v>
      </c>
      <c r="F1559" s="709">
        <v>1000.0</v>
      </c>
      <c r="G1559" s="708" t="s">
        <v>507</v>
      </c>
      <c r="H1559" s="709">
        <v>19.0</v>
      </c>
      <c r="I1559" s="709">
        <v>1500.0</v>
      </c>
      <c r="J1559" s="705">
        <f t="shared" si="12"/>
        <v>20500</v>
      </c>
      <c r="K1559" s="705">
        <f t="shared" si="13"/>
        <v>2025</v>
      </c>
      <c r="L1559" s="705">
        <f t="shared" si="14"/>
        <v>22525</v>
      </c>
      <c r="M1559" s="706">
        <f t="shared" si="15"/>
        <v>22.525</v>
      </c>
    </row>
    <row r="1560">
      <c r="A1560" s="702" t="s">
        <v>34206</v>
      </c>
      <c r="B1560" s="702" t="s">
        <v>34222</v>
      </c>
      <c r="C1560" s="707"/>
      <c r="D1560" s="707"/>
      <c r="E1560" s="720" t="s">
        <v>152</v>
      </c>
      <c r="F1560" s="709">
        <v>40000.0</v>
      </c>
      <c r="G1560" s="708" t="s">
        <v>514</v>
      </c>
      <c r="H1560" s="709">
        <v>22.0</v>
      </c>
      <c r="I1560" s="705"/>
      <c r="J1560" s="705">
        <f t="shared" si="12"/>
        <v>880000</v>
      </c>
      <c r="K1560" s="705">
        <f t="shared" si="13"/>
        <v>45000</v>
      </c>
      <c r="L1560" s="705">
        <f t="shared" si="14"/>
        <v>925000</v>
      </c>
      <c r="M1560" s="706">
        <f t="shared" si="15"/>
        <v>23.125</v>
      </c>
    </row>
    <row r="1561">
      <c r="A1561" s="702" t="s">
        <v>34206</v>
      </c>
      <c r="B1561" s="702" t="s">
        <v>34223</v>
      </c>
      <c r="C1561" s="707"/>
      <c r="D1561" s="708" t="s">
        <v>2369</v>
      </c>
      <c r="E1561" s="708" t="s">
        <v>147</v>
      </c>
      <c r="F1561" s="709">
        <v>10000.0</v>
      </c>
      <c r="G1561" s="708" t="s">
        <v>15823</v>
      </c>
      <c r="H1561" s="709">
        <v>9.0</v>
      </c>
      <c r="I1561" s="705"/>
      <c r="J1561" s="705">
        <f t="shared" si="12"/>
        <v>90000</v>
      </c>
      <c r="K1561" s="705">
        <f t="shared" si="13"/>
        <v>5500</v>
      </c>
      <c r="L1561" s="705">
        <f t="shared" si="14"/>
        <v>95500</v>
      </c>
      <c r="M1561" s="706">
        <f t="shared" si="15"/>
        <v>9.55</v>
      </c>
    </row>
    <row r="1562">
      <c r="A1562" s="702" t="s">
        <v>34206</v>
      </c>
      <c r="B1562" s="702" t="s">
        <v>20174</v>
      </c>
      <c r="C1562" s="707"/>
      <c r="D1562" s="727"/>
      <c r="E1562" s="708" t="s">
        <v>523</v>
      </c>
      <c r="F1562" s="709">
        <v>20000.0</v>
      </c>
      <c r="G1562" s="720" t="s">
        <v>1282</v>
      </c>
      <c r="H1562" s="709">
        <v>4.8</v>
      </c>
      <c r="I1562" s="705"/>
      <c r="J1562" s="705">
        <f t="shared" si="12"/>
        <v>96000</v>
      </c>
      <c r="K1562" s="705">
        <f t="shared" si="13"/>
        <v>5800</v>
      </c>
      <c r="L1562" s="705">
        <f t="shared" si="14"/>
        <v>101800</v>
      </c>
      <c r="M1562" s="706">
        <f t="shared" si="15"/>
        <v>5.09</v>
      </c>
    </row>
    <row r="1563">
      <c r="A1563" s="702" t="s">
        <v>34206</v>
      </c>
      <c r="B1563" s="702" t="s">
        <v>34224</v>
      </c>
      <c r="C1563" s="707"/>
      <c r="D1563" s="708" t="s">
        <v>34225</v>
      </c>
      <c r="E1563" s="728" t="s">
        <v>38</v>
      </c>
      <c r="F1563" s="709">
        <v>5000.0</v>
      </c>
      <c r="G1563" s="708" t="s">
        <v>158</v>
      </c>
      <c r="H1563" s="709">
        <v>65.0</v>
      </c>
      <c r="I1563" s="709">
        <v>5000.0</v>
      </c>
      <c r="J1563" s="705">
        <f t="shared" si="12"/>
        <v>330000</v>
      </c>
      <c r="K1563" s="705">
        <f t="shared" si="13"/>
        <v>17500</v>
      </c>
      <c r="L1563" s="705">
        <f t="shared" si="14"/>
        <v>347500</v>
      </c>
      <c r="M1563" s="706">
        <f t="shared" si="15"/>
        <v>69.5</v>
      </c>
    </row>
    <row r="1564">
      <c r="A1564" s="702" t="s">
        <v>34206</v>
      </c>
      <c r="B1564" s="702" t="s">
        <v>20235</v>
      </c>
      <c r="C1564" s="707"/>
      <c r="D1564" s="720" t="s">
        <v>20236</v>
      </c>
      <c r="E1564" s="708" t="s">
        <v>34200</v>
      </c>
      <c r="F1564" s="721">
        <v>25000.0</v>
      </c>
      <c r="G1564" s="720" t="s">
        <v>507</v>
      </c>
      <c r="H1564" s="709">
        <v>1.45</v>
      </c>
      <c r="I1564" s="705"/>
      <c r="J1564" s="705">
        <f t="shared" si="12"/>
        <v>36250</v>
      </c>
      <c r="K1564" s="705">
        <f t="shared" si="13"/>
        <v>2812.5</v>
      </c>
      <c r="L1564" s="705">
        <f t="shared" si="14"/>
        <v>39062.5</v>
      </c>
      <c r="M1564" s="706">
        <f t="shared" si="15"/>
        <v>1.5625</v>
      </c>
    </row>
    <row r="1565">
      <c r="A1565" s="702" t="s">
        <v>34206</v>
      </c>
      <c r="B1565" s="702" t="s">
        <v>20235</v>
      </c>
      <c r="C1565" s="707"/>
      <c r="D1565" s="720" t="s">
        <v>20236</v>
      </c>
      <c r="E1565" s="96" t="s">
        <v>34201</v>
      </c>
      <c r="F1565" s="709">
        <v>25000.0</v>
      </c>
      <c r="G1565" s="720" t="s">
        <v>507</v>
      </c>
      <c r="H1565" s="709">
        <v>1.2</v>
      </c>
      <c r="I1565" s="705"/>
      <c r="J1565" s="705">
        <f t="shared" si="12"/>
        <v>30000</v>
      </c>
      <c r="K1565" s="705">
        <f t="shared" si="13"/>
        <v>2500</v>
      </c>
      <c r="L1565" s="705">
        <f t="shared" si="14"/>
        <v>32500</v>
      </c>
      <c r="M1565" s="706">
        <f t="shared" si="15"/>
        <v>1.3</v>
      </c>
    </row>
    <row r="1566">
      <c r="A1566" s="702" t="s">
        <v>34206</v>
      </c>
      <c r="B1566" s="724" t="s">
        <v>20424</v>
      </c>
      <c r="C1566" s="707"/>
      <c r="D1566" s="720" t="s">
        <v>34226</v>
      </c>
      <c r="E1566" s="708" t="s">
        <v>34227</v>
      </c>
      <c r="F1566" s="721">
        <v>5000.0</v>
      </c>
      <c r="G1566" s="707" t="s">
        <v>507</v>
      </c>
      <c r="H1566" s="709">
        <v>6.5</v>
      </c>
      <c r="I1566" s="709">
        <v>5000.0</v>
      </c>
      <c r="J1566" s="705">
        <f t="shared" si="12"/>
        <v>37500</v>
      </c>
      <c r="K1566" s="705">
        <f t="shared" si="13"/>
        <v>2875</v>
      </c>
      <c r="L1566" s="705">
        <f t="shared" si="14"/>
        <v>40375</v>
      </c>
      <c r="M1566" s="706">
        <f t="shared" si="15"/>
        <v>8.075</v>
      </c>
    </row>
    <row r="1567">
      <c r="A1567" s="702" t="s">
        <v>34206</v>
      </c>
      <c r="B1567" s="724" t="s">
        <v>20424</v>
      </c>
      <c r="C1567" s="707"/>
      <c r="D1567" s="707"/>
      <c r="E1567" s="708" t="s">
        <v>31281</v>
      </c>
      <c r="F1567" s="709">
        <v>5000.0</v>
      </c>
      <c r="G1567" s="707" t="s">
        <v>507</v>
      </c>
      <c r="H1567" s="709">
        <v>11.0</v>
      </c>
      <c r="I1567" s="709">
        <v>5000.0</v>
      </c>
      <c r="J1567" s="705">
        <f t="shared" si="12"/>
        <v>60000</v>
      </c>
      <c r="K1567" s="705">
        <f t="shared" si="13"/>
        <v>4000</v>
      </c>
      <c r="L1567" s="705">
        <f t="shared" si="14"/>
        <v>64000</v>
      </c>
      <c r="M1567" s="706">
        <f t="shared" si="15"/>
        <v>12.8</v>
      </c>
    </row>
    <row r="1568">
      <c r="A1568" s="96" t="s">
        <v>34228</v>
      </c>
      <c r="B1568" s="702" t="s">
        <v>34229</v>
      </c>
      <c r="C1568" s="707"/>
      <c r="D1568" s="708" t="s">
        <v>34230</v>
      </c>
      <c r="E1568" s="708" t="s">
        <v>32795</v>
      </c>
      <c r="F1568" s="709">
        <v>500.0</v>
      </c>
      <c r="G1568" s="708" t="s">
        <v>985</v>
      </c>
      <c r="H1568" s="709">
        <v>52.0</v>
      </c>
      <c r="I1568" s="709">
        <v>500.0</v>
      </c>
      <c r="J1568" s="705">
        <f t="shared" si="12"/>
        <v>26500</v>
      </c>
      <c r="K1568" s="705">
        <f t="shared" si="13"/>
        <v>2325</v>
      </c>
      <c r="L1568" s="705">
        <f t="shared" si="14"/>
        <v>28825</v>
      </c>
      <c r="M1568" s="706">
        <f t="shared" si="15"/>
        <v>57.65</v>
      </c>
    </row>
    <row r="1569">
      <c r="A1569" s="96" t="s">
        <v>34228</v>
      </c>
      <c r="B1569" s="702" t="s">
        <v>34231</v>
      </c>
      <c r="C1569" s="707"/>
      <c r="D1569" s="708" t="s">
        <v>34232</v>
      </c>
      <c r="E1569" s="708" t="s">
        <v>3165</v>
      </c>
      <c r="F1569" s="709">
        <v>25.0</v>
      </c>
      <c r="G1569" s="708" t="s">
        <v>44</v>
      </c>
      <c r="H1569" s="709">
        <v>79.0</v>
      </c>
      <c r="I1569" s="709">
        <v>300.0</v>
      </c>
      <c r="J1569" s="705">
        <f t="shared" si="12"/>
        <v>2275</v>
      </c>
      <c r="K1569" s="705">
        <f t="shared" si="13"/>
        <v>1113.75</v>
      </c>
      <c r="L1569" s="705">
        <f t="shared" si="14"/>
        <v>3388.75</v>
      </c>
      <c r="M1569" s="706">
        <f t="shared" si="15"/>
        <v>135.55</v>
      </c>
    </row>
    <row r="1570">
      <c r="A1570" s="702" t="s">
        <v>34228</v>
      </c>
      <c r="B1570" s="702" t="s">
        <v>34231</v>
      </c>
      <c r="C1570" s="707"/>
      <c r="D1570" s="708" t="s">
        <v>34232</v>
      </c>
      <c r="E1570" s="708" t="s">
        <v>1749</v>
      </c>
      <c r="F1570" s="709">
        <v>25.0</v>
      </c>
      <c r="G1570" s="708" t="s">
        <v>44</v>
      </c>
      <c r="H1570" s="709">
        <v>52.0</v>
      </c>
      <c r="I1570" s="709">
        <v>300.0</v>
      </c>
      <c r="J1570" s="705">
        <f t="shared" si="12"/>
        <v>1600</v>
      </c>
      <c r="K1570" s="705">
        <f t="shared" si="13"/>
        <v>1080</v>
      </c>
      <c r="L1570" s="705">
        <f t="shared" si="14"/>
        <v>2680</v>
      </c>
      <c r="M1570" s="706">
        <f t="shared" si="15"/>
        <v>107.2</v>
      </c>
    </row>
    <row r="1571">
      <c r="A1571" s="702" t="s">
        <v>34228</v>
      </c>
      <c r="B1571" s="702" t="s">
        <v>34231</v>
      </c>
      <c r="C1571" s="707"/>
      <c r="D1571" s="708" t="s">
        <v>34232</v>
      </c>
      <c r="E1571" s="708" t="s">
        <v>12378</v>
      </c>
      <c r="F1571" s="709">
        <v>200.0</v>
      </c>
      <c r="G1571" s="708" t="s">
        <v>44</v>
      </c>
      <c r="H1571" s="709">
        <v>14.0</v>
      </c>
      <c r="I1571" s="709">
        <v>500.0</v>
      </c>
      <c r="J1571" s="705">
        <f t="shared" si="12"/>
        <v>3300</v>
      </c>
      <c r="K1571" s="705">
        <f t="shared" si="13"/>
        <v>1165</v>
      </c>
      <c r="L1571" s="705">
        <f t="shared" si="14"/>
        <v>4465</v>
      </c>
      <c r="M1571" s="706">
        <f t="shared" si="15"/>
        <v>22.325</v>
      </c>
    </row>
    <row r="1572">
      <c r="A1572" s="729" t="s">
        <v>34233</v>
      </c>
      <c r="B1572" s="702" t="s">
        <v>34234</v>
      </c>
      <c r="C1572" s="720"/>
      <c r="D1572" s="720" t="s">
        <v>20272</v>
      </c>
      <c r="E1572" s="720" t="s">
        <v>3686</v>
      </c>
      <c r="F1572" s="721">
        <v>500.0</v>
      </c>
      <c r="G1572" s="720" t="s">
        <v>17213</v>
      </c>
      <c r="H1572" s="721">
        <v>450.0</v>
      </c>
      <c r="I1572" s="705"/>
      <c r="J1572" s="705"/>
      <c r="K1572" s="721"/>
      <c r="L1572" s="705"/>
      <c r="M1572" s="713" t="s">
        <v>34235</v>
      </c>
    </row>
    <row r="1573">
      <c r="A1573" s="702" t="s">
        <v>34228</v>
      </c>
      <c r="B1573" s="703" t="s">
        <v>20399</v>
      </c>
      <c r="C1573" s="707"/>
      <c r="D1573" s="720" t="s">
        <v>3974</v>
      </c>
      <c r="E1573" s="720" t="s">
        <v>3555</v>
      </c>
      <c r="F1573" s="709">
        <v>16000.0</v>
      </c>
      <c r="G1573" s="708" t="s">
        <v>519</v>
      </c>
      <c r="H1573" s="709">
        <v>10.0</v>
      </c>
      <c r="I1573" s="705"/>
      <c r="J1573" s="705">
        <f t="shared" ref="J1573:J1592" si="16">(F1573*H1573)+I1573</f>
        <v>160000</v>
      </c>
      <c r="K1573" s="705">
        <f t="shared" ref="K1573:K1592" si="17">(1000+J1573*5%)</f>
        <v>9000</v>
      </c>
      <c r="L1573" s="705">
        <f t="shared" ref="L1573:L1592" si="18">(J1573+K1573)</f>
        <v>169000</v>
      </c>
      <c r="M1573" s="706">
        <f t="shared" ref="M1573:M1592" si="19">(L1573/F1573)</f>
        <v>10.5625</v>
      </c>
    </row>
    <row r="1574">
      <c r="A1574" s="702" t="s">
        <v>34228</v>
      </c>
      <c r="B1574" s="703" t="s">
        <v>20424</v>
      </c>
      <c r="C1574" s="707"/>
      <c r="D1574" s="720" t="s">
        <v>34226</v>
      </c>
      <c r="E1574" s="720" t="s">
        <v>34236</v>
      </c>
      <c r="F1574" s="709">
        <v>5000.0</v>
      </c>
      <c r="G1574" s="708" t="s">
        <v>507</v>
      </c>
      <c r="H1574" s="709">
        <v>19.5</v>
      </c>
      <c r="I1574" s="709">
        <v>5000.0</v>
      </c>
      <c r="J1574" s="705">
        <f t="shared" si="16"/>
        <v>102500</v>
      </c>
      <c r="K1574" s="705">
        <f t="shared" si="17"/>
        <v>6125</v>
      </c>
      <c r="L1574" s="705">
        <f t="shared" si="18"/>
        <v>108625</v>
      </c>
      <c r="M1574" s="706">
        <f t="shared" si="19"/>
        <v>21.725</v>
      </c>
    </row>
    <row r="1575">
      <c r="A1575" s="702" t="s">
        <v>34228</v>
      </c>
      <c r="B1575" s="703" t="s">
        <v>20427</v>
      </c>
      <c r="C1575" s="707"/>
      <c r="D1575" s="720" t="s">
        <v>20428</v>
      </c>
      <c r="E1575" s="720" t="s">
        <v>2482</v>
      </c>
      <c r="F1575" s="709">
        <v>3000.0</v>
      </c>
      <c r="G1575" s="708" t="s">
        <v>507</v>
      </c>
      <c r="H1575" s="709">
        <v>46.0</v>
      </c>
      <c r="I1575" s="709">
        <v>3000.0</v>
      </c>
      <c r="J1575" s="705">
        <f t="shared" si="16"/>
        <v>141000</v>
      </c>
      <c r="K1575" s="705">
        <f t="shared" si="17"/>
        <v>8050</v>
      </c>
      <c r="L1575" s="705">
        <f t="shared" si="18"/>
        <v>149050</v>
      </c>
      <c r="M1575" s="706">
        <f t="shared" si="19"/>
        <v>49.68333333</v>
      </c>
    </row>
    <row r="1576">
      <c r="A1576" s="702" t="s">
        <v>34228</v>
      </c>
      <c r="B1576" s="703" t="s">
        <v>20513</v>
      </c>
      <c r="C1576" s="707"/>
      <c r="D1576" s="720" t="s">
        <v>34237</v>
      </c>
      <c r="E1576" s="708" t="s">
        <v>34238</v>
      </c>
      <c r="F1576" s="721">
        <v>1000.0</v>
      </c>
      <c r="G1576" s="720" t="s">
        <v>519</v>
      </c>
      <c r="H1576" s="709">
        <v>35.0</v>
      </c>
      <c r="I1576" s="709">
        <v>1500.0</v>
      </c>
      <c r="J1576" s="705">
        <f t="shared" si="16"/>
        <v>36500</v>
      </c>
      <c r="K1576" s="705">
        <f t="shared" si="17"/>
        <v>2825</v>
      </c>
      <c r="L1576" s="705">
        <f t="shared" si="18"/>
        <v>39325</v>
      </c>
      <c r="M1576" s="706">
        <f t="shared" si="19"/>
        <v>39.325</v>
      </c>
    </row>
    <row r="1577">
      <c r="A1577" s="702" t="s">
        <v>34228</v>
      </c>
      <c r="B1577" s="703" t="s">
        <v>20513</v>
      </c>
      <c r="C1577" s="707"/>
      <c r="D1577" s="708" t="s">
        <v>34237</v>
      </c>
      <c r="E1577" s="708" t="s">
        <v>34239</v>
      </c>
      <c r="F1577" s="709">
        <v>1000.0</v>
      </c>
      <c r="G1577" s="708" t="s">
        <v>519</v>
      </c>
      <c r="H1577" s="709">
        <v>45.0</v>
      </c>
      <c r="I1577" s="709">
        <v>1500.0</v>
      </c>
      <c r="J1577" s="705">
        <f t="shared" si="16"/>
        <v>46500</v>
      </c>
      <c r="K1577" s="705">
        <f t="shared" si="17"/>
        <v>3325</v>
      </c>
      <c r="L1577" s="705">
        <f t="shared" si="18"/>
        <v>49825</v>
      </c>
      <c r="M1577" s="706">
        <f t="shared" si="19"/>
        <v>49.825</v>
      </c>
    </row>
    <row r="1578">
      <c r="A1578" s="702" t="s">
        <v>34228</v>
      </c>
      <c r="B1578" s="702" t="s">
        <v>20368</v>
      </c>
      <c r="C1578" s="707"/>
      <c r="D1578" s="708" t="s">
        <v>20369</v>
      </c>
      <c r="E1578" s="708" t="s">
        <v>5244</v>
      </c>
      <c r="F1578" s="709">
        <v>500.0</v>
      </c>
      <c r="G1578" s="708" t="s">
        <v>507</v>
      </c>
      <c r="H1578" s="709">
        <v>50.0</v>
      </c>
      <c r="I1578" s="709">
        <v>500.0</v>
      </c>
      <c r="J1578" s="705">
        <f t="shared" si="16"/>
        <v>25500</v>
      </c>
      <c r="K1578" s="705">
        <f t="shared" si="17"/>
        <v>2275</v>
      </c>
      <c r="L1578" s="705">
        <f t="shared" si="18"/>
        <v>27775</v>
      </c>
      <c r="M1578" s="706">
        <f t="shared" si="19"/>
        <v>55.55</v>
      </c>
    </row>
    <row r="1579">
      <c r="A1579" s="702" t="s">
        <v>34228</v>
      </c>
      <c r="B1579" s="702" t="s">
        <v>34240</v>
      </c>
      <c r="C1579" s="707"/>
      <c r="D1579" s="708" t="s">
        <v>20380</v>
      </c>
      <c r="E1579" s="720" t="s">
        <v>3165</v>
      </c>
      <c r="F1579" s="709">
        <v>25.0</v>
      </c>
      <c r="G1579" s="708" t="s">
        <v>278</v>
      </c>
      <c r="H1579" s="709">
        <v>79.0</v>
      </c>
      <c r="I1579" s="709">
        <v>300.0</v>
      </c>
      <c r="J1579" s="705">
        <f t="shared" si="16"/>
        <v>2275</v>
      </c>
      <c r="K1579" s="705">
        <f t="shared" si="17"/>
        <v>1113.75</v>
      </c>
      <c r="L1579" s="705">
        <f t="shared" si="18"/>
        <v>3388.75</v>
      </c>
      <c r="M1579" s="706">
        <f t="shared" si="19"/>
        <v>135.55</v>
      </c>
    </row>
    <row r="1580">
      <c r="A1580" s="702" t="s">
        <v>34228</v>
      </c>
      <c r="B1580" s="702" t="s">
        <v>34241</v>
      </c>
      <c r="C1580" s="707"/>
      <c r="D1580" s="708" t="s">
        <v>34242</v>
      </c>
      <c r="E1580" s="708" t="s">
        <v>32795</v>
      </c>
      <c r="F1580" s="709">
        <v>25.0</v>
      </c>
      <c r="G1580" s="708" t="s">
        <v>19804</v>
      </c>
      <c r="H1580" s="709">
        <v>52.0</v>
      </c>
      <c r="I1580" s="709">
        <v>300.0</v>
      </c>
      <c r="J1580" s="705">
        <f t="shared" si="16"/>
        <v>1600</v>
      </c>
      <c r="K1580" s="705">
        <f t="shared" si="17"/>
        <v>1080</v>
      </c>
      <c r="L1580" s="705">
        <f t="shared" si="18"/>
        <v>2680</v>
      </c>
      <c r="M1580" s="706">
        <f t="shared" si="19"/>
        <v>107.2</v>
      </c>
    </row>
    <row r="1581">
      <c r="A1581" s="703"/>
      <c r="B1581" s="702" t="s">
        <v>34241</v>
      </c>
      <c r="C1581" s="707"/>
      <c r="D1581" s="708" t="s">
        <v>34242</v>
      </c>
      <c r="E1581" s="708" t="s">
        <v>3165</v>
      </c>
      <c r="F1581" s="709">
        <v>50.0</v>
      </c>
      <c r="G1581" s="708" t="s">
        <v>19804</v>
      </c>
      <c r="H1581" s="709">
        <v>79.0</v>
      </c>
      <c r="I1581" s="709">
        <v>500.0</v>
      </c>
      <c r="J1581" s="705">
        <f t="shared" si="16"/>
        <v>4450</v>
      </c>
      <c r="K1581" s="705">
        <f t="shared" si="17"/>
        <v>1222.5</v>
      </c>
      <c r="L1581" s="705">
        <f t="shared" si="18"/>
        <v>5672.5</v>
      </c>
      <c r="M1581" s="706">
        <f t="shared" si="19"/>
        <v>113.45</v>
      </c>
    </row>
    <row r="1582">
      <c r="A1582" s="702" t="s">
        <v>34228</v>
      </c>
      <c r="B1582" s="702" t="s">
        <v>34241</v>
      </c>
      <c r="C1582" s="707"/>
      <c r="D1582" s="708" t="s">
        <v>34242</v>
      </c>
      <c r="E1582" s="708" t="s">
        <v>501</v>
      </c>
      <c r="F1582" s="709">
        <v>25.0</v>
      </c>
      <c r="G1582" s="708" t="s">
        <v>19804</v>
      </c>
      <c r="H1582" s="709">
        <v>10.5</v>
      </c>
      <c r="I1582" s="709">
        <v>300.0</v>
      </c>
      <c r="J1582" s="705">
        <f t="shared" si="16"/>
        <v>562.5</v>
      </c>
      <c r="K1582" s="705">
        <f t="shared" si="17"/>
        <v>1028.125</v>
      </c>
      <c r="L1582" s="705">
        <f t="shared" si="18"/>
        <v>1590.625</v>
      </c>
      <c r="M1582" s="706">
        <f t="shared" si="19"/>
        <v>63.625</v>
      </c>
    </row>
    <row r="1583">
      <c r="A1583" s="702" t="s">
        <v>34228</v>
      </c>
      <c r="B1583" s="702" t="s">
        <v>20258</v>
      </c>
      <c r="C1583" s="707"/>
      <c r="D1583" s="708" t="s">
        <v>20259</v>
      </c>
      <c r="E1583" s="708" t="s">
        <v>33996</v>
      </c>
      <c r="F1583" s="709">
        <v>50.0</v>
      </c>
      <c r="G1583" s="720" t="s">
        <v>2682</v>
      </c>
      <c r="H1583" s="709">
        <v>6.0</v>
      </c>
      <c r="I1583" s="709">
        <v>500.0</v>
      </c>
      <c r="J1583" s="705">
        <f t="shared" si="16"/>
        <v>800</v>
      </c>
      <c r="K1583" s="705">
        <f t="shared" si="17"/>
        <v>1040</v>
      </c>
      <c r="L1583" s="705">
        <f t="shared" si="18"/>
        <v>1840</v>
      </c>
      <c r="M1583" s="706">
        <f t="shared" si="19"/>
        <v>36.8</v>
      </c>
    </row>
    <row r="1584">
      <c r="A1584" s="702" t="s">
        <v>34228</v>
      </c>
      <c r="B1584" s="702" t="s">
        <v>20267</v>
      </c>
      <c r="C1584" s="707"/>
      <c r="D1584" s="708" t="s">
        <v>34232</v>
      </c>
      <c r="E1584" s="708" t="s">
        <v>32795</v>
      </c>
      <c r="F1584" s="709">
        <v>25.0</v>
      </c>
      <c r="G1584" s="708" t="s">
        <v>44</v>
      </c>
      <c r="H1584" s="709">
        <v>52.0</v>
      </c>
      <c r="I1584" s="709">
        <v>300.0</v>
      </c>
      <c r="J1584" s="705">
        <f t="shared" si="16"/>
        <v>1600</v>
      </c>
      <c r="K1584" s="705">
        <f t="shared" si="17"/>
        <v>1080</v>
      </c>
      <c r="L1584" s="705">
        <f t="shared" si="18"/>
        <v>2680</v>
      </c>
      <c r="M1584" s="706">
        <f t="shared" si="19"/>
        <v>107.2</v>
      </c>
    </row>
    <row r="1585">
      <c r="A1585" s="702" t="s">
        <v>34228</v>
      </c>
      <c r="B1585" s="702" t="s">
        <v>20282</v>
      </c>
      <c r="C1585" s="707"/>
      <c r="D1585" s="708" t="s">
        <v>34243</v>
      </c>
      <c r="E1585" s="708" t="s">
        <v>19517</v>
      </c>
      <c r="F1585" s="709">
        <v>1000.0</v>
      </c>
      <c r="G1585" s="708" t="s">
        <v>49</v>
      </c>
      <c r="H1585" s="709">
        <v>9.0</v>
      </c>
      <c r="I1585" s="709">
        <v>1500.0</v>
      </c>
      <c r="J1585" s="705">
        <f t="shared" si="16"/>
        <v>10500</v>
      </c>
      <c r="K1585" s="705">
        <f t="shared" si="17"/>
        <v>1525</v>
      </c>
      <c r="L1585" s="705">
        <f t="shared" si="18"/>
        <v>12025</v>
      </c>
      <c r="M1585" s="706">
        <f t="shared" si="19"/>
        <v>12.025</v>
      </c>
    </row>
    <row r="1586">
      <c r="A1586" s="702" t="s">
        <v>34228</v>
      </c>
      <c r="B1586" s="702" t="s">
        <v>20242</v>
      </c>
      <c r="C1586" s="707"/>
      <c r="D1586" s="708" t="s">
        <v>20243</v>
      </c>
      <c r="E1586" s="708" t="s">
        <v>523</v>
      </c>
      <c r="F1586" s="709">
        <v>100.0</v>
      </c>
      <c r="G1586" s="708" t="s">
        <v>33574</v>
      </c>
      <c r="H1586" s="709">
        <v>4.8</v>
      </c>
      <c r="I1586" s="709">
        <v>500.0</v>
      </c>
      <c r="J1586" s="705">
        <f t="shared" si="16"/>
        <v>980</v>
      </c>
      <c r="K1586" s="705">
        <f t="shared" si="17"/>
        <v>1049</v>
      </c>
      <c r="L1586" s="705">
        <f t="shared" si="18"/>
        <v>2029</v>
      </c>
      <c r="M1586" s="706">
        <f t="shared" si="19"/>
        <v>20.29</v>
      </c>
    </row>
    <row r="1587">
      <c r="A1587" s="702" t="s">
        <v>34228</v>
      </c>
      <c r="B1587" s="702" t="s">
        <v>20245</v>
      </c>
      <c r="C1587" s="707"/>
      <c r="D1587" s="708" t="s">
        <v>34244</v>
      </c>
      <c r="E1587" s="708" t="s">
        <v>593</v>
      </c>
      <c r="F1587" s="709">
        <v>16000.0</v>
      </c>
      <c r="G1587" s="708" t="s">
        <v>44</v>
      </c>
      <c r="H1587" s="709">
        <v>41.0</v>
      </c>
      <c r="I1587" s="705"/>
      <c r="J1587" s="705">
        <f t="shared" si="16"/>
        <v>656000</v>
      </c>
      <c r="K1587" s="705">
        <f t="shared" si="17"/>
        <v>33800</v>
      </c>
      <c r="L1587" s="705">
        <f t="shared" si="18"/>
        <v>689800</v>
      </c>
      <c r="M1587" s="706">
        <f t="shared" si="19"/>
        <v>43.1125</v>
      </c>
    </row>
    <row r="1588">
      <c r="A1588" s="702" t="s">
        <v>34228</v>
      </c>
      <c r="B1588" s="702" t="s">
        <v>20247</v>
      </c>
      <c r="C1588" s="707"/>
      <c r="D1588" s="708" t="s">
        <v>34245</v>
      </c>
      <c r="E1588" s="708" t="s">
        <v>2476</v>
      </c>
      <c r="F1588" s="709">
        <v>5000.0</v>
      </c>
      <c r="G1588" s="708" t="s">
        <v>44</v>
      </c>
      <c r="H1588" s="709">
        <v>42.0</v>
      </c>
      <c r="I1588" s="709">
        <v>5000.0</v>
      </c>
      <c r="J1588" s="705">
        <f t="shared" si="16"/>
        <v>215000</v>
      </c>
      <c r="K1588" s="705">
        <f t="shared" si="17"/>
        <v>11750</v>
      </c>
      <c r="L1588" s="705">
        <f t="shared" si="18"/>
        <v>226750</v>
      </c>
      <c r="M1588" s="706">
        <f t="shared" si="19"/>
        <v>45.35</v>
      </c>
    </row>
    <row r="1589">
      <c r="A1589" s="702" t="s">
        <v>34228</v>
      </c>
      <c r="B1589" s="702" t="s">
        <v>20289</v>
      </c>
      <c r="C1589" s="707"/>
      <c r="D1589" s="708" t="s">
        <v>20290</v>
      </c>
      <c r="E1589" s="708" t="s">
        <v>33996</v>
      </c>
      <c r="F1589" s="709">
        <v>100.0</v>
      </c>
      <c r="G1589" s="708" t="s">
        <v>930</v>
      </c>
      <c r="H1589" s="709">
        <v>6.0</v>
      </c>
      <c r="I1589" s="709">
        <v>1000.0</v>
      </c>
      <c r="J1589" s="705">
        <f t="shared" si="16"/>
        <v>1600</v>
      </c>
      <c r="K1589" s="705">
        <f t="shared" si="17"/>
        <v>1080</v>
      </c>
      <c r="L1589" s="705">
        <f t="shared" si="18"/>
        <v>2680</v>
      </c>
      <c r="M1589" s="706">
        <f t="shared" si="19"/>
        <v>26.8</v>
      </c>
    </row>
    <row r="1590">
      <c r="A1590" s="702" t="s">
        <v>34228</v>
      </c>
      <c r="B1590" s="702" t="s">
        <v>20311</v>
      </c>
      <c r="C1590" s="707"/>
      <c r="D1590" s="708" t="s">
        <v>20312</v>
      </c>
      <c r="E1590" s="708" t="s">
        <v>11808</v>
      </c>
      <c r="F1590" s="709">
        <v>40000.0</v>
      </c>
      <c r="G1590" s="708" t="s">
        <v>9359</v>
      </c>
      <c r="H1590" s="709">
        <v>4.0</v>
      </c>
      <c r="I1590" s="705"/>
      <c r="J1590" s="705">
        <f t="shared" si="16"/>
        <v>160000</v>
      </c>
      <c r="K1590" s="705">
        <f t="shared" si="17"/>
        <v>9000</v>
      </c>
      <c r="L1590" s="705">
        <f t="shared" si="18"/>
        <v>169000</v>
      </c>
      <c r="M1590" s="706">
        <f t="shared" si="19"/>
        <v>4.225</v>
      </c>
    </row>
    <row r="1591">
      <c r="A1591" s="702" t="s">
        <v>34228</v>
      </c>
      <c r="B1591" s="702" t="s">
        <v>20316</v>
      </c>
      <c r="C1591" s="707"/>
      <c r="D1591" s="708" t="s">
        <v>34246</v>
      </c>
      <c r="E1591" s="708" t="s">
        <v>14677</v>
      </c>
      <c r="F1591" s="709">
        <v>200.0</v>
      </c>
      <c r="G1591" s="708" t="s">
        <v>268</v>
      </c>
      <c r="H1591" s="709">
        <v>46.0</v>
      </c>
      <c r="I1591" s="709">
        <v>1000.0</v>
      </c>
      <c r="J1591" s="705">
        <f t="shared" si="16"/>
        <v>10200</v>
      </c>
      <c r="K1591" s="705">
        <f t="shared" si="17"/>
        <v>1510</v>
      </c>
      <c r="L1591" s="705">
        <f t="shared" si="18"/>
        <v>11710</v>
      </c>
      <c r="M1591" s="706">
        <f t="shared" si="19"/>
        <v>58.55</v>
      </c>
    </row>
    <row r="1592">
      <c r="A1592" s="702" t="s">
        <v>34228</v>
      </c>
      <c r="B1592" s="702" t="s">
        <v>20320</v>
      </c>
      <c r="C1592" s="707"/>
      <c r="D1592" s="708" t="s">
        <v>20321</v>
      </c>
      <c r="E1592" s="708" t="s">
        <v>523</v>
      </c>
      <c r="F1592" s="709">
        <v>2000.0</v>
      </c>
      <c r="G1592" s="708" t="s">
        <v>981</v>
      </c>
      <c r="H1592" s="709">
        <v>4.8</v>
      </c>
      <c r="I1592" s="709">
        <v>2000.0</v>
      </c>
      <c r="J1592" s="705">
        <f t="shared" si="16"/>
        <v>11600</v>
      </c>
      <c r="K1592" s="705">
        <f t="shared" si="17"/>
        <v>1580</v>
      </c>
      <c r="L1592" s="705">
        <f t="shared" si="18"/>
        <v>13180</v>
      </c>
      <c r="M1592" s="706">
        <f t="shared" si="19"/>
        <v>6.59</v>
      </c>
    </row>
    <row r="1593">
      <c r="A1593" s="702" t="s">
        <v>34247</v>
      </c>
      <c r="B1593" s="729" t="s">
        <v>34248</v>
      </c>
      <c r="C1593" s="707"/>
      <c r="D1593" s="720" t="s">
        <v>34249</v>
      </c>
      <c r="E1593" s="720" t="s">
        <v>34250</v>
      </c>
      <c r="F1593" s="709">
        <v>100.0</v>
      </c>
      <c r="G1593" s="708" t="s">
        <v>184</v>
      </c>
      <c r="H1593" s="705"/>
      <c r="I1593" s="705"/>
      <c r="J1593" s="705"/>
      <c r="K1593" s="705"/>
      <c r="L1593" s="705"/>
      <c r="M1593" s="713">
        <v>1750.0</v>
      </c>
    </row>
    <row r="1594">
      <c r="A1594" s="702" t="s">
        <v>34228</v>
      </c>
      <c r="B1594" s="702" t="s">
        <v>34251</v>
      </c>
      <c r="C1594" s="707"/>
      <c r="D1594" s="708" t="s">
        <v>34252</v>
      </c>
      <c r="E1594" s="720" t="s">
        <v>34253</v>
      </c>
      <c r="F1594" s="709">
        <v>4500.0</v>
      </c>
      <c r="G1594" s="708" t="s">
        <v>44</v>
      </c>
      <c r="H1594" s="705"/>
      <c r="I1594" s="705"/>
      <c r="J1594" s="705"/>
      <c r="K1594" s="705"/>
      <c r="L1594" s="705"/>
      <c r="M1594" s="713">
        <v>45.0</v>
      </c>
    </row>
    <row r="1595">
      <c r="A1595" s="702" t="s">
        <v>34228</v>
      </c>
      <c r="B1595" s="729" t="s">
        <v>33423</v>
      </c>
      <c r="C1595" s="707"/>
      <c r="D1595" s="720" t="s">
        <v>34254</v>
      </c>
      <c r="E1595" s="720" t="s">
        <v>34041</v>
      </c>
      <c r="F1595" s="709">
        <v>500.0</v>
      </c>
      <c r="G1595" s="708" t="s">
        <v>9359</v>
      </c>
      <c r="H1595" s="709">
        <v>65.0</v>
      </c>
      <c r="I1595" s="709">
        <v>500.0</v>
      </c>
      <c r="J1595" s="705">
        <f t="shared" ref="J1595:J1597" si="20">(F1595*H1595)+I1595</f>
        <v>33000</v>
      </c>
      <c r="K1595" s="705">
        <f t="shared" ref="K1595:K1597" si="21">(1000+J1595*5%)</f>
        <v>2650</v>
      </c>
      <c r="L1595" s="705">
        <f t="shared" ref="L1595:L1597" si="22">(J1595+K1595)</f>
        <v>35650</v>
      </c>
      <c r="M1595" s="706">
        <f t="shared" ref="M1595:M1597" si="23">(L1595/F1595)</f>
        <v>71.3</v>
      </c>
    </row>
    <row r="1596">
      <c r="A1596" s="702" t="s">
        <v>34228</v>
      </c>
      <c r="B1596" s="725" t="s">
        <v>33423</v>
      </c>
      <c r="C1596" s="707"/>
      <c r="D1596" s="725" t="s">
        <v>34254</v>
      </c>
      <c r="E1596" s="725" t="s">
        <v>34041</v>
      </c>
      <c r="F1596" s="709">
        <v>100.0</v>
      </c>
      <c r="G1596" s="708" t="s">
        <v>9359</v>
      </c>
      <c r="H1596" s="709">
        <v>65.0</v>
      </c>
      <c r="I1596" s="709">
        <v>400.0</v>
      </c>
      <c r="J1596" s="705">
        <f t="shared" si="20"/>
        <v>6900</v>
      </c>
      <c r="K1596" s="705">
        <f t="shared" si="21"/>
        <v>1345</v>
      </c>
      <c r="L1596" s="705">
        <f t="shared" si="22"/>
        <v>8245</v>
      </c>
      <c r="M1596" s="706">
        <f t="shared" si="23"/>
        <v>82.45</v>
      </c>
    </row>
    <row r="1597">
      <c r="A1597" s="181" t="s">
        <v>34228</v>
      </c>
      <c r="B1597" s="181" t="s">
        <v>20301</v>
      </c>
      <c r="C1597" s="181" t="s">
        <v>13963</v>
      </c>
      <c r="D1597" s="181"/>
      <c r="E1597" s="181" t="s">
        <v>344</v>
      </c>
      <c r="F1597" s="181">
        <v>500.0</v>
      </c>
      <c r="G1597" s="526" t="s">
        <v>507</v>
      </c>
      <c r="H1597" s="526">
        <v>285.0</v>
      </c>
      <c r="I1597" s="181">
        <v>2000.0</v>
      </c>
      <c r="J1597" s="705">
        <f t="shared" si="20"/>
        <v>144500</v>
      </c>
      <c r="K1597" s="705">
        <f t="shared" si="21"/>
        <v>8225</v>
      </c>
      <c r="L1597" s="705">
        <f t="shared" si="22"/>
        <v>152725</v>
      </c>
      <c r="M1597" s="706">
        <f t="shared" si="23"/>
        <v>305.45</v>
      </c>
      <c r="N1597" s="631"/>
      <c r="O1597" s="631"/>
      <c r="P1597" s="631"/>
      <c r="Q1597" s="730" t="s">
        <v>34255</v>
      </c>
    </row>
    <row r="1598">
      <c r="A1598" s="181" t="s">
        <v>34233</v>
      </c>
      <c r="B1598" s="181" t="s">
        <v>20271</v>
      </c>
      <c r="C1598" s="181" t="s">
        <v>13963</v>
      </c>
      <c r="D1598" s="36" t="s">
        <v>20272</v>
      </c>
      <c r="E1598" s="181" t="s">
        <v>3686</v>
      </c>
      <c r="F1598" s="181">
        <v>500.0</v>
      </c>
      <c r="G1598" s="181" t="s">
        <v>17213</v>
      </c>
      <c r="H1598" s="526">
        <v>450.0</v>
      </c>
      <c r="I1598" s="631"/>
      <c r="J1598" s="631"/>
      <c r="K1598" s="181"/>
      <c r="L1598" s="705"/>
      <c r="M1598" s="713" t="s">
        <v>34235</v>
      </c>
      <c r="N1598" s="631"/>
      <c r="O1598" s="631"/>
      <c r="P1598" s="631"/>
      <c r="Q1598" s="526"/>
    </row>
    <row r="1599">
      <c r="A1599" s="702" t="s">
        <v>34228</v>
      </c>
      <c r="B1599" s="729" t="s">
        <v>34256</v>
      </c>
      <c r="C1599" s="707"/>
      <c r="D1599" s="720" t="s">
        <v>34257</v>
      </c>
      <c r="E1599" s="708" t="s">
        <v>34258</v>
      </c>
      <c r="F1599" s="709">
        <v>2000.0</v>
      </c>
      <c r="G1599" s="708" t="s">
        <v>184</v>
      </c>
      <c r="H1599" s="709">
        <v>40.0</v>
      </c>
      <c r="I1599" s="709">
        <v>2000.0</v>
      </c>
      <c r="J1599" s="705">
        <f t="shared" ref="J1599:J1603" si="24">(F1599*H1599)+I1599</f>
        <v>82000</v>
      </c>
      <c r="K1599" s="705">
        <f t="shared" ref="K1599:K1603" si="25">(1000+J1599*5%)</f>
        <v>5100</v>
      </c>
      <c r="L1599" s="705">
        <f t="shared" ref="L1599:L1603" si="26">(J1599+K1599)</f>
        <v>87100</v>
      </c>
      <c r="M1599" s="706">
        <f t="shared" ref="M1599:M1603" si="27">(L1599/F1599)</f>
        <v>43.55</v>
      </c>
      <c r="N1599" s="731" t="s">
        <v>34259</v>
      </c>
    </row>
    <row r="1600">
      <c r="A1600" s="703" t="s">
        <v>34260</v>
      </c>
      <c r="B1600" s="703"/>
      <c r="C1600" s="707"/>
      <c r="D1600" s="707"/>
      <c r="E1600" s="707" t="s">
        <v>34261</v>
      </c>
      <c r="F1600" s="705">
        <v>30000.0</v>
      </c>
      <c r="G1600" s="707" t="s">
        <v>158</v>
      </c>
      <c r="H1600" s="705">
        <v>13.2</v>
      </c>
      <c r="I1600" s="705">
        <v>0.0</v>
      </c>
      <c r="J1600" s="705">
        <f t="shared" si="24"/>
        <v>396000</v>
      </c>
      <c r="K1600" s="705">
        <f t="shared" si="25"/>
        <v>20800</v>
      </c>
      <c r="L1600" s="705">
        <f t="shared" si="26"/>
        <v>416800</v>
      </c>
      <c r="M1600" s="706">
        <f t="shared" si="27"/>
        <v>13.89333333</v>
      </c>
    </row>
    <row r="1601">
      <c r="A1601" s="703"/>
      <c r="B1601" s="703"/>
      <c r="C1601" s="707"/>
      <c r="D1601" s="707"/>
      <c r="E1601" s="707" t="s">
        <v>34262</v>
      </c>
      <c r="F1601" s="705">
        <v>25000.0</v>
      </c>
      <c r="G1601" s="707" t="s">
        <v>34263</v>
      </c>
      <c r="H1601" s="705">
        <v>5.06</v>
      </c>
      <c r="I1601" s="703"/>
      <c r="J1601" s="705">
        <f t="shared" si="24"/>
        <v>126500</v>
      </c>
      <c r="K1601" s="705">
        <f t="shared" si="25"/>
        <v>7325</v>
      </c>
      <c r="L1601" s="705">
        <f t="shared" si="26"/>
        <v>133825</v>
      </c>
      <c r="M1601" s="706">
        <f t="shared" si="27"/>
        <v>5.353</v>
      </c>
    </row>
    <row r="1602">
      <c r="A1602" s="703"/>
      <c r="B1602" s="703"/>
      <c r="C1602" s="707"/>
      <c r="D1602" s="707"/>
      <c r="E1602" s="707" t="s">
        <v>34264</v>
      </c>
      <c r="F1602" s="705">
        <v>15000.0</v>
      </c>
      <c r="G1602" s="707" t="s">
        <v>18594</v>
      </c>
      <c r="H1602" s="705">
        <v>41.0</v>
      </c>
      <c r="I1602" s="703"/>
      <c r="J1602" s="732">
        <f t="shared" si="24"/>
        <v>615000</v>
      </c>
      <c r="K1602" s="705">
        <f t="shared" si="25"/>
        <v>31750</v>
      </c>
      <c r="L1602" s="732">
        <f t="shared" si="26"/>
        <v>646750</v>
      </c>
      <c r="M1602" s="733">
        <f t="shared" si="27"/>
        <v>43.11666667</v>
      </c>
    </row>
    <row r="1603">
      <c r="A1603" s="703"/>
      <c r="B1603" s="703"/>
      <c r="C1603" s="707"/>
      <c r="D1603" s="707"/>
      <c r="E1603" s="707" t="s">
        <v>6275</v>
      </c>
      <c r="F1603" s="705">
        <v>20000.0</v>
      </c>
      <c r="G1603" s="707" t="s">
        <v>472</v>
      </c>
      <c r="H1603" s="705">
        <v>5.6</v>
      </c>
      <c r="I1603" s="705">
        <v>0.0</v>
      </c>
      <c r="J1603" s="732">
        <f t="shared" si="24"/>
        <v>112000</v>
      </c>
      <c r="K1603" s="705">
        <f t="shared" si="25"/>
        <v>6600</v>
      </c>
      <c r="L1603" s="732">
        <f t="shared" si="26"/>
        <v>118600</v>
      </c>
      <c r="M1603" s="733">
        <f t="shared" si="27"/>
        <v>5.93</v>
      </c>
    </row>
    <row r="1604">
      <c r="A1604" s="703"/>
      <c r="B1604" s="703"/>
      <c r="C1604" s="703"/>
      <c r="D1604" s="703"/>
      <c r="E1604" s="703"/>
      <c r="F1604" s="703"/>
      <c r="G1604" s="703"/>
      <c r="H1604" s="703"/>
      <c r="I1604" s="703"/>
      <c r="J1604" s="704"/>
      <c r="K1604" s="703"/>
      <c r="L1604" s="704"/>
      <c r="M1604" s="734"/>
    </row>
    <row r="1605">
      <c r="A1605" s="703" t="s">
        <v>34265</v>
      </c>
      <c r="B1605" s="703" t="s">
        <v>21362</v>
      </c>
      <c r="C1605" s="703"/>
      <c r="D1605" s="703"/>
      <c r="E1605" s="703" t="s">
        <v>34266</v>
      </c>
      <c r="F1605" s="735">
        <v>10000.0</v>
      </c>
      <c r="G1605" s="703" t="s">
        <v>965</v>
      </c>
      <c r="H1605" s="736">
        <v>58.0</v>
      </c>
      <c r="I1605" s="703"/>
      <c r="J1605" s="732">
        <f t="shared" ref="J1605:J1622" si="28">(F1605*H1605)+I1605</f>
        <v>580000</v>
      </c>
      <c r="K1605" s="705">
        <f t="shared" ref="K1605:K1622" si="29">(1000+J1605*5%)</f>
        <v>30000</v>
      </c>
      <c r="L1605" s="732">
        <f t="shared" ref="L1605:L1622" si="30">(J1605+K1605)</f>
        <v>610000</v>
      </c>
      <c r="M1605" s="733">
        <f t="shared" ref="M1605:M1622" si="31">(L1605/F1605)</f>
        <v>61</v>
      </c>
    </row>
    <row r="1606">
      <c r="A1606" s="703" t="s">
        <v>34265</v>
      </c>
      <c r="B1606" s="703" t="s">
        <v>34267</v>
      </c>
      <c r="C1606" s="703"/>
      <c r="D1606" s="703"/>
      <c r="E1606" s="703" t="s">
        <v>34268</v>
      </c>
      <c r="F1606" s="736">
        <v>20000.0</v>
      </c>
      <c r="G1606" s="703" t="s">
        <v>507</v>
      </c>
      <c r="H1606" s="736">
        <v>4.0</v>
      </c>
      <c r="I1606" s="736">
        <v>0.0</v>
      </c>
      <c r="J1606" s="732">
        <f t="shared" si="28"/>
        <v>80000</v>
      </c>
      <c r="K1606" s="705">
        <f t="shared" si="29"/>
        <v>5000</v>
      </c>
      <c r="L1606" s="732">
        <f t="shared" si="30"/>
        <v>85000</v>
      </c>
      <c r="M1606" s="733">
        <f t="shared" si="31"/>
        <v>4.25</v>
      </c>
    </row>
    <row r="1607">
      <c r="A1607" s="703" t="s">
        <v>34269</v>
      </c>
      <c r="B1607" s="703" t="s">
        <v>34270</v>
      </c>
      <c r="C1607" s="703"/>
      <c r="D1607" s="703"/>
      <c r="E1607" s="703" t="s">
        <v>34266</v>
      </c>
      <c r="F1607" s="736">
        <v>10000.0</v>
      </c>
      <c r="G1607" s="703" t="s">
        <v>34271</v>
      </c>
      <c r="H1607" s="736">
        <v>58.0</v>
      </c>
      <c r="I1607" s="703"/>
      <c r="J1607" s="732">
        <f t="shared" si="28"/>
        <v>580000</v>
      </c>
      <c r="K1607" s="705">
        <f t="shared" si="29"/>
        <v>30000</v>
      </c>
      <c r="L1607" s="732">
        <f t="shared" si="30"/>
        <v>610000</v>
      </c>
      <c r="M1607" s="733">
        <f t="shared" si="31"/>
        <v>61</v>
      </c>
    </row>
    <row r="1608">
      <c r="A1608" s="703" t="s">
        <v>34272</v>
      </c>
      <c r="B1608" s="703" t="s">
        <v>34273</v>
      </c>
      <c r="C1608" s="737"/>
      <c r="D1608" s="737"/>
      <c r="E1608" s="737" t="s">
        <v>87</v>
      </c>
      <c r="F1608" s="736">
        <v>25000.0</v>
      </c>
      <c r="G1608" s="703" t="s">
        <v>44</v>
      </c>
      <c r="H1608" s="736">
        <v>33.0</v>
      </c>
      <c r="I1608" s="703"/>
      <c r="J1608" s="732">
        <f t="shared" si="28"/>
        <v>825000</v>
      </c>
      <c r="K1608" s="705">
        <f t="shared" si="29"/>
        <v>42250</v>
      </c>
      <c r="L1608" s="732">
        <f t="shared" si="30"/>
        <v>867250</v>
      </c>
      <c r="M1608" s="733">
        <f t="shared" si="31"/>
        <v>34.69</v>
      </c>
    </row>
    <row r="1609">
      <c r="A1609" s="703" t="s">
        <v>34272</v>
      </c>
      <c r="B1609" s="738" t="s">
        <v>34274</v>
      </c>
      <c r="C1609" s="738"/>
      <c r="D1609" s="738"/>
      <c r="E1609" s="738" t="s">
        <v>6311</v>
      </c>
      <c r="F1609" s="739">
        <v>100000.0</v>
      </c>
      <c r="G1609" s="738" t="s">
        <v>44</v>
      </c>
      <c r="H1609" s="739">
        <v>4.8</v>
      </c>
      <c r="I1609" s="738"/>
      <c r="J1609" s="740">
        <f t="shared" si="28"/>
        <v>480000</v>
      </c>
      <c r="K1609" s="741">
        <f t="shared" si="29"/>
        <v>25000</v>
      </c>
      <c r="L1609" s="740">
        <f t="shared" si="30"/>
        <v>505000</v>
      </c>
      <c r="M1609" s="742">
        <f t="shared" si="31"/>
        <v>5.05</v>
      </c>
    </row>
    <row r="1610">
      <c r="A1610" s="703" t="s">
        <v>34272</v>
      </c>
      <c r="B1610" s="703" t="s">
        <v>34275</v>
      </c>
      <c r="C1610" s="703"/>
      <c r="D1610" s="703"/>
      <c r="E1610" s="703" t="s">
        <v>6421</v>
      </c>
      <c r="F1610" s="736">
        <v>25000.0</v>
      </c>
      <c r="G1610" s="703" t="s">
        <v>44</v>
      </c>
      <c r="H1610" s="736">
        <v>7.5</v>
      </c>
      <c r="I1610" s="703"/>
      <c r="J1610" s="732">
        <f t="shared" si="28"/>
        <v>187500</v>
      </c>
      <c r="K1610" s="705">
        <f t="shared" si="29"/>
        <v>10375</v>
      </c>
      <c r="L1610" s="732">
        <f t="shared" si="30"/>
        <v>197875</v>
      </c>
      <c r="M1610" s="733">
        <f t="shared" si="31"/>
        <v>7.915</v>
      </c>
    </row>
    <row r="1611">
      <c r="A1611" s="703" t="s">
        <v>34272</v>
      </c>
      <c r="B1611" s="703" t="s">
        <v>21436</v>
      </c>
      <c r="C1611" s="703"/>
      <c r="D1611" s="703"/>
      <c r="E1611" s="703" t="s">
        <v>34276</v>
      </c>
      <c r="F1611" s="736">
        <v>40000.0</v>
      </c>
      <c r="G1611" s="703" t="s">
        <v>1461</v>
      </c>
      <c r="H1611" s="736">
        <v>19.6</v>
      </c>
      <c r="I1611" s="703"/>
      <c r="J1611" s="732">
        <f t="shared" si="28"/>
        <v>784000</v>
      </c>
      <c r="K1611" s="705">
        <f t="shared" si="29"/>
        <v>40200</v>
      </c>
      <c r="L1611" s="732">
        <f t="shared" si="30"/>
        <v>824200</v>
      </c>
      <c r="M1611" s="733">
        <f t="shared" si="31"/>
        <v>20.605</v>
      </c>
    </row>
    <row r="1612">
      <c r="A1612" s="703" t="s">
        <v>34272</v>
      </c>
      <c r="B1612" s="703" t="s">
        <v>21459</v>
      </c>
      <c r="C1612" s="703"/>
      <c r="D1612" s="703"/>
      <c r="E1612" s="703" t="s">
        <v>34277</v>
      </c>
      <c r="F1612" s="736">
        <v>20000.0</v>
      </c>
      <c r="G1612" s="703" t="s">
        <v>519</v>
      </c>
      <c r="H1612" s="736">
        <v>19.0</v>
      </c>
      <c r="I1612" s="703"/>
      <c r="J1612" s="732">
        <f t="shared" si="28"/>
        <v>380000</v>
      </c>
      <c r="K1612" s="705">
        <f t="shared" si="29"/>
        <v>20000</v>
      </c>
      <c r="L1612" s="732">
        <f t="shared" si="30"/>
        <v>400000</v>
      </c>
      <c r="M1612" s="733">
        <f t="shared" si="31"/>
        <v>20</v>
      </c>
    </row>
    <row r="1613">
      <c r="A1613" s="703" t="s">
        <v>34272</v>
      </c>
      <c r="B1613" s="703" t="s">
        <v>21548</v>
      </c>
      <c r="C1613" s="703"/>
      <c r="D1613" s="703"/>
      <c r="E1613" s="703" t="s">
        <v>34278</v>
      </c>
      <c r="F1613" s="736">
        <v>10000.0</v>
      </c>
      <c r="G1613" s="703" t="s">
        <v>3836</v>
      </c>
      <c r="H1613" s="736">
        <v>85.0</v>
      </c>
      <c r="I1613" s="703"/>
      <c r="J1613" s="732">
        <f t="shared" si="28"/>
        <v>850000</v>
      </c>
      <c r="K1613" s="705">
        <f t="shared" si="29"/>
        <v>43500</v>
      </c>
      <c r="L1613" s="732">
        <f t="shared" si="30"/>
        <v>893500</v>
      </c>
      <c r="M1613" s="733">
        <f t="shared" si="31"/>
        <v>89.35</v>
      </c>
    </row>
    <row r="1614">
      <c r="A1614" s="703" t="s">
        <v>34272</v>
      </c>
      <c r="B1614" s="703" t="s">
        <v>21528</v>
      </c>
      <c r="C1614" s="703"/>
      <c r="D1614" s="703"/>
      <c r="E1614" s="703" t="s">
        <v>1579</v>
      </c>
      <c r="F1614" s="736">
        <v>16000.0</v>
      </c>
      <c r="G1614" s="703" t="s">
        <v>3836</v>
      </c>
      <c r="H1614" s="736">
        <v>19.6</v>
      </c>
      <c r="I1614" s="703"/>
      <c r="J1614" s="732">
        <f t="shared" si="28"/>
        <v>313600</v>
      </c>
      <c r="K1614" s="705">
        <f t="shared" si="29"/>
        <v>16680</v>
      </c>
      <c r="L1614" s="732">
        <f t="shared" si="30"/>
        <v>330280</v>
      </c>
      <c r="M1614" s="733">
        <f t="shared" si="31"/>
        <v>20.6425</v>
      </c>
    </row>
    <row r="1615">
      <c r="A1615" s="703" t="s">
        <v>34272</v>
      </c>
      <c r="B1615" s="707" t="s">
        <v>21227</v>
      </c>
      <c r="C1615" s="737"/>
      <c r="D1615" s="737"/>
      <c r="E1615" s="737" t="s">
        <v>34279</v>
      </c>
      <c r="F1615" s="705">
        <v>10000.0</v>
      </c>
      <c r="G1615" s="707" t="s">
        <v>507</v>
      </c>
      <c r="H1615" s="736">
        <v>68.0</v>
      </c>
      <c r="I1615" s="703"/>
      <c r="J1615" s="732">
        <f t="shared" si="28"/>
        <v>680000</v>
      </c>
      <c r="K1615" s="705">
        <f t="shared" si="29"/>
        <v>35000</v>
      </c>
      <c r="L1615" s="732">
        <f t="shared" si="30"/>
        <v>715000</v>
      </c>
      <c r="M1615" s="733">
        <f t="shared" si="31"/>
        <v>71.5</v>
      </c>
    </row>
    <row r="1616">
      <c r="A1616" s="703" t="s">
        <v>34272</v>
      </c>
      <c r="B1616" s="703" t="s">
        <v>21215</v>
      </c>
      <c r="C1616" s="703"/>
      <c r="D1616" s="703"/>
      <c r="E1616" s="703" t="s">
        <v>34280</v>
      </c>
      <c r="F1616" s="736">
        <v>20000.0</v>
      </c>
      <c r="G1616" s="703" t="s">
        <v>2882</v>
      </c>
      <c r="H1616" s="736">
        <v>18.0</v>
      </c>
      <c r="I1616" s="703"/>
      <c r="J1616" s="732">
        <f t="shared" si="28"/>
        <v>360000</v>
      </c>
      <c r="K1616" s="705">
        <f t="shared" si="29"/>
        <v>19000</v>
      </c>
      <c r="L1616" s="732">
        <f t="shared" si="30"/>
        <v>379000</v>
      </c>
      <c r="M1616" s="733">
        <f t="shared" si="31"/>
        <v>18.95</v>
      </c>
    </row>
    <row r="1617">
      <c r="A1617" s="703" t="s">
        <v>34272</v>
      </c>
      <c r="B1617" s="703" t="s">
        <v>34281</v>
      </c>
      <c r="C1617" s="703"/>
      <c r="D1617" s="703"/>
      <c r="E1617" s="703" t="s">
        <v>34282</v>
      </c>
      <c r="F1617" s="736">
        <v>12000.0</v>
      </c>
      <c r="G1617" s="703" t="s">
        <v>30123</v>
      </c>
      <c r="H1617" s="736">
        <v>5.0</v>
      </c>
      <c r="I1617" s="703"/>
      <c r="J1617" s="732">
        <f t="shared" si="28"/>
        <v>60000</v>
      </c>
      <c r="K1617" s="705">
        <f t="shared" si="29"/>
        <v>4000</v>
      </c>
      <c r="L1617" s="732">
        <f t="shared" si="30"/>
        <v>64000</v>
      </c>
      <c r="M1617" s="733">
        <f t="shared" si="31"/>
        <v>5.333333333</v>
      </c>
    </row>
    <row r="1618">
      <c r="A1618" s="703" t="s">
        <v>34283</v>
      </c>
      <c r="B1618" s="707" t="s">
        <v>34284</v>
      </c>
      <c r="C1618" s="707"/>
      <c r="D1618" s="707"/>
      <c r="E1618" s="707" t="s">
        <v>753</v>
      </c>
      <c r="F1618" s="705">
        <v>21000.0</v>
      </c>
      <c r="G1618" s="707" t="s">
        <v>44</v>
      </c>
      <c r="H1618" s="705">
        <v>5.1</v>
      </c>
      <c r="I1618" s="703"/>
      <c r="J1618" s="732">
        <f t="shared" si="28"/>
        <v>107100</v>
      </c>
      <c r="K1618" s="705">
        <f t="shared" si="29"/>
        <v>6355</v>
      </c>
      <c r="L1618" s="732">
        <f t="shared" si="30"/>
        <v>113455</v>
      </c>
      <c r="M1618" s="733">
        <f t="shared" si="31"/>
        <v>5.402619048</v>
      </c>
    </row>
    <row r="1619">
      <c r="A1619" s="703" t="s">
        <v>34283</v>
      </c>
      <c r="B1619" s="703" t="s">
        <v>21164</v>
      </c>
      <c r="C1619" s="703"/>
      <c r="D1619" s="703"/>
      <c r="E1619" s="703" t="s">
        <v>9434</v>
      </c>
      <c r="F1619" s="736">
        <v>100000.0</v>
      </c>
      <c r="G1619" s="703" t="s">
        <v>158</v>
      </c>
      <c r="H1619" s="736">
        <v>7.5</v>
      </c>
      <c r="I1619" s="703"/>
      <c r="J1619" s="732">
        <f t="shared" si="28"/>
        <v>750000</v>
      </c>
      <c r="K1619" s="705">
        <f t="shared" si="29"/>
        <v>38500</v>
      </c>
      <c r="L1619" s="732">
        <f t="shared" si="30"/>
        <v>788500</v>
      </c>
      <c r="M1619" s="733">
        <f t="shared" si="31"/>
        <v>7.885</v>
      </c>
    </row>
    <row r="1620">
      <c r="A1620" s="703" t="s">
        <v>34283</v>
      </c>
      <c r="B1620" s="703" t="s">
        <v>21168</v>
      </c>
      <c r="C1620" s="703"/>
      <c r="D1620" s="703"/>
      <c r="E1620" s="703" t="s">
        <v>34285</v>
      </c>
      <c r="F1620" s="736">
        <v>20000.0</v>
      </c>
      <c r="G1620" s="703" t="s">
        <v>1315</v>
      </c>
      <c r="H1620" s="736">
        <v>135.0</v>
      </c>
      <c r="I1620" s="703"/>
      <c r="J1620" s="732">
        <f t="shared" si="28"/>
        <v>2700000</v>
      </c>
      <c r="K1620" s="705">
        <f t="shared" si="29"/>
        <v>136000</v>
      </c>
      <c r="L1620" s="732">
        <f t="shared" si="30"/>
        <v>2836000</v>
      </c>
      <c r="M1620" s="733">
        <f t="shared" si="31"/>
        <v>141.8</v>
      </c>
    </row>
    <row r="1621">
      <c r="A1621" s="703" t="s">
        <v>34283</v>
      </c>
      <c r="B1621" s="707" t="s">
        <v>34286</v>
      </c>
      <c r="C1621" s="707"/>
      <c r="D1621" s="707"/>
      <c r="E1621" s="707" t="s">
        <v>34287</v>
      </c>
      <c r="F1621" s="736">
        <v>10000.0</v>
      </c>
      <c r="G1621" s="703" t="s">
        <v>34288</v>
      </c>
      <c r="H1621" s="736">
        <v>4.8</v>
      </c>
      <c r="I1621" s="703"/>
      <c r="J1621" s="732">
        <f t="shared" si="28"/>
        <v>48000</v>
      </c>
      <c r="K1621" s="705">
        <f t="shared" si="29"/>
        <v>3400</v>
      </c>
      <c r="L1621" s="732">
        <f t="shared" si="30"/>
        <v>51400</v>
      </c>
      <c r="M1621" s="733">
        <f t="shared" si="31"/>
        <v>5.14</v>
      </c>
    </row>
    <row r="1622">
      <c r="A1622" s="703" t="s">
        <v>34283</v>
      </c>
      <c r="B1622" s="703" t="s">
        <v>34289</v>
      </c>
      <c r="C1622" s="707"/>
      <c r="D1622" s="707"/>
      <c r="E1622" s="707" t="s">
        <v>34287</v>
      </c>
      <c r="F1622" s="736">
        <v>25000.0</v>
      </c>
      <c r="G1622" s="703" t="s">
        <v>44</v>
      </c>
      <c r="H1622" s="736">
        <v>4.8</v>
      </c>
      <c r="I1622" s="703"/>
      <c r="J1622" s="732">
        <f t="shared" si="28"/>
        <v>120000</v>
      </c>
      <c r="K1622" s="705">
        <f t="shared" si="29"/>
        <v>7000</v>
      </c>
      <c r="L1622" s="732">
        <f t="shared" si="30"/>
        <v>127000</v>
      </c>
      <c r="M1622" s="733">
        <f t="shared" si="31"/>
        <v>5.08</v>
      </c>
    </row>
    <row r="1623">
      <c r="A1623" s="703" t="s">
        <v>34290</v>
      </c>
      <c r="B1623" s="703"/>
      <c r="C1623" s="703"/>
      <c r="D1623" s="703"/>
      <c r="E1623" s="703"/>
      <c r="F1623" s="703"/>
      <c r="G1623" s="703"/>
      <c r="H1623" s="703"/>
      <c r="I1623" s="703"/>
      <c r="J1623" s="704"/>
      <c r="K1623" s="703"/>
      <c r="L1623" s="704"/>
      <c r="M1623" s="734"/>
    </row>
    <row r="1624">
      <c r="A1624" s="703"/>
      <c r="B1624" s="703" t="s">
        <v>34291</v>
      </c>
      <c r="C1624" s="703"/>
      <c r="D1624" s="703"/>
      <c r="E1624" s="703" t="s">
        <v>34292</v>
      </c>
      <c r="F1624" s="736">
        <v>16000.0</v>
      </c>
      <c r="G1624" s="703" t="s">
        <v>34293</v>
      </c>
      <c r="H1624" s="736">
        <v>22.5</v>
      </c>
      <c r="I1624" s="703"/>
      <c r="J1624" s="732">
        <f t="shared" ref="J1624:J1709" si="32">(F1624*H1624)+I1624</f>
        <v>360000</v>
      </c>
      <c r="K1624" s="705">
        <f t="shared" ref="K1624:K1709" si="33">(1000+J1624*5%)</f>
        <v>19000</v>
      </c>
      <c r="L1624" s="732">
        <f t="shared" ref="L1624:L1709" si="34">(J1624+K1624)</f>
        <v>379000</v>
      </c>
      <c r="M1624" s="733">
        <f t="shared" ref="M1624:M1709" si="35">(L1624/F1624)</f>
        <v>23.6875</v>
      </c>
    </row>
    <row r="1625">
      <c r="A1625" s="703"/>
      <c r="B1625" s="703" t="s">
        <v>21132</v>
      </c>
      <c r="C1625" s="703"/>
      <c r="D1625" s="703"/>
      <c r="E1625" s="703" t="s">
        <v>34294</v>
      </c>
      <c r="F1625" s="736">
        <v>20000.0</v>
      </c>
      <c r="G1625" s="743" t="s">
        <v>3078</v>
      </c>
      <c r="H1625" s="736">
        <v>5.5</v>
      </c>
      <c r="I1625" s="703"/>
      <c r="J1625" s="732">
        <f t="shared" si="32"/>
        <v>110000</v>
      </c>
      <c r="K1625" s="705">
        <f t="shared" si="33"/>
        <v>6500</v>
      </c>
      <c r="L1625" s="732">
        <f t="shared" si="34"/>
        <v>116500</v>
      </c>
      <c r="M1625" s="733">
        <f t="shared" si="35"/>
        <v>5.825</v>
      </c>
    </row>
    <row r="1626">
      <c r="A1626" s="703"/>
      <c r="B1626" s="703" t="s">
        <v>34295</v>
      </c>
      <c r="C1626" s="703"/>
      <c r="D1626" s="703"/>
      <c r="E1626" s="703" t="s">
        <v>240</v>
      </c>
      <c r="F1626" s="736">
        <v>50000.0</v>
      </c>
      <c r="G1626" s="703" t="s">
        <v>1082</v>
      </c>
      <c r="H1626" s="736">
        <v>23.0</v>
      </c>
      <c r="I1626" s="703"/>
      <c r="J1626" s="732">
        <f t="shared" si="32"/>
        <v>1150000</v>
      </c>
      <c r="K1626" s="705">
        <f t="shared" si="33"/>
        <v>58500</v>
      </c>
      <c r="L1626" s="732">
        <f t="shared" si="34"/>
        <v>1208500</v>
      </c>
      <c r="M1626" s="733">
        <f t="shared" si="35"/>
        <v>24.17</v>
      </c>
    </row>
    <row r="1627">
      <c r="A1627" s="703" t="s">
        <v>34290</v>
      </c>
      <c r="B1627" s="737" t="s">
        <v>21138</v>
      </c>
      <c r="C1627" s="707"/>
      <c r="D1627" s="707"/>
      <c r="E1627" s="707" t="s">
        <v>34296</v>
      </c>
      <c r="F1627" s="736">
        <v>16000.0</v>
      </c>
      <c r="G1627" s="703" t="s">
        <v>34293</v>
      </c>
      <c r="H1627" s="736">
        <v>15.0</v>
      </c>
      <c r="I1627" s="703"/>
      <c r="J1627" s="732">
        <f t="shared" si="32"/>
        <v>240000</v>
      </c>
      <c r="K1627" s="705">
        <f t="shared" si="33"/>
        <v>13000</v>
      </c>
      <c r="L1627" s="732">
        <f t="shared" si="34"/>
        <v>253000</v>
      </c>
      <c r="M1627" s="733">
        <f t="shared" si="35"/>
        <v>15.8125</v>
      </c>
    </row>
    <row r="1628">
      <c r="A1628" s="703" t="s">
        <v>34297</v>
      </c>
      <c r="B1628" s="737" t="s">
        <v>21155</v>
      </c>
      <c r="C1628" s="707"/>
      <c r="D1628" s="707"/>
      <c r="E1628" s="707" t="s">
        <v>34298</v>
      </c>
      <c r="F1628" s="736">
        <v>20000.0</v>
      </c>
      <c r="G1628" s="703" t="s">
        <v>107</v>
      </c>
      <c r="H1628" s="736">
        <v>36.0</v>
      </c>
      <c r="I1628" s="703"/>
      <c r="J1628" s="732">
        <f t="shared" si="32"/>
        <v>720000</v>
      </c>
      <c r="K1628" s="705">
        <f t="shared" si="33"/>
        <v>37000</v>
      </c>
      <c r="L1628" s="732">
        <f t="shared" si="34"/>
        <v>757000</v>
      </c>
      <c r="M1628" s="733">
        <f t="shared" si="35"/>
        <v>37.85</v>
      </c>
    </row>
    <row r="1629">
      <c r="A1629" s="703" t="s">
        <v>34299</v>
      </c>
      <c r="B1629" s="737" t="s">
        <v>20958</v>
      </c>
      <c r="C1629" s="707"/>
      <c r="D1629" s="707"/>
      <c r="E1629" s="707" t="s">
        <v>34170</v>
      </c>
      <c r="F1629" s="705">
        <v>1500000.0</v>
      </c>
      <c r="G1629" s="707" t="s">
        <v>519</v>
      </c>
      <c r="H1629" s="736">
        <v>18.0</v>
      </c>
      <c r="I1629" s="703"/>
      <c r="J1629" s="732">
        <f t="shared" si="32"/>
        <v>27000000</v>
      </c>
      <c r="K1629" s="705">
        <f t="shared" si="33"/>
        <v>1351000</v>
      </c>
      <c r="L1629" s="732">
        <f t="shared" si="34"/>
        <v>28351000</v>
      </c>
      <c r="M1629" s="733">
        <f t="shared" si="35"/>
        <v>18.90066667</v>
      </c>
    </row>
    <row r="1630">
      <c r="A1630" s="703" t="s">
        <v>34299</v>
      </c>
      <c r="B1630" s="737" t="s">
        <v>20938</v>
      </c>
      <c r="C1630" s="703"/>
      <c r="D1630" s="703"/>
      <c r="E1630" s="703" t="s">
        <v>34300</v>
      </c>
      <c r="F1630" s="736">
        <v>25000.0</v>
      </c>
      <c r="G1630" s="703" t="s">
        <v>1082</v>
      </c>
      <c r="H1630" s="736">
        <v>40.0</v>
      </c>
      <c r="I1630" s="703"/>
      <c r="J1630" s="732">
        <f t="shared" si="32"/>
        <v>1000000</v>
      </c>
      <c r="K1630" s="705">
        <f t="shared" si="33"/>
        <v>51000</v>
      </c>
      <c r="L1630" s="732">
        <f t="shared" si="34"/>
        <v>1051000</v>
      </c>
      <c r="M1630" s="733">
        <f t="shared" si="35"/>
        <v>42.04</v>
      </c>
    </row>
    <row r="1631">
      <c r="A1631" s="707" t="s">
        <v>34299</v>
      </c>
      <c r="B1631" s="737" t="s">
        <v>20954</v>
      </c>
      <c r="C1631" s="707"/>
      <c r="D1631" s="707"/>
      <c r="E1631" s="707" t="s">
        <v>34301</v>
      </c>
      <c r="F1631" s="705">
        <v>25000.0</v>
      </c>
      <c r="G1631" s="707" t="s">
        <v>34302</v>
      </c>
      <c r="H1631" s="736">
        <v>13.0</v>
      </c>
      <c r="I1631" s="703"/>
      <c r="J1631" s="732">
        <f t="shared" si="32"/>
        <v>325000</v>
      </c>
      <c r="K1631" s="705">
        <f t="shared" si="33"/>
        <v>17250</v>
      </c>
      <c r="L1631" s="732">
        <f t="shared" si="34"/>
        <v>342250</v>
      </c>
      <c r="M1631" s="733">
        <f t="shared" si="35"/>
        <v>13.69</v>
      </c>
    </row>
    <row r="1632">
      <c r="A1632" s="707" t="s">
        <v>34299</v>
      </c>
      <c r="B1632" s="737" t="s">
        <v>21450</v>
      </c>
      <c r="C1632" s="707"/>
      <c r="D1632" s="707"/>
      <c r="E1632" s="707" t="s">
        <v>34303</v>
      </c>
      <c r="F1632" s="736">
        <v>150000.0</v>
      </c>
      <c r="G1632" s="707" t="s">
        <v>34304</v>
      </c>
      <c r="H1632" s="736">
        <v>85.0</v>
      </c>
      <c r="I1632" s="703"/>
      <c r="J1632" s="732">
        <f t="shared" si="32"/>
        <v>12750000</v>
      </c>
      <c r="K1632" s="705">
        <f t="shared" si="33"/>
        <v>638500</v>
      </c>
      <c r="L1632" s="732">
        <f t="shared" si="34"/>
        <v>13388500</v>
      </c>
      <c r="M1632" s="733">
        <f t="shared" si="35"/>
        <v>89.25666667</v>
      </c>
    </row>
    <row r="1633">
      <c r="A1633" s="703" t="s">
        <v>34299</v>
      </c>
      <c r="B1633" s="737" t="s">
        <v>21450</v>
      </c>
      <c r="C1633" s="703"/>
      <c r="D1633" s="703"/>
      <c r="E1633" s="703" t="s">
        <v>34305</v>
      </c>
      <c r="F1633" s="736">
        <v>250000.0</v>
      </c>
      <c r="G1633" s="707" t="s">
        <v>34304</v>
      </c>
      <c r="H1633" s="736">
        <v>12.0</v>
      </c>
      <c r="I1633" s="703"/>
      <c r="J1633" s="732">
        <f t="shared" si="32"/>
        <v>3000000</v>
      </c>
      <c r="K1633" s="705">
        <f t="shared" si="33"/>
        <v>151000</v>
      </c>
      <c r="L1633" s="732">
        <f t="shared" si="34"/>
        <v>3151000</v>
      </c>
      <c r="M1633" s="733">
        <f t="shared" si="35"/>
        <v>12.604</v>
      </c>
    </row>
    <row r="1634">
      <c r="A1634" s="703" t="s">
        <v>34306</v>
      </c>
      <c r="B1634" s="737" t="s">
        <v>20972</v>
      </c>
      <c r="C1634" s="703"/>
      <c r="D1634" s="703"/>
      <c r="E1634" s="703" t="s">
        <v>34307</v>
      </c>
      <c r="F1634" s="736">
        <v>15000.0</v>
      </c>
      <c r="G1634" s="707" t="s">
        <v>34304</v>
      </c>
      <c r="H1634" s="736">
        <v>25.0</v>
      </c>
      <c r="I1634" s="703"/>
      <c r="J1634" s="732">
        <f t="shared" si="32"/>
        <v>375000</v>
      </c>
      <c r="K1634" s="705">
        <f t="shared" si="33"/>
        <v>19750</v>
      </c>
      <c r="L1634" s="732">
        <f t="shared" si="34"/>
        <v>394750</v>
      </c>
      <c r="M1634" s="733">
        <f t="shared" si="35"/>
        <v>26.31666667</v>
      </c>
    </row>
    <row r="1635">
      <c r="A1635" s="707" t="s">
        <v>34306</v>
      </c>
      <c r="B1635" s="737" t="s">
        <v>20880</v>
      </c>
      <c r="C1635" s="737"/>
      <c r="D1635" s="737"/>
      <c r="E1635" s="737" t="s">
        <v>9434</v>
      </c>
      <c r="F1635" s="705">
        <v>20000.0</v>
      </c>
      <c r="G1635" s="707" t="s">
        <v>34308</v>
      </c>
      <c r="H1635" s="705">
        <v>7.5</v>
      </c>
      <c r="I1635" s="707"/>
      <c r="J1635" s="732">
        <f t="shared" si="32"/>
        <v>150000</v>
      </c>
      <c r="K1635" s="705">
        <f t="shared" si="33"/>
        <v>8500</v>
      </c>
      <c r="L1635" s="732">
        <f t="shared" si="34"/>
        <v>158500</v>
      </c>
      <c r="M1635" s="733">
        <f t="shared" si="35"/>
        <v>7.925</v>
      </c>
    </row>
    <row r="1636">
      <c r="A1636" s="703" t="s">
        <v>34306</v>
      </c>
      <c r="B1636" s="737" t="s">
        <v>20884</v>
      </c>
      <c r="C1636" s="703"/>
      <c r="D1636" s="703"/>
      <c r="E1636" s="703" t="s">
        <v>34309</v>
      </c>
      <c r="F1636" s="736">
        <v>25000.0</v>
      </c>
      <c r="G1636" s="703" t="s">
        <v>519</v>
      </c>
      <c r="H1636" s="736">
        <v>20.4</v>
      </c>
      <c r="I1636" s="703"/>
      <c r="J1636" s="732">
        <f t="shared" si="32"/>
        <v>510000</v>
      </c>
      <c r="K1636" s="705">
        <f t="shared" si="33"/>
        <v>26500</v>
      </c>
      <c r="L1636" s="732">
        <f t="shared" si="34"/>
        <v>536500</v>
      </c>
      <c r="M1636" s="733">
        <f t="shared" si="35"/>
        <v>21.46</v>
      </c>
    </row>
    <row r="1637">
      <c r="A1637" s="707" t="s">
        <v>34310</v>
      </c>
      <c r="B1637" s="737" t="s">
        <v>20827</v>
      </c>
      <c r="C1637" s="737"/>
      <c r="D1637" s="737"/>
      <c r="E1637" s="737" t="s">
        <v>257</v>
      </c>
      <c r="F1637" s="736">
        <v>12000.0</v>
      </c>
      <c r="G1637" s="707" t="s">
        <v>44</v>
      </c>
      <c r="H1637" s="736">
        <v>4.1</v>
      </c>
      <c r="I1637" s="703"/>
      <c r="J1637" s="732">
        <f t="shared" si="32"/>
        <v>49200</v>
      </c>
      <c r="K1637" s="705">
        <f t="shared" si="33"/>
        <v>3460</v>
      </c>
      <c r="L1637" s="732">
        <f t="shared" si="34"/>
        <v>52660</v>
      </c>
      <c r="M1637" s="733">
        <f t="shared" si="35"/>
        <v>4.388333333</v>
      </c>
    </row>
    <row r="1638">
      <c r="A1638" s="707" t="s">
        <v>34310</v>
      </c>
      <c r="B1638" s="737" t="s">
        <v>20827</v>
      </c>
      <c r="C1638" s="707"/>
      <c r="D1638" s="707"/>
      <c r="E1638" s="707" t="s">
        <v>523</v>
      </c>
      <c r="F1638" s="736">
        <v>12000.0</v>
      </c>
      <c r="G1638" s="707" t="s">
        <v>44</v>
      </c>
      <c r="H1638" s="736">
        <v>4.8</v>
      </c>
      <c r="I1638" s="703"/>
      <c r="J1638" s="732">
        <f t="shared" si="32"/>
        <v>57600</v>
      </c>
      <c r="K1638" s="705">
        <f t="shared" si="33"/>
        <v>3880</v>
      </c>
      <c r="L1638" s="732">
        <f t="shared" si="34"/>
        <v>61480</v>
      </c>
      <c r="M1638" s="733">
        <f t="shared" si="35"/>
        <v>5.123333333</v>
      </c>
    </row>
    <row r="1639">
      <c r="A1639" s="707" t="s">
        <v>34310</v>
      </c>
      <c r="B1639" s="737" t="s">
        <v>20827</v>
      </c>
      <c r="C1639" s="707"/>
      <c r="D1639" s="707"/>
      <c r="E1639" s="707" t="s">
        <v>3748</v>
      </c>
      <c r="F1639" s="736">
        <v>12000.0</v>
      </c>
      <c r="G1639" s="707" t="s">
        <v>44</v>
      </c>
      <c r="H1639" s="736">
        <v>4.8</v>
      </c>
      <c r="I1639" s="703"/>
      <c r="J1639" s="732">
        <f t="shared" si="32"/>
        <v>57600</v>
      </c>
      <c r="K1639" s="705">
        <f t="shared" si="33"/>
        <v>3880</v>
      </c>
      <c r="L1639" s="732">
        <f t="shared" si="34"/>
        <v>61480</v>
      </c>
      <c r="M1639" s="733">
        <f t="shared" si="35"/>
        <v>5.123333333</v>
      </c>
    </row>
    <row r="1640">
      <c r="A1640" s="707" t="s">
        <v>34310</v>
      </c>
      <c r="B1640" s="737" t="s">
        <v>20860</v>
      </c>
      <c r="C1640" s="737"/>
      <c r="D1640" s="737"/>
      <c r="E1640" s="737" t="s">
        <v>1412</v>
      </c>
      <c r="F1640" s="736">
        <v>50000.0</v>
      </c>
      <c r="G1640" s="707" t="s">
        <v>9094</v>
      </c>
      <c r="H1640" s="736">
        <v>21.0</v>
      </c>
      <c r="I1640" s="703"/>
      <c r="J1640" s="732">
        <f t="shared" si="32"/>
        <v>1050000</v>
      </c>
      <c r="K1640" s="705">
        <f t="shared" si="33"/>
        <v>53500</v>
      </c>
      <c r="L1640" s="732">
        <f t="shared" si="34"/>
        <v>1103500</v>
      </c>
      <c r="M1640" s="733">
        <f t="shared" si="35"/>
        <v>22.07</v>
      </c>
    </row>
    <row r="1641">
      <c r="A1641" s="707" t="s">
        <v>34310</v>
      </c>
      <c r="B1641" s="737" t="s">
        <v>20735</v>
      </c>
      <c r="C1641" s="737"/>
      <c r="D1641" s="737"/>
      <c r="E1641" s="737" t="s">
        <v>20736</v>
      </c>
      <c r="F1641" s="705">
        <v>30000.0</v>
      </c>
      <c r="G1641" s="707" t="s">
        <v>34311</v>
      </c>
      <c r="H1641" s="705">
        <v>25.0</v>
      </c>
      <c r="I1641" s="703"/>
      <c r="J1641" s="732">
        <f t="shared" si="32"/>
        <v>750000</v>
      </c>
      <c r="K1641" s="705">
        <f t="shared" si="33"/>
        <v>38500</v>
      </c>
      <c r="L1641" s="732">
        <f t="shared" si="34"/>
        <v>788500</v>
      </c>
      <c r="M1641" s="733">
        <f t="shared" si="35"/>
        <v>26.28333333</v>
      </c>
    </row>
    <row r="1642">
      <c r="A1642" s="703" t="s">
        <v>34310</v>
      </c>
      <c r="B1642" s="737" t="s">
        <v>21725</v>
      </c>
      <c r="C1642" s="703"/>
      <c r="D1642" s="703"/>
      <c r="E1642" s="703" t="s">
        <v>222</v>
      </c>
      <c r="F1642" s="736">
        <v>10000.0</v>
      </c>
      <c r="G1642" s="703" t="s">
        <v>44</v>
      </c>
      <c r="H1642" s="736">
        <v>4.5</v>
      </c>
      <c r="I1642" s="703"/>
      <c r="J1642" s="732">
        <f t="shared" si="32"/>
        <v>45000</v>
      </c>
      <c r="K1642" s="705">
        <f t="shared" si="33"/>
        <v>3250</v>
      </c>
      <c r="L1642" s="732">
        <f t="shared" si="34"/>
        <v>48250</v>
      </c>
      <c r="M1642" s="733">
        <f t="shared" si="35"/>
        <v>4.825</v>
      </c>
    </row>
    <row r="1643">
      <c r="A1643" s="703" t="s">
        <v>34310</v>
      </c>
      <c r="B1643" s="737" t="s">
        <v>21072</v>
      </c>
      <c r="C1643" s="703"/>
      <c r="D1643" s="703"/>
      <c r="E1643" s="703" t="s">
        <v>34144</v>
      </c>
      <c r="F1643" s="736">
        <v>25000.0</v>
      </c>
      <c r="G1643" s="703" t="s">
        <v>268</v>
      </c>
      <c r="H1643" s="736">
        <v>51.0</v>
      </c>
      <c r="I1643" s="703"/>
      <c r="J1643" s="732">
        <f t="shared" si="32"/>
        <v>1275000</v>
      </c>
      <c r="K1643" s="705">
        <f t="shared" si="33"/>
        <v>64750</v>
      </c>
      <c r="L1643" s="732">
        <f t="shared" si="34"/>
        <v>1339750</v>
      </c>
      <c r="M1643" s="733">
        <f t="shared" si="35"/>
        <v>53.59</v>
      </c>
    </row>
    <row r="1644">
      <c r="A1644" s="703" t="s">
        <v>34312</v>
      </c>
      <c r="B1644" s="737" t="s">
        <v>20795</v>
      </c>
      <c r="C1644" s="703"/>
      <c r="D1644" s="703"/>
      <c r="E1644" s="703" t="s">
        <v>34313</v>
      </c>
      <c r="F1644" s="736">
        <v>5000.0</v>
      </c>
      <c r="G1644" s="703" t="s">
        <v>19876</v>
      </c>
      <c r="H1644" s="736">
        <v>8.0</v>
      </c>
      <c r="I1644" s="736">
        <v>5000.0</v>
      </c>
      <c r="J1644" s="732">
        <f t="shared" si="32"/>
        <v>45000</v>
      </c>
      <c r="K1644" s="705">
        <f t="shared" si="33"/>
        <v>3250</v>
      </c>
      <c r="L1644" s="732">
        <f t="shared" si="34"/>
        <v>48250</v>
      </c>
      <c r="M1644" s="733">
        <f t="shared" si="35"/>
        <v>9.65</v>
      </c>
    </row>
    <row r="1645">
      <c r="A1645" s="703" t="s">
        <v>34312</v>
      </c>
      <c r="B1645" s="703" t="s">
        <v>20777</v>
      </c>
      <c r="C1645" s="703"/>
      <c r="D1645" s="703"/>
      <c r="E1645" s="703" t="s">
        <v>34314</v>
      </c>
      <c r="F1645" s="736">
        <v>1000.0</v>
      </c>
      <c r="G1645" s="703" t="s">
        <v>519</v>
      </c>
      <c r="H1645" s="736">
        <v>625.0</v>
      </c>
      <c r="I1645" s="736">
        <v>1000.0</v>
      </c>
      <c r="J1645" s="732">
        <f t="shared" si="32"/>
        <v>626000</v>
      </c>
      <c r="K1645" s="705">
        <f t="shared" si="33"/>
        <v>32300</v>
      </c>
      <c r="L1645" s="732">
        <f t="shared" si="34"/>
        <v>658300</v>
      </c>
      <c r="M1645" s="733">
        <f t="shared" si="35"/>
        <v>658.3</v>
      </c>
    </row>
    <row r="1646">
      <c r="A1646" s="703" t="s">
        <v>34312</v>
      </c>
      <c r="B1646" s="703" t="s">
        <v>20612</v>
      </c>
      <c r="C1646" s="703"/>
      <c r="D1646" s="703"/>
      <c r="E1646" s="703" t="s">
        <v>5293</v>
      </c>
      <c r="F1646" s="736">
        <v>100.0</v>
      </c>
      <c r="G1646" s="703" t="s">
        <v>34315</v>
      </c>
      <c r="H1646" s="736">
        <v>67.0</v>
      </c>
      <c r="I1646" s="736">
        <v>500.0</v>
      </c>
      <c r="J1646" s="732">
        <f t="shared" si="32"/>
        <v>7200</v>
      </c>
      <c r="K1646" s="705">
        <f t="shared" si="33"/>
        <v>1360</v>
      </c>
      <c r="L1646" s="732">
        <f t="shared" si="34"/>
        <v>8560</v>
      </c>
      <c r="M1646" s="733">
        <f t="shared" si="35"/>
        <v>85.6</v>
      </c>
    </row>
    <row r="1647">
      <c r="A1647" s="703" t="s">
        <v>34312</v>
      </c>
      <c r="B1647" s="703" t="s">
        <v>34316</v>
      </c>
      <c r="C1647" s="703"/>
      <c r="D1647" s="703"/>
      <c r="E1647" s="703" t="s">
        <v>1320</v>
      </c>
      <c r="F1647" s="736">
        <v>750.0</v>
      </c>
      <c r="G1647" s="703" t="s">
        <v>44</v>
      </c>
      <c r="H1647" s="736">
        <v>40.0</v>
      </c>
      <c r="I1647" s="736">
        <v>1500.0</v>
      </c>
      <c r="J1647" s="732">
        <f t="shared" si="32"/>
        <v>31500</v>
      </c>
      <c r="K1647" s="705">
        <f t="shared" si="33"/>
        <v>2575</v>
      </c>
      <c r="L1647" s="732">
        <f t="shared" si="34"/>
        <v>34075</v>
      </c>
      <c r="M1647" s="733">
        <f t="shared" si="35"/>
        <v>45.43333333</v>
      </c>
    </row>
    <row r="1648">
      <c r="A1648" s="703" t="s">
        <v>34312</v>
      </c>
      <c r="B1648" s="703" t="s">
        <v>34317</v>
      </c>
      <c r="C1648" s="703"/>
      <c r="D1648" s="703"/>
      <c r="E1648" s="703" t="s">
        <v>34318</v>
      </c>
      <c r="F1648" s="736">
        <v>1000.0</v>
      </c>
      <c r="G1648" s="703" t="s">
        <v>507</v>
      </c>
      <c r="H1648" s="736">
        <v>128.0</v>
      </c>
      <c r="I1648" s="736">
        <v>1000.0</v>
      </c>
      <c r="J1648" s="732">
        <f t="shared" si="32"/>
        <v>129000</v>
      </c>
      <c r="K1648" s="705">
        <f t="shared" si="33"/>
        <v>7450</v>
      </c>
      <c r="L1648" s="732">
        <f t="shared" si="34"/>
        <v>136450</v>
      </c>
      <c r="M1648" s="733">
        <f t="shared" si="35"/>
        <v>136.45</v>
      </c>
    </row>
    <row r="1649">
      <c r="A1649" s="703" t="s">
        <v>34312</v>
      </c>
      <c r="B1649" s="703" t="s">
        <v>34317</v>
      </c>
      <c r="C1649" s="737"/>
      <c r="D1649" s="737"/>
      <c r="E1649" s="737" t="s">
        <v>34319</v>
      </c>
      <c r="F1649" s="736">
        <v>1000.0</v>
      </c>
      <c r="G1649" s="703" t="s">
        <v>507</v>
      </c>
      <c r="H1649" s="736">
        <v>5.5</v>
      </c>
      <c r="I1649" s="736">
        <v>1000.0</v>
      </c>
      <c r="J1649" s="732">
        <f t="shared" si="32"/>
        <v>6500</v>
      </c>
      <c r="K1649" s="705">
        <f t="shared" si="33"/>
        <v>1325</v>
      </c>
      <c r="L1649" s="732">
        <f t="shared" si="34"/>
        <v>7825</v>
      </c>
      <c r="M1649" s="733">
        <f t="shared" si="35"/>
        <v>7.825</v>
      </c>
    </row>
    <row r="1650">
      <c r="A1650" s="703" t="s">
        <v>34312</v>
      </c>
      <c r="B1650" s="703" t="s">
        <v>34320</v>
      </c>
      <c r="C1650" s="703"/>
      <c r="D1650" s="703"/>
      <c r="E1650" s="703" t="s">
        <v>34321</v>
      </c>
      <c r="F1650" s="736">
        <v>100.0</v>
      </c>
      <c r="G1650" s="703" t="s">
        <v>34322</v>
      </c>
      <c r="H1650" s="736">
        <v>4.8</v>
      </c>
      <c r="I1650" s="736">
        <v>500.0</v>
      </c>
      <c r="J1650" s="732">
        <f t="shared" si="32"/>
        <v>980</v>
      </c>
      <c r="K1650" s="705">
        <f t="shared" si="33"/>
        <v>1049</v>
      </c>
      <c r="L1650" s="732">
        <f t="shared" si="34"/>
        <v>2029</v>
      </c>
      <c r="M1650" s="733">
        <f t="shared" si="35"/>
        <v>20.29</v>
      </c>
    </row>
    <row r="1651">
      <c r="A1651" s="703" t="s">
        <v>34312</v>
      </c>
      <c r="B1651" s="703" t="s">
        <v>34320</v>
      </c>
      <c r="C1651" s="703"/>
      <c r="D1651" s="703"/>
      <c r="E1651" s="703" t="s">
        <v>3298</v>
      </c>
      <c r="F1651" s="736">
        <v>100.0</v>
      </c>
      <c r="G1651" s="703" t="s">
        <v>34322</v>
      </c>
      <c r="H1651" s="736">
        <v>25.0</v>
      </c>
      <c r="I1651" s="736">
        <v>500.0</v>
      </c>
      <c r="J1651" s="732">
        <f t="shared" si="32"/>
        <v>3000</v>
      </c>
      <c r="K1651" s="705">
        <f t="shared" si="33"/>
        <v>1150</v>
      </c>
      <c r="L1651" s="732">
        <f t="shared" si="34"/>
        <v>4150</v>
      </c>
      <c r="M1651" s="733">
        <f t="shared" si="35"/>
        <v>41.5</v>
      </c>
    </row>
    <row r="1652">
      <c r="A1652" s="703" t="s">
        <v>34312</v>
      </c>
      <c r="B1652" s="703" t="s">
        <v>34320</v>
      </c>
      <c r="C1652" s="703"/>
      <c r="D1652" s="703"/>
      <c r="E1652" s="703" t="s">
        <v>33081</v>
      </c>
      <c r="F1652" s="736">
        <v>100.0</v>
      </c>
      <c r="G1652" s="703" t="s">
        <v>34322</v>
      </c>
      <c r="H1652" s="736">
        <v>10.5</v>
      </c>
      <c r="I1652" s="736">
        <v>500.0</v>
      </c>
      <c r="J1652" s="732">
        <f t="shared" si="32"/>
        <v>1550</v>
      </c>
      <c r="K1652" s="705">
        <f t="shared" si="33"/>
        <v>1077.5</v>
      </c>
      <c r="L1652" s="732">
        <f t="shared" si="34"/>
        <v>2627.5</v>
      </c>
      <c r="M1652" s="733">
        <f t="shared" si="35"/>
        <v>26.275</v>
      </c>
    </row>
    <row r="1653">
      <c r="A1653" s="703" t="s">
        <v>34312</v>
      </c>
      <c r="B1653" s="703" t="s">
        <v>34320</v>
      </c>
      <c r="C1653" s="703"/>
      <c r="D1653" s="703"/>
      <c r="E1653" s="703" t="s">
        <v>34323</v>
      </c>
      <c r="F1653" s="736">
        <v>100.0</v>
      </c>
      <c r="G1653" s="703" t="s">
        <v>34322</v>
      </c>
      <c r="H1653" s="736">
        <v>52.0</v>
      </c>
      <c r="I1653" s="736">
        <v>500.0</v>
      </c>
      <c r="J1653" s="732">
        <f t="shared" si="32"/>
        <v>5700</v>
      </c>
      <c r="K1653" s="705">
        <f t="shared" si="33"/>
        <v>1285</v>
      </c>
      <c r="L1653" s="732">
        <f t="shared" si="34"/>
        <v>6985</v>
      </c>
      <c r="M1653" s="733">
        <f t="shared" si="35"/>
        <v>69.85</v>
      </c>
    </row>
    <row r="1654">
      <c r="A1654" s="703" t="s">
        <v>34324</v>
      </c>
      <c r="B1654" s="703" t="s">
        <v>34320</v>
      </c>
      <c r="C1654" s="703"/>
      <c r="D1654" s="703"/>
      <c r="E1654" s="703" t="s">
        <v>34325</v>
      </c>
      <c r="F1654" s="736">
        <v>35.0</v>
      </c>
      <c r="G1654" s="703" t="s">
        <v>34322</v>
      </c>
      <c r="H1654" s="736">
        <v>79.0</v>
      </c>
      <c r="I1654" s="736">
        <v>500.0</v>
      </c>
      <c r="J1654" s="732">
        <f t="shared" si="32"/>
        <v>3265</v>
      </c>
      <c r="K1654" s="705">
        <f t="shared" si="33"/>
        <v>1163.25</v>
      </c>
      <c r="L1654" s="732">
        <f t="shared" si="34"/>
        <v>4428.25</v>
      </c>
      <c r="M1654" s="733">
        <f t="shared" si="35"/>
        <v>126.5214286</v>
      </c>
    </row>
    <row r="1655">
      <c r="A1655" s="703" t="s">
        <v>34312</v>
      </c>
      <c r="B1655" s="703" t="s">
        <v>20623</v>
      </c>
      <c r="C1655" s="703"/>
      <c r="D1655" s="703"/>
      <c r="E1655" s="703" t="s">
        <v>34094</v>
      </c>
      <c r="F1655" s="736">
        <v>600.0</v>
      </c>
      <c r="G1655" s="703" t="s">
        <v>44</v>
      </c>
      <c r="H1655" s="736">
        <v>4.1</v>
      </c>
      <c r="I1655" s="736">
        <v>1000.0</v>
      </c>
      <c r="J1655" s="732">
        <f t="shared" si="32"/>
        <v>3460</v>
      </c>
      <c r="K1655" s="705">
        <f t="shared" si="33"/>
        <v>1173</v>
      </c>
      <c r="L1655" s="732">
        <f t="shared" si="34"/>
        <v>4633</v>
      </c>
      <c r="M1655" s="733">
        <f t="shared" si="35"/>
        <v>7.721666667</v>
      </c>
    </row>
    <row r="1656">
      <c r="A1656" s="703" t="s">
        <v>34312</v>
      </c>
      <c r="B1656" s="703" t="s">
        <v>20790</v>
      </c>
      <c r="C1656" s="703"/>
      <c r="D1656" s="703"/>
      <c r="E1656" s="703" t="s">
        <v>6920</v>
      </c>
      <c r="F1656" s="736">
        <v>1000.0</v>
      </c>
      <c r="G1656" s="703" t="s">
        <v>495</v>
      </c>
      <c r="H1656" s="736">
        <v>100.0</v>
      </c>
      <c r="I1656" s="736">
        <v>1500.0</v>
      </c>
      <c r="J1656" s="732">
        <f t="shared" si="32"/>
        <v>101500</v>
      </c>
      <c r="K1656" s="705">
        <f t="shared" si="33"/>
        <v>6075</v>
      </c>
      <c r="L1656" s="732">
        <f t="shared" si="34"/>
        <v>107575</v>
      </c>
      <c r="M1656" s="733">
        <f t="shared" si="35"/>
        <v>107.575</v>
      </c>
    </row>
    <row r="1657">
      <c r="A1657" s="703" t="s">
        <v>34326</v>
      </c>
      <c r="B1657" s="703" t="s">
        <v>34327</v>
      </c>
      <c r="C1657" s="703"/>
      <c r="D1657" s="703"/>
      <c r="E1657" s="703" t="s">
        <v>1749</v>
      </c>
      <c r="F1657" s="736">
        <v>50.0</v>
      </c>
      <c r="G1657" s="703" t="s">
        <v>158</v>
      </c>
      <c r="H1657" s="736">
        <v>52.0</v>
      </c>
      <c r="I1657" s="736">
        <v>300.0</v>
      </c>
      <c r="J1657" s="732">
        <f t="shared" si="32"/>
        <v>2900</v>
      </c>
      <c r="K1657" s="705">
        <f t="shared" si="33"/>
        <v>1145</v>
      </c>
      <c r="L1657" s="732">
        <f t="shared" si="34"/>
        <v>4045</v>
      </c>
      <c r="M1657" s="733">
        <f t="shared" si="35"/>
        <v>80.9</v>
      </c>
    </row>
    <row r="1658">
      <c r="A1658" s="703" t="s">
        <v>34326</v>
      </c>
      <c r="B1658" s="703" t="s">
        <v>34328</v>
      </c>
      <c r="C1658" s="703"/>
      <c r="D1658" s="703"/>
      <c r="E1658" s="703" t="s">
        <v>141</v>
      </c>
      <c r="F1658" s="736">
        <v>5000.0</v>
      </c>
      <c r="G1658" s="703" t="s">
        <v>44</v>
      </c>
      <c r="H1658" s="736">
        <v>14.0</v>
      </c>
      <c r="I1658" s="736">
        <v>5000.0</v>
      </c>
      <c r="J1658" s="732">
        <f t="shared" si="32"/>
        <v>75000</v>
      </c>
      <c r="K1658" s="705">
        <f t="shared" si="33"/>
        <v>4750</v>
      </c>
      <c r="L1658" s="732">
        <f t="shared" si="34"/>
        <v>79750</v>
      </c>
      <c r="M1658" s="733">
        <f t="shared" si="35"/>
        <v>15.95</v>
      </c>
    </row>
    <row r="1659">
      <c r="A1659" s="703" t="s">
        <v>34326</v>
      </c>
      <c r="B1659" s="703" t="s">
        <v>34329</v>
      </c>
      <c r="C1659" s="703"/>
      <c r="D1659" s="703"/>
      <c r="E1659" s="703" t="s">
        <v>718</v>
      </c>
      <c r="F1659" s="736">
        <v>50.0</v>
      </c>
      <c r="G1659" s="703" t="s">
        <v>44</v>
      </c>
      <c r="H1659" s="736">
        <v>4.8</v>
      </c>
      <c r="I1659" s="736">
        <v>300.0</v>
      </c>
      <c r="J1659" s="732">
        <f t="shared" si="32"/>
        <v>540</v>
      </c>
      <c r="K1659" s="705">
        <f t="shared" si="33"/>
        <v>1027</v>
      </c>
      <c r="L1659" s="732">
        <f t="shared" si="34"/>
        <v>1567</v>
      </c>
      <c r="M1659" s="733">
        <f t="shared" si="35"/>
        <v>31.34</v>
      </c>
    </row>
    <row r="1660">
      <c r="A1660" s="703" t="s">
        <v>34326</v>
      </c>
      <c r="B1660" s="703" t="s">
        <v>20585</v>
      </c>
      <c r="C1660" s="703"/>
      <c r="D1660" s="703"/>
      <c r="E1660" s="703" t="s">
        <v>11748</v>
      </c>
      <c r="F1660" s="736">
        <v>2000.0</v>
      </c>
      <c r="G1660" s="703" t="s">
        <v>1414</v>
      </c>
      <c r="H1660" s="736">
        <v>25.0</v>
      </c>
      <c r="I1660" s="736">
        <v>2000.0</v>
      </c>
      <c r="J1660" s="732">
        <f t="shared" si="32"/>
        <v>52000</v>
      </c>
      <c r="K1660" s="705">
        <f t="shared" si="33"/>
        <v>3600</v>
      </c>
      <c r="L1660" s="732">
        <f t="shared" si="34"/>
        <v>55600</v>
      </c>
      <c r="M1660" s="733">
        <f t="shared" si="35"/>
        <v>27.8</v>
      </c>
    </row>
    <row r="1661">
      <c r="A1661" s="703" t="s">
        <v>34326</v>
      </c>
      <c r="B1661" s="703" t="s">
        <v>34330</v>
      </c>
      <c r="C1661" s="703"/>
      <c r="D1661" s="703"/>
      <c r="E1661" s="703" t="s">
        <v>34331</v>
      </c>
      <c r="F1661" s="736">
        <v>20000.0</v>
      </c>
      <c r="G1661" s="703" t="s">
        <v>2682</v>
      </c>
      <c r="H1661" s="736">
        <v>61.44</v>
      </c>
      <c r="I1661" s="703"/>
      <c r="J1661" s="732">
        <f t="shared" si="32"/>
        <v>1228800</v>
      </c>
      <c r="K1661" s="705">
        <f t="shared" si="33"/>
        <v>62440</v>
      </c>
      <c r="L1661" s="732">
        <f t="shared" si="34"/>
        <v>1291240</v>
      </c>
      <c r="M1661" s="733">
        <f t="shared" si="35"/>
        <v>64.562</v>
      </c>
    </row>
    <row r="1662">
      <c r="A1662" s="703" t="s">
        <v>34326</v>
      </c>
      <c r="B1662" s="703" t="s">
        <v>20554</v>
      </c>
      <c r="C1662" s="737"/>
      <c r="D1662" s="737"/>
      <c r="E1662" s="737" t="s">
        <v>3571</v>
      </c>
      <c r="F1662" s="736">
        <v>1000.0</v>
      </c>
      <c r="G1662" s="703" t="s">
        <v>34332</v>
      </c>
      <c r="H1662" s="736">
        <v>14.0</v>
      </c>
      <c r="I1662" s="736">
        <v>2000.0</v>
      </c>
      <c r="J1662" s="732">
        <f t="shared" si="32"/>
        <v>16000</v>
      </c>
      <c r="K1662" s="705">
        <f t="shared" si="33"/>
        <v>1800</v>
      </c>
      <c r="L1662" s="732">
        <f t="shared" si="34"/>
        <v>17800</v>
      </c>
      <c r="M1662" s="733">
        <f t="shared" si="35"/>
        <v>17.8</v>
      </c>
    </row>
    <row r="1663">
      <c r="A1663" s="703" t="s">
        <v>34326</v>
      </c>
      <c r="B1663" s="703" t="s">
        <v>34333</v>
      </c>
      <c r="C1663" s="737"/>
      <c r="D1663" s="737"/>
      <c r="E1663" s="737" t="s">
        <v>10913</v>
      </c>
      <c r="F1663" s="736">
        <v>100.0</v>
      </c>
      <c r="G1663" s="703" t="s">
        <v>268</v>
      </c>
      <c r="H1663" s="736">
        <v>18.0</v>
      </c>
      <c r="I1663" s="736">
        <v>500.0</v>
      </c>
      <c r="J1663" s="732">
        <f t="shared" si="32"/>
        <v>2300</v>
      </c>
      <c r="K1663" s="705">
        <f t="shared" si="33"/>
        <v>1115</v>
      </c>
      <c r="L1663" s="732">
        <f t="shared" si="34"/>
        <v>3415</v>
      </c>
      <c r="M1663" s="733">
        <f t="shared" si="35"/>
        <v>34.15</v>
      </c>
    </row>
    <row r="1664">
      <c r="A1664" s="703" t="s">
        <v>34326</v>
      </c>
      <c r="B1664" s="703" t="s">
        <v>34334</v>
      </c>
      <c r="C1664" s="703"/>
      <c r="D1664" s="703"/>
      <c r="E1664" s="703" t="s">
        <v>13519</v>
      </c>
      <c r="F1664" s="736">
        <v>20000.0</v>
      </c>
      <c r="G1664" s="703" t="s">
        <v>495</v>
      </c>
      <c r="H1664" s="736">
        <v>3.2</v>
      </c>
      <c r="I1664" s="703"/>
      <c r="J1664" s="732">
        <f t="shared" si="32"/>
        <v>64000</v>
      </c>
      <c r="K1664" s="705">
        <f t="shared" si="33"/>
        <v>4200</v>
      </c>
      <c r="L1664" s="732">
        <f t="shared" si="34"/>
        <v>68200</v>
      </c>
      <c r="M1664" s="733">
        <f t="shared" si="35"/>
        <v>3.41</v>
      </c>
    </row>
    <row r="1665">
      <c r="A1665" s="703" t="s">
        <v>34326</v>
      </c>
      <c r="B1665" s="703" t="s">
        <v>34335</v>
      </c>
      <c r="C1665" s="703"/>
      <c r="D1665" s="703"/>
      <c r="E1665" s="703" t="s">
        <v>34325</v>
      </c>
      <c r="F1665" s="736">
        <v>50.0</v>
      </c>
      <c r="G1665" s="703" t="s">
        <v>218</v>
      </c>
      <c r="H1665" s="736">
        <v>79.0</v>
      </c>
      <c r="I1665" s="736">
        <v>300.0</v>
      </c>
      <c r="J1665" s="732">
        <f t="shared" si="32"/>
        <v>4250</v>
      </c>
      <c r="K1665" s="705">
        <f t="shared" si="33"/>
        <v>1212.5</v>
      </c>
      <c r="L1665" s="732">
        <f t="shared" si="34"/>
        <v>5462.5</v>
      </c>
      <c r="M1665" s="733">
        <f t="shared" si="35"/>
        <v>109.25</v>
      </c>
    </row>
    <row r="1666">
      <c r="A1666" s="703" t="s">
        <v>34326</v>
      </c>
      <c r="B1666" s="703" t="s">
        <v>34336</v>
      </c>
      <c r="C1666" s="703"/>
      <c r="D1666" s="703"/>
      <c r="E1666" s="703" t="s">
        <v>34170</v>
      </c>
      <c r="F1666" s="736">
        <v>750.0</v>
      </c>
      <c r="G1666" s="703" t="s">
        <v>20565</v>
      </c>
      <c r="H1666" s="736">
        <v>25.0</v>
      </c>
      <c r="I1666" s="736">
        <v>1000.0</v>
      </c>
      <c r="J1666" s="732">
        <f t="shared" si="32"/>
        <v>19750</v>
      </c>
      <c r="K1666" s="705">
        <f t="shared" si="33"/>
        <v>1987.5</v>
      </c>
      <c r="L1666" s="732">
        <f t="shared" si="34"/>
        <v>21737.5</v>
      </c>
      <c r="M1666" s="733">
        <f t="shared" si="35"/>
        <v>28.98333333</v>
      </c>
    </row>
    <row r="1667">
      <c r="A1667" s="703" t="s">
        <v>34326</v>
      </c>
      <c r="B1667" s="703" t="s">
        <v>34337</v>
      </c>
      <c r="C1667" s="703"/>
      <c r="D1667" s="703"/>
      <c r="E1667" s="703" t="s">
        <v>32795</v>
      </c>
      <c r="F1667" s="736">
        <v>10.0</v>
      </c>
      <c r="G1667" s="703" t="s">
        <v>590</v>
      </c>
      <c r="H1667" s="736">
        <v>52.0</v>
      </c>
      <c r="I1667" s="736">
        <v>300.0</v>
      </c>
      <c r="J1667" s="732">
        <f t="shared" si="32"/>
        <v>820</v>
      </c>
      <c r="K1667" s="705">
        <f t="shared" si="33"/>
        <v>1041</v>
      </c>
      <c r="L1667" s="732">
        <f t="shared" si="34"/>
        <v>1861</v>
      </c>
      <c r="M1667" s="733">
        <f t="shared" si="35"/>
        <v>186.1</v>
      </c>
    </row>
    <row r="1668">
      <c r="A1668" s="703" t="s">
        <v>34326</v>
      </c>
      <c r="B1668" s="703" t="s">
        <v>34338</v>
      </c>
      <c r="C1668" s="703"/>
      <c r="D1668" s="703"/>
      <c r="E1668" s="703" t="s">
        <v>1749</v>
      </c>
      <c r="F1668" s="736">
        <v>100.0</v>
      </c>
      <c r="G1668" s="703" t="s">
        <v>6602</v>
      </c>
      <c r="H1668" s="736">
        <v>52.0</v>
      </c>
      <c r="I1668" s="736">
        <v>500.0</v>
      </c>
      <c r="J1668" s="732">
        <f t="shared" si="32"/>
        <v>5700</v>
      </c>
      <c r="K1668" s="705">
        <f t="shared" si="33"/>
        <v>1285</v>
      </c>
      <c r="L1668" s="732">
        <f t="shared" si="34"/>
        <v>6985</v>
      </c>
      <c r="M1668" s="733">
        <f t="shared" si="35"/>
        <v>69.85</v>
      </c>
    </row>
    <row r="1669">
      <c r="A1669" s="703" t="s">
        <v>34326</v>
      </c>
      <c r="B1669" s="703" t="s">
        <v>34338</v>
      </c>
      <c r="C1669" s="703"/>
      <c r="D1669" s="703"/>
      <c r="E1669" s="703" t="s">
        <v>34325</v>
      </c>
      <c r="F1669" s="736">
        <v>100.0</v>
      </c>
      <c r="G1669" s="703" t="s">
        <v>6602</v>
      </c>
      <c r="H1669" s="736">
        <v>79.0</v>
      </c>
      <c r="I1669" s="736">
        <v>500.0</v>
      </c>
      <c r="J1669" s="732">
        <f t="shared" si="32"/>
        <v>8400</v>
      </c>
      <c r="K1669" s="705">
        <f t="shared" si="33"/>
        <v>1420</v>
      </c>
      <c r="L1669" s="732">
        <f t="shared" si="34"/>
        <v>9820</v>
      </c>
      <c r="M1669" s="733">
        <f t="shared" si="35"/>
        <v>98.2</v>
      </c>
    </row>
    <row r="1670">
      <c r="A1670" s="703" t="s">
        <v>34339</v>
      </c>
      <c r="B1670" s="703" t="s">
        <v>34340</v>
      </c>
      <c r="C1670" s="703"/>
      <c r="D1670" s="703"/>
      <c r="E1670" s="703" t="s">
        <v>34341</v>
      </c>
      <c r="F1670" s="736">
        <v>300.0</v>
      </c>
      <c r="G1670" s="703" t="s">
        <v>930</v>
      </c>
      <c r="H1670" s="736">
        <v>25.0</v>
      </c>
      <c r="I1670" s="736">
        <v>700.0</v>
      </c>
      <c r="J1670" s="732">
        <f t="shared" si="32"/>
        <v>8200</v>
      </c>
      <c r="K1670" s="705">
        <f t="shared" si="33"/>
        <v>1410</v>
      </c>
      <c r="L1670" s="732">
        <f t="shared" si="34"/>
        <v>9610</v>
      </c>
      <c r="M1670" s="733">
        <f t="shared" si="35"/>
        <v>32.03333333</v>
      </c>
    </row>
    <row r="1671">
      <c r="A1671" s="703" t="s">
        <v>34339</v>
      </c>
      <c r="B1671" s="703" t="s">
        <v>34340</v>
      </c>
      <c r="C1671" s="703"/>
      <c r="D1671" s="703"/>
      <c r="E1671" s="703" t="s">
        <v>3918</v>
      </c>
      <c r="F1671" s="736">
        <v>3000.0</v>
      </c>
      <c r="G1671" s="703" t="s">
        <v>930</v>
      </c>
      <c r="H1671" s="736">
        <v>34.0</v>
      </c>
      <c r="I1671" s="736">
        <v>3000.0</v>
      </c>
      <c r="J1671" s="732">
        <f t="shared" si="32"/>
        <v>105000</v>
      </c>
      <c r="K1671" s="705">
        <f t="shared" si="33"/>
        <v>6250</v>
      </c>
      <c r="L1671" s="732">
        <f t="shared" si="34"/>
        <v>111250</v>
      </c>
      <c r="M1671" s="733">
        <f t="shared" si="35"/>
        <v>37.08333333</v>
      </c>
    </row>
    <row r="1672">
      <c r="A1672" s="703" t="s">
        <v>34339</v>
      </c>
      <c r="B1672" s="703" t="s">
        <v>34342</v>
      </c>
      <c r="C1672" s="703"/>
      <c r="D1672" s="703"/>
      <c r="E1672" s="703" t="s">
        <v>130</v>
      </c>
      <c r="F1672" s="736">
        <v>15000.0</v>
      </c>
      <c r="G1672" s="703" t="s">
        <v>507</v>
      </c>
      <c r="H1672" s="736">
        <v>25.0</v>
      </c>
      <c r="I1672" s="703"/>
      <c r="J1672" s="732">
        <f t="shared" si="32"/>
        <v>375000</v>
      </c>
      <c r="K1672" s="705">
        <f t="shared" si="33"/>
        <v>19750</v>
      </c>
      <c r="L1672" s="732">
        <f t="shared" si="34"/>
        <v>394750</v>
      </c>
      <c r="M1672" s="733">
        <f t="shared" si="35"/>
        <v>26.31666667</v>
      </c>
    </row>
    <row r="1673">
      <c r="A1673" s="703" t="s">
        <v>34339</v>
      </c>
      <c r="B1673" s="703" t="s">
        <v>34343</v>
      </c>
      <c r="C1673" s="703"/>
      <c r="D1673" s="703"/>
      <c r="E1673" s="703" t="s">
        <v>34170</v>
      </c>
      <c r="F1673" s="736">
        <v>500.0</v>
      </c>
      <c r="G1673" s="703" t="s">
        <v>507</v>
      </c>
      <c r="H1673" s="736">
        <v>25.0</v>
      </c>
      <c r="I1673" s="736">
        <v>1000.0</v>
      </c>
      <c r="J1673" s="732">
        <f t="shared" si="32"/>
        <v>13500</v>
      </c>
      <c r="K1673" s="705">
        <f t="shared" si="33"/>
        <v>1675</v>
      </c>
      <c r="L1673" s="732">
        <f t="shared" si="34"/>
        <v>15175</v>
      </c>
      <c r="M1673" s="733">
        <f t="shared" si="35"/>
        <v>30.35</v>
      </c>
    </row>
    <row r="1674">
      <c r="A1674" s="703" t="s">
        <v>34339</v>
      </c>
      <c r="B1674" s="703" t="s">
        <v>20488</v>
      </c>
      <c r="C1674" s="703"/>
      <c r="D1674" s="703"/>
      <c r="E1674" s="703" t="s">
        <v>130</v>
      </c>
      <c r="F1674" s="736">
        <v>21000.0</v>
      </c>
      <c r="G1674" s="703" t="s">
        <v>507</v>
      </c>
      <c r="H1674" s="736">
        <v>25.0</v>
      </c>
      <c r="I1674" s="703"/>
      <c r="J1674" s="732">
        <f t="shared" si="32"/>
        <v>525000</v>
      </c>
      <c r="K1674" s="705">
        <f t="shared" si="33"/>
        <v>27250</v>
      </c>
      <c r="L1674" s="732">
        <f t="shared" si="34"/>
        <v>552250</v>
      </c>
      <c r="M1674" s="733">
        <f t="shared" si="35"/>
        <v>26.29761905</v>
      </c>
    </row>
    <row r="1675">
      <c r="A1675" s="703" t="s">
        <v>34339</v>
      </c>
      <c r="B1675" s="703" t="s">
        <v>34344</v>
      </c>
      <c r="C1675" s="703"/>
      <c r="D1675" s="703"/>
      <c r="E1675" s="703" t="s">
        <v>1836</v>
      </c>
      <c r="F1675" s="736">
        <v>2000.0</v>
      </c>
      <c r="G1675" s="703" t="s">
        <v>44</v>
      </c>
      <c r="H1675" s="736">
        <v>88.0</v>
      </c>
      <c r="I1675" s="736">
        <v>2500.0</v>
      </c>
      <c r="J1675" s="732">
        <f t="shared" si="32"/>
        <v>178500</v>
      </c>
      <c r="K1675" s="705">
        <f t="shared" si="33"/>
        <v>9925</v>
      </c>
      <c r="L1675" s="732">
        <f t="shared" si="34"/>
        <v>188425</v>
      </c>
      <c r="M1675" s="733">
        <f t="shared" si="35"/>
        <v>94.2125</v>
      </c>
    </row>
    <row r="1676">
      <c r="A1676" s="703" t="s">
        <v>34339</v>
      </c>
      <c r="B1676" s="703" t="s">
        <v>34345</v>
      </c>
      <c r="C1676" s="703"/>
      <c r="D1676" s="703"/>
      <c r="E1676" s="703" t="s">
        <v>3533</v>
      </c>
      <c r="F1676" s="736">
        <v>1000.0</v>
      </c>
      <c r="G1676" s="703" t="s">
        <v>507</v>
      </c>
      <c r="H1676" s="736">
        <v>41.0</v>
      </c>
      <c r="I1676" s="736">
        <v>1000.0</v>
      </c>
      <c r="J1676" s="732">
        <f t="shared" si="32"/>
        <v>42000</v>
      </c>
      <c r="K1676" s="705">
        <f t="shared" si="33"/>
        <v>3100</v>
      </c>
      <c r="L1676" s="732">
        <f t="shared" si="34"/>
        <v>45100</v>
      </c>
      <c r="M1676" s="733">
        <f t="shared" si="35"/>
        <v>45.1</v>
      </c>
    </row>
    <row r="1677">
      <c r="A1677" s="703" t="s">
        <v>34339</v>
      </c>
      <c r="B1677" s="703" t="s">
        <v>34346</v>
      </c>
      <c r="C1677" s="703"/>
      <c r="D1677" s="703"/>
      <c r="E1677" s="703" t="s">
        <v>34321</v>
      </c>
      <c r="F1677" s="736">
        <v>100.0</v>
      </c>
      <c r="G1677" s="703" t="s">
        <v>44</v>
      </c>
      <c r="H1677" s="736">
        <v>4.8</v>
      </c>
      <c r="I1677" s="736">
        <v>500.0</v>
      </c>
      <c r="J1677" s="732">
        <f t="shared" si="32"/>
        <v>980</v>
      </c>
      <c r="K1677" s="705">
        <f t="shared" si="33"/>
        <v>1049</v>
      </c>
      <c r="L1677" s="732">
        <f t="shared" si="34"/>
        <v>2029</v>
      </c>
      <c r="M1677" s="733">
        <f t="shared" si="35"/>
        <v>20.29</v>
      </c>
    </row>
    <row r="1678">
      <c r="A1678" s="703" t="s">
        <v>34339</v>
      </c>
      <c r="B1678" s="703" t="s">
        <v>34347</v>
      </c>
      <c r="C1678" s="703"/>
      <c r="D1678" s="703"/>
      <c r="E1678" s="703" t="s">
        <v>9883</v>
      </c>
      <c r="F1678" s="736">
        <v>100.0</v>
      </c>
      <c r="G1678" s="703" t="s">
        <v>34348</v>
      </c>
      <c r="H1678" s="736">
        <v>52.0</v>
      </c>
      <c r="I1678" s="736">
        <v>300.0</v>
      </c>
      <c r="J1678" s="732">
        <f t="shared" si="32"/>
        <v>5500</v>
      </c>
      <c r="K1678" s="705">
        <f t="shared" si="33"/>
        <v>1275</v>
      </c>
      <c r="L1678" s="732">
        <f t="shared" si="34"/>
        <v>6775</v>
      </c>
      <c r="M1678" s="733">
        <f t="shared" si="35"/>
        <v>67.75</v>
      </c>
    </row>
    <row r="1679">
      <c r="A1679" s="703" t="s">
        <v>34349</v>
      </c>
      <c r="B1679" s="703" t="s">
        <v>20384</v>
      </c>
      <c r="C1679" s="703"/>
      <c r="D1679" s="703"/>
      <c r="E1679" s="703" t="s">
        <v>523</v>
      </c>
      <c r="F1679" s="736">
        <v>1000.0</v>
      </c>
      <c r="G1679" s="703" t="s">
        <v>184</v>
      </c>
      <c r="H1679" s="736">
        <v>4.8</v>
      </c>
      <c r="I1679" s="736">
        <v>1000.0</v>
      </c>
      <c r="J1679" s="732">
        <f t="shared" si="32"/>
        <v>5800</v>
      </c>
      <c r="K1679" s="705">
        <f t="shared" si="33"/>
        <v>1290</v>
      </c>
      <c r="L1679" s="732">
        <f t="shared" si="34"/>
        <v>7090</v>
      </c>
      <c r="M1679" s="733">
        <f t="shared" si="35"/>
        <v>7.09</v>
      </c>
    </row>
    <row r="1680">
      <c r="A1680" s="703" t="s">
        <v>34349</v>
      </c>
      <c r="B1680" s="703" t="s">
        <v>34350</v>
      </c>
      <c r="C1680" s="703"/>
      <c r="D1680" s="703"/>
      <c r="E1680" s="703" t="s">
        <v>34351</v>
      </c>
      <c r="F1680" s="736">
        <v>5000.0</v>
      </c>
      <c r="G1680" s="703" t="s">
        <v>2662</v>
      </c>
      <c r="H1680" s="736">
        <v>67.0</v>
      </c>
      <c r="I1680" s="736">
        <v>5000.0</v>
      </c>
      <c r="J1680" s="732">
        <f t="shared" si="32"/>
        <v>340000</v>
      </c>
      <c r="K1680" s="705">
        <f t="shared" si="33"/>
        <v>18000</v>
      </c>
      <c r="L1680" s="732">
        <f t="shared" si="34"/>
        <v>358000</v>
      </c>
      <c r="M1680" s="733">
        <f t="shared" si="35"/>
        <v>71.6</v>
      </c>
    </row>
    <row r="1681">
      <c r="A1681" s="703" t="s">
        <v>34349</v>
      </c>
      <c r="B1681" s="703" t="s">
        <v>20338</v>
      </c>
      <c r="C1681" s="703"/>
      <c r="D1681" s="703"/>
      <c r="E1681" s="703" t="s">
        <v>2476</v>
      </c>
      <c r="F1681" s="736">
        <v>5000.0</v>
      </c>
      <c r="G1681" s="703" t="s">
        <v>34352</v>
      </c>
      <c r="H1681" s="736">
        <v>42.0</v>
      </c>
      <c r="I1681" s="736">
        <v>5000.0</v>
      </c>
      <c r="J1681" s="732">
        <f t="shared" si="32"/>
        <v>215000</v>
      </c>
      <c r="K1681" s="705">
        <f t="shared" si="33"/>
        <v>11750</v>
      </c>
      <c r="L1681" s="732">
        <f t="shared" si="34"/>
        <v>226750</v>
      </c>
      <c r="M1681" s="733">
        <f t="shared" si="35"/>
        <v>45.35</v>
      </c>
    </row>
    <row r="1682">
      <c r="A1682" s="703" t="s">
        <v>34349</v>
      </c>
      <c r="B1682" s="703" t="s">
        <v>20332</v>
      </c>
      <c r="C1682" s="703"/>
      <c r="D1682" s="703"/>
      <c r="E1682" s="703" t="s">
        <v>34353</v>
      </c>
      <c r="F1682" s="736">
        <v>10000.0</v>
      </c>
      <c r="G1682" s="703" t="s">
        <v>519</v>
      </c>
      <c r="H1682" s="736">
        <v>25.0</v>
      </c>
      <c r="I1682" s="703"/>
      <c r="J1682" s="732">
        <f t="shared" si="32"/>
        <v>250000</v>
      </c>
      <c r="K1682" s="705">
        <f t="shared" si="33"/>
        <v>13500</v>
      </c>
      <c r="L1682" s="732">
        <f t="shared" si="34"/>
        <v>263500</v>
      </c>
      <c r="M1682" s="733">
        <f t="shared" si="35"/>
        <v>26.35</v>
      </c>
    </row>
    <row r="1683">
      <c r="A1683" s="703" t="s">
        <v>34349</v>
      </c>
      <c r="B1683" s="703" t="s">
        <v>20358</v>
      </c>
      <c r="C1683" s="703"/>
      <c r="D1683" s="703"/>
      <c r="E1683" s="703" t="s">
        <v>207</v>
      </c>
      <c r="F1683" s="736">
        <v>5000.0</v>
      </c>
      <c r="G1683" s="703" t="s">
        <v>44</v>
      </c>
      <c r="H1683" s="736">
        <v>15.0</v>
      </c>
      <c r="I1683" s="736">
        <v>5000.0</v>
      </c>
      <c r="J1683" s="732">
        <f t="shared" si="32"/>
        <v>80000</v>
      </c>
      <c r="K1683" s="705">
        <f t="shared" si="33"/>
        <v>5000</v>
      </c>
      <c r="L1683" s="732">
        <f t="shared" si="34"/>
        <v>85000</v>
      </c>
      <c r="M1683" s="733">
        <f t="shared" si="35"/>
        <v>17</v>
      </c>
    </row>
    <row r="1684">
      <c r="A1684" s="703" t="s">
        <v>34349</v>
      </c>
      <c r="B1684" s="703" t="s">
        <v>34354</v>
      </c>
      <c r="C1684" s="703"/>
      <c r="D1684" s="703"/>
      <c r="E1684" s="703" t="s">
        <v>1749</v>
      </c>
      <c r="F1684" s="736">
        <v>40.0</v>
      </c>
      <c r="G1684" s="703" t="s">
        <v>158</v>
      </c>
      <c r="H1684" s="736">
        <v>52.0</v>
      </c>
      <c r="I1684" s="736">
        <v>300.0</v>
      </c>
      <c r="J1684" s="732">
        <f t="shared" si="32"/>
        <v>2380</v>
      </c>
      <c r="K1684" s="705">
        <f t="shared" si="33"/>
        <v>1119</v>
      </c>
      <c r="L1684" s="732">
        <f t="shared" si="34"/>
        <v>3499</v>
      </c>
      <c r="M1684" s="733">
        <f t="shared" si="35"/>
        <v>87.475</v>
      </c>
    </row>
    <row r="1685">
      <c r="A1685" s="703" t="s">
        <v>34349</v>
      </c>
      <c r="B1685" s="703" t="s">
        <v>20345</v>
      </c>
      <c r="C1685" s="703"/>
      <c r="D1685" s="703"/>
      <c r="E1685" s="703" t="s">
        <v>34355</v>
      </c>
      <c r="F1685" s="736">
        <v>20000.0</v>
      </c>
      <c r="G1685" s="703" t="s">
        <v>44</v>
      </c>
      <c r="H1685" s="736">
        <v>45.0</v>
      </c>
      <c r="I1685" s="703"/>
      <c r="J1685" s="732">
        <f t="shared" si="32"/>
        <v>900000</v>
      </c>
      <c r="K1685" s="705">
        <f t="shared" si="33"/>
        <v>46000</v>
      </c>
      <c r="L1685" s="732">
        <f t="shared" si="34"/>
        <v>946000</v>
      </c>
      <c r="M1685" s="733">
        <f t="shared" si="35"/>
        <v>47.3</v>
      </c>
    </row>
    <row r="1686">
      <c r="A1686" s="703" t="s">
        <v>34349</v>
      </c>
      <c r="B1686" s="703" t="s">
        <v>20390</v>
      </c>
      <c r="C1686" s="703"/>
      <c r="D1686" s="703"/>
      <c r="E1686" s="703" t="s">
        <v>34356</v>
      </c>
      <c r="F1686" s="736">
        <v>50.0</v>
      </c>
      <c r="G1686" s="703" t="s">
        <v>507</v>
      </c>
      <c r="H1686" s="736">
        <v>13.0</v>
      </c>
      <c r="I1686" s="736">
        <v>500.0</v>
      </c>
      <c r="J1686" s="732">
        <f t="shared" si="32"/>
        <v>1150</v>
      </c>
      <c r="K1686" s="705">
        <f t="shared" si="33"/>
        <v>1057.5</v>
      </c>
      <c r="L1686" s="732">
        <f t="shared" si="34"/>
        <v>2207.5</v>
      </c>
      <c r="M1686" s="733">
        <f t="shared" si="35"/>
        <v>44.15</v>
      </c>
    </row>
    <row r="1687">
      <c r="A1687" s="703" t="s">
        <v>34349</v>
      </c>
      <c r="B1687" s="703" t="s">
        <v>20390</v>
      </c>
      <c r="C1687" s="703"/>
      <c r="D1687" s="703"/>
      <c r="E1687" s="703" t="s">
        <v>34357</v>
      </c>
      <c r="F1687" s="736">
        <v>50.0</v>
      </c>
      <c r="G1687" s="703" t="s">
        <v>507</v>
      </c>
      <c r="H1687" s="736">
        <v>11.0</v>
      </c>
      <c r="I1687" s="736">
        <v>500.0</v>
      </c>
      <c r="J1687" s="732">
        <f t="shared" si="32"/>
        <v>1050</v>
      </c>
      <c r="K1687" s="705">
        <f t="shared" si="33"/>
        <v>1052.5</v>
      </c>
      <c r="L1687" s="732">
        <f t="shared" si="34"/>
        <v>2102.5</v>
      </c>
      <c r="M1687" s="733">
        <f t="shared" si="35"/>
        <v>42.05</v>
      </c>
    </row>
    <row r="1688">
      <c r="A1688" s="703" t="s">
        <v>34349</v>
      </c>
      <c r="B1688" s="703" t="s">
        <v>20390</v>
      </c>
      <c r="C1688" s="703"/>
      <c r="D1688" s="703"/>
      <c r="E1688" s="703" t="s">
        <v>34358</v>
      </c>
      <c r="F1688" s="736">
        <v>50.0</v>
      </c>
      <c r="G1688" s="703" t="s">
        <v>507</v>
      </c>
      <c r="H1688" s="736">
        <v>10.0</v>
      </c>
      <c r="I1688" s="736">
        <v>500.0</v>
      </c>
      <c r="J1688" s="732">
        <f t="shared" si="32"/>
        <v>1000</v>
      </c>
      <c r="K1688" s="705">
        <f t="shared" si="33"/>
        <v>1050</v>
      </c>
      <c r="L1688" s="732">
        <f t="shared" si="34"/>
        <v>2050</v>
      </c>
      <c r="M1688" s="733">
        <f t="shared" si="35"/>
        <v>41</v>
      </c>
    </row>
    <row r="1689">
      <c r="A1689" s="703" t="s">
        <v>34349</v>
      </c>
      <c r="B1689" s="703" t="s">
        <v>20373</v>
      </c>
      <c r="C1689" s="703"/>
      <c r="D1689" s="703"/>
      <c r="E1689" s="703" t="s">
        <v>34356</v>
      </c>
      <c r="F1689" s="736">
        <v>40.0</v>
      </c>
      <c r="G1689" s="703" t="s">
        <v>34308</v>
      </c>
      <c r="H1689" s="736">
        <v>13.0</v>
      </c>
      <c r="I1689" s="736">
        <v>500.0</v>
      </c>
      <c r="J1689" s="732">
        <f t="shared" si="32"/>
        <v>1020</v>
      </c>
      <c r="K1689" s="705">
        <f t="shared" si="33"/>
        <v>1051</v>
      </c>
      <c r="L1689" s="732">
        <f t="shared" si="34"/>
        <v>2071</v>
      </c>
      <c r="M1689" s="733">
        <f t="shared" si="35"/>
        <v>51.775</v>
      </c>
    </row>
    <row r="1690">
      <c r="A1690" s="703" t="s">
        <v>34349</v>
      </c>
      <c r="B1690" s="703" t="s">
        <v>20373</v>
      </c>
      <c r="C1690" s="703"/>
      <c r="D1690" s="703"/>
      <c r="E1690" s="703" t="s">
        <v>34357</v>
      </c>
      <c r="F1690" s="736">
        <v>40.0</v>
      </c>
      <c r="G1690" s="703" t="s">
        <v>34308</v>
      </c>
      <c r="H1690" s="736">
        <v>11.0</v>
      </c>
      <c r="I1690" s="736">
        <v>500.0</v>
      </c>
      <c r="J1690" s="732">
        <f t="shared" si="32"/>
        <v>940</v>
      </c>
      <c r="K1690" s="705">
        <f t="shared" si="33"/>
        <v>1047</v>
      </c>
      <c r="L1690" s="732">
        <f t="shared" si="34"/>
        <v>1987</v>
      </c>
      <c r="M1690" s="733">
        <f t="shared" si="35"/>
        <v>49.675</v>
      </c>
    </row>
    <row r="1691">
      <c r="A1691" s="703" t="s">
        <v>34349</v>
      </c>
      <c r="B1691" s="703" t="s">
        <v>20373</v>
      </c>
      <c r="C1691" s="703"/>
      <c r="D1691" s="703"/>
      <c r="E1691" s="703" t="s">
        <v>34358</v>
      </c>
      <c r="F1691" s="736">
        <v>40.0</v>
      </c>
      <c r="G1691" s="703" t="s">
        <v>34308</v>
      </c>
      <c r="H1691" s="736">
        <v>10.0</v>
      </c>
      <c r="I1691" s="736">
        <v>500.0</v>
      </c>
      <c r="J1691" s="732">
        <f t="shared" si="32"/>
        <v>900</v>
      </c>
      <c r="K1691" s="705">
        <f t="shared" si="33"/>
        <v>1045</v>
      </c>
      <c r="L1691" s="732">
        <f t="shared" si="34"/>
        <v>1945</v>
      </c>
      <c r="M1691" s="733">
        <f t="shared" si="35"/>
        <v>48.625</v>
      </c>
    </row>
    <row r="1692">
      <c r="A1692" s="703" t="s">
        <v>34349</v>
      </c>
      <c r="B1692" s="703" t="s">
        <v>20446</v>
      </c>
      <c r="C1692" s="703"/>
      <c r="D1692" s="703"/>
      <c r="E1692" s="703" t="s">
        <v>34359</v>
      </c>
      <c r="F1692" s="736">
        <v>1000.0</v>
      </c>
      <c r="G1692" s="703" t="s">
        <v>7664</v>
      </c>
      <c r="H1692" s="736">
        <v>25.0</v>
      </c>
      <c r="I1692" s="736">
        <v>1000.0</v>
      </c>
      <c r="J1692" s="732">
        <f t="shared" si="32"/>
        <v>26000</v>
      </c>
      <c r="K1692" s="705">
        <f t="shared" si="33"/>
        <v>2300</v>
      </c>
      <c r="L1692" s="732">
        <f t="shared" si="34"/>
        <v>28300</v>
      </c>
      <c r="M1692" s="733">
        <f t="shared" si="35"/>
        <v>28.3</v>
      </c>
    </row>
    <row r="1693">
      <c r="A1693" s="703" t="s">
        <v>34349</v>
      </c>
      <c r="B1693" s="703" t="s">
        <v>20434</v>
      </c>
      <c r="C1693" s="703"/>
      <c r="D1693" s="703"/>
      <c r="E1693" s="703" t="s">
        <v>34359</v>
      </c>
      <c r="F1693" s="736">
        <v>10000.0</v>
      </c>
      <c r="G1693" s="703" t="s">
        <v>3844</v>
      </c>
      <c r="H1693" s="736">
        <v>25.0</v>
      </c>
      <c r="I1693" s="703"/>
      <c r="J1693" s="732">
        <f t="shared" si="32"/>
        <v>250000</v>
      </c>
      <c r="K1693" s="705">
        <f t="shared" si="33"/>
        <v>13500</v>
      </c>
      <c r="L1693" s="732">
        <f t="shared" si="34"/>
        <v>263500</v>
      </c>
      <c r="M1693" s="733">
        <f t="shared" si="35"/>
        <v>26.35</v>
      </c>
    </row>
    <row r="1694">
      <c r="A1694" s="703" t="s">
        <v>34349</v>
      </c>
      <c r="B1694" s="703" t="s">
        <v>20468</v>
      </c>
      <c r="C1694" s="737"/>
      <c r="D1694" s="737"/>
      <c r="E1694" s="737" t="s">
        <v>1182</v>
      </c>
      <c r="F1694" s="736">
        <v>5000.0</v>
      </c>
      <c r="G1694" s="703" t="s">
        <v>44</v>
      </c>
      <c r="H1694" s="736">
        <v>13.8</v>
      </c>
      <c r="I1694" s="736">
        <v>5000.0</v>
      </c>
      <c r="J1694" s="732">
        <f t="shared" si="32"/>
        <v>74000</v>
      </c>
      <c r="K1694" s="705">
        <f t="shared" si="33"/>
        <v>4700</v>
      </c>
      <c r="L1694" s="732">
        <f t="shared" si="34"/>
        <v>78700</v>
      </c>
      <c r="M1694" s="733">
        <f t="shared" si="35"/>
        <v>15.74</v>
      </c>
    </row>
    <row r="1695">
      <c r="A1695" s="703" t="s">
        <v>34349</v>
      </c>
      <c r="B1695" s="703" t="s">
        <v>20549</v>
      </c>
      <c r="C1695" s="703"/>
      <c r="D1695" s="703"/>
      <c r="E1695" s="703" t="s">
        <v>34359</v>
      </c>
      <c r="F1695" s="736">
        <v>10000.0</v>
      </c>
      <c r="G1695" s="703" t="s">
        <v>507</v>
      </c>
      <c r="H1695" s="736">
        <v>25.0</v>
      </c>
      <c r="I1695" s="703"/>
      <c r="J1695" s="732">
        <f t="shared" si="32"/>
        <v>250000</v>
      </c>
      <c r="K1695" s="705">
        <f t="shared" si="33"/>
        <v>13500</v>
      </c>
      <c r="L1695" s="732">
        <f t="shared" si="34"/>
        <v>263500</v>
      </c>
      <c r="M1695" s="733">
        <f t="shared" si="35"/>
        <v>26.35</v>
      </c>
    </row>
    <row r="1696">
      <c r="A1696" s="703" t="s">
        <v>34349</v>
      </c>
      <c r="B1696" s="703" t="s">
        <v>20575</v>
      </c>
      <c r="C1696" s="703"/>
      <c r="D1696" s="703"/>
      <c r="E1696" s="703" t="s">
        <v>34359</v>
      </c>
      <c r="F1696" s="736">
        <v>50000.0</v>
      </c>
      <c r="G1696" s="703" t="s">
        <v>507</v>
      </c>
      <c r="H1696" s="736">
        <v>25.0</v>
      </c>
      <c r="I1696" s="703"/>
      <c r="J1696" s="732">
        <f t="shared" si="32"/>
        <v>1250000</v>
      </c>
      <c r="K1696" s="705">
        <f t="shared" si="33"/>
        <v>63500</v>
      </c>
      <c r="L1696" s="732">
        <f t="shared" si="34"/>
        <v>1313500</v>
      </c>
      <c r="M1696" s="733">
        <f t="shared" si="35"/>
        <v>26.27</v>
      </c>
    </row>
    <row r="1697">
      <c r="A1697" s="703" t="s">
        <v>34349</v>
      </c>
      <c r="B1697" s="703" t="s">
        <v>34360</v>
      </c>
      <c r="C1697" s="703"/>
      <c r="D1697" s="703"/>
      <c r="E1697" s="703" t="s">
        <v>213</v>
      </c>
      <c r="F1697" s="736">
        <v>20000.0</v>
      </c>
      <c r="G1697" s="703" t="s">
        <v>507</v>
      </c>
      <c r="H1697" s="736">
        <v>25.0</v>
      </c>
      <c r="I1697" s="703"/>
      <c r="J1697" s="732">
        <f t="shared" si="32"/>
        <v>500000</v>
      </c>
      <c r="K1697" s="705">
        <f t="shared" si="33"/>
        <v>26000</v>
      </c>
      <c r="L1697" s="732">
        <f t="shared" si="34"/>
        <v>526000</v>
      </c>
      <c r="M1697" s="733">
        <f t="shared" si="35"/>
        <v>26.3</v>
      </c>
    </row>
    <row r="1698">
      <c r="A1698" s="703" t="s">
        <v>34349</v>
      </c>
      <c r="B1698" s="703" t="s">
        <v>20568</v>
      </c>
      <c r="C1698" s="703"/>
      <c r="D1698" s="703"/>
      <c r="E1698" s="703" t="s">
        <v>34361</v>
      </c>
      <c r="F1698" s="736">
        <v>25000.0</v>
      </c>
      <c r="G1698" s="703" t="s">
        <v>507</v>
      </c>
      <c r="H1698" s="736">
        <v>25.0</v>
      </c>
      <c r="I1698" s="703"/>
      <c r="J1698" s="732">
        <f t="shared" si="32"/>
        <v>625000</v>
      </c>
      <c r="K1698" s="705">
        <f t="shared" si="33"/>
        <v>32250</v>
      </c>
      <c r="L1698" s="732">
        <f t="shared" si="34"/>
        <v>657250</v>
      </c>
      <c r="M1698" s="733">
        <f t="shared" si="35"/>
        <v>26.29</v>
      </c>
    </row>
    <row r="1699">
      <c r="A1699" s="703" t="s">
        <v>32176</v>
      </c>
      <c r="B1699" s="703" t="s">
        <v>21060</v>
      </c>
      <c r="C1699" s="703"/>
      <c r="D1699" s="703"/>
      <c r="E1699" s="703" t="s">
        <v>34353</v>
      </c>
      <c r="F1699" s="736">
        <v>21000.0</v>
      </c>
      <c r="G1699" s="703" t="s">
        <v>507</v>
      </c>
      <c r="H1699" s="736">
        <v>25.0</v>
      </c>
      <c r="I1699" s="703"/>
      <c r="J1699" s="732">
        <f t="shared" si="32"/>
        <v>525000</v>
      </c>
      <c r="K1699" s="705">
        <f t="shared" si="33"/>
        <v>27250</v>
      </c>
      <c r="L1699" s="732">
        <f t="shared" si="34"/>
        <v>552250</v>
      </c>
      <c r="M1699" s="733">
        <f t="shared" si="35"/>
        <v>26.29761905</v>
      </c>
    </row>
    <row r="1700">
      <c r="A1700" s="703" t="s">
        <v>34349</v>
      </c>
      <c r="B1700" s="703" t="s">
        <v>21087</v>
      </c>
      <c r="C1700" s="703"/>
      <c r="D1700" s="703"/>
      <c r="E1700" s="703" t="s">
        <v>34362</v>
      </c>
      <c r="F1700" s="736">
        <v>2000.0</v>
      </c>
      <c r="G1700" s="707" t="s">
        <v>34363</v>
      </c>
      <c r="H1700" s="736">
        <v>56.0</v>
      </c>
      <c r="I1700" s="736">
        <v>2000.0</v>
      </c>
      <c r="J1700" s="732">
        <f t="shared" si="32"/>
        <v>114000</v>
      </c>
      <c r="K1700" s="705">
        <f t="shared" si="33"/>
        <v>6700</v>
      </c>
      <c r="L1700" s="732">
        <f t="shared" si="34"/>
        <v>120700</v>
      </c>
      <c r="M1700" s="733">
        <f t="shared" si="35"/>
        <v>60.35</v>
      </c>
    </row>
    <row r="1701">
      <c r="A1701" s="703" t="s">
        <v>34349</v>
      </c>
      <c r="B1701" s="707" t="s">
        <v>20474</v>
      </c>
      <c r="C1701" s="707"/>
      <c r="D1701" s="707"/>
      <c r="E1701" s="707" t="s">
        <v>34364</v>
      </c>
      <c r="F1701" s="736">
        <v>100000.0</v>
      </c>
      <c r="G1701" s="707" t="s">
        <v>34365</v>
      </c>
      <c r="H1701" s="736">
        <v>16.0</v>
      </c>
      <c r="I1701" s="703"/>
      <c r="J1701" s="732">
        <f t="shared" si="32"/>
        <v>1600000</v>
      </c>
      <c r="K1701" s="705">
        <f t="shared" si="33"/>
        <v>81000</v>
      </c>
      <c r="L1701" s="732">
        <f t="shared" si="34"/>
        <v>1681000</v>
      </c>
      <c r="M1701" s="733">
        <f t="shared" si="35"/>
        <v>16.81</v>
      </c>
    </row>
    <row r="1702">
      <c r="A1702" s="703" t="s">
        <v>34349</v>
      </c>
      <c r="B1702" s="707" t="s">
        <v>34366</v>
      </c>
      <c r="C1702" s="707"/>
      <c r="D1702" s="707"/>
      <c r="E1702" s="707" t="s">
        <v>34367</v>
      </c>
      <c r="F1702" s="736">
        <v>15000.0</v>
      </c>
      <c r="G1702" s="703" t="s">
        <v>507</v>
      </c>
      <c r="H1702" s="736">
        <v>21.0</v>
      </c>
      <c r="I1702" s="703"/>
      <c r="J1702" s="732">
        <f t="shared" si="32"/>
        <v>315000</v>
      </c>
      <c r="K1702" s="705">
        <f t="shared" si="33"/>
        <v>16750</v>
      </c>
      <c r="L1702" s="732">
        <f t="shared" si="34"/>
        <v>331750</v>
      </c>
      <c r="M1702" s="733">
        <f t="shared" si="35"/>
        <v>22.11666667</v>
      </c>
    </row>
    <row r="1703">
      <c r="A1703" s="703" t="s">
        <v>34349</v>
      </c>
      <c r="B1703" s="707" t="s">
        <v>34366</v>
      </c>
      <c r="C1703" s="707"/>
      <c r="D1703" s="707"/>
      <c r="E1703" s="707" t="s">
        <v>34368</v>
      </c>
      <c r="F1703" s="736">
        <v>15000.0</v>
      </c>
      <c r="G1703" s="703" t="s">
        <v>507</v>
      </c>
      <c r="H1703" s="736">
        <v>23.0</v>
      </c>
      <c r="I1703" s="703"/>
      <c r="J1703" s="732">
        <f t="shared" si="32"/>
        <v>345000</v>
      </c>
      <c r="K1703" s="705">
        <f t="shared" si="33"/>
        <v>18250</v>
      </c>
      <c r="L1703" s="732">
        <f t="shared" si="34"/>
        <v>363250</v>
      </c>
      <c r="M1703" s="733">
        <f t="shared" si="35"/>
        <v>24.21666667</v>
      </c>
    </row>
    <row r="1704">
      <c r="A1704" s="703" t="s">
        <v>34349</v>
      </c>
      <c r="B1704" s="703" t="s">
        <v>20482</v>
      </c>
      <c r="C1704" s="707"/>
      <c r="D1704" s="707"/>
      <c r="E1704" s="707" t="s">
        <v>34369</v>
      </c>
      <c r="F1704" s="736">
        <v>10000.0</v>
      </c>
      <c r="G1704" s="707" t="s">
        <v>34363</v>
      </c>
      <c r="H1704" s="736">
        <v>33.0</v>
      </c>
      <c r="I1704" s="703"/>
      <c r="J1704" s="732">
        <f t="shared" si="32"/>
        <v>330000</v>
      </c>
      <c r="K1704" s="705">
        <f t="shared" si="33"/>
        <v>17500</v>
      </c>
      <c r="L1704" s="732">
        <f t="shared" si="34"/>
        <v>347500</v>
      </c>
      <c r="M1704" s="733">
        <f t="shared" si="35"/>
        <v>34.75</v>
      </c>
    </row>
    <row r="1705">
      <c r="A1705" s="703" t="s">
        <v>34349</v>
      </c>
      <c r="B1705" s="703" t="s">
        <v>20482</v>
      </c>
      <c r="C1705" s="707"/>
      <c r="D1705" s="707"/>
      <c r="E1705" s="707" t="s">
        <v>8751</v>
      </c>
      <c r="F1705" s="736">
        <v>10000.0</v>
      </c>
      <c r="G1705" s="707" t="s">
        <v>34363</v>
      </c>
      <c r="H1705" s="736">
        <v>105.0</v>
      </c>
      <c r="I1705" s="703"/>
      <c r="J1705" s="732">
        <f t="shared" si="32"/>
        <v>1050000</v>
      </c>
      <c r="K1705" s="705">
        <f t="shared" si="33"/>
        <v>53500</v>
      </c>
      <c r="L1705" s="732">
        <f t="shared" si="34"/>
        <v>1103500</v>
      </c>
      <c r="M1705" s="733">
        <f t="shared" si="35"/>
        <v>110.35</v>
      </c>
    </row>
    <row r="1706">
      <c r="A1706" s="703" t="s">
        <v>34349</v>
      </c>
      <c r="B1706" s="707" t="s">
        <v>34370</v>
      </c>
      <c r="C1706" s="707"/>
      <c r="D1706" s="707"/>
      <c r="E1706" s="707" t="s">
        <v>34371</v>
      </c>
      <c r="F1706" s="736">
        <v>2000.0</v>
      </c>
      <c r="G1706" s="703" t="s">
        <v>10805</v>
      </c>
      <c r="H1706" s="736">
        <v>22.5</v>
      </c>
      <c r="I1706" s="736">
        <v>2000.0</v>
      </c>
      <c r="J1706" s="732">
        <f t="shared" si="32"/>
        <v>47000</v>
      </c>
      <c r="K1706" s="705">
        <f t="shared" si="33"/>
        <v>3350</v>
      </c>
      <c r="L1706" s="732">
        <f t="shared" si="34"/>
        <v>50350</v>
      </c>
      <c r="M1706" s="733">
        <f t="shared" si="35"/>
        <v>25.175</v>
      </c>
    </row>
    <row r="1707">
      <c r="A1707" s="703" t="s">
        <v>34349</v>
      </c>
      <c r="B1707" s="707" t="s">
        <v>34370</v>
      </c>
      <c r="C1707" s="707"/>
      <c r="D1707" s="707"/>
      <c r="E1707" s="707" t="s">
        <v>33424</v>
      </c>
      <c r="F1707" s="736">
        <v>2000.0</v>
      </c>
      <c r="G1707" s="703" t="s">
        <v>906</v>
      </c>
      <c r="H1707" s="736">
        <v>21.5</v>
      </c>
      <c r="I1707" s="736">
        <v>2000.0</v>
      </c>
      <c r="J1707" s="732">
        <f t="shared" si="32"/>
        <v>45000</v>
      </c>
      <c r="K1707" s="705">
        <f t="shared" si="33"/>
        <v>3250</v>
      </c>
      <c r="L1707" s="732">
        <f t="shared" si="34"/>
        <v>48250</v>
      </c>
      <c r="M1707" s="733">
        <f t="shared" si="35"/>
        <v>24.125</v>
      </c>
    </row>
    <row r="1708">
      <c r="A1708" s="703" t="s">
        <v>34349</v>
      </c>
      <c r="B1708" s="707" t="s">
        <v>34372</v>
      </c>
      <c r="C1708" s="707"/>
      <c r="D1708" s="707"/>
      <c r="E1708" s="707" t="s">
        <v>13809</v>
      </c>
      <c r="F1708" s="709">
        <v>1000.0</v>
      </c>
      <c r="G1708" s="707" t="s">
        <v>10901</v>
      </c>
      <c r="H1708" s="736">
        <v>445.0</v>
      </c>
      <c r="I1708" s="736">
        <v>2000.0</v>
      </c>
      <c r="J1708" s="732">
        <f t="shared" si="32"/>
        <v>447000</v>
      </c>
      <c r="K1708" s="705">
        <f t="shared" si="33"/>
        <v>23350</v>
      </c>
      <c r="L1708" s="732">
        <f t="shared" si="34"/>
        <v>470350</v>
      </c>
      <c r="M1708" s="733">
        <f t="shared" si="35"/>
        <v>470.35</v>
      </c>
    </row>
    <row r="1709">
      <c r="A1709" s="703" t="s">
        <v>34349</v>
      </c>
      <c r="B1709" s="707" t="s">
        <v>34373</v>
      </c>
      <c r="C1709" s="703"/>
      <c r="D1709" s="703"/>
      <c r="E1709" s="707" t="s">
        <v>16052</v>
      </c>
      <c r="F1709" s="702">
        <v>10000.0</v>
      </c>
      <c r="G1709" s="702" t="s">
        <v>519</v>
      </c>
      <c r="H1709" s="702">
        <v>55.0</v>
      </c>
      <c r="I1709" s="703"/>
      <c r="J1709" s="732">
        <f t="shared" si="32"/>
        <v>550000</v>
      </c>
      <c r="K1709" s="705">
        <f t="shared" si="33"/>
        <v>28500</v>
      </c>
      <c r="L1709" s="732">
        <f t="shared" si="34"/>
        <v>578500</v>
      </c>
      <c r="M1709" s="733">
        <f t="shared" si="35"/>
        <v>57.85</v>
      </c>
    </row>
    <row r="1710">
      <c r="A1710" s="526" t="s">
        <v>34349</v>
      </c>
      <c r="B1710" s="526" t="s">
        <v>20529</v>
      </c>
      <c r="E1710" s="526" t="s">
        <v>5244</v>
      </c>
      <c r="F1710" s="744">
        <v>1000.0</v>
      </c>
      <c r="G1710" s="526" t="s">
        <v>507</v>
      </c>
      <c r="H1710" s="526">
        <v>50.0</v>
      </c>
      <c r="I1710" s="526">
        <v>1000.0</v>
      </c>
      <c r="J1710" s="526">
        <v>51000.0</v>
      </c>
      <c r="K1710" s="526">
        <v>3550.0</v>
      </c>
      <c r="L1710" s="526">
        <v>54550.0</v>
      </c>
      <c r="M1710" s="745">
        <v>54.55</v>
      </c>
    </row>
    <row r="1711">
      <c r="A1711" s="526" t="s">
        <v>34349</v>
      </c>
      <c r="B1711" s="526" t="s">
        <v>34374</v>
      </c>
      <c r="E1711" s="526" t="s">
        <v>34375</v>
      </c>
      <c r="F1711" s="744">
        <v>200.0</v>
      </c>
      <c r="G1711" s="526" t="s">
        <v>34376</v>
      </c>
      <c r="H1711" s="526">
        <v>28.5</v>
      </c>
      <c r="I1711" s="526">
        <v>500.0</v>
      </c>
      <c r="J1711" s="526">
        <v>6200.0</v>
      </c>
      <c r="K1711" s="526">
        <v>1310.0</v>
      </c>
      <c r="L1711" s="526">
        <v>7510.0</v>
      </c>
      <c r="M1711" s="745">
        <v>37.55</v>
      </c>
    </row>
    <row r="1712">
      <c r="A1712" s="526" t="s">
        <v>34349</v>
      </c>
      <c r="B1712" s="526" t="s">
        <v>34377</v>
      </c>
      <c r="E1712" s="526" t="s">
        <v>34378</v>
      </c>
      <c r="F1712" s="744">
        <v>100.0</v>
      </c>
      <c r="G1712" s="526" t="s">
        <v>44</v>
      </c>
      <c r="H1712" s="526">
        <v>52.0</v>
      </c>
      <c r="I1712" s="526">
        <v>300.0</v>
      </c>
      <c r="J1712" s="526">
        <v>5500.0</v>
      </c>
      <c r="K1712" s="526">
        <v>1275.0</v>
      </c>
      <c r="L1712" s="526">
        <v>6775.0</v>
      </c>
      <c r="M1712" s="745">
        <v>67.75</v>
      </c>
    </row>
    <row r="1713">
      <c r="A1713" s="526" t="s">
        <v>34349</v>
      </c>
      <c r="B1713" s="526" t="s">
        <v>34377</v>
      </c>
      <c r="E1713" s="526" t="s">
        <v>501</v>
      </c>
      <c r="F1713" s="744">
        <v>100.0</v>
      </c>
      <c r="G1713" s="526" t="s">
        <v>44</v>
      </c>
      <c r="H1713" s="526">
        <v>10.5</v>
      </c>
      <c r="I1713" s="526">
        <v>300.0</v>
      </c>
      <c r="J1713" s="526">
        <v>1350.0</v>
      </c>
      <c r="K1713" s="526">
        <v>1067.5</v>
      </c>
      <c r="L1713" s="526">
        <v>2417.5</v>
      </c>
      <c r="M1713" s="745">
        <v>24.18</v>
      </c>
    </row>
    <row r="1714">
      <c r="A1714" s="526" t="s">
        <v>34349</v>
      </c>
      <c r="B1714" s="526" t="s">
        <v>34377</v>
      </c>
      <c r="E1714" s="526" t="s">
        <v>3165</v>
      </c>
      <c r="F1714" s="744">
        <v>50.0</v>
      </c>
      <c r="G1714" s="526" t="s">
        <v>44</v>
      </c>
      <c r="H1714" s="526">
        <v>79.0</v>
      </c>
      <c r="I1714" s="526">
        <v>300.0</v>
      </c>
      <c r="J1714" s="526">
        <v>4250.0</v>
      </c>
      <c r="K1714" s="526">
        <v>1212.5</v>
      </c>
      <c r="L1714" s="526">
        <v>5462.5</v>
      </c>
      <c r="M1714" s="745">
        <v>109.25</v>
      </c>
    </row>
  </sheetData>
  <hyperlinks>
    <hyperlink r:id="rId1" location="id=28866&amp;action=152&amp;model=crm.lead&amp;view_type=form&amp;menu_id=111" ref="B690"/>
    <hyperlink r:id="rId2" location="id=20577&amp;action=152&amp;model=crm.lead&amp;view_type=form&amp;menu_id=111" ref="Q1597"/>
  </hyperlinks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88"/>
    <col customWidth="1" min="2" max="2" width="59.63"/>
    <col customWidth="1" min="3" max="3" width="54.75"/>
  </cols>
  <sheetData>
    <row r="1">
      <c r="A1" s="746" t="s">
        <v>34379</v>
      </c>
      <c r="B1" s="746" t="s">
        <v>34380</v>
      </c>
      <c r="C1" s="746" t="s">
        <v>34381</v>
      </c>
    </row>
    <row r="2">
      <c r="A2" s="526" t="s">
        <v>34382</v>
      </c>
      <c r="B2" s="730" t="s">
        <v>34383</v>
      </c>
    </row>
    <row r="3">
      <c r="A3" s="526" t="s">
        <v>34384</v>
      </c>
    </row>
    <row r="4">
      <c r="A4" s="526" t="s">
        <v>34385</v>
      </c>
    </row>
  </sheetData>
  <hyperlinks>
    <hyperlink r:id="rId1" ref="B2"/>
  </hyperlinks>
  <drawing r:id="rId2"/>
</worksheet>
</file>